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anirudhbedre\Desktop\"/>
    </mc:Choice>
  </mc:AlternateContent>
  <bookViews>
    <workbookView xWindow="396" yWindow="-36" windowWidth="12120" windowHeight="9120" firstSheet="22" activeTab="25"/>
  </bookViews>
  <sheets>
    <sheet name="Data" sheetId="24" r:id="rId1"/>
    <sheet name="CreateDummies" sheetId="40" r:id="rId2"/>
    <sheet name="Sheet1" sheetId="93" r:id="rId3"/>
    <sheet name="NNC_Output5" sheetId="92" r:id="rId4"/>
    <sheet name="NNC_TrainLog5" sheetId="91" r:id="rId5"/>
    <sheet name="NNC_Stored5" sheetId="90" r:id="rId6"/>
    <sheet name="NNC_Output4" sheetId="89" r:id="rId7"/>
    <sheet name="NNC_TrainLog4" sheetId="88" r:id="rId8"/>
    <sheet name="NNC_Stored4" sheetId="87" r:id="rId9"/>
    <sheet name="NNC_Output3" sheetId="86" r:id="rId10"/>
    <sheet name="NNC_TrainLog3" sheetId="85" r:id="rId11"/>
    <sheet name="NNC_Stored3" sheetId="84" r:id="rId12"/>
    <sheet name="NNC_Output2_best" sheetId="83" r:id="rId13"/>
    <sheet name="NNC_TrainLog2" sheetId="82" r:id="rId14"/>
    <sheet name="NNC_Stored2" sheetId="81" r:id="rId15"/>
    <sheet name="NNC_Output1" sheetId="80" r:id="rId16"/>
    <sheet name="NNC_TrainLog1" sheetId="79" r:id="rId17"/>
    <sheet name="NNC_Stored1" sheetId="78" r:id="rId18"/>
    <sheet name="NNC_Output_Def6040" sheetId="57" r:id="rId19"/>
    <sheet name="NNC_TrainLog" sheetId="56" r:id="rId20"/>
    <sheet name="NNC_TrainingLiftChart" sheetId="55" r:id="rId21"/>
    <sheet name="NNC_ValidationLiftChart" sheetId="54" r:id="rId22"/>
    <sheet name="NNC_Stored" sheetId="53" r:id="rId23"/>
    <sheet name="NNCAuto_Output6040" sheetId="42" r:id="rId24"/>
    <sheet name="NNCAuto_Output5050" sheetId="41" r:id="rId25"/>
    <sheet name="Codelist" sheetId="38" r:id="rId26"/>
    <sheet name="Compatibility Report" sheetId="94" r:id="rId27"/>
  </sheets>
  <definedNames>
    <definedName name="_xlnm._FilterDatabase" localSheetId="25" hidden="1">Codelist!$A$4:$E$56</definedName>
    <definedName name="_xlnm._FilterDatabase" localSheetId="2" hidden="1">Sheet1!$A$4:$BA$404</definedName>
    <definedName name="solver_typ" localSheetId="12" hidden="1">2</definedName>
    <definedName name="solver_typ" localSheetId="24" hidden="1">2</definedName>
    <definedName name="solver_typ" localSheetId="2" hidden="1">2</definedName>
    <definedName name="solver_ver" localSheetId="12" hidden="1">15</definedName>
    <definedName name="solver_ver" localSheetId="24" hidden="1">15</definedName>
    <definedName name="solver_ver" localSheetId="2" hidden="1">15</definedName>
    <definedName name="xlm_12_1" localSheetId="0">"{""wkbk"":""GermanCredit.xls"",""wksheet"":""Data"",""data_range"":""$A$1:$AF$1001"",""has_header"":true,""input_cols"":[{""varName"":""CHK_ACCT""},{""varName"":""HISTORY""},{""varName"":""SAV_ACCT""},{""varName"":""EMPLOYMENT""},{""varName"":""PRESENT_RESIDENT""},{""varName"":""JOB""}],""c"</definedName>
    <definedName name="xlm_12_2" localSheetId="0">"at_cols"":[],""firstRow"":1,""rows"":1000,""isPartitionSheet"":false,""data_cols"":[{""varId"":0,""varName"":""OBS#""},{""varId"":2,""varName"":""DURATION""},{""varId"":4,""varName"":""NEW_CAR""},{""varId"":5,""varName"":""USED_CAR""},{""varId"":6,""varName"":""FURNITURE""},{""varId"":7,""va"</definedName>
    <definedName name="xlm_12_3" localSheetId="0">"rName"":""RADIO/TV""},{""varId"":8,""varName"":""EDUCATION""},{""varId"":9,""varName"":""RETRAINING""},{""varId"":10,""varName"":""AMOUNT""},{""varId"":13,""varName"":""INSTALL_RATE""},{""varId"":14,""varName"":""MALE_DIV""},{""varId"":15,""varName"":""MALE_SINGLE""},{""varId"":16,""varName"""</definedName>
    <definedName name="xlm_12_4" localSheetId="0">":""MALE_MAR_or_WID""},{""varId"":17,""varName"":""CO-APPLICANT""},{""varId"":18,""varName"":""GUARANTOR""},{""varId"":20,""varName"":""REAL_ESTATE""},{""varId"":21,""varName"":""PROP_UNKN_NONE""},{""varId"":22,""varName"":""AGE""},{""varId"":23,""varName"":""OTHER_INSTALL""},{""varId"":24,"</definedName>
    <definedName name="xlm_12_5" localSheetId="0">"""varName"":""RENT""},{""varId"":25,""varName"":""OWN_RES""},{""varId"":26,""varName"":""NUM_CREDITS""},{""varId"":28,""varName"":""NUM_DEPENDENTS""},{""varId"":29,""varName"":""TELEPHONE""},{""varId"":30,""varName"":""FOREIGN""},{""varId"":31,""varName"":""RESPONSE""}]}"</definedName>
    <definedName name="xlm_605_1" localSheetId="1">"{""wkbk"":""GermanCredit.xls"",""wksheet"":""CreateDummies"",""data_range"":""$B$20:$BB$1020"",""has_header"":true,""cat_cols"":[],""firstRow"":20,""rows"":1000,""train_rows"":600,""validation_rows"":400,""test_rows"":0,""isPartitionSheet"":false,""numOutputClasses"":2,""useSucces"</definedName>
    <definedName name="xlm_605_2" localSheetId="1">"sClass"":true,""successClass"":""1"",""successCutoffProb"":0.5,""partitionData"":true,""usePartitionVar"":false,""useRandomRows"":true,""setSeed"":true,""seedValue"":12345,""trainPct"":60,""validationPct"":40,""testPct"":0,""autoPct"":true,""equalPct"":false,""specifyPct"":false"</definedName>
    <definedName name="xlm_605_3" localSheetId="1">",""newDataDatabase"":false,""newDataWorksheet"":false,""normalizeInput"":true,""neuronWeightSeed"":12345,""networkArchCode"":1,""layerNodes"":[13,25,0,0],""numHiddenLayers"":2,""numEpochs"":30,""errorTolerance"":0.01,""weightDecayTraining"":0,""gradientDescentStepSize"":0"</definedName>
    <definedName name="xlm_605_4" localSheetId="1">".1,""weightChangeMomentum"":0.6,""hiddenLayerSigmoidCode"":0,""outputLayerSigmoidCode"":0,""trainDetailRpt"":false,""trainSummaryRpt"":true,""trainLiftChart"":false,""trainROCCurve"":true,""validationDetailRpt"":false,""validationSummaryRpt"":true,""validationLiftChart"</definedName>
    <definedName name="xlm_605_5" localSheetId="1">""":false,""validROCCurve"":false,""testDetailRpt"":false,""testSummaryRpt"":false,""testLiftChart"":false,""testROCCurve"":false}"</definedName>
    <definedName name="xlm_611_1" localSheetId="1">"{""wkbk"":""GermanCredit.xls"",""wksheet"":""CreateDummies"",""data_range"":""$B$20:$BB$1020"",""has_header"":true,""cat_cols"":[],""firstRow"":20,""rows"":1000,""train_rows"":600,""validation_rows"":400,""test_rows"":0,""isPartitionSheet"":false,""numOutputClasses"":2,""useSucces"</definedName>
    <definedName name="xlm_611_2" localSheetId="1">"sClass"":true,""successClass"":""1"",""successCutoffProb"":0.5,""partitionData"":true,""usePartitionVar"":false,""useRandomRows"":true,""setSeed"":true,""seedValue"":12345,""trainPct"":60,""validationPct"":40,""testPct"":0,""autoPct"":false,""equalPct"":false,""specifyPct"":true"</definedName>
    <definedName name="xlm_611_3" localSheetId="1">",""newDataDatabase"":false,""newDataWorksheet"":false,""normalizeInput"":true,""neuronWeightSeed"":12345,""networkArchCode"":0,""layerNodes"":[],""numEpochs"":30,""errorTolerance"":0.01,""weightDecayTraining"":0,""gradientDescentStepSize"":0.1,""weightChangeMomentum"":0.6"</definedName>
    <definedName name="xlm_611_4" localSheetId="1">",""hiddenLayerSigmoidCode"":0,""outputLayerSigmoidCode"":0,""trainDetailRpt"":false,""trainSummaryRpt"":true,""trainLiftChart"":true,""trainROCCurve"":true,""validationDetailRpt"":false,""validationSummaryRpt"":true,""validationLiftChart"":true,""validROCCurve"":false,"""</definedName>
    <definedName name="xlm_611_5" localSheetId="1">"testDetailRpt"":false,""testSummaryRpt"":false,""testLiftChart"":false,""testROCCurve"":false}"</definedName>
    <definedName name="xlm_clnc_1" localSheetId="1">"{""input_cols"":[{""varName"":""DURATION""},{""varName"":""NEW_CAR""},{""varName"":""USED_CAR""},{""varName"":""FURNITURE""},{""varName"":""RADIO/TV""},{""varName"":""EDUCATION""},{""varName"":""RETRAINING""},{""varName"":""AMOUNT""},{""varName"":""INSTALL_RATE""},{""varName"":""MALE_DIV""},"</definedName>
    <definedName name="xlm_clnc_2" localSheetId="1">"{""varName"":""MALE_SINGLE""},{""varName"":""MALE_MAR_or_WID""},{""varName"":""CO-APPLICANT""},{""varName"":""GUARANTOR""},{""varName"":""REAL_ESTATE""},{""varName"":""PROP_UNKN_NONE""},{""varName"":""AGE""},{""varName"":""OTHER_INSTALL""},{""varName"":""RENT""},{""varName"":""OWN_RES""},{"</definedName>
    <definedName name="xlm_clnc_3" localSheetId="1">"""varName"":""NUM_CREDITS""},{""varName"":""NUM_DEPENDENTS""},{""varName"":""TELEPHONE""},{""varName"":""FOREIGN""},{""varName"":""CHK_ACCT_0""},{""varName"":""CHK_ACCT_1""},{""varName"":""CHK_ACCT_2""},{""varName"":""HISTORY_0""},{""varName"":""HISTORY_1""},{""varName"":""HISTORY_2""},{""v"</definedName>
    <definedName name="xlm_clnc_4" localSheetId="1">"arName"":""HISTORY_3""},{""varName"":""SAV_ACCT_0""},{""varName"":""SAV_ACCT_1""},{""varName"":""SAV_ACCT_2""},{""varName"":""SAV_ACCT_3""},{""varName"":""EMPLOYMENT_0""},{""varName"":""EMPLOYMENT_1""},{""varName"":""EMPLOYMENT_2""},{""varName"":""EMPLOYMENT_3""},{""varName"":""PRESENT_R"</definedName>
    <definedName name="xlm_clnc_5" localSheetId="1">"ESIDENT_1""},{""varName"":""PRESENT_RESIDENT_2""},{""varName"":""PRESENT_RESIDENT_3""},{""varName"":""JOB_0""},{""varName"":""JOB_1""},{""varName"":""JOB_2""}],""output_var"":{""varName"":""RESPONSE""}}"</definedName>
    <definedName name="xlm_PartitionHeaders1" hidden="1">#REF!</definedName>
    <definedName name="xlm_PartitionTraining1" hidden="1">#REF!</definedName>
    <definedName name="xlm_PartitionValidation1" hidden="1">#REF!</definedName>
    <definedName name="XLMFullModelDefinition" localSheetId="22" hidden="1">"A2:AW31"</definedName>
    <definedName name="XLMFullModelDefinition" localSheetId="17" hidden="1">"A2:AW31"</definedName>
    <definedName name="XLMFullModelDefinition" localSheetId="14" hidden="1">"A2:AW31"</definedName>
    <definedName name="XLMFullModelDefinition" localSheetId="11" hidden="1">"A2:AW31"</definedName>
    <definedName name="XLMFullModelDefinition" localSheetId="8" hidden="1">"A2:AW31"</definedName>
    <definedName name="XLMFullModelDefinition" localSheetId="5" hidden="1">"A2:AW58"</definedName>
    <definedName name="XLMModelDefinition" localSheetId="22" hidden="1">"A2:B19"</definedName>
    <definedName name="XLMModelDefinition" localSheetId="17" hidden="1">"A2:B19"</definedName>
    <definedName name="XLMModelDefinition" localSheetId="14" hidden="1">"A2:B19"</definedName>
    <definedName name="XLMModelDefinition" localSheetId="11" hidden="1">"A2:B19"</definedName>
    <definedName name="XLMModelDefinition" localSheetId="8" hidden="1">"A2:B19"</definedName>
    <definedName name="XLMModelDefinition" localSheetId="5" hidden="1">"A2:B20"</definedName>
    <definedName name="XLMModelInputVars" localSheetId="22" hidden="1">"D4:AV4"</definedName>
    <definedName name="XLMModelInputVars" localSheetId="17" hidden="1">"D4:AV4"</definedName>
    <definedName name="XLMModelInputVars" localSheetId="14" hidden="1">"D4:AV4"</definedName>
    <definedName name="XLMModelInputVars" localSheetId="11" hidden="1">"D4:AV4"</definedName>
    <definedName name="XLMModelInputVars" localSheetId="8" hidden="1">"D4:AV4"</definedName>
    <definedName name="XLMModelInputVars" localSheetId="5" hidden="1">"D4:AV4"</definedName>
    <definedName name="XLMModelInputVarsRole" localSheetId="22" hidden="1">"D6:AW6"</definedName>
    <definedName name="XLMModelInputVarsRole" localSheetId="17" hidden="1">"D6:AW6"</definedName>
    <definedName name="XLMModelInputVarsRole" localSheetId="14" hidden="1">"D6:AW6"</definedName>
    <definedName name="XLMModelInputVarsRole" localSheetId="11" hidden="1">"D6:AW6"</definedName>
    <definedName name="XLMModelInputVarsRole" localSheetId="8" hidden="1">"D6:AW6"</definedName>
    <definedName name="XLMModelInputVarsRole" localSheetId="5" hidden="1">"D6:AW6"</definedName>
    <definedName name="XLMModelInputVarsType" localSheetId="22" hidden="1">"D7:AV7"</definedName>
    <definedName name="XLMModelInputVarsType" localSheetId="17" hidden="1">"D7:AV7"</definedName>
    <definedName name="XLMModelInputVarsType" localSheetId="14" hidden="1">"D7:AV7"</definedName>
    <definedName name="XLMModelInputVarsType" localSheetId="11" hidden="1">"D7:AV7"</definedName>
    <definedName name="XLMModelInputVarsType" localSheetId="8" hidden="1">"D7:AV7"</definedName>
    <definedName name="XLMModelInputVarsType" localSheetId="5" hidden="1">"D7:AV7"</definedName>
    <definedName name="XLMModelTypeId" localSheetId="22" hidden="1">13</definedName>
    <definedName name="XLMModelTypeId" localSheetId="17" hidden="1">13</definedName>
    <definedName name="XLMModelTypeId" localSheetId="14" hidden="1">13</definedName>
    <definedName name="XLMModelTypeId" localSheetId="11" hidden="1">13</definedName>
    <definedName name="XLMModelTypeId" localSheetId="8" hidden="1">13</definedName>
    <definedName name="XLMModelTypeId" localSheetId="5" hidden="1">13</definedName>
    <definedName name="XLMReportData" localSheetId="1" hidden="1">CreateDummies!$B$20:$BB$1020</definedName>
  </definedNames>
  <calcPr calcId="152511"/>
</workbook>
</file>

<file path=xl/calcChain.xml><?xml version="1.0" encoding="utf-8"?>
<calcChain xmlns="http://schemas.openxmlformats.org/spreadsheetml/2006/main">
  <c r="AG13" i="93" l="1"/>
  <c r="AG14" i="93"/>
  <c r="AG15" i="93"/>
  <c r="AG16" i="93"/>
  <c r="AG17" i="93"/>
  <c r="AG18" i="93"/>
  <c r="AG19" i="93"/>
  <c r="AG20" i="93"/>
  <c r="AG21" i="93"/>
  <c r="AG22" i="93"/>
  <c r="AG23" i="93"/>
  <c r="AG24" i="93"/>
  <c r="AG25" i="93"/>
  <c r="AG26" i="93"/>
  <c r="AG27" i="93"/>
  <c r="AG28" i="93"/>
  <c r="AG29" i="93"/>
  <c r="AG30" i="93"/>
  <c r="AG31" i="93"/>
  <c r="AG32" i="93"/>
  <c r="AG33" i="93"/>
  <c r="AG34" i="93"/>
  <c r="AG35" i="93"/>
  <c r="AG36" i="93"/>
  <c r="AG37" i="93"/>
  <c r="AG38" i="93"/>
  <c r="AG39" i="93"/>
  <c r="AG40" i="93"/>
  <c r="AG41" i="93"/>
  <c r="AG42" i="93"/>
  <c r="AG43" i="93"/>
  <c r="AG44" i="93"/>
  <c r="AG45" i="93"/>
  <c r="AG46" i="93"/>
  <c r="AG47" i="93"/>
  <c r="AG48" i="93"/>
  <c r="AG49" i="93"/>
  <c r="AG50" i="93"/>
  <c r="AG51" i="93"/>
  <c r="AG52" i="93"/>
  <c r="AG53" i="93"/>
  <c r="AG54" i="93"/>
  <c r="AG55" i="93"/>
  <c r="AG56" i="93"/>
  <c r="AG57" i="93"/>
  <c r="AG58" i="93"/>
  <c r="AG59" i="93"/>
  <c r="AG60" i="93"/>
  <c r="AG61" i="93"/>
  <c r="AG62" i="93"/>
  <c r="AG63" i="93"/>
  <c r="AG64" i="93"/>
  <c r="AG65" i="93"/>
  <c r="AG66" i="93"/>
  <c r="AG67" i="93"/>
  <c r="AG68" i="93"/>
  <c r="AG69" i="93"/>
  <c r="AG70" i="93"/>
  <c r="AG71" i="93"/>
  <c r="AG72" i="93"/>
  <c r="AG73" i="93"/>
  <c r="AG74" i="93"/>
  <c r="AG75" i="93"/>
  <c r="AG76" i="93"/>
  <c r="AG77" i="93"/>
  <c r="AG78" i="93"/>
  <c r="AG79" i="93"/>
  <c r="AG80" i="93"/>
  <c r="AG81" i="93"/>
  <c r="AG82" i="93"/>
  <c r="AG83" i="93"/>
  <c r="AG84" i="93"/>
  <c r="AG85" i="93"/>
  <c r="AG86" i="93"/>
  <c r="AG87" i="93"/>
  <c r="AG88" i="93"/>
  <c r="AG89" i="93"/>
  <c r="AG90" i="93"/>
  <c r="AG91" i="93"/>
  <c r="AG92" i="93"/>
  <c r="AG93" i="93"/>
  <c r="AG94" i="93"/>
  <c r="AG95" i="93"/>
  <c r="AG96" i="93"/>
  <c r="AG97" i="93"/>
  <c r="AG98" i="93"/>
  <c r="AG99" i="93"/>
  <c r="AG100" i="93"/>
  <c r="AG101" i="93"/>
  <c r="AG102" i="93"/>
  <c r="AG103" i="93"/>
  <c r="AG104" i="93"/>
  <c r="AG105" i="93"/>
  <c r="AG106" i="93"/>
  <c r="AG107" i="93"/>
  <c r="AG108" i="93"/>
  <c r="AG109" i="93"/>
  <c r="AG110" i="93"/>
  <c r="AG111" i="93"/>
  <c r="AG112" i="93"/>
  <c r="AG113" i="93"/>
  <c r="AG114" i="93"/>
  <c r="AG115" i="93"/>
  <c r="AG116" i="93"/>
  <c r="AG117" i="93"/>
  <c r="AG118" i="93"/>
  <c r="AG119" i="93"/>
  <c r="AG120" i="93"/>
  <c r="AG121" i="93"/>
  <c r="AG122" i="93"/>
  <c r="AG123" i="93"/>
  <c r="AG124" i="93"/>
  <c r="AG125" i="93"/>
  <c r="AG126" i="93"/>
  <c r="AG127" i="93"/>
  <c r="AG128" i="93"/>
  <c r="AG129" i="93"/>
  <c r="AG130" i="93"/>
  <c r="AG131" i="93"/>
  <c r="AG132" i="93"/>
  <c r="AG133" i="93"/>
  <c r="AG134" i="93"/>
  <c r="AG135" i="93"/>
  <c r="AG136" i="93"/>
  <c r="AG137" i="93"/>
  <c r="AG138" i="93"/>
  <c r="AG139" i="93"/>
  <c r="AG140" i="93"/>
  <c r="AG141" i="93"/>
  <c r="AG142" i="93"/>
  <c r="AG143" i="93"/>
  <c r="AG144" i="93"/>
  <c r="AG145" i="93"/>
  <c r="AG146" i="93"/>
  <c r="AG147" i="93"/>
  <c r="AG148" i="93"/>
  <c r="AG149" i="93"/>
  <c r="AG150" i="93"/>
  <c r="AG151" i="93"/>
  <c r="AG152" i="93"/>
  <c r="AG153" i="93"/>
  <c r="AG154" i="93"/>
  <c r="AG155" i="93"/>
  <c r="AG156" i="93"/>
  <c r="AG157" i="93"/>
  <c r="AG158" i="93"/>
  <c r="AG159" i="93"/>
  <c r="AG160" i="93"/>
  <c r="AG161" i="93"/>
  <c r="AG162" i="93"/>
  <c r="AG163" i="93"/>
  <c r="AG164" i="93"/>
  <c r="AG165" i="93"/>
  <c r="AG166" i="93"/>
  <c r="AG167" i="93"/>
  <c r="AG168" i="93"/>
  <c r="AG169" i="93"/>
  <c r="AG170" i="93"/>
  <c r="AG171" i="93"/>
  <c r="AG172" i="93"/>
  <c r="AG173" i="93"/>
  <c r="AG174" i="93"/>
  <c r="AG175" i="93"/>
  <c r="AG176" i="93"/>
  <c r="AG177" i="93"/>
  <c r="AG178" i="93"/>
  <c r="AG179" i="93"/>
  <c r="AG180" i="93"/>
  <c r="AG181" i="93"/>
  <c r="AG182" i="93"/>
  <c r="AG183" i="93"/>
  <c r="AG184" i="93"/>
  <c r="AG185" i="93"/>
  <c r="AG186" i="93"/>
  <c r="AG187" i="93"/>
  <c r="AG188" i="93"/>
  <c r="AG189" i="93"/>
  <c r="AG190" i="93"/>
  <c r="AG191" i="93"/>
  <c r="AG192" i="93"/>
  <c r="AG193" i="93"/>
  <c r="AG194" i="93"/>
  <c r="AG195" i="93"/>
  <c r="AG196" i="93"/>
  <c r="AG197" i="93"/>
  <c r="AG198" i="93"/>
  <c r="AG199" i="93"/>
  <c r="AG200" i="93"/>
  <c r="AG201" i="93"/>
  <c r="AG202" i="93"/>
  <c r="AG203" i="93"/>
  <c r="AG204" i="93"/>
  <c r="AG205" i="93"/>
  <c r="AG206" i="93"/>
  <c r="AG207" i="93"/>
  <c r="AG208" i="93"/>
  <c r="AG209" i="93"/>
  <c r="AG210" i="93"/>
  <c r="AG211" i="93"/>
  <c r="AG212" i="93"/>
  <c r="AG213" i="93"/>
  <c r="AG214" i="93"/>
  <c r="AG215" i="93"/>
  <c r="AG216" i="93"/>
  <c r="AG217" i="93"/>
  <c r="AG218" i="93"/>
  <c r="AG219" i="93"/>
  <c r="AG220" i="93"/>
  <c r="AG221" i="93"/>
  <c r="AG222" i="93"/>
  <c r="AG223" i="93"/>
  <c r="AG224" i="93"/>
  <c r="AG225" i="93"/>
  <c r="AG226" i="93"/>
  <c r="AG227" i="93"/>
  <c r="AG228" i="93"/>
  <c r="AG229" i="93"/>
  <c r="AG230" i="93"/>
  <c r="AG231" i="93"/>
  <c r="AG232" i="93"/>
  <c r="AG233" i="93"/>
  <c r="AG234" i="93"/>
  <c r="AG235" i="93"/>
  <c r="AG236" i="93"/>
  <c r="AG237" i="93"/>
  <c r="AG238" i="93"/>
  <c r="AG239" i="93"/>
  <c r="AG240" i="93"/>
  <c r="AG241" i="93"/>
  <c r="AG242" i="93"/>
  <c r="AG243" i="93"/>
  <c r="AG244" i="93"/>
  <c r="AG245" i="93"/>
  <c r="AG246" i="93"/>
  <c r="AG247" i="93"/>
  <c r="AG248" i="93"/>
  <c r="AG249" i="93"/>
  <c r="AG250" i="93"/>
  <c r="AG251" i="93"/>
  <c r="AG252" i="93"/>
  <c r="AG253" i="93"/>
  <c r="AG254" i="93"/>
  <c r="AG255" i="93"/>
  <c r="AG256" i="93"/>
  <c r="AG257" i="93"/>
  <c r="AG258" i="93"/>
  <c r="AG259" i="93"/>
  <c r="AG260" i="93"/>
  <c r="AG261" i="93"/>
  <c r="AG262" i="93"/>
  <c r="AG263" i="93"/>
  <c r="AG264" i="93"/>
  <c r="AG265" i="93"/>
  <c r="AG266" i="93"/>
  <c r="AG267" i="93"/>
  <c r="AG268" i="93"/>
  <c r="AG269" i="93"/>
  <c r="AG270" i="93"/>
  <c r="AG271" i="93"/>
  <c r="AG272" i="93"/>
  <c r="AG273" i="93"/>
  <c r="AG274" i="93"/>
  <c r="AG275" i="93"/>
  <c r="AG276" i="93"/>
  <c r="AG277" i="93"/>
  <c r="AG278" i="93"/>
  <c r="AG279" i="93"/>
  <c r="AG280" i="93"/>
  <c r="AG281" i="93"/>
  <c r="AG282" i="93"/>
  <c r="AG283" i="93"/>
  <c r="AG284" i="93"/>
  <c r="AG285" i="93"/>
  <c r="AG286" i="93"/>
  <c r="AG287" i="93"/>
  <c r="AG288" i="93"/>
  <c r="AG289" i="93"/>
  <c r="AG290" i="93"/>
  <c r="AG291" i="93"/>
  <c r="AG292" i="93"/>
  <c r="AG293" i="93"/>
  <c r="AG294" i="93"/>
  <c r="AG295" i="93"/>
  <c r="AG296" i="93"/>
  <c r="AG297" i="93"/>
  <c r="AG298" i="93"/>
  <c r="AG299" i="93"/>
  <c r="AG300" i="93"/>
  <c r="AG301" i="93"/>
  <c r="AG302" i="93"/>
  <c r="AG303" i="93"/>
  <c r="AG304" i="93"/>
  <c r="AG305" i="93"/>
  <c r="AG306" i="93"/>
  <c r="AG307" i="93"/>
  <c r="AG308" i="93"/>
  <c r="AG309" i="93"/>
  <c r="AG310" i="93"/>
  <c r="AG311" i="93"/>
  <c r="AG312" i="93"/>
  <c r="AG313" i="93"/>
  <c r="AG314" i="93"/>
  <c r="AG315" i="93"/>
  <c r="AG316" i="93"/>
  <c r="AG317" i="93"/>
  <c r="AG318" i="93"/>
  <c r="AG319" i="93"/>
  <c r="AG320" i="93"/>
  <c r="AG321" i="93"/>
  <c r="AG322" i="93"/>
  <c r="AG323" i="93"/>
  <c r="AG324" i="93"/>
  <c r="AG325" i="93"/>
  <c r="AG326" i="93"/>
  <c r="AG327" i="93"/>
  <c r="AG328" i="93"/>
  <c r="AG329" i="93"/>
  <c r="AG330" i="93"/>
  <c r="AG331" i="93"/>
  <c r="AG332" i="93"/>
  <c r="AG333" i="93"/>
  <c r="AG334" i="93"/>
  <c r="AG335" i="93"/>
  <c r="AG336" i="93"/>
  <c r="AG337" i="93"/>
  <c r="AG338" i="93"/>
  <c r="AG339" i="93"/>
  <c r="AG340" i="93"/>
  <c r="AG341" i="93"/>
  <c r="AG342" i="93"/>
  <c r="AG343" i="93"/>
  <c r="AG344" i="93"/>
  <c r="AG345" i="93"/>
  <c r="AG346" i="93"/>
  <c r="AG347" i="93"/>
  <c r="AG348" i="93"/>
  <c r="AG349" i="93"/>
  <c r="AG350" i="93"/>
  <c r="AG351" i="93"/>
  <c r="AG352" i="93"/>
  <c r="AG353" i="93"/>
  <c r="AG354" i="93"/>
  <c r="AG355" i="93"/>
  <c r="AG356" i="93"/>
  <c r="AG357" i="93"/>
  <c r="AG358" i="93"/>
  <c r="AG359" i="93"/>
  <c r="AG360" i="93"/>
  <c r="AG361" i="93"/>
  <c r="AG362" i="93"/>
  <c r="AG363" i="93"/>
  <c r="AG364" i="93"/>
  <c r="AG365" i="93"/>
  <c r="AG366" i="93"/>
  <c r="AG367" i="93"/>
  <c r="AG368" i="93"/>
  <c r="AG369" i="93"/>
  <c r="AG370" i="93"/>
  <c r="AG371" i="93"/>
  <c r="AG372" i="93"/>
  <c r="AG373" i="93"/>
  <c r="AG374" i="93"/>
  <c r="AG375" i="93"/>
  <c r="AG376" i="93"/>
  <c r="AG377" i="93"/>
  <c r="AG378" i="93"/>
  <c r="AG379" i="93"/>
  <c r="AG380" i="93"/>
  <c r="AG381" i="93"/>
  <c r="AG382" i="93"/>
  <c r="AG383" i="93"/>
  <c r="AG384" i="93"/>
  <c r="AG385" i="93"/>
  <c r="AG386" i="93"/>
  <c r="AG387" i="93"/>
  <c r="AG388" i="93"/>
  <c r="AG389" i="93"/>
  <c r="AG390" i="93"/>
  <c r="AG391" i="93"/>
  <c r="AG392" i="93"/>
  <c r="AG393" i="93"/>
  <c r="AG394" i="93"/>
  <c r="AG395" i="93"/>
  <c r="AG396" i="93"/>
  <c r="AG397" i="93"/>
  <c r="AG398" i="93"/>
  <c r="AG399" i="93"/>
  <c r="AG400" i="93"/>
  <c r="AG401" i="93"/>
  <c r="AG402" i="93"/>
  <c r="AG403" i="93"/>
  <c r="AG404" i="93"/>
  <c r="AG405" i="93"/>
  <c r="AG406" i="93"/>
  <c r="AG407" i="93"/>
  <c r="AG408" i="93"/>
  <c r="AG409" i="93"/>
  <c r="AG410" i="93"/>
  <c r="AG411" i="93"/>
  <c r="AG412" i="93"/>
  <c r="AG413" i="93"/>
  <c r="AG414" i="93"/>
  <c r="AG415" i="93"/>
  <c r="AG416" i="93"/>
  <c r="AG417" i="93"/>
  <c r="AG418" i="93"/>
  <c r="AG419" i="93"/>
  <c r="AG420" i="93"/>
  <c r="AG421" i="93"/>
  <c r="AG422" i="93"/>
  <c r="AG423" i="93"/>
  <c r="AG424" i="93"/>
  <c r="AG425" i="93"/>
  <c r="AG426" i="93"/>
  <c r="AG427" i="93"/>
  <c r="AG428" i="93"/>
  <c r="AG429" i="93"/>
  <c r="AG430" i="93"/>
  <c r="AG431" i="93"/>
  <c r="AG432" i="93"/>
  <c r="AG433" i="93"/>
  <c r="AG434" i="93"/>
  <c r="AG435" i="93"/>
  <c r="AG436" i="93"/>
  <c r="AG437" i="93"/>
  <c r="AG438" i="93"/>
  <c r="AG439" i="93"/>
  <c r="AG440" i="93"/>
  <c r="AG441" i="93"/>
  <c r="AG442" i="93"/>
  <c r="AG443" i="93"/>
  <c r="AG444" i="93"/>
  <c r="AG445" i="93"/>
  <c r="AG446" i="93"/>
  <c r="AG447" i="93"/>
  <c r="AG448" i="93"/>
  <c r="AG449" i="93"/>
  <c r="AG450" i="93"/>
  <c r="AG451" i="93"/>
  <c r="AG452" i="93"/>
  <c r="AG453" i="93"/>
  <c r="AG454" i="93"/>
  <c r="AG455" i="93"/>
  <c r="AG456" i="93"/>
  <c r="AG457" i="93"/>
  <c r="AG458" i="93"/>
  <c r="AG459" i="93"/>
  <c r="AG460" i="93"/>
  <c r="AG461" i="93"/>
  <c r="AG462" i="93"/>
  <c r="AG463" i="93"/>
  <c r="AG464" i="93"/>
  <c r="AG465" i="93"/>
  <c r="AG466" i="93"/>
  <c r="AG467" i="93"/>
  <c r="AG468" i="93"/>
  <c r="AG469" i="93"/>
  <c r="AG470" i="93"/>
  <c r="AG471" i="93"/>
  <c r="AG472" i="93"/>
  <c r="AG473" i="93"/>
  <c r="AG474" i="93"/>
  <c r="AG475" i="93"/>
  <c r="AG476" i="93"/>
  <c r="AG477" i="93"/>
  <c r="AG478" i="93"/>
  <c r="AG479" i="93"/>
  <c r="AG480" i="93"/>
  <c r="AG481" i="93"/>
  <c r="AG482" i="93"/>
  <c r="AG483" i="93"/>
  <c r="AG484" i="93"/>
  <c r="AG485" i="93"/>
  <c r="AG486" i="93"/>
  <c r="AG487" i="93"/>
  <c r="AG488" i="93"/>
  <c r="AG489" i="93"/>
  <c r="AG490" i="93"/>
  <c r="AG491" i="93"/>
  <c r="AG492" i="93"/>
  <c r="AG493" i="93"/>
  <c r="AG494" i="93"/>
  <c r="AG495" i="93"/>
  <c r="AG496" i="93"/>
  <c r="AG497" i="93"/>
  <c r="AG498" i="93"/>
  <c r="AG499" i="93"/>
  <c r="AG500" i="93"/>
  <c r="AG501" i="93"/>
  <c r="AG502" i="93"/>
  <c r="AG503" i="93"/>
  <c r="AG504" i="93"/>
  <c r="AG505" i="93"/>
  <c r="AG506" i="93"/>
  <c r="AG507" i="93"/>
  <c r="AG508" i="93"/>
  <c r="AG509" i="93"/>
  <c r="AG510" i="93"/>
  <c r="AG511" i="93"/>
  <c r="AG512" i="93"/>
  <c r="AG513" i="93"/>
  <c r="AG514" i="93"/>
  <c r="AG515" i="93"/>
  <c r="AG516" i="93"/>
  <c r="AG517" i="93"/>
  <c r="AG518" i="93"/>
  <c r="AG519" i="93"/>
  <c r="AG520" i="93"/>
  <c r="AG521" i="93"/>
  <c r="AG522" i="93"/>
  <c r="AG523" i="93"/>
  <c r="AG524" i="93"/>
  <c r="AG525" i="93"/>
  <c r="AG526" i="93"/>
  <c r="AG527" i="93"/>
  <c r="AG528" i="93"/>
  <c r="AG529" i="93"/>
  <c r="AG530" i="93"/>
  <c r="AG531" i="93"/>
  <c r="AG532" i="93"/>
  <c r="AG533" i="93"/>
  <c r="AG534" i="93"/>
  <c r="AG535" i="93"/>
  <c r="AG536" i="93"/>
  <c r="AG537" i="93"/>
  <c r="AG538" i="93"/>
  <c r="AG539" i="93"/>
  <c r="AG540" i="93"/>
  <c r="AG541" i="93"/>
  <c r="AG542" i="93"/>
  <c r="AG543" i="93"/>
  <c r="AG544" i="93"/>
  <c r="AG545" i="93"/>
  <c r="AG546" i="93"/>
  <c r="AG547" i="93"/>
  <c r="AG548" i="93"/>
  <c r="AG549" i="93"/>
  <c r="AG550" i="93"/>
  <c r="AG551" i="93"/>
  <c r="AG552" i="93"/>
  <c r="AG553" i="93"/>
  <c r="AG554" i="93"/>
  <c r="AG555" i="93"/>
  <c r="AG556" i="93"/>
  <c r="AG557" i="93"/>
  <c r="AG558" i="93"/>
  <c r="AG559" i="93"/>
  <c r="AG560" i="93"/>
  <c r="AG561" i="93"/>
  <c r="AG562" i="93"/>
  <c r="AG563" i="93"/>
  <c r="AG564" i="93"/>
  <c r="AG565" i="93"/>
  <c r="AG566" i="93"/>
  <c r="AG567" i="93"/>
  <c r="AG568" i="93"/>
  <c r="AG569" i="93"/>
  <c r="AG570" i="93"/>
  <c r="AG571" i="93"/>
  <c r="AG572" i="93"/>
  <c r="AG573" i="93"/>
  <c r="AG574" i="93"/>
  <c r="AG575" i="93"/>
  <c r="AG576" i="93"/>
  <c r="AG577" i="93"/>
  <c r="AG578" i="93"/>
  <c r="AG579" i="93"/>
  <c r="AG580" i="93"/>
  <c r="AG581" i="93"/>
  <c r="AG582" i="93"/>
  <c r="AG583" i="93"/>
  <c r="AG584" i="93"/>
  <c r="AG585" i="93"/>
  <c r="AG586" i="93"/>
  <c r="AG587" i="93"/>
  <c r="AG588" i="93"/>
  <c r="AG589" i="93"/>
  <c r="AG590" i="93"/>
  <c r="AG591" i="93"/>
  <c r="AG592" i="93"/>
  <c r="AG593" i="93"/>
  <c r="AG594" i="93"/>
  <c r="AG595" i="93"/>
  <c r="AG596" i="93"/>
  <c r="AG597" i="93"/>
  <c r="AG598" i="93"/>
  <c r="AG599" i="93"/>
  <c r="AG600" i="93"/>
  <c r="AG601" i="93"/>
  <c r="AG602" i="93"/>
  <c r="AG603" i="93"/>
  <c r="AG604" i="93"/>
  <c r="AG605" i="93"/>
  <c r="AG606" i="93"/>
  <c r="AG607" i="93"/>
  <c r="AG608" i="93"/>
  <c r="AG609" i="93"/>
  <c r="AG610" i="93"/>
  <c r="AG611" i="93"/>
  <c r="AG612" i="93"/>
  <c r="AG613" i="93"/>
  <c r="AG614" i="93"/>
  <c r="AG615" i="93"/>
  <c r="AG616" i="93"/>
  <c r="AG617" i="93"/>
  <c r="AG618" i="93"/>
  <c r="AG619" i="93"/>
  <c r="AG620" i="93"/>
  <c r="AG621" i="93"/>
  <c r="AG622" i="93"/>
  <c r="AG623" i="93"/>
  <c r="AG624" i="93"/>
  <c r="AG625" i="93"/>
  <c r="AG626" i="93"/>
  <c r="AG627" i="93"/>
  <c r="AG628" i="93"/>
  <c r="AG629" i="93"/>
  <c r="AG630" i="93"/>
  <c r="AG631" i="93"/>
  <c r="AG632" i="93"/>
  <c r="AG633" i="93"/>
  <c r="AG634" i="93"/>
  <c r="AG635" i="93"/>
  <c r="AG636" i="93"/>
  <c r="AG637" i="93"/>
  <c r="AG638" i="93"/>
  <c r="AG639" i="93"/>
  <c r="AG640" i="93"/>
  <c r="AG641" i="93"/>
  <c r="AG642" i="93"/>
  <c r="AG643" i="93"/>
  <c r="AG644" i="93"/>
  <c r="AG645" i="93"/>
  <c r="AG646" i="93"/>
  <c r="AG647" i="93"/>
  <c r="AG648" i="93"/>
  <c r="AG649" i="93"/>
  <c r="AG650" i="93"/>
  <c r="AG651" i="93"/>
  <c r="AG652" i="93"/>
  <c r="AG653" i="93"/>
  <c r="AG654" i="93"/>
  <c r="AG655" i="93"/>
  <c r="AG656" i="93"/>
  <c r="AG657" i="93"/>
  <c r="AG658" i="93"/>
  <c r="AG659" i="93"/>
  <c r="AG660" i="93"/>
  <c r="AG661" i="93"/>
  <c r="AG662" i="93"/>
  <c r="AG663" i="93"/>
  <c r="AG664" i="93"/>
  <c r="AG665" i="93"/>
  <c r="AG666" i="93"/>
  <c r="AG667" i="93"/>
  <c r="AG668" i="93"/>
  <c r="AG669" i="93"/>
  <c r="AG670" i="93"/>
  <c r="AG671" i="93"/>
  <c r="AG672" i="93"/>
  <c r="AG673" i="93"/>
  <c r="AG674" i="93"/>
  <c r="AG675" i="93"/>
  <c r="AG676" i="93"/>
  <c r="AG677" i="93"/>
  <c r="AG678" i="93"/>
  <c r="AG679" i="93"/>
  <c r="AG680" i="93"/>
  <c r="AG681" i="93"/>
  <c r="AG682" i="93"/>
  <c r="AG683" i="93"/>
  <c r="AG684" i="93"/>
  <c r="AG685" i="93"/>
  <c r="AG686" i="93"/>
  <c r="AG687" i="93"/>
  <c r="AG688" i="93"/>
  <c r="AG689" i="93"/>
  <c r="AG690" i="93"/>
  <c r="AG691" i="93"/>
  <c r="AG692" i="93"/>
  <c r="AG693" i="93"/>
  <c r="AG694" i="93"/>
  <c r="AG695" i="93"/>
  <c r="AG696" i="93"/>
  <c r="AG697" i="93"/>
  <c r="AG698" i="93"/>
  <c r="AG699" i="93"/>
  <c r="AG700" i="93"/>
  <c r="AG701" i="93"/>
  <c r="AG702" i="93"/>
  <c r="AG703" i="93"/>
  <c r="AG704" i="93"/>
  <c r="AG705" i="93"/>
  <c r="AG706" i="93"/>
  <c r="AG707" i="93"/>
  <c r="AG708" i="93"/>
  <c r="AG709" i="93"/>
  <c r="AG710" i="93"/>
  <c r="AG711" i="93"/>
  <c r="AG712" i="93"/>
  <c r="AG713" i="93"/>
  <c r="AG714" i="93"/>
  <c r="AG715" i="93"/>
  <c r="AG716" i="93"/>
  <c r="AG717" i="93"/>
  <c r="AG718" i="93"/>
  <c r="AG719" i="93"/>
  <c r="AG720" i="93"/>
  <c r="AG721" i="93"/>
  <c r="AG722" i="93"/>
  <c r="AG723" i="93"/>
  <c r="AG724" i="93"/>
  <c r="AG725" i="93"/>
  <c r="AG726" i="93"/>
  <c r="AG727" i="93"/>
  <c r="AG728" i="93"/>
  <c r="AG729" i="93"/>
  <c r="AG730" i="93"/>
  <c r="AG731" i="93"/>
  <c r="AG732" i="93"/>
  <c r="AG733" i="93"/>
  <c r="AG734" i="93"/>
  <c r="AG735" i="93"/>
  <c r="AG736" i="93"/>
  <c r="AG737" i="93"/>
  <c r="AG738" i="93"/>
  <c r="AG739" i="93"/>
  <c r="AG740" i="93"/>
  <c r="AG741" i="93"/>
  <c r="AG742" i="93"/>
  <c r="AG743" i="93"/>
  <c r="AG744" i="93"/>
  <c r="AG745" i="93"/>
  <c r="AG746" i="93"/>
  <c r="AG747" i="93"/>
  <c r="AG748" i="93"/>
  <c r="AG749" i="93"/>
  <c r="AG750" i="93"/>
  <c r="AG751" i="93"/>
  <c r="AG752" i="93"/>
  <c r="AG753" i="93"/>
  <c r="AG754" i="93"/>
  <c r="AG755" i="93"/>
  <c r="AG756" i="93"/>
  <c r="AG757" i="93"/>
  <c r="AG758" i="93"/>
  <c r="AG759" i="93"/>
  <c r="AG760" i="93"/>
  <c r="AG761" i="93"/>
  <c r="AG762" i="93"/>
  <c r="AG763" i="93"/>
  <c r="AG764" i="93"/>
  <c r="AG765" i="93"/>
  <c r="AG766" i="93"/>
  <c r="AG767" i="93"/>
  <c r="AG768" i="93"/>
  <c r="AG769" i="93"/>
  <c r="AG770" i="93"/>
  <c r="AG771" i="93"/>
  <c r="AG772" i="93"/>
  <c r="AG773" i="93"/>
  <c r="AG774" i="93"/>
  <c r="AG775" i="93"/>
  <c r="AG776" i="93"/>
  <c r="AG777" i="93"/>
  <c r="AG778" i="93"/>
  <c r="AG779" i="93"/>
  <c r="AG780" i="93"/>
  <c r="AG781" i="93"/>
  <c r="AG782" i="93"/>
  <c r="AG783" i="93"/>
  <c r="AG784" i="93"/>
  <c r="AG785" i="93"/>
  <c r="AG786" i="93"/>
  <c r="AG787" i="93"/>
  <c r="AG788" i="93"/>
  <c r="AG789" i="93"/>
  <c r="AG790" i="93"/>
  <c r="AG791" i="93"/>
  <c r="AG792" i="93"/>
  <c r="AG793" i="93"/>
  <c r="AG794" i="93"/>
  <c r="AG795" i="93"/>
  <c r="AG796" i="93"/>
  <c r="AG797" i="93"/>
  <c r="AG798" i="93"/>
  <c r="AG799" i="93"/>
  <c r="AG800" i="93"/>
  <c r="AG801" i="93"/>
  <c r="AG802" i="93"/>
  <c r="AG803" i="93"/>
  <c r="AG804" i="93"/>
  <c r="AG805" i="93"/>
  <c r="AG806" i="93"/>
  <c r="AG807" i="93"/>
  <c r="AG808" i="93"/>
  <c r="AG809" i="93"/>
  <c r="AG810" i="93"/>
  <c r="AG811" i="93"/>
  <c r="AG812" i="93"/>
  <c r="AG813" i="93"/>
  <c r="AG814" i="93"/>
  <c r="AG815" i="93"/>
  <c r="AG816" i="93"/>
  <c r="AG817" i="93"/>
  <c r="AG818" i="93"/>
  <c r="AG819" i="93"/>
  <c r="AG820" i="93"/>
  <c r="AG821" i="93"/>
  <c r="AG822" i="93"/>
  <c r="AG823" i="93"/>
  <c r="AG824" i="93"/>
  <c r="AG825" i="93"/>
  <c r="AG826" i="93"/>
  <c r="AG827" i="93"/>
  <c r="AG828" i="93"/>
  <c r="AG829" i="93"/>
  <c r="AG830" i="93"/>
  <c r="AG831" i="93"/>
  <c r="AG832" i="93"/>
  <c r="AG833" i="93"/>
  <c r="AG834" i="93"/>
  <c r="AG835" i="93"/>
  <c r="AG836" i="93"/>
  <c r="AG837" i="93"/>
  <c r="AG838" i="93"/>
  <c r="AG839" i="93"/>
  <c r="AG840" i="93"/>
  <c r="AG841" i="93"/>
  <c r="AG842" i="93"/>
  <c r="AG843" i="93"/>
  <c r="AG844" i="93"/>
  <c r="AG845" i="93"/>
  <c r="AG846" i="93"/>
  <c r="AG847" i="93"/>
  <c r="AG848" i="93"/>
  <c r="AG849" i="93"/>
  <c r="AG850" i="93"/>
  <c r="AG851" i="93"/>
  <c r="AG852" i="93"/>
  <c r="AG853" i="93"/>
  <c r="AG854" i="93"/>
  <c r="AG855" i="93"/>
  <c r="AG856" i="93"/>
  <c r="AG857" i="93"/>
  <c r="AG858" i="93"/>
  <c r="AG859" i="93"/>
  <c r="AG860" i="93"/>
  <c r="AG861" i="93"/>
  <c r="AG862" i="93"/>
  <c r="AG863" i="93"/>
  <c r="AG864" i="93"/>
  <c r="AG865" i="93"/>
  <c r="AG866" i="93"/>
  <c r="AG867" i="93"/>
  <c r="AG868" i="93"/>
  <c r="AG869" i="93"/>
  <c r="AG870" i="93"/>
  <c r="AG871" i="93"/>
  <c r="AG872" i="93"/>
  <c r="AG873" i="93"/>
  <c r="AG874" i="93"/>
  <c r="AG875" i="93"/>
  <c r="AG876" i="93"/>
  <c r="AG877" i="93"/>
  <c r="AG878" i="93"/>
  <c r="AG879" i="93"/>
  <c r="AG880" i="93"/>
  <c r="AG881" i="93"/>
  <c r="AG882" i="93"/>
  <c r="AG883" i="93"/>
  <c r="AG884" i="93"/>
  <c r="AG885" i="93"/>
  <c r="AG886" i="93"/>
  <c r="AG887" i="93"/>
  <c r="AG888" i="93"/>
  <c r="AG889" i="93"/>
  <c r="AG890" i="93"/>
  <c r="AG891" i="93"/>
  <c r="AG892" i="93"/>
  <c r="AG893" i="93"/>
  <c r="AG894" i="93"/>
  <c r="AG895" i="93"/>
  <c r="AG896" i="93"/>
  <c r="AG897" i="93"/>
  <c r="AG898" i="93"/>
  <c r="AG899" i="93"/>
  <c r="AG900" i="93"/>
  <c r="AG901" i="93"/>
  <c r="AG902" i="93"/>
  <c r="AG903" i="93"/>
  <c r="AG904" i="93"/>
  <c r="AG905" i="93"/>
  <c r="AG906" i="93"/>
  <c r="AG907" i="93"/>
  <c r="AG908" i="93"/>
  <c r="AG909" i="93"/>
  <c r="AG910" i="93"/>
  <c r="AG911" i="93"/>
  <c r="AG912" i="93"/>
  <c r="AG913" i="93"/>
  <c r="AG914" i="93"/>
  <c r="AG915" i="93"/>
  <c r="AG916" i="93"/>
  <c r="AG917" i="93"/>
  <c r="AG918" i="93"/>
  <c r="AG919" i="93"/>
  <c r="AG920" i="93"/>
  <c r="AG921" i="93"/>
  <c r="AG922" i="93"/>
  <c r="AG923" i="93"/>
  <c r="AG924" i="93"/>
  <c r="AG925" i="93"/>
  <c r="AG926" i="93"/>
  <c r="AG927" i="93"/>
  <c r="AG928" i="93"/>
  <c r="AG929" i="93"/>
  <c r="AG930" i="93"/>
  <c r="AG931" i="93"/>
  <c r="AG932" i="93"/>
  <c r="AG933" i="93"/>
  <c r="AG934" i="93"/>
  <c r="AG935" i="93"/>
  <c r="AG936" i="93"/>
  <c r="AG937" i="93"/>
  <c r="AG938" i="93"/>
  <c r="AG939" i="93"/>
  <c r="AG940" i="93"/>
  <c r="AG941" i="93"/>
  <c r="AG942" i="93"/>
  <c r="AG943" i="93"/>
  <c r="AG944" i="93"/>
  <c r="AG945" i="93"/>
  <c r="AG946" i="93"/>
  <c r="AG947" i="93"/>
  <c r="AG948" i="93"/>
  <c r="AG949" i="93"/>
  <c r="AG950" i="93"/>
  <c r="AG951" i="93"/>
  <c r="AG952" i="93"/>
  <c r="AG953" i="93"/>
  <c r="AG954" i="93"/>
  <c r="AG955" i="93"/>
  <c r="AG956" i="93"/>
  <c r="AG957" i="93"/>
  <c r="AG958" i="93"/>
  <c r="AG959" i="93"/>
  <c r="AG960" i="93"/>
  <c r="AG961" i="93"/>
  <c r="AG962" i="93"/>
  <c r="AG963" i="93"/>
  <c r="AG964" i="93"/>
  <c r="AG965" i="93"/>
  <c r="AG966" i="93"/>
  <c r="AG967" i="93"/>
  <c r="AG968" i="93"/>
  <c r="AG969" i="93"/>
  <c r="AG970" i="93"/>
  <c r="AG971" i="93"/>
  <c r="AG972" i="93"/>
  <c r="AG973" i="93"/>
  <c r="AG974" i="93"/>
  <c r="AG975" i="93"/>
  <c r="AG976" i="93"/>
  <c r="AG977" i="93"/>
  <c r="AG978" i="93"/>
  <c r="AG979" i="93"/>
  <c r="AG980" i="93"/>
  <c r="AG981" i="93"/>
  <c r="AG982" i="93"/>
  <c r="AG983" i="93"/>
  <c r="AG984" i="93"/>
  <c r="AG985" i="93"/>
  <c r="AG986" i="93"/>
  <c r="AG987" i="93"/>
  <c r="AG988" i="93"/>
  <c r="AG989" i="93"/>
  <c r="AG990" i="93"/>
  <c r="AG991" i="93"/>
  <c r="AG992" i="93"/>
  <c r="AG993" i="93"/>
  <c r="AG994" i="93"/>
  <c r="AG995" i="93"/>
  <c r="AG996" i="93"/>
  <c r="AG997" i="93"/>
  <c r="AG998" i="93"/>
  <c r="AG999" i="93"/>
  <c r="AG1000" i="93"/>
  <c r="AG1001" i="93"/>
  <c r="AG4" i="93"/>
  <c r="AG5" i="93"/>
  <c r="AG6" i="93"/>
  <c r="AG7" i="93"/>
  <c r="AG8" i="93"/>
  <c r="AG9" i="93"/>
  <c r="AG10" i="93"/>
  <c r="AG11" i="93"/>
  <c r="AG12" i="93"/>
  <c r="AG2" i="93"/>
  <c r="AI4" i="93" s="1"/>
  <c r="AG3" i="93"/>
  <c r="O43" i="41" l="1"/>
  <c r="O44" i="41"/>
  <c r="O45" i="41"/>
  <c r="O46" i="41"/>
  <c r="O47" i="41"/>
  <c r="O48" i="41"/>
  <c r="O49" i="41"/>
  <c r="O50" i="41"/>
  <c r="O51" i="41"/>
  <c r="O52" i="41"/>
  <c r="O53" i="41"/>
  <c r="O54" i="41"/>
  <c r="O55" i="41"/>
  <c r="O56" i="41"/>
  <c r="O57" i="41"/>
  <c r="O58" i="41"/>
  <c r="O59" i="41"/>
  <c r="O60" i="41"/>
  <c r="O61" i="41"/>
  <c r="O62" i="41"/>
  <c r="O63" i="41"/>
  <c r="O64" i="41"/>
  <c r="O65" i="41"/>
  <c r="O66" i="41"/>
  <c r="O67" i="41"/>
  <c r="O68" i="41"/>
  <c r="O69" i="41"/>
  <c r="O70" i="41"/>
  <c r="O71" i="41"/>
  <c r="O72" i="41"/>
  <c r="O73" i="41"/>
  <c r="O74" i="41"/>
  <c r="O75" i="41"/>
  <c r="O76" i="41"/>
  <c r="O77" i="41"/>
  <c r="O78" i="41"/>
  <c r="O79" i="41"/>
  <c r="O80" i="41"/>
  <c r="O81" i="41"/>
  <c r="O82" i="41"/>
  <c r="O83" i="41"/>
  <c r="O84" i="41"/>
  <c r="O85" i="41"/>
  <c r="O86" i="41"/>
  <c r="O87" i="41"/>
  <c r="O88" i="41"/>
  <c r="O89" i="41"/>
  <c r="O90" i="41"/>
  <c r="O91" i="41"/>
  <c r="O92" i="41"/>
  <c r="O93" i="41"/>
  <c r="O94" i="41"/>
  <c r="O95" i="41"/>
  <c r="O96" i="41"/>
  <c r="O97" i="41"/>
  <c r="O98" i="41"/>
  <c r="O99" i="41"/>
  <c r="O100" i="41"/>
  <c r="O101" i="41"/>
  <c r="O102" i="41"/>
  <c r="O103" i="41"/>
  <c r="O104" i="41"/>
  <c r="O105" i="41"/>
  <c r="O106" i="41"/>
  <c r="O107" i="41"/>
  <c r="O108" i="41"/>
  <c r="O109" i="41"/>
  <c r="O110" i="41"/>
  <c r="O111" i="41"/>
  <c r="O112" i="41"/>
  <c r="O113" i="41"/>
  <c r="O114" i="41"/>
  <c r="O115" i="41"/>
  <c r="O116" i="41"/>
  <c r="O117" i="41"/>
  <c r="O118" i="41"/>
  <c r="O119" i="41"/>
  <c r="O120" i="41"/>
  <c r="O121" i="41"/>
  <c r="O122" i="41"/>
  <c r="O123" i="41"/>
  <c r="O124" i="41"/>
  <c r="O125" i="41"/>
  <c r="O126" i="41"/>
  <c r="O127" i="41"/>
  <c r="O128" i="41"/>
  <c r="O129" i="41"/>
  <c r="O130" i="41"/>
  <c r="O131" i="41"/>
  <c r="O132" i="41"/>
  <c r="O133" i="41"/>
  <c r="O134" i="41"/>
  <c r="O135" i="41"/>
  <c r="O136" i="41"/>
  <c r="O137" i="41"/>
  <c r="O138" i="41"/>
  <c r="O139" i="41"/>
  <c r="O140" i="41"/>
  <c r="O141" i="41"/>
  <c r="O142" i="41"/>
  <c r="E157" i="41"/>
  <c r="G157" i="41" s="1"/>
  <c r="F157" i="41"/>
  <c r="J157" i="41"/>
  <c r="K157" i="41"/>
  <c r="L157" i="41"/>
  <c r="E158" i="41"/>
  <c r="F158" i="41"/>
  <c r="G158" i="41"/>
  <c r="J158" i="41"/>
  <c r="L158" i="41" s="1"/>
  <c r="K158" i="41"/>
  <c r="E159" i="41"/>
  <c r="G159" i="41" s="1"/>
  <c r="F159" i="41"/>
  <c r="K159" i="41"/>
  <c r="E169" i="41"/>
  <c r="F169" i="41"/>
  <c r="G169" i="41" s="1"/>
  <c r="J169" i="41"/>
  <c r="L169" i="41" s="1"/>
  <c r="K169" i="41"/>
  <c r="E170" i="41"/>
  <c r="G170" i="41" s="1"/>
  <c r="F170" i="41"/>
  <c r="F171" i="41" s="1"/>
  <c r="J170" i="41"/>
  <c r="K170" i="41"/>
  <c r="K171" i="41" s="1"/>
  <c r="L170" i="41"/>
  <c r="J171" i="41"/>
  <c r="L171" i="41" s="1"/>
  <c r="E181" i="41"/>
  <c r="G181" i="41" s="1"/>
  <c r="F181" i="41"/>
  <c r="J181" i="41"/>
  <c r="K181" i="41"/>
  <c r="L181" i="41"/>
  <c r="E182" i="41"/>
  <c r="F182" i="41"/>
  <c r="G182" i="41"/>
  <c r="J182" i="41"/>
  <c r="L182" i="41" s="1"/>
  <c r="K182" i="41"/>
  <c r="E183" i="41"/>
  <c r="G183" i="41" s="1"/>
  <c r="F183" i="41"/>
  <c r="K183" i="41"/>
  <c r="E193" i="41"/>
  <c r="F193" i="41"/>
  <c r="G193" i="41"/>
  <c r="J193" i="41"/>
  <c r="L193" i="41" s="1"/>
  <c r="K193" i="41"/>
  <c r="E194" i="41"/>
  <c r="G194" i="41" s="1"/>
  <c r="F194" i="41"/>
  <c r="F195" i="41" s="1"/>
  <c r="J194" i="41"/>
  <c r="K194" i="41"/>
  <c r="K195" i="41" s="1"/>
  <c r="L194" i="41"/>
  <c r="J195" i="41"/>
  <c r="L195" i="41" s="1"/>
  <c r="E205" i="41"/>
  <c r="G205" i="41" s="1"/>
  <c r="F205" i="41"/>
  <c r="J205" i="41"/>
  <c r="K205" i="41"/>
  <c r="L205" i="41"/>
  <c r="E206" i="41"/>
  <c r="F206" i="41"/>
  <c r="G206" i="41"/>
  <c r="J206" i="41"/>
  <c r="L206" i="41" s="1"/>
  <c r="K206" i="41"/>
  <c r="E207" i="41"/>
  <c r="G207" i="41" s="1"/>
  <c r="F207" i="41"/>
  <c r="K207" i="41"/>
  <c r="E217" i="41"/>
  <c r="F217" i="41"/>
  <c r="G217" i="41"/>
  <c r="J217" i="41"/>
  <c r="L217" i="41" s="1"/>
  <c r="K217" i="41"/>
  <c r="E218" i="41"/>
  <c r="G218" i="41" s="1"/>
  <c r="F218" i="41"/>
  <c r="F219" i="41" s="1"/>
  <c r="J218" i="41"/>
  <c r="K218" i="41"/>
  <c r="K219" i="41" s="1"/>
  <c r="L218" i="41"/>
  <c r="J219" i="41"/>
  <c r="L219" i="41" s="1"/>
  <c r="E229" i="41"/>
  <c r="G229" i="41" s="1"/>
  <c r="F229" i="41"/>
  <c r="J229" i="41"/>
  <c r="K229" i="41"/>
  <c r="L229" i="41"/>
  <c r="E230" i="41"/>
  <c r="F230" i="41"/>
  <c r="G230" i="41"/>
  <c r="J230" i="41"/>
  <c r="L230" i="41" s="1"/>
  <c r="K230" i="41"/>
  <c r="E231" i="41"/>
  <c r="G231" i="41" s="1"/>
  <c r="F231" i="41"/>
  <c r="K231" i="41"/>
  <c r="E241" i="41"/>
  <c r="F241" i="41"/>
  <c r="G241" i="41"/>
  <c r="J241" i="41"/>
  <c r="L241" i="41" s="1"/>
  <c r="K241" i="41"/>
  <c r="E242" i="41"/>
  <c r="G242" i="41" s="1"/>
  <c r="F242" i="41"/>
  <c r="F243" i="41" s="1"/>
  <c r="G243" i="41" s="1"/>
  <c r="J242" i="41"/>
  <c r="K242" i="41"/>
  <c r="L242" i="41"/>
  <c r="E243" i="41"/>
  <c r="J243" i="41"/>
  <c r="L243" i="41" s="1"/>
  <c r="K243" i="41"/>
  <c r="E253" i="41"/>
  <c r="G253" i="41" s="1"/>
  <c r="F253" i="41"/>
  <c r="J253" i="41"/>
  <c r="K253" i="41"/>
  <c r="L253" i="41"/>
  <c r="E254" i="41"/>
  <c r="F254" i="41"/>
  <c r="G254" i="41"/>
  <c r="J254" i="41"/>
  <c r="L254" i="41" s="1"/>
  <c r="K254" i="41"/>
  <c r="E255" i="41"/>
  <c r="G255" i="41" s="1"/>
  <c r="F255" i="41"/>
  <c r="K255" i="41"/>
  <c r="E265" i="41"/>
  <c r="F265" i="41"/>
  <c r="G265" i="41"/>
  <c r="J265" i="41"/>
  <c r="L265" i="41" s="1"/>
  <c r="K265" i="41"/>
  <c r="E266" i="41"/>
  <c r="G266" i="41" s="1"/>
  <c r="F266" i="41"/>
  <c r="F267" i="41" s="1"/>
  <c r="J266" i="41"/>
  <c r="K266" i="41"/>
  <c r="K267" i="41" s="1"/>
  <c r="L266" i="41"/>
  <c r="J267" i="41"/>
  <c r="E277" i="41"/>
  <c r="G277" i="41" s="1"/>
  <c r="F277" i="41"/>
  <c r="J277" i="41"/>
  <c r="K277" i="41"/>
  <c r="L277" i="41"/>
  <c r="E278" i="41"/>
  <c r="F278" i="41"/>
  <c r="G278" i="41"/>
  <c r="J278" i="41"/>
  <c r="L278" i="41" s="1"/>
  <c r="K278" i="41"/>
  <c r="E279" i="41"/>
  <c r="G279" i="41" s="1"/>
  <c r="F279" i="41"/>
  <c r="K279" i="41"/>
  <c r="E289" i="41"/>
  <c r="F289" i="41"/>
  <c r="G289" i="41"/>
  <c r="J289" i="41"/>
  <c r="L289" i="41" s="1"/>
  <c r="K289" i="41"/>
  <c r="E290" i="41"/>
  <c r="G290" i="41" s="1"/>
  <c r="F290" i="41"/>
  <c r="F291" i="41" s="1"/>
  <c r="J290" i="41"/>
  <c r="K290" i="41"/>
  <c r="K291" i="41" s="1"/>
  <c r="L290" i="41"/>
  <c r="J291" i="41"/>
  <c r="E301" i="41"/>
  <c r="G301" i="41" s="1"/>
  <c r="F301" i="41"/>
  <c r="J301" i="41"/>
  <c r="K301" i="41"/>
  <c r="L301" i="41"/>
  <c r="E302" i="41"/>
  <c r="F302" i="41"/>
  <c r="G302" i="41"/>
  <c r="J302" i="41"/>
  <c r="L302" i="41" s="1"/>
  <c r="K302" i="41"/>
  <c r="E303" i="41"/>
  <c r="G303" i="41" s="1"/>
  <c r="F303" i="41"/>
  <c r="K303" i="41"/>
  <c r="E313" i="41"/>
  <c r="F313" i="41"/>
  <c r="G313" i="41"/>
  <c r="J313" i="41"/>
  <c r="L313" i="41" s="1"/>
  <c r="K313" i="41"/>
  <c r="E314" i="41"/>
  <c r="G314" i="41" s="1"/>
  <c r="F314" i="41"/>
  <c r="F315" i="41" s="1"/>
  <c r="J314" i="41"/>
  <c r="K314" i="41"/>
  <c r="K315" i="41" s="1"/>
  <c r="L314" i="41"/>
  <c r="J315" i="41"/>
  <c r="E325" i="41"/>
  <c r="G325" i="41" s="1"/>
  <c r="F325" i="41"/>
  <c r="J325" i="41"/>
  <c r="K325" i="41"/>
  <c r="L325" i="41"/>
  <c r="E326" i="41"/>
  <c r="F326" i="41"/>
  <c r="G326" i="41"/>
  <c r="J326" i="41"/>
  <c r="L326" i="41" s="1"/>
  <c r="K326" i="41"/>
  <c r="E327" i="41"/>
  <c r="G327" i="41" s="1"/>
  <c r="F327" i="41"/>
  <c r="K327" i="41"/>
  <c r="E337" i="41"/>
  <c r="F337" i="41"/>
  <c r="G337" i="41"/>
  <c r="J337" i="41"/>
  <c r="L337" i="41" s="1"/>
  <c r="K337" i="41"/>
  <c r="E338" i="41"/>
  <c r="G338" i="41" s="1"/>
  <c r="F338" i="41"/>
  <c r="F339" i="41" s="1"/>
  <c r="J338" i="41"/>
  <c r="K338" i="41"/>
  <c r="K339" i="41" s="1"/>
  <c r="L338" i="41"/>
  <c r="J339" i="41"/>
  <c r="E349" i="41"/>
  <c r="G349" i="41" s="1"/>
  <c r="F349" i="41"/>
  <c r="J349" i="41"/>
  <c r="K349" i="41"/>
  <c r="L349" i="41"/>
  <c r="E350" i="41"/>
  <c r="F350" i="41"/>
  <c r="G350" i="41"/>
  <c r="J350" i="41"/>
  <c r="L350" i="41" s="1"/>
  <c r="K350" i="41"/>
  <c r="E351" i="41"/>
  <c r="G351" i="41" s="1"/>
  <c r="F351" i="41"/>
  <c r="K351" i="41"/>
  <c r="E361" i="41"/>
  <c r="F361" i="41"/>
  <c r="G361" i="41"/>
  <c r="J361" i="41"/>
  <c r="L361" i="41" s="1"/>
  <c r="K361" i="41"/>
  <c r="E362" i="41"/>
  <c r="G362" i="41" s="1"/>
  <c r="F362" i="41"/>
  <c r="F363" i="41" s="1"/>
  <c r="J362" i="41"/>
  <c r="K362" i="41"/>
  <c r="K363" i="41" s="1"/>
  <c r="L362" i="41"/>
  <c r="J363" i="41"/>
  <c r="E373" i="41"/>
  <c r="G373" i="41" s="1"/>
  <c r="F373" i="41"/>
  <c r="J373" i="41"/>
  <c r="K373" i="41"/>
  <c r="L373" i="41"/>
  <c r="E374" i="41"/>
  <c r="F374" i="41"/>
  <c r="G374" i="41"/>
  <c r="J374" i="41"/>
  <c r="L374" i="41" s="1"/>
  <c r="K374" i="41"/>
  <c r="E375" i="41"/>
  <c r="G375" i="41" s="1"/>
  <c r="F375" i="41"/>
  <c r="K375" i="41"/>
  <c r="E385" i="41"/>
  <c r="F385" i="41"/>
  <c r="G385" i="41"/>
  <c r="J385" i="41"/>
  <c r="L385" i="41" s="1"/>
  <c r="K385" i="41"/>
  <c r="E386" i="41"/>
  <c r="G386" i="41" s="1"/>
  <c r="F386" i="41"/>
  <c r="F387" i="41" s="1"/>
  <c r="J386" i="41"/>
  <c r="K386" i="41"/>
  <c r="K387" i="41" s="1"/>
  <c r="L386" i="41"/>
  <c r="J387" i="41"/>
  <c r="E397" i="41"/>
  <c r="G397" i="41" s="1"/>
  <c r="F397" i="41"/>
  <c r="J397" i="41"/>
  <c r="K397" i="41"/>
  <c r="L397" i="41"/>
  <c r="E398" i="41"/>
  <c r="F398" i="41"/>
  <c r="G398" i="41"/>
  <c r="J398" i="41"/>
  <c r="L398" i="41" s="1"/>
  <c r="K398" i="41"/>
  <c r="E399" i="41"/>
  <c r="G399" i="41" s="1"/>
  <c r="F399" i="41"/>
  <c r="K399" i="41"/>
  <c r="E409" i="41"/>
  <c r="F409" i="41"/>
  <c r="G409" i="41"/>
  <c r="J409" i="41"/>
  <c r="L409" i="41" s="1"/>
  <c r="K409" i="41"/>
  <c r="E410" i="41"/>
  <c r="G410" i="41" s="1"/>
  <c r="F410" i="41"/>
  <c r="F411" i="41" s="1"/>
  <c r="J410" i="41"/>
  <c r="K410" i="41"/>
  <c r="K411" i="41" s="1"/>
  <c r="L410" i="41"/>
  <c r="J411" i="41"/>
  <c r="E421" i="41"/>
  <c r="G421" i="41" s="1"/>
  <c r="F421" i="41"/>
  <c r="J421" i="41"/>
  <c r="K421" i="41"/>
  <c r="L421" i="41"/>
  <c r="E422" i="41"/>
  <c r="F422" i="41"/>
  <c r="G422" i="41"/>
  <c r="J422" i="41"/>
  <c r="L422" i="41" s="1"/>
  <c r="K422" i="41"/>
  <c r="E423" i="41"/>
  <c r="G423" i="41" s="1"/>
  <c r="F423" i="41"/>
  <c r="K423" i="41"/>
  <c r="E433" i="41"/>
  <c r="F433" i="41"/>
  <c r="G433" i="41"/>
  <c r="J433" i="41"/>
  <c r="L433" i="41" s="1"/>
  <c r="K433" i="41"/>
  <c r="E434" i="41"/>
  <c r="G434" i="41" s="1"/>
  <c r="F434" i="41"/>
  <c r="F435" i="41" s="1"/>
  <c r="J434" i="41"/>
  <c r="K434" i="41"/>
  <c r="K435" i="41" s="1"/>
  <c r="L434" i="41"/>
  <c r="J435" i="41"/>
  <c r="E445" i="41"/>
  <c r="G445" i="41" s="1"/>
  <c r="F445" i="41"/>
  <c r="J445" i="41"/>
  <c r="K445" i="41"/>
  <c r="L445" i="41"/>
  <c r="E446" i="41"/>
  <c r="F446" i="41"/>
  <c r="G446" i="41"/>
  <c r="J446" i="41"/>
  <c r="L446" i="41" s="1"/>
  <c r="K446" i="41"/>
  <c r="E447" i="41"/>
  <c r="G447" i="41" s="1"/>
  <c r="F447" i="41"/>
  <c r="K447" i="41"/>
  <c r="E457" i="41"/>
  <c r="F457" i="41"/>
  <c r="G457" i="41"/>
  <c r="J457" i="41"/>
  <c r="L457" i="41" s="1"/>
  <c r="K457" i="41"/>
  <c r="E458" i="41"/>
  <c r="G458" i="41" s="1"/>
  <c r="F458" i="41"/>
  <c r="F459" i="41" s="1"/>
  <c r="J458" i="41"/>
  <c r="K458" i="41"/>
  <c r="K459" i="41" s="1"/>
  <c r="L458" i="41"/>
  <c r="J459" i="41"/>
  <c r="E469" i="41"/>
  <c r="G469" i="41" s="1"/>
  <c r="F469" i="41"/>
  <c r="J469" i="41"/>
  <c r="K469" i="41"/>
  <c r="L469" i="41"/>
  <c r="E470" i="41"/>
  <c r="F470" i="41"/>
  <c r="G470" i="41"/>
  <c r="J470" i="41"/>
  <c r="L470" i="41" s="1"/>
  <c r="K470" i="41"/>
  <c r="E471" i="41"/>
  <c r="G471" i="41" s="1"/>
  <c r="F471" i="41"/>
  <c r="K471" i="41"/>
  <c r="E481" i="41"/>
  <c r="F481" i="41"/>
  <c r="G481" i="41"/>
  <c r="J481" i="41"/>
  <c r="L481" i="41" s="1"/>
  <c r="K481" i="41"/>
  <c r="E482" i="41"/>
  <c r="G482" i="41" s="1"/>
  <c r="F482" i="41"/>
  <c r="F483" i="41" s="1"/>
  <c r="J482" i="41"/>
  <c r="K482" i="41"/>
  <c r="L482" i="41" s="1"/>
  <c r="J483" i="41"/>
  <c r="E493" i="41"/>
  <c r="G493" i="41" s="1"/>
  <c r="F493" i="41"/>
  <c r="J493" i="41"/>
  <c r="K493" i="41"/>
  <c r="L493" i="41"/>
  <c r="E494" i="41"/>
  <c r="F494" i="41"/>
  <c r="G494" i="41"/>
  <c r="J494" i="41"/>
  <c r="L494" i="41" s="1"/>
  <c r="K494" i="41"/>
  <c r="E495" i="41"/>
  <c r="G495" i="41" s="1"/>
  <c r="F495" i="41"/>
  <c r="K495" i="41"/>
  <c r="E505" i="41"/>
  <c r="F505" i="41"/>
  <c r="G505" i="41"/>
  <c r="J505" i="41"/>
  <c r="L505" i="41" s="1"/>
  <c r="K505" i="41"/>
  <c r="E506" i="41"/>
  <c r="G506" i="41" s="1"/>
  <c r="F506" i="41"/>
  <c r="F507" i="41" s="1"/>
  <c r="J506" i="41"/>
  <c r="K506" i="41"/>
  <c r="L506" i="41" s="1"/>
  <c r="J507" i="41"/>
  <c r="E517" i="41"/>
  <c r="G517" i="41" s="1"/>
  <c r="F517" i="41"/>
  <c r="J517" i="41"/>
  <c r="K517" i="41"/>
  <c r="L517" i="41"/>
  <c r="E518" i="41"/>
  <c r="F518" i="41"/>
  <c r="G518" i="41"/>
  <c r="J518" i="41"/>
  <c r="L518" i="41" s="1"/>
  <c r="K518" i="41"/>
  <c r="E519" i="41"/>
  <c r="G519" i="41" s="1"/>
  <c r="F519" i="41"/>
  <c r="K519" i="41"/>
  <c r="E529" i="41"/>
  <c r="F529" i="41"/>
  <c r="G529" i="41"/>
  <c r="J529" i="41"/>
  <c r="L529" i="41" s="1"/>
  <c r="K529" i="41"/>
  <c r="E530" i="41"/>
  <c r="G530" i="41" s="1"/>
  <c r="F530" i="41"/>
  <c r="F531" i="41" s="1"/>
  <c r="J530" i="41"/>
  <c r="K530" i="41"/>
  <c r="K531" i="41" s="1"/>
  <c r="L530" i="41"/>
  <c r="J531" i="41"/>
  <c r="L531" i="41" s="1"/>
  <c r="E541" i="41"/>
  <c r="F541" i="41"/>
  <c r="F543" i="41" s="1"/>
  <c r="J541" i="41"/>
  <c r="K541" i="41"/>
  <c r="L541" i="41" s="1"/>
  <c r="E542" i="41"/>
  <c r="F542" i="41"/>
  <c r="G542" i="41"/>
  <c r="J542" i="41"/>
  <c r="K542" i="41"/>
  <c r="E543" i="41"/>
  <c r="E553" i="41"/>
  <c r="F553" i="41"/>
  <c r="G553" i="41"/>
  <c r="J553" i="41"/>
  <c r="L553" i="41" s="1"/>
  <c r="K553" i="41"/>
  <c r="E554" i="41"/>
  <c r="F554" i="41"/>
  <c r="F555" i="41" s="1"/>
  <c r="J554" i="41"/>
  <c r="K554" i="41"/>
  <c r="K555" i="41" s="1"/>
  <c r="L554" i="41"/>
  <c r="J555" i="41"/>
  <c r="L555" i="41" s="1"/>
  <c r="E565" i="41"/>
  <c r="F565" i="41"/>
  <c r="F567" i="41" s="1"/>
  <c r="J565" i="41"/>
  <c r="K565" i="41"/>
  <c r="L565" i="41" s="1"/>
  <c r="E566" i="41"/>
  <c r="F566" i="41"/>
  <c r="G566" i="41"/>
  <c r="J566" i="41"/>
  <c r="L566" i="41" s="1"/>
  <c r="K566" i="41"/>
  <c r="E567" i="41"/>
  <c r="G567" i="41" s="1"/>
  <c r="J567" i="41"/>
  <c r="K567" i="41"/>
  <c r="L567" i="41" s="1"/>
  <c r="E577" i="41"/>
  <c r="F577" i="41"/>
  <c r="G577" i="41"/>
  <c r="J577" i="41"/>
  <c r="L577" i="41" s="1"/>
  <c r="K577" i="41"/>
  <c r="E578" i="41"/>
  <c r="G578" i="41" s="1"/>
  <c r="F578" i="41"/>
  <c r="F579" i="41" s="1"/>
  <c r="J578" i="41"/>
  <c r="K578" i="41"/>
  <c r="L578" i="41" s="1"/>
  <c r="J579" i="41"/>
  <c r="E589" i="41"/>
  <c r="G589" i="41" s="1"/>
  <c r="F589" i="41"/>
  <c r="J589" i="41"/>
  <c r="K589" i="41"/>
  <c r="L589" i="41" s="1"/>
  <c r="E590" i="41"/>
  <c r="F590" i="41"/>
  <c r="G590" i="41"/>
  <c r="J590" i="41"/>
  <c r="L590" i="41" s="1"/>
  <c r="K590" i="41"/>
  <c r="E591" i="41"/>
  <c r="G591" i="41" s="1"/>
  <c r="F591" i="41"/>
  <c r="K591" i="41"/>
  <c r="E601" i="41"/>
  <c r="F601" i="41"/>
  <c r="G601" i="41"/>
  <c r="J601" i="41"/>
  <c r="L601" i="41" s="1"/>
  <c r="K601" i="41"/>
  <c r="E602" i="41"/>
  <c r="G602" i="41" s="1"/>
  <c r="F602" i="41"/>
  <c r="F603" i="41" s="1"/>
  <c r="J602" i="41"/>
  <c r="K602" i="41"/>
  <c r="L602" i="41" s="1"/>
  <c r="J603" i="41"/>
  <c r="E613" i="41"/>
  <c r="G613" i="41" s="1"/>
  <c r="F613" i="41"/>
  <c r="J613" i="41"/>
  <c r="K613" i="41"/>
  <c r="L613" i="41" s="1"/>
  <c r="E614" i="41"/>
  <c r="F614" i="41"/>
  <c r="G614" i="41"/>
  <c r="J614" i="41"/>
  <c r="L614" i="41" s="1"/>
  <c r="K614" i="41"/>
  <c r="E615" i="41"/>
  <c r="G615" i="41" s="1"/>
  <c r="F615" i="41"/>
  <c r="K615" i="41"/>
  <c r="E625" i="41"/>
  <c r="F625" i="41"/>
  <c r="G625" i="41"/>
  <c r="J625" i="41"/>
  <c r="L625" i="41" s="1"/>
  <c r="K625" i="41"/>
  <c r="E626" i="41"/>
  <c r="G626" i="41" s="1"/>
  <c r="F626" i="41"/>
  <c r="F627" i="41" s="1"/>
  <c r="J626" i="41"/>
  <c r="K626" i="41"/>
  <c r="L626" i="41" s="1"/>
  <c r="J627" i="41"/>
  <c r="E637" i="41"/>
  <c r="G637" i="41" s="1"/>
  <c r="F637" i="41"/>
  <c r="J637" i="41"/>
  <c r="K637" i="41"/>
  <c r="L637" i="41" s="1"/>
  <c r="E638" i="41"/>
  <c r="F638" i="41"/>
  <c r="G638" i="41"/>
  <c r="J638" i="41"/>
  <c r="L638" i="41" s="1"/>
  <c r="K638" i="41"/>
  <c r="E639" i="41"/>
  <c r="G639" i="41" s="1"/>
  <c r="F639" i="41"/>
  <c r="K639" i="41"/>
  <c r="E649" i="41"/>
  <c r="F649" i="41"/>
  <c r="G649" i="41"/>
  <c r="J649" i="41"/>
  <c r="L649" i="41" s="1"/>
  <c r="K649" i="41"/>
  <c r="E650" i="41"/>
  <c r="G650" i="41" s="1"/>
  <c r="F650" i="41"/>
  <c r="F651" i="41" s="1"/>
  <c r="J650" i="41"/>
  <c r="K650" i="41"/>
  <c r="L650" i="41" s="1"/>
  <c r="J651" i="41"/>
  <c r="E661" i="41"/>
  <c r="G661" i="41" s="1"/>
  <c r="F661" i="41"/>
  <c r="J661" i="41"/>
  <c r="K661" i="41"/>
  <c r="L661" i="41" s="1"/>
  <c r="E662" i="41"/>
  <c r="F662" i="41"/>
  <c r="G662" i="41"/>
  <c r="J662" i="41"/>
  <c r="L662" i="41" s="1"/>
  <c r="K662" i="41"/>
  <c r="E663" i="41"/>
  <c r="G663" i="41" s="1"/>
  <c r="F663" i="41"/>
  <c r="K663" i="41"/>
  <c r="E673" i="41"/>
  <c r="F673" i="41"/>
  <c r="G673" i="41"/>
  <c r="J673" i="41"/>
  <c r="L673" i="41" s="1"/>
  <c r="K673" i="41"/>
  <c r="E674" i="41"/>
  <c r="G674" i="41" s="1"/>
  <c r="F674" i="41"/>
  <c r="F675" i="41" s="1"/>
  <c r="J674" i="41"/>
  <c r="K674" i="41"/>
  <c r="L674" i="41" s="1"/>
  <c r="J675" i="41"/>
  <c r="E685" i="41"/>
  <c r="G685" i="41" s="1"/>
  <c r="F685" i="41"/>
  <c r="J685" i="41"/>
  <c r="K685" i="41"/>
  <c r="L685" i="41" s="1"/>
  <c r="E686" i="41"/>
  <c r="F686" i="41"/>
  <c r="G686" i="41"/>
  <c r="J686" i="41"/>
  <c r="L686" i="41" s="1"/>
  <c r="K686" i="41"/>
  <c r="E687" i="41"/>
  <c r="G687" i="41" s="1"/>
  <c r="F687" i="41"/>
  <c r="K687" i="41"/>
  <c r="E697" i="41"/>
  <c r="F697" i="41"/>
  <c r="G697" i="41"/>
  <c r="J697" i="41"/>
  <c r="L697" i="41" s="1"/>
  <c r="K697" i="41"/>
  <c r="E698" i="41"/>
  <c r="G698" i="41" s="1"/>
  <c r="F698" i="41"/>
  <c r="F699" i="41" s="1"/>
  <c r="J698" i="41"/>
  <c r="K698" i="41"/>
  <c r="L698" i="41" s="1"/>
  <c r="J699" i="41"/>
  <c r="E709" i="41"/>
  <c r="G709" i="41" s="1"/>
  <c r="F709" i="41"/>
  <c r="J709" i="41"/>
  <c r="K709" i="41"/>
  <c r="L709" i="41" s="1"/>
  <c r="E710" i="41"/>
  <c r="F710" i="41"/>
  <c r="G710" i="41"/>
  <c r="J710" i="41"/>
  <c r="L710" i="41" s="1"/>
  <c r="K710" i="41"/>
  <c r="E711" i="41"/>
  <c r="G711" i="41" s="1"/>
  <c r="F711" i="41"/>
  <c r="K711" i="41"/>
  <c r="E721" i="41"/>
  <c r="F721" i="41"/>
  <c r="G721" i="41"/>
  <c r="J721" i="41"/>
  <c r="L721" i="41" s="1"/>
  <c r="K721" i="41"/>
  <c r="E722" i="41"/>
  <c r="G722" i="41" s="1"/>
  <c r="F722" i="41"/>
  <c r="F723" i="41" s="1"/>
  <c r="J722" i="41"/>
  <c r="K722" i="41"/>
  <c r="L722" i="41" s="1"/>
  <c r="J723" i="41"/>
  <c r="E733" i="41"/>
  <c r="G733" i="41" s="1"/>
  <c r="F733" i="41"/>
  <c r="J733" i="41"/>
  <c r="K733" i="41"/>
  <c r="L733" i="41" s="1"/>
  <c r="E734" i="41"/>
  <c r="F734" i="41"/>
  <c r="G734" i="41"/>
  <c r="J734" i="41"/>
  <c r="L734" i="41" s="1"/>
  <c r="K734" i="41"/>
  <c r="E735" i="41"/>
  <c r="G735" i="41" s="1"/>
  <c r="F735" i="41"/>
  <c r="K735" i="41"/>
  <c r="E745" i="41"/>
  <c r="F745" i="41"/>
  <c r="G745" i="41"/>
  <c r="J745" i="41"/>
  <c r="L745" i="41" s="1"/>
  <c r="K745" i="41"/>
  <c r="E746" i="41"/>
  <c r="G746" i="41" s="1"/>
  <c r="F746" i="41"/>
  <c r="F747" i="41" s="1"/>
  <c r="J746" i="41"/>
  <c r="K746" i="41"/>
  <c r="L746" i="41" s="1"/>
  <c r="J747" i="41"/>
  <c r="E757" i="41"/>
  <c r="G757" i="41" s="1"/>
  <c r="F757" i="41"/>
  <c r="J757" i="41"/>
  <c r="K757" i="41"/>
  <c r="L757" i="41" s="1"/>
  <c r="E758" i="41"/>
  <c r="F758" i="41"/>
  <c r="G758" i="41"/>
  <c r="J758" i="41"/>
  <c r="L758" i="41" s="1"/>
  <c r="K758" i="41"/>
  <c r="E759" i="41"/>
  <c r="G759" i="41" s="1"/>
  <c r="F759" i="41"/>
  <c r="K759" i="41"/>
  <c r="E769" i="41"/>
  <c r="F769" i="41"/>
  <c r="G769" i="41"/>
  <c r="J769" i="41"/>
  <c r="L769" i="41" s="1"/>
  <c r="K769" i="41"/>
  <c r="E770" i="41"/>
  <c r="G770" i="41" s="1"/>
  <c r="F770" i="41"/>
  <c r="F771" i="41" s="1"/>
  <c r="J770" i="41"/>
  <c r="K770" i="41"/>
  <c r="L770" i="41" s="1"/>
  <c r="J771" i="41"/>
  <c r="E781" i="41"/>
  <c r="G781" i="41" s="1"/>
  <c r="F781" i="41"/>
  <c r="J781" i="41"/>
  <c r="K781" i="41"/>
  <c r="L781" i="41" s="1"/>
  <c r="E782" i="41"/>
  <c r="F782" i="41"/>
  <c r="G782" i="41"/>
  <c r="J782" i="41"/>
  <c r="L782" i="41" s="1"/>
  <c r="K782" i="41"/>
  <c r="E783" i="41"/>
  <c r="G783" i="41" s="1"/>
  <c r="F783" i="41"/>
  <c r="K783" i="41"/>
  <c r="E793" i="41"/>
  <c r="F793" i="41"/>
  <c r="G793" i="41"/>
  <c r="J793" i="41"/>
  <c r="L793" i="41" s="1"/>
  <c r="K793" i="41"/>
  <c r="E794" i="41"/>
  <c r="G794" i="41" s="1"/>
  <c r="F794" i="41"/>
  <c r="F795" i="41" s="1"/>
  <c r="J794" i="41"/>
  <c r="K794" i="41"/>
  <c r="L794" i="41" s="1"/>
  <c r="J795" i="41"/>
  <c r="E805" i="41"/>
  <c r="G805" i="41" s="1"/>
  <c r="F805" i="41"/>
  <c r="J805" i="41"/>
  <c r="K805" i="41"/>
  <c r="L805" i="41" s="1"/>
  <c r="E806" i="41"/>
  <c r="F806" i="41"/>
  <c r="G806" i="41"/>
  <c r="J806" i="41"/>
  <c r="L806" i="41" s="1"/>
  <c r="K806" i="41"/>
  <c r="E807" i="41"/>
  <c r="G807" i="41" s="1"/>
  <c r="F807" i="41"/>
  <c r="K807" i="41"/>
  <c r="E817" i="41"/>
  <c r="F817" i="41"/>
  <c r="G817" i="41"/>
  <c r="J817" i="41"/>
  <c r="L817" i="41" s="1"/>
  <c r="K817" i="41"/>
  <c r="E818" i="41"/>
  <c r="G818" i="41" s="1"/>
  <c r="F818" i="41"/>
  <c r="F819" i="41" s="1"/>
  <c r="J818" i="41"/>
  <c r="K818" i="41"/>
  <c r="L818" i="41" s="1"/>
  <c r="J819" i="41"/>
  <c r="E829" i="41"/>
  <c r="G829" i="41" s="1"/>
  <c r="F829" i="41"/>
  <c r="J829" i="41"/>
  <c r="K829" i="41"/>
  <c r="L829" i="41" s="1"/>
  <c r="E830" i="41"/>
  <c r="F830" i="41"/>
  <c r="G830" i="41"/>
  <c r="J830" i="41"/>
  <c r="L830" i="41" s="1"/>
  <c r="K830" i="41"/>
  <c r="E831" i="41"/>
  <c r="G831" i="41" s="1"/>
  <c r="F831" i="41"/>
  <c r="K831" i="41"/>
  <c r="E841" i="41"/>
  <c r="F841" i="41"/>
  <c r="G841" i="41"/>
  <c r="J841" i="41"/>
  <c r="L841" i="41" s="1"/>
  <c r="K841" i="41"/>
  <c r="E842" i="41"/>
  <c r="G842" i="41" s="1"/>
  <c r="F842" i="41"/>
  <c r="F843" i="41" s="1"/>
  <c r="J842" i="41"/>
  <c r="K842" i="41"/>
  <c r="L842" i="41" s="1"/>
  <c r="J843" i="41"/>
  <c r="E853" i="41"/>
  <c r="G853" i="41" s="1"/>
  <c r="F853" i="41"/>
  <c r="J853" i="41"/>
  <c r="K853" i="41"/>
  <c r="L853" i="41" s="1"/>
  <c r="E854" i="41"/>
  <c r="F854" i="41"/>
  <c r="G854" i="41"/>
  <c r="J854" i="41"/>
  <c r="L854" i="41" s="1"/>
  <c r="K854" i="41"/>
  <c r="E855" i="41"/>
  <c r="G855" i="41" s="1"/>
  <c r="F855" i="41"/>
  <c r="K855" i="41"/>
  <c r="E865" i="41"/>
  <c r="F865" i="41"/>
  <c r="G865" i="41"/>
  <c r="J865" i="41"/>
  <c r="L865" i="41" s="1"/>
  <c r="K865" i="41"/>
  <c r="E866" i="41"/>
  <c r="F866" i="41"/>
  <c r="F867" i="41" s="1"/>
  <c r="J866" i="41"/>
  <c r="K866" i="41"/>
  <c r="J867" i="41"/>
  <c r="E877" i="41"/>
  <c r="G877" i="41" s="1"/>
  <c r="F877" i="41"/>
  <c r="J877" i="41"/>
  <c r="K877" i="41"/>
  <c r="L877" i="41"/>
  <c r="E878" i="41"/>
  <c r="F878" i="41"/>
  <c r="G878" i="41"/>
  <c r="J878" i="41"/>
  <c r="K878" i="41"/>
  <c r="F879" i="41"/>
  <c r="K879" i="41"/>
  <c r="E889" i="41"/>
  <c r="F889" i="41"/>
  <c r="G889" i="41"/>
  <c r="J889" i="41"/>
  <c r="L889" i="41" s="1"/>
  <c r="K889" i="41"/>
  <c r="E890" i="41"/>
  <c r="F890" i="41"/>
  <c r="F891" i="41" s="1"/>
  <c r="J890" i="41"/>
  <c r="K890" i="41"/>
  <c r="K891" i="41" s="1"/>
  <c r="J891" i="41"/>
  <c r="E901" i="41"/>
  <c r="G901" i="41" s="1"/>
  <c r="F901" i="41"/>
  <c r="F903" i="41" s="1"/>
  <c r="J901" i="41"/>
  <c r="K901" i="41"/>
  <c r="L901" i="41"/>
  <c r="E902" i="41"/>
  <c r="F902" i="41"/>
  <c r="G902" i="41"/>
  <c r="J902" i="41"/>
  <c r="K902" i="41"/>
  <c r="E903" i="41"/>
  <c r="G903" i="41" s="1"/>
  <c r="K903" i="41"/>
  <c r="E913" i="41"/>
  <c r="F913" i="41"/>
  <c r="G913" i="41"/>
  <c r="J913" i="41"/>
  <c r="L913" i="41" s="1"/>
  <c r="K913" i="41"/>
  <c r="E914" i="41"/>
  <c r="F914" i="41"/>
  <c r="F915" i="41" s="1"/>
  <c r="G914" i="41"/>
  <c r="J914" i="41"/>
  <c r="K914" i="41"/>
  <c r="L914" i="41" s="1"/>
  <c r="E915" i="41"/>
  <c r="G915" i="41" s="1"/>
  <c r="K915" i="41"/>
  <c r="E925" i="41"/>
  <c r="F925" i="41"/>
  <c r="G925" i="41"/>
  <c r="J925" i="41"/>
  <c r="K925" i="41"/>
  <c r="L925" i="41" s="1"/>
  <c r="E926" i="41"/>
  <c r="G926" i="41" s="1"/>
  <c r="F926" i="41"/>
  <c r="J926" i="41"/>
  <c r="L926" i="41" s="1"/>
  <c r="K926" i="41"/>
  <c r="K927" i="41" s="1"/>
  <c r="F927" i="41"/>
  <c r="E937" i="41"/>
  <c r="G937" i="41" s="1"/>
  <c r="F937" i="41"/>
  <c r="J937" i="41"/>
  <c r="L937" i="41" s="1"/>
  <c r="K937" i="41"/>
  <c r="E938" i="41"/>
  <c r="F938" i="41"/>
  <c r="F939" i="41" s="1"/>
  <c r="G938" i="41"/>
  <c r="J938" i="41"/>
  <c r="K938" i="41"/>
  <c r="L938" i="41" s="1"/>
  <c r="E939" i="41"/>
  <c r="G939" i="41" s="1"/>
  <c r="J939" i="41"/>
  <c r="L939" i="41" s="1"/>
  <c r="K939" i="41"/>
  <c r="E949" i="41"/>
  <c r="F949" i="41"/>
  <c r="G949" i="41"/>
  <c r="J949" i="41"/>
  <c r="K949" i="41"/>
  <c r="L949" i="41" s="1"/>
  <c r="E950" i="41"/>
  <c r="G950" i="41" s="1"/>
  <c r="F950" i="41"/>
  <c r="J950" i="41"/>
  <c r="L950" i="41" s="1"/>
  <c r="K950" i="41"/>
  <c r="K951" i="41" s="1"/>
  <c r="F951" i="41"/>
  <c r="E961" i="41"/>
  <c r="G961" i="41" s="1"/>
  <c r="F961" i="41"/>
  <c r="J961" i="41"/>
  <c r="L961" i="41" s="1"/>
  <c r="K961" i="41"/>
  <c r="E962" i="41"/>
  <c r="F962" i="41"/>
  <c r="F963" i="41" s="1"/>
  <c r="G962" i="41"/>
  <c r="J962" i="41"/>
  <c r="K962" i="41"/>
  <c r="L962" i="41" s="1"/>
  <c r="E963" i="41"/>
  <c r="G963" i="41" s="1"/>
  <c r="J963" i="41"/>
  <c r="L963" i="41" s="1"/>
  <c r="K963" i="41"/>
  <c r="E973" i="41"/>
  <c r="F973" i="41"/>
  <c r="G973" i="41"/>
  <c r="J973" i="41"/>
  <c r="K973" i="41"/>
  <c r="L973" i="41" s="1"/>
  <c r="E974" i="41"/>
  <c r="G974" i="41" s="1"/>
  <c r="F974" i="41"/>
  <c r="J974" i="41"/>
  <c r="L974" i="41" s="1"/>
  <c r="K974" i="41"/>
  <c r="K975" i="41" s="1"/>
  <c r="F975" i="41"/>
  <c r="E985" i="41"/>
  <c r="G985" i="41" s="1"/>
  <c r="F985" i="41"/>
  <c r="J985" i="41"/>
  <c r="L985" i="41" s="1"/>
  <c r="K985" i="41"/>
  <c r="E986" i="41"/>
  <c r="F986" i="41"/>
  <c r="F987" i="41" s="1"/>
  <c r="G986" i="41"/>
  <c r="J986" i="41"/>
  <c r="K986" i="41"/>
  <c r="L986" i="41" s="1"/>
  <c r="E987" i="41"/>
  <c r="G987" i="41" s="1"/>
  <c r="J987" i="41"/>
  <c r="L987" i="41" s="1"/>
  <c r="K987" i="41"/>
  <c r="E997" i="41"/>
  <c r="F997" i="41"/>
  <c r="G997" i="41"/>
  <c r="J997" i="41"/>
  <c r="K997" i="41"/>
  <c r="L997" i="41" s="1"/>
  <c r="E998" i="41"/>
  <c r="G998" i="41" s="1"/>
  <c r="F998" i="41"/>
  <c r="J998" i="41"/>
  <c r="L998" i="41" s="1"/>
  <c r="K998" i="41"/>
  <c r="K999" i="41" s="1"/>
  <c r="F999" i="41"/>
  <c r="E1009" i="41"/>
  <c r="G1009" i="41" s="1"/>
  <c r="F1009" i="41"/>
  <c r="J1009" i="41"/>
  <c r="L1009" i="41" s="1"/>
  <c r="K1009" i="41"/>
  <c r="E1010" i="41"/>
  <c r="F1010" i="41"/>
  <c r="F1011" i="41" s="1"/>
  <c r="G1010" i="41"/>
  <c r="J1010" i="41"/>
  <c r="K1010" i="41"/>
  <c r="L1010" i="41" s="1"/>
  <c r="E1011" i="41"/>
  <c r="G1011" i="41" s="1"/>
  <c r="J1011" i="41"/>
  <c r="L1011" i="41" s="1"/>
  <c r="K1011" i="41"/>
  <c r="E1021" i="41"/>
  <c r="F1021" i="41"/>
  <c r="G1021" i="41"/>
  <c r="J1021" i="41"/>
  <c r="K1021" i="41"/>
  <c r="L1021" i="41" s="1"/>
  <c r="E1022" i="41"/>
  <c r="G1022" i="41" s="1"/>
  <c r="F1022" i="41"/>
  <c r="J1022" i="41"/>
  <c r="L1022" i="41" s="1"/>
  <c r="K1022" i="41"/>
  <c r="K1023" i="41" s="1"/>
  <c r="F1023" i="41"/>
  <c r="E1033" i="41"/>
  <c r="G1033" i="41" s="1"/>
  <c r="F1033" i="41"/>
  <c r="J1033" i="41"/>
  <c r="L1033" i="41" s="1"/>
  <c r="K1033" i="41"/>
  <c r="E1034" i="41"/>
  <c r="F1034" i="41"/>
  <c r="F1035" i="41" s="1"/>
  <c r="G1034" i="41"/>
  <c r="J1034" i="41"/>
  <c r="K1034" i="41"/>
  <c r="L1034" i="41" s="1"/>
  <c r="E1035" i="41"/>
  <c r="G1035" i="41" s="1"/>
  <c r="J1035" i="41"/>
  <c r="L1035" i="41" s="1"/>
  <c r="K1035" i="41"/>
  <c r="E1045" i="41"/>
  <c r="F1045" i="41"/>
  <c r="G1045" i="41"/>
  <c r="J1045" i="41"/>
  <c r="K1045" i="41"/>
  <c r="L1045" i="41" s="1"/>
  <c r="E1046" i="41"/>
  <c r="G1046" i="41" s="1"/>
  <c r="F1046" i="41"/>
  <c r="J1046" i="41"/>
  <c r="L1046" i="41" s="1"/>
  <c r="K1046" i="41"/>
  <c r="K1047" i="41" s="1"/>
  <c r="F1047" i="41"/>
  <c r="E1057" i="41"/>
  <c r="G1057" i="41" s="1"/>
  <c r="F1057" i="41"/>
  <c r="J1057" i="41"/>
  <c r="L1057" i="41" s="1"/>
  <c r="K1057" i="41"/>
  <c r="E1058" i="41"/>
  <c r="F1058" i="41"/>
  <c r="F1059" i="41" s="1"/>
  <c r="G1058" i="41"/>
  <c r="J1058" i="41"/>
  <c r="K1058" i="41"/>
  <c r="L1058" i="41" s="1"/>
  <c r="E1059" i="41"/>
  <c r="G1059" i="41" s="1"/>
  <c r="J1059" i="41"/>
  <c r="L1059" i="41" s="1"/>
  <c r="K1059" i="41"/>
  <c r="E1069" i="41"/>
  <c r="F1069" i="41"/>
  <c r="G1069" i="41"/>
  <c r="J1069" i="41"/>
  <c r="K1069" i="41"/>
  <c r="L1069" i="41" s="1"/>
  <c r="E1070" i="41"/>
  <c r="G1070" i="41" s="1"/>
  <c r="F1070" i="41"/>
  <c r="J1070" i="41"/>
  <c r="L1070" i="41" s="1"/>
  <c r="K1070" i="41"/>
  <c r="K1071" i="41" s="1"/>
  <c r="F1071" i="41"/>
  <c r="E1081" i="41"/>
  <c r="G1081" i="41" s="1"/>
  <c r="F1081" i="41"/>
  <c r="J1081" i="41"/>
  <c r="L1081" i="41" s="1"/>
  <c r="K1081" i="41"/>
  <c r="E1082" i="41"/>
  <c r="F1082" i="41"/>
  <c r="F1083" i="41" s="1"/>
  <c r="G1082" i="41"/>
  <c r="J1082" i="41"/>
  <c r="K1082" i="41"/>
  <c r="L1082" i="41"/>
  <c r="E1083" i="41"/>
  <c r="G1083" i="41" s="1"/>
  <c r="J1083" i="41"/>
  <c r="L1083" i="41" s="1"/>
  <c r="K1083" i="41"/>
  <c r="E1093" i="41"/>
  <c r="F1093" i="41"/>
  <c r="G1093" i="41"/>
  <c r="J1093" i="41"/>
  <c r="K1093" i="41"/>
  <c r="L1093" i="41"/>
  <c r="E1094" i="41"/>
  <c r="G1094" i="41" s="1"/>
  <c r="F1094" i="41"/>
  <c r="J1094" i="41"/>
  <c r="L1094" i="41" s="1"/>
  <c r="K1094" i="41"/>
  <c r="K1095" i="41" s="1"/>
  <c r="F1095" i="41"/>
  <c r="E1105" i="41"/>
  <c r="G1105" i="41" s="1"/>
  <c r="F1105" i="41"/>
  <c r="J1105" i="41"/>
  <c r="L1105" i="41" s="1"/>
  <c r="K1105" i="41"/>
  <c r="E1106" i="41"/>
  <c r="F1106" i="41"/>
  <c r="F1107" i="41" s="1"/>
  <c r="G1106" i="41"/>
  <c r="J1106" i="41"/>
  <c r="K1106" i="41"/>
  <c r="L1106" i="41"/>
  <c r="E1107" i="41"/>
  <c r="G1107" i="41" s="1"/>
  <c r="J1107" i="41"/>
  <c r="L1107" i="41" s="1"/>
  <c r="K1107" i="41"/>
  <c r="E1117" i="41"/>
  <c r="F1117" i="41"/>
  <c r="G1117" i="41"/>
  <c r="J1117" i="41"/>
  <c r="K1117" i="41"/>
  <c r="L1117" i="41"/>
  <c r="E1118" i="41"/>
  <c r="G1118" i="41" s="1"/>
  <c r="F1118" i="41"/>
  <c r="J1118" i="41"/>
  <c r="L1118" i="41" s="1"/>
  <c r="K1118" i="41"/>
  <c r="K1119" i="41" s="1"/>
  <c r="F1119" i="41"/>
  <c r="E1129" i="41"/>
  <c r="G1129" i="41" s="1"/>
  <c r="F1129" i="41"/>
  <c r="J1129" i="41"/>
  <c r="L1129" i="41" s="1"/>
  <c r="K1129" i="41"/>
  <c r="E1130" i="41"/>
  <c r="F1130" i="41"/>
  <c r="F1131" i="41" s="1"/>
  <c r="G1130" i="41"/>
  <c r="J1130" i="41"/>
  <c r="K1130" i="41"/>
  <c r="L1130" i="41"/>
  <c r="E1131" i="41"/>
  <c r="G1131" i="41" s="1"/>
  <c r="J1131" i="41"/>
  <c r="L1131" i="41" s="1"/>
  <c r="K1131" i="41"/>
  <c r="E1141" i="41"/>
  <c r="F1141" i="41"/>
  <c r="G1141" i="41"/>
  <c r="J1141" i="41"/>
  <c r="K1141" i="41"/>
  <c r="L1141" i="41"/>
  <c r="E1142" i="41"/>
  <c r="G1142" i="41" s="1"/>
  <c r="F1142" i="41"/>
  <c r="J1142" i="41"/>
  <c r="L1142" i="41" s="1"/>
  <c r="K1142" i="41"/>
  <c r="K1143" i="41" s="1"/>
  <c r="F1143" i="41"/>
  <c r="E1153" i="41"/>
  <c r="G1153" i="41" s="1"/>
  <c r="F1153" i="41"/>
  <c r="J1153" i="41"/>
  <c r="L1153" i="41" s="1"/>
  <c r="K1153" i="41"/>
  <c r="E1154" i="41"/>
  <c r="F1154" i="41"/>
  <c r="F1155" i="41" s="1"/>
  <c r="G1154" i="41"/>
  <c r="J1154" i="41"/>
  <c r="K1154" i="41"/>
  <c r="L1154" i="41"/>
  <c r="E1155" i="41"/>
  <c r="G1155" i="41" s="1"/>
  <c r="J1155" i="41"/>
  <c r="L1155" i="41" s="1"/>
  <c r="K1155" i="41"/>
  <c r="E1165" i="41"/>
  <c r="F1165" i="41"/>
  <c r="G1165" i="41"/>
  <c r="J1165" i="41"/>
  <c r="K1165" i="41"/>
  <c r="L1165" i="41"/>
  <c r="E1166" i="41"/>
  <c r="G1166" i="41" s="1"/>
  <c r="F1166" i="41"/>
  <c r="J1166" i="41"/>
  <c r="L1166" i="41" s="1"/>
  <c r="K1166" i="41"/>
  <c r="K1167" i="41" s="1"/>
  <c r="F1167" i="41"/>
  <c r="E1177" i="41"/>
  <c r="G1177" i="41" s="1"/>
  <c r="F1177" i="41"/>
  <c r="J1177" i="41"/>
  <c r="L1177" i="41" s="1"/>
  <c r="K1177" i="41"/>
  <c r="E1178" i="41"/>
  <c r="F1178" i="41"/>
  <c r="F1179" i="41" s="1"/>
  <c r="G1178" i="41"/>
  <c r="J1178" i="41"/>
  <c r="K1178" i="41"/>
  <c r="L1178" i="41"/>
  <c r="E1179" i="41"/>
  <c r="G1179" i="41" s="1"/>
  <c r="J1179" i="41"/>
  <c r="L1179" i="41" s="1"/>
  <c r="K1179" i="41"/>
  <c r="E1189" i="41"/>
  <c r="F1189" i="41"/>
  <c r="G1189" i="41"/>
  <c r="J1189" i="41"/>
  <c r="K1189" i="41"/>
  <c r="L1189" i="41"/>
  <c r="E1190" i="41"/>
  <c r="G1190" i="41" s="1"/>
  <c r="F1190" i="41"/>
  <c r="J1190" i="41"/>
  <c r="L1190" i="41" s="1"/>
  <c r="K1190" i="41"/>
  <c r="K1191" i="41" s="1"/>
  <c r="F1191" i="41"/>
  <c r="E1201" i="41"/>
  <c r="G1201" i="41" s="1"/>
  <c r="F1201" i="41"/>
  <c r="J1201" i="41"/>
  <c r="L1201" i="41" s="1"/>
  <c r="K1201" i="41"/>
  <c r="E1202" i="41"/>
  <c r="F1202" i="41"/>
  <c r="F1203" i="41" s="1"/>
  <c r="G1202" i="41"/>
  <c r="J1202" i="41"/>
  <c r="K1202" i="41"/>
  <c r="L1202" i="41"/>
  <c r="E1203" i="41"/>
  <c r="G1203" i="41" s="1"/>
  <c r="J1203" i="41"/>
  <c r="L1203" i="41" s="1"/>
  <c r="K1203" i="41"/>
  <c r="E1213" i="41"/>
  <c r="F1213" i="41"/>
  <c r="G1213" i="41"/>
  <c r="J1213" i="41"/>
  <c r="K1213" i="41"/>
  <c r="L1213" i="41"/>
  <c r="E1214" i="41"/>
  <c r="G1214" i="41" s="1"/>
  <c r="F1214" i="41"/>
  <c r="J1214" i="41"/>
  <c r="L1214" i="41" s="1"/>
  <c r="K1214" i="41"/>
  <c r="K1215" i="41" s="1"/>
  <c r="F1215" i="41"/>
  <c r="E1225" i="41"/>
  <c r="G1225" i="41" s="1"/>
  <c r="F1225" i="41"/>
  <c r="J1225" i="41"/>
  <c r="L1225" i="41" s="1"/>
  <c r="K1225" i="41"/>
  <c r="E1226" i="41"/>
  <c r="F1226" i="41"/>
  <c r="F1227" i="41" s="1"/>
  <c r="G1226" i="41"/>
  <c r="J1226" i="41"/>
  <c r="K1226" i="41"/>
  <c r="L1226" i="41"/>
  <c r="E1227" i="41"/>
  <c r="G1227" i="41" s="1"/>
  <c r="J1227" i="41"/>
  <c r="L1227" i="41" s="1"/>
  <c r="K1227" i="41"/>
  <c r="E1237" i="41"/>
  <c r="F1237" i="41"/>
  <c r="G1237" i="41"/>
  <c r="J1237" i="41"/>
  <c r="K1237" i="41"/>
  <c r="L1237" i="41"/>
  <c r="E1238" i="41"/>
  <c r="F1238" i="41"/>
  <c r="J1238" i="41"/>
  <c r="K1238" i="41"/>
  <c r="K1239" i="41" s="1"/>
  <c r="F1239" i="41"/>
  <c r="E1249" i="41"/>
  <c r="G1249" i="41" s="1"/>
  <c r="F1249" i="41"/>
  <c r="J1249" i="41"/>
  <c r="L1249" i="41" s="1"/>
  <c r="K1249" i="41"/>
  <c r="K1251" i="41" s="1"/>
  <c r="E1250" i="41"/>
  <c r="F1250" i="41"/>
  <c r="F1251" i="41" s="1"/>
  <c r="G1250" i="41"/>
  <c r="J1250" i="41"/>
  <c r="K1250" i="41"/>
  <c r="L1250" i="41"/>
  <c r="E1251" i="41"/>
  <c r="J1251" i="41"/>
  <c r="E1261" i="41"/>
  <c r="F1261" i="41"/>
  <c r="G1261" i="41"/>
  <c r="J1261" i="41"/>
  <c r="K1261" i="41"/>
  <c r="L1261" i="41"/>
  <c r="E1262" i="41"/>
  <c r="F1262" i="41"/>
  <c r="J1262" i="41"/>
  <c r="K1262" i="41"/>
  <c r="K1263" i="41" s="1"/>
  <c r="F1263" i="41"/>
  <c r="E1273" i="41"/>
  <c r="G1273" i="41" s="1"/>
  <c r="F1273" i="41"/>
  <c r="J1273" i="41"/>
  <c r="K1273" i="41"/>
  <c r="K1275" i="41" s="1"/>
  <c r="E1274" i="41"/>
  <c r="G1274" i="41" s="1"/>
  <c r="F1274" i="41"/>
  <c r="F1275" i="41" s="1"/>
  <c r="J1274" i="41"/>
  <c r="K1274" i="41"/>
  <c r="L1274" i="41" s="1"/>
  <c r="J1275" i="41"/>
  <c r="E1285" i="41"/>
  <c r="F1285" i="41"/>
  <c r="F1287" i="41" s="1"/>
  <c r="G1285" i="41"/>
  <c r="J1285" i="41"/>
  <c r="K1285" i="41"/>
  <c r="L1285" i="41"/>
  <c r="E1286" i="41"/>
  <c r="E1287" i="41" s="1"/>
  <c r="G1287" i="41" s="1"/>
  <c r="F1286" i="41"/>
  <c r="J1286" i="41"/>
  <c r="K1286" i="41"/>
  <c r="K1287" i="41"/>
  <c r="E1297" i="41"/>
  <c r="F1297" i="41"/>
  <c r="G1297" i="41"/>
  <c r="J1297" i="41"/>
  <c r="L1297" i="41" s="1"/>
  <c r="K1297" i="41"/>
  <c r="E1298" i="41"/>
  <c r="G1298" i="41" s="1"/>
  <c r="F1298" i="41"/>
  <c r="F1299" i="41" s="1"/>
  <c r="J1298" i="41"/>
  <c r="K1298" i="41"/>
  <c r="L1298" i="41"/>
  <c r="J1299" i="41"/>
  <c r="L1299" i="41" s="1"/>
  <c r="K1299" i="41"/>
  <c r="E1309" i="41"/>
  <c r="F1309" i="41"/>
  <c r="G1309" i="41"/>
  <c r="J1309" i="41"/>
  <c r="K1309" i="41"/>
  <c r="L1309" i="41"/>
  <c r="E1310" i="41"/>
  <c r="G1310" i="41" s="1"/>
  <c r="F1310" i="41"/>
  <c r="J1310" i="41"/>
  <c r="L1310" i="41" s="1"/>
  <c r="K1310" i="41"/>
  <c r="K1311" i="41" s="1"/>
  <c r="F1311" i="41"/>
  <c r="E1321" i="41"/>
  <c r="G1321" i="41" s="1"/>
  <c r="F1321" i="41"/>
  <c r="J1321" i="41"/>
  <c r="L1321" i="41" s="1"/>
  <c r="K1321" i="41"/>
  <c r="E1322" i="41"/>
  <c r="F1322" i="41"/>
  <c r="F1323" i="41" s="1"/>
  <c r="G1322" i="41"/>
  <c r="J1322" i="41"/>
  <c r="K1322" i="41"/>
  <c r="L1322" i="41"/>
  <c r="E1323" i="41"/>
  <c r="G1323" i="41" s="1"/>
  <c r="J1323" i="41"/>
  <c r="L1323" i="41" s="1"/>
  <c r="K1323" i="41"/>
  <c r="E1333" i="41"/>
  <c r="F1333" i="41"/>
  <c r="G1333" i="41"/>
  <c r="J1333" i="41"/>
  <c r="K1333" i="41"/>
  <c r="L1333" i="41"/>
  <c r="E1334" i="41"/>
  <c r="G1334" i="41" s="1"/>
  <c r="F1334" i="41"/>
  <c r="J1334" i="41"/>
  <c r="L1334" i="41" s="1"/>
  <c r="K1334" i="41"/>
  <c r="K1335" i="41" s="1"/>
  <c r="F1335" i="41"/>
  <c r="E1345" i="41"/>
  <c r="G1345" i="41" s="1"/>
  <c r="F1345" i="41"/>
  <c r="J1345" i="41"/>
  <c r="L1345" i="41" s="1"/>
  <c r="K1345" i="41"/>
  <c r="E1346" i="41"/>
  <c r="F1346" i="41"/>
  <c r="F1347" i="41" s="1"/>
  <c r="G1346" i="41"/>
  <c r="J1346" i="41"/>
  <c r="K1346" i="41"/>
  <c r="L1346" i="41"/>
  <c r="E1347" i="41"/>
  <c r="G1347" i="41" s="1"/>
  <c r="J1347" i="41"/>
  <c r="L1347" i="41" s="1"/>
  <c r="K1347" i="41"/>
  <c r="E157" i="42"/>
  <c r="F157" i="42"/>
  <c r="G157" i="42"/>
  <c r="J157" i="42"/>
  <c r="K157" i="42"/>
  <c r="L157" i="42"/>
  <c r="E158" i="42"/>
  <c r="G158" i="42" s="1"/>
  <c r="F158" i="42"/>
  <c r="J158" i="42"/>
  <c r="L158" i="42" s="1"/>
  <c r="K158" i="42"/>
  <c r="K159" i="42" s="1"/>
  <c r="F159" i="42"/>
  <c r="E169" i="42"/>
  <c r="G169" i="42" s="1"/>
  <c r="F169" i="42"/>
  <c r="J169" i="42"/>
  <c r="L169" i="42" s="1"/>
  <c r="K169" i="42"/>
  <c r="E170" i="42"/>
  <c r="F170" i="42"/>
  <c r="F171" i="42" s="1"/>
  <c r="G170" i="42"/>
  <c r="J170" i="42"/>
  <c r="K170" i="42"/>
  <c r="L170" i="42"/>
  <c r="E171" i="42"/>
  <c r="G171" i="42" s="1"/>
  <c r="J171" i="42"/>
  <c r="L171" i="42" s="1"/>
  <c r="K171" i="42"/>
  <c r="E181" i="42"/>
  <c r="F181" i="42"/>
  <c r="G181" i="42"/>
  <c r="J181" i="42"/>
  <c r="K181" i="42"/>
  <c r="L181" i="42"/>
  <c r="E182" i="42"/>
  <c r="G182" i="42" s="1"/>
  <c r="F182" i="42"/>
  <c r="J182" i="42"/>
  <c r="L182" i="42" s="1"/>
  <c r="K182" i="42"/>
  <c r="K183" i="42" s="1"/>
  <c r="F183" i="42"/>
  <c r="E193" i="42"/>
  <c r="G193" i="42" s="1"/>
  <c r="F193" i="42"/>
  <c r="J193" i="42"/>
  <c r="L193" i="42" s="1"/>
  <c r="K193" i="42"/>
  <c r="E194" i="42"/>
  <c r="F194" i="42"/>
  <c r="F195" i="42" s="1"/>
  <c r="G194" i="42"/>
  <c r="J194" i="42"/>
  <c r="K194" i="42"/>
  <c r="L194" i="42"/>
  <c r="E195" i="42"/>
  <c r="G195" i="42" s="1"/>
  <c r="J195" i="42"/>
  <c r="L195" i="42" s="1"/>
  <c r="K195" i="42"/>
  <c r="E205" i="42"/>
  <c r="F205" i="42"/>
  <c r="G205" i="42"/>
  <c r="J205" i="42"/>
  <c r="K205" i="42"/>
  <c r="L205" i="42"/>
  <c r="E206" i="42"/>
  <c r="G206" i="42" s="1"/>
  <c r="F206" i="42"/>
  <c r="J206" i="42"/>
  <c r="L206" i="42" s="1"/>
  <c r="K206" i="42"/>
  <c r="K207" i="42" s="1"/>
  <c r="F207" i="42"/>
  <c r="E217" i="42"/>
  <c r="G217" i="42" s="1"/>
  <c r="F217" i="42"/>
  <c r="J217" i="42"/>
  <c r="L217" i="42" s="1"/>
  <c r="K217" i="42"/>
  <c r="E218" i="42"/>
  <c r="F218" i="42"/>
  <c r="F219" i="42" s="1"/>
  <c r="G218" i="42"/>
  <c r="J218" i="42"/>
  <c r="K218" i="42"/>
  <c r="L218" i="42"/>
  <c r="E219" i="42"/>
  <c r="G219" i="42" s="1"/>
  <c r="J219" i="42"/>
  <c r="L219" i="42" s="1"/>
  <c r="K219" i="42"/>
  <c r="E229" i="42"/>
  <c r="F229" i="42"/>
  <c r="G229" i="42"/>
  <c r="J229" i="42"/>
  <c r="K229" i="42"/>
  <c r="L229" i="42"/>
  <c r="E230" i="42"/>
  <c r="G230" i="42" s="1"/>
  <c r="F230" i="42"/>
  <c r="J230" i="42"/>
  <c r="L230" i="42" s="1"/>
  <c r="K230" i="42"/>
  <c r="K231" i="42" s="1"/>
  <c r="F231" i="42"/>
  <c r="E241" i="42"/>
  <c r="G241" i="42" s="1"/>
  <c r="F241" i="42"/>
  <c r="J241" i="42"/>
  <c r="L241" i="42" s="1"/>
  <c r="K241" i="42"/>
  <c r="E242" i="42"/>
  <c r="F242" i="42"/>
  <c r="F243" i="42" s="1"/>
  <c r="G242" i="42"/>
  <c r="J242" i="42"/>
  <c r="K242" i="42"/>
  <c r="L242" i="42"/>
  <c r="E243" i="42"/>
  <c r="G243" i="42" s="1"/>
  <c r="J243" i="42"/>
  <c r="L243" i="42" s="1"/>
  <c r="K243" i="42"/>
  <c r="E253" i="42"/>
  <c r="F253" i="42"/>
  <c r="G253" i="42"/>
  <c r="J253" i="42"/>
  <c r="K253" i="42"/>
  <c r="L253" i="42"/>
  <c r="E254" i="42"/>
  <c r="G254" i="42" s="1"/>
  <c r="F254" i="42"/>
  <c r="J254" i="42"/>
  <c r="L254" i="42" s="1"/>
  <c r="K254" i="42"/>
  <c r="K255" i="42" s="1"/>
  <c r="F255" i="42"/>
  <c r="E265" i="42"/>
  <c r="G265" i="42" s="1"/>
  <c r="F265" i="42"/>
  <c r="J265" i="42"/>
  <c r="L265" i="42" s="1"/>
  <c r="K265" i="42"/>
  <c r="E266" i="42"/>
  <c r="F266" i="42"/>
  <c r="F267" i="42" s="1"/>
  <c r="G266" i="42"/>
  <c r="J266" i="42"/>
  <c r="K266" i="42"/>
  <c r="L266" i="42"/>
  <c r="E267" i="42"/>
  <c r="G267" i="42" s="1"/>
  <c r="J267" i="42"/>
  <c r="L267" i="42" s="1"/>
  <c r="K267" i="42"/>
  <c r="E277" i="42"/>
  <c r="F277" i="42"/>
  <c r="G277" i="42"/>
  <c r="J277" i="42"/>
  <c r="K277" i="42"/>
  <c r="L277" i="42"/>
  <c r="E278" i="42"/>
  <c r="G278" i="42" s="1"/>
  <c r="F278" i="42"/>
  <c r="J278" i="42"/>
  <c r="L278" i="42" s="1"/>
  <c r="K278" i="42"/>
  <c r="K279" i="42" s="1"/>
  <c r="F279" i="42"/>
  <c r="E289" i="42"/>
  <c r="G289" i="42" s="1"/>
  <c r="F289" i="42"/>
  <c r="J289" i="42"/>
  <c r="L289" i="42" s="1"/>
  <c r="K289" i="42"/>
  <c r="E290" i="42"/>
  <c r="F290" i="42"/>
  <c r="F291" i="42" s="1"/>
  <c r="G290" i="42"/>
  <c r="J290" i="42"/>
  <c r="K290" i="42"/>
  <c r="L290" i="42"/>
  <c r="E291" i="42"/>
  <c r="G291" i="42" s="1"/>
  <c r="J291" i="42"/>
  <c r="L291" i="42" s="1"/>
  <c r="K291" i="42"/>
  <c r="E301" i="42"/>
  <c r="F301" i="42"/>
  <c r="G301" i="42"/>
  <c r="J301" i="42"/>
  <c r="K301" i="42"/>
  <c r="L301" i="42"/>
  <c r="E302" i="42"/>
  <c r="G302" i="42" s="1"/>
  <c r="F302" i="42"/>
  <c r="J302" i="42"/>
  <c r="L302" i="42" s="1"/>
  <c r="K302" i="42"/>
  <c r="K303" i="42" s="1"/>
  <c r="F303" i="42"/>
  <c r="E313" i="42"/>
  <c r="G313" i="42" s="1"/>
  <c r="F313" i="42"/>
  <c r="J313" i="42"/>
  <c r="L313" i="42" s="1"/>
  <c r="K313" i="42"/>
  <c r="E314" i="42"/>
  <c r="F314" i="42"/>
  <c r="F315" i="42" s="1"/>
  <c r="G314" i="42"/>
  <c r="J314" i="42"/>
  <c r="K314" i="42"/>
  <c r="L314" i="42"/>
  <c r="E315" i="42"/>
  <c r="G315" i="42" s="1"/>
  <c r="J315" i="42"/>
  <c r="L315" i="42" s="1"/>
  <c r="K315" i="42"/>
  <c r="E325" i="42"/>
  <c r="F325" i="42"/>
  <c r="G325" i="42"/>
  <c r="J325" i="42"/>
  <c r="K325" i="42"/>
  <c r="L325" i="42"/>
  <c r="E326" i="42"/>
  <c r="G326" i="42" s="1"/>
  <c r="F326" i="42"/>
  <c r="J326" i="42"/>
  <c r="L326" i="42" s="1"/>
  <c r="K326" i="42"/>
  <c r="K327" i="42" s="1"/>
  <c r="F327" i="42"/>
  <c r="E337" i="42"/>
  <c r="G337" i="42" s="1"/>
  <c r="F337" i="42"/>
  <c r="J337" i="42"/>
  <c r="L337" i="42" s="1"/>
  <c r="K337" i="42"/>
  <c r="E338" i="42"/>
  <c r="F338" i="42"/>
  <c r="F339" i="42" s="1"/>
  <c r="G338" i="42"/>
  <c r="J338" i="42"/>
  <c r="K338" i="42"/>
  <c r="L338" i="42"/>
  <c r="E339" i="42"/>
  <c r="G339" i="42" s="1"/>
  <c r="J339" i="42"/>
  <c r="L339" i="42" s="1"/>
  <c r="K339" i="42"/>
  <c r="E349" i="42"/>
  <c r="F349" i="42"/>
  <c r="G349" i="42"/>
  <c r="J349" i="42"/>
  <c r="K349" i="42"/>
  <c r="L349" i="42"/>
  <c r="E350" i="42"/>
  <c r="G350" i="42" s="1"/>
  <c r="F350" i="42"/>
  <c r="J350" i="42"/>
  <c r="L350" i="42" s="1"/>
  <c r="K350" i="42"/>
  <c r="K351" i="42" s="1"/>
  <c r="F351" i="42"/>
  <c r="E361" i="42"/>
  <c r="G361" i="42" s="1"/>
  <c r="F361" i="42"/>
  <c r="J361" i="42"/>
  <c r="L361" i="42" s="1"/>
  <c r="K361" i="42"/>
  <c r="E362" i="42"/>
  <c r="F362" i="42"/>
  <c r="F363" i="42" s="1"/>
  <c r="G362" i="42"/>
  <c r="J362" i="42"/>
  <c r="K362" i="42"/>
  <c r="L362" i="42"/>
  <c r="E363" i="42"/>
  <c r="G363" i="42" s="1"/>
  <c r="J363" i="42"/>
  <c r="L363" i="42" s="1"/>
  <c r="K363" i="42"/>
  <c r="E373" i="42"/>
  <c r="F373" i="42"/>
  <c r="G373" i="42"/>
  <c r="J373" i="42"/>
  <c r="K373" i="42"/>
  <c r="L373" i="42"/>
  <c r="E374" i="42"/>
  <c r="G374" i="42" s="1"/>
  <c r="F374" i="42"/>
  <c r="J374" i="42"/>
  <c r="L374" i="42" s="1"/>
  <c r="K374" i="42"/>
  <c r="K375" i="42" s="1"/>
  <c r="F375" i="42"/>
  <c r="E385" i="42"/>
  <c r="G385" i="42" s="1"/>
  <c r="F385" i="42"/>
  <c r="J385" i="42"/>
  <c r="L385" i="42" s="1"/>
  <c r="K385" i="42"/>
  <c r="E386" i="42"/>
  <c r="F386" i="42"/>
  <c r="F387" i="42" s="1"/>
  <c r="G386" i="42"/>
  <c r="J386" i="42"/>
  <c r="K386" i="42"/>
  <c r="L386" i="42"/>
  <c r="E387" i="42"/>
  <c r="G387" i="42" s="1"/>
  <c r="J387" i="42"/>
  <c r="L387" i="42" s="1"/>
  <c r="K387" i="42"/>
  <c r="E397" i="42"/>
  <c r="F397" i="42"/>
  <c r="G397" i="42"/>
  <c r="J397" i="42"/>
  <c r="K397" i="42"/>
  <c r="L397" i="42"/>
  <c r="E398" i="42"/>
  <c r="G398" i="42" s="1"/>
  <c r="F398" i="42"/>
  <c r="J398" i="42"/>
  <c r="L398" i="42" s="1"/>
  <c r="K398" i="42"/>
  <c r="K399" i="42" s="1"/>
  <c r="F399" i="42"/>
  <c r="E409" i="42"/>
  <c r="G409" i="42" s="1"/>
  <c r="F409" i="42"/>
  <c r="J409" i="42"/>
  <c r="L409" i="42" s="1"/>
  <c r="K409" i="42"/>
  <c r="E410" i="42"/>
  <c r="F410" i="42"/>
  <c r="F411" i="42" s="1"/>
  <c r="G410" i="42"/>
  <c r="J410" i="42"/>
  <c r="K410" i="42"/>
  <c r="L410" i="42"/>
  <c r="E411" i="42"/>
  <c r="G411" i="42" s="1"/>
  <c r="J411" i="42"/>
  <c r="L411" i="42" s="1"/>
  <c r="K411" i="42"/>
  <c r="E421" i="42"/>
  <c r="F421" i="42"/>
  <c r="G421" i="42"/>
  <c r="J421" i="42"/>
  <c r="K421" i="42"/>
  <c r="L421" i="42"/>
  <c r="E422" i="42"/>
  <c r="G422" i="42" s="1"/>
  <c r="F422" i="42"/>
  <c r="J422" i="42"/>
  <c r="L422" i="42" s="1"/>
  <c r="K422" i="42"/>
  <c r="K423" i="42" s="1"/>
  <c r="F423" i="42"/>
  <c r="E433" i="42"/>
  <c r="G433" i="42" s="1"/>
  <c r="F433" i="42"/>
  <c r="J433" i="42"/>
  <c r="L433" i="42" s="1"/>
  <c r="K433" i="42"/>
  <c r="K435" i="42" s="1"/>
  <c r="E434" i="42"/>
  <c r="F434" i="42"/>
  <c r="F435" i="42" s="1"/>
  <c r="G434" i="42"/>
  <c r="J434" i="42"/>
  <c r="K434" i="42"/>
  <c r="L434" i="42"/>
  <c r="E435" i="42"/>
  <c r="G435" i="42" s="1"/>
  <c r="J435" i="42"/>
  <c r="E445" i="42"/>
  <c r="F445" i="42"/>
  <c r="G445" i="42"/>
  <c r="J445" i="42"/>
  <c r="K445" i="42"/>
  <c r="L445" i="42"/>
  <c r="E446" i="42"/>
  <c r="F446" i="42"/>
  <c r="J446" i="42"/>
  <c r="K446" i="42"/>
  <c r="K447" i="42" s="1"/>
  <c r="F447" i="42"/>
  <c r="E457" i="42"/>
  <c r="G457" i="42" s="1"/>
  <c r="F457" i="42"/>
  <c r="J457" i="42"/>
  <c r="L457" i="42" s="1"/>
  <c r="K457" i="42"/>
  <c r="E458" i="42"/>
  <c r="F458" i="42"/>
  <c r="F459" i="42" s="1"/>
  <c r="G458" i="42"/>
  <c r="J458" i="42"/>
  <c r="K458" i="42"/>
  <c r="L458" i="42"/>
  <c r="E459" i="42"/>
  <c r="J459" i="42"/>
  <c r="K459" i="42"/>
  <c r="E469" i="42"/>
  <c r="F469" i="42"/>
  <c r="G469" i="42" s="1"/>
  <c r="J469" i="42"/>
  <c r="K469" i="42"/>
  <c r="L469" i="42"/>
  <c r="E470" i="42"/>
  <c r="F470" i="42"/>
  <c r="J470" i="42"/>
  <c r="L470" i="42" s="1"/>
  <c r="K470" i="42"/>
  <c r="K471" i="42" s="1"/>
  <c r="J471" i="42"/>
  <c r="L471" i="42" s="1"/>
  <c r="E481" i="42"/>
  <c r="F481" i="42"/>
  <c r="F483" i="42" s="1"/>
  <c r="J481" i="42"/>
  <c r="L481" i="42" s="1"/>
  <c r="K481" i="42"/>
  <c r="E482" i="42"/>
  <c r="F482" i="42"/>
  <c r="G482" i="42" s="1"/>
  <c r="J482" i="42"/>
  <c r="K482" i="42"/>
  <c r="L482" i="42"/>
  <c r="E483" i="42"/>
  <c r="K483" i="42"/>
  <c r="E493" i="42"/>
  <c r="F493" i="42"/>
  <c r="G493" i="42"/>
  <c r="J493" i="42"/>
  <c r="L493" i="42" s="1"/>
  <c r="K493" i="42"/>
  <c r="E494" i="42"/>
  <c r="F494" i="42"/>
  <c r="J494" i="42"/>
  <c r="K494" i="42"/>
  <c r="K495" i="42" s="1"/>
  <c r="L494" i="42"/>
  <c r="F495" i="42"/>
  <c r="E505" i="42"/>
  <c r="G505" i="42" s="1"/>
  <c r="F505" i="42"/>
  <c r="J505" i="42"/>
  <c r="K505" i="42"/>
  <c r="L505" i="42" s="1"/>
  <c r="E506" i="42"/>
  <c r="F506" i="42"/>
  <c r="G506" i="42"/>
  <c r="J506" i="42"/>
  <c r="L506" i="42" s="1"/>
  <c r="K506" i="42"/>
  <c r="E507" i="42"/>
  <c r="G507" i="42" s="1"/>
  <c r="F507" i="42"/>
  <c r="K507" i="42"/>
  <c r="E517" i="42"/>
  <c r="F517" i="42"/>
  <c r="G517" i="42"/>
  <c r="J517" i="42"/>
  <c r="L517" i="42" s="1"/>
  <c r="K517" i="42"/>
  <c r="E518" i="42"/>
  <c r="G518" i="42" s="1"/>
  <c r="F518" i="42"/>
  <c r="F519" i="42" s="1"/>
  <c r="J518" i="42"/>
  <c r="K518" i="42"/>
  <c r="K519" i="42" s="1"/>
  <c r="J519" i="42"/>
  <c r="L519" i="42" s="1"/>
  <c r="E529" i="42"/>
  <c r="G529" i="42" s="1"/>
  <c r="F529" i="42"/>
  <c r="J529" i="42"/>
  <c r="K529" i="42"/>
  <c r="L529" i="42" s="1"/>
  <c r="E530" i="42"/>
  <c r="F530" i="42"/>
  <c r="G530" i="42"/>
  <c r="J530" i="42"/>
  <c r="L530" i="42" s="1"/>
  <c r="K530" i="42"/>
  <c r="E531" i="42"/>
  <c r="G531" i="42" s="1"/>
  <c r="F531" i="42"/>
  <c r="K531" i="42"/>
  <c r="E541" i="42"/>
  <c r="F541" i="42"/>
  <c r="G541" i="42"/>
  <c r="J541" i="42"/>
  <c r="L541" i="42" s="1"/>
  <c r="K541" i="42"/>
  <c r="E542" i="42"/>
  <c r="G542" i="42" s="1"/>
  <c r="F542" i="42"/>
  <c r="F543" i="42" s="1"/>
  <c r="J542" i="42"/>
  <c r="K542" i="42"/>
  <c r="K543" i="42" s="1"/>
  <c r="J543" i="42"/>
  <c r="L543" i="42" s="1"/>
  <c r="E553" i="42"/>
  <c r="G553" i="42" s="1"/>
  <c r="F553" i="42"/>
  <c r="J553" i="42"/>
  <c r="K553" i="42"/>
  <c r="L553" i="42" s="1"/>
  <c r="E554" i="42"/>
  <c r="F554" i="42"/>
  <c r="G554" i="42"/>
  <c r="J554" i="42"/>
  <c r="L554" i="42" s="1"/>
  <c r="K554" i="42"/>
  <c r="E555" i="42"/>
  <c r="G555" i="42" s="1"/>
  <c r="F555" i="42"/>
  <c r="K555" i="42"/>
  <c r="E565" i="42"/>
  <c r="F565" i="42"/>
  <c r="G565" i="42"/>
  <c r="J565" i="42"/>
  <c r="L565" i="42" s="1"/>
  <c r="K565" i="42"/>
  <c r="E566" i="42"/>
  <c r="G566" i="42" s="1"/>
  <c r="F566" i="42"/>
  <c r="F567" i="42" s="1"/>
  <c r="J566" i="42"/>
  <c r="K566" i="42"/>
  <c r="K567" i="42" s="1"/>
  <c r="J567" i="42"/>
  <c r="L567" i="42" s="1"/>
  <c r="E577" i="42"/>
  <c r="G577" i="42" s="1"/>
  <c r="F577" i="42"/>
  <c r="J577" i="42"/>
  <c r="K577" i="42"/>
  <c r="L577" i="42" s="1"/>
  <c r="E578" i="42"/>
  <c r="F578" i="42"/>
  <c r="G578" i="42"/>
  <c r="J578" i="42"/>
  <c r="L578" i="42" s="1"/>
  <c r="K578" i="42"/>
  <c r="E579" i="42"/>
  <c r="G579" i="42" s="1"/>
  <c r="F579" i="42"/>
  <c r="K579" i="42"/>
  <c r="E589" i="42"/>
  <c r="F589" i="42"/>
  <c r="G589" i="42"/>
  <c r="J589" i="42"/>
  <c r="L589" i="42" s="1"/>
  <c r="K589" i="42"/>
  <c r="E590" i="42"/>
  <c r="G590" i="42" s="1"/>
  <c r="F590" i="42"/>
  <c r="F591" i="42" s="1"/>
  <c r="J590" i="42"/>
  <c r="K590" i="42"/>
  <c r="K591" i="42" s="1"/>
  <c r="J591" i="42"/>
  <c r="L591" i="42" s="1"/>
  <c r="E601" i="42"/>
  <c r="G601" i="42" s="1"/>
  <c r="F601" i="42"/>
  <c r="J601" i="42"/>
  <c r="K601" i="42"/>
  <c r="L601" i="42" s="1"/>
  <c r="E602" i="42"/>
  <c r="F602" i="42"/>
  <c r="G602" i="42"/>
  <c r="J602" i="42"/>
  <c r="L602" i="42" s="1"/>
  <c r="K602" i="42"/>
  <c r="E603" i="42"/>
  <c r="G603" i="42" s="1"/>
  <c r="F603" i="42"/>
  <c r="K603" i="42"/>
  <c r="E613" i="42"/>
  <c r="F613" i="42"/>
  <c r="G613" i="42"/>
  <c r="J613" i="42"/>
  <c r="L613" i="42" s="1"/>
  <c r="K613" i="42"/>
  <c r="E614" i="42"/>
  <c r="G614" i="42" s="1"/>
  <c r="F614" i="42"/>
  <c r="F615" i="42" s="1"/>
  <c r="J614" i="42"/>
  <c r="K614" i="42"/>
  <c r="K615" i="42" s="1"/>
  <c r="J615" i="42"/>
  <c r="L615" i="42" s="1"/>
  <c r="E625" i="42"/>
  <c r="G625" i="42" s="1"/>
  <c r="F625" i="42"/>
  <c r="J625" i="42"/>
  <c r="K625" i="42"/>
  <c r="L625" i="42" s="1"/>
  <c r="E626" i="42"/>
  <c r="F626" i="42"/>
  <c r="G626" i="42"/>
  <c r="J626" i="42"/>
  <c r="L626" i="42" s="1"/>
  <c r="K626" i="42"/>
  <c r="E627" i="42"/>
  <c r="G627" i="42" s="1"/>
  <c r="F627" i="42"/>
  <c r="K627" i="42"/>
  <c r="E637" i="42"/>
  <c r="F637" i="42"/>
  <c r="G637" i="42"/>
  <c r="J637" i="42"/>
  <c r="L637" i="42" s="1"/>
  <c r="K637" i="42"/>
  <c r="E638" i="42"/>
  <c r="G638" i="42" s="1"/>
  <c r="F638" i="42"/>
  <c r="F639" i="42" s="1"/>
  <c r="J638" i="42"/>
  <c r="K638" i="42"/>
  <c r="K639" i="42" s="1"/>
  <c r="J639" i="42"/>
  <c r="L639" i="42" s="1"/>
  <c r="E649" i="42"/>
  <c r="G649" i="42" s="1"/>
  <c r="F649" i="42"/>
  <c r="J649" i="42"/>
  <c r="K649" i="42"/>
  <c r="L649" i="42" s="1"/>
  <c r="E650" i="42"/>
  <c r="F650" i="42"/>
  <c r="G650" i="42"/>
  <c r="J650" i="42"/>
  <c r="L650" i="42" s="1"/>
  <c r="K650" i="42"/>
  <c r="E651" i="42"/>
  <c r="G651" i="42" s="1"/>
  <c r="F651" i="42"/>
  <c r="K651" i="42"/>
  <c r="E661" i="42"/>
  <c r="F661" i="42"/>
  <c r="G661" i="42"/>
  <c r="J661" i="42"/>
  <c r="L661" i="42" s="1"/>
  <c r="K661" i="42"/>
  <c r="E662" i="42"/>
  <c r="G662" i="42" s="1"/>
  <c r="F662" i="42"/>
  <c r="F663" i="42" s="1"/>
  <c r="J662" i="42"/>
  <c r="K662" i="42"/>
  <c r="K663" i="42" s="1"/>
  <c r="J663" i="42"/>
  <c r="L663" i="42" s="1"/>
  <c r="E673" i="42"/>
  <c r="G673" i="42" s="1"/>
  <c r="F673" i="42"/>
  <c r="J673" i="42"/>
  <c r="K673" i="42"/>
  <c r="L673" i="42" s="1"/>
  <c r="E674" i="42"/>
  <c r="F674" i="42"/>
  <c r="G674" i="42"/>
  <c r="J674" i="42"/>
  <c r="L674" i="42" s="1"/>
  <c r="K674" i="42"/>
  <c r="E675" i="42"/>
  <c r="G675" i="42" s="1"/>
  <c r="F675" i="42"/>
  <c r="K675" i="42"/>
  <c r="E685" i="42"/>
  <c r="F685" i="42"/>
  <c r="G685" i="42"/>
  <c r="J685" i="42"/>
  <c r="L685" i="42" s="1"/>
  <c r="K685" i="42"/>
  <c r="E686" i="42"/>
  <c r="G686" i="42" s="1"/>
  <c r="F686" i="42"/>
  <c r="F687" i="42" s="1"/>
  <c r="J686" i="42"/>
  <c r="K686" i="42"/>
  <c r="K687" i="42" s="1"/>
  <c r="J687" i="42"/>
  <c r="L687" i="42" s="1"/>
  <c r="E697" i="42"/>
  <c r="G697" i="42" s="1"/>
  <c r="F697" i="42"/>
  <c r="J697" i="42"/>
  <c r="K697" i="42"/>
  <c r="L697" i="42" s="1"/>
  <c r="E698" i="42"/>
  <c r="F698" i="42"/>
  <c r="G698" i="42"/>
  <c r="J698" i="42"/>
  <c r="L698" i="42" s="1"/>
  <c r="K698" i="42"/>
  <c r="E699" i="42"/>
  <c r="G699" i="42" s="1"/>
  <c r="F699" i="42"/>
  <c r="K699" i="42"/>
  <c r="E709" i="42"/>
  <c r="F709" i="42"/>
  <c r="G709" i="42"/>
  <c r="J709" i="42"/>
  <c r="L709" i="42" s="1"/>
  <c r="K709" i="42"/>
  <c r="E710" i="42"/>
  <c r="G710" i="42" s="1"/>
  <c r="F710" i="42"/>
  <c r="F711" i="42" s="1"/>
  <c r="J710" i="42"/>
  <c r="K710" i="42"/>
  <c r="K711" i="42" s="1"/>
  <c r="J711" i="42"/>
  <c r="L711" i="42" s="1"/>
  <c r="E721" i="42"/>
  <c r="G721" i="42" s="1"/>
  <c r="F721" i="42"/>
  <c r="J721" i="42"/>
  <c r="K721" i="42"/>
  <c r="L721" i="42" s="1"/>
  <c r="E722" i="42"/>
  <c r="F722" i="42"/>
  <c r="G722" i="42"/>
  <c r="J722" i="42"/>
  <c r="L722" i="42" s="1"/>
  <c r="K722" i="42"/>
  <c r="E723" i="42"/>
  <c r="G723" i="42" s="1"/>
  <c r="F723" i="42"/>
  <c r="K723" i="42"/>
  <c r="E733" i="42"/>
  <c r="F733" i="42"/>
  <c r="G733" i="42"/>
  <c r="J733" i="42"/>
  <c r="L733" i="42" s="1"/>
  <c r="K733" i="42"/>
  <c r="E734" i="42"/>
  <c r="G734" i="42" s="1"/>
  <c r="F734" i="42"/>
  <c r="F735" i="42" s="1"/>
  <c r="J734" i="42"/>
  <c r="K734" i="42"/>
  <c r="K735" i="42" s="1"/>
  <c r="J735" i="42"/>
  <c r="L735" i="42" s="1"/>
  <c r="E745" i="42"/>
  <c r="G745" i="42" s="1"/>
  <c r="F745" i="42"/>
  <c r="J745" i="42"/>
  <c r="K745" i="42"/>
  <c r="L745" i="42" s="1"/>
  <c r="E746" i="42"/>
  <c r="F746" i="42"/>
  <c r="G746" i="42"/>
  <c r="J746" i="42"/>
  <c r="L746" i="42" s="1"/>
  <c r="K746" i="42"/>
  <c r="E747" i="42"/>
  <c r="G747" i="42" s="1"/>
  <c r="F747" i="42"/>
  <c r="K747" i="42"/>
  <c r="E757" i="42"/>
  <c r="F757" i="42"/>
  <c r="G757" i="42"/>
  <c r="J757" i="42"/>
  <c r="L757" i="42" s="1"/>
  <c r="K757" i="42"/>
  <c r="E758" i="42"/>
  <c r="G758" i="42" s="1"/>
  <c r="F758" i="42"/>
  <c r="F759" i="42" s="1"/>
  <c r="J758" i="42"/>
  <c r="K758" i="42"/>
  <c r="K759" i="42" s="1"/>
  <c r="J759" i="42"/>
  <c r="L759" i="42" s="1"/>
  <c r="E769" i="42"/>
  <c r="G769" i="42" s="1"/>
  <c r="F769" i="42"/>
  <c r="J769" i="42"/>
  <c r="K769" i="42"/>
  <c r="L769" i="42" s="1"/>
  <c r="E770" i="42"/>
  <c r="F770" i="42"/>
  <c r="G770" i="42"/>
  <c r="J770" i="42"/>
  <c r="L770" i="42" s="1"/>
  <c r="K770" i="42"/>
  <c r="E771" i="42"/>
  <c r="G771" i="42" s="1"/>
  <c r="F771" i="42"/>
  <c r="K771" i="42"/>
  <c r="E781" i="42"/>
  <c r="F781" i="42"/>
  <c r="G781" i="42"/>
  <c r="J781" i="42"/>
  <c r="L781" i="42" s="1"/>
  <c r="K781" i="42"/>
  <c r="E782" i="42"/>
  <c r="G782" i="42" s="1"/>
  <c r="F782" i="42"/>
  <c r="F783" i="42" s="1"/>
  <c r="J782" i="42"/>
  <c r="K782" i="42"/>
  <c r="K783" i="42" s="1"/>
  <c r="J783" i="42"/>
  <c r="L783" i="42" s="1"/>
  <c r="E793" i="42"/>
  <c r="G793" i="42" s="1"/>
  <c r="F793" i="42"/>
  <c r="J793" i="42"/>
  <c r="K793" i="42"/>
  <c r="L793" i="42" s="1"/>
  <c r="E794" i="42"/>
  <c r="F794" i="42"/>
  <c r="G794" i="42"/>
  <c r="J794" i="42"/>
  <c r="L794" i="42" s="1"/>
  <c r="K794" i="42"/>
  <c r="E795" i="42"/>
  <c r="G795" i="42" s="1"/>
  <c r="F795" i="42"/>
  <c r="K795" i="42"/>
  <c r="E805" i="42"/>
  <c r="F805" i="42"/>
  <c r="G805" i="42"/>
  <c r="J805" i="42"/>
  <c r="L805" i="42" s="1"/>
  <c r="K805" i="42"/>
  <c r="E806" i="42"/>
  <c r="G806" i="42" s="1"/>
  <c r="F806" i="42"/>
  <c r="F807" i="42" s="1"/>
  <c r="J806" i="42"/>
  <c r="K806" i="42"/>
  <c r="K807" i="42" s="1"/>
  <c r="J807" i="42"/>
  <c r="L807" i="42" s="1"/>
  <c r="E817" i="42"/>
  <c r="G817" i="42" s="1"/>
  <c r="F817" i="42"/>
  <c r="J817" i="42"/>
  <c r="K817" i="42"/>
  <c r="L817" i="42" s="1"/>
  <c r="E818" i="42"/>
  <c r="F818" i="42"/>
  <c r="G818" i="42"/>
  <c r="J818" i="42"/>
  <c r="L818" i="42" s="1"/>
  <c r="K818" i="42"/>
  <c r="E819" i="42"/>
  <c r="G819" i="42" s="1"/>
  <c r="F819" i="42"/>
  <c r="K819" i="42"/>
  <c r="E829" i="42"/>
  <c r="F829" i="42"/>
  <c r="G829" i="42"/>
  <c r="J829" i="42"/>
  <c r="L829" i="42" s="1"/>
  <c r="K829" i="42"/>
  <c r="E830" i="42"/>
  <c r="G830" i="42" s="1"/>
  <c r="F830" i="42"/>
  <c r="F831" i="42" s="1"/>
  <c r="J830" i="42"/>
  <c r="K830" i="42"/>
  <c r="K831" i="42" s="1"/>
  <c r="J831" i="42"/>
  <c r="L831" i="42" s="1"/>
  <c r="E841" i="42"/>
  <c r="G841" i="42" s="1"/>
  <c r="F841" i="42"/>
  <c r="J841" i="42"/>
  <c r="K841" i="42"/>
  <c r="L841" i="42" s="1"/>
  <c r="E842" i="42"/>
  <c r="F842" i="42"/>
  <c r="G842" i="42"/>
  <c r="J842" i="42"/>
  <c r="L842" i="42" s="1"/>
  <c r="K842" i="42"/>
  <c r="E843" i="42"/>
  <c r="G843" i="42" s="1"/>
  <c r="F843" i="42"/>
  <c r="K843" i="42"/>
  <c r="E853" i="42"/>
  <c r="F853" i="42"/>
  <c r="G853" i="42"/>
  <c r="J853" i="42"/>
  <c r="L853" i="42" s="1"/>
  <c r="K853" i="42"/>
  <c r="E854" i="42"/>
  <c r="G854" i="42" s="1"/>
  <c r="F854" i="42"/>
  <c r="F855" i="42" s="1"/>
  <c r="J854" i="42"/>
  <c r="K854" i="42"/>
  <c r="K855" i="42" s="1"/>
  <c r="J855" i="42"/>
  <c r="L855" i="42" s="1"/>
  <c r="E865" i="42"/>
  <c r="G865" i="42" s="1"/>
  <c r="F865" i="42"/>
  <c r="J865" i="42"/>
  <c r="K865" i="42"/>
  <c r="L865" i="42" s="1"/>
  <c r="E866" i="42"/>
  <c r="F866" i="42"/>
  <c r="G866" i="42"/>
  <c r="J866" i="42"/>
  <c r="L866" i="42" s="1"/>
  <c r="K866" i="42"/>
  <c r="E867" i="42"/>
  <c r="G867" i="42" s="1"/>
  <c r="F867" i="42"/>
  <c r="K867" i="42"/>
  <c r="E877" i="42"/>
  <c r="F877" i="42"/>
  <c r="G877" i="42"/>
  <c r="J877" i="42"/>
  <c r="L877" i="42" s="1"/>
  <c r="K877" i="42"/>
  <c r="E878" i="42"/>
  <c r="G878" i="42" s="1"/>
  <c r="F878" i="42"/>
  <c r="F879" i="42" s="1"/>
  <c r="J878" i="42"/>
  <c r="K878" i="42"/>
  <c r="K879" i="42" s="1"/>
  <c r="J879" i="42"/>
  <c r="L879" i="42" s="1"/>
  <c r="E889" i="42"/>
  <c r="G889" i="42" s="1"/>
  <c r="F889" i="42"/>
  <c r="J889" i="42"/>
  <c r="K889" i="42"/>
  <c r="L889" i="42" s="1"/>
  <c r="E890" i="42"/>
  <c r="F890" i="42"/>
  <c r="G890" i="42"/>
  <c r="J890" i="42"/>
  <c r="L890" i="42" s="1"/>
  <c r="K890" i="42"/>
  <c r="E891" i="42"/>
  <c r="G891" i="42" s="1"/>
  <c r="F891" i="42"/>
  <c r="K891" i="42"/>
  <c r="E901" i="42"/>
  <c r="F901" i="42"/>
  <c r="G901" i="42"/>
  <c r="J901" i="42"/>
  <c r="L901" i="42" s="1"/>
  <c r="K901" i="42"/>
  <c r="E902" i="42"/>
  <c r="G902" i="42" s="1"/>
  <c r="F902" i="42"/>
  <c r="F903" i="42" s="1"/>
  <c r="J902" i="42"/>
  <c r="K902" i="42"/>
  <c r="K903" i="42" s="1"/>
  <c r="J903" i="42"/>
  <c r="L903" i="42" s="1"/>
  <c r="E913" i="42"/>
  <c r="G913" i="42" s="1"/>
  <c r="F913" i="42"/>
  <c r="J913" i="42"/>
  <c r="K913" i="42"/>
  <c r="L913" i="42" s="1"/>
  <c r="E914" i="42"/>
  <c r="F914" i="42"/>
  <c r="G914" i="42"/>
  <c r="J914" i="42"/>
  <c r="L914" i="42" s="1"/>
  <c r="K914" i="42"/>
  <c r="E915" i="42"/>
  <c r="G915" i="42" s="1"/>
  <c r="F915" i="42"/>
  <c r="K915" i="42"/>
  <c r="E925" i="42"/>
  <c r="F925" i="42"/>
  <c r="G925" i="42"/>
  <c r="J925" i="42"/>
  <c r="L925" i="42" s="1"/>
  <c r="K925" i="42"/>
  <c r="E926" i="42"/>
  <c r="G926" i="42" s="1"/>
  <c r="F926" i="42"/>
  <c r="F927" i="42" s="1"/>
  <c r="J926" i="42"/>
  <c r="K926" i="42"/>
  <c r="K927" i="42" s="1"/>
  <c r="J927" i="42"/>
  <c r="L927" i="42" s="1"/>
  <c r="E937" i="42"/>
  <c r="G937" i="42" s="1"/>
  <c r="F937" i="42"/>
  <c r="J937" i="42"/>
  <c r="K937" i="42"/>
  <c r="L937" i="42" s="1"/>
  <c r="E938" i="42"/>
  <c r="F938" i="42"/>
  <c r="G938" i="42"/>
  <c r="J938" i="42"/>
  <c r="L938" i="42" s="1"/>
  <c r="K938" i="42"/>
  <c r="E939" i="42"/>
  <c r="G939" i="42" s="1"/>
  <c r="F939" i="42"/>
  <c r="K939" i="42"/>
  <c r="E949" i="42"/>
  <c r="F949" i="42"/>
  <c r="G949" i="42"/>
  <c r="J949" i="42"/>
  <c r="L949" i="42" s="1"/>
  <c r="K949" i="42"/>
  <c r="E950" i="42"/>
  <c r="G950" i="42" s="1"/>
  <c r="F950" i="42"/>
  <c r="F951" i="42" s="1"/>
  <c r="J950" i="42"/>
  <c r="K950" i="42"/>
  <c r="K951" i="42" s="1"/>
  <c r="J951" i="42"/>
  <c r="L951" i="42" s="1"/>
  <c r="E961" i="42"/>
  <c r="G961" i="42" s="1"/>
  <c r="F961" i="42"/>
  <c r="J961" i="42"/>
  <c r="K961" i="42"/>
  <c r="L961" i="42" s="1"/>
  <c r="E962" i="42"/>
  <c r="F962" i="42"/>
  <c r="G962" i="42"/>
  <c r="J962" i="42"/>
  <c r="L962" i="42" s="1"/>
  <c r="K962" i="42"/>
  <c r="E963" i="42"/>
  <c r="G963" i="42" s="1"/>
  <c r="F963" i="42"/>
  <c r="K963" i="42"/>
  <c r="E973" i="42"/>
  <c r="F973" i="42"/>
  <c r="G973" i="42"/>
  <c r="J973" i="42"/>
  <c r="L973" i="42" s="1"/>
  <c r="K973" i="42"/>
  <c r="E974" i="42"/>
  <c r="G974" i="42" s="1"/>
  <c r="F974" i="42"/>
  <c r="F975" i="42" s="1"/>
  <c r="J974" i="42"/>
  <c r="K974" i="42"/>
  <c r="K975" i="42" s="1"/>
  <c r="J975" i="42"/>
  <c r="L975" i="42" s="1"/>
  <c r="E985" i="42"/>
  <c r="G985" i="42" s="1"/>
  <c r="F985" i="42"/>
  <c r="J985" i="42"/>
  <c r="K985" i="42"/>
  <c r="L985" i="42" s="1"/>
  <c r="E986" i="42"/>
  <c r="F986" i="42"/>
  <c r="G986" i="42"/>
  <c r="J986" i="42"/>
  <c r="L986" i="42" s="1"/>
  <c r="K986" i="42"/>
  <c r="E987" i="42"/>
  <c r="G987" i="42" s="1"/>
  <c r="F987" i="42"/>
  <c r="K987" i="42"/>
  <c r="E997" i="42"/>
  <c r="F997" i="42"/>
  <c r="G997" i="42"/>
  <c r="J997" i="42"/>
  <c r="L997" i="42" s="1"/>
  <c r="K997" i="42"/>
  <c r="E998" i="42"/>
  <c r="G998" i="42" s="1"/>
  <c r="F998" i="42"/>
  <c r="F999" i="42" s="1"/>
  <c r="J998" i="42"/>
  <c r="K998" i="42"/>
  <c r="K999" i="42" s="1"/>
  <c r="J999" i="42"/>
  <c r="L999" i="42" s="1"/>
  <c r="E1009" i="42"/>
  <c r="G1009" i="42" s="1"/>
  <c r="F1009" i="42"/>
  <c r="J1009" i="42"/>
  <c r="K1009" i="42"/>
  <c r="L1009" i="42" s="1"/>
  <c r="E1010" i="42"/>
  <c r="F1010" i="42"/>
  <c r="G1010" i="42"/>
  <c r="J1010" i="42"/>
  <c r="L1010" i="42" s="1"/>
  <c r="K1010" i="42"/>
  <c r="E1011" i="42"/>
  <c r="G1011" i="42" s="1"/>
  <c r="F1011" i="42"/>
  <c r="K1011" i="42"/>
  <c r="E1021" i="42"/>
  <c r="F1021" i="42"/>
  <c r="G1021" i="42"/>
  <c r="J1021" i="42"/>
  <c r="L1021" i="42" s="1"/>
  <c r="K1021" i="42"/>
  <c r="E1022" i="42"/>
  <c r="G1022" i="42" s="1"/>
  <c r="F1022" i="42"/>
  <c r="F1023" i="42" s="1"/>
  <c r="J1022" i="42"/>
  <c r="K1022" i="42"/>
  <c r="K1023" i="42" s="1"/>
  <c r="J1023" i="42"/>
  <c r="L1023" i="42" s="1"/>
  <c r="E1033" i="42"/>
  <c r="G1033" i="42" s="1"/>
  <c r="F1033" i="42"/>
  <c r="J1033" i="42"/>
  <c r="K1033" i="42"/>
  <c r="L1033" i="42" s="1"/>
  <c r="E1034" i="42"/>
  <c r="F1034" i="42"/>
  <c r="G1034" i="42"/>
  <c r="J1034" i="42"/>
  <c r="L1034" i="42" s="1"/>
  <c r="K1034" i="42"/>
  <c r="E1035" i="42"/>
  <c r="G1035" i="42" s="1"/>
  <c r="F1035" i="42"/>
  <c r="K1035" i="42"/>
  <c r="E1045" i="42"/>
  <c r="F1045" i="42"/>
  <c r="G1045" i="42"/>
  <c r="J1045" i="42"/>
  <c r="L1045" i="42" s="1"/>
  <c r="K1045" i="42"/>
  <c r="E1046" i="42"/>
  <c r="G1046" i="42" s="1"/>
  <c r="F1046" i="42"/>
  <c r="F1047" i="42" s="1"/>
  <c r="J1046" i="42"/>
  <c r="K1046" i="42"/>
  <c r="K1047" i="42" s="1"/>
  <c r="J1047" i="42"/>
  <c r="L1047" i="42" s="1"/>
  <c r="E1057" i="42"/>
  <c r="G1057" i="42" s="1"/>
  <c r="F1057" i="42"/>
  <c r="J1057" i="42"/>
  <c r="K1057" i="42"/>
  <c r="L1057" i="42" s="1"/>
  <c r="E1058" i="42"/>
  <c r="F1058" i="42"/>
  <c r="G1058" i="42"/>
  <c r="J1058" i="42"/>
  <c r="L1058" i="42" s="1"/>
  <c r="K1058" i="42"/>
  <c r="E1059" i="42"/>
  <c r="G1059" i="42" s="1"/>
  <c r="F1059" i="42"/>
  <c r="K1059" i="42"/>
  <c r="E1069" i="42"/>
  <c r="F1069" i="42"/>
  <c r="G1069" i="42"/>
  <c r="J1069" i="42"/>
  <c r="L1069" i="42" s="1"/>
  <c r="K1069" i="42"/>
  <c r="E1070" i="42"/>
  <c r="G1070" i="42" s="1"/>
  <c r="F1070" i="42"/>
  <c r="F1071" i="42" s="1"/>
  <c r="J1070" i="42"/>
  <c r="K1070" i="42"/>
  <c r="K1071" i="42" s="1"/>
  <c r="J1071" i="42"/>
  <c r="L1071" i="42" s="1"/>
  <c r="E1081" i="42"/>
  <c r="G1081" i="42" s="1"/>
  <c r="F1081" i="42"/>
  <c r="J1081" i="42"/>
  <c r="K1081" i="42"/>
  <c r="L1081" i="42" s="1"/>
  <c r="E1082" i="42"/>
  <c r="F1082" i="42"/>
  <c r="G1082" i="42"/>
  <c r="J1082" i="42"/>
  <c r="L1082" i="42" s="1"/>
  <c r="K1082" i="42"/>
  <c r="E1083" i="42"/>
  <c r="G1083" i="42" s="1"/>
  <c r="F1083" i="42"/>
  <c r="K1083" i="42"/>
  <c r="E1093" i="42"/>
  <c r="F1093" i="42"/>
  <c r="G1093" i="42"/>
  <c r="J1093" i="42"/>
  <c r="L1093" i="42" s="1"/>
  <c r="K1093" i="42"/>
  <c r="E1094" i="42"/>
  <c r="G1094" i="42" s="1"/>
  <c r="F1094" i="42"/>
  <c r="F1095" i="42" s="1"/>
  <c r="J1094" i="42"/>
  <c r="K1094" i="42"/>
  <c r="K1095" i="42" s="1"/>
  <c r="J1095" i="42"/>
  <c r="L1095" i="42" s="1"/>
  <c r="E1105" i="42"/>
  <c r="G1105" i="42" s="1"/>
  <c r="F1105" i="42"/>
  <c r="J1105" i="42"/>
  <c r="K1105" i="42"/>
  <c r="L1105" i="42" s="1"/>
  <c r="E1106" i="42"/>
  <c r="F1106" i="42"/>
  <c r="G1106" i="42"/>
  <c r="J1106" i="42"/>
  <c r="L1106" i="42" s="1"/>
  <c r="K1106" i="42"/>
  <c r="E1107" i="42"/>
  <c r="G1107" i="42" s="1"/>
  <c r="F1107" i="42"/>
  <c r="K1107" i="42"/>
  <c r="E1117" i="42"/>
  <c r="F1117" i="42"/>
  <c r="G1117" i="42"/>
  <c r="J1117" i="42"/>
  <c r="L1117" i="42" s="1"/>
  <c r="K1117" i="42"/>
  <c r="E1118" i="42"/>
  <c r="G1118" i="42" s="1"/>
  <c r="F1118" i="42"/>
  <c r="F1119" i="42" s="1"/>
  <c r="J1118" i="42"/>
  <c r="K1118" i="42"/>
  <c r="K1119" i="42" s="1"/>
  <c r="J1119" i="42"/>
  <c r="L1119" i="42" s="1"/>
  <c r="E1129" i="42"/>
  <c r="G1129" i="42" s="1"/>
  <c r="F1129" i="42"/>
  <c r="J1129" i="42"/>
  <c r="K1129" i="42"/>
  <c r="L1129" i="42" s="1"/>
  <c r="E1130" i="42"/>
  <c r="F1130" i="42"/>
  <c r="G1130" i="42"/>
  <c r="J1130" i="42"/>
  <c r="L1130" i="42" s="1"/>
  <c r="K1130" i="42"/>
  <c r="E1131" i="42"/>
  <c r="G1131" i="42" s="1"/>
  <c r="F1131" i="42"/>
  <c r="K1131" i="42"/>
  <c r="E1141" i="42"/>
  <c r="F1141" i="42"/>
  <c r="G1141" i="42"/>
  <c r="J1141" i="42"/>
  <c r="L1141" i="42" s="1"/>
  <c r="K1141" i="42"/>
  <c r="E1142" i="42"/>
  <c r="G1142" i="42" s="1"/>
  <c r="F1142" i="42"/>
  <c r="F1143" i="42" s="1"/>
  <c r="J1142" i="42"/>
  <c r="K1142" i="42"/>
  <c r="K1143" i="42" s="1"/>
  <c r="J1143" i="42"/>
  <c r="L1143" i="42" s="1"/>
  <c r="E1153" i="42"/>
  <c r="G1153" i="42" s="1"/>
  <c r="F1153" i="42"/>
  <c r="J1153" i="42"/>
  <c r="K1153" i="42"/>
  <c r="L1153" i="42" s="1"/>
  <c r="E1154" i="42"/>
  <c r="F1154" i="42"/>
  <c r="G1154" i="42"/>
  <c r="J1154" i="42"/>
  <c r="L1154" i="42" s="1"/>
  <c r="K1154" i="42"/>
  <c r="E1155" i="42"/>
  <c r="G1155" i="42" s="1"/>
  <c r="F1155" i="42"/>
  <c r="K1155" i="42"/>
  <c r="E1165" i="42"/>
  <c r="F1165" i="42"/>
  <c r="G1165" i="42"/>
  <c r="J1165" i="42"/>
  <c r="L1165" i="42" s="1"/>
  <c r="K1165" i="42"/>
  <c r="E1166" i="42"/>
  <c r="G1166" i="42" s="1"/>
  <c r="F1166" i="42"/>
  <c r="F1167" i="42" s="1"/>
  <c r="J1166" i="42"/>
  <c r="K1166" i="42"/>
  <c r="K1167" i="42" s="1"/>
  <c r="J1167" i="42"/>
  <c r="L1167" i="42" s="1"/>
  <c r="E1177" i="42"/>
  <c r="G1177" i="42" s="1"/>
  <c r="F1177" i="42"/>
  <c r="J1177" i="42"/>
  <c r="K1177" i="42"/>
  <c r="L1177" i="42" s="1"/>
  <c r="E1178" i="42"/>
  <c r="F1178" i="42"/>
  <c r="G1178" i="42"/>
  <c r="J1178" i="42"/>
  <c r="L1178" i="42" s="1"/>
  <c r="K1178" i="42"/>
  <c r="E1179" i="42"/>
  <c r="G1179" i="42" s="1"/>
  <c r="F1179" i="42"/>
  <c r="K1179" i="42"/>
  <c r="E1189" i="42"/>
  <c r="F1189" i="42"/>
  <c r="G1189" i="42"/>
  <c r="J1189" i="42"/>
  <c r="L1189" i="42" s="1"/>
  <c r="K1189" i="42"/>
  <c r="E1190" i="42"/>
  <c r="F1190" i="42"/>
  <c r="F1191" i="42" s="1"/>
  <c r="J1190" i="42"/>
  <c r="K1190" i="42"/>
  <c r="J1191" i="42"/>
  <c r="E1201" i="42"/>
  <c r="G1201" i="42" s="1"/>
  <c r="F1201" i="42"/>
  <c r="J1201" i="42"/>
  <c r="K1201" i="42"/>
  <c r="L1201" i="42" s="1"/>
  <c r="E1202" i="42"/>
  <c r="F1202" i="42"/>
  <c r="G1202" i="42"/>
  <c r="J1202" i="42"/>
  <c r="L1202" i="42" s="1"/>
  <c r="K1202" i="42"/>
  <c r="F1203" i="42"/>
  <c r="K1203" i="42"/>
  <c r="E1213" i="42"/>
  <c r="F1213" i="42"/>
  <c r="G1213" i="42"/>
  <c r="J1213" i="42"/>
  <c r="L1213" i="42" s="1"/>
  <c r="K1213" i="42"/>
  <c r="E1214" i="42"/>
  <c r="F1214" i="42"/>
  <c r="F1215" i="42" s="1"/>
  <c r="J1214" i="42"/>
  <c r="K1214" i="42"/>
  <c r="K1215" i="42" s="1"/>
  <c r="L1214" i="42"/>
  <c r="J1215" i="42"/>
  <c r="L1215" i="42" s="1"/>
  <c r="E1225" i="42"/>
  <c r="F1225" i="42"/>
  <c r="J1225" i="42"/>
  <c r="K1225" i="42"/>
  <c r="L1225" i="42" s="1"/>
  <c r="E1226" i="42"/>
  <c r="F1226" i="42"/>
  <c r="G1226" i="42"/>
  <c r="J1226" i="42"/>
  <c r="K1226" i="42"/>
  <c r="E1227" i="42"/>
  <c r="F1227" i="42"/>
  <c r="E1237" i="42"/>
  <c r="F1237" i="42"/>
  <c r="G1237" i="42"/>
  <c r="J1237" i="42"/>
  <c r="L1237" i="42" s="1"/>
  <c r="K1237" i="42"/>
  <c r="E1238" i="42"/>
  <c r="F1238" i="42"/>
  <c r="F1239" i="42" s="1"/>
  <c r="J1238" i="42"/>
  <c r="K1238" i="42"/>
  <c r="K1239" i="42" s="1"/>
  <c r="L1238" i="42"/>
  <c r="J1239" i="42"/>
  <c r="L1239" i="42" s="1"/>
  <c r="E1249" i="42"/>
  <c r="F1249" i="42"/>
  <c r="F1251" i="42" s="1"/>
  <c r="J1249" i="42"/>
  <c r="K1249" i="42"/>
  <c r="L1249" i="42" s="1"/>
  <c r="E1250" i="42"/>
  <c r="F1250" i="42"/>
  <c r="G1250" i="42"/>
  <c r="J1250" i="42"/>
  <c r="K1250" i="42"/>
  <c r="E1261" i="42"/>
  <c r="F1261" i="42"/>
  <c r="G1261" i="42"/>
  <c r="J1261" i="42"/>
  <c r="L1261" i="42" s="1"/>
  <c r="K1261" i="42"/>
  <c r="E1262" i="42"/>
  <c r="F1262" i="42"/>
  <c r="F1263" i="42" s="1"/>
  <c r="J1262" i="42"/>
  <c r="K1262" i="42"/>
  <c r="K1263" i="42" s="1"/>
  <c r="L1262" i="42"/>
  <c r="J1263" i="42"/>
  <c r="L1263" i="42" s="1"/>
  <c r="E1273" i="42"/>
  <c r="F1273" i="42"/>
  <c r="J1273" i="42"/>
  <c r="K1273" i="42"/>
  <c r="L1273" i="42" s="1"/>
  <c r="E1274" i="42"/>
  <c r="F1274" i="42"/>
  <c r="G1274" i="42"/>
  <c r="J1274" i="42"/>
  <c r="K1274" i="42"/>
  <c r="E1275" i="42"/>
  <c r="F1275" i="42"/>
  <c r="E1285" i="42"/>
  <c r="G1285" i="42" s="1"/>
  <c r="F1285" i="42"/>
  <c r="J1285" i="42"/>
  <c r="K1285" i="42"/>
  <c r="L1285" i="42"/>
  <c r="E1286" i="42"/>
  <c r="F1286" i="42"/>
  <c r="G1286" i="42" s="1"/>
  <c r="J1286" i="42"/>
  <c r="L1286" i="42" s="1"/>
  <c r="K1286" i="42"/>
  <c r="E1287" i="42"/>
  <c r="G1287" i="42" s="1"/>
  <c r="F1287" i="42"/>
  <c r="K1287" i="42"/>
  <c r="E1297" i="42"/>
  <c r="F1297" i="42"/>
  <c r="G1297" i="42" s="1"/>
  <c r="J1297" i="42"/>
  <c r="L1297" i="42" s="1"/>
  <c r="K1297" i="42"/>
  <c r="E1298" i="42"/>
  <c r="G1298" i="42" s="1"/>
  <c r="F1298" i="42"/>
  <c r="F1299" i="42" s="1"/>
  <c r="J1298" i="42"/>
  <c r="K1298" i="42"/>
  <c r="K1299" i="42" s="1"/>
  <c r="L1298" i="42"/>
  <c r="J1299" i="42"/>
  <c r="L1299" i="42" s="1"/>
  <c r="E1309" i="42"/>
  <c r="G1309" i="42" s="1"/>
  <c r="F1309" i="42"/>
  <c r="J1309" i="42"/>
  <c r="K1309" i="42"/>
  <c r="L1309" i="42"/>
  <c r="E1310" i="42"/>
  <c r="F1310" i="42"/>
  <c r="G1310" i="42" s="1"/>
  <c r="J1310" i="42"/>
  <c r="L1310" i="42" s="1"/>
  <c r="K1310" i="42"/>
  <c r="E1311" i="42"/>
  <c r="G1311" i="42" s="1"/>
  <c r="F1311" i="42"/>
  <c r="K1311" i="42"/>
  <c r="E1321" i="42"/>
  <c r="F1321" i="42"/>
  <c r="G1321" i="42" s="1"/>
  <c r="J1321" i="42"/>
  <c r="L1321" i="42" s="1"/>
  <c r="K1321" i="42"/>
  <c r="E1322" i="42"/>
  <c r="G1322" i="42" s="1"/>
  <c r="F1322" i="42"/>
  <c r="F1323" i="42" s="1"/>
  <c r="J1322" i="42"/>
  <c r="K1322" i="42"/>
  <c r="K1323" i="42" s="1"/>
  <c r="L1322" i="42"/>
  <c r="J1323" i="42"/>
  <c r="E1333" i="42"/>
  <c r="G1333" i="42" s="1"/>
  <c r="F1333" i="42"/>
  <c r="J1333" i="42"/>
  <c r="K1333" i="42"/>
  <c r="L1333" i="42"/>
  <c r="E1334" i="42"/>
  <c r="F1334" i="42"/>
  <c r="G1334" i="42" s="1"/>
  <c r="J1334" i="42"/>
  <c r="L1334" i="42" s="1"/>
  <c r="K1334" i="42"/>
  <c r="E1335" i="42"/>
  <c r="G1335" i="42" s="1"/>
  <c r="F1335" i="42"/>
  <c r="K1335" i="42"/>
  <c r="E1345" i="42"/>
  <c r="F1345" i="42"/>
  <c r="G1345" i="42" s="1"/>
  <c r="J1345" i="42"/>
  <c r="L1345" i="42" s="1"/>
  <c r="K1345" i="42"/>
  <c r="E1346" i="42"/>
  <c r="G1346" i="42" s="1"/>
  <c r="F1346" i="42"/>
  <c r="F1347" i="42" s="1"/>
  <c r="J1346" i="42"/>
  <c r="K1346" i="42"/>
  <c r="K1347" i="42" s="1"/>
  <c r="L1346" i="42"/>
  <c r="J1347" i="42"/>
  <c r="L1347" i="42" s="1"/>
  <c r="CR1" i="57"/>
  <c r="CS1" i="57"/>
  <c r="CT1" i="57" s="1"/>
  <c r="CW1" i="57"/>
  <c r="CX1" i="57"/>
  <c r="CY1" i="57" s="1"/>
  <c r="CR2" i="57"/>
  <c r="CS2" i="57"/>
  <c r="CT2" i="57" s="1"/>
  <c r="CW2" i="57"/>
  <c r="CX2" i="57"/>
  <c r="CY2" i="57" s="1"/>
  <c r="CR3" i="57"/>
  <c r="CS3" i="57"/>
  <c r="CT3" i="57" s="1"/>
  <c r="CW3" i="57"/>
  <c r="CX3" i="57"/>
  <c r="CY3" i="57" s="1"/>
  <c r="CR4" i="57"/>
  <c r="CS4" i="57"/>
  <c r="CT4" i="57" s="1"/>
  <c r="CW4" i="57"/>
  <c r="CX4" i="57"/>
  <c r="CY4" i="57" s="1"/>
  <c r="CR5" i="57"/>
  <c r="CS5" i="57"/>
  <c r="CT5" i="57" s="1"/>
  <c r="CW5" i="57"/>
  <c r="CX5" i="57"/>
  <c r="CY5" i="57" s="1"/>
  <c r="CR6" i="57"/>
  <c r="CS6" i="57"/>
  <c r="CT6" i="57" s="1"/>
  <c r="CW6" i="57"/>
  <c r="CX6" i="57"/>
  <c r="CY6" i="57" s="1"/>
  <c r="CR7" i="57"/>
  <c r="CS7" i="57"/>
  <c r="CT7" i="57" s="1"/>
  <c r="CW7" i="57"/>
  <c r="CX7" i="57"/>
  <c r="CY7" i="57" s="1"/>
  <c r="CR8" i="57"/>
  <c r="CS8" i="57"/>
  <c r="CT8" i="57" s="1"/>
  <c r="CW8" i="57"/>
  <c r="CX8" i="57"/>
  <c r="CY8" i="57" s="1"/>
  <c r="CR9" i="57"/>
  <c r="CS9" i="57"/>
  <c r="CT9" i="57" s="1"/>
  <c r="CW9" i="57"/>
  <c r="CX9" i="57"/>
  <c r="CY9" i="57" s="1"/>
  <c r="CR10" i="57"/>
  <c r="CS10" i="57"/>
  <c r="CT10" i="57" s="1"/>
  <c r="CW10" i="57"/>
  <c r="CX10" i="57"/>
  <c r="CY10" i="57" s="1"/>
  <c r="CR11" i="57"/>
  <c r="CS11" i="57"/>
  <c r="CT11" i="57" s="1"/>
  <c r="CW11" i="57"/>
  <c r="CX11" i="57"/>
  <c r="CY11" i="57" s="1"/>
  <c r="CR12" i="57"/>
  <c r="CS12" i="57"/>
  <c r="CT12" i="57" s="1"/>
  <c r="CW12" i="57"/>
  <c r="CX12" i="57"/>
  <c r="CY12" i="57" s="1"/>
  <c r="CR13" i="57"/>
  <c r="CS13" i="57"/>
  <c r="CT13" i="57" s="1"/>
  <c r="CW13" i="57"/>
  <c r="CX13" i="57"/>
  <c r="CY13" i="57" s="1"/>
  <c r="CR14" i="57"/>
  <c r="CS14" i="57"/>
  <c r="CT14" i="57" s="1"/>
  <c r="CW14" i="57"/>
  <c r="CX14" i="57"/>
  <c r="CY14" i="57" s="1"/>
  <c r="CR15" i="57"/>
  <c r="CS15" i="57"/>
  <c r="CT15" i="57" s="1"/>
  <c r="CW15" i="57"/>
  <c r="CX15" i="57"/>
  <c r="CY15" i="57" s="1"/>
  <c r="CR16" i="57"/>
  <c r="CS16" i="57"/>
  <c r="CT16" i="57" s="1"/>
  <c r="CW16" i="57"/>
  <c r="CX16" i="57"/>
  <c r="CY16" i="57" s="1"/>
  <c r="CR17" i="57"/>
  <c r="CS17" i="57"/>
  <c r="CT17" i="57" s="1"/>
  <c r="CW17" i="57"/>
  <c r="CX17" i="57"/>
  <c r="CY17" i="57" s="1"/>
  <c r="CR18" i="57"/>
  <c r="CS18" i="57"/>
  <c r="CT18" i="57" s="1"/>
  <c r="CW18" i="57"/>
  <c r="CX18" i="57"/>
  <c r="CY18" i="57" s="1"/>
  <c r="CR19" i="57"/>
  <c r="CS19" i="57"/>
  <c r="CT19" i="57" s="1"/>
  <c r="CW19" i="57"/>
  <c r="CX19" i="57"/>
  <c r="CY19" i="57" s="1"/>
  <c r="CR20" i="57"/>
  <c r="CS20" i="57"/>
  <c r="CT20" i="57" s="1"/>
  <c r="CW20" i="57"/>
  <c r="CX20" i="57"/>
  <c r="CY20" i="57" s="1"/>
  <c r="CR21" i="57"/>
  <c r="CS21" i="57"/>
  <c r="CT21" i="57" s="1"/>
  <c r="CW21" i="57"/>
  <c r="CX21" i="57"/>
  <c r="CY21" i="57" s="1"/>
  <c r="CR22" i="57"/>
  <c r="CS22" i="57"/>
  <c r="CT22" i="57" s="1"/>
  <c r="CW22" i="57"/>
  <c r="CX22" i="57"/>
  <c r="CY22" i="57" s="1"/>
  <c r="CR23" i="57"/>
  <c r="CS23" i="57"/>
  <c r="CT23" i="57" s="1"/>
  <c r="CW23" i="57"/>
  <c r="CX23" i="57"/>
  <c r="CY23" i="57" s="1"/>
  <c r="CR24" i="57"/>
  <c r="CS24" i="57"/>
  <c r="CT24" i="57" s="1"/>
  <c r="CW24" i="57"/>
  <c r="CX24" i="57"/>
  <c r="CY24" i="57" s="1"/>
  <c r="CR25" i="57"/>
  <c r="CS25" i="57"/>
  <c r="CT25" i="57" s="1"/>
  <c r="CW25" i="57"/>
  <c r="CX25" i="57"/>
  <c r="CY25" i="57" s="1"/>
  <c r="CR26" i="57"/>
  <c r="CS26" i="57"/>
  <c r="CT26" i="57" s="1"/>
  <c r="CW26" i="57"/>
  <c r="CX26" i="57"/>
  <c r="CY26" i="57" s="1"/>
  <c r="CR27" i="57"/>
  <c r="CS27" i="57"/>
  <c r="CT27" i="57" s="1"/>
  <c r="CW27" i="57"/>
  <c r="CX27" i="57"/>
  <c r="CY27" i="57" s="1"/>
  <c r="CR28" i="57"/>
  <c r="CS28" i="57"/>
  <c r="CT28" i="57" s="1"/>
  <c r="CW28" i="57"/>
  <c r="CX28" i="57"/>
  <c r="CY28" i="57" s="1"/>
  <c r="CR29" i="57"/>
  <c r="CS29" i="57"/>
  <c r="CT29" i="57" s="1"/>
  <c r="CW29" i="57"/>
  <c r="CX29" i="57"/>
  <c r="CY29" i="57" s="1"/>
  <c r="CR30" i="57"/>
  <c r="CS30" i="57"/>
  <c r="CT30" i="57" s="1"/>
  <c r="CW30" i="57"/>
  <c r="CX30" i="57"/>
  <c r="CY30" i="57" s="1"/>
  <c r="CR31" i="57"/>
  <c r="CS31" i="57"/>
  <c r="CT31" i="57" s="1"/>
  <c r="CW31" i="57"/>
  <c r="CX31" i="57"/>
  <c r="CY31" i="57" s="1"/>
  <c r="CR32" i="57"/>
  <c r="CS32" i="57"/>
  <c r="CT32" i="57" s="1"/>
  <c r="CW32" i="57"/>
  <c r="CX32" i="57"/>
  <c r="CY32" i="57" s="1"/>
  <c r="CR33" i="57"/>
  <c r="CS33" i="57"/>
  <c r="CT33" i="57" s="1"/>
  <c r="CW33" i="57"/>
  <c r="CX33" i="57"/>
  <c r="CY33" i="57" s="1"/>
  <c r="CR34" i="57"/>
  <c r="CS34" i="57"/>
  <c r="CT34" i="57" s="1"/>
  <c r="CW34" i="57"/>
  <c r="CX34" i="57"/>
  <c r="CY34" i="57" s="1"/>
  <c r="CR35" i="57"/>
  <c r="CS35" i="57"/>
  <c r="CT35" i="57" s="1"/>
  <c r="CW35" i="57"/>
  <c r="CX35" i="57"/>
  <c r="CY35" i="57" s="1"/>
  <c r="CR36" i="57"/>
  <c r="CS36" i="57"/>
  <c r="CT36" i="57" s="1"/>
  <c r="CW36" i="57"/>
  <c r="CX36" i="57"/>
  <c r="CY36" i="57" s="1"/>
  <c r="CR37" i="57"/>
  <c r="CS37" i="57"/>
  <c r="CT37" i="57" s="1"/>
  <c r="CW37" i="57"/>
  <c r="CX37" i="57"/>
  <c r="CY37" i="57" s="1"/>
  <c r="CR38" i="57"/>
  <c r="CS38" i="57"/>
  <c r="CT38" i="57" s="1"/>
  <c r="CW38" i="57"/>
  <c r="CX38" i="57"/>
  <c r="CY38" i="57" s="1"/>
  <c r="CR39" i="57"/>
  <c r="CS39" i="57"/>
  <c r="CT39" i="57" s="1"/>
  <c r="CW39" i="57"/>
  <c r="CX39" i="57"/>
  <c r="CY39" i="57" s="1"/>
  <c r="CR40" i="57"/>
  <c r="CS40" i="57"/>
  <c r="CT40" i="57" s="1"/>
  <c r="CW40" i="57"/>
  <c r="CX40" i="57"/>
  <c r="CY40" i="57" s="1"/>
  <c r="CR41" i="57"/>
  <c r="CS41" i="57"/>
  <c r="CT41" i="57" s="1"/>
  <c r="CW41" i="57"/>
  <c r="CX41" i="57"/>
  <c r="CY41" i="57" s="1"/>
  <c r="CR42" i="57"/>
  <c r="CS42" i="57"/>
  <c r="CT42" i="57" s="1"/>
  <c r="CW42" i="57"/>
  <c r="CX42" i="57"/>
  <c r="CY42" i="57" s="1"/>
  <c r="CR43" i="57"/>
  <c r="CS43" i="57"/>
  <c r="CT43" i="57" s="1"/>
  <c r="CW43" i="57"/>
  <c r="CX43" i="57"/>
  <c r="CY43" i="57" s="1"/>
  <c r="CR44" i="57"/>
  <c r="CS44" i="57"/>
  <c r="CT44" i="57" s="1"/>
  <c r="CW44" i="57"/>
  <c r="CX44" i="57"/>
  <c r="CY44" i="57" s="1"/>
  <c r="CR45" i="57"/>
  <c r="CS45" i="57"/>
  <c r="CT45" i="57" s="1"/>
  <c r="CW45" i="57"/>
  <c r="CX45" i="57"/>
  <c r="CY45" i="57" s="1"/>
  <c r="CR46" i="57"/>
  <c r="CS46" i="57"/>
  <c r="CT46" i="57" s="1"/>
  <c r="CW46" i="57"/>
  <c r="CX46" i="57"/>
  <c r="CY46" i="57" s="1"/>
  <c r="CR47" i="57"/>
  <c r="CS47" i="57"/>
  <c r="CT47" i="57" s="1"/>
  <c r="CW47" i="57"/>
  <c r="CX47" i="57"/>
  <c r="CY47" i="57" s="1"/>
  <c r="CR48" i="57"/>
  <c r="CS48" i="57"/>
  <c r="CT48" i="57" s="1"/>
  <c r="CW48" i="57"/>
  <c r="CX48" i="57"/>
  <c r="CY48" i="57" s="1"/>
  <c r="CR49" i="57"/>
  <c r="CS49" i="57"/>
  <c r="CT49" i="57" s="1"/>
  <c r="CW49" i="57"/>
  <c r="CX49" i="57"/>
  <c r="CY49" i="57" s="1"/>
  <c r="CR50" i="57"/>
  <c r="CS50" i="57"/>
  <c r="CT50" i="57" s="1"/>
  <c r="CW50" i="57"/>
  <c r="CX50" i="57"/>
  <c r="CY50" i="57" s="1"/>
  <c r="CR51" i="57"/>
  <c r="CS51" i="57"/>
  <c r="CT51" i="57" s="1"/>
  <c r="CW51" i="57"/>
  <c r="CX51" i="57"/>
  <c r="CY51" i="57" s="1"/>
  <c r="CR52" i="57"/>
  <c r="CS52" i="57"/>
  <c r="CT52" i="57" s="1"/>
  <c r="CW52" i="57"/>
  <c r="CX52" i="57"/>
  <c r="CY52" i="57" s="1"/>
  <c r="CR53" i="57"/>
  <c r="CS53" i="57"/>
  <c r="CT53" i="57" s="1"/>
  <c r="CW53" i="57"/>
  <c r="CX53" i="57"/>
  <c r="CY53" i="57" s="1"/>
  <c r="CR54" i="57"/>
  <c r="CS54" i="57"/>
  <c r="CT54" i="57" s="1"/>
  <c r="CW54" i="57"/>
  <c r="CX54" i="57"/>
  <c r="CY54" i="57" s="1"/>
  <c r="CR55" i="57"/>
  <c r="CS55" i="57"/>
  <c r="CT55" i="57" s="1"/>
  <c r="CW55" i="57"/>
  <c r="CX55" i="57"/>
  <c r="CY55" i="57" s="1"/>
  <c r="CR56" i="57"/>
  <c r="CS56" i="57"/>
  <c r="CT56" i="57" s="1"/>
  <c r="CW56" i="57"/>
  <c r="CX56" i="57"/>
  <c r="CY56" i="57" s="1"/>
  <c r="CR57" i="57"/>
  <c r="CS57" i="57"/>
  <c r="CT57" i="57" s="1"/>
  <c r="CW57" i="57"/>
  <c r="CX57" i="57"/>
  <c r="CY57" i="57" s="1"/>
  <c r="CR58" i="57"/>
  <c r="CS58" i="57"/>
  <c r="CT58" i="57" s="1"/>
  <c r="CW58" i="57"/>
  <c r="CX58" i="57"/>
  <c r="CY58" i="57" s="1"/>
  <c r="CR59" i="57"/>
  <c r="CS59" i="57"/>
  <c r="CT59" i="57" s="1"/>
  <c r="CW59" i="57"/>
  <c r="CX59" i="57"/>
  <c r="CY59" i="57" s="1"/>
  <c r="CR60" i="57"/>
  <c r="CS60" i="57"/>
  <c r="CT60" i="57" s="1"/>
  <c r="CW60" i="57"/>
  <c r="CX60" i="57"/>
  <c r="CY60" i="57" s="1"/>
  <c r="CR61" i="57"/>
  <c r="CS61" i="57"/>
  <c r="CT61" i="57" s="1"/>
  <c r="CW61" i="57"/>
  <c r="CX61" i="57"/>
  <c r="CY61" i="57" s="1"/>
  <c r="CR62" i="57"/>
  <c r="CS62" i="57"/>
  <c r="CT62" i="57" s="1"/>
  <c r="CW62" i="57"/>
  <c r="CX62" i="57"/>
  <c r="CY62" i="57" s="1"/>
  <c r="CR63" i="57"/>
  <c r="CS63" i="57"/>
  <c r="CT63" i="57" s="1"/>
  <c r="CW63" i="57"/>
  <c r="CX63" i="57"/>
  <c r="CY63" i="57" s="1"/>
  <c r="CR64" i="57"/>
  <c r="CS64" i="57"/>
  <c r="CT64" i="57" s="1"/>
  <c r="CW64" i="57"/>
  <c r="CX64" i="57"/>
  <c r="CY64" i="57" s="1"/>
  <c r="CR65" i="57"/>
  <c r="CS65" i="57"/>
  <c r="CT65" i="57" s="1"/>
  <c r="CW65" i="57"/>
  <c r="CX65" i="57"/>
  <c r="CY65" i="57" s="1"/>
  <c r="CR66" i="57"/>
  <c r="CS66" i="57"/>
  <c r="CT66" i="57" s="1"/>
  <c r="CW66" i="57"/>
  <c r="CX66" i="57"/>
  <c r="CY66" i="57" s="1"/>
  <c r="CR67" i="57"/>
  <c r="CS67" i="57"/>
  <c r="CT67" i="57" s="1"/>
  <c r="CW67" i="57"/>
  <c r="CX67" i="57"/>
  <c r="CY67" i="57" s="1"/>
  <c r="CR68" i="57"/>
  <c r="CS68" i="57"/>
  <c r="CT68" i="57" s="1"/>
  <c r="CW68" i="57"/>
  <c r="CX68" i="57"/>
  <c r="CY68" i="57" s="1"/>
  <c r="CR69" i="57"/>
  <c r="CS69" i="57"/>
  <c r="CT69" i="57" s="1"/>
  <c r="CW69" i="57"/>
  <c r="CX69" i="57"/>
  <c r="CY69" i="57" s="1"/>
  <c r="CR70" i="57"/>
  <c r="CS70" i="57"/>
  <c r="CT70" i="57" s="1"/>
  <c r="CW70" i="57"/>
  <c r="CX70" i="57"/>
  <c r="CY70" i="57" s="1"/>
  <c r="CR71" i="57"/>
  <c r="CS71" i="57"/>
  <c r="CT71" i="57" s="1"/>
  <c r="CW71" i="57"/>
  <c r="CX71" i="57"/>
  <c r="CY71" i="57" s="1"/>
  <c r="CR72" i="57"/>
  <c r="CS72" i="57"/>
  <c r="CT72" i="57" s="1"/>
  <c r="CW72" i="57"/>
  <c r="CX72" i="57"/>
  <c r="CY72" i="57" s="1"/>
  <c r="CR73" i="57"/>
  <c r="CS73" i="57"/>
  <c r="CT73" i="57" s="1"/>
  <c r="CW73" i="57"/>
  <c r="CX73" i="57"/>
  <c r="CY73" i="57" s="1"/>
  <c r="CR74" i="57"/>
  <c r="CS74" i="57"/>
  <c r="CT74" i="57" s="1"/>
  <c r="CW74" i="57"/>
  <c r="CX74" i="57"/>
  <c r="CY74" i="57" s="1"/>
  <c r="CR75" i="57"/>
  <c r="CS75" i="57"/>
  <c r="CT75" i="57" s="1"/>
  <c r="CW75" i="57"/>
  <c r="CX75" i="57"/>
  <c r="CY75" i="57" s="1"/>
  <c r="CR76" i="57"/>
  <c r="CS76" i="57"/>
  <c r="CT76" i="57" s="1"/>
  <c r="CW76" i="57"/>
  <c r="CX76" i="57"/>
  <c r="CY76" i="57" s="1"/>
  <c r="CR77" i="57"/>
  <c r="CS77" i="57"/>
  <c r="CT77" i="57" s="1"/>
  <c r="CW77" i="57"/>
  <c r="CX77" i="57"/>
  <c r="CY77" i="57" s="1"/>
  <c r="CR78" i="57"/>
  <c r="CS78" i="57"/>
  <c r="CT78" i="57" s="1"/>
  <c r="CW78" i="57"/>
  <c r="CX78" i="57"/>
  <c r="CY78" i="57" s="1"/>
  <c r="CR79" i="57"/>
  <c r="CS79" i="57"/>
  <c r="CT79" i="57" s="1"/>
  <c r="CW79" i="57"/>
  <c r="CX79" i="57"/>
  <c r="CY79" i="57" s="1"/>
  <c r="CR80" i="57"/>
  <c r="CS80" i="57"/>
  <c r="CT80" i="57" s="1"/>
  <c r="CW80" i="57"/>
  <c r="CX80" i="57"/>
  <c r="CY80" i="57" s="1"/>
  <c r="CR81" i="57"/>
  <c r="CS81" i="57"/>
  <c r="CT81" i="57" s="1"/>
  <c r="CW81" i="57"/>
  <c r="CX81" i="57"/>
  <c r="CY81" i="57" s="1"/>
  <c r="CR82" i="57"/>
  <c r="CS82" i="57"/>
  <c r="CT82" i="57" s="1"/>
  <c r="CW82" i="57"/>
  <c r="CX82" i="57"/>
  <c r="CY82" i="57" s="1"/>
  <c r="CR83" i="57"/>
  <c r="CS83" i="57"/>
  <c r="CT83" i="57" s="1"/>
  <c r="CW83" i="57"/>
  <c r="CX83" i="57"/>
  <c r="CY83" i="57" s="1"/>
  <c r="CR84" i="57"/>
  <c r="CS84" i="57"/>
  <c r="CT84" i="57" s="1"/>
  <c r="CW84" i="57"/>
  <c r="CX84" i="57"/>
  <c r="CY84" i="57" s="1"/>
  <c r="CR85" i="57"/>
  <c r="CS85" i="57"/>
  <c r="CT85" i="57" s="1"/>
  <c r="CW85" i="57"/>
  <c r="CX85" i="57"/>
  <c r="CY85" i="57" s="1"/>
  <c r="CR86" i="57"/>
  <c r="CS86" i="57"/>
  <c r="CT86" i="57" s="1"/>
  <c r="CW86" i="57"/>
  <c r="CX86" i="57"/>
  <c r="CY86" i="57" s="1"/>
  <c r="CR87" i="57"/>
  <c r="CS87" i="57"/>
  <c r="CT87" i="57" s="1"/>
  <c r="CW87" i="57"/>
  <c r="CX87" i="57"/>
  <c r="CY87" i="57" s="1"/>
  <c r="CR88" i="57"/>
  <c r="CS88" i="57"/>
  <c r="CT88" i="57" s="1"/>
  <c r="CW88" i="57"/>
  <c r="CX88" i="57"/>
  <c r="CY88" i="57" s="1"/>
  <c r="CR89" i="57"/>
  <c r="CS89" i="57"/>
  <c r="CT89" i="57" s="1"/>
  <c r="CW89" i="57"/>
  <c r="CX89" i="57"/>
  <c r="CY89" i="57" s="1"/>
  <c r="CR90" i="57"/>
  <c r="CS90" i="57"/>
  <c r="CT90" i="57" s="1"/>
  <c r="CW90" i="57"/>
  <c r="CX90" i="57"/>
  <c r="CY90" i="57" s="1"/>
  <c r="CR91" i="57"/>
  <c r="CS91" i="57"/>
  <c r="CT91" i="57" s="1"/>
  <c r="CW91" i="57"/>
  <c r="CX91" i="57"/>
  <c r="CY91" i="57" s="1"/>
  <c r="CR92" i="57"/>
  <c r="CS92" i="57"/>
  <c r="CT92" i="57" s="1"/>
  <c r="CW92" i="57"/>
  <c r="CX92" i="57"/>
  <c r="CY92" i="57" s="1"/>
  <c r="CR93" i="57"/>
  <c r="CS93" i="57"/>
  <c r="CT93" i="57" s="1"/>
  <c r="CW93" i="57"/>
  <c r="CX93" i="57"/>
  <c r="CY93" i="57" s="1"/>
  <c r="CR94" i="57"/>
  <c r="CS94" i="57"/>
  <c r="CT94" i="57" s="1"/>
  <c r="CW94" i="57"/>
  <c r="CX94" i="57"/>
  <c r="CY94" i="57" s="1"/>
  <c r="CR95" i="57"/>
  <c r="CS95" i="57"/>
  <c r="CT95" i="57" s="1"/>
  <c r="CW95" i="57"/>
  <c r="CX95" i="57"/>
  <c r="CY95" i="57" s="1"/>
  <c r="CR96" i="57"/>
  <c r="CS96" i="57"/>
  <c r="CT96" i="57" s="1"/>
  <c r="CW96" i="57"/>
  <c r="CX96" i="57"/>
  <c r="CY96" i="57" s="1"/>
  <c r="CR97" i="57"/>
  <c r="CS97" i="57"/>
  <c r="CT97" i="57" s="1"/>
  <c r="CW97" i="57"/>
  <c r="CX97" i="57"/>
  <c r="CY97" i="57" s="1"/>
  <c r="CR98" i="57"/>
  <c r="CS98" i="57"/>
  <c r="CT98" i="57" s="1"/>
  <c r="CW98" i="57"/>
  <c r="CX98" i="57"/>
  <c r="CY98" i="57" s="1"/>
  <c r="CR99" i="57"/>
  <c r="CS99" i="57"/>
  <c r="CT99" i="57" s="1"/>
  <c r="CW99" i="57"/>
  <c r="CX99" i="57"/>
  <c r="CY99" i="57" s="1"/>
  <c r="CR100" i="57"/>
  <c r="CS100" i="57"/>
  <c r="CT100" i="57" s="1"/>
  <c r="CW100" i="57"/>
  <c r="CX100" i="57"/>
  <c r="CY100" i="57" s="1"/>
  <c r="CR101" i="57"/>
  <c r="CS101" i="57"/>
  <c r="CT101" i="57" s="1"/>
  <c r="CW101" i="57"/>
  <c r="CX101" i="57"/>
  <c r="CY101" i="57" s="1"/>
  <c r="CR102" i="57"/>
  <c r="CS102" i="57"/>
  <c r="CT102" i="57" s="1"/>
  <c r="CW102" i="57"/>
  <c r="CX102" i="57"/>
  <c r="CY102" i="57" s="1"/>
  <c r="CR103" i="57"/>
  <c r="CS103" i="57"/>
  <c r="CT103" i="57" s="1"/>
  <c r="CW103" i="57"/>
  <c r="CX103" i="57"/>
  <c r="CY103" i="57" s="1"/>
  <c r="CR104" i="57"/>
  <c r="CS104" i="57"/>
  <c r="CT104" i="57" s="1"/>
  <c r="CW104" i="57"/>
  <c r="CX104" i="57"/>
  <c r="CY104" i="57" s="1"/>
  <c r="CR105" i="57"/>
  <c r="CS105" i="57"/>
  <c r="CT105" i="57" s="1"/>
  <c r="CW105" i="57"/>
  <c r="CX105" i="57"/>
  <c r="CY105" i="57" s="1"/>
  <c r="CR106" i="57"/>
  <c r="CS106" i="57"/>
  <c r="CT106" i="57" s="1"/>
  <c r="CW106" i="57"/>
  <c r="CX106" i="57"/>
  <c r="CY106" i="57" s="1"/>
  <c r="CR107" i="57"/>
  <c r="CS107" i="57"/>
  <c r="CT107" i="57" s="1"/>
  <c r="CW107" i="57"/>
  <c r="CX107" i="57"/>
  <c r="CY107" i="57" s="1"/>
  <c r="CR108" i="57"/>
  <c r="CS108" i="57"/>
  <c r="CT108" i="57" s="1"/>
  <c r="CW108" i="57"/>
  <c r="CX108" i="57"/>
  <c r="CY108" i="57" s="1"/>
  <c r="CR109" i="57"/>
  <c r="CS109" i="57"/>
  <c r="CT109" i="57" s="1"/>
  <c r="CW109" i="57"/>
  <c r="CX109" i="57"/>
  <c r="CY109" i="57" s="1"/>
  <c r="CR110" i="57"/>
  <c r="CS110" i="57"/>
  <c r="CT110" i="57" s="1"/>
  <c r="CW110" i="57"/>
  <c r="CX110" i="57"/>
  <c r="CY110" i="57" s="1"/>
  <c r="CR111" i="57"/>
  <c r="CS111" i="57"/>
  <c r="CT111" i="57" s="1"/>
  <c r="CW111" i="57"/>
  <c r="CX111" i="57"/>
  <c r="CY111" i="57" s="1"/>
  <c r="CR112" i="57"/>
  <c r="CS112" i="57"/>
  <c r="CT112" i="57" s="1"/>
  <c r="CW112" i="57"/>
  <c r="CX112" i="57"/>
  <c r="CY112" i="57" s="1"/>
  <c r="CR113" i="57"/>
  <c r="CS113" i="57"/>
  <c r="CT113" i="57" s="1"/>
  <c r="CW113" i="57"/>
  <c r="CX113" i="57"/>
  <c r="CY113" i="57" s="1"/>
  <c r="CR114" i="57"/>
  <c r="CS114" i="57"/>
  <c r="CT114" i="57" s="1"/>
  <c r="CW114" i="57"/>
  <c r="CX114" i="57"/>
  <c r="CY114" i="57" s="1"/>
  <c r="CR115" i="57"/>
  <c r="CS115" i="57"/>
  <c r="CT115" i="57" s="1"/>
  <c r="CW115" i="57"/>
  <c r="CX115" i="57"/>
  <c r="CY115" i="57" s="1"/>
  <c r="CR116" i="57"/>
  <c r="CS116" i="57"/>
  <c r="CT116" i="57" s="1"/>
  <c r="CW116" i="57"/>
  <c r="CX116" i="57"/>
  <c r="CY116" i="57" s="1"/>
  <c r="CR117" i="57"/>
  <c r="CS117" i="57"/>
  <c r="CT117" i="57" s="1"/>
  <c r="CW117" i="57"/>
  <c r="CX117" i="57"/>
  <c r="CY117" i="57" s="1"/>
  <c r="CR118" i="57"/>
  <c r="CS118" i="57"/>
  <c r="CT118" i="57" s="1"/>
  <c r="CW118" i="57"/>
  <c r="CX118" i="57"/>
  <c r="CY118" i="57" s="1"/>
  <c r="CR119" i="57"/>
  <c r="CS119" i="57"/>
  <c r="CT119" i="57" s="1"/>
  <c r="CW119" i="57"/>
  <c r="CX119" i="57"/>
  <c r="CY119" i="57" s="1"/>
  <c r="CR120" i="57"/>
  <c r="CS120" i="57"/>
  <c r="CT120" i="57" s="1"/>
  <c r="CW120" i="57"/>
  <c r="CX120" i="57"/>
  <c r="CY120" i="57" s="1"/>
  <c r="CR121" i="57"/>
  <c r="CS121" i="57"/>
  <c r="CT121" i="57" s="1"/>
  <c r="CW121" i="57"/>
  <c r="CX121" i="57"/>
  <c r="CY121" i="57" s="1"/>
  <c r="CR122" i="57"/>
  <c r="CS122" i="57"/>
  <c r="CT122" i="57" s="1"/>
  <c r="CW122" i="57"/>
  <c r="CX122" i="57"/>
  <c r="CY122" i="57" s="1"/>
  <c r="CR123" i="57"/>
  <c r="CS123" i="57"/>
  <c r="CT123" i="57" s="1"/>
  <c r="CW123" i="57"/>
  <c r="CX123" i="57"/>
  <c r="CY123" i="57" s="1"/>
  <c r="CR124" i="57"/>
  <c r="CS124" i="57"/>
  <c r="CT124" i="57" s="1"/>
  <c r="CW124" i="57"/>
  <c r="CX124" i="57"/>
  <c r="CY124" i="57" s="1"/>
  <c r="CR125" i="57"/>
  <c r="CS125" i="57"/>
  <c r="CT125" i="57" s="1"/>
  <c r="CW125" i="57"/>
  <c r="CX125" i="57"/>
  <c r="CY125" i="57" s="1"/>
  <c r="CR126" i="57"/>
  <c r="CS126" i="57"/>
  <c r="CT126" i="57" s="1"/>
  <c r="CW126" i="57"/>
  <c r="CX126" i="57"/>
  <c r="CY126" i="57" s="1"/>
  <c r="CR127" i="57"/>
  <c r="CS127" i="57"/>
  <c r="CT127" i="57" s="1"/>
  <c r="CW127" i="57"/>
  <c r="CX127" i="57"/>
  <c r="CY127" i="57" s="1"/>
  <c r="CR128" i="57"/>
  <c r="CS128" i="57"/>
  <c r="CT128" i="57" s="1"/>
  <c r="CW128" i="57"/>
  <c r="CX128" i="57"/>
  <c r="CY128" i="57" s="1"/>
  <c r="CR129" i="57"/>
  <c r="CS129" i="57"/>
  <c r="CT129" i="57" s="1"/>
  <c r="CW129" i="57"/>
  <c r="CX129" i="57"/>
  <c r="CY129" i="57" s="1"/>
  <c r="CR130" i="57"/>
  <c r="CS130" i="57"/>
  <c r="CT130" i="57" s="1"/>
  <c r="CW130" i="57"/>
  <c r="CX130" i="57"/>
  <c r="CY130" i="57" s="1"/>
  <c r="CR131" i="57"/>
  <c r="CS131" i="57"/>
  <c r="CT131" i="57" s="1"/>
  <c r="CW131" i="57"/>
  <c r="CX131" i="57"/>
  <c r="CY131" i="57" s="1"/>
  <c r="CR132" i="57"/>
  <c r="CS132" i="57"/>
  <c r="CT132" i="57" s="1"/>
  <c r="CW132" i="57"/>
  <c r="CX132" i="57"/>
  <c r="CY132" i="57" s="1"/>
  <c r="CR133" i="57"/>
  <c r="CS133" i="57"/>
  <c r="CT133" i="57" s="1"/>
  <c r="CW133" i="57"/>
  <c r="CX133" i="57"/>
  <c r="CY133" i="57" s="1"/>
  <c r="CR134" i="57"/>
  <c r="CS134" i="57"/>
  <c r="CT134" i="57" s="1"/>
  <c r="CW134" i="57"/>
  <c r="CX134" i="57"/>
  <c r="CY134" i="57" s="1"/>
  <c r="CR135" i="57"/>
  <c r="CS135" i="57"/>
  <c r="CT135" i="57" s="1"/>
  <c r="CW135" i="57"/>
  <c r="CX135" i="57"/>
  <c r="CY135" i="57" s="1"/>
  <c r="CR136" i="57"/>
  <c r="CS136" i="57"/>
  <c r="CT136" i="57" s="1"/>
  <c r="CW136" i="57"/>
  <c r="CX136" i="57"/>
  <c r="CY136" i="57" s="1"/>
  <c r="CR137" i="57"/>
  <c r="CS137" i="57"/>
  <c r="CT137" i="57" s="1"/>
  <c r="CW137" i="57"/>
  <c r="CX137" i="57"/>
  <c r="CY137" i="57" s="1"/>
  <c r="CR138" i="57"/>
  <c r="CS138" i="57"/>
  <c r="CT138" i="57" s="1"/>
  <c r="CW138" i="57"/>
  <c r="CX138" i="57"/>
  <c r="CY138" i="57" s="1"/>
  <c r="CR139" i="57"/>
  <c r="CS139" i="57"/>
  <c r="CT139" i="57" s="1"/>
  <c r="CW139" i="57"/>
  <c r="CX139" i="57"/>
  <c r="CY139" i="57" s="1"/>
  <c r="CR140" i="57"/>
  <c r="CS140" i="57"/>
  <c r="CT140" i="57" s="1"/>
  <c r="CW140" i="57"/>
  <c r="CX140" i="57"/>
  <c r="CY140" i="57" s="1"/>
  <c r="CR141" i="57"/>
  <c r="CS141" i="57"/>
  <c r="CT141" i="57" s="1"/>
  <c r="CW141" i="57"/>
  <c r="CX141" i="57"/>
  <c r="CY141" i="57" s="1"/>
  <c r="CR142" i="57"/>
  <c r="CS142" i="57"/>
  <c r="CT142" i="57" s="1"/>
  <c r="CW142" i="57"/>
  <c r="CX142" i="57"/>
  <c r="CY142" i="57" s="1"/>
  <c r="CR143" i="57"/>
  <c r="CS143" i="57"/>
  <c r="CT143" i="57" s="1"/>
  <c r="CW143" i="57"/>
  <c r="CX143" i="57"/>
  <c r="CY143" i="57" s="1"/>
  <c r="CR144" i="57"/>
  <c r="CS144" i="57"/>
  <c r="CT144" i="57" s="1"/>
  <c r="CW144" i="57"/>
  <c r="CX144" i="57"/>
  <c r="CY144" i="57" s="1"/>
  <c r="CR145" i="57"/>
  <c r="CS145" i="57"/>
  <c r="CT145" i="57" s="1"/>
  <c r="CW145" i="57"/>
  <c r="CX145" i="57"/>
  <c r="CY145" i="57" s="1"/>
  <c r="CR146" i="57"/>
  <c r="CS146" i="57"/>
  <c r="CT146" i="57" s="1"/>
  <c r="CW146" i="57"/>
  <c r="CX146" i="57"/>
  <c r="CY146" i="57" s="1"/>
  <c r="CR147" i="57"/>
  <c r="CS147" i="57"/>
  <c r="CT147" i="57" s="1"/>
  <c r="CW147" i="57"/>
  <c r="CX147" i="57"/>
  <c r="CY147" i="57" s="1"/>
  <c r="CR148" i="57"/>
  <c r="CS148" i="57"/>
  <c r="CT148" i="57" s="1"/>
  <c r="CW148" i="57"/>
  <c r="CX148" i="57"/>
  <c r="CY148" i="57" s="1"/>
  <c r="CR149" i="57"/>
  <c r="CS149" i="57"/>
  <c r="CT149" i="57" s="1"/>
  <c r="CW149" i="57"/>
  <c r="CX149" i="57"/>
  <c r="CY149" i="57" s="1"/>
  <c r="CR150" i="57"/>
  <c r="CS150" i="57"/>
  <c r="CT150" i="57" s="1"/>
  <c r="CW150" i="57"/>
  <c r="CX150" i="57"/>
  <c r="CY150" i="57" s="1"/>
  <c r="CR151" i="57"/>
  <c r="CS151" i="57"/>
  <c r="CT151" i="57" s="1"/>
  <c r="CW151" i="57"/>
  <c r="CX151" i="57"/>
  <c r="CY151" i="57" s="1"/>
  <c r="CR152" i="57"/>
  <c r="CS152" i="57"/>
  <c r="CT152" i="57" s="1"/>
  <c r="CW152" i="57"/>
  <c r="CX152" i="57"/>
  <c r="CY152" i="57" s="1"/>
  <c r="CR153" i="57"/>
  <c r="CS153" i="57"/>
  <c r="CT153" i="57" s="1"/>
  <c r="CW153" i="57"/>
  <c r="CX153" i="57"/>
  <c r="CY153" i="57" s="1"/>
  <c r="CR154" i="57"/>
  <c r="CS154" i="57"/>
  <c r="CT154" i="57" s="1"/>
  <c r="CW154" i="57"/>
  <c r="CX154" i="57"/>
  <c r="CY154" i="57" s="1"/>
  <c r="CR155" i="57"/>
  <c r="CS155" i="57"/>
  <c r="CT155" i="57" s="1"/>
  <c r="CW155" i="57"/>
  <c r="CX155" i="57"/>
  <c r="CY155" i="57" s="1"/>
  <c r="CR156" i="57"/>
  <c r="CS156" i="57"/>
  <c r="CT156" i="57" s="1"/>
  <c r="CW156" i="57"/>
  <c r="CX156" i="57"/>
  <c r="CY156" i="57" s="1"/>
  <c r="CR157" i="57"/>
  <c r="CS157" i="57"/>
  <c r="CT157" i="57" s="1"/>
  <c r="CW157" i="57"/>
  <c r="CX157" i="57"/>
  <c r="CY157" i="57" s="1"/>
  <c r="CR158" i="57"/>
  <c r="CS158" i="57"/>
  <c r="CT158" i="57" s="1"/>
  <c r="CW158" i="57"/>
  <c r="CX158" i="57"/>
  <c r="CY158" i="57" s="1"/>
  <c r="CR159" i="57"/>
  <c r="CS159" i="57"/>
  <c r="CT159" i="57" s="1"/>
  <c r="CW159" i="57"/>
  <c r="CX159" i="57"/>
  <c r="CY159" i="57" s="1"/>
  <c r="CR160" i="57"/>
  <c r="CS160" i="57"/>
  <c r="CT160" i="57" s="1"/>
  <c r="CW160" i="57"/>
  <c r="CX160" i="57"/>
  <c r="CY160" i="57" s="1"/>
  <c r="CR161" i="57"/>
  <c r="CS161" i="57"/>
  <c r="CT161" i="57" s="1"/>
  <c r="CW161" i="57"/>
  <c r="CX161" i="57"/>
  <c r="CY161" i="57" s="1"/>
  <c r="CR162" i="57"/>
  <c r="CS162" i="57"/>
  <c r="CT162" i="57" s="1"/>
  <c r="CW162" i="57"/>
  <c r="CX162" i="57"/>
  <c r="CY162" i="57" s="1"/>
  <c r="CR163" i="57"/>
  <c r="CS163" i="57"/>
  <c r="CT163" i="57" s="1"/>
  <c r="CW163" i="57"/>
  <c r="CX163" i="57"/>
  <c r="CY163" i="57" s="1"/>
  <c r="CR164" i="57"/>
  <c r="CS164" i="57"/>
  <c r="CT164" i="57" s="1"/>
  <c r="CW164" i="57"/>
  <c r="CX164" i="57"/>
  <c r="CY164" i="57" s="1"/>
  <c r="CR165" i="57"/>
  <c r="CS165" i="57"/>
  <c r="CT165" i="57" s="1"/>
  <c r="CW165" i="57"/>
  <c r="CX165" i="57"/>
  <c r="CY165" i="57" s="1"/>
  <c r="CR166" i="57"/>
  <c r="CS166" i="57"/>
  <c r="CT166" i="57" s="1"/>
  <c r="CW166" i="57"/>
  <c r="CX166" i="57"/>
  <c r="CY166" i="57" s="1"/>
  <c r="CR167" i="57"/>
  <c r="CS167" i="57"/>
  <c r="CT167" i="57" s="1"/>
  <c r="CW167" i="57"/>
  <c r="CX167" i="57"/>
  <c r="CY167" i="57" s="1"/>
  <c r="CR168" i="57"/>
  <c r="CS168" i="57"/>
  <c r="CT168" i="57" s="1"/>
  <c r="CW168" i="57"/>
  <c r="CX168" i="57"/>
  <c r="CY168" i="57" s="1"/>
  <c r="CR169" i="57"/>
  <c r="CS169" i="57"/>
  <c r="CT169" i="57" s="1"/>
  <c r="CW169" i="57"/>
  <c r="CX169" i="57"/>
  <c r="CY169" i="57" s="1"/>
  <c r="CR170" i="57"/>
  <c r="CS170" i="57"/>
  <c r="CT170" i="57" s="1"/>
  <c r="CW170" i="57"/>
  <c r="CX170" i="57"/>
  <c r="CY170" i="57" s="1"/>
  <c r="CR171" i="57"/>
  <c r="CS171" i="57"/>
  <c r="CT171" i="57" s="1"/>
  <c r="CW171" i="57"/>
  <c r="CX171" i="57"/>
  <c r="CY171" i="57" s="1"/>
  <c r="CR172" i="57"/>
  <c r="CS172" i="57"/>
  <c r="CT172" i="57" s="1"/>
  <c r="CW172" i="57"/>
  <c r="CX172" i="57"/>
  <c r="CY172" i="57" s="1"/>
  <c r="CR173" i="57"/>
  <c r="CS173" i="57"/>
  <c r="CT173" i="57" s="1"/>
  <c r="CW173" i="57"/>
  <c r="CX173" i="57"/>
  <c r="CY173" i="57" s="1"/>
  <c r="CR174" i="57"/>
  <c r="CS174" i="57"/>
  <c r="CT174" i="57" s="1"/>
  <c r="CW174" i="57"/>
  <c r="CX174" i="57"/>
  <c r="CY174" i="57" s="1"/>
  <c r="CR175" i="57"/>
  <c r="CS175" i="57"/>
  <c r="CT175" i="57" s="1"/>
  <c r="CW175" i="57"/>
  <c r="CX175" i="57"/>
  <c r="CY175" i="57" s="1"/>
  <c r="CR176" i="57"/>
  <c r="CS176" i="57"/>
  <c r="CT176" i="57" s="1"/>
  <c r="CW176" i="57"/>
  <c r="CX176" i="57"/>
  <c r="CY176" i="57" s="1"/>
  <c r="CR177" i="57"/>
  <c r="CS177" i="57"/>
  <c r="CT177" i="57" s="1"/>
  <c r="CW177" i="57"/>
  <c r="CX177" i="57"/>
  <c r="CY177" i="57" s="1"/>
  <c r="CR178" i="57"/>
  <c r="CS178" i="57"/>
  <c r="CT178" i="57" s="1"/>
  <c r="CW178" i="57"/>
  <c r="CX178" i="57"/>
  <c r="CY178" i="57" s="1"/>
  <c r="CR179" i="57"/>
  <c r="CS179" i="57"/>
  <c r="CT179" i="57" s="1"/>
  <c r="CW179" i="57"/>
  <c r="CX179" i="57"/>
  <c r="CY179" i="57" s="1"/>
  <c r="CR180" i="57"/>
  <c r="CS180" i="57"/>
  <c r="CT180" i="57" s="1"/>
  <c r="CW180" i="57"/>
  <c r="CX180" i="57"/>
  <c r="CY180" i="57" s="1"/>
  <c r="CR181" i="57"/>
  <c r="CS181" i="57"/>
  <c r="CT181" i="57" s="1"/>
  <c r="CW181" i="57"/>
  <c r="CX181" i="57"/>
  <c r="CY181" i="57" s="1"/>
  <c r="CR182" i="57"/>
  <c r="CS182" i="57"/>
  <c r="CT182" i="57" s="1"/>
  <c r="CW182" i="57"/>
  <c r="CX182" i="57"/>
  <c r="CY182" i="57" s="1"/>
  <c r="CR183" i="57"/>
  <c r="CS183" i="57"/>
  <c r="CT183" i="57" s="1"/>
  <c r="CW183" i="57"/>
  <c r="CX183" i="57"/>
  <c r="CY183" i="57" s="1"/>
  <c r="CR184" i="57"/>
  <c r="CS184" i="57"/>
  <c r="CT184" i="57" s="1"/>
  <c r="CW184" i="57"/>
  <c r="CX184" i="57"/>
  <c r="CY184" i="57" s="1"/>
  <c r="CR185" i="57"/>
  <c r="CS185" i="57"/>
  <c r="CT185" i="57" s="1"/>
  <c r="CW185" i="57"/>
  <c r="CX185" i="57"/>
  <c r="CY185" i="57" s="1"/>
  <c r="CR186" i="57"/>
  <c r="CS186" i="57"/>
  <c r="CT186" i="57" s="1"/>
  <c r="CW186" i="57"/>
  <c r="CX186" i="57"/>
  <c r="CY186" i="57" s="1"/>
  <c r="CR187" i="57"/>
  <c r="CS187" i="57"/>
  <c r="CT187" i="57" s="1"/>
  <c r="CW187" i="57"/>
  <c r="CX187" i="57"/>
  <c r="CY187" i="57" s="1"/>
  <c r="CR188" i="57"/>
  <c r="CS188" i="57"/>
  <c r="CT188" i="57" s="1"/>
  <c r="CW188" i="57"/>
  <c r="CX188" i="57"/>
  <c r="CY188" i="57" s="1"/>
  <c r="CR189" i="57"/>
  <c r="CS189" i="57"/>
  <c r="CT189" i="57" s="1"/>
  <c r="CW189" i="57"/>
  <c r="CX189" i="57"/>
  <c r="CY189" i="57" s="1"/>
  <c r="CR190" i="57"/>
  <c r="CS190" i="57"/>
  <c r="CT190" i="57" s="1"/>
  <c r="CW190" i="57"/>
  <c r="CX190" i="57"/>
  <c r="CY190" i="57" s="1"/>
  <c r="CR191" i="57"/>
  <c r="CS191" i="57"/>
  <c r="CT191" i="57" s="1"/>
  <c r="CW191" i="57"/>
  <c r="CX191" i="57"/>
  <c r="CY191" i="57" s="1"/>
  <c r="CR192" i="57"/>
  <c r="CS192" i="57"/>
  <c r="CT192" i="57" s="1"/>
  <c r="CW192" i="57"/>
  <c r="CX192" i="57"/>
  <c r="CY192" i="57" s="1"/>
  <c r="CR193" i="57"/>
  <c r="CS193" i="57"/>
  <c r="CT193" i="57" s="1"/>
  <c r="CW193" i="57"/>
  <c r="CX193" i="57"/>
  <c r="CY193" i="57" s="1"/>
  <c r="CR194" i="57"/>
  <c r="CS194" i="57"/>
  <c r="CT194" i="57" s="1"/>
  <c r="CW194" i="57"/>
  <c r="CX194" i="57"/>
  <c r="CY194" i="57" s="1"/>
  <c r="CR195" i="57"/>
  <c r="CS195" i="57"/>
  <c r="CT195" i="57" s="1"/>
  <c r="CW195" i="57"/>
  <c r="CX195" i="57"/>
  <c r="CY195" i="57" s="1"/>
  <c r="CR196" i="57"/>
  <c r="CS196" i="57"/>
  <c r="CT196" i="57" s="1"/>
  <c r="CW196" i="57"/>
  <c r="CX196" i="57"/>
  <c r="CY196" i="57" s="1"/>
  <c r="CR197" i="57"/>
  <c r="CS197" i="57"/>
  <c r="CT197" i="57" s="1"/>
  <c r="CW197" i="57"/>
  <c r="CX197" i="57"/>
  <c r="CY197" i="57" s="1"/>
  <c r="CR198" i="57"/>
  <c r="CS198" i="57"/>
  <c r="CT198" i="57" s="1"/>
  <c r="CW198" i="57"/>
  <c r="CX198" i="57"/>
  <c r="CY198" i="57" s="1"/>
  <c r="CR199" i="57"/>
  <c r="CS199" i="57"/>
  <c r="CT199" i="57" s="1"/>
  <c r="CW199" i="57"/>
  <c r="CX199" i="57"/>
  <c r="CY199" i="57" s="1"/>
  <c r="CR200" i="57"/>
  <c r="CS200" i="57"/>
  <c r="CT200" i="57" s="1"/>
  <c r="CW200" i="57"/>
  <c r="CX200" i="57"/>
  <c r="CY200" i="57" s="1"/>
  <c r="CR201" i="57"/>
  <c r="CS201" i="57"/>
  <c r="CT201" i="57" s="1"/>
  <c r="CW201" i="57"/>
  <c r="CX201" i="57"/>
  <c r="CY201" i="57" s="1"/>
  <c r="CR202" i="57"/>
  <c r="CS202" i="57"/>
  <c r="CT202" i="57" s="1"/>
  <c r="CW202" i="57"/>
  <c r="CX202" i="57"/>
  <c r="CY202" i="57" s="1"/>
  <c r="CR203" i="57"/>
  <c r="CS203" i="57"/>
  <c r="CT203" i="57" s="1"/>
  <c r="CW203" i="57"/>
  <c r="CX203" i="57"/>
  <c r="CY203" i="57" s="1"/>
  <c r="CR204" i="57"/>
  <c r="CS204" i="57"/>
  <c r="CT204" i="57" s="1"/>
  <c r="CW204" i="57"/>
  <c r="CX204" i="57"/>
  <c r="CY204" i="57" s="1"/>
  <c r="CR205" i="57"/>
  <c r="CS205" i="57"/>
  <c r="CT205" i="57" s="1"/>
  <c r="CW205" i="57"/>
  <c r="CX205" i="57"/>
  <c r="CY205" i="57" s="1"/>
  <c r="CR206" i="57"/>
  <c r="CS206" i="57"/>
  <c r="CT206" i="57" s="1"/>
  <c r="CW206" i="57"/>
  <c r="CX206" i="57"/>
  <c r="CY206" i="57" s="1"/>
  <c r="CR207" i="57"/>
  <c r="CS207" i="57"/>
  <c r="CT207" i="57" s="1"/>
  <c r="CW207" i="57"/>
  <c r="CX207" i="57"/>
  <c r="CY207" i="57" s="1"/>
  <c r="CR208" i="57"/>
  <c r="CS208" i="57"/>
  <c r="CT208" i="57" s="1"/>
  <c r="CW208" i="57"/>
  <c r="CX208" i="57"/>
  <c r="CY208" i="57" s="1"/>
  <c r="CR209" i="57"/>
  <c r="CS209" i="57"/>
  <c r="CT209" i="57" s="1"/>
  <c r="CW209" i="57"/>
  <c r="CX209" i="57"/>
  <c r="CY209" i="57" s="1"/>
  <c r="CR210" i="57"/>
  <c r="CS210" i="57"/>
  <c r="CT210" i="57" s="1"/>
  <c r="CW210" i="57"/>
  <c r="CX210" i="57"/>
  <c r="CY210" i="57" s="1"/>
  <c r="CR211" i="57"/>
  <c r="CS211" i="57"/>
  <c r="CT211" i="57" s="1"/>
  <c r="CW211" i="57"/>
  <c r="CX211" i="57"/>
  <c r="CY211" i="57" s="1"/>
  <c r="CR212" i="57"/>
  <c r="CS212" i="57"/>
  <c r="CT212" i="57" s="1"/>
  <c r="CW212" i="57"/>
  <c r="CX212" i="57"/>
  <c r="CY212" i="57" s="1"/>
  <c r="CR213" i="57"/>
  <c r="CS213" i="57"/>
  <c r="CT213" i="57" s="1"/>
  <c r="CW213" i="57"/>
  <c r="CX213" i="57"/>
  <c r="CY213" i="57" s="1"/>
  <c r="CR214" i="57"/>
  <c r="CS214" i="57"/>
  <c r="CT214" i="57" s="1"/>
  <c r="CW214" i="57"/>
  <c r="CX214" i="57"/>
  <c r="CY214" i="57" s="1"/>
  <c r="CR215" i="57"/>
  <c r="CS215" i="57"/>
  <c r="CT215" i="57" s="1"/>
  <c r="CW215" i="57"/>
  <c r="CX215" i="57"/>
  <c r="CY215" i="57" s="1"/>
  <c r="CR216" i="57"/>
  <c r="CS216" i="57"/>
  <c r="CT216" i="57" s="1"/>
  <c r="CW216" i="57"/>
  <c r="CX216" i="57"/>
  <c r="CY216" i="57" s="1"/>
  <c r="CR217" i="57"/>
  <c r="CS217" i="57"/>
  <c r="CT217" i="57" s="1"/>
  <c r="CW217" i="57"/>
  <c r="CX217" i="57"/>
  <c r="CY217" i="57" s="1"/>
  <c r="CR218" i="57"/>
  <c r="CS218" i="57"/>
  <c r="CT218" i="57" s="1"/>
  <c r="CW218" i="57"/>
  <c r="CX218" i="57"/>
  <c r="CY218" i="57" s="1"/>
  <c r="CR219" i="57"/>
  <c r="CS219" i="57"/>
  <c r="CT219" i="57" s="1"/>
  <c r="CW219" i="57"/>
  <c r="CX219" i="57"/>
  <c r="CY219" i="57" s="1"/>
  <c r="CR220" i="57"/>
  <c r="CS220" i="57"/>
  <c r="CT220" i="57" s="1"/>
  <c r="CW220" i="57"/>
  <c r="CX220" i="57"/>
  <c r="CY220" i="57" s="1"/>
  <c r="CR221" i="57"/>
  <c r="CS221" i="57"/>
  <c r="CT221" i="57" s="1"/>
  <c r="CW221" i="57"/>
  <c r="CX221" i="57"/>
  <c r="CY221" i="57" s="1"/>
  <c r="CR222" i="57"/>
  <c r="CS222" i="57"/>
  <c r="CT222" i="57" s="1"/>
  <c r="CW222" i="57"/>
  <c r="CX222" i="57"/>
  <c r="CY222" i="57" s="1"/>
  <c r="CR223" i="57"/>
  <c r="CS223" i="57"/>
  <c r="CT223" i="57" s="1"/>
  <c r="CW223" i="57"/>
  <c r="CX223" i="57"/>
  <c r="CY223" i="57" s="1"/>
  <c r="CR224" i="57"/>
  <c r="CS224" i="57"/>
  <c r="CT224" i="57" s="1"/>
  <c r="CW224" i="57"/>
  <c r="CX224" i="57"/>
  <c r="CY224" i="57" s="1"/>
  <c r="CR225" i="57"/>
  <c r="CS225" i="57"/>
  <c r="CT225" i="57" s="1"/>
  <c r="CW225" i="57"/>
  <c r="CX225" i="57"/>
  <c r="CY225" i="57" s="1"/>
  <c r="CR226" i="57"/>
  <c r="CS226" i="57"/>
  <c r="CT226" i="57" s="1"/>
  <c r="CW226" i="57"/>
  <c r="CX226" i="57"/>
  <c r="CY226" i="57" s="1"/>
  <c r="CR227" i="57"/>
  <c r="CS227" i="57"/>
  <c r="CT227" i="57" s="1"/>
  <c r="CW227" i="57"/>
  <c r="CX227" i="57"/>
  <c r="CY227" i="57" s="1"/>
  <c r="CR228" i="57"/>
  <c r="CS228" i="57"/>
  <c r="CT228" i="57" s="1"/>
  <c r="CW228" i="57"/>
  <c r="CX228" i="57"/>
  <c r="CY228" i="57" s="1"/>
  <c r="CR229" i="57"/>
  <c r="CS229" i="57"/>
  <c r="CT229" i="57" s="1"/>
  <c r="CW229" i="57"/>
  <c r="CX229" i="57"/>
  <c r="CY229" i="57" s="1"/>
  <c r="CR230" i="57"/>
  <c r="CS230" i="57"/>
  <c r="CT230" i="57" s="1"/>
  <c r="CW230" i="57"/>
  <c r="CX230" i="57"/>
  <c r="CY230" i="57" s="1"/>
  <c r="CR231" i="57"/>
  <c r="CS231" i="57"/>
  <c r="CT231" i="57" s="1"/>
  <c r="CW231" i="57"/>
  <c r="CX231" i="57"/>
  <c r="CY231" i="57" s="1"/>
  <c r="CR232" i="57"/>
  <c r="CS232" i="57"/>
  <c r="CT232" i="57" s="1"/>
  <c r="CW232" i="57"/>
  <c r="CX232" i="57"/>
  <c r="CY232" i="57" s="1"/>
  <c r="CR233" i="57"/>
  <c r="CS233" i="57"/>
  <c r="CT233" i="57" s="1"/>
  <c r="CW233" i="57"/>
  <c r="CX233" i="57"/>
  <c r="CY233" i="57" s="1"/>
  <c r="CR234" i="57"/>
  <c r="CS234" i="57"/>
  <c r="CT234" i="57" s="1"/>
  <c r="CW234" i="57"/>
  <c r="CX234" i="57"/>
  <c r="CY234" i="57" s="1"/>
  <c r="CR235" i="57"/>
  <c r="CS235" i="57"/>
  <c r="CT235" i="57" s="1"/>
  <c r="CW235" i="57"/>
  <c r="CX235" i="57"/>
  <c r="CY235" i="57" s="1"/>
  <c r="CR236" i="57"/>
  <c r="CS236" i="57"/>
  <c r="CT236" i="57" s="1"/>
  <c r="CW236" i="57"/>
  <c r="CX236" i="57"/>
  <c r="CY236" i="57" s="1"/>
  <c r="CR237" i="57"/>
  <c r="CS237" i="57"/>
  <c r="CT237" i="57" s="1"/>
  <c r="CW237" i="57"/>
  <c r="CX237" i="57"/>
  <c r="CY237" i="57" s="1"/>
  <c r="CR238" i="57"/>
  <c r="CS238" i="57"/>
  <c r="CT238" i="57" s="1"/>
  <c r="CW238" i="57"/>
  <c r="CX238" i="57"/>
  <c r="CY238" i="57" s="1"/>
  <c r="CR239" i="57"/>
  <c r="CS239" i="57"/>
  <c r="CT239" i="57" s="1"/>
  <c r="CW239" i="57"/>
  <c r="CX239" i="57"/>
  <c r="CY239" i="57" s="1"/>
  <c r="CR240" i="57"/>
  <c r="CS240" i="57"/>
  <c r="CT240" i="57" s="1"/>
  <c r="CW240" i="57"/>
  <c r="CX240" i="57"/>
  <c r="CY240" i="57" s="1"/>
  <c r="CR241" i="57"/>
  <c r="CS241" i="57"/>
  <c r="CT241" i="57" s="1"/>
  <c r="CW241" i="57"/>
  <c r="CX241" i="57"/>
  <c r="CY241" i="57" s="1"/>
  <c r="CR242" i="57"/>
  <c r="CS242" i="57"/>
  <c r="CT242" i="57" s="1"/>
  <c r="CW242" i="57"/>
  <c r="CX242" i="57"/>
  <c r="CY242" i="57" s="1"/>
  <c r="CR243" i="57"/>
  <c r="CS243" i="57"/>
  <c r="CT243" i="57" s="1"/>
  <c r="CW243" i="57"/>
  <c r="CX243" i="57"/>
  <c r="CY243" i="57" s="1"/>
  <c r="CR244" i="57"/>
  <c r="CS244" i="57"/>
  <c r="CT244" i="57" s="1"/>
  <c r="CW244" i="57"/>
  <c r="CX244" i="57"/>
  <c r="CY244" i="57" s="1"/>
  <c r="CR245" i="57"/>
  <c r="CS245" i="57"/>
  <c r="CT245" i="57" s="1"/>
  <c r="CW245" i="57"/>
  <c r="CX245" i="57"/>
  <c r="CY245" i="57" s="1"/>
  <c r="CR246" i="57"/>
  <c r="CS246" i="57"/>
  <c r="CT246" i="57" s="1"/>
  <c r="CW246" i="57"/>
  <c r="CX246" i="57"/>
  <c r="CY246" i="57" s="1"/>
  <c r="CR247" i="57"/>
  <c r="CS247" i="57"/>
  <c r="CT247" i="57" s="1"/>
  <c r="CW247" i="57"/>
  <c r="CX247" i="57"/>
  <c r="CY247" i="57" s="1"/>
  <c r="CR248" i="57"/>
  <c r="CS248" i="57"/>
  <c r="CT248" i="57" s="1"/>
  <c r="CW248" i="57"/>
  <c r="CX248" i="57"/>
  <c r="CY248" i="57" s="1"/>
  <c r="CR249" i="57"/>
  <c r="CS249" i="57"/>
  <c r="CT249" i="57" s="1"/>
  <c r="CW249" i="57"/>
  <c r="CX249" i="57"/>
  <c r="CY249" i="57" s="1"/>
  <c r="CR250" i="57"/>
  <c r="CS250" i="57"/>
  <c r="CT250" i="57" s="1"/>
  <c r="CW250" i="57"/>
  <c r="CX250" i="57"/>
  <c r="CY250" i="57" s="1"/>
  <c r="CR251" i="57"/>
  <c r="CS251" i="57"/>
  <c r="CT251" i="57" s="1"/>
  <c r="CW251" i="57"/>
  <c r="CX251" i="57"/>
  <c r="CY251" i="57" s="1"/>
  <c r="CR252" i="57"/>
  <c r="CS252" i="57"/>
  <c r="CT252" i="57" s="1"/>
  <c r="CW252" i="57"/>
  <c r="CX252" i="57"/>
  <c r="CY252" i="57" s="1"/>
  <c r="CR253" i="57"/>
  <c r="CS253" i="57"/>
  <c r="CT253" i="57" s="1"/>
  <c r="CW253" i="57"/>
  <c r="CX253" i="57"/>
  <c r="CY253" i="57" s="1"/>
  <c r="CR254" i="57"/>
  <c r="CS254" i="57"/>
  <c r="CT254" i="57" s="1"/>
  <c r="CW254" i="57"/>
  <c r="CX254" i="57"/>
  <c r="CY254" i="57" s="1"/>
  <c r="CR255" i="57"/>
  <c r="CS255" i="57"/>
  <c r="CT255" i="57" s="1"/>
  <c r="CW255" i="57"/>
  <c r="CX255" i="57"/>
  <c r="CY255" i="57" s="1"/>
  <c r="CR256" i="57"/>
  <c r="CS256" i="57"/>
  <c r="CT256" i="57" s="1"/>
  <c r="CW256" i="57"/>
  <c r="CX256" i="57"/>
  <c r="CY256" i="57" s="1"/>
  <c r="CR257" i="57"/>
  <c r="CS257" i="57"/>
  <c r="CT257" i="57" s="1"/>
  <c r="CW257" i="57"/>
  <c r="CX257" i="57"/>
  <c r="CY257" i="57" s="1"/>
  <c r="CR258" i="57"/>
  <c r="CS258" i="57"/>
  <c r="CT258" i="57" s="1"/>
  <c r="CW258" i="57"/>
  <c r="CX258" i="57"/>
  <c r="CY258" i="57" s="1"/>
  <c r="CR259" i="57"/>
  <c r="CS259" i="57"/>
  <c r="CT259" i="57" s="1"/>
  <c r="CW259" i="57"/>
  <c r="CX259" i="57"/>
  <c r="CY259" i="57" s="1"/>
  <c r="CR260" i="57"/>
  <c r="CS260" i="57"/>
  <c r="CT260" i="57" s="1"/>
  <c r="CW260" i="57"/>
  <c r="CX260" i="57"/>
  <c r="CY260" i="57" s="1"/>
  <c r="CR261" i="57"/>
  <c r="CS261" i="57"/>
  <c r="CT261" i="57" s="1"/>
  <c r="CW261" i="57"/>
  <c r="CX261" i="57"/>
  <c r="CY261" i="57" s="1"/>
  <c r="CR262" i="57"/>
  <c r="CS262" i="57"/>
  <c r="CT262" i="57" s="1"/>
  <c r="CW262" i="57"/>
  <c r="CX262" i="57"/>
  <c r="CY262" i="57" s="1"/>
  <c r="CR263" i="57"/>
  <c r="CS263" i="57"/>
  <c r="CT263" i="57" s="1"/>
  <c r="CW263" i="57"/>
  <c r="CX263" i="57"/>
  <c r="CY263" i="57" s="1"/>
  <c r="CR264" i="57"/>
  <c r="CS264" i="57"/>
  <c r="CT264" i="57" s="1"/>
  <c r="CW264" i="57"/>
  <c r="CX264" i="57"/>
  <c r="CY264" i="57" s="1"/>
  <c r="CR265" i="57"/>
  <c r="CS265" i="57"/>
  <c r="CT265" i="57" s="1"/>
  <c r="CW265" i="57"/>
  <c r="CX265" i="57"/>
  <c r="CY265" i="57" s="1"/>
  <c r="CR266" i="57"/>
  <c r="CS266" i="57"/>
  <c r="CT266" i="57" s="1"/>
  <c r="CW266" i="57"/>
  <c r="CX266" i="57"/>
  <c r="CY266" i="57" s="1"/>
  <c r="CR267" i="57"/>
  <c r="CS267" i="57"/>
  <c r="CT267" i="57" s="1"/>
  <c r="CW267" i="57"/>
  <c r="CX267" i="57"/>
  <c r="CY267" i="57" s="1"/>
  <c r="CR268" i="57"/>
  <c r="CS268" i="57"/>
  <c r="CT268" i="57" s="1"/>
  <c r="CW268" i="57"/>
  <c r="CX268" i="57"/>
  <c r="CY268" i="57" s="1"/>
  <c r="CR269" i="57"/>
  <c r="CS269" i="57"/>
  <c r="CT269" i="57" s="1"/>
  <c r="CW269" i="57"/>
  <c r="CX269" i="57"/>
  <c r="CY269" i="57" s="1"/>
  <c r="CR270" i="57"/>
  <c r="CS270" i="57"/>
  <c r="CT270" i="57" s="1"/>
  <c r="CW270" i="57"/>
  <c r="CX270" i="57"/>
  <c r="CY270" i="57" s="1"/>
  <c r="CR271" i="57"/>
  <c r="CS271" i="57"/>
  <c r="CT271" i="57" s="1"/>
  <c r="CW271" i="57"/>
  <c r="CX271" i="57"/>
  <c r="CY271" i="57" s="1"/>
  <c r="CR272" i="57"/>
  <c r="CS272" i="57"/>
  <c r="CT272" i="57" s="1"/>
  <c r="CW272" i="57"/>
  <c r="CX272" i="57"/>
  <c r="CY272" i="57" s="1"/>
  <c r="CR273" i="57"/>
  <c r="CS273" i="57"/>
  <c r="CT273" i="57" s="1"/>
  <c r="CW273" i="57"/>
  <c r="CX273" i="57"/>
  <c r="CY273" i="57" s="1"/>
  <c r="CR274" i="57"/>
  <c r="CS274" i="57"/>
  <c r="CT274" i="57" s="1"/>
  <c r="CW274" i="57"/>
  <c r="CX274" i="57"/>
  <c r="CY274" i="57" s="1"/>
  <c r="CR275" i="57"/>
  <c r="CS275" i="57"/>
  <c r="CT275" i="57" s="1"/>
  <c r="CW275" i="57"/>
  <c r="CX275" i="57"/>
  <c r="CY275" i="57" s="1"/>
  <c r="CR276" i="57"/>
  <c r="CS276" i="57"/>
  <c r="CT276" i="57" s="1"/>
  <c r="CW276" i="57"/>
  <c r="CX276" i="57"/>
  <c r="CY276" i="57" s="1"/>
  <c r="CR277" i="57"/>
  <c r="CS277" i="57"/>
  <c r="CT277" i="57" s="1"/>
  <c r="CW277" i="57"/>
  <c r="CX277" i="57"/>
  <c r="CY277" i="57" s="1"/>
  <c r="CR278" i="57"/>
  <c r="CS278" i="57"/>
  <c r="CT278" i="57" s="1"/>
  <c r="CW278" i="57"/>
  <c r="CX278" i="57"/>
  <c r="CY278" i="57" s="1"/>
  <c r="CR279" i="57"/>
  <c r="CS279" i="57"/>
  <c r="CT279" i="57" s="1"/>
  <c r="CW279" i="57"/>
  <c r="CX279" i="57"/>
  <c r="CY279" i="57" s="1"/>
  <c r="CR280" i="57"/>
  <c r="CS280" i="57"/>
  <c r="CT280" i="57" s="1"/>
  <c r="CW280" i="57"/>
  <c r="CX280" i="57"/>
  <c r="CY280" i="57" s="1"/>
  <c r="CR281" i="57"/>
  <c r="CS281" i="57"/>
  <c r="CT281" i="57" s="1"/>
  <c r="CW281" i="57"/>
  <c r="CX281" i="57"/>
  <c r="CY281" i="57" s="1"/>
  <c r="CR282" i="57"/>
  <c r="CS282" i="57"/>
  <c r="CT282" i="57" s="1"/>
  <c r="CW282" i="57"/>
  <c r="CX282" i="57"/>
  <c r="CY282" i="57" s="1"/>
  <c r="CR283" i="57"/>
  <c r="CS283" i="57"/>
  <c r="CT283" i="57" s="1"/>
  <c r="CW283" i="57"/>
  <c r="CX283" i="57"/>
  <c r="CY283" i="57" s="1"/>
  <c r="CR284" i="57"/>
  <c r="CS284" i="57"/>
  <c r="CT284" i="57" s="1"/>
  <c r="CW284" i="57"/>
  <c r="CX284" i="57"/>
  <c r="CY284" i="57" s="1"/>
  <c r="CR285" i="57"/>
  <c r="CS285" i="57"/>
  <c r="CT285" i="57" s="1"/>
  <c r="CW285" i="57"/>
  <c r="CX285" i="57"/>
  <c r="CY285" i="57" s="1"/>
  <c r="CR286" i="57"/>
  <c r="CS286" i="57"/>
  <c r="CT286" i="57" s="1"/>
  <c r="CW286" i="57"/>
  <c r="CX286" i="57"/>
  <c r="CY286" i="57" s="1"/>
  <c r="CR287" i="57"/>
  <c r="CS287" i="57"/>
  <c r="CT287" i="57" s="1"/>
  <c r="CW287" i="57"/>
  <c r="CX287" i="57"/>
  <c r="CY287" i="57" s="1"/>
  <c r="CR288" i="57"/>
  <c r="CS288" i="57"/>
  <c r="CT288" i="57" s="1"/>
  <c r="CW288" i="57"/>
  <c r="CX288" i="57"/>
  <c r="CY288" i="57" s="1"/>
  <c r="CR289" i="57"/>
  <c r="CS289" i="57"/>
  <c r="CT289" i="57" s="1"/>
  <c r="CW289" i="57"/>
  <c r="CX289" i="57"/>
  <c r="CY289" i="57" s="1"/>
  <c r="CR290" i="57"/>
  <c r="CS290" i="57"/>
  <c r="CT290" i="57" s="1"/>
  <c r="CW290" i="57"/>
  <c r="CX290" i="57"/>
  <c r="CY290" i="57" s="1"/>
  <c r="CR291" i="57"/>
  <c r="CS291" i="57"/>
  <c r="CT291" i="57" s="1"/>
  <c r="CW291" i="57"/>
  <c r="CX291" i="57"/>
  <c r="CY291" i="57" s="1"/>
  <c r="CR292" i="57"/>
  <c r="CS292" i="57"/>
  <c r="CT292" i="57" s="1"/>
  <c r="CW292" i="57"/>
  <c r="CX292" i="57"/>
  <c r="CY292" i="57" s="1"/>
  <c r="CR293" i="57"/>
  <c r="CS293" i="57"/>
  <c r="CT293" i="57" s="1"/>
  <c r="CW293" i="57"/>
  <c r="CX293" i="57"/>
  <c r="CY293" i="57" s="1"/>
  <c r="CR294" i="57"/>
  <c r="CS294" i="57"/>
  <c r="CT294" i="57" s="1"/>
  <c r="CW294" i="57"/>
  <c r="CX294" i="57"/>
  <c r="CY294" i="57" s="1"/>
  <c r="CR295" i="57"/>
  <c r="CS295" i="57"/>
  <c r="CT295" i="57" s="1"/>
  <c r="CW295" i="57"/>
  <c r="CX295" i="57"/>
  <c r="CY295" i="57" s="1"/>
  <c r="CR296" i="57"/>
  <c r="CS296" i="57"/>
  <c r="CT296" i="57" s="1"/>
  <c r="CW296" i="57"/>
  <c r="CX296" i="57"/>
  <c r="CY296" i="57" s="1"/>
  <c r="CR297" i="57"/>
  <c r="CS297" i="57"/>
  <c r="CT297" i="57" s="1"/>
  <c r="CW297" i="57"/>
  <c r="CX297" i="57"/>
  <c r="CY297" i="57" s="1"/>
  <c r="CR298" i="57"/>
  <c r="CS298" i="57"/>
  <c r="CT298" i="57" s="1"/>
  <c r="CW298" i="57"/>
  <c r="CX298" i="57"/>
  <c r="CY298" i="57" s="1"/>
  <c r="CR299" i="57"/>
  <c r="CS299" i="57"/>
  <c r="CT299" i="57" s="1"/>
  <c r="CW299" i="57"/>
  <c r="CX299" i="57"/>
  <c r="CY299" i="57" s="1"/>
  <c r="CR300" i="57"/>
  <c r="CS300" i="57"/>
  <c r="CT300" i="57" s="1"/>
  <c r="CW300" i="57"/>
  <c r="CX300" i="57"/>
  <c r="CY300" i="57" s="1"/>
  <c r="CR301" i="57"/>
  <c r="CS301" i="57"/>
  <c r="CT301" i="57" s="1"/>
  <c r="CW301" i="57"/>
  <c r="CX301" i="57"/>
  <c r="CY301" i="57" s="1"/>
  <c r="CR302" i="57"/>
  <c r="CS302" i="57"/>
  <c r="CT302" i="57" s="1"/>
  <c r="CW302" i="57"/>
  <c r="CX302" i="57"/>
  <c r="CY302" i="57" s="1"/>
  <c r="CR303" i="57"/>
  <c r="CS303" i="57"/>
  <c r="CT303" i="57" s="1"/>
  <c r="CW303" i="57"/>
  <c r="CX303" i="57"/>
  <c r="CY303" i="57" s="1"/>
  <c r="CR304" i="57"/>
  <c r="CS304" i="57"/>
  <c r="CT304" i="57" s="1"/>
  <c r="CW304" i="57"/>
  <c r="CX304" i="57"/>
  <c r="CY304" i="57" s="1"/>
  <c r="CR305" i="57"/>
  <c r="CS305" i="57"/>
  <c r="CT305" i="57" s="1"/>
  <c r="CW305" i="57"/>
  <c r="CX305" i="57"/>
  <c r="CY305" i="57" s="1"/>
  <c r="CR306" i="57"/>
  <c r="CS306" i="57"/>
  <c r="CT306" i="57" s="1"/>
  <c r="CW306" i="57"/>
  <c r="CX306" i="57"/>
  <c r="CY306" i="57" s="1"/>
  <c r="CR307" i="57"/>
  <c r="CS307" i="57"/>
  <c r="CT307" i="57" s="1"/>
  <c r="CW307" i="57"/>
  <c r="CX307" i="57"/>
  <c r="CY307" i="57" s="1"/>
  <c r="CR308" i="57"/>
  <c r="CS308" i="57"/>
  <c r="CT308" i="57" s="1"/>
  <c r="CW308" i="57"/>
  <c r="CX308" i="57"/>
  <c r="CY308" i="57" s="1"/>
  <c r="CR309" i="57"/>
  <c r="CS309" i="57"/>
  <c r="CT309" i="57" s="1"/>
  <c r="CW309" i="57"/>
  <c r="CX309" i="57"/>
  <c r="CY309" i="57" s="1"/>
  <c r="CR310" i="57"/>
  <c r="CS310" i="57"/>
  <c r="CT310" i="57" s="1"/>
  <c r="CW310" i="57"/>
  <c r="CX310" i="57"/>
  <c r="CY310" i="57" s="1"/>
  <c r="CR311" i="57"/>
  <c r="CS311" i="57"/>
  <c r="CT311" i="57" s="1"/>
  <c r="CW311" i="57"/>
  <c r="CX311" i="57"/>
  <c r="CY311" i="57" s="1"/>
  <c r="CR312" i="57"/>
  <c r="CS312" i="57"/>
  <c r="CT312" i="57" s="1"/>
  <c r="CW312" i="57"/>
  <c r="CX312" i="57"/>
  <c r="CY312" i="57" s="1"/>
  <c r="CR313" i="57"/>
  <c r="CS313" i="57"/>
  <c r="CT313" i="57" s="1"/>
  <c r="CW313" i="57"/>
  <c r="CX313" i="57"/>
  <c r="CY313" i="57" s="1"/>
  <c r="CR314" i="57"/>
  <c r="CS314" i="57"/>
  <c r="CT314" i="57" s="1"/>
  <c r="CW314" i="57"/>
  <c r="CX314" i="57"/>
  <c r="CY314" i="57" s="1"/>
  <c r="CR315" i="57"/>
  <c r="CS315" i="57"/>
  <c r="CT315" i="57" s="1"/>
  <c r="CW315" i="57"/>
  <c r="CX315" i="57"/>
  <c r="CY315" i="57" s="1"/>
  <c r="CR316" i="57"/>
  <c r="CS316" i="57"/>
  <c r="CT316" i="57" s="1"/>
  <c r="CW316" i="57"/>
  <c r="CX316" i="57"/>
  <c r="CY316" i="57" s="1"/>
  <c r="CR317" i="57"/>
  <c r="CS317" i="57"/>
  <c r="CT317" i="57" s="1"/>
  <c r="CW317" i="57"/>
  <c r="CX317" i="57"/>
  <c r="CY317" i="57" s="1"/>
  <c r="CR318" i="57"/>
  <c r="CS318" i="57"/>
  <c r="CT318" i="57" s="1"/>
  <c r="CW318" i="57"/>
  <c r="CX318" i="57"/>
  <c r="CY318" i="57" s="1"/>
  <c r="CR319" i="57"/>
  <c r="CS319" i="57"/>
  <c r="CT319" i="57" s="1"/>
  <c r="CW319" i="57"/>
  <c r="CX319" i="57"/>
  <c r="CY319" i="57" s="1"/>
  <c r="CR320" i="57"/>
  <c r="CS320" i="57"/>
  <c r="CT320" i="57" s="1"/>
  <c r="CW320" i="57"/>
  <c r="CX320" i="57"/>
  <c r="CY320" i="57" s="1"/>
  <c r="CR321" i="57"/>
  <c r="CS321" i="57"/>
  <c r="CT321" i="57" s="1"/>
  <c r="CW321" i="57"/>
  <c r="CX321" i="57"/>
  <c r="CY321" i="57" s="1"/>
  <c r="CR322" i="57"/>
  <c r="CS322" i="57"/>
  <c r="CT322" i="57" s="1"/>
  <c r="CW322" i="57"/>
  <c r="CX322" i="57"/>
  <c r="CY322" i="57" s="1"/>
  <c r="CR323" i="57"/>
  <c r="CS323" i="57"/>
  <c r="CT323" i="57" s="1"/>
  <c r="CW323" i="57"/>
  <c r="CX323" i="57"/>
  <c r="CY323" i="57" s="1"/>
  <c r="CR324" i="57"/>
  <c r="CS324" i="57"/>
  <c r="CT324" i="57" s="1"/>
  <c r="CW324" i="57"/>
  <c r="CX324" i="57"/>
  <c r="CY324" i="57" s="1"/>
  <c r="CR325" i="57"/>
  <c r="CS325" i="57"/>
  <c r="CT325" i="57" s="1"/>
  <c r="CW325" i="57"/>
  <c r="CX325" i="57"/>
  <c r="CY325" i="57" s="1"/>
  <c r="CR326" i="57"/>
  <c r="CS326" i="57"/>
  <c r="CT326" i="57" s="1"/>
  <c r="CW326" i="57"/>
  <c r="CX326" i="57"/>
  <c r="CY326" i="57" s="1"/>
  <c r="CR327" i="57"/>
  <c r="CS327" i="57"/>
  <c r="CT327" i="57" s="1"/>
  <c r="CW327" i="57"/>
  <c r="CX327" i="57"/>
  <c r="CY327" i="57" s="1"/>
  <c r="CR328" i="57"/>
  <c r="CS328" i="57"/>
  <c r="CT328" i="57" s="1"/>
  <c r="CW328" i="57"/>
  <c r="CX328" i="57"/>
  <c r="CY328" i="57" s="1"/>
  <c r="CR329" i="57"/>
  <c r="CS329" i="57"/>
  <c r="CT329" i="57" s="1"/>
  <c r="CW329" i="57"/>
  <c r="CX329" i="57"/>
  <c r="CY329" i="57" s="1"/>
  <c r="CR330" i="57"/>
  <c r="CS330" i="57"/>
  <c r="CT330" i="57" s="1"/>
  <c r="CW330" i="57"/>
  <c r="CX330" i="57"/>
  <c r="CY330" i="57" s="1"/>
  <c r="CR331" i="57"/>
  <c r="CS331" i="57"/>
  <c r="CT331" i="57" s="1"/>
  <c r="CW331" i="57"/>
  <c r="CX331" i="57"/>
  <c r="CY331" i="57" s="1"/>
  <c r="CR332" i="57"/>
  <c r="CS332" i="57"/>
  <c r="CT332" i="57" s="1"/>
  <c r="CW332" i="57"/>
  <c r="CX332" i="57"/>
  <c r="CY332" i="57" s="1"/>
  <c r="CR333" i="57"/>
  <c r="CS333" i="57"/>
  <c r="CT333" i="57" s="1"/>
  <c r="CW333" i="57"/>
  <c r="CX333" i="57"/>
  <c r="CY333" i="57" s="1"/>
  <c r="CR334" i="57"/>
  <c r="CS334" i="57"/>
  <c r="CT334" i="57" s="1"/>
  <c r="CW334" i="57"/>
  <c r="CX334" i="57"/>
  <c r="CY334" i="57" s="1"/>
  <c r="CR335" i="57"/>
  <c r="CS335" i="57"/>
  <c r="CT335" i="57" s="1"/>
  <c r="CW335" i="57"/>
  <c r="CX335" i="57"/>
  <c r="CY335" i="57" s="1"/>
  <c r="CR336" i="57"/>
  <c r="CS336" i="57"/>
  <c r="CT336" i="57" s="1"/>
  <c r="CW336" i="57"/>
  <c r="CX336" i="57"/>
  <c r="CY336" i="57" s="1"/>
  <c r="CR337" i="57"/>
  <c r="CS337" i="57"/>
  <c r="CT337" i="57" s="1"/>
  <c r="CW337" i="57"/>
  <c r="CX337" i="57"/>
  <c r="CY337" i="57" s="1"/>
  <c r="CR338" i="57"/>
  <c r="CS338" i="57"/>
  <c r="CT338" i="57" s="1"/>
  <c r="CW338" i="57"/>
  <c r="CX338" i="57"/>
  <c r="CY338" i="57" s="1"/>
  <c r="CR339" i="57"/>
  <c r="CS339" i="57"/>
  <c r="CT339" i="57" s="1"/>
  <c r="CW339" i="57"/>
  <c r="CX339" i="57"/>
  <c r="CY339" i="57" s="1"/>
  <c r="CR340" i="57"/>
  <c r="CS340" i="57"/>
  <c r="CT340" i="57" s="1"/>
  <c r="CW340" i="57"/>
  <c r="CX340" i="57"/>
  <c r="CY340" i="57" s="1"/>
  <c r="CR341" i="57"/>
  <c r="CS341" i="57"/>
  <c r="CT341" i="57" s="1"/>
  <c r="CW341" i="57"/>
  <c r="CX341" i="57"/>
  <c r="CY341" i="57" s="1"/>
  <c r="CR342" i="57"/>
  <c r="CS342" i="57"/>
  <c r="CT342" i="57" s="1"/>
  <c r="CW342" i="57"/>
  <c r="CX342" i="57"/>
  <c r="CY342" i="57" s="1"/>
  <c r="CR343" i="57"/>
  <c r="CS343" i="57"/>
  <c r="CT343" i="57" s="1"/>
  <c r="CW343" i="57"/>
  <c r="CX343" i="57"/>
  <c r="CY343" i="57" s="1"/>
  <c r="CR344" i="57"/>
  <c r="CS344" i="57"/>
  <c r="CT344" i="57" s="1"/>
  <c r="CW344" i="57"/>
  <c r="CX344" i="57"/>
  <c r="CY344" i="57" s="1"/>
  <c r="CR345" i="57"/>
  <c r="CS345" i="57"/>
  <c r="CT345" i="57" s="1"/>
  <c r="CW345" i="57"/>
  <c r="CX345" i="57"/>
  <c r="CY345" i="57" s="1"/>
  <c r="CR346" i="57"/>
  <c r="CS346" i="57"/>
  <c r="CT346" i="57" s="1"/>
  <c r="CW346" i="57"/>
  <c r="CX346" i="57"/>
  <c r="CY346" i="57" s="1"/>
  <c r="CR347" i="57"/>
  <c r="CS347" i="57"/>
  <c r="CT347" i="57" s="1"/>
  <c r="CW347" i="57"/>
  <c r="CX347" i="57"/>
  <c r="CY347" i="57" s="1"/>
  <c r="CR348" i="57"/>
  <c r="CS348" i="57"/>
  <c r="CT348" i="57" s="1"/>
  <c r="CW348" i="57"/>
  <c r="CX348" i="57"/>
  <c r="CY348" i="57" s="1"/>
  <c r="CR349" i="57"/>
  <c r="CS349" i="57"/>
  <c r="CT349" i="57" s="1"/>
  <c r="CW349" i="57"/>
  <c r="CX349" i="57"/>
  <c r="CY349" i="57" s="1"/>
  <c r="CR350" i="57"/>
  <c r="CS350" i="57"/>
  <c r="CT350" i="57" s="1"/>
  <c r="CW350" i="57"/>
  <c r="CX350" i="57"/>
  <c r="CY350" i="57" s="1"/>
  <c r="CR351" i="57"/>
  <c r="CS351" i="57"/>
  <c r="CT351" i="57" s="1"/>
  <c r="CW351" i="57"/>
  <c r="CX351" i="57"/>
  <c r="CY351" i="57" s="1"/>
  <c r="CR352" i="57"/>
  <c r="CS352" i="57"/>
  <c r="CT352" i="57" s="1"/>
  <c r="CW352" i="57"/>
  <c r="CX352" i="57"/>
  <c r="CY352" i="57" s="1"/>
  <c r="CR353" i="57"/>
  <c r="CS353" i="57"/>
  <c r="CT353" i="57" s="1"/>
  <c r="CW353" i="57"/>
  <c r="CX353" i="57"/>
  <c r="CY353" i="57" s="1"/>
  <c r="CR354" i="57"/>
  <c r="CS354" i="57"/>
  <c r="CT354" i="57" s="1"/>
  <c r="CW354" i="57"/>
  <c r="CX354" i="57"/>
  <c r="CY354" i="57" s="1"/>
  <c r="CR355" i="57"/>
  <c r="CS355" i="57"/>
  <c r="CT355" i="57" s="1"/>
  <c r="CW355" i="57"/>
  <c r="CX355" i="57"/>
  <c r="CY355" i="57" s="1"/>
  <c r="CR356" i="57"/>
  <c r="CS356" i="57"/>
  <c r="CT356" i="57" s="1"/>
  <c r="CW356" i="57"/>
  <c r="CX356" i="57"/>
  <c r="CY356" i="57" s="1"/>
  <c r="CR357" i="57"/>
  <c r="CS357" i="57"/>
  <c r="CT357" i="57" s="1"/>
  <c r="CW357" i="57"/>
  <c r="CX357" i="57"/>
  <c r="CY357" i="57" s="1"/>
  <c r="CR358" i="57"/>
  <c r="CS358" i="57"/>
  <c r="CT358" i="57" s="1"/>
  <c r="CW358" i="57"/>
  <c r="CX358" i="57"/>
  <c r="CY358" i="57" s="1"/>
  <c r="CR359" i="57"/>
  <c r="CS359" i="57"/>
  <c r="CT359" i="57" s="1"/>
  <c r="CW359" i="57"/>
  <c r="CX359" i="57"/>
  <c r="CY359" i="57" s="1"/>
  <c r="CR360" i="57"/>
  <c r="CS360" i="57"/>
  <c r="CT360" i="57" s="1"/>
  <c r="CW360" i="57"/>
  <c r="CX360" i="57"/>
  <c r="CY360" i="57" s="1"/>
  <c r="CR361" i="57"/>
  <c r="CS361" i="57"/>
  <c r="CT361" i="57" s="1"/>
  <c r="CW361" i="57"/>
  <c r="CX361" i="57"/>
  <c r="CY361" i="57" s="1"/>
  <c r="CR362" i="57"/>
  <c r="CS362" i="57"/>
  <c r="CT362" i="57" s="1"/>
  <c r="CW362" i="57"/>
  <c r="CX362" i="57"/>
  <c r="CY362" i="57" s="1"/>
  <c r="CR363" i="57"/>
  <c r="CS363" i="57"/>
  <c r="CT363" i="57" s="1"/>
  <c r="CW363" i="57"/>
  <c r="CX363" i="57"/>
  <c r="CY363" i="57" s="1"/>
  <c r="CR364" i="57"/>
  <c r="CS364" i="57"/>
  <c r="CT364" i="57" s="1"/>
  <c r="CW364" i="57"/>
  <c r="CX364" i="57"/>
  <c r="CY364" i="57" s="1"/>
  <c r="CR365" i="57"/>
  <c r="CS365" i="57"/>
  <c r="CT365" i="57" s="1"/>
  <c r="CW365" i="57"/>
  <c r="CX365" i="57"/>
  <c r="CY365" i="57" s="1"/>
  <c r="CR366" i="57"/>
  <c r="CS366" i="57"/>
  <c r="CT366" i="57" s="1"/>
  <c r="CW366" i="57"/>
  <c r="CX366" i="57"/>
  <c r="CY366" i="57" s="1"/>
  <c r="CR367" i="57"/>
  <c r="CS367" i="57"/>
  <c r="CT367" i="57" s="1"/>
  <c r="CW367" i="57"/>
  <c r="CX367" i="57"/>
  <c r="CY367" i="57" s="1"/>
  <c r="CR368" i="57"/>
  <c r="CS368" i="57"/>
  <c r="CT368" i="57" s="1"/>
  <c r="CW368" i="57"/>
  <c r="CX368" i="57"/>
  <c r="CY368" i="57" s="1"/>
  <c r="CR369" i="57"/>
  <c r="CS369" i="57"/>
  <c r="CT369" i="57" s="1"/>
  <c r="CW369" i="57"/>
  <c r="CX369" i="57"/>
  <c r="CY369" i="57" s="1"/>
  <c r="CR370" i="57"/>
  <c r="CS370" i="57"/>
  <c r="CT370" i="57" s="1"/>
  <c r="CW370" i="57"/>
  <c r="CX370" i="57"/>
  <c r="CY370" i="57" s="1"/>
  <c r="CR371" i="57"/>
  <c r="CS371" i="57"/>
  <c r="CT371" i="57" s="1"/>
  <c r="CW371" i="57"/>
  <c r="CX371" i="57"/>
  <c r="CY371" i="57" s="1"/>
  <c r="CR372" i="57"/>
  <c r="CS372" i="57"/>
  <c r="CT372" i="57" s="1"/>
  <c r="CW372" i="57"/>
  <c r="CX372" i="57"/>
  <c r="CY372" i="57" s="1"/>
  <c r="CR373" i="57"/>
  <c r="CS373" i="57"/>
  <c r="CT373" i="57" s="1"/>
  <c r="CW373" i="57"/>
  <c r="CX373" i="57"/>
  <c r="CY373" i="57" s="1"/>
  <c r="CR374" i="57"/>
  <c r="CS374" i="57"/>
  <c r="CT374" i="57" s="1"/>
  <c r="CW374" i="57"/>
  <c r="CX374" i="57"/>
  <c r="CY374" i="57" s="1"/>
  <c r="CR375" i="57"/>
  <c r="CS375" i="57"/>
  <c r="CT375" i="57" s="1"/>
  <c r="CW375" i="57"/>
  <c r="CX375" i="57"/>
  <c r="CY375" i="57" s="1"/>
  <c r="CR376" i="57"/>
  <c r="CS376" i="57"/>
  <c r="CT376" i="57" s="1"/>
  <c r="CW376" i="57"/>
  <c r="CX376" i="57"/>
  <c r="CY376" i="57" s="1"/>
  <c r="CR377" i="57"/>
  <c r="CS377" i="57"/>
  <c r="CT377" i="57" s="1"/>
  <c r="CW377" i="57"/>
  <c r="CX377" i="57"/>
  <c r="CY377" i="57" s="1"/>
  <c r="CR378" i="57"/>
  <c r="CS378" i="57"/>
  <c r="CT378" i="57" s="1"/>
  <c r="CW378" i="57"/>
  <c r="CX378" i="57"/>
  <c r="CY378" i="57" s="1"/>
  <c r="CR379" i="57"/>
  <c r="CS379" i="57"/>
  <c r="CT379" i="57" s="1"/>
  <c r="CW379" i="57"/>
  <c r="CX379" i="57"/>
  <c r="CY379" i="57" s="1"/>
  <c r="CR380" i="57"/>
  <c r="CS380" i="57"/>
  <c r="CT380" i="57" s="1"/>
  <c r="CW380" i="57"/>
  <c r="CX380" i="57"/>
  <c r="CY380" i="57" s="1"/>
  <c r="CR381" i="57"/>
  <c r="CS381" i="57"/>
  <c r="CT381" i="57" s="1"/>
  <c r="CW381" i="57"/>
  <c r="CX381" i="57"/>
  <c r="CY381" i="57" s="1"/>
  <c r="CR382" i="57"/>
  <c r="CS382" i="57"/>
  <c r="CT382" i="57" s="1"/>
  <c r="CW382" i="57"/>
  <c r="CX382" i="57"/>
  <c r="CY382" i="57" s="1"/>
  <c r="CR383" i="57"/>
  <c r="CS383" i="57"/>
  <c r="CT383" i="57" s="1"/>
  <c r="CW383" i="57"/>
  <c r="CX383" i="57"/>
  <c r="CY383" i="57" s="1"/>
  <c r="CR384" i="57"/>
  <c r="CS384" i="57"/>
  <c r="CT384" i="57" s="1"/>
  <c r="CW384" i="57"/>
  <c r="CX384" i="57"/>
  <c r="CY384" i="57" s="1"/>
  <c r="CR385" i="57"/>
  <c r="CS385" i="57"/>
  <c r="CT385" i="57" s="1"/>
  <c r="CW385" i="57"/>
  <c r="CX385" i="57"/>
  <c r="CY385" i="57" s="1"/>
  <c r="CR386" i="57"/>
  <c r="CS386" i="57"/>
  <c r="CT386" i="57" s="1"/>
  <c r="CW386" i="57"/>
  <c r="CX386" i="57"/>
  <c r="CY386" i="57" s="1"/>
  <c r="CR387" i="57"/>
  <c r="CS387" i="57"/>
  <c r="CT387" i="57" s="1"/>
  <c r="CW387" i="57"/>
  <c r="CX387" i="57"/>
  <c r="CY387" i="57" s="1"/>
  <c r="CR388" i="57"/>
  <c r="CS388" i="57"/>
  <c r="CT388" i="57" s="1"/>
  <c r="CW388" i="57"/>
  <c r="CX388" i="57"/>
  <c r="CY388" i="57" s="1"/>
  <c r="CR389" i="57"/>
  <c r="CS389" i="57"/>
  <c r="CT389" i="57" s="1"/>
  <c r="CW389" i="57"/>
  <c r="CX389" i="57"/>
  <c r="CY389" i="57" s="1"/>
  <c r="CR390" i="57"/>
  <c r="CS390" i="57"/>
  <c r="CT390" i="57" s="1"/>
  <c r="CW390" i="57"/>
  <c r="CX390" i="57"/>
  <c r="CY390" i="57" s="1"/>
  <c r="CR391" i="57"/>
  <c r="CS391" i="57"/>
  <c r="CT391" i="57" s="1"/>
  <c r="CW391" i="57"/>
  <c r="CX391" i="57"/>
  <c r="CY391" i="57" s="1"/>
  <c r="CR392" i="57"/>
  <c r="CS392" i="57"/>
  <c r="CT392" i="57" s="1"/>
  <c r="CW392" i="57"/>
  <c r="CX392" i="57"/>
  <c r="CY392" i="57" s="1"/>
  <c r="CR393" i="57"/>
  <c r="CS393" i="57"/>
  <c r="CT393" i="57" s="1"/>
  <c r="CW393" i="57"/>
  <c r="CX393" i="57"/>
  <c r="CY393" i="57" s="1"/>
  <c r="CR394" i="57"/>
  <c r="CS394" i="57"/>
  <c r="CT394" i="57" s="1"/>
  <c r="CW394" i="57"/>
  <c r="CX394" i="57"/>
  <c r="CY394" i="57" s="1"/>
  <c r="CR395" i="57"/>
  <c r="CS395" i="57"/>
  <c r="CT395" i="57" s="1"/>
  <c r="CW395" i="57"/>
  <c r="CX395" i="57"/>
  <c r="CY395" i="57" s="1"/>
  <c r="CR396" i="57"/>
  <c r="CS396" i="57"/>
  <c r="CT396" i="57" s="1"/>
  <c r="CW396" i="57"/>
  <c r="CX396" i="57"/>
  <c r="CY396" i="57" s="1"/>
  <c r="CR397" i="57"/>
  <c r="CS397" i="57"/>
  <c r="CT397" i="57" s="1"/>
  <c r="CW397" i="57"/>
  <c r="CX397" i="57"/>
  <c r="CY397" i="57" s="1"/>
  <c r="CR398" i="57"/>
  <c r="CS398" i="57"/>
  <c r="CT398" i="57" s="1"/>
  <c r="CW398" i="57"/>
  <c r="CX398" i="57"/>
  <c r="CY398" i="57" s="1"/>
  <c r="CR399" i="57"/>
  <c r="CS399" i="57"/>
  <c r="CT399" i="57" s="1"/>
  <c r="CW399" i="57"/>
  <c r="CX399" i="57"/>
  <c r="CY399" i="57" s="1"/>
  <c r="CR400" i="57"/>
  <c r="CS400" i="57"/>
  <c r="CT400" i="57" s="1"/>
  <c r="CW400" i="57"/>
  <c r="CX400" i="57"/>
  <c r="CY400" i="57" s="1"/>
  <c r="CR401" i="57"/>
  <c r="CS401" i="57"/>
  <c r="CT401" i="57" s="1"/>
  <c r="CR402" i="57"/>
  <c r="CS402" i="57"/>
  <c r="CT402" i="57" s="1"/>
  <c r="CR403" i="57"/>
  <c r="CS403" i="57"/>
  <c r="CT403" i="57" s="1"/>
  <c r="CR404" i="57"/>
  <c r="CS404" i="57"/>
  <c r="CT404" i="57" s="1"/>
  <c r="CR405" i="57"/>
  <c r="CS405" i="57"/>
  <c r="CT405" i="57" s="1"/>
  <c r="CR406" i="57"/>
  <c r="CS406" i="57"/>
  <c r="CT406" i="57" s="1"/>
  <c r="CR407" i="57"/>
  <c r="CS407" i="57"/>
  <c r="CT407" i="57" s="1"/>
  <c r="CR408" i="57"/>
  <c r="CS408" i="57"/>
  <c r="CT408" i="57" s="1"/>
  <c r="CR409" i="57"/>
  <c r="CS409" i="57"/>
  <c r="CT409" i="57" s="1"/>
  <c r="CR410" i="57"/>
  <c r="CS410" i="57"/>
  <c r="CT410" i="57" s="1"/>
  <c r="CR411" i="57"/>
  <c r="CS411" i="57"/>
  <c r="CT411" i="57" s="1"/>
  <c r="CR412" i="57"/>
  <c r="CS412" i="57"/>
  <c r="CT412" i="57" s="1"/>
  <c r="CR413" i="57"/>
  <c r="CS413" i="57"/>
  <c r="CT413" i="57" s="1"/>
  <c r="CR414" i="57"/>
  <c r="CS414" i="57"/>
  <c r="CT414" i="57" s="1"/>
  <c r="CR415" i="57"/>
  <c r="CS415" i="57"/>
  <c r="CT415" i="57" s="1"/>
  <c r="CR416" i="57"/>
  <c r="CS416" i="57"/>
  <c r="CT416" i="57" s="1"/>
  <c r="CR417" i="57"/>
  <c r="CS417" i="57"/>
  <c r="CT417" i="57" s="1"/>
  <c r="CR418" i="57"/>
  <c r="CS418" i="57"/>
  <c r="CT418" i="57" s="1"/>
  <c r="CR419" i="57"/>
  <c r="CS419" i="57"/>
  <c r="CT419" i="57" s="1"/>
  <c r="CR420" i="57"/>
  <c r="CS420" i="57"/>
  <c r="CT420" i="57" s="1"/>
  <c r="CR421" i="57"/>
  <c r="CS421" i="57"/>
  <c r="CT421" i="57" s="1"/>
  <c r="CR422" i="57"/>
  <c r="CS422" i="57"/>
  <c r="CT422" i="57" s="1"/>
  <c r="CR423" i="57"/>
  <c r="CS423" i="57"/>
  <c r="CT423" i="57" s="1"/>
  <c r="CR424" i="57"/>
  <c r="CS424" i="57"/>
  <c r="CT424" i="57" s="1"/>
  <c r="CR425" i="57"/>
  <c r="CS425" i="57"/>
  <c r="CT425" i="57" s="1"/>
  <c r="CR426" i="57"/>
  <c r="CS426" i="57"/>
  <c r="CT426" i="57" s="1"/>
  <c r="CR427" i="57"/>
  <c r="CS427" i="57"/>
  <c r="CT427" i="57" s="1"/>
  <c r="CR428" i="57"/>
  <c r="CS428" i="57"/>
  <c r="CT428" i="57" s="1"/>
  <c r="CR429" i="57"/>
  <c r="CS429" i="57"/>
  <c r="CT429" i="57" s="1"/>
  <c r="CR430" i="57"/>
  <c r="CS430" i="57"/>
  <c r="CT430" i="57" s="1"/>
  <c r="CR431" i="57"/>
  <c r="CS431" i="57"/>
  <c r="CT431" i="57" s="1"/>
  <c r="CR432" i="57"/>
  <c r="CS432" i="57"/>
  <c r="CT432" i="57" s="1"/>
  <c r="CR433" i="57"/>
  <c r="CS433" i="57"/>
  <c r="CT433" i="57" s="1"/>
  <c r="CR434" i="57"/>
  <c r="CS434" i="57"/>
  <c r="CT434" i="57" s="1"/>
  <c r="CR435" i="57"/>
  <c r="CS435" i="57"/>
  <c r="CT435" i="57" s="1"/>
  <c r="CR436" i="57"/>
  <c r="CS436" i="57"/>
  <c r="CT436" i="57" s="1"/>
  <c r="CR437" i="57"/>
  <c r="CS437" i="57"/>
  <c r="CT437" i="57" s="1"/>
  <c r="CR438" i="57"/>
  <c r="CS438" i="57"/>
  <c r="CT438" i="57" s="1"/>
  <c r="CR439" i="57"/>
  <c r="CS439" i="57"/>
  <c r="CT439" i="57" s="1"/>
  <c r="CR440" i="57"/>
  <c r="CS440" i="57"/>
  <c r="CT440" i="57" s="1"/>
  <c r="CR441" i="57"/>
  <c r="CS441" i="57"/>
  <c r="CT441" i="57" s="1"/>
  <c r="CR442" i="57"/>
  <c r="CS442" i="57"/>
  <c r="CT442" i="57" s="1"/>
  <c r="CR443" i="57"/>
  <c r="CS443" i="57"/>
  <c r="CT443" i="57" s="1"/>
  <c r="CR444" i="57"/>
  <c r="CS444" i="57"/>
  <c r="CT444" i="57" s="1"/>
  <c r="CR445" i="57"/>
  <c r="CS445" i="57"/>
  <c r="CT445" i="57" s="1"/>
  <c r="CR446" i="57"/>
  <c r="CS446" i="57"/>
  <c r="CT446" i="57" s="1"/>
  <c r="CR447" i="57"/>
  <c r="CS447" i="57"/>
  <c r="CT447" i="57" s="1"/>
  <c r="CR448" i="57"/>
  <c r="CS448" i="57"/>
  <c r="CT448" i="57" s="1"/>
  <c r="CR449" i="57"/>
  <c r="CS449" i="57"/>
  <c r="CT449" i="57" s="1"/>
  <c r="CR450" i="57"/>
  <c r="CS450" i="57"/>
  <c r="CT450" i="57" s="1"/>
  <c r="CR451" i="57"/>
  <c r="CS451" i="57"/>
  <c r="CT451" i="57" s="1"/>
  <c r="CR452" i="57"/>
  <c r="CS452" i="57"/>
  <c r="CT452" i="57" s="1"/>
  <c r="CR453" i="57"/>
  <c r="CS453" i="57"/>
  <c r="CT453" i="57" s="1"/>
  <c r="CR454" i="57"/>
  <c r="CS454" i="57"/>
  <c r="CT454" i="57" s="1"/>
  <c r="CR455" i="57"/>
  <c r="CS455" i="57"/>
  <c r="CT455" i="57" s="1"/>
  <c r="CR456" i="57"/>
  <c r="CS456" i="57"/>
  <c r="CT456" i="57" s="1"/>
  <c r="CR457" i="57"/>
  <c r="CS457" i="57"/>
  <c r="CT457" i="57" s="1"/>
  <c r="CR458" i="57"/>
  <c r="CS458" i="57"/>
  <c r="CT458" i="57" s="1"/>
  <c r="CR459" i="57"/>
  <c r="CS459" i="57"/>
  <c r="CT459" i="57" s="1"/>
  <c r="CR460" i="57"/>
  <c r="CS460" i="57"/>
  <c r="CT460" i="57" s="1"/>
  <c r="CR461" i="57"/>
  <c r="CS461" i="57"/>
  <c r="CT461" i="57" s="1"/>
  <c r="CR462" i="57"/>
  <c r="CS462" i="57"/>
  <c r="CT462" i="57" s="1"/>
  <c r="CR463" i="57"/>
  <c r="CS463" i="57"/>
  <c r="CT463" i="57" s="1"/>
  <c r="CR464" i="57"/>
  <c r="CS464" i="57"/>
  <c r="CT464" i="57" s="1"/>
  <c r="CR465" i="57"/>
  <c r="CS465" i="57"/>
  <c r="CT465" i="57" s="1"/>
  <c r="CR466" i="57"/>
  <c r="CS466" i="57"/>
  <c r="CT466" i="57" s="1"/>
  <c r="CR467" i="57"/>
  <c r="CS467" i="57"/>
  <c r="CT467" i="57" s="1"/>
  <c r="CR468" i="57"/>
  <c r="CS468" i="57"/>
  <c r="CT468" i="57" s="1"/>
  <c r="CR469" i="57"/>
  <c r="CS469" i="57"/>
  <c r="CT469" i="57" s="1"/>
  <c r="CR470" i="57"/>
  <c r="CS470" i="57"/>
  <c r="CT470" i="57" s="1"/>
  <c r="CR471" i="57"/>
  <c r="CS471" i="57"/>
  <c r="CT471" i="57" s="1"/>
  <c r="CR472" i="57"/>
  <c r="CS472" i="57"/>
  <c r="CT472" i="57" s="1"/>
  <c r="CR473" i="57"/>
  <c r="CS473" i="57"/>
  <c r="CT473" i="57" s="1"/>
  <c r="CR474" i="57"/>
  <c r="CS474" i="57"/>
  <c r="CT474" i="57" s="1"/>
  <c r="CR475" i="57"/>
  <c r="CS475" i="57"/>
  <c r="CT475" i="57" s="1"/>
  <c r="CR476" i="57"/>
  <c r="CS476" i="57"/>
  <c r="CT476" i="57" s="1"/>
  <c r="CR477" i="57"/>
  <c r="CS477" i="57"/>
  <c r="CT477" i="57" s="1"/>
  <c r="CR478" i="57"/>
  <c r="CS478" i="57"/>
  <c r="CT478" i="57" s="1"/>
  <c r="CR479" i="57"/>
  <c r="CS479" i="57"/>
  <c r="CT479" i="57" s="1"/>
  <c r="CR480" i="57"/>
  <c r="CS480" i="57"/>
  <c r="CT480" i="57" s="1"/>
  <c r="CR481" i="57"/>
  <c r="CS481" i="57"/>
  <c r="CT481" i="57" s="1"/>
  <c r="CR482" i="57"/>
  <c r="CS482" i="57"/>
  <c r="CT482" i="57" s="1"/>
  <c r="CR483" i="57"/>
  <c r="CS483" i="57"/>
  <c r="CT483" i="57" s="1"/>
  <c r="CR484" i="57"/>
  <c r="CS484" i="57"/>
  <c r="CT484" i="57" s="1"/>
  <c r="CR485" i="57"/>
  <c r="CS485" i="57"/>
  <c r="CT485" i="57" s="1"/>
  <c r="CR486" i="57"/>
  <c r="CS486" i="57"/>
  <c r="CT486" i="57" s="1"/>
  <c r="CR487" i="57"/>
  <c r="CS487" i="57"/>
  <c r="CT487" i="57" s="1"/>
  <c r="CR488" i="57"/>
  <c r="CS488" i="57"/>
  <c r="CT488" i="57" s="1"/>
  <c r="CR489" i="57"/>
  <c r="CS489" i="57"/>
  <c r="CT489" i="57" s="1"/>
  <c r="CR490" i="57"/>
  <c r="CS490" i="57"/>
  <c r="CT490" i="57" s="1"/>
  <c r="CR491" i="57"/>
  <c r="CS491" i="57"/>
  <c r="CT491" i="57" s="1"/>
  <c r="CR492" i="57"/>
  <c r="CS492" i="57"/>
  <c r="CT492" i="57" s="1"/>
  <c r="CR493" i="57"/>
  <c r="CS493" i="57"/>
  <c r="CT493" i="57" s="1"/>
  <c r="CR494" i="57"/>
  <c r="CS494" i="57"/>
  <c r="CT494" i="57" s="1"/>
  <c r="CR495" i="57"/>
  <c r="CS495" i="57"/>
  <c r="CT495" i="57" s="1"/>
  <c r="CR496" i="57"/>
  <c r="CS496" i="57"/>
  <c r="CT496" i="57" s="1"/>
  <c r="CR497" i="57"/>
  <c r="CS497" i="57"/>
  <c r="CT497" i="57" s="1"/>
  <c r="CR498" i="57"/>
  <c r="CS498" i="57"/>
  <c r="CT498" i="57" s="1"/>
  <c r="CR499" i="57"/>
  <c r="CS499" i="57"/>
  <c r="CT499" i="57" s="1"/>
  <c r="CR500" i="57"/>
  <c r="CS500" i="57"/>
  <c r="CT500" i="57" s="1"/>
  <c r="CR501" i="57"/>
  <c r="CS501" i="57"/>
  <c r="CT501" i="57" s="1"/>
  <c r="CR502" i="57"/>
  <c r="CS502" i="57"/>
  <c r="CT502" i="57" s="1"/>
  <c r="CR503" i="57"/>
  <c r="CS503" i="57"/>
  <c r="CT503" i="57" s="1"/>
  <c r="CR504" i="57"/>
  <c r="CS504" i="57"/>
  <c r="CT504" i="57" s="1"/>
  <c r="CR505" i="57"/>
  <c r="CS505" i="57"/>
  <c r="CT505" i="57" s="1"/>
  <c r="CR506" i="57"/>
  <c r="CS506" i="57"/>
  <c r="CT506" i="57" s="1"/>
  <c r="CR507" i="57"/>
  <c r="CS507" i="57"/>
  <c r="CT507" i="57" s="1"/>
  <c r="CR508" i="57"/>
  <c r="CS508" i="57"/>
  <c r="CT508" i="57" s="1"/>
  <c r="CR509" i="57"/>
  <c r="CS509" i="57"/>
  <c r="CT509" i="57" s="1"/>
  <c r="CR510" i="57"/>
  <c r="CS510" i="57"/>
  <c r="CT510" i="57" s="1"/>
  <c r="CR511" i="57"/>
  <c r="CS511" i="57"/>
  <c r="CT511" i="57" s="1"/>
  <c r="CR512" i="57"/>
  <c r="CS512" i="57"/>
  <c r="CT512" i="57" s="1"/>
  <c r="CR513" i="57"/>
  <c r="CS513" i="57"/>
  <c r="CT513" i="57" s="1"/>
  <c r="CR514" i="57"/>
  <c r="CS514" i="57"/>
  <c r="CT514" i="57" s="1"/>
  <c r="CR515" i="57"/>
  <c r="CS515" i="57"/>
  <c r="CT515" i="57" s="1"/>
  <c r="CR516" i="57"/>
  <c r="CS516" i="57"/>
  <c r="CT516" i="57" s="1"/>
  <c r="CR517" i="57"/>
  <c r="CS517" i="57"/>
  <c r="CT517" i="57" s="1"/>
  <c r="CR518" i="57"/>
  <c r="CS518" i="57"/>
  <c r="CT518" i="57" s="1"/>
  <c r="CR519" i="57"/>
  <c r="CS519" i="57"/>
  <c r="CT519" i="57" s="1"/>
  <c r="CR520" i="57"/>
  <c r="CS520" i="57"/>
  <c r="CT520" i="57" s="1"/>
  <c r="CR521" i="57"/>
  <c r="CS521" i="57"/>
  <c r="CT521" i="57" s="1"/>
  <c r="CR522" i="57"/>
  <c r="CS522" i="57"/>
  <c r="CT522" i="57" s="1"/>
  <c r="CR523" i="57"/>
  <c r="CS523" i="57"/>
  <c r="CT523" i="57" s="1"/>
  <c r="CR524" i="57"/>
  <c r="CS524" i="57"/>
  <c r="CT524" i="57" s="1"/>
  <c r="CR525" i="57"/>
  <c r="CS525" i="57"/>
  <c r="CT525" i="57" s="1"/>
  <c r="CR526" i="57"/>
  <c r="CS526" i="57"/>
  <c r="CT526" i="57" s="1"/>
  <c r="CR527" i="57"/>
  <c r="CS527" i="57"/>
  <c r="CT527" i="57" s="1"/>
  <c r="CR528" i="57"/>
  <c r="CS528" i="57"/>
  <c r="CT528" i="57" s="1"/>
  <c r="CR529" i="57"/>
  <c r="CS529" i="57"/>
  <c r="CT529" i="57" s="1"/>
  <c r="CR530" i="57"/>
  <c r="CS530" i="57"/>
  <c r="CT530" i="57" s="1"/>
  <c r="CR531" i="57"/>
  <c r="CS531" i="57"/>
  <c r="CT531" i="57" s="1"/>
  <c r="CR532" i="57"/>
  <c r="CS532" i="57"/>
  <c r="CT532" i="57" s="1"/>
  <c r="CR533" i="57"/>
  <c r="CS533" i="57"/>
  <c r="CT533" i="57" s="1"/>
  <c r="CR534" i="57"/>
  <c r="CS534" i="57"/>
  <c r="CT534" i="57" s="1"/>
  <c r="CR535" i="57"/>
  <c r="CS535" i="57"/>
  <c r="CT535" i="57" s="1"/>
  <c r="CR536" i="57"/>
  <c r="CS536" i="57"/>
  <c r="CT536" i="57" s="1"/>
  <c r="CR537" i="57"/>
  <c r="CS537" i="57"/>
  <c r="CT537" i="57" s="1"/>
  <c r="CR538" i="57"/>
  <c r="CS538" i="57"/>
  <c r="CT538" i="57" s="1"/>
  <c r="CR539" i="57"/>
  <c r="CS539" i="57"/>
  <c r="CT539" i="57" s="1"/>
  <c r="CR540" i="57"/>
  <c r="CS540" i="57"/>
  <c r="CT540" i="57" s="1"/>
  <c r="CR541" i="57"/>
  <c r="CS541" i="57"/>
  <c r="CT541" i="57" s="1"/>
  <c r="CR542" i="57"/>
  <c r="CS542" i="57"/>
  <c r="CT542" i="57" s="1"/>
  <c r="CR543" i="57"/>
  <c r="CS543" i="57"/>
  <c r="CT543" i="57" s="1"/>
  <c r="CR544" i="57"/>
  <c r="CS544" i="57"/>
  <c r="CT544" i="57" s="1"/>
  <c r="CR545" i="57"/>
  <c r="CS545" i="57"/>
  <c r="CT545" i="57" s="1"/>
  <c r="CR546" i="57"/>
  <c r="CS546" i="57"/>
  <c r="CT546" i="57" s="1"/>
  <c r="CR547" i="57"/>
  <c r="CS547" i="57"/>
  <c r="CT547" i="57" s="1"/>
  <c r="CR548" i="57"/>
  <c r="CS548" i="57"/>
  <c r="CT548" i="57" s="1"/>
  <c r="CR549" i="57"/>
  <c r="CS549" i="57"/>
  <c r="CT549" i="57" s="1"/>
  <c r="CR550" i="57"/>
  <c r="CS550" i="57"/>
  <c r="CT550" i="57" s="1"/>
  <c r="CR551" i="57"/>
  <c r="CS551" i="57"/>
  <c r="CT551" i="57" s="1"/>
  <c r="CR552" i="57"/>
  <c r="CS552" i="57"/>
  <c r="CT552" i="57" s="1"/>
  <c r="CR553" i="57"/>
  <c r="CS553" i="57"/>
  <c r="CT553" i="57" s="1"/>
  <c r="CR554" i="57"/>
  <c r="CS554" i="57"/>
  <c r="CT554" i="57" s="1"/>
  <c r="CR555" i="57"/>
  <c r="CS555" i="57"/>
  <c r="CT555" i="57" s="1"/>
  <c r="CR556" i="57"/>
  <c r="CS556" i="57"/>
  <c r="CT556" i="57" s="1"/>
  <c r="CR557" i="57"/>
  <c r="CS557" i="57"/>
  <c r="CT557" i="57" s="1"/>
  <c r="CR558" i="57"/>
  <c r="CS558" i="57"/>
  <c r="CT558" i="57" s="1"/>
  <c r="CR559" i="57"/>
  <c r="CS559" i="57"/>
  <c r="CT559" i="57" s="1"/>
  <c r="CR560" i="57"/>
  <c r="CS560" i="57"/>
  <c r="CT560" i="57" s="1"/>
  <c r="CR561" i="57"/>
  <c r="CS561" i="57"/>
  <c r="CT561" i="57" s="1"/>
  <c r="CR562" i="57"/>
  <c r="CS562" i="57"/>
  <c r="CT562" i="57" s="1"/>
  <c r="CR563" i="57"/>
  <c r="CS563" i="57"/>
  <c r="CT563" i="57" s="1"/>
  <c r="CR564" i="57"/>
  <c r="CS564" i="57"/>
  <c r="CT564" i="57" s="1"/>
  <c r="CR565" i="57"/>
  <c r="CS565" i="57"/>
  <c r="CT565" i="57" s="1"/>
  <c r="CR566" i="57"/>
  <c r="CS566" i="57"/>
  <c r="CT566" i="57" s="1"/>
  <c r="CR567" i="57"/>
  <c r="CS567" i="57"/>
  <c r="CT567" i="57" s="1"/>
  <c r="CR568" i="57"/>
  <c r="CS568" i="57"/>
  <c r="CT568" i="57" s="1"/>
  <c r="CR569" i="57"/>
  <c r="CS569" i="57"/>
  <c r="CT569" i="57" s="1"/>
  <c r="CR570" i="57"/>
  <c r="CS570" i="57"/>
  <c r="CT570" i="57" s="1"/>
  <c r="CR571" i="57"/>
  <c r="CS571" i="57"/>
  <c r="CT571" i="57" s="1"/>
  <c r="CR572" i="57"/>
  <c r="CS572" i="57"/>
  <c r="CT572" i="57" s="1"/>
  <c r="CR573" i="57"/>
  <c r="CS573" i="57"/>
  <c r="CT573" i="57" s="1"/>
  <c r="CR574" i="57"/>
  <c r="CS574" i="57"/>
  <c r="CT574" i="57" s="1"/>
  <c r="CR575" i="57"/>
  <c r="CS575" i="57"/>
  <c r="CT575" i="57" s="1"/>
  <c r="CR576" i="57"/>
  <c r="CS576" i="57"/>
  <c r="CT576" i="57" s="1"/>
  <c r="CR577" i="57"/>
  <c r="CS577" i="57"/>
  <c r="CT577" i="57" s="1"/>
  <c r="CR578" i="57"/>
  <c r="CS578" i="57"/>
  <c r="CT578" i="57" s="1"/>
  <c r="CR579" i="57"/>
  <c r="CS579" i="57"/>
  <c r="CT579" i="57" s="1"/>
  <c r="CR580" i="57"/>
  <c r="CS580" i="57"/>
  <c r="CT580" i="57" s="1"/>
  <c r="CR581" i="57"/>
  <c r="CS581" i="57"/>
  <c r="CT581" i="57" s="1"/>
  <c r="CR582" i="57"/>
  <c r="CS582" i="57"/>
  <c r="CT582" i="57" s="1"/>
  <c r="CR583" i="57"/>
  <c r="CS583" i="57"/>
  <c r="CT583" i="57" s="1"/>
  <c r="CR584" i="57"/>
  <c r="CS584" i="57"/>
  <c r="CT584" i="57" s="1"/>
  <c r="CR585" i="57"/>
  <c r="CS585" i="57"/>
  <c r="CT585" i="57" s="1"/>
  <c r="CR586" i="57"/>
  <c r="CS586" i="57"/>
  <c r="CT586" i="57" s="1"/>
  <c r="CR587" i="57"/>
  <c r="CS587" i="57"/>
  <c r="CT587" i="57" s="1"/>
  <c r="CR588" i="57"/>
  <c r="CS588" i="57"/>
  <c r="CT588" i="57" s="1"/>
  <c r="CR589" i="57"/>
  <c r="CS589" i="57"/>
  <c r="CT589" i="57" s="1"/>
  <c r="CR590" i="57"/>
  <c r="CS590" i="57"/>
  <c r="CT590" i="57" s="1"/>
  <c r="CR591" i="57"/>
  <c r="CS591" i="57"/>
  <c r="CT591" i="57" s="1"/>
  <c r="CR592" i="57"/>
  <c r="CS592" i="57"/>
  <c r="CT592" i="57" s="1"/>
  <c r="CR593" i="57"/>
  <c r="CS593" i="57"/>
  <c r="CT593" i="57" s="1"/>
  <c r="CR594" i="57"/>
  <c r="CS594" i="57"/>
  <c r="CT594" i="57" s="1"/>
  <c r="CR595" i="57"/>
  <c r="CS595" i="57"/>
  <c r="CT595" i="57" s="1"/>
  <c r="CR596" i="57"/>
  <c r="CS596" i="57"/>
  <c r="CT596" i="57" s="1"/>
  <c r="CR597" i="57"/>
  <c r="CS597" i="57"/>
  <c r="CT597" i="57" s="1"/>
  <c r="CR598" i="57"/>
  <c r="CS598" i="57"/>
  <c r="CT598" i="57" s="1"/>
  <c r="CR599" i="57"/>
  <c r="CS599" i="57"/>
  <c r="CT599" i="57" s="1"/>
  <c r="CR600" i="57"/>
  <c r="CS600" i="57"/>
  <c r="CT600" i="57" s="1"/>
  <c r="CR1" i="80"/>
  <c r="CS1" i="80"/>
  <c r="CT1" i="80" s="1"/>
  <c r="CW1" i="80"/>
  <c r="CX1" i="80"/>
  <c r="CY1" i="80" s="1"/>
  <c r="CR2" i="80"/>
  <c r="CS2" i="80"/>
  <c r="CT2" i="80" s="1"/>
  <c r="CW2" i="80"/>
  <c r="CX2" i="80"/>
  <c r="CY2" i="80" s="1"/>
  <c r="CR3" i="80"/>
  <c r="CS3" i="80"/>
  <c r="CT3" i="80" s="1"/>
  <c r="CW3" i="80"/>
  <c r="CX3" i="80"/>
  <c r="CY3" i="80" s="1"/>
  <c r="CR4" i="80"/>
  <c r="CS4" i="80"/>
  <c r="CT4" i="80" s="1"/>
  <c r="CW4" i="80"/>
  <c r="CX4" i="80"/>
  <c r="CY4" i="80" s="1"/>
  <c r="CR5" i="80"/>
  <c r="CS5" i="80"/>
  <c r="CT5" i="80" s="1"/>
  <c r="CW5" i="80"/>
  <c r="CX5" i="80"/>
  <c r="CY5" i="80" s="1"/>
  <c r="CR6" i="80"/>
  <c r="CS6" i="80"/>
  <c r="CT6" i="80" s="1"/>
  <c r="CW6" i="80"/>
  <c r="CX6" i="80"/>
  <c r="CY6" i="80" s="1"/>
  <c r="CR7" i="80"/>
  <c r="CS7" i="80"/>
  <c r="CT7" i="80" s="1"/>
  <c r="CW7" i="80"/>
  <c r="CX7" i="80"/>
  <c r="CY7" i="80" s="1"/>
  <c r="CR8" i="80"/>
  <c r="CS8" i="80"/>
  <c r="CT8" i="80" s="1"/>
  <c r="CW8" i="80"/>
  <c r="CX8" i="80"/>
  <c r="CY8" i="80" s="1"/>
  <c r="CR9" i="80"/>
  <c r="CS9" i="80"/>
  <c r="CT9" i="80" s="1"/>
  <c r="CW9" i="80"/>
  <c r="CX9" i="80"/>
  <c r="CY9" i="80" s="1"/>
  <c r="CR10" i="80"/>
  <c r="CS10" i="80"/>
  <c r="CT10" i="80" s="1"/>
  <c r="CW10" i="80"/>
  <c r="CX10" i="80"/>
  <c r="CY10" i="80" s="1"/>
  <c r="CR11" i="80"/>
  <c r="CS11" i="80"/>
  <c r="CT11" i="80" s="1"/>
  <c r="CW11" i="80"/>
  <c r="CX11" i="80"/>
  <c r="CY11" i="80" s="1"/>
  <c r="CR12" i="80"/>
  <c r="CS12" i="80"/>
  <c r="CT12" i="80" s="1"/>
  <c r="CW12" i="80"/>
  <c r="CX12" i="80"/>
  <c r="CY12" i="80" s="1"/>
  <c r="CR13" i="80"/>
  <c r="CS13" i="80"/>
  <c r="CT13" i="80" s="1"/>
  <c r="CW13" i="80"/>
  <c r="CX13" i="80"/>
  <c r="CY13" i="80" s="1"/>
  <c r="CR14" i="80"/>
  <c r="CS14" i="80"/>
  <c r="CT14" i="80" s="1"/>
  <c r="CW14" i="80"/>
  <c r="CX14" i="80"/>
  <c r="CY14" i="80" s="1"/>
  <c r="CR15" i="80"/>
  <c r="CS15" i="80"/>
  <c r="CT15" i="80" s="1"/>
  <c r="CW15" i="80"/>
  <c r="CX15" i="80"/>
  <c r="CY15" i="80" s="1"/>
  <c r="CR16" i="80"/>
  <c r="CS16" i="80"/>
  <c r="CT16" i="80" s="1"/>
  <c r="CW16" i="80"/>
  <c r="CX16" i="80"/>
  <c r="CY16" i="80" s="1"/>
  <c r="CR17" i="80"/>
  <c r="CS17" i="80"/>
  <c r="CT17" i="80" s="1"/>
  <c r="CW17" i="80"/>
  <c r="CX17" i="80"/>
  <c r="CY17" i="80" s="1"/>
  <c r="CR18" i="80"/>
  <c r="CS18" i="80"/>
  <c r="CT18" i="80" s="1"/>
  <c r="CW18" i="80"/>
  <c r="CX18" i="80"/>
  <c r="CY18" i="80" s="1"/>
  <c r="CR19" i="80"/>
  <c r="CS19" i="80"/>
  <c r="CT19" i="80" s="1"/>
  <c r="CW19" i="80"/>
  <c r="CX19" i="80"/>
  <c r="CY19" i="80" s="1"/>
  <c r="CR20" i="80"/>
  <c r="CS20" i="80"/>
  <c r="CT20" i="80" s="1"/>
  <c r="CW20" i="80"/>
  <c r="CX20" i="80"/>
  <c r="CY20" i="80" s="1"/>
  <c r="CR21" i="80"/>
  <c r="CS21" i="80"/>
  <c r="CT21" i="80" s="1"/>
  <c r="CW21" i="80"/>
  <c r="CX21" i="80"/>
  <c r="CY21" i="80" s="1"/>
  <c r="CR22" i="80"/>
  <c r="CS22" i="80"/>
  <c r="CT22" i="80" s="1"/>
  <c r="CW22" i="80"/>
  <c r="CX22" i="80"/>
  <c r="CY22" i="80" s="1"/>
  <c r="CR23" i="80"/>
  <c r="CS23" i="80"/>
  <c r="CT23" i="80" s="1"/>
  <c r="CW23" i="80"/>
  <c r="CX23" i="80"/>
  <c r="CY23" i="80" s="1"/>
  <c r="CR24" i="80"/>
  <c r="CS24" i="80"/>
  <c r="CT24" i="80" s="1"/>
  <c r="CW24" i="80"/>
  <c r="CX24" i="80"/>
  <c r="CY24" i="80" s="1"/>
  <c r="CR25" i="80"/>
  <c r="CS25" i="80"/>
  <c r="CT25" i="80" s="1"/>
  <c r="CW25" i="80"/>
  <c r="CX25" i="80"/>
  <c r="CY25" i="80" s="1"/>
  <c r="CR26" i="80"/>
  <c r="CS26" i="80"/>
  <c r="CT26" i="80" s="1"/>
  <c r="CW26" i="80"/>
  <c r="CX26" i="80"/>
  <c r="CY26" i="80" s="1"/>
  <c r="CR27" i="80"/>
  <c r="CS27" i="80"/>
  <c r="CT27" i="80" s="1"/>
  <c r="CW27" i="80"/>
  <c r="CX27" i="80"/>
  <c r="CY27" i="80" s="1"/>
  <c r="CR28" i="80"/>
  <c r="CS28" i="80"/>
  <c r="CT28" i="80" s="1"/>
  <c r="CW28" i="80"/>
  <c r="CX28" i="80"/>
  <c r="CY28" i="80" s="1"/>
  <c r="CR29" i="80"/>
  <c r="CS29" i="80"/>
  <c r="CT29" i="80" s="1"/>
  <c r="CW29" i="80"/>
  <c r="CX29" i="80"/>
  <c r="CY29" i="80" s="1"/>
  <c r="CR30" i="80"/>
  <c r="CS30" i="80"/>
  <c r="CT30" i="80" s="1"/>
  <c r="CW30" i="80"/>
  <c r="CX30" i="80"/>
  <c r="CY30" i="80" s="1"/>
  <c r="CR31" i="80"/>
  <c r="CS31" i="80"/>
  <c r="CT31" i="80" s="1"/>
  <c r="CW31" i="80"/>
  <c r="CX31" i="80"/>
  <c r="CY31" i="80" s="1"/>
  <c r="CR32" i="80"/>
  <c r="CS32" i="80"/>
  <c r="CT32" i="80" s="1"/>
  <c r="CW32" i="80"/>
  <c r="CX32" i="80"/>
  <c r="CY32" i="80" s="1"/>
  <c r="CR33" i="80"/>
  <c r="CS33" i="80"/>
  <c r="CT33" i="80" s="1"/>
  <c r="CW33" i="80"/>
  <c r="CX33" i="80"/>
  <c r="CY33" i="80" s="1"/>
  <c r="CR34" i="80"/>
  <c r="CS34" i="80"/>
  <c r="CT34" i="80" s="1"/>
  <c r="CW34" i="80"/>
  <c r="CX34" i="80"/>
  <c r="CY34" i="80" s="1"/>
  <c r="CR35" i="80"/>
  <c r="CS35" i="80"/>
  <c r="CT35" i="80" s="1"/>
  <c r="CW35" i="80"/>
  <c r="CX35" i="80"/>
  <c r="CY35" i="80" s="1"/>
  <c r="CR36" i="80"/>
  <c r="CS36" i="80"/>
  <c r="CT36" i="80" s="1"/>
  <c r="CW36" i="80"/>
  <c r="CX36" i="80"/>
  <c r="CY36" i="80" s="1"/>
  <c r="CR37" i="80"/>
  <c r="CS37" i="80"/>
  <c r="CT37" i="80" s="1"/>
  <c r="CW37" i="80"/>
  <c r="CX37" i="80"/>
  <c r="CY37" i="80" s="1"/>
  <c r="CR38" i="80"/>
  <c r="CS38" i="80"/>
  <c r="CT38" i="80" s="1"/>
  <c r="CW38" i="80"/>
  <c r="CX38" i="80"/>
  <c r="CY38" i="80" s="1"/>
  <c r="CR39" i="80"/>
  <c r="CS39" i="80"/>
  <c r="CT39" i="80" s="1"/>
  <c r="CW39" i="80"/>
  <c r="CX39" i="80"/>
  <c r="CY39" i="80" s="1"/>
  <c r="CR40" i="80"/>
  <c r="CS40" i="80"/>
  <c r="CT40" i="80" s="1"/>
  <c r="CW40" i="80"/>
  <c r="CX40" i="80"/>
  <c r="CY40" i="80" s="1"/>
  <c r="CR41" i="80"/>
  <c r="CS41" i="80"/>
  <c r="CT41" i="80" s="1"/>
  <c r="CW41" i="80"/>
  <c r="CX41" i="80"/>
  <c r="CY41" i="80" s="1"/>
  <c r="CR42" i="80"/>
  <c r="CS42" i="80"/>
  <c r="CT42" i="80" s="1"/>
  <c r="CW42" i="80"/>
  <c r="CX42" i="80"/>
  <c r="CY42" i="80" s="1"/>
  <c r="CR43" i="80"/>
  <c r="CS43" i="80"/>
  <c r="CT43" i="80" s="1"/>
  <c r="CW43" i="80"/>
  <c r="CX43" i="80"/>
  <c r="CY43" i="80" s="1"/>
  <c r="CR44" i="80"/>
  <c r="CS44" i="80"/>
  <c r="CT44" i="80" s="1"/>
  <c r="CW44" i="80"/>
  <c r="CX44" i="80"/>
  <c r="CY44" i="80" s="1"/>
  <c r="CR45" i="80"/>
  <c r="CS45" i="80"/>
  <c r="CT45" i="80" s="1"/>
  <c r="CW45" i="80"/>
  <c r="CX45" i="80"/>
  <c r="CY45" i="80" s="1"/>
  <c r="CR46" i="80"/>
  <c r="CS46" i="80"/>
  <c r="CT46" i="80" s="1"/>
  <c r="CW46" i="80"/>
  <c r="CX46" i="80"/>
  <c r="CY46" i="80" s="1"/>
  <c r="CR47" i="80"/>
  <c r="CS47" i="80"/>
  <c r="CT47" i="80" s="1"/>
  <c r="CW47" i="80"/>
  <c r="CX47" i="80"/>
  <c r="CY47" i="80" s="1"/>
  <c r="CR48" i="80"/>
  <c r="CS48" i="80"/>
  <c r="CT48" i="80" s="1"/>
  <c r="CW48" i="80"/>
  <c r="CX48" i="80"/>
  <c r="CY48" i="80" s="1"/>
  <c r="CR49" i="80"/>
  <c r="CS49" i="80"/>
  <c r="CT49" i="80" s="1"/>
  <c r="CW49" i="80"/>
  <c r="CX49" i="80"/>
  <c r="CY49" i="80" s="1"/>
  <c r="CR50" i="80"/>
  <c r="CS50" i="80"/>
  <c r="CT50" i="80" s="1"/>
  <c r="CW50" i="80"/>
  <c r="CX50" i="80"/>
  <c r="CY50" i="80" s="1"/>
  <c r="CR51" i="80"/>
  <c r="CS51" i="80"/>
  <c r="CT51" i="80" s="1"/>
  <c r="CW51" i="80"/>
  <c r="CX51" i="80"/>
  <c r="CY51" i="80" s="1"/>
  <c r="CR52" i="80"/>
  <c r="CS52" i="80"/>
  <c r="CT52" i="80" s="1"/>
  <c r="CW52" i="80"/>
  <c r="CX52" i="80"/>
  <c r="CY52" i="80" s="1"/>
  <c r="CR53" i="80"/>
  <c r="CS53" i="80"/>
  <c r="CT53" i="80" s="1"/>
  <c r="CW53" i="80"/>
  <c r="CX53" i="80"/>
  <c r="CY53" i="80" s="1"/>
  <c r="CR54" i="80"/>
  <c r="CS54" i="80"/>
  <c r="CT54" i="80" s="1"/>
  <c r="CW54" i="80"/>
  <c r="CX54" i="80"/>
  <c r="CY54" i="80" s="1"/>
  <c r="CR55" i="80"/>
  <c r="CS55" i="80"/>
  <c r="CT55" i="80" s="1"/>
  <c r="CW55" i="80"/>
  <c r="CX55" i="80"/>
  <c r="CY55" i="80" s="1"/>
  <c r="CR56" i="80"/>
  <c r="CS56" i="80"/>
  <c r="CT56" i="80" s="1"/>
  <c r="CW56" i="80"/>
  <c r="CX56" i="80"/>
  <c r="CY56" i="80" s="1"/>
  <c r="CR57" i="80"/>
  <c r="CS57" i="80"/>
  <c r="CT57" i="80" s="1"/>
  <c r="CW57" i="80"/>
  <c r="CX57" i="80"/>
  <c r="CY57" i="80" s="1"/>
  <c r="CR58" i="80"/>
  <c r="CS58" i="80"/>
  <c r="CT58" i="80" s="1"/>
  <c r="CW58" i="80"/>
  <c r="CX58" i="80"/>
  <c r="CY58" i="80" s="1"/>
  <c r="CR59" i="80"/>
  <c r="CS59" i="80"/>
  <c r="CT59" i="80" s="1"/>
  <c r="CW59" i="80"/>
  <c r="CX59" i="80"/>
  <c r="CY59" i="80" s="1"/>
  <c r="CR60" i="80"/>
  <c r="CS60" i="80"/>
  <c r="CT60" i="80" s="1"/>
  <c r="CW60" i="80"/>
  <c r="CX60" i="80"/>
  <c r="CY60" i="80" s="1"/>
  <c r="CR61" i="80"/>
  <c r="CS61" i="80"/>
  <c r="CT61" i="80" s="1"/>
  <c r="CW61" i="80"/>
  <c r="CX61" i="80"/>
  <c r="CY61" i="80" s="1"/>
  <c r="CR62" i="80"/>
  <c r="CS62" i="80"/>
  <c r="CT62" i="80" s="1"/>
  <c r="CW62" i="80"/>
  <c r="CX62" i="80"/>
  <c r="CY62" i="80" s="1"/>
  <c r="CR63" i="80"/>
  <c r="CS63" i="80"/>
  <c r="CT63" i="80" s="1"/>
  <c r="CW63" i="80"/>
  <c r="CX63" i="80"/>
  <c r="CY63" i="80" s="1"/>
  <c r="CR64" i="80"/>
  <c r="CS64" i="80"/>
  <c r="CT64" i="80" s="1"/>
  <c r="CW64" i="80"/>
  <c r="CX64" i="80"/>
  <c r="CY64" i="80" s="1"/>
  <c r="CR65" i="80"/>
  <c r="CS65" i="80"/>
  <c r="CT65" i="80" s="1"/>
  <c r="CW65" i="80"/>
  <c r="CX65" i="80"/>
  <c r="CY65" i="80" s="1"/>
  <c r="CR66" i="80"/>
  <c r="CS66" i="80"/>
  <c r="CT66" i="80" s="1"/>
  <c r="CW66" i="80"/>
  <c r="CX66" i="80"/>
  <c r="CY66" i="80" s="1"/>
  <c r="CR67" i="80"/>
  <c r="CS67" i="80"/>
  <c r="CT67" i="80" s="1"/>
  <c r="CW67" i="80"/>
  <c r="CX67" i="80"/>
  <c r="CY67" i="80" s="1"/>
  <c r="CR68" i="80"/>
  <c r="CS68" i="80"/>
  <c r="CT68" i="80" s="1"/>
  <c r="CW68" i="80"/>
  <c r="CX68" i="80"/>
  <c r="CY68" i="80" s="1"/>
  <c r="CR69" i="80"/>
  <c r="CS69" i="80"/>
  <c r="CT69" i="80" s="1"/>
  <c r="CW69" i="80"/>
  <c r="CX69" i="80"/>
  <c r="CY69" i="80" s="1"/>
  <c r="CR70" i="80"/>
  <c r="CS70" i="80"/>
  <c r="CT70" i="80" s="1"/>
  <c r="CW70" i="80"/>
  <c r="CX70" i="80"/>
  <c r="CY70" i="80" s="1"/>
  <c r="CR71" i="80"/>
  <c r="CS71" i="80"/>
  <c r="CT71" i="80" s="1"/>
  <c r="CW71" i="80"/>
  <c r="CX71" i="80"/>
  <c r="CY71" i="80" s="1"/>
  <c r="CR72" i="80"/>
  <c r="CS72" i="80"/>
  <c r="CT72" i="80" s="1"/>
  <c r="CW72" i="80"/>
  <c r="CX72" i="80"/>
  <c r="CY72" i="80" s="1"/>
  <c r="CR73" i="80"/>
  <c r="CS73" i="80"/>
  <c r="CT73" i="80" s="1"/>
  <c r="CW73" i="80"/>
  <c r="CX73" i="80"/>
  <c r="CY73" i="80" s="1"/>
  <c r="CR74" i="80"/>
  <c r="CS74" i="80"/>
  <c r="CT74" i="80" s="1"/>
  <c r="CW74" i="80"/>
  <c r="CX74" i="80"/>
  <c r="CY74" i="80" s="1"/>
  <c r="CR75" i="80"/>
  <c r="CS75" i="80"/>
  <c r="CT75" i="80" s="1"/>
  <c r="CW75" i="80"/>
  <c r="CX75" i="80"/>
  <c r="CY75" i="80" s="1"/>
  <c r="CR76" i="80"/>
  <c r="CS76" i="80"/>
  <c r="CT76" i="80" s="1"/>
  <c r="CW76" i="80"/>
  <c r="CX76" i="80"/>
  <c r="CY76" i="80" s="1"/>
  <c r="CR77" i="80"/>
  <c r="CS77" i="80"/>
  <c r="CT77" i="80" s="1"/>
  <c r="CW77" i="80"/>
  <c r="CX77" i="80"/>
  <c r="CY77" i="80" s="1"/>
  <c r="CR78" i="80"/>
  <c r="CS78" i="80"/>
  <c r="CT78" i="80" s="1"/>
  <c r="CW78" i="80"/>
  <c r="CX78" i="80"/>
  <c r="CY78" i="80" s="1"/>
  <c r="CR79" i="80"/>
  <c r="CS79" i="80"/>
  <c r="CT79" i="80" s="1"/>
  <c r="CW79" i="80"/>
  <c r="CX79" i="80"/>
  <c r="CY79" i="80" s="1"/>
  <c r="CR80" i="80"/>
  <c r="CS80" i="80"/>
  <c r="CT80" i="80" s="1"/>
  <c r="CW80" i="80"/>
  <c r="CX80" i="80"/>
  <c r="CY80" i="80" s="1"/>
  <c r="CR81" i="80"/>
  <c r="CS81" i="80"/>
  <c r="CT81" i="80" s="1"/>
  <c r="CW81" i="80"/>
  <c r="CX81" i="80"/>
  <c r="CY81" i="80" s="1"/>
  <c r="CR82" i="80"/>
  <c r="CS82" i="80"/>
  <c r="CT82" i="80" s="1"/>
  <c r="CW82" i="80"/>
  <c r="CX82" i="80"/>
  <c r="CY82" i="80" s="1"/>
  <c r="CR83" i="80"/>
  <c r="CS83" i="80"/>
  <c r="CT83" i="80" s="1"/>
  <c r="CW83" i="80"/>
  <c r="CX83" i="80"/>
  <c r="CY83" i="80" s="1"/>
  <c r="CR84" i="80"/>
  <c r="CS84" i="80"/>
  <c r="CT84" i="80" s="1"/>
  <c r="CW84" i="80"/>
  <c r="CX84" i="80"/>
  <c r="CY84" i="80" s="1"/>
  <c r="CR85" i="80"/>
  <c r="CS85" i="80"/>
  <c r="CT85" i="80" s="1"/>
  <c r="CW85" i="80"/>
  <c r="CX85" i="80"/>
  <c r="CY85" i="80" s="1"/>
  <c r="CR86" i="80"/>
  <c r="CS86" i="80"/>
  <c r="CT86" i="80" s="1"/>
  <c r="CW86" i="80"/>
  <c r="CX86" i="80"/>
  <c r="CY86" i="80" s="1"/>
  <c r="CR87" i="80"/>
  <c r="CS87" i="80"/>
  <c r="CT87" i="80" s="1"/>
  <c r="CW87" i="80"/>
  <c r="CX87" i="80"/>
  <c r="CY87" i="80" s="1"/>
  <c r="CR88" i="80"/>
  <c r="CS88" i="80"/>
  <c r="CT88" i="80" s="1"/>
  <c r="CW88" i="80"/>
  <c r="CX88" i="80"/>
  <c r="CY88" i="80" s="1"/>
  <c r="CR89" i="80"/>
  <c r="CS89" i="80"/>
  <c r="CT89" i="80" s="1"/>
  <c r="CW89" i="80"/>
  <c r="CX89" i="80"/>
  <c r="CY89" i="80" s="1"/>
  <c r="CR90" i="80"/>
  <c r="CS90" i="80"/>
  <c r="CT90" i="80" s="1"/>
  <c r="CW90" i="80"/>
  <c r="CX90" i="80"/>
  <c r="CY90" i="80" s="1"/>
  <c r="CR91" i="80"/>
  <c r="CS91" i="80"/>
  <c r="CT91" i="80" s="1"/>
  <c r="CW91" i="80"/>
  <c r="CX91" i="80"/>
  <c r="CY91" i="80" s="1"/>
  <c r="CR92" i="80"/>
  <c r="CS92" i="80"/>
  <c r="CT92" i="80" s="1"/>
  <c r="CW92" i="80"/>
  <c r="CX92" i="80"/>
  <c r="CY92" i="80" s="1"/>
  <c r="CR93" i="80"/>
  <c r="CS93" i="80"/>
  <c r="CT93" i="80" s="1"/>
  <c r="CW93" i="80"/>
  <c r="CX93" i="80"/>
  <c r="CY93" i="80" s="1"/>
  <c r="CR94" i="80"/>
  <c r="CS94" i="80"/>
  <c r="CT94" i="80" s="1"/>
  <c r="CW94" i="80"/>
  <c r="CX94" i="80"/>
  <c r="CY94" i="80" s="1"/>
  <c r="CR95" i="80"/>
  <c r="CS95" i="80"/>
  <c r="CT95" i="80" s="1"/>
  <c r="CW95" i="80"/>
  <c r="CX95" i="80"/>
  <c r="CY95" i="80" s="1"/>
  <c r="CR96" i="80"/>
  <c r="CS96" i="80"/>
  <c r="CT96" i="80" s="1"/>
  <c r="CW96" i="80"/>
  <c r="CX96" i="80"/>
  <c r="CY96" i="80" s="1"/>
  <c r="CR97" i="80"/>
  <c r="CS97" i="80"/>
  <c r="CT97" i="80" s="1"/>
  <c r="CW97" i="80"/>
  <c r="CX97" i="80"/>
  <c r="CY97" i="80" s="1"/>
  <c r="CR98" i="80"/>
  <c r="CS98" i="80"/>
  <c r="CT98" i="80" s="1"/>
  <c r="CW98" i="80"/>
  <c r="CX98" i="80"/>
  <c r="CY98" i="80" s="1"/>
  <c r="CR99" i="80"/>
  <c r="CS99" i="80"/>
  <c r="CT99" i="80" s="1"/>
  <c r="CW99" i="80"/>
  <c r="CX99" i="80"/>
  <c r="CY99" i="80" s="1"/>
  <c r="CR100" i="80"/>
  <c r="CS100" i="80"/>
  <c r="CT100" i="80" s="1"/>
  <c r="CW100" i="80"/>
  <c r="CX100" i="80"/>
  <c r="CY100" i="80" s="1"/>
  <c r="CR101" i="80"/>
  <c r="CS101" i="80"/>
  <c r="CT101" i="80" s="1"/>
  <c r="CW101" i="80"/>
  <c r="CX101" i="80"/>
  <c r="CY101" i="80" s="1"/>
  <c r="CR102" i="80"/>
  <c r="CS102" i="80"/>
  <c r="CT102" i="80" s="1"/>
  <c r="CW102" i="80"/>
  <c r="CX102" i="80"/>
  <c r="CY102" i="80" s="1"/>
  <c r="CR103" i="80"/>
  <c r="CS103" i="80"/>
  <c r="CT103" i="80" s="1"/>
  <c r="CW103" i="80"/>
  <c r="CX103" i="80"/>
  <c r="CY103" i="80" s="1"/>
  <c r="CR104" i="80"/>
  <c r="CS104" i="80"/>
  <c r="CT104" i="80" s="1"/>
  <c r="CW104" i="80"/>
  <c r="CX104" i="80"/>
  <c r="CY104" i="80" s="1"/>
  <c r="CR105" i="80"/>
  <c r="CS105" i="80"/>
  <c r="CT105" i="80" s="1"/>
  <c r="CW105" i="80"/>
  <c r="CX105" i="80"/>
  <c r="CY105" i="80" s="1"/>
  <c r="CR106" i="80"/>
  <c r="CS106" i="80"/>
  <c r="CT106" i="80" s="1"/>
  <c r="CW106" i="80"/>
  <c r="CX106" i="80"/>
  <c r="CY106" i="80" s="1"/>
  <c r="CR107" i="80"/>
  <c r="CS107" i="80"/>
  <c r="CT107" i="80" s="1"/>
  <c r="CW107" i="80"/>
  <c r="CX107" i="80"/>
  <c r="CY107" i="80" s="1"/>
  <c r="CR108" i="80"/>
  <c r="CS108" i="80"/>
  <c r="CT108" i="80" s="1"/>
  <c r="CW108" i="80"/>
  <c r="CX108" i="80"/>
  <c r="CY108" i="80" s="1"/>
  <c r="CR109" i="80"/>
  <c r="CS109" i="80"/>
  <c r="CT109" i="80" s="1"/>
  <c r="CW109" i="80"/>
  <c r="CX109" i="80"/>
  <c r="CY109" i="80" s="1"/>
  <c r="CR110" i="80"/>
  <c r="CS110" i="80"/>
  <c r="CT110" i="80" s="1"/>
  <c r="CW110" i="80"/>
  <c r="CX110" i="80"/>
  <c r="CY110" i="80" s="1"/>
  <c r="CR111" i="80"/>
  <c r="CS111" i="80"/>
  <c r="CT111" i="80" s="1"/>
  <c r="CW111" i="80"/>
  <c r="CX111" i="80"/>
  <c r="CY111" i="80" s="1"/>
  <c r="CR112" i="80"/>
  <c r="CS112" i="80"/>
  <c r="CT112" i="80" s="1"/>
  <c r="CW112" i="80"/>
  <c r="CX112" i="80"/>
  <c r="CY112" i="80" s="1"/>
  <c r="CR113" i="80"/>
  <c r="CS113" i="80"/>
  <c r="CT113" i="80" s="1"/>
  <c r="CW113" i="80"/>
  <c r="CX113" i="80"/>
  <c r="CY113" i="80" s="1"/>
  <c r="CR114" i="80"/>
  <c r="CS114" i="80"/>
  <c r="CT114" i="80" s="1"/>
  <c r="CW114" i="80"/>
  <c r="CX114" i="80"/>
  <c r="CY114" i="80" s="1"/>
  <c r="CR115" i="80"/>
  <c r="CS115" i="80"/>
  <c r="CT115" i="80" s="1"/>
  <c r="CW115" i="80"/>
  <c r="CX115" i="80"/>
  <c r="CY115" i="80" s="1"/>
  <c r="CR116" i="80"/>
  <c r="CS116" i="80"/>
  <c r="CT116" i="80" s="1"/>
  <c r="CW116" i="80"/>
  <c r="CX116" i="80"/>
  <c r="CY116" i="80" s="1"/>
  <c r="CR117" i="80"/>
  <c r="CS117" i="80"/>
  <c r="CT117" i="80" s="1"/>
  <c r="CW117" i="80"/>
  <c r="CX117" i="80"/>
  <c r="CY117" i="80" s="1"/>
  <c r="CR118" i="80"/>
  <c r="CS118" i="80"/>
  <c r="CT118" i="80" s="1"/>
  <c r="CW118" i="80"/>
  <c r="CX118" i="80"/>
  <c r="CY118" i="80" s="1"/>
  <c r="CR119" i="80"/>
  <c r="CS119" i="80"/>
  <c r="CT119" i="80" s="1"/>
  <c r="CW119" i="80"/>
  <c r="CX119" i="80"/>
  <c r="CY119" i="80" s="1"/>
  <c r="CR120" i="80"/>
  <c r="CS120" i="80"/>
  <c r="CT120" i="80" s="1"/>
  <c r="CW120" i="80"/>
  <c r="CX120" i="80"/>
  <c r="CY120" i="80" s="1"/>
  <c r="CR121" i="80"/>
  <c r="CS121" i="80"/>
  <c r="CT121" i="80" s="1"/>
  <c r="CW121" i="80"/>
  <c r="CX121" i="80"/>
  <c r="CY121" i="80" s="1"/>
  <c r="CR122" i="80"/>
  <c r="CS122" i="80"/>
  <c r="CT122" i="80" s="1"/>
  <c r="CW122" i="80"/>
  <c r="CX122" i="80"/>
  <c r="CY122" i="80" s="1"/>
  <c r="CR123" i="80"/>
  <c r="CS123" i="80"/>
  <c r="CT123" i="80" s="1"/>
  <c r="CW123" i="80"/>
  <c r="CX123" i="80"/>
  <c r="CY123" i="80" s="1"/>
  <c r="CR124" i="80"/>
  <c r="CS124" i="80"/>
  <c r="CT124" i="80" s="1"/>
  <c r="CW124" i="80"/>
  <c r="CX124" i="80"/>
  <c r="CY124" i="80" s="1"/>
  <c r="CR125" i="80"/>
  <c r="CS125" i="80"/>
  <c r="CT125" i="80" s="1"/>
  <c r="CW125" i="80"/>
  <c r="CX125" i="80"/>
  <c r="CY125" i="80" s="1"/>
  <c r="CR126" i="80"/>
  <c r="CS126" i="80"/>
  <c r="CT126" i="80" s="1"/>
  <c r="CW126" i="80"/>
  <c r="CX126" i="80"/>
  <c r="CY126" i="80" s="1"/>
  <c r="CR127" i="80"/>
  <c r="CS127" i="80"/>
  <c r="CT127" i="80" s="1"/>
  <c r="CW127" i="80"/>
  <c r="CX127" i="80"/>
  <c r="CY127" i="80" s="1"/>
  <c r="CR128" i="80"/>
  <c r="CS128" i="80"/>
  <c r="CT128" i="80" s="1"/>
  <c r="CW128" i="80"/>
  <c r="CX128" i="80"/>
  <c r="CY128" i="80" s="1"/>
  <c r="CR129" i="80"/>
  <c r="CS129" i="80"/>
  <c r="CT129" i="80" s="1"/>
  <c r="CW129" i="80"/>
  <c r="CX129" i="80"/>
  <c r="CY129" i="80" s="1"/>
  <c r="CR130" i="80"/>
  <c r="CS130" i="80"/>
  <c r="CT130" i="80" s="1"/>
  <c r="CW130" i="80"/>
  <c r="CX130" i="80"/>
  <c r="CY130" i="80" s="1"/>
  <c r="CR131" i="80"/>
  <c r="CS131" i="80"/>
  <c r="CT131" i="80" s="1"/>
  <c r="CW131" i="80"/>
  <c r="CX131" i="80"/>
  <c r="CY131" i="80" s="1"/>
  <c r="CR132" i="80"/>
  <c r="CS132" i="80"/>
  <c r="CT132" i="80" s="1"/>
  <c r="CW132" i="80"/>
  <c r="CX132" i="80"/>
  <c r="CY132" i="80" s="1"/>
  <c r="CR133" i="80"/>
  <c r="CS133" i="80"/>
  <c r="CT133" i="80" s="1"/>
  <c r="CW133" i="80"/>
  <c r="CX133" i="80"/>
  <c r="CY133" i="80" s="1"/>
  <c r="CR134" i="80"/>
  <c r="CS134" i="80"/>
  <c r="CT134" i="80" s="1"/>
  <c r="CW134" i="80"/>
  <c r="CX134" i="80"/>
  <c r="CY134" i="80" s="1"/>
  <c r="CR135" i="80"/>
  <c r="CS135" i="80"/>
  <c r="CT135" i="80" s="1"/>
  <c r="CW135" i="80"/>
  <c r="CX135" i="80"/>
  <c r="CY135" i="80" s="1"/>
  <c r="CR136" i="80"/>
  <c r="CS136" i="80"/>
  <c r="CT136" i="80" s="1"/>
  <c r="CW136" i="80"/>
  <c r="CX136" i="80"/>
  <c r="CY136" i="80" s="1"/>
  <c r="CR137" i="80"/>
  <c r="CS137" i="80"/>
  <c r="CT137" i="80" s="1"/>
  <c r="CW137" i="80"/>
  <c r="CX137" i="80"/>
  <c r="CY137" i="80" s="1"/>
  <c r="CR138" i="80"/>
  <c r="CS138" i="80"/>
  <c r="CT138" i="80" s="1"/>
  <c r="CW138" i="80"/>
  <c r="CX138" i="80"/>
  <c r="CY138" i="80" s="1"/>
  <c r="CR139" i="80"/>
  <c r="CS139" i="80"/>
  <c r="CT139" i="80" s="1"/>
  <c r="CW139" i="80"/>
  <c r="CX139" i="80"/>
  <c r="CY139" i="80" s="1"/>
  <c r="CR140" i="80"/>
  <c r="CS140" i="80"/>
  <c r="CT140" i="80" s="1"/>
  <c r="CW140" i="80"/>
  <c r="CX140" i="80"/>
  <c r="CY140" i="80" s="1"/>
  <c r="CR141" i="80"/>
  <c r="CS141" i="80"/>
  <c r="CT141" i="80" s="1"/>
  <c r="CW141" i="80"/>
  <c r="CX141" i="80"/>
  <c r="CY141" i="80" s="1"/>
  <c r="CR142" i="80"/>
  <c r="CS142" i="80"/>
  <c r="CT142" i="80" s="1"/>
  <c r="CW142" i="80"/>
  <c r="CX142" i="80"/>
  <c r="CY142" i="80" s="1"/>
  <c r="CR143" i="80"/>
  <c r="CS143" i="80"/>
  <c r="CT143" i="80" s="1"/>
  <c r="CW143" i="80"/>
  <c r="CX143" i="80"/>
  <c r="CY143" i="80" s="1"/>
  <c r="CR144" i="80"/>
  <c r="CS144" i="80"/>
  <c r="CT144" i="80" s="1"/>
  <c r="CW144" i="80"/>
  <c r="CX144" i="80"/>
  <c r="CY144" i="80" s="1"/>
  <c r="CR145" i="80"/>
  <c r="CS145" i="80"/>
  <c r="CT145" i="80" s="1"/>
  <c r="CW145" i="80"/>
  <c r="CX145" i="80"/>
  <c r="CY145" i="80" s="1"/>
  <c r="CR146" i="80"/>
  <c r="CS146" i="80"/>
  <c r="CT146" i="80" s="1"/>
  <c r="CW146" i="80"/>
  <c r="CX146" i="80"/>
  <c r="CY146" i="80" s="1"/>
  <c r="CR147" i="80"/>
  <c r="CS147" i="80"/>
  <c r="CT147" i="80" s="1"/>
  <c r="CW147" i="80"/>
  <c r="CX147" i="80"/>
  <c r="CY147" i="80" s="1"/>
  <c r="CR148" i="80"/>
  <c r="CS148" i="80"/>
  <c r="CT148" i="80" s="1"/>
  <c r="CW148" i="80"/>
  <c r="CX148" i="80"/>
  <c r="CY148" i="80" s="1"/>
  <c r="CR149" i="80"/>
  <c r="CS149" i="80"/>
  <c r="CT149" i="80" s="1"/>
  <c r="CW149" i="80"/>
  <c r="CX149" i="80"/>
  <c r="CY149" i="80" s="1"/>
  <c r="CR150" i="80"/>
  <c r="CS150" i="80"/>
  <c r="CT150" i="80" s="1"/>
  <c r="CW150" i="80"/>
  <c r="CX150" i="80"/>
  <c r="CY150" i="80" s="1"/>
  <c r="CR151" i="80"/>
  <c r="CS151" i="80"/>
  <c r="CT151" i="80" s="1"/>
  <c r="CW151" i="80"/>
  <c r="CX151" i="80"/>
  <c r="CY151" i="80" s="1"/>
  <c r="CR152" i="80"/>
  <c r="CS152" i="80"/>
  <c r="CT152" i="80" s="1"/>
  <c r="CW152" i="80"/>
  <c r="CX152" i="80"/>
  <c r="CY152" i="80" s="1"/>
  <c r="CR153" i="80"/>
  <c r="CS153" i="80"/>
  <c r="CT153" i="80" s="1"/>
  <c r="CW153" i="80"/>
  <c r="CX153" i="80"/>
  <c r="CY153" i="80" s="1"/>
  <c r="CR154" i="80"/>
  <c r="CS154" i="80"/>
  <c r="CT154" i="80" s="1"/>
  <c r="CW154" i="80"/>
  <c r="CX154" i="80"/>
  <c r="CY154" i="80" s="1"/>
  <c r="CR155" i="80"/>
  <c r="CS155" i="80"/>
  <c r="CT155" i="80" s="1"/>
  <c r="CW155" i="80"/>
  <c r="CX155" i="80"/>
  <c r="CY155" i="80" s="1"/>
  <c r="CR156" i="80"/>
  <c r="CS156" i="80"/>
  <c r="CT156" i="80" s="1"/>
  <c r="CW156" i="80"/>
  <c r="CX156" i="80"/>
  <c r="CY156" i="80" s="1"/>
  <c r="CR157" i="80"/>
  <c r="CS157" i="80"/>
  <c r="CT157" i="80" s="1"/>
  <c r="CW157" i="80"/>
  <c r="CX157" i="80"/>
  <c r="CY157" i="80" s="1"/>
  <c r="CR158" i="80"/>
  <c r="CS158" i="80"/>
  <c r="CT158" i="80" s="1"/>
  <c r="CW158" i="80"/>
  <c r="CX158" i="80"/>
  <c r="CY158" i="80" s="1"/>
  <c r="CR159" i="80"/>
  <c r="CS159" i="80"/>
  <c r="CT159" i="80" s="1"/>
  <c r="CW159" i="80"/>
  <c r="CX159" i="80"/>
  <c r="CY159" i="80" s="1"/>
  <c r="CR160" i="80"/>
  <c r="CS160" i="80"/>
  <c r="CT160" i="80" s="1"/>
  <c r="CW160" i="80"/>
  <c r="CX160" i="80"/>
  <c r="CY160" i="80" s="1"/>
  <c r="CR161" i="80"/>
  <c r="CS161" i="80"/>
  <c r="CT161" i="80" s="1"/>
  <c r="CW161" i="80"/>
  <c r="CX161" i="80"/>
  <c r="CY161" i="80" s="1"/>
  <c r="CR162" i="80"/>
  <c r="CS162" i="80"/>
  <c r="CT162" i="80" s="1"/>
  <c r="CW162" i="80"/>
  <c r="CX162" i="80"/>
  <c r="CY162" i="80" s="1"/>
  <c r="CR163" i="80"/>
  <c r="CS163" i="80"/>
  <c r="CT163" i="80" s="1"/>
  <c r="CW163" i="80"/>
  <c r="CX163" i="80"/>
  <c r="CY163" i="80" s="1"/>
  <c r="CR164" i="80"/>
  <c r="CS164" i="80"/>
  <c r="CT164" i="80" s="1"/>
  <c r="CW164" i="80"/>
  <c r="CX164" i="80"/>
  <c r="CY164" i="80" s="1"/>
  <c r="CR165" i="80"/>
  <c r="CS165" i="80"/>
  <c r="CT165" i="80" s="1"/>
  <c r="CW165" i="80"/>
  <c r="CX165" i="80"/>
  <c r="CY165" i="80" s="1"/>
  <c r="CR166" i="80"/>
  <c r="CS166" i="80"/>
  <c r="CT166" i="80" s="1"/>
  <c r="CW166" i="80"/>
  <c r="CX166" i="80"/>
  <c r="CY166" i="80" s="1"/>
  <c r="CR167" i="80"/>
  <c r="CS167" i="80"/>
  <c r="CT167" i="80" s="1"/>
  <c r="CW167" i="80"/>
  <c r="CX167" i="80"/>
  <c r="CY167" i="80" s="1"/>
  <c r="CR168" i="80"/>
  <c r="CS168" i="80"/>
  <c r="CT168" i="80" s="1"/>
  <c r="CW168" i="80"/>
  <c r="CX168" i="80"/>
  <c r="CY168" i="80" s="1"/>
  <c r="CR169" i="80"/>
  <c r="CS169" i="80"/>
  <c r="CT169" i="80" s="1"/>
  <c r="CW169" i="80"/>
  <c r="CX169" i="80"/>
  <c r="CY169" i="80" s="1"/>
  <c r="CR170" i="80"/>
  <c r="CS170" i="80"/>
  <c r="CT170" i="80" s="1"/>
  <c r="CW170" i="80"/>
  <c r="CX170" i="80"/>
  <c r="CY170" i="80" s="1"/>
  <c r="CR171" i="80"/>
  <c r="CS171" i="80"/>
  <c r="CT171" i="80" s="1"/>
  <c r="CW171" i="80"/>
  <c r="CX171" i="80"/>
  <c r="CY171" i="80" s="1"/>
  <c r="CR172" i="80"/>
  <c r="CS172" i="80"/>
  <c r="CT172" i="80" s="1"/>
  <c r="CW172" i="80"/>
  <c r="CX172" i="80"/>
  <c r="CY172" i="80" s="1"/>
  <c r="CR173" i="80"/>
  <c r="CS173" i="80"/>
  <c r="CT173" i="80" s="1"/>
  <c r="CW173" i="80"/>
  <c r="CX173" i="80"/>
  <c r="CY173" i="80" s="1"/>
  <c r="CR174" i="80"/>
  <c r="CS174" i="80"/>
  <c r="CT174" i="80" s="1"/>
  <c r="CW174" i="80"/>
  <c r="CX174" i="80"/>
  <c r="CY174" i="80" s="1"/>
  <c r="CR175" i="80"/>
  <c r="CS175" i="80"/>
  <c r="CT175" i="80" s="1"/>
  <c r="CW175" i="80"/>
  <c r="CX175" i="80"/>
  <c r="CY175" i="80" s="1"/>
  <c r="CR176" i="80"/>
  <c r="CS176" i="80"/>
  <c r="CT176" i="80" s="1"/>
  <c r="CW176" i="80"/>
  <c r="CX176" i="80"/>
  <c r="CY176" i="80" s="1"/>
  <c r="CR177" i="80"/>
  <c r="CS177" i="80"/>
  <c r="CT177" i="80" s="1"/>
  <c r="CW177" i="80"/>
  <c r="CX177" i="80"/>
  <c r="CY177" i="80" s="1"/>
  <c r="CR178" i="80"/>
  <c r="CS178" i="80"/>
  <c r="CT178" i="80" s="1"/>
  <c r="CW178" i="80"/>
  <c r="CX178" i="80"/>
  <c r="CY178" i="80" s="1"/>
  <c r="CR179" i="80"/>
  <c r="CS179" i="80"/>
  <c r="CT179" i="80" s="1"/>
  <c r="CW179" i="80"/>
  <c r="CX179" i="80"/>
  <c r="CY179" i="80" s="1"/>
  <c r="CR180" i="80"/>
  <c r="CS180" i="80"/>
  <c r="CT180" i="80" s="1"/>
  <c r="CW180" i="80"/>
  <c r="CX180" i="80"/>
  <c r="CY180" i="80" s="1"/>
  <c r="CR181" i="80"/>
  <c r="CS181" i="80"/>
  <c r="CT181" i="80" s="1"/>
  <c r="CW181" i="80"/>
  <c r="CX181" i="80"/>
  <c r="CY181" i="80" s="1"/>
  <c r="CR182" i="80"/>
  <c r="CS182" i="80"/>
  <c r="CT182" i="80" s="1"/>
  <c r="CW182" i="80"/>
  <c r="CX182" i="80"/>
  <c r="CY182" i="80" s="1"/>
  <c r="CR183" i="80"/>
  <c r="CS183" i="80"/>
  <c r="CT183" i="80" s="1"/>
  <c r="CW183" i="80"/>
  <c r="CX183" i="80"/>
  <c r="CY183" i="80" s="1"/>
  <c r="CR184" i="80"/>
  <c r="CS184" i="80"/>
  <c r="CT184" i="80" s="1"/>
  <c r="CW184" i="80"/>
  <c r="CX184" i="80"/>
  <c r="CY184" i="80" s="1"/>
  <c r="CR185" i="80"/>
  <c r="CS185" i="80"/>
  <c r="CT185" i="80" s="1"/>
  <c r="CW185" i="80"/>
  <c r="CX185" i="80"/>
  <c r="CY185" i="80" s="1"/>
  <c r="CR186" i="80"/>
  <c r="CS186" i="80"/>
  <c r="CT186" i="80" s="1"/>
  <c r="CW186" i="80"/>
  <c r="CX186" i="80"/>
  <c r="CY186" i="80" s="1"/>
  <c r="CR187" i="80"/>
  <c r="CS187" i="80"/>
  <c r="CT187" i="80" s="1"/>
  <c r="CW187" i="80"/>
  <c r="CX187" i="80"/>
  <c r="CY187" i="80" s="1"/>
  <c r="CR188" i="80"/>
  <c r="CS188" i="80"/>
  <c r="CT188" i="80" s="1"/>
  <c r="CW188" i="80"/>
  <c r="CX188" i="80"/>
  <c r="CY188" i="80" s="1"/>
  <c r="CR189" i="80"/>
  <c r="CS189" i="80"/>
  <c r="CT189" i="80" s="1"/>
  <c r="CW189" i="80"/>
  <c r="CX189" i="80"/>
  <c r="CY189" i="80" s="1"/>
  <c r="CR190" i="80"/>
  <c r="CS190" i="80"/>
  <c r="CT190" i="80" s="1"/>
  <c r="CW190" i="80"/>
  <c r="CX190" i="80"/>
  <c r="CY190" i="80" s="1"/>
  <c r="CR191" i="80"/>
  <c r="CS191" i="80"/>
  <c r="CT191" i="80" s="1"/>
  <c r="CW191" i="80"/>
  <c r="CX191" i="80"/>
  <c r="CY191" i="80" s="1"/>
  <c r="CR192" i="80"/>
  <c r="CS192" i="80"/>
  <c r="CT192" i="80" s="1"/>
  <c r="CW192" i="80"/>
  <c r="CX192" i="80"/>
  <c r="CY192" i="80" s="1"/>
  <c r="CR193" i="80"/>
  <c r="CS193" i="80"/>
  <c r="CT193" i="80" s="1"/>
  <c r="CW193" i="80"/>
  <c r="CX193" i="80"/>
  <c r="CY193" i="80" s="1"/>
  <c r="CR194" i="80"/>
  <c r="CS194" i="80"/>
  <c r="CT194" i="80" s="1"/>
  <c r="CW194" i="80"/>
  <c r="CX194" i="80"/>
  <c r="CY194" i="80" s="1"/>
  <c r="CR195" i="80"/>
  <c r="CS195" i="80"/>
  <c r="CT195" i="80" s="1"/>
  <c r="CW195" i="80"/>
  <c r="CX195" i="80"/>
  <c r="CY195" i="80" s="1"/>
  <c r="CR196" i="80"/>
  <c r="CS196" i="80"/>
  <c r="CT196" i="80" s="1"/>
  <c r="CW196" i="80"/>
  <c r="CX196" i="80"/>
  <c r="CY196" i="80" s="1"/>
  <c r="CR197" i="80"/>
  <c r="CS197" i="80"/>
  <c r="CT197" i="80" s="1"/>
  <c r="CW197" i="80"/>
  <c r="CX197" i="80"/>
  <c r="CY197" i="80" s="1"/>
  <c r="CR198" i="80"/>
  <c r="CS198" i="80"/>
  <c r="CT198" i="80" s="1"/>
  <c r="CW198" i="80"/>
  <c r="CX198" i="80"/>
  <c r="CY198" i="80" s="1"/>
  <c r="CR199" i="80"/>
  <c r="CS199" i="80"/>
  <c r="CT199" i="80" s="1"/>
  <c r="CW199" i="80"/>
  <c r="CX199" i="80"/>
  <c r="CY199" i="80" s="1"/>
  <c r="CR200" i="80"/>
  <c r="CS200" i="80"/>
  <c r="CT200" i="80" s="1"/>
  <c r="CW200" i="80"/>
  <c r="CX200" i="80"/>
  <c r="CY200" i="80" s="1"/>
  <c r="CR201" i="80"/>
  <c r="CS201" i="80"/>
  <c r="CT201" i="80" s="1"/>
  <c r="CW201" i="80"/>
  <c r="CX201" i="80"/>
  <c r="CY201" i="80" s="1"/>
  <c r="CR202" i="80"/>
  <c r="CS202" i="80"/>
  <c r="CT202" i="80" s="1"/>
  <c r="CW202" i="80"/>
  <c r="CX202" i="80"/>
  <c r="CY202" i="80" s="1"/>
  <c r="CR203" i="80"/>
  <c r="CS203" i="80"/>
  <c r="CT203" i="80" s="1"/>
  <c r="CW203" i="80"/>
  <c r="CX203" i="80"/>
  <c r="CY203" i="80" s="1"/>
  <c r="CR204" i="80"/>
  <c r="CS204" i="80"/>
  <c r="CT204" i="80" s="1"/>
  <c r="CW204" i="80"/>
  <c r="CX204" i="80"/>
  <c r="CY204" i="80" s="1"/>
  <c r="CR205" i="80"/>
  <c r="CS205" i="80"/>
  <c r="CT205" i="80" s="1"/>
  <c r="CW205" i="80"/>
  <c r="CX205" i="80"/>
  <c r="CY205" i="80" s="1"/>
  <c r="CR206" i="80"/>
  <c r="CS206" i="80"/>
  <c r="CT206" i="80" s="1"/>
  <c r="CW206" i="80"/>
  <c r="CX206" i="80"/>
  <c r="CY206" i="80" s="1"/>
  <c r="CR207" i="80"/>
  <c r="CS207" i="80"/>
  <c r="CT207" i="80" s="1"/>
  <c r="CW207" i="80"/>
  <c r="CX207" i="80"/>
  <c r="CY207" i="80" s="1"/>
  <c r="CR208" i="80"/>
  <c r="CS208" i="80"/>
  <c r="CT208" i="80" s="1"/>
  <c r="CW208" i="80"/>
  <c r="CX208" i="80"/>
  <c r="CY208" i="80" s="1"/>
  <c r="CR209" i="80"/>
  <c r="CS209" i="80"/>
  <c r="CT209" i="80" s="1"/>
  <c r="CW209" i="80"/>
  <c r="CX209" i="80"/>
  <c r="CY209" i="80" s="1"/>
  <c r="CR210" i="80"/>
  <c r="CS210" i="80"/>
  <c r="CT210" i="80" s="1"/>
  <c r="CW210" i="80"/>
  <c r="CX210" i="80"/>
  <c r="CY210" i="80" s="1"/>
  <c r="CR211" i="80"/>
  <c r="CS211" i="80"/>
  <c r="CT211" i="80" s="1"/>
  <c r="CW211" i="80"/>
  <c r="CX211" i="80"/>
  <c r="CY211" i="80" s="1"/>
  <c r="CR212" i="80"/>
  <c r="CS212" i="80"/>
  <c r="CT212" i="80" s="1"/>
  <c r="CW212" i="80"/>
  <c r="CX212" i="80"/>
  <c r="CY212" i="80" s="1"/>
  <c r="CR213" i="80"/>
  <c r="CS213" i="80"/>
  <c r="CT213" i="80" s="1"/>
  <c r="CW213" i="80"/>
  <c r="CX213" i="80"/>
  <c r="CY213" i="80" s="1"/>
  <c r="CR214" i="80"/>
  <c r="CS214" i="80"/>
  <c r="CT214" i="80" s="1"/>
  <c r="CW214" i="80"/>
  <c r="CX214" i="80"/>
  <c r="CY214" i="80" s="1"/>
  <c r="CR215" i="80"/>
  <c r="CS215" i="80"/>
  <c r="CT215" i="80" s="1"/>
  <c r="CW215" i="80"/>
  <c r="CX215" i="80"/>
  <c r="CY215" i="80" s="1"/>
  <c r="CR216" i="80"/>
  <c r="CS216" i="80"/>
  <c r="CT216" i="80" s="1"/>
  <c r="CW216" i="80"/>
  <c r="CX216" i="80"/>
  <c r="CY216" i="80" s="1"/>
  <c r="CR217" i="80"/>
  <c r="CS217" i="80"/>
  <c r="CT217" i="80" s="1"/>
  <c r="CW217" i="80"/>
  <c r="CX217" i="80"/>
  <c r="CY217" i="80" s="1"/>
  <c r="CR218" i="80"/>
  <c r="CS218" i="80"/>
  <c r="CT218" i="80" s="1"/>
  <c r="CW218" i="80"/>
  <c r="CX218" i="80"/>
  <c r="CY218" i="80" s="1"/>
  <c r="CR219" i="80"/>
  <c r="CS219" i="80"/>
  <c r="CT219" i="80" s="1"/>
  <c r="CW219" i="80"/>
  <c r="CX219" i="80"/>
  <c r="CY219" i="80" s="1"/>
  <c r="CR220" i="80"/>
  <c r="CS220" i="80"/>
  <c r="CT220" i="80" s="1"/>
  <c r="CW220" i="80"/>
  <c r="CX220" i="80"/>
  <c r="CY220" i="80" s="1"/>
  <c r="CR221" i="80"/>
  <c r="CS221" i="80"/>
  <c r="CT221" i="80" s="1"/>
  <c r="CW221" i="80"/>
  <c r="CX221" i="80"/>
  <c r="CY221" i="80" s="1"/>
  <c r="CR222" i="80"/>
  <c r="CS222" i="80"/>
  <c r="CT222" i="80" s="1"/>
  <c r="CW222" i="80"/>
  <c r="CX222" i="80"/>
  <c r="CY222" i="80" s="1"/>
  <c r="CR223" i="80"/>
  <c r="CS223" i="80"/>
  <c r="CT223" i="80" s="1"/>
  <c r="CW223" i="80"/>
  <c r="CX223" i="80"/>
  <c r="CY223" i="80" s="1"/>
  <c r="CR224" i="80"/>
  <c r="CS224" i="80"/>
  <c r="CT224" i="80" s="1"/>
  <c r="CW224" i="80"/>
  <c r="CX224" i="80"/>
  <c r="CY224" i="80" s="1"/>
  <c r="CR225" i="80"/>
  <c r="CS225" i="80"/>
  <c r="CT225" i="80" s="1"/>
  <c r="CW225" i="80"/>
  <c r="CX225" i="80"/>
  <c r="CY225" i="80" s="1"/>
  <c r="CR226" i="80"/>
  <c r="CS226" i="80"/>
  <c r="CT226" i="80" s="1"/>
  <c r="CW226" i="80"/>
  <c r="CX226" i="80"/>
  <c r="CY226" i="80" s="1"/>
  <c r="CR227" i="80"/>
  <c r="CS227" i="80"/>
  <c r="CT227" i="80" s="1"/>
  <c r="CW227" i="80"/>
  <c r="CX227" i="80"/>
  <c r="CY227" i="80" s="1"/>
  <c r="CR228" i="80"/>
  <c r="CS228" i="80"/>
  <c r="CT228" i="80" s="1"/>
  <c r="CW228" i="80"/>
  <c r="CX228" i="80"/>
  <c r="CY228" i="80" s="1"/>
  <c r="CR229" i="80"/>
  <c r="CS229" i="80"/>
  <c r="CT229" i="80" s="1"/>
  <c r="CW229" i="80"/>
  <c r="CX229" i="80"/>
  <c r="CY229" i="80" s="1"/>
  <c r="CR230" i="80"/>
  <c r="CS230" i="80"/>
  <c r="CT230" i="80" s="1"/>
  <c r="CW230" i="80"/>
  <c r="CX230" i="80"/>
  <c r="CY230" i="80" s="1"/>
  <c r="CR231" i="80"/>
  <c r="CS231" i="80"/>
  <c r="CT231" i="80" s="1"/>
  <c r="CW231" i="80"/>
  <c r="CX231" i="80"/>
  <c r="CY231" i="80" s="1"/>
  <c r="CR232" i="80"/>
  <c r="CS232" i="80"/>
  <c r="CT232" i="80" s="1"/>
  <c r="CW232" i="80"/>
  <c r="CX232" i="80"/>
  <c r="CY232" i="80" s="1"/>
  <c r="CR233" i="80"/>
  <c r="CS233" i="80"/>
  <c r="CT233" i="80" s="1"/>
  <c r="CW233" i="80"/>
  <c r="CX233" i="80"/>
  <c r="CY233" i="80" s="1"/>
  <c r="CR234" i="80"/>
  <c r="CS234" i="80"/>
  <c r="CT234" i="80" s="1"/>
  <c r="CW234" i="80"/>
  <c r="CX234" i="80"/>
  <c r="CY234" i="80" s="1"/>
  <c r="CR235" i="80"/>
  <c r="CS235" i="80"/>
  <c r="CT235" i="80" s="1"/>
  <c r="CW235" i="80"/>
  <c r="CX235" i="80"/>
  <c r="CY235" i="80" s="1"/>
  <c r="CR236" i="80"/>
  <c r="CS236" i="80"/>
  <c r="CT236" i="80" s="1"/>
  <c r="CW236" i="80"/>
  <c r="CX236" i="80"/>
  <c r="CY236" i="80" s="1"/>
  <c r="CR237" i="80"/>
  <c r="CS237" i="80"/>
  <c r="CT237" i="80" s="1"/>
  <c r="CW237" i="80"/>
  <c r="CX237" i="80"/>
  <c r="CY237" i="80" s="1"/>
  <c r="CR238" i="80"/>
  <c r="CS238" i="80"/>
  <c r="CT238" i="80" s="1"/>
  <c r="CW238" i="80"/>
  <c r="CX238" i="80"/>
  <c r="CY238" i="80" s="1"/>
  <c r="CR239" i="80"/>
  <c r="CS239" i="80"/>
  <c r="CT239" i="80" s="1"/>
  <c r="CW239" i="80"/>
  <c r="CX239" i="80"/>
  <c r="CY239" i="80" s="1"/>
  <c r="CR240" i="80"/>
  <c r="CS240" i="80"/>
  <c r="CT240" i="80" s="1"/>
  <c r="CW240" i="80"/>
  <c r="CX240" i="80"/>
  <c r="CY240" i="80" s="1"/>
  <c r="CR241" i="80"/>
  <c r="CS241" i="80"/>
  <c r="CT241" i="80" s="1"/>
  <c r="CW241" i="80"/>
  <c r="CX241" i="80"/>
  <c r="CY241" i="80" s="1"/>
  <c r="CR242" i="80"/>
  <c r="CS242" i="80"/>
  <c r="CT242" i="80" s="1"/>
  <c r="CW242" i="80"/>
  <c r="CX242" i="80"/>
  <c r="CY242" i="80" s="1"/>
  <c r="CR243" i="80"/>
  <c r="CS243" i="80"/>
  <c r="CT243" i="80" s="1"/>
  <c r="CW243" i="80"/>
  <c r="CX243" i="80"/>
  <c r="CY243" i="80" s="1"/>
  <c r="CR244" i="80"/>
  <c r="CS244" i="80"/>
  <c r="CT244" i="80" s="1"/>
  <c r="CW244" i="80"/>
  <c r="CX244" i="80"/>
  <c r="CY244" i="80" s="1"/>
  <c r="CR245" i="80"/>
  <c r="CS245" i="80"/>
  <c r="CT245" i="80" s="1"/>
  <c r="CW245" i="80"/>
  <c r="CX245" i="80"/>
  <c r="CY245" i="80" s="1"/>
  <c r="CR246" i="80"/>
  <c r="CS246" i="80"/>
  <c r="CT246" i="80" s="1"/>
  <c r="CW246" i="80"/>
  <c r="CX246" i="80"/>
  <c r="CY246" i="80" s="1"/>
  <c r="CR247" i="80"/>
  <c r="CS247" i="80"/>
  <c r="CT247" i="80" s="1"/>
  <c r="CW247" i="80"/>
  <c r="CX247" i="80"/>
  <c r="CY247" i="80" s="1"/>
  <c r="CR248" i="80"/>
  <c r="CS248" i="80"/>
  <c r="CT248" i="80" s="1"/>
  <c r="CW248" i="80"/>
  <c r="CX248" i="80"/>
  <c r="CY248" i="80" s="1"/>
  <c r="CR249" i="80"/>
  <c r="CS249" i="80"/>
  <c r="CT249" i="80" s="1"/>
  <c r="CW249" i="80"/>
  <c r="CX249" i="80"/>
  <c r="CY249" i="80" s="1"/>
  <c r="CR250" i="80"/>
  <c r="CS250" i="80"/>
  <c r="CT250" i="80" s="1"/>
  <c r="CW250" i="80"/>
  <c r="CX250" i="80"/>
  <c r="CY250" i="80" s="1"/>
  <c r="CR251" i="80"/>
  <c r="CS251" i="80"/>
  <c r="CT251" i="80" s="1"/>
  <c r="CW251" i="80"/>
  <c r="CX251" i="80"/>
  <c r="CY251" i="80" s="1"/>
  <c r="CR252" i="80"/>
  <c r="CS252" i="80"/>
  <c r="CT252" i="80" s="1"/>
  <c r="CW252" i="80"/>
  <c r="CX252" i="80"/>
  <c r="CY252" i="80" s="1"/>
  <c r="CR253" i="80"/>
  <c r="CS253" i="80"/>
  <c r="CT253" i="80" s="1"/>
  <c r="CW253" i="80"/>
  <c r="CX253" i="80"/>
  <c r="CY253" i="80" s="1"/>
  <c r="CR254" i="80"/>
  <c r="CS254" i="80"/>
  <c r="CT254" i="80" s="1"/>
  <c r="CW254" i="80"/>
  <c r="CX254" i="80"/>
  <c r="CY254" i="80" s="1"/>
  <c r="CR255" i="80"/>
  <c r="CS255" i="80"/>
  <c r="CT255" i="80" s="1"/>
  <c r="CW255" i="80"/>
  <c r="CX255" i="80"/>
  <c r="CY255" i="80" s="1"/>
  <c r="CR256" i="80"/>
  <c r="CS256" i="80"/>
  <c r="CT256" i="80" s="1"/>
  <c r="CW256" i="80"/>
  <c r="CX256" i="80"/>
  <c r="CY256" i="80" s="1"/>
  <c r="CR257" i="80"/>
  <c r="CS257" i="80"/>
  <c r="CT257" i="80" s="1"/>
  <c r="CW257" i="80"/>
  <c r="CX257" i="80"/>
  <c r="CY257" i="80" s="1"/>
  <c r="CR258" i="80"/>
  <c r="CS258" i="80"/>
  <c r="CT258" i="80" s="1"/>
  <c r="CW258" i="80"/>
  <c r="CX258" i="80"/>
  <c r="CY258" i="80" s="1"/>
  <c r="CR259" i="80"/>
  <c r="CS259" i="80"/>
  <c r="CT259" i="80" s="1"/>
  <c r="CW259" i="80"/>
  <c r="CX259" i="80"/>
  <c r="CY259" i="80" s="1"/>
  <c r="CR260" i="80"/>
  <c r="CS260" i="80"/>
  <c r="CT260" i="80" s="1"/>
  <c r="CW260" i="80"/>
  <c r="CX260" i="80"/>
  <c r="CY260" i="80" s="1"/>
  <c r="CR261" i="80"/>
  <c r="CS261" i="80"/>
  <c r="CT261" i="80" s="1"/>
  <c r="CW261" i="80"/>
  <c r="CX261" i="80"/>
  <c r="CY261" i="80" s="1"/>
  <c r="CR262" i="80"/>
  <c r="CS262" i="80"/>
  <c r="CT262" i="80" s="1"/>
  <c r="CW262" i="80"/>
  <c r="CX262" i="80"/>
  <c r="CY262" i="80" s="1"/>
  <c r="CR263" i="80"/>
  <c r="CS263" i="80"/>
  <c r="CT263" i="80" s="1"/>
  <c r="CW263" i="80"/>
  <c r="CX263" i="80"/>
  <c r="CY263" i="80" s="1"/>
  <c r="CR264" i="80"/>
  <c r="CS264" i="80"/>
  <c r="CT264" i="80" s="1"/>
  <c r="CW264" i="80"/>
  <c r="CX264" i="80"/>
  <c r="CY264" i="80" s="1"/>
  <c r="CR265" i="80"/>
  <c r="CS265" i="80"/>
  <c r="CT265" i="80" s="1"/>
  <c r="CW265" i="80"/>
  <c r="CX265" i="80"/>
  <c r="CY265" i="80" s="1"/>
  <c r="CR266" i="80"/>
  <c r="CS266" i="80"/>
  <c r="CT266" i="80" s="1"/>
  <c r="CW266" i="80"/>
  <c r="CX266" i="80"/>
  <c r="CY266" i="80" s="1"/>
  <c r="CR267" i="80"/>
  <c r="CS267" i="80"/>
  <c r="CT267" i="80" s="1"/>
  <c r="CW267" i="80"/>
  <c r="CX267" i="80"/>
  <c r="CY267" i="80" s="1"/>
  <c r="CR268" i="80"/>
  <c r="CS268" i="80"/>
  <c r="CT268" i="80" s="1"/>
  <c r="CW268" i="80"/>
  <c r="CX268" i="80"/>
  <c r="CY268" i="80" s="1"/>
  <c r="CR269" i="80"/>
  <c r="CS269" i="80"/>
  <c r="CT269" i="80" s="1"/>
  <c r="CW269" i="80"/>
  <c r="CX269" i="80"/>
  <c r="CY269" i="80" s="1"/>
  <c r="CR270" i="80"/>
  <c r="CS270" i="80"/>
  <c r="CT270" i="80" s="1"/>
  <c r="CW270" i="80"/>
  <c r="CX270" i="80"/>
  <c r="CY270" i="80" s="1"/>
  <c r="CR271" i="80"/>
  <c r="CS271" i="80"/>
  <c r="CT271" i="80" s="1"/>
  <c r="CW271" i="80"/>
  <c r="CX271" i="80"/>
  <c r="CY271" i="80" s="1"/>
  <c r="CR272" i="80"/>
  <c r="CS272" i="80"/>
  <c r="CT272" i="80" s="1"/>
  <c r="CW272" i="80"/>
  <c r="CX272" i="80"/>
  <c r="CY272" i="80" s="1"/>
  <c r="CR273" i="80"/>
  <c r="CS273" i="80"/>
  <c r="CT273" i="80" s="1"/>
  <c r="CW273" i="80"/>
  <c r="CX273" i="80"/>
  <c r="CY273" i="80" s="1"/>
  <c r="CR274" i="80"/>
  <c r="CS274" i="80"/>
  <c r="CT274" i="80" s="1"/>
  <c r="CW274" i="80"/>
  <c r="CX274" i="80"/>
  <c r="CY274" i="80" s="1"/>
  <c r="CR275" i="80"/>
  <c r="CS275" i="80"/>
  <c r="CT275" i="80" s="1"/>
  <c r="CW275" i="80"/>
  <c r="CX275" i="80"/>
  <c r="CY275" i="80" s="1"/>
  <c r="CR276" i="80"/>
  <c r="CS276" i="80"/>
  <c r="CT276" i="80" s="1"/>
  <c r="CW276" i="80"/>
  <c r="CX276" i="80"/>
  <c r="CY276" i="80" s="1"/>
  <c r="CR277" i="80"/>
  <c r="CS277" i="80"/>
  <c r="CT277" i="80" s="1"/>
  <c r="CW277" i="80"/>
  <c r="CX277" i="80"/>
  <c r="CY277" i="80" s="1"/>
  <c r="CR278" i="80"/>
  <c r="CS278" i="80"/>
  <c r="CT278" i="80" s="1"/>
  <c r="CW278" i="80"/>
  <c r="CX278" i="80"/>
  <c r="CY278" i="80" s="1"/>
  <c r="CR279" i="80"/>
  <c r="CS279" i="80"/>
  <c r="CT279" i="80" s="1"/>
  <c r="CW279" i="80"/>
  <c r="CX279" i="80"/>
  <c r="CY279" i="80" s="1"/>
  <c r="CR280" i="80"/>
  <c r="CS280" i="80"/>
  <c r="CT280" i="80" s="1"/>
  <c r="CW280" i="80"/>
  <c r="CX280" i="80"/>
  <c r="CY280" i="80" s="1"/>
  <c r="CR281" i="80"/>
  <c r="CS281" i="80"/>
  <c r="CT281" i="80" s="1"/>
  <c r="CW281" i="80"/>
  <c r="CX281" i="80"/>
  <c r="CY281" i="80" s="1"/>
  <c r="CR282" i="80"/>
  <c r="CS282" i="80"/>
  <c r="CT282" i="80" s="1"/>
  <c r="CW282" i="80"/>
  <c r="CX282" i="80"/>
  <c r="CY282" i="80" s="1"/>
  <c r="CR283" i="80"/>
  <c r="CS283" i="80"/>
  <c r="CT283" i="80" s="1"/>
  <c r="CW283" i="80"/>
  <c r="CX283" i="80"/>
  <c r="CY283" i="80" s="1"/>
  <c r="CR284" i="80"/>
  <c r="CS284" i="80"/>
  <c r="CT284" i="80" s="1"/>
  <c r="CW284" i="80"/>
  <c r="CX284" i="80"/>
  <c r="CY284" i="80" s="1"/>
  <c r="CR285" i="80"/>
  <c r="CS285" i="80"/>
  <c r="CT285" i="80" s="1"/>
  <c r="CW285" i="80"/>
  <c r="CX285" i="80"/>
  <c r="CY285" i="80" s="1"/>
  <c r="CR286" i="80"/>
  <c r="CS286" i="80"/>
  <c r="CT286" i="80" s="1"/>
  <c r="CW286" i="80"/>
  <c r="CX286" i="80"/>
  <c r="CY286" i="80" s="1"/>
  <c r="CR287" i="80"/>
  <c r="CS287" i="80"/>
  <c r="CT287" i="80" s="1"/>
  <c r="CW287" i="80"/>
  <c r="CX287" i="80"/>
  <c r="CY287" i="80" s="1"/>
  <c r="CR288" i="80"/>
  <c r="CS288" i="80"/>
  <c r="CT288" i="80" s="1"/>
  <c r="CW288" i="80"/>
  <c r="CX288" i="80"/>
  <c r="CY288" i="80" s="1"/>
  <c r="CR289" i="80"/>
  <c r="CS289" i="80"/>
  <c r="CT289" i="80" s="1"/>
  <c r="CW289" i="80"/>
  <c r="CX289" i="80"/>
  <c r="CY289" i="80" s="1"/>
  <c r="CR290" i="80"/>
  <c r="CS290" i="80"/>
  <c r="CT290" i="80" s="1"/>
  <c r="CW290" i="80"/>
  <c r="CX290" i="80"/>
  <c r="CY290" i="80" s="1"/>
  <c r="CR291" i="80"/>
  <c r="CS291" i="80"/>
  <c r="CT291" i="80" s="1"/>
  <c r="CW291" i="80"/>
  <c r="CX291" i="80"/>
  <c r="CY291" i="80" s="1"/>
  <c r="CR292" i="80"/>
  <c r="CS292" i="80"/>
  <c r="CT292" i="80" s="1"/>
  <c r="CW292" i="80"/>
  <c r="CX292" i="80"/>
  <c r="CY292" i="80" s="1"/>
  <c r="CR293" i="80"/>
  <c r="CS293" i="80"/>
  <c r="CT293" i="80" s="1"/>
  <c r="CW293" i="80"/>
  <c r="CX293" i="80"/>
  <c r="CY293" i="80" s="1"/>
  <c r="CR294" i="80"/>
  <c r="CS294" i="80"/>
  <c r="CT294" i="80" s="1"/>
  <c r="CW294" i="80"/>
  <c r="CX294" i="80"/>
  <c r="CY294" i="80" s="1"/>
  <c r="CR295" i="80"/>
  <c r="CS295" i="80"/>
  <c r="CT295" i="80" s="1"/>
  <c r="CW295" i="80"/>
  <c r="CX295" i="80"/>
  <c r="CY295" i="80" s="1"/>
  <c r="CR296" i="80"/>
  <c r="CS296" i="80"/>
  <c r="CT296" i="80" s="1"/>
  <c r="CW296" i="80"/>
  <c r="CX296" i="80"/>
  <c r="CY296" i="80" s="1"/>
  <c r="CR297" i="80"/>
  <c r="CS297" i="80"/>
  <c r="CT297" i="80" s="1"/>
  <c r="CW297" i="80"/>
  <c r="CX297" i="80"/>
  <c r="CY297" i="80" s="1"/>
  <c r="CR298" i="80"/>
  <c r="CS298" i="80"/>
  <c r="CT298" i="80" s="1"/>
  <c r="CW298" i="80"/>
  <c r="CX298" i="80"/>
  <c r="CY298" i="80" s="1"/>
  <c r="CR299" i="80"/>
  <c r="CS299" i="80"/>
  <c r="CT299" i="80" s="1"/>
  <c r="CW299" i="80"/>
  <c r="CX299" i="80"/>
  <c r="CY299" i="80" s="1"/>
  <c r="CR300" i="80"/>
  <c r="CS300" i="80"/>
  <c r="CT300" i="80" s="1"/>
  <c r="CW300" i="80"/>
  <c r="CX300" i="80"/>
  <c r="CY300" i="80" s="1"/>
  <c r="CR301" i="80"/>
  <c r="CS301" i="80"/>
  <c r="CT301" i="80" s="1"/>
  <c r="CW301" i="80"/>
  <c r="CX301" i="80"/>
  <c r="CY301" i="80" s="1"/>
  <c r="CR302" i="80"/>
  <c r="CS302" i="80"/>
  <c r="CT302" i="80" s="1"/>
  <c r="CW302" i="80"/>
  <c r="CX302" i="80"/>
  <c r="CY302" i="80" s="1"/>
  <c r="CR303" i="80"/>
  <c r="CS303" i="80"/>
  <c r="CT303" i="80" s="1"/>
  <c r="CW303" i="80"/>
  <c r="CX303" i="80"/>
  <c r="CY303" i="80" s="1"/>
  <c r="CR304" i="80"/>
  <c r="CS304" i="80"/>
  <c r="CT304" i="80" s="1"/>
  <c r="CW304" i="80"/>
  <c r="CX304" i="80"/>
  <c r="CY304" i="80" s="1"/>
  <c r="CR305" i="80"/>
  <c r="CS305" i="80"/>
  <c r="CT305" i="80" s="1"/>
  <c r="CW305" i="80"/>
  <c r="CX305" i="80"/>
  <c r="CY305" i="80" s="1"/>
  <c r="CR306" i="80"/>
  <c r="CS306" i="80"/>
  <c r="CT306" i="80" s="1"/>
  <c r="CW306" i="80"/>
  <c r="CX306" i="80"/>
  <c r="CY306" i="80" s="1"/>
  <c r="CR307" i="80"/>
  <c r="CS307" i="80"/>
  <c r="CT307" i="80" s="1"/>
  <c r="CW307" i="80"/>
  <c r="CX307" i="80"/>
  <c r="CY307" i="80" s="1"/>
  <c r="CR308" i="80"/>
  <c r="CS308" i="80"/>
  <c r="CT308" i="80" s="1"/>
  <c r="CW308" i="80"/>
  <c r="CX308" i="80"/>
  <c r="CY308" i="80" s="1"/>
  <c r="CR309" i="80"/>
  <c r="CS309" i="80"/>
  <c r="CT309" i="80" s="1"/>
  <c r="CW309" i="80"/>
  <c r="CX309" i="80"/>
  <c r="CY309" i="80" s="1"/>
  <c r="CR310" i="80"/>
  <c r="CS310" i="80"/>
  <c r="CT310" i="80" s="1"/>
  <c r="CW310" i="80"/>
  <c r="CX310" i="80"/>
  <c r="CY310" i="80" s="1"/>
  <c r="CR311" i="80"/>
  <c r="CS311" i="80"/>
  <c r="CT311" i="80" s="1"/>
  <c r="CW311" i="80"/>
  <c r="CX311" i="80"/>
  <c r="CY311" i="80" s="1"/>
  <c r="CR312" i="80"/>
  <c r="CS312" i="80"/>
  <c r="CT312" i="80" s="1"/>
  <c r="CW312" i="80"/>
  <c r="CX312" i="80"/>
  <c r="CY312" i="80" s="1"/>
  <c r="CR313" i="80"/>
  <c r="CS313" i="80"/>
  <c r="CT313" i="80" s="1"/>
  <c r="CW313" i="80"/>
  <c r="CX313" i="80"/>
  <c r="CY313" i="80" s="1"/>
  <c r="CR314" i="80"/>
  <c r="CS314" i="80"/>
  <c r="CT314" i="80" s="1"/>
  <c r="CW314" i="80"/>
  <c r="CX314" i="80"/>
  <c r="CY314" i="80" s="1"/>
  <c r="CR315" i="80"/>
  <c r="CS315" i="80"/>
  <c r="CT315" i="80" s="1"/>
  <c r="CW315" i="80"/>
  <c r="CX315" i="80"/>
  <c r="CY315" i="80" s="1"/>
  <c r="CR316" i="80"/>
  <c r="CS316" i="80"/>
  <c r="CT316" i="80" s="1"/>
  <c r="CW316" i="80"/>
  <c r="CX316" i="80"/>
  <c r="CY316" i="80" s="1"/>
  <c r="CR317" i="80"/>
  <c r="CS317" i="80"/>
  <c r="CT317" i="80" s="1"/>
  <c r="CW317" i="80"/>
  <c r="CX317" i="80"/>
  <c r="CY317" i="80" s="1"/>
  <c r="CR318" i="80"/>
  <c r="CS318" i="80"/>
  <c r="CT318" i="80" s="1"/>
  <c r="CW318" i="80"/>
  <c r="CX318" i="80"/>
  <c r="CY318" i="80" s="1"/>
  <c r="CR319" i="80"/>
  <c r="CS319" i="80"/>
  <c r="CT319" i="80" s="1"/>
  <c r="CW319" i="80"/>
  <c r="CX319" i="80"/>
  <c r="CY319" i="80" s="1"/>
  <c r="CR320" i="80"/>
  <c r="CS320" i="80"/>
  <c r="CT320" i="80" s="1"/>
  <c r="CW320" i="80"/>
  <c r="CX320" i="80"/>
  <c r="CY320" i="80" s="1"/>
  <c r="CR321" i="80"/>
  <c r="CS321" i="80"/>
  <c r="CT321" i="80" s="1"/>
  <c r="CW321" i="80"/>
  <c r="CX321" i="80"/>
  <c r="CY321" i="80" s="1"/>
  <c r="CR322" i="80"/>
  <c r="CS322" i="80"/>
  <c r="CT322" i="80" s="1"/>
  <c r="CW322" i="80"/>
  <c r="CX322" i="80"/>
  <c r="CY322" i="80" s="1"/>
  <c r="CR323" i="80"/>
  <c r="CS323" i="80"/>
  <c r="CT323" i="80" s="1"/>
  <c r="CW323" i="80"/>
  <c r="CX323" i="80"/>
  <c r="CY323" i="80" s="1"/>
  <c r="CR324" i="80"/>
  <c r="CS324" i="80"/>
  <c r="CT324" i="80" s="1"/>
  <c r="CW324" i="80"/>
  <c r="CX324" i="80"/>
  <c r="CY324" i="80" s="1"/>
  <c r="CR325" i="80"/>
  <c r="CS325" i="80"/>
  <c r="CT325" i="80" s="1"/>
  <c r="CW325" i="80"/>
  <c r="CX325" i="80"/>
  <c r="CY325" i="80" s="1"/>
  <c r="CR326" i="80"/>
  <c r="CS326" i="80"/>
  <c r="CT326" i="80" s="1"/>
  <c r="CW326" i="80"/>
  <c r="CX326" i="80"/>
  <c r="CY326" i="80" s="1"/>
  <c r="CR327" i="80"/>
  <c r="CS327" i="80"/>
  <c r="CT327" i="80" s="1"/>
  <c r="CW327" i="80"/>
  <c r="CX327" i="80"/>
  <c r="CY327" i="80" s="1"/>
  <c r="CR328" i="80"/>
  <c r="CS328" i="80"/>
  <c r="CT328" i="80" s="1"/>
  <c r="CW328" i="80"/>
  <c r="CX328" i="80"/>
  <c r="CY328" i="80" s="1"/>
  <c r="CR329" i="80"/>
  <c r="CS329" i="80"/>
  <c r="CT329" i="80" s="1"/>
  <c r="CW329" i="80"/>
  <c r="CX329" i="80"/>
  <c r="CY329" i="80" s="1"/>
  <c r="CR330" i="80"/>
  <c r="CS330" i="80"/>
  <c r="CT330" i="80" s="1"/>
  <c r="CW330" i="80"/>
  <c r="CX330" i="80"/>
  <c r="CY330" i="80" s="1"/>
  <c r="CR331" i="80"/>
  <c r="CS331" i="80"/>
  <c r="CT331" i="80" s="1"/>
  <c r="CW331" i="80"/>
  <c r="CX331" i="80"/>
  <c r="CY331" i="80" s="1"/>
  <c r="CR332" i="80"/>
  <c r="CS332" i="80"/>
  <c r="CT332" i="80" s="1"/>
  <c r="CW332" i="80"/>
  <c r="CX332" i="80"/>
  <c r="CY332" i="80" s="1"/>
  <c r="CR333" i="80"/>
  <c r="CS333" i="80"/>
  <c r="CT333" i="80" s="1"/>
  <c r="CW333" i="80"/>
  <c r="CX333" i="80"/>
  <c r="CY333" i="80" s="1"/>
  <c r="CR334" i="80"/>
  <c r="CS334" i="80"/>
  <c r="CT334" i="80" s="1"/>
  <c r="CW334" i="80"/>
  <c r="CX334" i="80"/>
  <c r="CY334" i="80" s="1"/>
  <c r="CR335" i="80"/>
  <c r="CS335" i="80"/>
  <c r="CT335" i="80" s="1"/>
  <c r="CW335" i="80"/>
  <c r="CX335" i="80"/>
  <c r="CY335" i="80" s="1"/>
  <c r="CR336" i="80"/>
  <c r="CS336" i="80"/>
  <c r="CT336" i="80" s="1"/>
  <c r="CW336" i="80"/>
  <c r="CX336" i="80"/>
  <c r="CY336" i="80" s="1"/>
  <c r="CR337" i="80"/>
  <c r="CS337" i="80"/>
  <c r="CT337" i="80" s="1"/>
  <c r="CW337" i="80"/>
  <c r="CX337" i="80"/>
  <c r="CY337" i="80" s="1"/>
  <c r="CR338" i="80"/>
  <c r="CS338" i="80"/>
  <c r="CT338" i="80" s="1"/>
  <c r="CW338" i="80"/>
  <c r="CX338" i="80"/>
  <c r="CY338" i="80" s="1"/>
  <c r="CR339" i="80"/>
  <c r="CS339" i="80"/>
  <c r="CT339" i="80" s="1"/>
  <c r="CW339" i="80"/>
  <c r="CX339" i="80"/>
  <c r="CY339" i="80" s="1"/>
  <c r="CR340" i="80"/>
  <c r="CS340" i="80"/>
  <c r="CT340" i="80" s="1"/>
  <c r="CW340" i="80"/>
  <c r="CX340" i="80"/>
  <c r="CY340" i="80" s="1"/>
  <c r="CR341" i="80"/>
  <c r="CS341" i="80"/>
  <c r="CT341" i="80" s="1"/>
  <c r="CW341" i="80"/>
  <c r="CX341" i="80"/>
  <c r="CY341" i="80" s="1"/>
  <c r="CR342" i="80"/>
  <c r="CS342" i="80"/>
  <c r="CT342" i="80" s="1"/>
  <c r="CW342" i="80"/>
  <c r="CX342" i="80"/>
  <c r="CY342" i="80" s="1"/>
  <c r="CR343" i="80"/>
  <c r="CS343" i="80"/>
  <c r="CT343" i="80" s="1"/>
  <c r="CW343" i="80"/>
  <c r="CX343" i="80"/>
  <c r="CY343" i="80" s="1"/>
  <c r="CR344" i="80"/>
  <c r="CS344" i="80"/>
  <c r="CT344" i="80" s="1"/>
  <c r="CW344" i="80"/>
  <c r="CX344" i="80"/>
  <c r="CY344" i="80" s="1"/>
  <c r="CR345" i="80"/>
  <c r="CS345" i="80"/>
  <c r="CT345" i="80" s="1"/>
  <c r="CW345" i="80"/>
  <c r="CX345" i="80"/>
  <c r="CY345" i="80" s="1"/>
  <c r="CR346" i="80"/>
  <c r="CS346" i="80"/>
  <c r="CT346" i="80" s="1"/>
  <c r="CW346" i="80"/>
  <c r="CX346" i="80"/>
  <c r="CY346" i="80" s="1"/>
  <c r="CR347" i="80"/>
  <c r="CS347" i="80"/>
  <c r="CT347" i="80" s="1"/>
  <c r="CW347" i="80"/>
  <c r="CX347" i="80"/>
  <c r="CY347" i="80" s="1"/>
  <c r="CR348" i="80"/>
  <c r="CS348" i="80"/>
  <c r="CT348" i="80" s="1"/>
  <c r="CW348" i="80"/>
  <c r="CX348" i="80"/>
  <c r="CY348" i="80" s="1"/>
  <c r="CR349" i="80"/>
  <c r="CS349" i="80"/>
  <c r="CT349" i="80" s="1"/>
  <c r="CW349" i="80"/>
  <c r="CX349" i="80"/>
  <c r="CY349" i="80" s="1"/>
  <c r="CR350" i="80"/>
  <c r="CS350" i="80"/>
  <c r="CT350" i="80" s="1"/>
  <c r="CW350" i="80"/>
  <c r="CX350" i="80"/>
  <c r="CY350" i="80" s="1"/>
  <c r="CR351" i="80"/>
  <c r="CS351" i="80"/>
  <c r="CT351" i="80" s="1"/>
  <c r="CW351" i="80"/>
  <c r="CX351" i="80"/>
  <c r="CY351" i="80" s="1"/>
  <c r="CR352" i="80"/>
  <c r="CS352" i="80"/>
  <c r="CT352" i="80" s="1"/>
  <c r="CW352" i="80"/>
  <c r="CX352" i="80"/>
  <c r="CY352" i="80" s="1"/>
  <c r="CR353" i="80"/>
  <c r="CS353" i="80"/>
  <c r="CT353" i="80" s="1"/>
  <c r="CW353" i="80"/>
  <c r="CX353" i="80"/>
  <c r="CY353" i="80" s="1"/>
  <c r="CR354" i="80"/>
  <c r="CS354" i="80"/>
  <c r="CT354" i="80" s="1"/>
  <c r="CW354" i="80"/>
  <c r="CX354" i="80"/>
  <c r="CY354" i="80" s="1"/>
  <c r="CR355" i="80"/>
  <c r="CS355" i="80"/>
  <c r="CT355" i="80" s="1"/>
  <c r="CW355" i="80"/>
  <c r="CX355" i="80"/>
  <c r="CY355" i="80" s="1"/>
  <c r="CR356" i="80"/>
  <c r="CS356" i="80"/>
  <c r="CT356" i="80" s="1"/>
  <c r="CW356" i="80"/>
  <c r="CX356" i="80"/>
  <c r="CY356" i="80" s="1"/>
  <c r="CR357" i="80"/>
  <c r="CS357" i="80"/>
  <c r="CT357" i="80" s="1"/>
  <c r="CW357" i="80"/>
  <c r="CX357" i="80"/>
  <c r="CY357" i="80" s="1"/>
  <c r="CR358" i="80"/>
  <c r="CS358" i="80"/>
  <c r="CT358" i="80" s="1"/>
  <c r="CW358" i="80"/>
  <c r="CX358" i="80"/>
  <c r="CY358" i="80" s="1"/>
  <c r="CR359" i="80"/>
  <c r="CS359" i="80"/>
  <c r="CT359" i="80" s="1"/>
  <c r="CW359" i="80"/>
  <c r="CX359" i="80"/>
  <c r="CY359" i="80" s="1"/>
  <c r="CR360" i="80"/>
  <c r="CS360" i="80"/>
  <c r="CT360" i="80" s="1"/>
  <c r="CW360" i="80"/>
  <c r="CX360" i="80"/>
  <c r="CY360" i="80" s="1"/>
  <c r="CR361" i="80"/>
  <c r="CS361" i="80"/>
  <c r="CT361" i="80" s="1"/>
  <c r="CW361" i="80"/>
  <c r="CX361" i="80"/>
  <c r="CY361" i="80" s="1"/>
  <c r="CR362" i="80"/>
  <c r="CS362" i="80"/>
  <c r="CT362" i="80" s="1"/>
  <c r="CW362" i="80"/>
  <c r="CX362" i="80"/>
  <c r="CY362" i="80" s="1"/>
  <c r="CR363" i="80"/>
  <c r="CS363" i="80"/>
  <c r="CT363" i="80" s="1"/>
  <c r="CW363" i="80"/>
  <c r="CX363" i="80"/>
  <c r="CY363" i="80" s="1"/>
  <c r="CR364" i="80"/>
  <c r="CS364" i="80"/>
  <c r="CT364" i="80" s="1"/>
  <c r="CW364" i="80"/>
  <c r="CX364" i="80"/>
  <c r="CY364" i="80" s="1"/>
  <c r="CR365" i="80"/>
  <c r="CS365" i="80"/>
  <c r="CT365" i="80" s="1"/>
  <c r="CW365" i="80"/>
  <c r="CX365" i="80"/>
  <c r="CY365" i="80" s="1"/>
  <c r="CR366" i="80"/>
  <c r="CS366" i="80"/>
  <c r="CT366" i="80" s="1"/>
  <c r="CW366" i="80"/>
  <c r="CX366" i="80"/>
  <c r="CY366" i="80" s="1"/>
  <c r="CR367" i="80"/>
  <c r="CS367" i="80"/>
  <c r="CT367" i="80" s="1"/>
  <c r="CW367" i="80"/>
  <c r="CX367" i="80"/>
  <c r="CY367" i="80" s="1"/>
  <c r="CR368" i="80"/>
  <c r="CS368" i="80"/>
  <c r="CT368" i="80" s="1"/>
  <c r="CW368" i="80"/>
  <c r="CX368" i="80"/>
  <c r="CY368" i="80" s="1"/>
  <c r="CR369" i="80"/>
  <c r="CS369" i="80"/>
  <c r="CT369" i="80" s="1"/>
  <c r="CW369" i="80"/>
  <c r="CX369" i="80"/>
  <c r="CY369" i="80" s="1"/>
  <c r="CR370" i="80"/>
  <c r="CS370" i="80"/>
  <c r="CT370" i="80" s="1"/>
  <c r="CW370" i="80"/>
  <c r="CX370" i="80"/>
  <c r="CY370" i="80" s="1"/>
  <c r="CR371" i="80"/>
  <c r="CS371" i="80"/>
  <c r="CT371" i="80" s="1"/>
  <c r="CW371" i="80"/>
  <c r="CX371" i="80"/>
  <c r="CY371" i="80" s="1"/>
  <c r="CR372" i="80"/>
  <c r="CS372" i="80"/>
  <c r="CT372" i="80" s="1"/>
  <c r="CW372" i="80"/>
  <c r="CX372" i="80"/>
  <c r="CY372" i="80" s="1"/>
  <c r="CR373" i="80"/>
  <c r="CS373" i="80"/>
  <c r="CT373" i="80" s="1"/>
  <c r="CW373" i="80"/>
  <c r="CX373" i="80"/>
  <c r="CY373" i="80" s="1"/>
  <c r="CR374" i="80"/>
  <c r="CS374" i="80"/>
  <c r="CT374" i="80" s="1"/>
  <c r="CW374" i="80"/>
  <c r="CX374" i="80"/>
  <c r="CY374" i="80" s="1"/>
  <c r="CR375" i="80"/>
  <c r="CS375" i="80"/>
  <c r="CT375" i="80" s="1"/>
  <c r="CW375" i="80"/>
  <c r="CX375" i="80"/>
  <c r="CY375" i="80" s="1"/>
  <c r="CR376" i="80"/>
  <c r="CS376" i="80"/>
  <c r="CT376" i="80" s="1"/>
  <c r="CW376" i="80"/>
  <c r="CX376" i="80"/>
  <c r="CY376" i="80" s="1"/>
  <c r="CR377" i="80"/>
  <c r="CS377" i="80"/>
  <c r="CT377" i="80" s="1"/>
  <c r="CW377" i="80"/>
  <c r="CX377" i="80"/>
  <c r="CY377" i="80" s="1"/>
  <c r="CR378" i="80"/>
  <c r="CS378" i="80"/>
  <c r="CT378" i="80" s="1"/>
  <c r="CW378" i="80"/>
  <c r="CX378" i="80"/>
  <c r="CY378" i="80" s="1"/>
  <c r="CR379" i="80"/>
  <c r="CS379" i="80"/>
  <c r="CT379" i="80" s="1"/>
  <c r="CW379" i="80"/>
  <c r="CX379" i="80"/>
  <c r="CY379" i="80" s="1"/>
  <c r="CR380" i="80"/>
  <c r="CS380" i="80"/>
  <c r="CT380" i="80" s="1"/>
  <c r="CW380" i="80"/>
  <c r="CX380" i="80"/>
  <c r="CY380" i="80" s="1"/>
  <c r="CR381" i="80"/>
  <c r="CS381" i="80"/>
  <c r="CT381" i="80" s="1"/>
  <c r="CW381" i="80"/>
  <c r="CX381" i="80"/>
  <c r="CY381" i="80" s="1"/>
  <c r="CR382" i="80"/>
  <c r="CS382" i="80"/>
  <c r="CT382" i="80" s="1"/>
  <c r="CW382" i="80"/>
  <c r="CX382" i="80"/>
  <c r="CY382" i="80" s="1"/>
  <c r="CR383" i="80"/>
  <c r="CS383" i="80"/>
  <c r="CT383" i="80" s="1"/>
  <c r="CW383" i="80"/>
  <c r="CX383" i="80"/>
  <c r="CY383" i="80" s="1"/>
  <c r="CR384" i="80"/>
  <c r="CS384" i="80"/>
  <c r="CT384" i="80" s="1"/>
  <c r="CW384" i="80"/>
  <c r="CX384" i="80"/>
  <c r="CY384" i="80" s="1"/>
  <c r="CR385" i="80"/>
  <c r="CS385" i="80"/>
  <c r="CT385" i="80" s="1"/>
  <c r="CW385" i="80"/>
  <c r="CX385" i="80"/>
  <c r="CY385" i="80" s="1"/>
  <c r="CR386" i="80"/>
  <c r="CS386" i="80"/>
  <c r="CT386" i="80" s="1"/>
  <c r="CW386" i="80"/>
  <c r="CX386" i="80"/>
  <c r="CY386" i="80" s="1"/>
  <c r="CR387" i="80"/>
  <c r="CS387" i="80"/>
  <c r="CT387" i="80" s="1"/>
  <c r="CW387" i="80"/>
  <c r="CX387" i="80"/>
  <c r="CY387" i="80" s="1"/>
  <c r="CR388" i="80"/>
  <c r="CS388" i="80"/>
  <c r="CT388" i="80" s="1"/>
  <c r="CW388" i="80"/>
  <c r="CX388" i="80"/>
  <c r="CY388" i="80" s="1"/>
  <c r="CR389" i="80"/>
  <c r="CS389" i="80"/>
  <c r="CT389" i="80" s="1"/>
  <c r="CW389" i="80"/>
  <c r="CX389" i="80"/>
  <c r="CY389" i="80" s="1"/>
  <c r="CR390" i="80"/>
  <c r="CS390" i="80"/>
  <c r="CT390" i="80" s="1"/>
  <c r="CW390" i="80"/>
  <c r="CX390" i="80"/>
  <c r="CY390" i="80" s="1"/>
  <c r="CR391" i="80"/>
  <c r="CS391" i="80"/>
  <c r="CT391" i="80" s="1"/>
  <c r="CW391" i="80"/>
  <c r="CX391" i="80"/>
  <c r="CY391" i="80" s="1"/>
  <c r="CR392" i="80"/>
  <c r="CS392" i="80"/>
  <c r="CT392" i="80" s="1"/>
  <c r="CW392" i="80"/>
  <c r="CX392" i="80"/>
  <c r="CY392" i="80" s="1"/>
  <c r="CR393" i="80"/>
  <c r="CS393" i="80"/>
  <c r="CT393" i="80" s="1"/>
  <c r="CW393" i="80"/>
  <c r="CX393" i="80"/>
  <c r="CY393" i="80" s="1"/>
  <c r="CR394" i="80"/>
  <c r="CS394" i="80"/>
  <c r="CT394" i="80" s="1"/>
  <c r="CW394" i="80"/>
  <c r="CX394" i="80"/>
  <c r="CY394" i="80" s="1"/>
  <c r="CR395" i="80"/>
  <c r="CS395" i="80"/>
  <c r="CT395" i="80" s="1"/>
  <c r="CW395" i="80"/>
  <c r="CX395" i="80"/>
  <c r="CY395" i="80" s="1"/>
  <c r="CR396" i="80"/>
  <c r="CS396" i="80"/>
  <c r="CT396" i="80" s="1"/>
  <c r="CW396" i="80"/>
  <c r="CX396" i="80"/>
  <c r="CY396" i="80" s="1"/>
  <c r="CR397" i="80"/>
  <c r="CS397" i="80"/>
  <c r="CT397" i="80" s="1"/>
  <c r="CW397" i="80"/>
  <c r="CX397" i="80"/>
  <c r="CY397" i="80" s="1"/>
  <c r="CR398" i="80"/>
  <c r="CS398" i="80"/>
  <c r="CT398" i="80" s="1"/>
  <c r="CW398" i="80"/>
  <c r="CX398" i="80"/>
  <c r="CY398" i="80" s="1"/>
  <c r="CR399" i="80"/>
  <c r="CS399" i="80"/>
  <c r="CT399" i="80" s="1"/>
  <c r="CW399" i="80"/>
  <c r="CX399" i="80"/>
  <c r="CY399" i="80" s="1"/>
  <c r="CR400" i="80"/>
  <c r="CS400" i="80"/>
  <c r="CT400" i="80" s="1"/>
  <c r="CW400" i="80"/>
  <c r="CX400" i="80"/>
  <c r="CY400" i="80" s="1"/>
  <c r="CR401" i="80"/>
  <c r="CS401" i="80"/>
  <c r="CT401" i="80" s="1"/>
  <c r="CR402" i="80"/>
  <c r="CS402" i="80"/>
  <c r="CT402" i="80" s="1"/>
  <c r="CR403" i="80"/>
  <c r="CS403" i="80"/>
  <c r="CT403" i="80" s="1"/>
  <c r="CR404" i="80"/>
  <c r="CS404" i="80"/>
  <c r="CT404" i="80" s="1"/>
  <c r="CR405" i="80"/>
  <c r="CS405" i="80"/>
  <c r="CT405" i="80" s="1"/>
  <c r="CR406" i="80"/>
  <c r="CS406" i="80"/>
  <c r="CT406" i="80" s="1"/>
  <c r="CR407" i="80"/>
  <c r="CS407" i="80"/>
  <c r="CT407" i="80" s="1"/>
  <c r="CR408" i="80"/>
  <c r="CS408" i="80"/>
  <c r="CT408" i="80" s="1"/>
  <c r="CR409" i="80"/>
  <c r="CS409" i="80"/>
  <c r="CT409" i="80" s="1"/>
  <c r="CR410" i="80"/>
  <c r="CS410" i="80"/>
  <c r="CT410" i="80" s="1"/>
  <c r="CR411" i="80"/>
  <c r="CS411" i="80"/>
  <c r="CT411" i="80" s="1"/>
  <c r="CR412" i="80"/>
  <c r="CS412" i="80"/>
  <c r="CT412" i="80" s="1"/>
  <c r="CR413" i="80"/>
  <c r="CS413" i="80"/>
  <c r="CT413" i="80" s="1"/>
  <c r="CR414" i="80"/>
  <c r="CS414" i="80"/>
  <c r="CT414" i="80" s="1"/>
  <c r="CR415" i="80"/>
  <c r="CS415" i="80"/>
  <c r="CT415" i="80" s="1"/>
  <c r="CR416" i="80"/>
  <c r="CS416" i="80"/>
  <c r="CT416" i="80" s="1"/>
  <c r="CR417" i="80"/>
  <c r="CS417" i="80"/>
  <c r="CT417" i="80" s="1"/>
  <c r="CR418" i="80"/>
  <c r="CS418" i="80"/>
  <c r="CT418" i="80" s="1"/>
  <c r="CR419" i="80"/>
  <c r="CS419" i="80"/>
  <c r="CT419" i="80" s="1"/>
  <c r="CR420" i="80"/>
  <c r="CS420" i="80"/>
  <c r="CT420" i="80" s="1"/>
  <c r="CR421" i="80"/>
  <c r="CS421" i="80"/>
  <c r="CT421" i="80" s="1"/>
  <c r="CR422" i="80"/>
  <c r="CS422" i="80"/>
  <c r="CT422" i="80" s="1"/>
  <c r="CR423" i="80"/>
  <c r="CS423" i="80"/>
  <c r="CT423" i="80" s="1"/>
  <c r="CR424" i="80"/>
  <c r="CS424" i="80"/>
  <c r="CT424" i="80" s="1"/>
  <c r="CR425" i="80"/>
  <c r="CS425" i="80"/>
  <c r="CT425" i="80" s="1"/>
  <c r="CR426" i="80"/>
  <c r="CS426" i="80"/>
  <c r="CT426" i="80" s="1"/>
  <c r="CR427" i="80"/>
  <c r="CS427" i="80"/>
  <c r="CT427" i="80" s="1"/>
  <c r="CR428" i="80"/>
  <c r="CS428" i="80"/>
  <c r="CT428" i="80" s="1"/>
  <c r="CR429" i="80"/>
  <c r="CS429" i="80"/>
  <c r="CT429" i="80" s="1"/>
  <c r="CR430" i="80"/>
  <c r="CS430" i="80"/>
  <c r="CT430" i="80" s="1"/>
  <c r="CR431" i="80"/>
  <c r="CS431" i="80"/>
  <c r="CT431" i="80" s="1"/>
  <c r="CR432" i="80"/>
  <c r="CS432" i="80"/>
  <c r="CT432" i="80" s="1"/>
  <c r="CR433" i="80"/>
  <c r="CS433" i="80"/>
  <c r="CT433" i="80" s="1"/>
  <c r="CR434" i="80"/>
  <c r="CS434" i="80"/>
  <c r="CT434" i="80" s="1"/>
  <c r="CR435" i="80"/>
  <c r="CS435" i="80"/>
  <c r="CT435" i="80" s="1"/>
  <c r="CR436" i="80"/>
  <c r="CS436" i="80"/>
  <c r="CT436" i="80" s="1"/>
  <c r="CR437" i="80"/>
  <c r="CS437" i="80"/>
  <c r="CT437" i="80" s="1"/>
  <c r="CR438" i="80"/>
  <c r="CS438" i="80"/>
  <c r="CT438" i="80" s="1"/>
  <c r="CR439" i="80"/>
  <c r="CS439" i="80"/>
  <c r="CT439" i="80" s="1"/>
  <c r="CR440" i="80"/>
  <c r="CS440" i="80"/>
  <c r="CT440" i="80" s="1"/>
  <c r="CR441" i="80"/>
  <c r="CS441" i="80"/>
  <c r="CT441" i="80" s="1"/>
  <c r="CR442" i="80"/>
  <c r="CS442" i="80"/>
  <c r="CT442" i="80" s="1"/>
  <c r="CR443" i="80"/>
  <c r="CS443" i="80"/>
  <c r="CT443" i="80" s="1"/>
  <c r="CR444" i="80"/>
  <c r="CS444" i="80"/>
  <c r="CT444" i="80" s="1"/>
  <c r="CR445" i="80"/>
  <c r="CS445" i="80"/>
  <c r="CT445" i="80" s="1"/>
  <c r="CR446" i="80"/>
  <c r="CS446" i="80"/>
  <c r="CT446" i="80" s="1"/>
  <c r="CR447" i="80"/>
  <c r="CS447" i="80"/>
  <c r="CT447" i="80" s="1"/>
  <c r="CR448" i="80"/>
  <c r="CS448" i="80"/>
  <c r="CT448" i="80" s="1"/>
  <c r="CR449" i="80"/>
  <c r="CS449" i="80"/>
  <c r="CT449" i="80" s="1"/>
  <c r="CR450" i="80"/>
  <c r="CS450" i="80"/>
  <c r="CT450" i="80" s="1"/>
  <c r="CR451" i="80"/>
  <c r="CS451" i="80"/>
  <c r="CT451" i="80" s="1"/>
  <c r="CR452" i="80"/>
  <c r="CS452" i="80"/>
  <c r="CT452" i="80" s="1"/>
  <c r="CR453" i="80"/>
  <c r="CS453" i="80"/>
  <c r="CT453" i="80" s="1"/>
  <c r="CR454" i="80"/>
  <c r="CS454" i="80"/>
  <c r="CT454" i="80" s="1"/>
  <c r="CR455" i="80"/>
  <c r="CS455" i="80"/>
  <c r="CT455" i="80" s="1"/>
  <c r="CR456" i="80"/>
  <c r="CS456" i="80"/>
  <c r="CT456" i="80" s="1"/>
  <c r="CR457" i="80"/>
  <c r="CS457" i="80"/>
  <c r="CT457" i="80" s="1"/>
  <c r="CR458" i="80"/>
  <c r="CS458" i="80"/>
  <c r="CT458" i="80" s="1"/>
  <c r="CR459" i="80"/>
  <c r="CS459" i="80"/>
  <c r="CT459" i="80" s="1"/>
  <c r="CR460" i="80"/>
  <c r="CS460" i="80"/>
  <c r="CT460" i="80" s="1"/>
  <c r="CR461" i="80"/>
  <c r="CS461" i="80"/>
  <c r="CT461" i="80" s="1"/>
  <c r="CR462" i="80"/>
  <c r="CS462" i="80"/>
  <c r="CT462" i="80" s="1"/>
  <c r="CR463" i="80"/>
  <c r="CS463" i="80"/>
  <c r="CT463" i="80" s="1"/>
  <c r="CR464" i="80"/>
  <c r="CS464" i="80"/>
  <c r="CT464" i="80" s="1"/>
  <c r="CR465" i="80"/>
  <c r="CS465" i="80"/>
  <c r="CT465" i="80" s="1"/>
  <c r="CR466" i="80"/>
  <c r="CS466" i="80"/>
  <c r="CT466" i="80" s="1"/>
  <c r="CR467" i="80"/>
  <c r="CS467" i="80"/>
  <c r="CT467" i="80" s="1"/>
  <c r="CR468" i="80"/>
  <c r="CS468" i="80"/>
  <c r="CT468" i="80" s="1"/>
  <c r="CR469" i="80"/>
  <c r="CS469" i="80"/>
  <c r="CT469" i="80" s="1"/>
  <c r="CR470" i="80"/>
  <c r="CS470" i="80"/>
  <c r="CT470" i="80" s="1"/>
  <c r="CR471" i="80"/>
  <c r="CS471" i="80"/>
  <c r="CT471" i="80" s="1"/>
  <c r="CR472" i="80"/>
  <c r="CS472" i="80"/>
  <c r="CT472" i="80" s="1"/>
  <c r="CR473" i="80"/>
  <c r="CS473" i="80"/>
  <c r="CT473" i="80" s="1"/>
  <c r="CR474" i="80"/>
  <c r="CS474" i="80"/>
  <c r="CT474" i="80" s="1"/>
  <c r="CR475" i="80"/>
  <c r="CS475" i="80"/>
  <c r="CT475" i="80" s="1"/>
  <c r="CR476" i="80"/>
  <c r="CS476" i="80"/>
  <c r="CT476" i="80" s="1"/>
  <c r="CR477" i="80"/>
  <c r="CS477" i="80"/>
  <c r="CT477" i="80" s="1"/>
  <c r="CR478" i="80"/>
  <c r="CS478" i="80"/>
  <c r="CT478" i="80" s="1"/>
  <c r="CR479" i="80"/>
  <c r="CS479" i="80"/>
  <c r="CT479" i="80" s="1"/>
  <c r="CR480" i="80"/>
  <c r="CS480" i="80"/>
  <c r="CT480" i="80" s="1"/>
  <c r="CR481" i="80"/>
  <c r="CS481" i="80"/>
  <c r="CT481" i="80" s="1"/>
  <c r="CR482" i="80"/>
  <c r="CS482" i="80"/>
  <c r="CT482" i="80" s="1"/>
  <c r="CR483" i="80"/>
  <c r="CS483" i="80"/>
  <c r="CT483" i="80" s="1"/>
  <c r="CR484" i="80"/>
  <c r="CS484" i="80"/>
  <c r="CT484" i="80" s="1"/>
  <c r="CR485" i="80"/>
  <c r="CS485" i="80"/>
  <c r="CT485" i="80" s="1"/>
  <c r="CR486" i="80"/>
  <c r="CS486" i="80"/>
  <c r="CT486" i="80" s="1"/>
  <c r="CR487" i="80"/>
  <c r="CS487" i="80"/>
  <c r="CT487" i="80" s="1"/>
  <c r="CR488" i="80"/>
  <c r="CS488" i="80"/>
  <c r="CT488" i="80" s="1"/>
  <c r="CR489" i="80"/>
  <c r="CS489" i="80"/>
  <c r="CT489" i="80" s="1"/>
  <c r="CR490" i="80"/>
  <c r="CS490" i="80"/>
  <c r="CT490" i="80" s="1"/>
  <c r="CR491" i="80"/>
  <c r="CS491" i="80"/>
  <c r="CT491" i="80" s="1"/>
  <c r="CR492" i="80"/>
  <c r="CS492" i="80"/>
  <c r="CT492" i="80" s="1"/>
  <c r="CR493" i="80"/>
  <c r="CS493" i="80"/>
  <c r="CT493" i="80" s="1"/>
  <c r="CR494" i="80"/>
  <c r="CS494" i="80"/>
  <c r="CT494" i="80" s="1"/>
  <c r="CR495" i="80"/>
  <c r="CS495" i="80"/>
  <c r="CT495" i="80" s="1"/>
  <c r="CR496" i="80"/>
  <c r="CS496" i="80"/>
  <c r="CT496" i="80" s="1"/>
  <c r="CR497" i="80"/>
  <c r="CS497" i="80"/>
  <c r="CT497" i="80" s="1"/>
  <c r="CR498" i="80"/>
  <c r="CS498" i="80"/>
  <c r="CT498" i="80" s="1"/>
  <c r="CR499" i="80"/>
  <c r="CS499" i="80"/>
  <c r="CT499" i="80" s="1"/>
  <c r="CR500" i="80"/>
  <c r="CS500" i="80"/>
  <c r="CT500" i="80" s="1"/>
  <c r="CR501" i="80"/>
  <c r="CS501" i="80"/>
  <c r="CT501" i="80" s="1"/>
  <c r="CR502" i="80"/>
  <c r="CS502" i="80"/>
  <c r="CT502" i="80" s="1"/>
  <c r="CR503" i="80"/>
  <c r="CS503" i="80"/>
  <c r="CT503" i="80" s="1"/>
  <c r="CR504" i="80"/>
  <c r="CS504" i="80"/>
  <c r="CT504" i="80" s="1"/>
  <c r="CR505" i="80"/>
  <c r="CS505" i="80"/>
  <c r="CT505" i="80" s="1"/>
  <c r="CR506" i="80"/>
  <c r="CS506" i="80"/>
  <c r="CT506" i="80" s="1"/>
  <c r="CR507" i="80"/>
  <c r="CS507" i="80"/>
  <c r="CT507" i="80" s="1"/>
  <c r="CR508" i="80"/>
  <c r="CS508" i="80"/>
  <c r="CT508" i="80" s="1"/>
  <c r="CR509" i="80"/>
  <c r="CS509" i="80"/>
  <c r="CT509" i="80" s="1"/>
  <c r="CR510" i="80"/>
  <c r="CS510" i="80"/>
  <c r="CT510" i="80" s="1"/>
  <c r="CR511" i="80"/>
  <c r="CS511" i="80"/>
  <c r="CT511" i="80" s="1"/>
  <c r="CR512" i="80"/>
  <c r="CS512" i="80"/>
  <c r="CT512" i="80" s="1"/>
  <c r="CR513" i="80"/>
  <c r="CS513" i="80"/>
  <c r="CT513" i="80" s="1"/>
  <c r="CR514" i="80"/>
  <c r="CS514" i="80"/>
  <c r="CT514" i="80" s="1"/>
  <c r="CR515" i="80"/>
  <c r="CS515" i="80"/>
  <c r="CT515" i="80" s="1"/>
  <c r="CR516" i="80"/>
  <c r="CS516" i="80"/>
  <c r="CT516" i="80" s="1"/>
  <c r="CR517" i="80"/>
  <c r="CS517" i="80"/>
  <c r="CT517" i="80" s="1"/>
  <c r="CR518" i="80"/>
  <c r="CS518" i="80"/>
  <c r="CT518" i="80" s="1"/>
  <c r="CR519" i="80"/>
  <c r="CS519" i="80"/>
  <c r="CT519" i="80" s="1"/>
  <c r="CR520" i="80"/>
  <c r="CS520" i="80"/>
  <c r="CT520" i="80" s="1"/>
  <c r="CR521" i="80"/>
  <c r="CS521" i="80"/>
  <c r="CT521" i="80" s="1"/>
  <c r="CR522" i="80"/>
  <c r="CS522" i="80"/>
  <c r="CT522" i="80" s="1"/>
  <c r="CR523" i="80"/>
  <c r="CS523" i="80"/>
  <c r="CT523" i="80" s="1"/>
  <c r="CR524" i="80"/>
  <c r="CS524" i="80"/>
  <c r="CT524" i="80" s="1"/>
  <c r="CR525" i="80"/>
  <c r="CS525" i="80"/>
  <c r="CT525" i="80" s="1"/>
  <c r="CR526" i="80"/>
  <c r="CS526" i="80"/>
  <c r="CT526" i="80" s="1"/>
  <c r="CR527" i="80"/>
  <c r="CS527" i="80"/>
  <c r="CT527" i="80" s="1"/>
  <c r="CR528" i="80"/>
  <c r="CS528" i="80"/>
  <c r="CT528" i="80" s="1"/>
  <c r="CR529" i="80"/>
  <c r="CS529" i="80"/>
  <c r="CT529" i="80" s="1"/>
  <c r="CR530" i="80"/>
  <c r="CS530" i="80"/>
  <c r="CT530" i="80" s="1"/>
  <c r="CR531" i="80"/>
  <c r="CS531" i="80"/>
  <c r="CT531" i="80" s="1"/>
  <c r="CR532" i="80"/>
  <c r="CS532" i="80"/>
  <c r="CT532" i="80" s="1"/>
  <c r="CR533" i="80"/>
  <c r="CS533" i="80"/>
  <c r="CT533" i="80" s="1"/>
  <c r="CR534" i="80"/>
  <c r="CS534" i="80"/>
  <c r="CT534" i="80" s="1"/>
  <c r="CR535" i="80"/>
  <c r="CS535" i="80"/>
  <c r="CT535" i="80" s="1"/>
  <c r="CR536" i="80"/>
  <c r="CS536" i="80"/>
  <c r="CT536" i="80" s="1"/>
  <c r="CR537" i="80"/>
  <c r="CS537" i="80"/>
  <c r="CT537" i="80" s="1"/>
  <c r="CR538" i="80"/>
  <c r="CS538" i="80"/>
  <c r="CT538" i="80" s="1"/>
  <c r="CR539" i="80"/>
  <c r="CS539" i="80"/>
  <c r="CT539" i="80" s="1"/>
  <c r="CR540" i="80"/>
  <c r="CS540" i="80"/>
  <c r="CT540" i="80" s="1"/>
  <c r="CR541" i="80"/>
  <c r="CS541" i="80"/>
  <c r="CT541" i="80" s="1"/>
  <c r="CR542" i="80"/>
  <c r="CS542" i="80"/>
  <c r="CT542" i="80" s="1"/>
  <c r="CR543" i="80"/>
  <c r="CS543" i="80"/>
  <c r="CT543" i="80" s="1"/>
  <c r="CR544" i="80"/>
  <c r="CS544" i="80"/>
  <c r="CT544" i="80" s="1"/>
  <c r="CR545" i="80"/>
  <c r="CS545" i="80"/>
  <c r="CT545" i="80" s="1"/>
  <c r="CR546" i="80"/>
  <c r="CS546" i="80"/>
  <c r="CT546" i="80" s="1"/>
  <c r="CR547" i="80"/>
  <c r="CS547" i="80"/>
  <c r="CT547" i="80" s="1"/>
  <c r="CR548" i="80"/>
  <c r="CS548" i="80"/>
  <c r="CT548" i="80" s="1"/>
  <c r="CR549" i="80"/>
  <c r="CS549" i="80"/>
  <c r="CT549" i="80" s="1"/>
  <c r="CR550" i="80"/>
  <c r="CS550" i="80"/>
  <c r="CT550" i="80" s="1"/>
  <c r="CR551" i="80"/>
  <c r="CS551" i="80"/>
  <c r="CT551" i="80" s="1"/>
  <c r="CR552" i="80"/>
  <c r="CS552" i="80"/>
  <c r="CT552" i="80" s="1"/>
  <c r="CR553" i="80"/>
  <c r="CS553" i="80"/>
  <c r="CT553" i="80" s="1"/>
  <c r="CR554" i="80"/>
  <c r="CS554" i="80"/>
  <c r="CT554" i="80" s="1"/>
  <c r="CR555" i="80"/>
  <c r="CS555" i="80"/>
  <c r="CT555" i="80" s="1"/>
  <c r="CR556" i="80"/>
  <c r="CS556" i="80"/>
  <c r="CT556" i="80" s="1"/>
  <c r="CR557" i="80"/>
  <c r="CS557" i="80"/>
  <c r="CT557" i="80" s="1"/>
  <c r="CR558" i="80"/>
  <c r="CS558" i="80"/>
  <c r="CT558" i="80" s="1"/>
  <c r="CR559" i="80"/>
  <c r="CS559" i="80"/>
  <c r="CT559" i="80" s="1"/>
  <c r="CR560" i="80"/>
  <c r="CS560" i="80"/>
  <c r="CT560" i="80" s="1"/>
  <c r="CR561" i="80"/>
  <c r="CS561" i="80"/>
  <c r="CT561" i="80" s="1"/>
  <c r="CR562" i="80"/>
  <c r="CS562" i="80"/>
  <c r="CT562" i="80" s="1"/>
  <c r="CR563" i="80"/>
  <c r="CS563" i="80"/>
  <c r="CT563" i="80" s="1"/>
  <c r="CR564" i="80"/>
  <c r="CS564" i="80"/>
  <c r="CT564" i="80" s="1"/>
  <c r="CR565" i="80"/>
  <c r="CS565" i="80"/>
  <c r="CT565" i="80" s="1"/>
  <c r="CR566" i="80"/>
  <c r="CS566" i="80"/>
  <c r="CT566" i="80" s="1"/>
  <c r="CR567" i="80"/>
  <c r="CS567" i="80"/>
  <c r="CT567" i="80" s="1"/>
  <c r="CR568" i="80"/>
  <c r="CS568" i="80"/>
  <c r="CT568" i="80" s="1"/>
  <c r="CR569" i="80"/>
  <c r="CS569" i="80"/>
  <c r="CT569" i="80" s="1"/>
  <c r="CR570" i="80"/>
  <c r="CS570" i="80"/>
  <c r="CT570" i="80" s="1"/>
  <c r="CR571" i="80"/>
  <c r="CS571" i="80"/>
  <c r="CT571" i="80" s="1"/>
  <c r="CR572" i="80"/>
  <c r="CS572" i="80"/>
  <c r="CT572" i="80" s="1"/>
  <c r="CR573" i="80"/>
  <c r="CS573" i="80"/>
  <c r="CT573" i="80" s="1"/>
  <c r="CR574" i="80"/>
  <c r="CS574" i="80"/>
  <c r="CT574" i="80" s="1"/>
  <c r="CR575" i="80"/>
  <c r="CS575" i="80"/>
  <c r="CT575" i="80" s="1"/>
  <c r="CR576" i="80"/>
  <c r="CS576" i="80"/>
  <c r="CT576" i="80" s="1"/>
  <c r="CR577" i="80"/>
  <c r="CS577" i="80"/>
  <c r="CT577" i="80" s="1"/>
  <c r="CR578" i="80"/>
  <c r="CS578" i="80"/>
  <c r="CT578" i="80" s="1"/>
  <c r="CR579" i="80"/>
  <c r="CS579" i="80"/>
  <c r="CT579" i="80" s="1"/>
  <c r="CR580" i="80"/>
  <c r="CS580" i="80"/>
  <c r="CT580" i="80" s="1"/>
  <c r="CR581" i="80"/>
  <c r="CS581" i="80"/>
  <c r="CT581" i="80" s="1"/>
  <c r="CR582" i="80"/>
  <c r="CS582" i="80"/>
  <c r="CT582" i="80" s="1"/>
  <c r="CR583" i="80"/>
  <c r="CS583" i="80"/>
  <c r="CT583" i="80" s="1"/>
  <c r="CR584" i="80"/>
  <c r="CS584" i="80"/>
  <c r="CT584" i="80" s="1"/>
  <c r="CR585" i="80"/>
  <c r="CS585" i="80"/>
  <c r="CT585" i="80" s="1"/>
  <c r="CR586" i="80"/>
  <c r="CS586" i="80"/>
  <c r="CT586" i="80" s="1"/>
  <c r="CR587" i="80"/>
  <c r="CS587" i="80"/>
  <c r="CT587" i="80" s="1"/>
  <c r="CR588" i="80"/>
  <c r="CS588" i="80"/>
  <c r="CT588" i="80" s="1"/>
  <c r="CR589" i="80"/>
  <c r="CS589" i="80"/>
  <c r="CT589" i="80" s="1"/>
  <c r="CR590" i="80"/>
  <c r="CS590" i="80"/>
  <c r="CT590" i="80" s="1"/>
  <c r="CR591" i="80"/>
  <c r="CS591" i="80"/>
  <c r="CT591" i="80" s="1"/>
  <c r="CR592" i="80"/>
  <c r="CS592" i="80"/>
  <c r="CT592" i="80" s="1"/>
  <c r="CR593" i="80"/>
  <c r="CS593" i="80"/>
  <c r="CT593" i="80" s="1"/>
  <c r="CR594" i="80"/>
  <c r="CS594" i="80"/>
  <c r="CT594" i="80" s="1"/>
  <c r="CR595" i="80"/>
  <c r="CS595" i="80"/>
  <c r="CT595" i="80" s="1"/>
  <c r="CR596" i="80"/>
  <c r="CS596" i="80"/>
  <c r="CT596" i="80" s="1"/>
  <c r="CR597" i="80"/>
  <c r="CS597" i="80"/>
  <c r="CT597" i="80" s="1"/>
  <c r="CR598" i="80"/>
  <c r="CS598" i="80"/>
  <c r="CT598" i="80" s="1"/>
  <c r="CR599" i="80"/>
  <c r="CS599" i="80"/>
  <c r="CT599" i="80" s="1"/>
  <c r="CR600" i="80"/>
  <c r="CS600" i="80"/>
  <c r="CT600" i="80" s="1"/>
  <c r="CR1" i="83"/>
  <c r="CS1" i="83"/>
  <c r="CT1" i="83" s="1"/>
  <c r="CW1" i="83"/>
  <c r="CX1" i="83"/>
  <c r="CY1" i="83" s="1"/>
  <c r="CR2" i="83"/>
  <c r="CS2" i="83"/>
  <c r="CT2" i="83" s="1"/>
  <c r="CW2" i="83"/>
  <c r="CX2" i="83"/>
  <c r="CY2" i="83" s="1"/>
  <c r="CR3" i="83"/>
  <c r="CS3" i="83"/>
  <c r="CT3" i="83" s="1"/>
  <c r="CW3" i="83"/>
  <c r="CX3" i="83"/>
  <c r="CY3" i="83" s="1"/>
  <c r="CR4" i="83"/>
  <c r="CS4" i="83"/>
  <c r="CT4" i="83" s="1"/>
  <c r="CW4" i="83"/>
  <c r="CX4" i="83"/>
  <c r="CY4" i="83" s="1"/>
  <c r="CR5" i="83"/>
  <c r="CS5" i="83"/>
  <c r="CT5" i="83" s="1"/>
  <c r="CW5" i="83"/>
  <c r="CX5" i="83"/>
  <c r="CY5" i="83" s="1"/>
  <c r="CR6" i="83"/>
  <c r="CS6" i="83"/>
  <c r="CT6" i="83" s="1"/>
  <c r="CW6" i="83"/>
  <c r="CX6" i="83"/>
  <c r="CY6" i="83" s="1"/>
  <c r="CR7" i="83"/>
  <c r="CS7" i="83"/>
  <c r="CT7" i="83" s="1"/>
  <c r="CW7" i="83"/>
  <c r="CX7" i="83"/>
  <c r="CY7" i="83" s="1"/>
  <c r="CR8" i="83"/>
  <c r="CS8" i="83"/>
  <c r="CT8" i="83" s="1"/>
  <c r="CW8" i="83"/>
  <c r="CX8" i="83"/>
  <c r="CY8" i="83" s="1"/>
  <c r="CR9" i="83"/>
  <c r="CS9" i="83"/>
  <c r="CT9" i="83" s="1"/>
  <c r="CW9" i="83"/>
  <c r="CX9" i="83"/>
  <c r="CY9" i="83" s="1"/>
  <c r="CR10" i="83"/>
  <c r="CS10" i="83"/>
  <c r="CT10" i="83" s="1"/>
  <c r="CW10" i="83"/>
  <c r="CX10" i="83"/>
  <c r="CY10" i="83" s="1"/>
  <c r="CR11" i="83"/>
  <c r="CS11" i="83"/>
  <c r="CT11" i="83" s="1"/>
  <c r="CW11" i="83"/>
  <c r="CX11" i="83"/>
  <c r="CY11" i="83" s="1"/>
  <c r="CR12" i="83"/>
  <c r="CS12" i="83"/>
  <c r="CT12" i="83" s="1"/>
  <c r="CW12" i="83"/>
  <c r="CX12" i="83"/>
  <c r="CY12" i="83" s="1"/>
  <c r="CR13" i="83"/>
  <c r="CS13" i="83"/>
  <c r="CT13" i="83" s="1"/>
  <c r="CW13" i="83"/>
  <c r="CX13" i="83"/>
  <c r="CY13" i="83" s="1"/>
  <c r="CR14" i="83"/>
  <c r="CS14" i="83"/>
  <c r="CT14" i="83" s="1"/>
  <c r="CW14" i="83"/>
  <c r="CX14" i="83"/>
  <c r="CY14" i="83" s="1"/>
  <c r="CR15" i="83"/>
  <c r="CS15" i="83"/>
  <c r="CT15" i="83" s="1"/>
  <c r="CW15" i="83"/>
  <c r="CX15" i="83"/>
  <c r="CY15" i="83" s="1"/>
  <c r="CR16" i="83"/>
  <c r="CS16" i="83"/>
  <c r="CT16" i="83" s="1"/>
  <c r="CW16" i="83"/>
  <c r="CX16" i="83"/>
  <c r="CY16" i="83" s="1"/>
  <c r="CR17" i="83"/>
  <c r="CS17" i="83"/>
  <c r="CT17" i="83" s="1"/>
  <c r="CW17" i="83"/>
  <c r="CX17" i="83"/>
  <c r="CY17" i="83" s="1"/>
  <c r="CR18" i="83"/>
  <c r="CS18" i="83"/>
  <c r="CT18" i="83" s="1"/>
  <c r="CW18" i="83"/>
  <c r="CX18" i="83"/>
  <c r="CY18" i="83" s="1"/>
  <c r="CR19" i="83"/>
  <c r="CS19" i="83"/>
  <c r="CT19" i="83" s="1"/>
  <c r="CW19" i="83"/>
  <c r="CX19" i="83"/>
  <c r="CY19" i="83" s="1"/>
  <c r="CR20" i="83"/>
  <c r="CS20" i="83"/>
  <c r="CT20" i="83" s="1"/>
  <c r="CW20" i="83"/>
  <c r="CX20" i="83"/>
  <c r="CY20" i="83" s="1"/>
  <c r="CR21" i="83"/>
  <c r="CS21" i="83"/>
  <c r="CT21" i="83" s="1"/>
  <c r="CW21" i="83"/>
  <c r="CX21" i="83"/>
  <c r="CY21" i="83" s="1"/>
  <c r="CR22" i="83"/>
  <c r="CS22" i="83"/>
  <c r="CT22" i="83" s="1"/>
  <c r="CW22" i="83"/>
  <c r="CX22" i="83"/>
  <c r="CY22" i="83" s="1"/>
  <c r="CR23" i="83"/>
  <c r="CS23" i="83"/>
  <c r="CT23" i="83" s="1"/>
  <c r="CW23" i="83"/>
  <c r="CX23" i="83"/>
  <c r="CY23" i="83" s="1"/>
  <c r="CR24" i="83"/>
  <c r="CS24" i="83"/>
  <c r="CT24" i="83" s="1"/>
  <c r="CW24" i="83"/>
  <c r="CX24" i="83"/>
  <c r="CY24" i="83" s="1"/>
  <c r="CR25" i="83"/>
  <c r="CS25" i="83"/>
  <c r="CT25" i="83" s="1"/>
  <c r="CW25" i="83"/>
  <c r="CX25" i="83"/>
  <c r="CY25" i="83" s="1"/>
  <c r="CR26" i="83"/>
  <c r="CS26" i="83"/>
  <c r="CT26" i="83" s="1"/>
  <c r="CW26" i="83"/>
  <c r="CX26" i="83"/>
  <c r="CY26" i="83" s="1"/>
  <c r="CR27" i="83"/>
  <c r="CS27" i="83"/>
  <c r="CT27" i="83" s="1"/>
  <c r="CW27" i="83"/>
  <c r="CX27" i="83"/>
  <c r="CY27" i="83" s="1"/>
  <c r="CR28" i="83"/>
  <c r="CS28" i="83"/>
  <c r="CT28" i="83" s="1"/>
  <c r="CW28" i="83"/>
  <c r="CX28" i="83"/>
  <c r="CY28" i="83" s="1"/>
  <c r="CR29" i="83"/>
  <c r="CS29" i="83"/>
  <c r="CT29" i="83" s="1"/>
  <c r="CW29" i="83"/>
  <c r="CX29" i="83"/>
  <c r="CY29" i="83" s="1"/>
  <c r="CR30" i="83"/>
  <c r="CS30" i="83"/>
  <c r="CT30" i="83" s="1"/>
  <c r="CW30" i="83"/>
  <c r="CX30" i="83"/>
  <c r="CY30" i="83" s="1"/>
  <c r="CR31" i="83"/>
  <c r="CS31" i="83"/>
  <c r="CT31" i="83" s="1"/>
  <c r="CW31" i="83"/>
  <c r="CX31" i="83"/>
  <c r="CY31" i="83" s="1"/>
  <c r="CR32" i="83"/>
  <c r="CS32" i="83"/>
  <c r="CT32" i="83" s="1"/>
  <c r="CW32" i="83"/>
  <c r="CX32" i="83"/>
  <c r="CY32" i="83" s="1"/>
  <c r="CR33" i="83"/>
  <c r="CS33" i="83"/>
  <c r="CT33" i="83" s="1"/>
  <c r="CW33" i="83"/>
  <c r="CX33" i="83"/>
  <c r="CY33" i="83" s="1"/>
  <c r="CR34" i="83"/>
  <c r="CS34" i="83"/>
  <c r="CT34" i="83" s="1"/>
  <c r="CW34" i="83"/>
  <c r="CX34" i="83"/>
  <c r="CY34" i="83" s="1"/>
  <c r="CR35" i="83"/>
  <c r="CS35" i="83"/>
  <c r="CT35" i="83" s="1"/>
  <c r="CW35" i="83"/>
  <c r="CX35" i="83"/>
  <c r="CY35" i="83" s="1"/>
  <c r="CR36" i="83"/>
  <c r="CS36" i="83"/>
  <c r="CT36" i="83" s="1"/>
  <c r="CW36" i="83"/>
  <c r="CX36" i="83"/>
  <c r="CY36" i="83" s="1"/>
  <c r="CR37" i="83"/>
  <c r="CS37" i="83"/>
  <c r="CT37" i="83" s="1"/>
  <c r="CW37" i="83"/>
  <c r="CX37" i="83"/>
  <c r="CY37" i="83" s="1"/>
  <c r="CR38" i="83"/>
  <c r="CS38" i="83"/>
  <c r="CT38" i="83" s="1"/>
  <c r="CW38" i="83"/>
  <c r="CX38" i="83"/>
  <c r="CY38" i="83" s="1"/>
  <c r="CR39" i="83"/>
  <c r="CS39" i="83"/>
  <c r="CT39" i="83" s="1"/>
  <c r="CW39" i="83"/>
  <c r="CX39" i="83"/>
  <c r="CY39" i="83" s="1"/>
  <c r="CR40" i="83"/>
  <c r="CS40" i="83"/>
  <c r="CT40" i="83" s="1"/>
  <c r="CW40" i="83"/>
  <c r="CX40" i="83"/>
  <c r="CY40" i="83" s="1"/>
  <c r="CR41" i="83"/>
  <c r="CS41" i="83"/>
  <c r="CT41" i="83" s="1"/>
  <c r="CW41" i="83"/>
  <c r="CX41" i="83"/>
  <c r="CY41" i="83" s="1"/>
  <c r="CR42" i="83"/>
  <c r="CS42" i="83"/>
  <c r="CT42" i="83" s="1"/>
  <c r="CW42" i="83"/>
  <c r="CX42" i="83"/>
  <c r="CY42" i="83" s="1"/>
  <c r="CR43" i="83"/>
  <c r="CS43" i="83"/>
  <c r="CT43" i="83" s="1"/>
  <c r="CW43" i="83"/>
  <c r="CX43" i="83"/>
  <c r="CY43" i="83" s="1"/>
  <c r="CR44" i="83"/>
  <c r="CS44" i="83"/>
  <c r="CT44" i="83" s="1"/>
  <c r="CW44" i="83"/>
  <c r="CX44" i="83"/>
  <c r="CY44" i="83" s="1"/>
  <c r="CR45" i="83"/>
  <c r="CS45" i="83"/>
  <c r="CT45" i="83" s="1"/>
  <c r="CW45" i="83"/>
  <c r="CX45" i="83"/>
  <c r="CY45" i="83" s="1"/>
  <c r="CR46" i="83"/>
  <c r="CS46" i="83"/>
  <c r="CT46" i="83" s="1"/>
  <c r="CW46" i="83"/>
  <c r="CX46" i="83"/>
  <c r="CY46" i="83" s="1"/>
  <c r="CR47" i="83"/>
  <c r="CS47" i="83"/>
  <c r="CT47" i="83" s="1"/>
  <c r="CW47" i="83"/>
  <c r="CX47" i="83"/>
  <c r="CY47" i="83" s="1"/>
  <c r="CR48" i="83"/>
  <c r="CS48" i="83"/>
  <c r="CT48" i="83" s="1"/>
  <c r="CW48" i="83"/>
  <c r="CX48" i="83"/>
  <c r="CY48" i="83" s="1"/>
  <c r="CR49" i="83"/>
  <c r="CS49" i="83"/>
  <c r="CT49" i="83" s="1"/>
  <c r="CW49" i="83"/>
  <c r="CX49" i="83"/>
  <c r="CY49" i="83" s="1"/>
  <c r="CR50" i="83"/>
  <c r="CS50" i="83"/>
  <c r="CT50" i="83" s="1"/>
  <c r="CW50" i="83"/>
  <c r="CX50" i="83"/>
  <c r="CY50" i="83" s="1"/>
  <c r="CR51" i="83"/>
  <c r="CS51" i="83"/>
  <c r="CT51" i="83" s="1"/>
  <c r="CW51" i="83"/>
  <c r="CX51" i="83"/>
  <c r="CY51" i="83" s="1"/>
  <c r="CR52" i="83"/>
  <c r="CS52" i="83"/>
  <c r="CT52" i="83" s="1"/>
  <c r="CW52" i="83"/>
  <c r="CX52" i="83"/>
  <c r="CY52" i="83" s="1"/>
  <c r="CR53" i="83"/>
  <c r="CS53" i="83"/>
  <c r="CT53" i="83" s="1"/>
  <c r="CW53" i="83"/>
  <c r="CX53" i="83"/>
  <c r="CY53" i="83" s="1"/>
  <c r="CR54" i="83"/>
  <c r="CS54" i="83"/>
  <c r="CT54" i="83" s="1"/>
  <c r="CW54" i="83"/>
  <c r="CX54" i="83"/>
  <c r="CY54" i="83" s="1"/>
  <c r="CR55" i="83"/>
  <c r="CS55" i="83"/>
  <c r="CT55" i="83" s="1"/>
  <c r="CW55" i="83"/>
  <c r="CX55" i="83"/>
  <c r="CY55" i="83" s="1"/>
  <c r="CR56" i="83"/>
  <c r="CS56" i="83"/>
  <c r="CT56" i="83" s="1"/>
  <c r="CW56" i="83"/>
  <c r="CX56" i="83"/>
  <c r="CY56" i="83" s="1"/>
  <c r="CR57" i="83"/>
  <c r="CS57" i="83"/>
  <c r="CT57" i="83" s="1"/>
  <c r="CW57" i="83"/>
  <c r="CX57" i="83"/>
  <c r="CY57" i="83" s="1"/>
  <c r="CR58" i="83"/>
  <c r="CS58" i="83"/>
  <c r="CT58" i="83" s="1"/>
  <c r="CW58" i="83"/>
  <c r="CX58" i="83"/>
  <c r="CY58" i="83" s="1"/>
  <c r="CR59" i="83"/>
  <c r="CS59" i="83"/>
  <c r="CT59" i="83" s="1"/>
  <c r="CW59" i="83"/>
  <c r="CX59" i="83"/>
  <c r="CY59" i="83" s="1"/>
  <c r="CR60" i="83"/>
  <c r="CS60" i="83"/>
  <c r="CT60" i="83" s="1"/>
  <c r="CW60" i="83"/>
  <c r="CX60" i="83"/>
  <c r="CY60" i="83" s="1"/>
  <c r="CR61" i="83"/>
  <c r="CS61" i="83"/>
  <c r="CT61" i="83" s="1"/>
  <c r="CW61" i="83"/>
  <c r="CX61" i="83"/>
  <c r="CY61" i="83" s="1"/>
  <c r="CR62" i="83"/>
  <c r="CS62" i="83"/>
  <c r="CT62" i="83" s="1"/>
  <c r="CW62" i="83"/>
  <c r="CX62" i="83"/>
  <c r="CY62" i="83" s="1"/>
  <c r="CR63" i="83"/>
  <c r="CS63" i="83"/>
  <c r="CT63" i="83" s="1"/>
  <c r="CW63" i="83"/>
  <c r="CX63" i="83"/>
  <c r="CY63" i="83" s="1"/>
  <c r="CR64" i="83"/>
  <c r="CS64" i="83"/>
  <c r="CT64" i="83" s="1"/>
  <c r="CW64" i="83"/>
  <c r="CX64" i="83"/>
  <c r="CY64" i="83" s="1"/>
  <c r="CR65" i="83"/>
  <c r="CS65" i="83"/>
  <c r="CT65" i="83" s="1"/>
  <c r="CW65" i="83"/>
  <c r="CX65" i="83"/>
  <c r="CY65" i="83" s="1"/>
  <c r="CR66" i="83"/>
  <c r="CS66" i="83"/>
  <c r="CT66" i="83" s="1"/>
  <c r="CW66" i="83"/>
  <c r="CX66" i="83"/>
  <c r="CY66" i="83" s="1"/>
  <c r="CR67" i="83"/>
  <c r="CS67" i="83"/>
  <c r="CT67" i="83" s="1"/>
  <c r="CW67" i="83"/>
  <c r="CX67" i="83"/>
  <c r="CY67" i="83" s="1"/>
  <c r="CR68" i="83"/>
  <c r="CS68" i="83"/>
  <c r="CT68" i="83" s="1"/>
  <c r="CW68" i="83"/>
  <c r="CX68" i="83"/>
  <c r="CY68" i="83" s="1"/>
  <c r="CR69" i="83"/>
  <c r="CS69" i="83"/>
  <c r="CT69" i="83" s="1"/>
  <c r="CW69" i="83"/>
  <c r="CX69" i="83"/>
  <c r="CY69" i="83" s="1"/>
  <c r="CR70" i="83"/>
  <c r="CS70" i="83"/>
  <c r="CT70" i="83" s="1"/>
  <c r="CW70" i="83"/>
  <c r="CX70" i="83"/>
  <c r="CY70" i="83" s="1"/>
  <c r="CR71" i="83"/>
  <c r="CS71" i="83"/>
  <c r="CT71" i="83" s="1"/>
  <c r="CW71" i="83"/>
  <c r="CX71" i="83"/>
  <c r="CY71" i="83" s="1"/>
  <c r="CR72" i="83"/>
  <c r="CS72" i="83"/>
  <c r="CT72" i="83" s="1"/>
  <c r="CW72" i="83"/>
  <c r="CX72" i="83"/>
  <c r="CY72" i="83" s="1"/>
  <c r="CR73" i="83"/>
  <c r="CS73" i="83"/>
  <c r="CT73" i="83" s="1"/>
  <c r="CW73" i="83"/>
  <c r="CX73" i="83"/>
  <c r="CY73" i="83" s="1"/>
  <c r="CR74" i="83"/>
  <c r="CS74" i="83"/>
  <c r="CT74" i="83" s="1"/>
  <c r="CW74" i="83"/>
  <c r="CX74" i="83"/>
  <c r="CY74" i="83" s="1"/>
  <c r="CR75" i="83"/>
  <c r="CS75" i="83"/>
  <c r="CT75" i="83" s="1"/>
  <c r="CW75" i="83"/>
  <c r="CX75" i="83"/>
  <c r="CY75" i="83" s="1"/>
  <c r="CR76" i="83"/>
  <c r="CS76" i="83"/>
  <c r="CT76" i="83" s="1"/>
  <c r="CW76" i="83"/>
  <c r="CX76" i="83"/>
  <c r="CY76" i="83" s="1"/>
  <c r="CR77" i="83"/>
  <c r="CS77" i="83"/>
  <c r="CT77" i="83" s="1"/>
  <c r="CW77" i="83"/>
  <c r="CX77" i="83"/>
  <c r="CY77" i="83" s="1"/>
  <c r="CR78" i="83"/>
  <c r="CS78" i="83"/>
  <c r="CT78" i="83" s="1"/>
  <c r="CW78" i="83"/>
  <c r="CX78" i="83"/>
  <c r="CY78" i="83" s="1"/>
  <c r="CR79" i="83"/>
  <c r="CS79" i="83"/>
  <c r="CT79" i="83" s="1"/>
  <c r="CW79" i="83"/>
  <c r="CX79" i="83"/>
  <c r="CY79" i="83" s="1"/>
  <c r="CR80" i="83"/>
  <c r="CS80" i="83"/>
  <c r="CT80" i="83" s="1"/>
  <c r="CW80" i="83"/>
  <c r="CX80" i="83"/>
  <c r="CY80" i="83" s="1"/>
  <c r="CR81" i="83"/>
  <c r="CS81" i="83"/>
  <c r="CT81" i="83" s="1"/>
  <c r="CW81" i="83"/>
  <c r="CX81" i="83"/>
  <c r="CY81" i="83" s="1"/>
  <c r="CR82" i="83"/>
  <c r="CS82" i="83"/>
  <c r="CT82" i="83" s="1"/>
  <c r="CW82" i="83"/>
  <c r="CX82" i="83"/>
  <c r="CY82" i="83" s="1"/>
  <c r="CR83" i="83"/>
  <c r="CS83" i="83"/>
  <c r="CT83" i="83" s="1"/>
  <c r="CW83" i="83"/>
  <c r="CX83" i="83"/>
  <c r="CY83" i="83" s="1"/>
  <c r="CR84" i="83"/>
  <c r="CS84" i="83"/>
  <c r="CT84" i="83" s="1"/>
  <c r="CW84" i="83"/>
  <c r="CX84" i="83"/>
  <c r="CY84" i="83" s="1"/>
  <c r="CR85" i="83"/>
  <c r="CS85" i="83"/>
  <c r="CT85" i="83" s="1"/>
  <c r="CW85" i="83"/>
  <c r="CX85" i="83"/>
  <c r="CY85" i="83" s="1"/>
  <c r="CR86" i="83"/>
  <c r="CS86" i="83"/>
  <c r="CT86" i="83" s="1"/>
  <c r="CW86" i="83"/>
  <c r="CX86" i="83"/>
  <c r="CY86" i="83" s="1"/>
  <c r="CR87" i="83"/>
  <c r="CS87" i="83"/>
  <c r="CT87" i="83" s="1"/>
  <c r="CW87" i="83"/>
  <c r="CX87" i="83"/>
  <c r="CY87" i="83" s="1"/>
  <c r="CR88" i="83"/>
  <c r="CS88" i="83"/>
  <c r="CT88" i="83" s="1"/>
  <c r="CW88" i="83"/>
  <c r="CX88" i="83"/>
  <c r="CY88" i="83" s="1"/>
  <c r="CR89" i="83"/>
  <c r="CS89" i="83"/>
  <c r="CT89" i="83" s="1"/>
  <c r="CW89" i="83"/>
  <c r="CX89" i="83"/>
  <c r="CY89" i="83" s="1"/>
  <c r="CR90" i="83"/>
  <c r="CS90" i="83"/>
  <c r="CT90" i="83" s="1"/>
  <c r="CW90" i="83"/>
  <c r="CX90" i="83"/>
  <c r="CY90" i="83" s="1"/>
  <c r="CR91" i="83"/>
  <c r="CS91" i="83"/>
  <c r="CT91" i="83" s="1"/>
  <c r="CW91" i="83"/>
  <c r="CX91" i="83"/>
  <c r="CY91" i="83" s="1"/>
  <c r="CR92" i="83"/>
  <c r="CS92" i="83"/>
  <c r="CT92" i="83" s="1"/>
  <c r="CW92" i="83"/>
  <c r="CX92" i="83"/>
  <c r="CY92" i="83" s="1"/>
  <c r="CR93" i="83"/>
  <c r="CS93" i="83"/>
  <c r="CT93" i="83" s="1"/>
  <c r="CW93" i="83"/>
  <c r="CX93" i="83"/>
  <c r="CY93" i="83" s="1"/>
  <c r="CR94" i="83"/>
  <c r="CS94" i="83"/>
  <c r="CT94" i="83" s="1"/>
  <c r="CW94" i="83"/>
  <c r="CX94" i="83"/>
  <c r="CY94" i="83" s="1"/>
  <c r="CR95" i="83"/>
  <c r="CS95" i="83"/>
  <c r="CT95" i="83" s="1"/>
  <c r="CW95" i="83"/>
  <c r="CX95" i="83"/>
  <c r="CY95" i="83" s="1"/>
  <c r="CR96" i="83"/>
  <c r="CS96" i="83"/>
  <c r="CT96" i="83" s="1"/>
  <c r="CW96" i="83"/>
  <c r="CX96" i="83"/>
  <c r="CY96" i="83" s="1"/>
  <c r="CR97" i="83"/>
  <c r="CS97" i="83"/>
  <c r="CT97" i="83" s="1"/>
  <c r="CW97" i="83"/>
  <c r="CX97" i="83"/>
  <c r="CY97" i="83" s="1"/>
  <c r="CR98" i="83"/>
  <c r="CS98" i="83"/>
  <c r="CT98" i="83" s="1"/>
  <c r="CW98" i="83"/>
  <c r="CX98" i="83"/>
  <c r="CY98" i="83" s="1"/>
  <c r="CR99" i="83"/>
  <c r="CS99" i="83"/>
  <c r="CT99" i="83" s="1"/>
  <c r="CW99" i="83"/>
  <c r="CX99" i="83"/>
  <c r="CY99" i="83" s="1"/>
  <c r="CR100" i="83"/>
  <c r="CS100" i="83"/>
  <c r="CT100" i="83" s="1"/>
  <c r="CW100" i="83"/>
  <c r="CX100" i="83"/>
  <c r="CY100" i="83" s="1"/>
  <c r="CR101" i="83"/>
  <c r="CS101" i="83"/>
  <c r="CT101" i="83" s="1"/>
  <c r="CW101" i="83"/>
  <c r="CX101" i="83"/>
  <c r="CY101" i="83" s="1"/>
  <c r="CR102" i="83"/>
  <c r="CS102" i="83"/>
  <c r="CT102" i="83" s="1"/>
  <c r="CW102" i="83"/>
  <c r="CX102" i="83"/>
  <c r="CY102" i="83" s="1"/>
  <c r="CR103" i="83"/>
  <c r="CS103" i="83"/>
  <c r="CT103" i="83" s="1"/>
  <c r="CW103" i="83"/>
  <c r="CX103" i="83"/>
  <c r="CY103" i="83" s="1"/>
  <c r="CR104" i="83"/>
  <c r="CS104" i="83"/>
  <c r="CT104" i="83" s="1"/>
  <c r="CW104" i="83"/>
  <c r="CX104" i="83"/>
  <c r="CY104" i="83" s="1"/>
  <c r="CR105" i="83"/>
  <c r="CS105" i="83"/>
  <c r="CT105" i="83" s="1"/>
  <c r="CW105" i="83"/>
  <c r="CX105" i="83"/>
  <c r="CY105" i="83" s="1"/>
  <c r="CR106" i="83"/>
  <c r="CS106" i="83"/>
  <c r="CT106" i="83" s="1"/>
  <c r="CW106" i="83"/>
  <c r="CX106" i="83"/>
  <c r="CY106" i="83" s="1"/>
  <c r="CR107" i="83"/>
  <c r="CS107" i="83"/>
  <c r="CT107" i="83" s="1"/>
  <c r="CW107" i="83"/>
  <c r="CX107" i="83"/>
  <c r="CY107" i="83" s="1"/>
  <c r="CR108" i="83"/>
  <c r="CS108" i="83"/>
  <c r="CT108" i="83" s="1"/>
  <c r="CW108" i="83"/>
  <c r="CX108" i="83"/>
  <c r="CY108" i="83" s="1"/>
  <c r="CR109" i="83"/>
  <c r="CS109" i="83"/>
  <c r="CT109" i="83" s="1"/>
  <c r="CW109" i="83"/>
  <c r="CX109" i="83"/>
  <c r="CY109" i="83" s="1"/>
  <c r="CR110" i="83"/>
  <c r="CS110" i="83"/>
  <c r="CT110" i="83" s="1"/>
  <c r="CW110" i="83"/>
  <c r="CX110" i="83"/>
  <c r="CY110" i="83" s="1"/>
  <c r="CR111" i="83"/>
  <c r="CS111" i="83"/>
  <c r="CT111" i="83" s="1"/>
  <c r="CW111" i="83"/>
  <c r="CX111" i="83"/>
  <c r="CY111" i="83" s="1"/>
  <c r="CR112" i="83"/>
  <c r="CS112" i="83"/>
  <c r="CT112" i="83" s="1"/>
  <c r="CW112" i="83"/>
  <c r="CX112" i="83"/>
  <c r="CY112" i="83" s="1"/>
  <c r="CR113" i="83"/>
  <c r="CS113" i="83"/>
  <c r="CT113" i="83" s="1"/>
  <c r="CW113" i="83"/>
  <c r="CX113" i="83"/>
  <c r="CY113" i="83" s="1"/>
  <c r="CR114" i="83"/>
  <c r="CS114" i="83"/>
  <c r="CT114" i="83" s="1"/>
  <c r="CW114" i="83"/>
  <c r="CX114" i="83"/>
  <c r="CY114" i="83" s="1"/>
  <c r="CR115" i="83"/>
  <c r="CS115" i="83"/>
  <c r="CT115" i="83" s="1"/>
  <c r="CW115" i="83"/>
  <c r="CX115" i="83"/>
  <c r="CY115" i="83" s="1"/>
  <c r="CR116" i="83"/>
  <c r="CS116" i="83"/>
  <c r="CT116" i="83" s="1"/>
  <c r="CW116" i="83"/>
  <c r="CX116" i="83"/>
  <c r="CY116" i="83" s="1"/>
  <c r="CR117" i="83"/>
  <c r="CS117" i="83"/>
  <c r="CT117" i="83" s="1"/>
  <c r="CW117" i="83"/>
  <c r="CX117" i="83"/>
  <c r="CY117" i="83" s="1"/>
  <c r="CR118" i="83"/>
  <c r="CS118" i="83"/>
  <c r="CT118" i="83" s="1"/>
  <c r="CW118" i="83"/>
  <c r="CX118" i="83"/>
  <c r="CY118" i="83" s="1"/>
  <c r="CR119" i="83"/>
  <c r="CS119" i="83"/>
  <c r="CT119" i="83" s="1"/>
  <c r="CW119" i="83"/>
  <c r="CX119" i="83"/>
  <c r="CY119" i="83" s="1"/>
  <c r="CR120" i="83"/>
  <c r="CS120" i="83"/>
  <c r="CT120" i="83" s="1"/>
  <c r="CW120" i="83"/>
  <c r="CX120" i="83"/>
  <c r="CY120" i="83" s="1"/>
  <c r="CR121" i="83"/>
  <c r="CS121" i="83"/>
  <c r="CT121" i="83" s="1"/>
  <c r="CW121" i="83"/>
  <c r="CX121" i="83"/>
  <c r="CY121" i="83" s="1"/>
  <c r="CR122" i="83"/>
  <c r="CS122" i="83"/>
  <c r="CT122" i="83" s="1"/>
  <c r="CW122" i="83"/>
  <c r="CX122" i="83"/>
  <c r="CY122" i="83" s="1"/>
  <c r="CR123" i="83"/>
  <c r="CS123" i="83"/>
  <c r="CT123" i="83" s="1"/>
  <c r="CW123" i="83"/>
  <c r="CX123" i="83"/>
  <c r="CY123" i="83" s="1"/>
  <c r="CR124" i="83"/>
  <c r="CS124" i="83"/>
  <c r="CT124" i="83" s="1"/>
  <c r="CW124" i="83"/>
  <c r="CX124" i="83"/>
  <c r="CY124" i="83" s="1"/>
  <c r="CR125" i="83"/>
  <c r="CS125" i="83"/>
  <c r="CT125" i="83" s="1"/>
  <c r="CW125" i="83"/>
  <c r="CX125" i="83"/>
  <c r="CY125" i="83" s="1"/>
  <c r="CR126" i="83"/>
  <c r="CS126" i="83"/>
  <c r="CT126" i="83" s="1"/>
  <c r="CW126" i="83"/>
  <c r="CX126" i="83"/>
  <c r="CY126" i="83" s="1"/>
  <c r="CR127" i="83"/>
  <c r="CS127" i="83"/>
  <c r="CT127" i="83" s="1"/>
  <c r="CW127" i="83"/>
  <c r="CX127" i="83"/>
  <c r="CY127" i="83" s="1"/>
  <c r="CR128" i="83"/>
  <c r="CS128" i="83"/>
  <c r="CT128" i="83" s="1"/>
  <c r="CW128" i="83"/>
  <c r="CX128" i="83"/>
  <c r="CY128" i="83" s="1"/>
  <c r="CR129" i="83"/>
  <c r="CS129" i="83"/>
  <c r="CT129" i="83" s="1"/>
  <c r="CW129" i="83"/>
  <c r="CX129" i="83"/>
  <c r="CY129" i="83" s="1"/>
  <c r="CR130" i="83"/>
  <c r="CS130" i="83"/>
  <c r="CT130" i="83" s="1"/>
  <c r="CW130" i="83"/>
  <c r="CX130" i="83"/>
  <c r="CY130" i="83" s="1"/>
  <c r="CR131" i="83"/>
  <c r="CS131" i="83"/>
  <c r="CT131" i="83" s="1"/>
  <c r="CW131" i="83"/>
  <c r="CX131" i="83"/>
  <c r="CY131" i="83" s="1"/>
  <c r="CR132" i="83"/>
  <c r="CS132" i="83"/>
  <c r="CT132" i="83" s="1"/>
  <c r="CW132" i="83"/>
  <c r="CX132" i="83"/>
  <c r="CY132" i="83" s="1"/>
  <c r="CR133" i="83"/>
  <c r="CS133" i="83"/>
  <c r="CT133" i="83" s="1"/>
  <c r="CW133" i="83"/>
  <c r="CX133" i="83"/>
  <c r="CY133" i="83" s="1"/>
  <c r="CR134" i="83"/>
  <c r="CS134" i="83"/>
  <c r="CT134" i="83" s="1"/>
  <c r="CW134" i="83"/>
  <c r="CX134" i="83"/>
  <c r="CY134" i="83" s="1"/>
  <c r="CR135" i="83"/>
  <c r="CS135" i="83"/>
  <c r="CT135" i="83" s="1"/>
  <c r="CW135" i="83"/>
  <c r="CX135" i="83"/>
  <c r="CY135" i="83" s="1"/>
  <c r="CR136" i="83"/>
  <c r="CS136" i="83"/>
  <c r="CT136" i="83" s="1"/>
  <c r="CW136" i="83"/>
  <c r="CX136" i="83"/>
  <c r="CY136" i="83" s="1"/>
  <c r="CR137" i="83"/>
  <c r="CS137" i="83"/>
  <c r="CT137" i="83" s="1"/>
  <c r="CW137" i="83"/>
  <c r="CX137" i="83"/>
  <c r="CY137" i="83" s="1"/>
  <c r="CR138" i="83"/>
  <c r="CS138" i="83"/>
  <c r="CT138" i="83" s="1"/>
  <c r="CW138" i="83"/>
  <c r="CX138" i="83"/>
  <c r="CY138" i="83" s="1"/>
  <c r="CR139" i="83"/>
  <c r="CS139" i="83"/>
  <c r="CT139" i="83" s="1"/>
  <c r="CW139" i="83"/>
  <c r="CX139" i="83"/>
  <c r="CY139" i="83" s="1"/>
  <c r="CR140" i="83"/>
  <c r="CS140" i="83"/>
  <c r="CT140" i="83" s="1"/>
  <c r="CW140" i="83"/>
  <c r="CX140" i="83"/>
  <c r="CY140" i="83" s="1"/>
  <c r="CR141" i="83"/>
  <c r="CS141" i="83"/>
  <c r="CT141" i="83" s="1"/>
  <c r="CW141" i="83"/>
  <c r="CX141" i="83"/>
  <c r="CY141" i="83" s="1"/>
  <c r="CR142" i="83"/>
  <c r="CS142" i="83"/>
  <c r="CT142" i="83" s="1"/>
  <c r="CW142" i="83"/>
  <c r="CX142" i="83"/>
  <c r="CY142" i="83" s="1"/>
  <c r="CR143" i="83"/>
  <c r="CS143" i="83"/>
  <c r="CT143" i="83" s="1"/>
  <c r="CW143" i="83"/>
  <c r="CX143" i="83"/>
  <c r="CY143" i="83" s="1"/>
  <c r="CR144" i="83"/>
  <c r="CS144" i="83"/>
  <c r="CT144" i="83" s="1"/>
  <c r="CW144" i="83"/>
  <c r="CX144" i="83"/>
  <c r="CY144" i="83" s="1"/>
  <c r="CR145" i="83"/>
  <c r="CS145" i="83"/>
  <c r="CT145" i="83" s="1"/>
  <c r="CW145" i="83"/>
  <c r="CX145" i="83"/>
  <c r="CY145" i="83" s="1"/>
  <c r="CR146" i="83"/>
  <c r="CS146" i="83"/>
  <c r="CT146" i="83" s="1"/>
  <c r="CW146" i="83"/>
  <c r="CX146" i="83"/>
  <c r="CY146" i="83" s="1"/>
  <c r="CR147" i="83"/>
  <c r="CS147" i="83"/>
  <c r="CT147" i="83" s="1"/>
  <c r="CW147" i="83"/>
  <c r="CX147" i="83"/>
  <c r="CY147" i="83" s="1"/>
  <c r="CR148" i="83"/>
  <c r="CS148" i="83"/>
  <c r="CT148" i="83" s="1"/>
  <c r="CW148" i="83"/>
  <c r="CX148" i="83"/>
  <c r="CY148" i="83" s="1"/>
  <c r="CR149" i="83"/>
  <c r="CS149" i="83"/>
  <c r="CT149" i="83" s="1"/>
  <c r="CW149" i="83"/>
  <c r="CX149" i="83"/>
  <c r="CY149" i="83" s="1"/>
  <c r="CR150" i="83"/>
  <c r="CS150" i="83"/>
  <c r="CT150" i="83" s="1"/>
  <c r="CW150" i="83"/>
  <c r="CX150" i="83"/>
  <c r="CY150" i="83" s="1"/>
  <c r="CR151" i="83"/>
  <c r="CS151" i="83"/>
  <c r="CT151" i="83" s="1"/>
  <c r="CW151" i="83"/>
  <c r="CX151" i="83"/>
  <c r="CY151" i="83" s="1"/>
  <c r="CR152" i="83"/>
  <c r="CS152" i="83"/>
  <c r="CT152" i="83" s="1"/>
  <c r="CW152" i="83"/>
  <c r="CX152" i="83"/>
  <c r="CY152" i="83" s="1"/>
  <c r="CR153" i="83"/>
  <c r="CS153" i="83"/>
  <c r="CT153" i="83" s="1"/>
  <c r="CW153" i="83"/>
  <c r="CX153" i="83"/>
  <c r="CY153" i="83" s="1"/>
  <c r="CR154" i="83"/>
  <c r="CS154" i="83"/>
  <c r="CT154" i="83" s="1"/>
  <c r="CW154" i="83"/>
  <c r="CX154" i="83"/>
  <c r="CY154" i="83" s="1"/>
  <c r="CR155" i="83"/>
  <c r="CS155" i="83"/>
  <c r="CT155" i="83" s="1"/>
  <c r="CW155" i="83"/>
  <c r="CX155" i="83"/>
  <c r="CY155" i="83" s="1"/>
  <c r="CR156" i="83"/>
  <c r="CS156" i="83"/>
  <c r="CT156" i="83" s="1"/>
  <c r="CW156" i="83"/>
  <c r="CX156" i="83"/>
  <c r="CY156" i="83" s="1"/>
  <c r="CR157" i="83"/>
  <c r="CS157" i="83"/>
  <c r="CT157" i="83" s="1"/>
  <c r="CW157" i="83"/>
  <c r="CX157" i="83"/>
  <c r="CY157" i="83" s="1"/>
  <c r="CR158" i="83"/>
  <c r="CS158" i="83"/>
  <c r="CT158" i="83" s="1"/>
  <c r="CW158" i="83"/>
  <c r="CX158" i="83"/>
  <c r="CY158" i="83" s="1"/>
  <c r="CR159" i="83"/>
  <c r="CS159" i="83"/>
  <c r="CT159" i="83" s="1"/>
  <c r="CW159" i="83"/>
  <c r="CX159" i="83"/>
  <c r="CY159" i="83" s="1"/>
  <c r="CR160" i="83"/>
  <c r="CS160" i="83"/>
  <c r="CT160" i="83" s="1"/>
  <c r="CW160" i="83"/>
  <c r="CX160" i="83"/>
  <c r="CY160" i="83" s="1"/>
  <c r="CR161" i="83"/>
  <c r="CS161" i="83"/>
  <c r="CT161" i="83" s="1"/>
  <c r="CW161" i="83"/>
  <c r="CX161" i="83"/>
  <c r="CY161" i="83" s="1"/>
  <c r="CR162" i="83"/>
  <c r="CS162" i="83"/>
  <c r="CT162" i="83" s="1"/>
  <c r="CW162" i="83"/>
  <c r="CX162" i="83"/>
  <c r="CY162" i="83" s="1"/>
  <c r="CR163" i="83"/>
  <c r="CS163" i="83"/>
  <c r="CT163" i="83" s="1"/>
  <c r="CW163" i="83"/>
  <c r="CX163" i="83"/>
  <c r="CY163" i="83" s="1"/>
  <c r="CR164" i="83"/>
  <c r="CS164" i="83"/>
  <c r="CT164" i="83" s="1"/>
  <c r="CW164" i="83"/>
  <c r="CX164" i="83"/>
  <c r="CY164" i="83" s="1"/>
  <c r="CR165" i="83"/>
  <c r="CS165" i="83"/>
  <c r="CT165" i="83" s="1"/>
  <c r="CW165" i="83"/>
  <c r="CX165" i="83"/>
  <c r="CY165" i="83" s="1"/>
  <c r="CR166" i="83"/>
  <c r="CS166" i="83"/>
  <c r="CT166" i="83" s="1"/>
  <c r="CW166" i="83"/>
  <c r="CX166" i="83"/>
  <c r="CY166" i="83" s="1"/>
  <c r="CR167" i="83"/>
  <c r="CS167" i="83"/>
  <c r="CT167" i="83" s="1"/>
  <c r="CW167" i="83"/>
  <c r="CX167" i="83"/>
  <c r="CY167" i="83" s="1"/>
  <c r="CR168" i="83"/>
  <c r="CS168" i="83"/>
  <c r="CT168" i="83" s="1"/>
  <c r="CW168" i="83"/>
  <c r="CX168" i="83"/>
  <c r="CY168" i="83" s="1"/>
  <c r="CR169" i="83"/>
  <c r="CS169" i="83"/>
  <c r="CT169" i="83" s="1"/>
  <c r="CW169" i="83"/>
  <c r="CX169" i="83"/>
  <c r="CY169" i="83" s="1"/>
  <c r="CR170" i="83"/>
  <c r="CS170" i="83"/>
  <c r="CT170" i="83" s="1"/>
  <c r="CW170" i="83"/>
  <c r="CX170" i="83"/>
  <c r="CY170" i="83" s="1"/>
  <c r="CR171" i="83"/>
  <c r="CS171" i="83"/>
  <c r="CT171" i="83" s="1"/>
  <c r="CW171" i="83"/>
  <c r="CX171" i="83"/>
  <c r="CY171" i="83" s="1"/>
  <c r="CR172" i="83"/>
  <c r="CS172" i="83"/>
  <c r="CT172" i="83" s="1"/>
  <c r="CW172" i="83"/>
  <c r="CX172" i="83"/>
  <c r="CY172" i="83" s="1"/>
  <c r="CR173" i="83"/>
  <c r="CS173" i="83"/>
  <c r="CT173" i="83" s="1"/>
  <c r="CW173" i="83"/>
  <c r="CX173" i="83"/>
  <c r="CY173" i="83" s="1"/>
  <c r="CR174" i="83"/>
  <c r="CS174" i="83"/>
  <c r="CT174" i="83" s="1"/>
  <c r="CW174" i="83"/>
  <c r="CX174" i="83"/>
  <c r="CY174" i="83" s="1"/>
  <c r="CR175" i="83"/>
  <c r="CS175" i="83"/>
  <c r="CT175" i="83" s="1"/>
  <c r="CW175" i="83"/>
  <c r="CX175" i="83"/>
  <c r="CY175" i="83" s="1"/>
  <c r="CR176" i="83"/>
  <c r="CS176" i="83"/>
  <c r="CT176" i="83" s="1"/>
  <c r="CW176" i="83"/>
  <c r="CX176" i="83"/>
  <c r="CY176" i="83" s="1"/>
  <c r="CR177" i="83"/>
  <c r="CS177" i="83"/>
  <c r="CT177" i="83" s="1"/>
  <c r="CW177" i="83"/>
  <c r="CX177" i="83"/>
  <c r="CY177" i="83" s="1"/>
  <c r="CR178" i="83"/>
  <c r="CS178" i="83"/>
  <c r="CT178" i="83" s="1"/>
  <c r="CW178" i="83"/>
  <c r="CX178" i="83"/>
  <c r="CY178" i="83" s="1"/>
  <c r="CR179" i="83"/>
  <c r="CS179" i="83"/>
  <c r="CT179" i="83" s="1"/>
  <c r="CW179" i="83"/>
  <c r="CX179" i="83"/>
  <c r="CY179" i="83" s="1"/>
  <c r="CR180" i="83"/>
  <c r="CS180" i="83"/>
  <c r="CT180" i="83" s="1"/>
  <c r="CW180" i="83"/>
  <c r="CX180" i="83"/>
  <c r="CY180" i="83" s="1"/>
  <c r="CR181" i="83"/>
  <c r="CS181" i="83"/>
  <c r="CT181" i="83" s="1"/>
  <c r="CW181" i="83"/>
  <c r="CX181" i="83"/>
  <c r="CY181" i="83" s="1"/>
  <c r="CR182" i="83"/>
  <c r="CS182" i="83"/>
  <c r="CT182" i="83" s="1"/>
  <c r="CW182" i="83"/>
  <c r="CX182" i="83"/>
  <c r="CY182" i="83" s="1"/>
  <c r="CR183" i="83"/>
  <c r="CS183" i="83"/>
  <c r="CT183" i="83" s="1"/>
  <c r="CW183" i="83"/>
  <c r="CX183" i="83"/>
  <c r="CY183" i="83" s="1"/>
  <c r="CR184" i="83"/>
  <c r="CS184" i="83"/>
  <c r="CT184" i="83" s="1"/>
  <c r="CW184" i="83"/>
  <c r="CX184" i="83"/>
  <c r="CY184" i="83" s="1"/>
  <c r="CR185" i="83"/>
  <c r="CS185" i="83"/>
  <c r="CT185" i="83" s="1"/>
  <c r="CW185" i="83"/>
  <c r="CX185" i="83"/>
  <c r="CY185" i="83" s="1"/>
  <c r="CR186" i="83"/>
  <c r="CS186" i="83"/>
  <c r="CT186" i="83" s="1"/>
  <c r="CW186" i="83"/>
  <c r="CX186" i="83"/>
  <c r="CY186" i="83" s="1"/>
  <c r="CR187" i="83"/>
  <c r="CS187" i="83"/>
  <c r="CT187" i="83" s="1"/>
  <c r="CW187" i="83"/>
  <c r="CX187" i="83"/>
  <c r="CY187" i="83" s="1"/>
  <c r="CR188" i="83"/>
  <c r="CS188" i="83"/>
  <c r="CT188" i="83" s="1"/>
  <c r="CW188" i="83"/>
  <c r="CX188" i="83"/>
  <c r="CY188" i="83" s="1"/>
  <c r="CR189" i="83"/>
  <c r="CS189" i="83"/>
  <c r="CT189" i="83" s="1"/>
  <c r="CW189" i="83"/>
  <c r="CX189" i="83"/>
  <c r="CY189" i="83" s="1"/>
  <c r="CR190" i="83"/>
  <c r="CS190" i="83"/>
  <c r="CT190" i="83" s="1"/>
  <c r="CW190" i="83"/>
  <c r="CX190" i="83"/>
  <c r="CY190" i="83" s="1"/>
  <c r="CR191" i="83"/>
  <c r="CS191" i="83"/>
  <c r="CT191" i="83" s="1"/>
  <c r="CW191" i="83"/>
  <c r="CX191" i="83"/>
  <c r="CY191" i="83" s="1"/>
  <c r="CR192" i="83"/>
  <c r="CS192" i="83"/>
  <c r="CT192" i="83" s="1"/>
  <c r="CW192" i="83"/>
  <c r="CX192" i="83"/>
  <c r="CY192" i="83" s="1"/>
  <c r="CR193" i="83"/>
  <c r="CS193" i="83"/>
  <c r="CT193" i="83" s="1"/>
  <c r="CW193" i="83"/>
  <c r="CX193" i="83"/>
  <c r="CY193" i="83" s="1"/>
  <c r="CR194" i="83"/>
  <c r="CS194" i="83"/>
  <c r="CT194" i="83" s="1"/>
  <c r="CW194" i="83"/>
  <c r="CX194" i="83"/>
  <c r="CY194" i="83" s="1"/>
  <c r="CR195" i="83"/>
  <c r="CS195" i="83"/>
  <c r="CT195" i="83" s="1"/>
  <c r="CW195" i="83"/>
  <c r="CX195" i="83"/>
  <c r="CY195" i="83" s="1"/>
  <c r="CR196" i="83"/>
  <c r="CS196" i="83"/>
  <c r="CT196" i="83" s="1"/>
  <c r="CW196" i="83"/>
  <c r="CX196" i="83"/>
  <c r="CY196" i="83" s="1"/>
  <c r="CR197" i="83"/>
  <c r="CS197" i="83"/>
  <c r="CT197" i="83" s="1"/>
  <c r="CW197" i="83"/>
  <c r="CX197" i="83"/>
  <c r="CY197" i="83" s="1"/>
  <c r="CR198" i="83"/>
  <c r="CS198" i="83"/>
  <c r="CT198" i="83" s="1"/>
  <c r="CW198" i="83"/>
  <c r="CX198" i="83"/>
  <c r="CY198" i="83" s="1"/>
  <c r="CR199" i="83"/>
  <c r="CS199" i="83"/>
  <c r="CT199" i="83" s="1"/>
  <c r="CW199" i="83"/>
  <c r="CX199" i="83"/>
  <c r="CY199" i="83" s="1"/>
  <c r="CR200" i="83"/>
  <c r="CS200" i="83"/>
  <c r="CT200" i="83" s="1"/>
  <c r="CW200" i="83"/>
  <c r="CX200" i="83"/>
  <c r="CY200" i="83" s="1"/>
  <c r="CR201" i="83"/>
  <c r="CS201" i="83"/>
  <c r="CT201" i="83" s="1"/>
  <c r="CW201" i="83"/>
  <c r="CX201" i="83"/>
  <c r="CY201" i="83" s="1"/>
  <c r="CR202" i="83"/>
  <c r="CS202" i="83"/>
  <c r="CT202" i="83" s="1"/>
  <c r="CW202" i="83"/>
  <c r="CX202" i="83"/>
  <c r="CY202" i="83" s="1"/>
  <c r="CR203" i="83"/>
  <c r="CS203" i="83"/>
  <c r="CT203" i="83" s="1"/>
  <c r="CW203" i="83"/>
  <c r="CX203" i="83"/>
  <c r="CY203" i="83" s="1"/>
  <c r="CR204" i="83"/>
  <c r="CS204" i="83"/>
  <c r="CT204" i="83" s="1"/>
  <c r="CW204" i="83"/>
  <c r="CX204" i="83"/>
  <c r="CY204" i="83" s="1"/>
  <c r="CR205" i="83"/>
  <c r="CS205" i="83"/>
  <c r="CT205" i="83" s="1"/>
  <c r="CW205" i="83"/>
  <c r="CX205" i="83"/>
  <c r="CY205" i="83" s="1"/>
  <c r="CR206" i="83"/>
  <c r="CS206" i="83"/>
  <c r="CT206" i="83" s="1"/>
  <c r="CW206" i="83"/>
  <c r="CX206" i="83"/>
  <c r="CY206" i="83" s="1"/>
  <c r="CR207" i="83"/>
  <c r="CS207" i="83"/>
  <c r="CT207" i="83" s="1"/>
  <c r="CW207" i="83"/>
  <c r="CX207" i="83"/>
  <c r="CY207" i="83" s="1"/>
  <c r="CR208" i="83"/>
  <c r="CS208" i="83"/>
  <c r="CT208" i="83" s="1"/>
  <c r="CW208" i="83"/>
  <c r="CX208" i="83"/>
  <c r="CY208" i="83" s="1"/>
  <c r="CR209" i="83"/>
  <c r="CS209" i="83"/>
  <c r="CT209" i="83" s="1"/>
  <c r="CW209" i="83"/>
  <c r="CX209" i="83"/>
  <c r="CY209" i="83" s="1"/>
  <c r="CR210" i="83"/>
  <c r="CS210" i="83"/>
  <c r="CT210" i="83" s="1"/>
  <c r="CW210" i="83"/>
  <c r="CX210" i="83"/>
  <c r="CY210" i="83" s="1"/>
  <c r="CR211" i="83"/>
  <c r="CS211" i="83"/>
  <c r="CT211" i="83" s="1"/>
  <c r="CW211" i="83"/>
  <c r="CX211" i="83"/>
  <c r="CY211" i="83" s="1"/>
  <c r="CR212" i="83"/>
  <c r="CS212" i="83"/>
  <c r="CT212" i="83" s="1"/>
  <c r="CW212" i="83"/>
  <c r="CX212" i="83"/>
  <c r="CY212" i="83" s="1"/>
  <c r="CR213" i="83"/>
  <c r="CS213" i="83"/>
  <c r="CT213" i="83" s="1"/>
  <c r="CW213" i="83"/>
  <c r="CX213" i="83"/>
  <c r="CY213" i="83" s="1"/>
  <c r="CR214" i="83"/>
  <c r="CS214" i="83"/>
  <c r="CT214" i="83" s="1"/>
  <c r="CW214" i="83"/>
  <c r="CX214" i="83"/>
  <c r="CY214" i="83" s="1"/>
  <c r="CR215" i="83"/>
  <c r="CS215" i="83"/>
  <c r="CT215" i="83" s="1"/>
  <c r="CW215" i="83"/>
  <c r="CX215" i="83"/>
  <c r="CY215" i="83" s="1"/>
  <c r="CR216" i="83"/>
  <c r="CS216" i="83"/>
  <c r="CT216" i="83" s="1"/>
  <c r="CW216" i="83"/>
  <c r="CX216" i="83"/>
  <c r="CY216" i="83" s="1"/>
  <c r="CR217" i="83"/>
  <c r="CS217" i="83"/>
  <c r="CT217" i="83" s="1"/>
  <c r="CW217" i="83"/>
  <c r="CX217" i="83"/>
  <c r="CY217" i="83" s="1"/>
  <c r="CR218" i="83"/>
  <c r="CS218" i="83"/>
  <c r="CT218" i="83" s="1"/>
  <c r="CW218" i="83"/>
  <c r="CX218" i="83"/>
  <c r="CY218" i="83" s="1"/>
  <c r="CR219" i="83"/>
  <c r="CS219" i="83"/>
  <c r="CT219" i="83" s="1"/>
  <c r="CW219" i="83"/>
  <c r="CX219" i="83"/>
  <c r="CY219" i="83" s="1"/>
  <c r="CR220" i="83"/>
  <c r="CS220" i="83"/>
  <c r="CT220" i="83" s="1"/>
  <c r="CW220" i="83"/>
  <c r="CX220" i="83"/>
  <c r="CY220" i="83" s="1"/>
  <c r="CR221" i="83"/>
  <c r="CS221" i="83"/>
  <c r="CT221" i="83" s="1"/>
  <c r="CW221" i="83"/>
  <c r="CX221" i="83"/>
  <c r="CY221" i="83" s="1"/>
  <c r="CR222" i="83"/>
  <c r="CS222" i="83"/>
  <c r="CT222" i="83" s="1"/>
  <c r="CW222" i="83"/>
  <c r="CX222" i="83"/>
  <c r="CY222" i="83" s="1"/>
  <c r="CR223" i="83"/>
  <c r="CS223" i="83"/>
  <c r="CT223" i="83" s="1"/>
  <c r="CW223" i="83"/>
  <c r="CX223" i="83"/>
  <c r="CY223" i="83" s="1"/>
  <c r="CR224" i="83"/>
  <c r="CS224" i="83"/>
  <c r="CT224" i="83" s="1"/>
  <c r="CW224" i="83"/>
  <c r="CX224" i="83"/>
  <c r="CY224" i="83" s="1"/>
  <c r="CR225" i="83"/>
  <c r="CS225" i="83"/>
  <c r="CT225" i="83" s="1"/>
  <c r="CW225" i="83"/>
  <c r="CX225" i="83"/>
  <c r="CY225" i="83" s="1"/>
  <c r="CR226" i="83"/>
  <c r="CS226" i="83"/>
  <c r="CT226" i="83" s="1"/>
  <c r="CW226" i="83"/>
  <c r="CX226" i="83"/>
  <c r="CY226" i="83" s="1"/>
  <c r="CR227" i="83"/>
  <c r="CS227" i="83"/>
  <c r="CT227" i="83" s="1"/>
  <c r="CW227" i="83"/>
  <c r="CX227" i="83"/>
  <c r="CY227" i="83" s="1"/>
  <c r="CR228" i="83"/>
  <c r="CS228" i="83"/>
  <c r="CT228" i="83" s="1"/>
  <c r="CW228" i="83"/>
  <c r="CX228" i="83"/>
  <c r="CY228" i="83" s="1"/>
  <c r="CR229" i="83"/>
  <c r="CS229" i="83"/>
  <c r="CT229" i="83" s="1"/>
  <c r="CW229" i="83"/>
  <c r="CX229" i="83"/>
  <c r="CY229" i="83" s="1"/>
  <c r="CR230" i="83"/>
  <c r="CS230" i="83"/>
  <c r="CT230" i="83" s="1"/>
  <c r="CW230" i="83"/>
  <c r="CX230" i="83"/>
  <c r="CY230" i="83" s="1"/>
  <c r="CR231" i="83"/>
  <c r="CS231" i="83"/>
  <c r="CT231" i="83" s="1"/>
  <c r="CW231" i="83"/>
  <c r="CX231" i="83"/>
  <c r="CY231" i="83" s="1"/>
  <c r="CR232" i="83"/>
  <c r="CS232" i="83"/>
  <c r="CT232" i="83" s="1"/>
  <c r="CW232" i="83"/>
  <c r="CX232" i="83"/>
  <c r="CY232" i="83" s="1"/>
  <c r="CR233" i="83"/>
  <c r="CS233" i="83"/>
  <c r="CT233" i="83" s="1"/>
  <c r="CW233" i="83"/>
  <c r="CX233" i="83"/>
  <c r="CY233" i="83" s="1"/>
  <c r="CR234" i="83"/>
  <c r="CS234" i="83"/>
  <c r="CT234" i="83" s="1"/>
  <c r="CW234" i="83"/>
  <c r="CX234" i="83"/>
  <c r="CY234" i="83" s="1"/>
  <c r="CR235" i="83"/>
  <c r="CS235" i="83"/>
  <c r="CT235" i="83" s="1"/>
  <c r="CW235" i="83"/>
  <c r="CX235" i="83"/>
  <c r="CY235" i="83" s="1"/>
  <c r="CR236" i="83"/>
  <c r="CS236" i="83"/>
  <c r="CT236" i="83" s="1"/>
  <c r="CW236" i="83"/>
  <c r="CX236" i="83"/>
  <c r="CY236" i="83" s="1"/>
  <c r="CR237" i="83"/>
  <c r="CS237" i="83"/>
  <c r="CT237" i="83" s="1"/>
  <c r="CW237" i="83"/>
  <c r="CX237" i="83"/>
  <c r="CY237" i="83" s="1"/>
  <c r="CR238" i="83"/>
  <c r="CS238" i="83"/>
  <c r="CT238" i="83" s="1"/>
  <c r="CW238" i="83"/>
  <c r="CX238" i="83"/>
  <c r="CY238" i="83" s="1"/>
  <c r="CR239" i="83"/>
  <c r="CS239" i="83"/>
  <c r="CT239" i="83" s="1"/>
  <c r="CW239" i="83"/>
  <c r="CX239" i="83"/>
  <c r="CY239" i="83" s="1"/>
  <c r="CR240" i="83"/>
  <c r="CS240" i="83"/>
  <c r="CT240" i="83" s="1"/>
  <c r="CW240" i="83"/>
  <c r="CX240" i="83"/>
  <c r="CY240" i="83" s="1"/>
  <c r="CR241" i="83"/>
  <c r="CS241" i="83"/>
  <c r="CT241" i="83" s="1"/>
  <c r="CW241" i="83"/>
  <c r="CX241" i="83"/>
  <c r="CY241" i="83" s="1"/>
  <c r="CR242" i="83"/>
  <c r="CS242" i="83"/>
  <c r="CT242" i="83" s="1"/>
  <c r="CW242" i="83"/>
  <c r="CX242" i="83"/>
  <c r="CY242" i="83" s="1"/>
  <c r="CR243" i="83"/>
  <c r="CS243" i="83"/>
  <c r="CT243" i="83" s="1"/>
  <c r="CW243" i="83"/>
  <c r="CX243" i="83"/>
  <c r="CY243" i="83" s="1"/>
  <c r="CR244" i="83"/>
  <c r="CS244" i="83"/>
  <c r="CT244" i="83" s="1"/>
  <c r="CW244" i="83"/>
  <c r="CX244" i="83"/>
  <c r="CY244" i="83" s="1"/>
  <c r="CR245" i="83"/>
  <c r="CS245" i="83"/>
  <c r="CT245" i="83" s="1"/>
  <c r="CW245" i="83"/>
  <c r="CX245" i="83"/>
  <c r="CY245" i="83" s="1"/>
  <c r="CR246" i="83"/>
  <c r="CS246" i="83"/>
  <c r="CT246" i="83" s="1"/>
  <c r="CW246" i="83"/>
  <c r="CX246" i="83"/>
  <c r="CY246" i="83" s="1"/>
  <c r="CR247" i="83"/>
  <c r="CS247" i="83"/>
  <c r="CT247" i="83" s="1"/>
  <c r="CW247" i="83"/>
  <c r="CX247" i="83"/>
  <c r="CY247" i="83" s="1"/>
  <c r="CR248" i="83"/>
  <c r="CS248" i="83"/>
  <c r="CT248" i="83" s="1"/>
  <c r="CW248" i="83"/>
  <c r="CX248" i="83"/>
  <c r="CY248" i="83" s="1"/>
  <c r="CR249" i="83"/>
  <c r="CS249" i="83"/>
  <c r="CT249" i="83" s="1"/>
  <c r="CW249" i="83"/>
  <c r="CX249" i="83"/>
  <c r="CY249" i="83" s="1"/>
  <c r="CR250" i="83"/>
  <c r="CS250" i="83"/>
  <c r="CT250" i="83" s="1"/>
  <c r="CW250" i="83"/>
  <c r="CX250" i="83"/>
  <c r="CY250" i="83" s="1"/>
  <c r="CR251" i="83"/>
  <c r="CS251" i="83"/>
  <c r="CT251" i="83" s="1"/>
  <c r="CW251" i="83"/>
  <c r="CX251" i="83"/>
  <c r="CY251" i="83" s="1"/>
  <c r="CR252" i="83"/>
  <c r="CS252" i="83"/>
  <c r="CT252" i="83" s="1"/>
  <c r="CW252" i="83"/>
  <c r="CX252" i="83"/>
  <c r="CY252" i="83" s="1"/>
  <c r="CR253" i="83"/>
  <c r="CS253" i="83"/>
  <c r="CT253" i="83" s="1"/>
  <c r="CW253" i="83"/>
  <c r="CX253" i="83"/>
  <c r="CY253" i="83" s="1"/>
  <c r="CR254" i="83"/>
  <c r="CS254" i="83"/>
  <c r="CT254" i="83" s="1"/>
  <c r="CW254" i="83"/>
  <c r="CX254" i="83"/>
  <c r="CY254" i="83" s="1"/>
  <c r="CR255" i="83"/>
  <c r="CS255" i="83"/>
  <c r="CT255" i="83" s="1"/>
  <c r="CW255" i="83"/>
  <c r="CX255" i="83"/>
  <c r="CY255" i="83" s="1"/>
  <c r="CR256" i="83"/>
  <c r="CS256" i="83"/>
  <c r="CT256" i="83" s="1"/>
  <c r="CW256" i="83"/>
  <c r="CX256" i="83"/>
  <c r="CY256" i="83" s="1"/>
  <c r="CR257" i="83"/>
  <c r="CS257" i="83"/>
  <c r="CT257" i="83" s="1"/>
  <c r="CW257" i="83"/>
  <c r="CX257" i="83"/>
  <c r="CY257" i="83" s="1"/>
  <c r="CR258" i="83"/>
  <c r="CS258" i="83"/>
  <c r="CT258" i="83" s="1"/>
  <c r="CW258" i="83"/>
  <c r="CX258" i="83"/>
  <c r="CY258" i="83" s="1"/>
  <c r="CR259" i="83"/>
  <c r="CS259" i="83"/>
  <c r="CT259" i="83" s="1"/>
  <c r="CW259" i="83"/>
  <c r="CX259" i="83"/>
  <c r="CY259" i="83" s="1"/>
  <c r="CR260" i="83"/>
  <c r="CS260" i="83"/>
  <c r="CT260" i="83" s="1"/>
  <c r="CW260" i="83"/>
  <c r="CX260" i="83"/>
  <c r="CY260" i="83" s="1"/>
  <c r="CR261" i="83"/>
  <c r="CS261" i="83"/>
  <c r="CT261" i="83" s="1"/>
  <c r="CW261" i="83"/>
  <c r="CX261" i="83"/>
  <c r="CY261" i="83" s="1"/>
  <c r="CR262" i="83"/>
  <c r="CS262" i="83"/>
  <c r="CT262" i="83" s="1"/>
  <c r="CW262" i="83"/>
  <c r="CX262" i="83"/>
  <c r="CY262" i="83" s="1"/>
  <c r="CR263" i="83"/>
  <c r="CS263" i="83"/>
  <c r="CT263" i="83" s="1"/>
  <c r="CW263" i="83"/>
  <c r="CX263" i="83"/>
  <c r="CY263" i="83" s="1"/>
  <c r="CR264" i="83"/>
  <c r="CS264" i="83"/>
  <c r="CT264" i="83" s="1"/>
  <c r="CW264" i="83"/>
  <c r="CX264" i="83"/>
  <c r="CY264" i="83" s="1"/>
  <c r="CR265" i="83"/>
  <c r="CS265" i="83"/>
  <c r="CT265" i="83" s="1"/>
  <c r="CW265" i="83"/>
  <c r="CX265" i="83"/>
  <c r="CY265" i="83" s="1"/>
  <c r="CR266" i="83"/>
  <c r="CS266" i="83"/>
  <c r="CT266" i="83" s="1"/>
  <c r="CW266" i="83"/>
  <c r="CX266" i="83"/>
  <c r="CY266" i="83" s="1"/>
  <c r="CR267" i="83"/>
  <c r="CS267" i="83"/>
  <c r="CT267" i="83" s="1"/>
  <c r="CW267" i="83"/>
  <c r="CX267" i="83"/>
  <c r="CY267" i="83" s="1"/>
  <c r="CR268" i="83"/>
  <c r="CS268" i="83"/>
  <c r="CT268" i="83" s="1"/>
  <c r="CW268" i="83"/>
  <c r="CX268" i="83"/>
  <c r="CY268" i="83" s="1"/>
  <c r="CR269" i="83"/>
  <c r="CS269" i="83"/>
  <c r="CT269" i="83" s="1"/>
  <c r="CW269" i="83"/>
  <c r="CX269" i="83"/>
  <c r="CY269" i="83" s="1"/>
  <c r="CR270" i="83"/>
  <c r="CS270" i="83"/>
  <c r="CT270" i="83" s="1"/>
  <c r="CW270" i="83"/>
  <c r="CX270" i="83"/>
  <c r="CY270" i="83" s="1"/>
  <c r="CR271" i="83"/>
  <c r="CS271" i="83"/>
  <c r="CT271" i="83" s="1"/>
  <c r="CW271" i="83"/>
  <c r="CX271" i="83"/>
  <c r="CY271" i="83" s="1"/>
  <c r="CR272" i="83"/>
  <c r="CS272" i="83"/>
  <c r="CT272" i="83" s="1"/>
  <c r="CW272" i="83"/>
  <c r="CX272" i="83"/>
  <c r="CY272" i="83" s="1"/>
  <c r="CR273" i="83"/>
  <c r="CS273" i="83"/>
  <c r="CT273" i="83" s="1"/>
  <c r="CW273" i="83"/>
  <c r="CX273" i="83"/>
  <c r="CY273" i="83" s="1"/>
  <c r="CR274" i="83"/>
  <c r="CS274" i="83"/>
  <c r="CT274" i="83" s="1"/>
  <c r="CW274" i="83"/>
  <c r="CX274" i="83"/>
  <c r="CY274" i="83" s="1"/>
  <c r="CR275" i="83"/>
  <c r="CS275" i="83"/>
  <c r="CT275" i="83" s="1"/>
  <c r="CW275" i="83"/>
  <c r="CX275" i="83"/>
  <c r="CY275" i="83" s="1"/>
  <c r="CR276" i="83"/>
  <c r="CS276" i="83"/>
  <c r="CT276" i="83" s="1"/>
  <c r="CW276" i="83"/>
  <c r="CX276" i="83"/>
  <c r="CY276" i="83" s="1"/>
  <c r="CR277" i="83"/>
  <c r="CS277" i="83"/>
  <c r="CT277" i="83" s="1"/>
  <c r="CW277" i="83"/>
  <c r="CX277" i="83"/>
  <c r="CY277" i="83" s="1"/>
  <c r="CR278" i="83"/>
  <c r="CS278" i="83"/>
  <c r="CT278" i="83" s="1"/>
  <c r="CW278" i="83"/>
  <c r="CX278" i="83"/>
  <c r="CY278" i="83" s="1"/>
  <c r="CR279" i="83"/>
  <c r="CS279" i="83"/>
  <c r="CT279" i="83" s="1"/>
  <c r="CW279" i="83"/>
  <c r="CX279" i="83"/>
  <c r="CY279" i="83" s="1"/>
  <c r="CR280" i="83"/>
  <c r="CS280" i="83"/>
  <c r="CT280" i="83" s="1"/>
  <c r="CW280" i="83"/>
  <c r="CX280" i="83"/>
  <c r="CY280" i="83" s="1"/>
  <c r="CR281" i="83"/>
  <c r="CS281" i="83"/>
  <c r="CT281" i="83" s="1"/>
  <c r="CW281" i="83"/>
  <c r="CX281" i="83"/>
  <c r="CY281" i="83" s="1"/>
  <c r="CR282" i="83"/>
  <c r="CS282" i="83"/>
  <c r="CT282" i="83" s="1"/>
  <c r="CW282" i="83"/>
  <c r="CX282" i="83"/>
  <c r="CY282" i="83" s="1"/>
  <c r="CR283" i="83"/>
  <c r="CS283" i="83"/>
  <c r="CT283" i="83" s="1"/>
  <c r="CW283" i="83"/>
  <c r="CX283" i="83"/>
  <c r="CY283" i="83" s="1"/>
  <c r="CR284" i="83"/>
  <c r="CS284" i="83"/>
  <c r="CT284" i="83" s="1"/>
  <c r="CW284" i="83"/>
  <c r="CX284" i="83"/>
  <c r="CY284" i="83" s="1"/>
  <c r="CR285" i="83"/>
  <c r="CS285" i="83"/>
  <c r="CT285" i="83" s="1"/>
  <c r="CW285" i="83"/>
  <c r="CX285" i="83"/>
  <c r="CY285" i="83" s="1"/>
  <c r="CR286" i="83"/>
  <c r="CS286" i="83"/>
  <c r="CT286" i="83" s="1"/>
  <c r="CW286" i="83"/>
  <c r="CX286" i="83"/>
  <c r="CY286" i="83" s="1"/>
  <c r="CR287" i="83"/>
  <c r="CS287" i="83"/>
  <c r="CT287" i="83" s="1"/>
  <c r="CW287" i="83"/>
  <c r="CX287" i="83"/>
  <c r="CY287" i="83" s="1"/>
  <c r="CR288" i="83"/>
  <c r="CS288" i="83"/>
  <c r="CT288" i="83" s="1"/>
  <c r="CW288" i="83"/>
  <c r="CX288" i="83"/>
  <c r="CY288" i="83" s="1"/>
  <c r="CR289" i="83"/>
  <c r="CS289" i="83"/>
  <c r="CT289" i="83" s="1"/>
  <c r="CW289" i="83"/>
  <c r="CX289" i="83"/>
  <c r="CY289" i="83" s="1"/>
  <c r="CR290" i="83"/>
  <c r="CS290" i="83"/>
  <c r="CT290" i="83" s="1"/>
  <c r="CW290" i="83"/>
  <c r="CX290" i="83"/>
  <c r="CY290" i="83" s="1"/>
  <c r="CR291" i="83"/>
  <c r="CS291" i="83"/>
  <c r="CT291" i="83" s="1"/>
  <c r="CW291" i="83"/>
  <c r="CX291" i="83"/>
  <c r="CY291" i="83" s="1"/>
  <c r="CR292" i="83"/>
  <c r="CS292" i="83"/>
  <c r="CT292" i="83" s="1"/>
  <c r="CW292" i="83"/>
  <c r="CX292" i="83"/>
  <c r="CY292" i="83" s="1"/>
  <c r="CR293" i="83"/>
  <c r="CS293" i="83"/>
  <c r="CT293" i="83" s="1"/>
  <c r="CW293" i="83"/>
  <c r="CX293" i="83"/>
  <c r="CY293" i="83" s="1"/>
  <c r="CR294" i="83"/>
  <c r="CS294" i="83"/>
  <c r="CT294" i="83" s="1"/>
  <c r="CW294" i="83"/>
  <c r="CX294" i="83"/>
  <c r="CY294" i="83" s="1"/>
  <c r="CR295" i="83"/>
  <c r="CS295" i="83"/>
  <c r="CT295" i="83" s="1"/>
  <c r="CW295" i="83"/>
  <c r="CX295" i="83"/>
  <c r="CY295" i="83" s="1"/>
  <c r="CR296" i="83"/>
  <c r="CS296" i="83"/>
  <c r="CT296" i="83" s="1"/>
  <c r="CW296" i="83"/>
  <c r="CX296" i="83"/>
  <c r="CY296" i="83" s="1"/>
  <c r="CR297" i="83"/>
  <c r="CS297" i="83"/>
  <c r="CT297" i="83" s="1"/>
  <c r="CW297" i="83"/>
  <c r="CX297" i="83"/>
  <c r="CY297" i="83" s="1"/>
  <c r="CR298" i="83"/>
  <c r="CS298" i="83"/>
  <c r="CT298" i="83" s="1"/>
  <c r="CW298" i="83"/>
  <c r="CX298" i="83"/>
  <c r="CY298" i="83" s="1"/>
  <c r="CR299" i="83"/>
  <c r="CS299" i="83"/>
  <c r="CT299" i="83" s="1"/>
  <c r="CW299" i="83"/>
  <c r="CX299" i="83"/>
  <c r="CY299" i="83" s="1"/>
  <c r="CR300" i="83"/>
  <c r="CS300" i="83"/>
  <c r="CT300" i="83" s="1"/>
  <c r="CW300" i="83"/>
  <c r="CX300" i="83"/>
  <c r="CY300" i="83" s="1"/>
  <c r="CR301" i="83"/>
  <c r="CS301" i="83"/>
  <c r="CT301" i="83" s="1"/>
  <c r="CW301" i="83"/>
  <c r="CX301" i="83"/>
  <c r="CY301" i="83" s="1"/>
  <c r="CR302" i="83"/>
  <c r="CS302" i="83"/>
  <c r="CT302" i="83" s="1"/>
  <c r="CW302" i="83"/>
  <c r="CX302" i="83"/>
  <c r="CY302" i="83" s="1"/>
  <c r="CR303" i="83"/>
  <c r="CS303" i="83"/>
  <c r="CT303" i="83" s="1"/>
  <c r="CW303" i="83"/>
  <c r="CX303" i="83"/>
  <c r="CY303" i="83" s="1"/>
  <c r="CR304" i="83"/>
  <c r="CS304" i="83"/>
  <c r="CT304" i="83" s="1"/>
  <c r="CW304" i="83"/>
  <c r="CX304" i="83"/>
  <c r="CY304" i="83" s="1"/>
  <c r="CR305" i="83"/>
  <c r="CS305" i="83"/>
  <c r="CT305" i="83" s="1"/>
  <c r="CW305" i="83"/>
  <c r="CX305" i="83"/>
  <c r="CY305" i="83" s="1"/>
  <c r="CR306" i="83"/>
  <c r="CS306" i="83"/>
  <c r="CT306" i="83" s="1"/>
  <c r="CW306" i="83"/>
  <c r="CX306" i="83"/>
  <c r="CY306" i="83" s="1"/>
  <c r="CR307" i="83"/>
  <c r="CS307" i="83"/>
  <c r="CT307" i="83" s="1"/>
  <c r="CW307" i="83"/>
  <c r="CX307" i="83"/>
  <c r="CY307" i="83" s="1"/>
  <c r="CR308" i="83"/>
  <c r="CS308" i="83"/>
  <c r="CT308" i="83" s="1"/>
  <c r="CW308" i="83"/>
  <c r="CX308" i="83"/>
  <c r="CY308" i="83" s="1"/>
  <c r="CR309" i="83"/>
  <c r="CS309" i="83"/>
  <c r="CT309" i="83" s="1"/>
  <c r="CW309" i="83"/>
  <c r="CX309" i="83"/>
  <c r="CY309" i="83" s="1"/>
  <c r="CR310" i="83"/>
  <c r="CS310" i="83"/>
  <c r="CT310" i="83" s="1"/>
  <c r="CW310" i="83"/>
  <c r="CX310" i="83"/>
  <c r="CY310" i="83" s="1"/>
  <c r="CR311" i="83"/>
  <c r="CS311" i="83"/>
  <c r="CT311" i="83" s="1"/>
  <c r="CW311" i="83"/>
  <c r="CX311" i="83"/>
  <c r="CY311" i="83" s="1"/>
  <c r="CR312" i="83"/>
  <c r="CS312" i="83"/>
  <c r="CT312" i="83" s="1"/>
  <c r="CW312" i="83"/>
  <c r="CX312" i="83"/>
  <c r="CY312" i="83" s="1"/>
  <c r="CR313" i="83"/>
  <c r="CS313" i="83"/>
  <c r="CT313" i="83" s="1"/>
  <c r="CW313" i="83"/>
  <c r="CX313" i="83"/>
  <c r="CY313" i="83" s="1"/>
  <c r="CR314" i="83"/>
  <c r="CS314" i="83"/>
  <c r="CT314" i="83" s="1"/>
  <c r="CW314" i="83"/>
  <c r="CX314" i="83"/>
  <c r="CY314" i="83" s="1"/>
  <c r="CR315" i="83"/>
  <c r="CS315" i="83"/>
  <c r="CT315" i="83" s="1"/>
  <c r="CW315" i="83"/>
  <c r="CX315" i="83"/>
  <c r="CY315" i="83" s="1"/>
  <c r="CR316" i="83"/>
  <c r="CS316" i="83"/>
  <c r="CT316" i="83" s="1"/>
  <c r="CW316" i="83"/>
  <c r="CX316" i="83"/>
  <c r="CY316" i="83" s="1"/>
  <c r="CR317" i="83"/>
  <c r="CS317" i="83"/>
  <c r="CT317" i="83" s="1"/>
  <c r="CW317" i="83"/>
  <c r="CX317" i="83"/>
  <c r="CY317" i="83" s="1"/>
  <c r="CR318" i="83"/>
  <c r="CS318" i="83"/>
  <c r="CT318" i="83" s="1"/>
  <c r="CW318" i="83"/>
  <c r="CX318" i="83"/>
  <c r="CY318" i="83" s="1"/>
  <c r="CR319" i="83"/>
  <c r="CS319" i="83"/>
  <c r="CT319" i="83" s="1"/>
  <c r="CW319" i="83"/>
  <c r="CX319" i="83"/>
  <c r="CY319" i="83" s="1"/>
  <c r="CR320" i="83"/>
  <c r="CS320" i="83"/>
  <c r="CT320" i="83" s="1"/>
  <c r="CW320" i="83"/>
  <c r="CX320" i="83"/>
  <c r="CY320" i="83" s="1"/>
  <c r="CR321" i="83"/>
  <c r="CS321" i="83"/>
  <c r="CT321" i="83" s="1"/>
  <c r="CW321" i="83"/>
  <c r="CX321" i="83"/>
  <c r="CY321" i="83" s="1"/>
  <c r="CR322" i="83"/>
  <c r="CS322" i="83"/>
  <c r="CT322" i="83" s="1"/>
  <c r="CW322" i="83"/>
  <c r="CX322" i="83"/>
  <c r="CY322" i="83" s="1"/>
  <c r="CR323" i="83"/>
  <c r="CS323" i="83"/>
  <c r="CT323" i="83" s="1"/>
  <c r="CW323" i="83"/>
  <c r="CX323" i="83"/>
  <c r="CY323" i="83" s="1"/>
  <c r="CR324" i="83"/>
  <c r="CS324" i="83"/>
  <c r="CT324" i="83" s="1"/>
  <c r="CW324" i="83"/>
  <c r="CX324" i="83"/>
  <c r="CY324" i="83" s="1"/>
  <c r="CR325" i="83"/>
  <c r="CS325" i="83"/>
  <c r="CT325" i="83" s="1"/>
  <c r="CW325" i="83"/>
  <c r="CX325" i="83"/>
  <c r="CY325" i="83" s="1"/>
  <c r="CR326" i="83"/>
  <c r="CS326" i="83"/>
  <c r="CT326" i="83" s="1"/>
  <c r="CW326" i="83"/>
  <c r="CX326" i="83"/>
  <c r="CY326" i="83" s="1"/>
  <c r="CR327" i="83"/>
  <c r="CS327" i="83"/>
  <c r="CT327" i="83" s="1"/>
  <c r="CW327" i="83"/>
  <c r="CX327" i="83"/>
  <c r="CY327" i="83" s="1"/>
  <c r="CR328" i="83"/>
  <c r="CS328" i="83"/>
  <c r="CT328" i="83" s="1"/>
  <c r="CW328" i="83"/>
  <c r="CX328" i="83"/>
  <c r="CY328" i="83" s="1"/>
  <c r="CR329" i="83"/>
  <c r="CS329" i="83"/>
  <c r="CT329" i="83" s="1"/>
  <c r="CW329" i="83"/>
  <c r="CX329" i="83"/>
  <c r="CY329" i="83" s="1"/>
  <c r="CR330" i="83"/>
  <c r="CS330" i="83"/>
  <c r="CT330" i="83" s="1"/>
  <c r="CW330" i="83"/>
  <c r="CX330" i="83"/>
  <c r="CY330" i="83" s="1"/>
  <c r="CR331" i="83"/>
  <c r="CS331" i="83"/>
  <c r="CT331" i="83" s="1"/>
  <c r="CW331" i="83"/>
  <c r="CX331" i="83"/>
  <c r="CY331" i="83" s="1"/>
  <c r="CR332" i="83"/>
  <c r="CS332" i="83"/>
  <c r="CT332" i="83" s="1"/>
  <c r="CW332" i="83"/>
  <c r="CX332" i="83"/>
  <c r="CY332" i="83" s="1"/>
  <c r="CR333" i="83"/>
  <c r="CS333" i="83"/>
  <c r="CT333" i="83" s="1"/>
  <c r="CW333" i="83"/>
  <c r="CX333" i="83"/>
  <c r="CY333" i="83" s="1"/>
  <c r="CR334" i="83"/>
  <c r="CS334" i="83"/>
  <c r="CT334" i="83" s="1"/>
  <c r="CW334" i="83"/>
  <c r="CX334" i="83"/>
  <c r="CY334" i="83" s="1"/>
  <c r="CR335" i="83"/>
  <c r="CS335" i="83"/>
  <c r="CT335" i="83" s="1"/>
  <c r="CW335" i="83"/>
  <c r="CX335" i="83"/>
  <c r="CY335" i="83" s="1"/>
  <c r="CR336" i="83"/>
  <c r="CS336" i="83"/>
  <c r="CT336" i="83" s="1"/>
  <c r="CW336" i="83"/>
  <c r="CX336" i="83"/>
  <c r="CY336" i="83" s="1"/>
  <c r="CR337" i="83"/>
  <c r="CS337" i="83"/>
  <c r="CT337" i="83" s="1"/>
  <c r="CW337" i="83"/>
  <c r="CX337" i="83"/>
  <c r="CY337" i="83" s="1"/>
  <c r="CR338" i="83"/>
  <c r="CS338" i="83"/>
  <c r="CT338" i="83" s="1"/>
  <c r="CW338" i="83"/>
  <c r="CX338" i="83"/>
  <c r="CY338" i="83" s="1"/>
  <c r="CR339" i="83"/>
  <c r="CS339" i="83"/>
  <c r="CT339" i="83" s="1"/>
  <c r="CW339" i="83"/>
  <c r="CX339" i="83"/>
  <c r="CY339" i="83" s="1"/>
  <c r="CR340" i="83"/>
  <c r="CS340" i="83"/>
  <c r="CT340" i="83" s="1"/>
  <c r="CW340" i="83"/>
  <c r="CX340" i="83"/>
  <c r="CY340" i="83" s="1"/>
  <c r="CR341" i="83"/>
  <c r="CS341" i="83"/>
  <c r="CT341" i="83" s="1"/>
  <c r="CW341" i="83"/>
  <c r="CX341" i="83"/>
  <c r="CY341" i="83" s="1"/>
  <c r="CR342" i="83"/>
  <c r="CS342" i="83"/>
  <c r="CT342" i="83" s="1"/>
  <c r="CW342" i="83"/>
  <c r="CX342" i="83"/>
  <c r="CY342" i="83" s="1"/>
  <c r="CR343" i="83"/>
  <c r="CS343" i="83"/>
  <c r="CT343" i="83" s="1"/>
  <c r="CW343" i="83"/>
  <c r="CX343" i="83"/>
  <c r="CY343" i="83" s="1"/>
  <c r="CR344" i="83"/>
  <c r="CS344" i="83"/>
  <c r="CT344" i="83" s="1"/>
  <c r="CW344" i="83"/>
  <c r="CX344" i="83"/>
  <c r="CY344" i="83" s="1"/>
  <c r="CR345" i="83"/>
  <c r="CS345" i="83"/>
  <c r="CT345" i="83" s="1"/>
  <c r="CW345" i="83"/>
  <c r="CX345" i="83"/>
  <c r="CY345" i="83" s="1"/>
  <c r="CR346" i="83"/>
  <c r="CS346" i="83"/>
  <c r="CT346" i="83" s="1"/>
  <c r="CW346" i="83"/>
  <c r="CX346" i="83"/>
  <c r="CY346" i="83" s="1"/>
  <c r="CR347" i="83"/>
  <c r="CS347" i="83"/>
  <c r="CT347" i="83" s="1"/>
  <c r="CW347" i="83"/>
  <c r="CX347" i="83"/>
  <c r="CY347" i="83" s="1"/>
  <c r="CR348" i="83"/>
  <c r="CS348" i="83"/>
  <c r="CT348" i="83" s="1"/>
  <c r="CW348" i="83"/>
  <c r="CX348" i="83"/>
  <c r="CY348" i="83" s="1"/>
  <c r="CR349" i="83"/>
  <c r="CS349" i="83"/>
  <c r="CT349" i="83" s="1"/>
  <c r="CW349" i="83"/>
  <c r="CX349" i="83"/>
  <c r="CY349" i="83" s="1"/>
  <c r="CR350" i="83"/>
  <c r="CS350" i="83"/>
  <c r="CT350" i="83" s="1"/>
  <c r="CW350" i="83"/>
  <c r="CX350" i="83"/>
  <c r="CY350" i="83" s="1"/>
  <c r="CR351" i="83"/>
  <c r="CS351" i="83"/>
  <c r="CT351" i="83" s="1"/>
  <c r="CW351" i="83"/>
  <c r="CX351" i="83"/>
  <c r="CY351" i="83" s="1"/>
  <c r="CR352" i="83"/>
  <c r="CS352" i="83"/>
  <c r="CT352" i="83" s="1"/>
  <c r="CW352" i="83"/>
  <c r="CX352" i="83"/>
  <c r="CY352" i="83" s="1"/>
  <c r="CR353" i="83"/>
  <c r="CS353" i="83"/>
  <c r="CT353" i="83" s="1"/>
  <c r="CW353" i="83"/>
  <c r="CX353" i="83"/>
  <c r="CY353" i="83" s="1"/>
  <c r="CR354" i="83"/>
  <c r="CS354" i="83"/>
  <c r="CT354" i="83" s="1"/>
  <c r="CW354" i="83"/>
  <c r="CX354" i="83"/>
  <c r="CY354" i="83" s="1"/>
  <c r="CR355" i="83"/>
  <c r="CS355" i="83"/>
  <c r="CT355" i="83" s="1"/>
  <c r="CW355" i="83"/>
  <c r="CX355" i="83"/>
  <c r="CY355" i="83" s="1"/>
  <c r="CR356" i="83"/>
  <c r="CS356" i="83"/>
  <c r="CT356" i="83" s="1"/>
  <c r="CW356" i="83"/>
  <c r="CX356" i="83"/>
  <c r="CY356" i="83" s="1"/>
  <c r="CR357" i="83"/>
  <c r="CS357" i="83"/>
  <c r="CT357" i="83" s="1"/>
  <c r="CW357" i="83"/>
  <c r="CX357" i="83"/>
  <c r="CY357" i="83" s="1"/>
  <c r="CR358" i="83"/>
  <c r="CS358" i="83"/>
  <c r="CT358" i="83" s="1"/>
  <c r="CW358" i="83"/>
  <c r="CX358" i="83"/>
  <c r="CY358" i="83" s="1"/>
  <c r="CR359" i="83"/>
  <c r="CS359" i="83"/>
  <c r="CT359" i="83" s="1"/>
  <c r="CW359" i="83"/>
  <c r="CX359" i="83"/>
  <c r="CY359" i="83" s="1"/>
  <c r="CR360" i="83"/>
  <c r="CS360" i="83"/>
  <c r="CT360" i="83" s="1"/>
  <c r="CW360" i="83"/>
  <c r="CX360" i="83"/>
  <c r="CY360" i="83" s="1"/>
  <c r="CR361" i="83"/>
  <c r="CS361" i="83"/>
  <c r="CT361" i="83" s="1"/>
  <c r="CW361" i="83"/>
  <c r="CX361" i="83"/>
  <c r="CY361" i="83" s="1"/>
  <c r="CR362" i="83"/>
  <c r="CS362" i="83"/>
  <c r="CT362" i="83" s="1"/>
  <c r="CW362" i="83"/>
  <c r="CX362" i="83"/>
  <c r="CY362" i="83" s="1"/>
  <c r="CR363" i="83"/>
  <c r="CS363" i="83"/>
  <c r="CT363" i="83" s="1"/>
  <c r="CW363" i="83"/>
  <c r="CX363" i="83"/>
  <c r="CY363" i="83" s="1"/>
  <c r="CR364" i="83"/>
  <c r="CS364" i="83"/>
  <c r="CT364" i="83" s="1"/>
  <c r="CW364" i="83"/>
  <c r="CX364" i="83"/>
  <c r="CY364" i="83" s="1"/>
  <c r="CR365" i="83"/>
  <c r="CS365" i="83"/>
  <c r="CT365" i="83" s="1"/>
  <c r="CW365" i="83"/>
  <c r="CX365" i="83"/>
  <c r="CY365" i="83" s="1"/>
  <c r="CR366" i="83"/>
  <c r="CS366" i="83"/>
  <c r="CT366" i="83" s="1"/>
  <c r="CW366" i="83"/>
  <c r="CX366" i="83"/>
  <c r="CY366" i="83" s="1"/>
  <c r="CR367" i="83"/>
  <c r="CS367" i="83"/>
  <c r="CT367" i="83" s="1"/>
  <c r="CW367" i="83"/>
  <c r="CX367" i="83"/>
  <c r="CY367" i="83" s="1"/>
  <c r="CR368" i="83"/>
  <c r="CS368" i="83"/>
  <c r="CT368" i="83" s="1"/>
  <c r="CW368" i="83"/>
  <c r="CX368" i="83"/>
  <c r="CY368" i="83" s="1"/>
  <c r="CR369" i="83"/>
  <c r="CS369" i="83"/>
  <c r="CT369" i="83" s="1"/>
  <c r="CW369" i="83"/>
  <c r="CX369" i="83"/>
  <c r="CY369" i="83" s="1"/>
  <c r="CR370" i="83"/>
  <c r="CS370" i="83"/>
  <c r="CT370" i="83" s="1"/>
  <c r="CW370" i="83"/>
  <c r="CX370" i="83"/>
  <c r="CY370" i="83" s="1"/>
  <c r="CR371" i="83"/>
  <c r="CS371" i="83"/>
  <c r="CT371" i="83" s="1"/>
  <c r="CW371" i="83"/>
  <c r="CX371" i="83"/>
  <c r="CY371" i="83" s="1"/>
  <c r="CR372" i="83"/>
  <c r="CS372" i="83"/>
  <c r="CT372" i="83" s="1"/>
  <c r="CW372" i="83"/>
  <c r="CX372" i="83"/>
  <c r="CY372" i="83" s="1"/>
  <c r="CR373" i="83"/>
  <c r="CS373" i="83"/>
  <c r="CT373" i="83" s="1"/>
  <c r="CW373" i="83"/>
  <c r="CX373" i="83"/>
  <c r="CY373" i="83" s="1"/>
  <c r="CR374" i="83"/>
  <c r="CS374" i="83"/>
  <c r="CT374" i="83" s="1"/>
  <c r="CW374" i="83"/>
  <c r="CX374" i="83"/>
  <c r="CY374" i="83" s="1"/>
  <c r="CR375" i="83"/>
  <c r="CS375" i="83"/>
  <c r="CT375" i="83" s="1"/>
  <c r="CW375" i="83"/>
  <c r="CX375" i="83"/>
  <c r="CY375" i="83" s="1"/>
  <c r="CR376" i="83"/>
  <c r="CS376" i="83"/>
  <c r="CT376" i="83" s="1"/>
  <c r="CW376" i="83"/>
  <c r="CX376" i="83"/>
  <c r="CY376" i="83" s="1"/>
  <c r="CR377" i="83"/>
  <c r="CS377" i="83"/>
  <c r="CT377" i="83" s="1"/>
  <c r="CW377" i="83"/>
  <c r="CX377" i="83"/>
  <c r="CY377" i="83" s="1"/>
  <c r="CR378" i="83"/>
  <c r="CS378" i="83"/>
  <c r="CT378" i="83" s="1"/>
  <c r="CW378" i="83"/>
  <c r="CX378" i="83"/>
  <c r="CY378" i="83" s="1"/>
  <c r="CR379" i="83"/>
  <c r="CS379" i="83"/>
  <c r="CT379" i="83" s="1"/>
  <c r="CW379" i="83"/>
  <c r="CX379" i="83"/>
  <c r="CY379" i="83" s="1"/>
  <c r="CR380" i="83"/>
  <c r="CS380" i="83"/>
  <c r="CT380" i="83" s="1"/>
  <c r="CW380" i="83"/>
  <c r="CX380" i="83"/>
  <c r="CY380" i="83" s="1"/>
  <c r="CR381" i="83"/>
  <c r="CS381" i="83"/>
  <c r="CT381" i="83" s="1"/>
  <c r="CW381" i="83"/>
  <c r="CX381" i="83"/>
  <c r="CY381" i="83" s="1"/>
  <c r="CR382" i="83"/>
  <c r="CS382" i="83"/>
  <c r="CT382" i="83" s="1"/>
  <c r="CW382" i="83"/>
  <c r="CX382" i="83"/>
  <c r="CY382" i="83" s="1"/>
  <c r="CR383" i="83"/>
  <c r="CS383" i="83"/>
  <c r="CT383" i="83" s="1"/>
  <c r="CW383" i="83"/>
  <c r="CX383" i="83"/>
  <c r="CY383" i="83" s="1"/>
  <c r="CR384" i="83"/>
  <c r="CS384" i="83"/>
  <c r="CT384" i="83" s="1"/>
  <c r="CW384" i="83"/>
  <c r="CX384" i="83"/>
  <c r="CY384" i="83" s="1"/>
  <c r="CR385" i="83"/>
  <c r="CS385" i="83"/>
  <c r="CT385" i="83" s="1"/>
  <c r="CW385" i="83"/>
  <c r="CX385" i="83"/>
  <c r="CY385" i="83" s="1"/>
  <c r="CR386" i="83"/>
  <c r="CS386" i="83"/>
  <c r="CT386" i="83" s="1"/>
  <c r="CW386" i="83"/>
  <c r="CX386" i="83"/>
  <c r="CY386" i="83" s="1"/>
  <c r="CR387" i="83"/>
  <c r="CS387" i="83"/>
  <c r="CT387" i="83" s="1"/>
  <c r="CW387" i="83"/>
  <c r="CX387" i="83"/>
  <c r="CY387" i="83" s="1"/>
  <c r="CR388" i="83"/>
  <c r="CS388" i="83"/>
  <c r="CT388" i="83" s="1"/>
  <c r="CW388" i="83"/>
  <c r="CX388" i="83"/>
  <c r="CY388" i="83" s="1"/>
  <c r="CR389" i="83"/>
  <c r="CS389" i="83"/>
  <c r="CT389" i="83" s="1"/>
  <c r="CW389" i="83"/>
  <c r="CX389" i="83"/>
  <c r="CY389" i="83" s="1"/>
  <c r="CR390" i="83"/>
  <c r="CS390" i="83"/>
  <c r="CT390" i="83" s="1"/>
  <c r="CW390" i="83"/>
  <c r="CX390" i="83"/>
  <c r="CY390" i="83" s="1"/>
  <c r="CR391" i="83"/>
  <c r="CS391" i="83"/>
  <c r="CT391" i="83" s="1"/>
  <c r="CW391" i="83"/>
  <c r="CX391" i="83"/>
  <c r="CY391" i="83" s="1"/>
  <c r="CR392" i="83"/>
  <c r="CS392" i="83"/>
  <c r="CT392" i="83" s="1"/>
  <c r="CW392" i="83"/>
  <c r="CX392" i="83"/>
  <c r="CY392" i="83" s="1"/>
  <c r="CR393" i="83"/>
  <c r="CS393" i="83"/>
  <c r="CT393" i="83" s="1"/>
  <c r="CW393" i="83"/>
  <c r="CX393" i="83"/>
  <c r="CY393" i="83" s="1"/>
  <c r="CR394" i="83"/>
  <c r="CS394" i="83"/>
  <c r="CT394" i="83" s="1"/>
  <c r="CW394" i="83"/>
  <c r="CX394" i="83"/>
  <c r="CY394" i="83" s="1"/>
  <c r="CR395" i="83"/>
  <c r="CS395" i="83"/>
  <c r="CT395" i="83" s="1"/>
  <c r="CW395" i="83"/>
  <c r="CX395" i="83"/>
  <c r="CY395" i="83" s="1"/>
  <c r="CR396" i="83"/>
  <c r="CS396" i="83"/>
  <c r="CT396" i="83" s="1"/>
  <c r="CW396" i="83"/>
  <c r="CX396" i="83"/>
  <c r="CY396" i="83" s="1"/>
  <c r="CR397" i="83"/>
  <c r="CS397" i="83"/>
  <c r="CT397" i="83" s="1"/>
  <c r="CW397" i="83"/>
  <c r="CX397" i="83"/>
  <c r="CY397" i="83" s="1"/>
  <c r="CR398" i="83"/>
  <c r="CS398" i="83"/>
  <c r="CT398" i="83" s="1"/>
  <c r="CW398" i="83"/>
  <c r="CX398" i="83"/>
  <c r="CY398" i="83" s="1"/>
  <c r="CR399" i="83"/>
  <c r="CS399" i="83"/>
  <c r="CT399" i="83" s="1"/>
  <c r="CW399" i="83"/>
  <c r="CX399" i="83"/>
  <c r="CY399" i="83" s="1"/>
  <c r="CR400" i="83"/>
  <c r="CS400" i="83"/>
  <c r="CT400" i="83" s="1"/>
  <c r="CW400" i="83"/>
  <c r="CX400" i="83"/>
  <c r="CY400" i="83" s="1"/>
  <c r="CR401" i="83"/>
  <c r="CS401" i="83"/>
  <c r="CT401" i="83" s="1"/>
  <c r="CR402" i="83"/>
  <c r="CS402" i="83"/>
  <c r="CT402" i="83" s="1"/>
  <c r="CR403" i="83"/>
  <c r="CS403" i="83"/>
  <c r="CT403" i="83" s="1"/>
  <c r="CR404" i="83"/>
  <c r="CS404" i="83"/>
  <c r="CT404" i="83" s="1"/>
  <c r="CR405" i="83"/>
  <c r="CS405" i="83"/>
  <c r="CT405" i="83" s="1"/>
  <c r="CR406" i="83"/>
  <c r="CS406" i="83"/>
  <c r="CT406" i="83" s="1"/>
  <c r="CR407" i="83"/>
  <c r="CS407" i="83"/>
  <c r="CT407" i="83" s="1"/>
  <c r="CR408" i="83"/>
  <c r="CS408" i="83"/>
  <c r="CT408" i="83" s="1"/>
  <c r="CR409" i="83"/>
  <c r="CS409" i="83"/>
  <c r="CT409" i="83" s="1"/>
  <c r="CR410" i="83"/>
  <c r="CS410" i="83"/>
  <c r="CT410" i="83" s="1"/>
  <c r="CR411" i="83"/>
  <c r="CS411" i="83"/>
  <c r="CT411" i="83" s="1"/>
  <c r="CR412" i="83"/>
  <c r="CS412" i="83"/>
  <c r="CT412" i="83" s="1"/>
  <c r="CR413" i="83"/>
  <c r="CS413" i="83"/>
  <c r="CT413" i="83" s="1"/>
  <c r="CR414" i="83"/>
  <c r="CS414" i="83"/>
  <c r="CT414" i="83" s="1"/>
  <c r="CR415" i="83"/>
  <c r="CS415" i="83"/>
  <c r="CT415" i="83" s="1"/>
  <c r="CR416" i="83"/>
  <c r="CS416" i="83"/>
  <c r="CT416" i="83" s="1"/>
  <c r="CR417" i="83"/>
  <c r="CS417" i="83"/>
  <c r="CT417" i="83" s="1"/>
  <c r="CR418" i="83"/>
  <c r="CS418" i="83"/>
  <c r="CT418" i="83" s="1"/>
  <c r="CR419" i="83"/>
  <c r="CS419" i="83"/>
  <c r="CT419" i="83" s="1"/>
  <c r="CR420" i="83"/>
  <c r="CS420" i="83"/>
  <c r="CT420" i="83" s="1"/>
  <c r="CR421" i="83"/>
  <c r="CS421" i="83"/>
  <c r="CT421" i="83" s="1"/>
  <c r="CR422" i="83"/>
  <c r="CS422" i="83"/>
  <c r="CT422" i="83" s="1"/>
  <c r="CR423" i="83"/>
  <c r="CS423" i="83"/>
  <c r="CT423" i="83" s="1"/>
  <c r="CR424" i="83"/>
  <c r="CS424" i="83"/>
  <c r="CT424" i="83" s="1"/>
  <c r="CR425" i="83"/>
  <c r="CS425" i="83"/>
  <c r="CT425" i="83" s="1"/>
  <c r="CR426" i="83"/>
  <c r="CS426" i="83"/>
  <c r="CT426" i="83" s="1"/>
  <c r="CR427" i="83"/>
  <c r="CS427" i="83"/>
  <c r="CT427" i="83" s="1"/>
  <c r="CR428" i="83"/>
  <c r="CS428" i="83"/>
  <c r="CT428" i="83" s="1"/>
  <c r="CR429" i="83"/>
  <c r="CS429" i="83"/>
  <c r="CT429" i="83" s="1"/>
  <c r="CR430" i="83"/>
  <c r="CS430" i="83"/>
  <c r="CT430" i="83" s="1"/>
  <c r="CR431" i="83"/>
  <c r="CS431" i="83"/>
  <c r="CT431" i="83" s="1"/>
  <c r="CR432" i="83"/>
  <c r="CS432" i="83"/>
  <c r="CT432" i="83" s="1"/>
  <c r="CR433" i="83"/>
  <c r="CS433" i="83"/>
  <c r="CT433" i="83" s="1"/>
  <c r="CR434" i="83"/>
  <c r="CS434" i="83"/>
  <c r="CT434" i="83" s="1"/>
  <c r="CR435" i="83"/>
  <c r="CS435" i="83"/>
  <c r="CT435" i="83" s="1"/>
  <c r="CR436" i="83"/>
  <c r="CS436" i="83"/>
  <c r="CT436" i="83" s="1"/>
  <c r="CR437" i="83"/>
  <c r="CS437" i="83"/>
  <c r="CT437" i="83" s="1"/>
  <c r="CR438" i="83"/>
  <c r="CS438" i="83"/>
  <c r="CT438" i="83" s="1"/>
  <c r="CR439" i="83"/>
  <c r="CS439" i="83"/>
  <c r="CT439" i="83" s="1"/>
  <c r="CR440" i="83"/>
  <c r="CS440" i="83"/>
  <c r="CT440" i="83" s="1"/>
  <c r="CR441" i="83"/>
  <c r="CS441" i="83"/>
  <c r="CT441" i="83" s="1"/>
  <c r="CR442" i="83"/>
  <c r="CS442" i="83"/>
  <c r="CT442" i="83" s="1"/>
  <c r="CR443" i="83"/>
  <c r="CS443" i="83"/>
  <c r="CT443" i="83" s="1"/>
  <c r="CR444" i="83"/>
  <c r="CS444" i="83"/>
  <c r="CT444" i="83" s="1"/>
  <c r="CR445" i="83"/>
  <c r="CS445" i="83"/>
  <c r="CT445" i="83" s="1"/>
  <c r="CR446" i="83"/>
  <c r="CS446" i="83"/>
  <c r="CT446" i="83" s="1"/>
  <c r="CR447" i="83"/>
  <c r="CS447" i="83"/>
  <c r="CT447" i="83" s="1"/>
  <c r="CR448" i="83"/>
  <c r="CS448" i="83"/>
  <c r="CT448" i="83" s="1"/>
  <c r="CR449" i="83"/>
  <c r="CS449" i="83"/>
  <c r="CT449" i="83" s="1"/>
  <c r="CR450" i="83"/>
  <c r="CS450" i="83"/>
  <c r="CT450" i="83" s="1"/>
  <c r="CR451" i="83"/>
  <c r="CS451" i="83"/>
  <c r="CT451" i="83" s="1"/>
  <c r="CR452" i="83"/>
  <c r="CS452" i="83"/>
  <c r="CT452" i="83" s="1"/>
  <c r="CR453" i="83"/>
  <c r="CS453" i="83"/>
  <c r="CT453" i="83" s="1"/>
  <c r="CR454" i="83"/>
  <c r="CS454" i="83"/>
  <c r="CT454" i="83" s="1"/>
  <c r="CR455" i="83"/>
  <c r="CS455" i="83"/>
  <c r="CT455" i="83" s="1"/>
  <c r="CR456" i="83"/>
  <c r="CS456" i="83"/>
  <c r="CT456" i="83" s="1"/>
  <c r="CR457" i="83"/>
  <c r="CS457" i="83"/>
  <c r="CT457" i="83" s="1"/>
  <c r="CR458" i="83"/>
  <c r="CS458" i="83"/>
  <c r="CT458" i="83" s="1"/>
  <c r="CR459" i="83"/>
  <c r="CS459" i="83"/>
  <c r="CT459" i="83" s="1"/>
  <c r="CR460" i="83"/>
  <c r="CS460" i="83"/>
  <c r="CT460" i="83" s="1"/>
  <c r="CR461" i="83"/>
  <c r="CS461" i="83"/>
  <c r="CT461" i="83" s="1"/>
  <c r="CR462" i="83"/>
  <c r="CS462" i="83"/>
  <c r="CT462" i="83" s="1"/>
  <c r="CR463" i="83"/>
  <c r="CS463" i="83"/>
  <c r="CT463" i="83" s="1"/>
  <c r="CR464" i="83"/>
  <c r="CS464" i="83"/>
  <c r="CT464" i="83" s="1"/>
  <c r="CR465" i="83"/>
  <c r="CS465" i="83"/>
  <c r="CT465" i="83" s="1"/>
  <c r="CR466" i="83"/>
  <c r="CS466" i="83"/>
  <c r="CT466" i="83" s="1"/>
  <c r="CR467" i="83"/>
  <c r="CS467" i="83"/>
  <c r="CT467" i="83" s="1"/>
  <c r="CR468" i="83"/>
  <c r="CS468" i="83"/>
  <c r="CT468" i="83" s="1"/>
  <c r="CR469" i="83"/>
  <c r="CS469" i="83"/>
  <c r="CT469" i="83" s="1"/>
  <c r="CR470" i="83"/>
  <c r="CS470" i="83"/>
  <c r="CT470" i="83" s="1"/>
  <c r="CR471" i="83"/>
  <c r="CS471" i="83"/>
  <c r="CT471" i="83" s="1"/>
  <c r="CR472" i="83"/>
  <c r="CS472" i="83"/>
  <c r="CT472" i="83" s="1"/>
  <c r="CR473" i="83"/>
  <c r="CS473" i="83"/>
  <c r="CT473" i="83" s="1"/>
  <c r="CR474" i="83"/>
  <c r="CS474" i="83"/>
  <c r="CT474" i="83" s="1"/>
  <c r="CR475" i="83"/>
  <c r="CS475" i="83"/>
  <c r="CT475" i="83" s="1"/>
  <c r="CR476" i="83"/>
  <c r="CS476" i="83"/>
  <c r="CT476" i="83" s="1"/>
  <c r="CR477" i="83"/>
  <c r="CS477" i="83"/>
  <c r="CT477" i="83" s="1"/>
  <c r="CR478" i="83"/>
  <c r="CS478" i="83"/>
  <c r="CT478" i="83" s="1"/>
  <c r="CR479" i="83"/>
  <c r="CS479" i="83"/>
  <c r="CT479" i="83" s="1"/>
  <c r="CR480" i="83"/>
  <c r="CS480" i="83"/>
  <c r="CT480" i="83" s="1"/>
  <c r="CR481" i="83"/>
  <c r="CS481" i="83"/>
  <c r="CT481" i="83" s="1"/>
  <c r="CR482" i="83"/>
  <c r="CS482" i="83"/>
  <c r="CT482" i="83" s="1"/>
  <c r="CR483" i="83"/>
  <c r="CS483" i="83"/>
  <c r="CT483" i="83" s="1"/>
  <c r="CR484" i="83"/>
  <c r="CS484" i="83"/>
  <c r="CT484" i="83" s="1"/>
  <c r="CR485" i="83"/>
  <c r="CS485" i="83"/>
  <c r="CT485" i="83" s="1"/>
  <c r="CR486" i="83"/>
  <c r="CS486" i="83"/>
  <c r="CT486" i="83" s="1"/>
  <c r="CR487" i="83"/>
  <c r="CS487" i="83"/>
  <c r="CT487" i="83" s="1"/>
  <c r="CR488" i="83"/>
  <c r="CS488" i="83"/>
  <c r="CT488" i="83" s="1"/>
  <c r="CR489" i="83"/>
  <c r="CS489" i="83"/>
  <c r="CT489" i="83" s="1"/>
  <c r="CR490" i="83"/>
  <c r="CS490" i="83"/>
  <c r="CT490" i="83" s="1"/>
  <c r="CR491" i="83"/>
  <c r="CS491" i="83"/>
  <c r="CT491" i="83" s="1"/>
  <c r="CR492" i="83"/>
  <c r="CS492" i="83"/>
  <c r="CT492" i="83" s="1"/>
  <c r="CR493" i="83"/>
  <c r="CS493" i="83"/>
  <c r="CT493" i="83" s="1"/>
  <c r="CR494" i="83"/>
  <c r="CS494" i="83"/>
  <c r="CT494" i="83" s="1"/>
  <c r="CR495" i="83"/>
  <c r="CS495" i="83"/>
  <c r="CT495" i="83" s="1"/>
  <c r="CR496" i="83"/>
  <c r="CS496" i="83"/>
  <c r="CT496" i="83" s="1"/>
  <c r="CR497" i="83"/>
  <c r="CS497" i="83"/>
  <c r="CT497" i="83" s="1"/>
  <c r="CR498" i="83"/>
  <c r="CS498" i="83"/>
  <c r="CT498" i="83" s="1"/>
  <c r="CR499" i="83"/>
  <c r="CS499" i="83"/>
  <c r="CT499" i="83" s="1"/>
  <c r="CR500" i="83"/>
  <c r="CS500" i="83"/>
  <c r="CT500" i="83" s="1"/>
  <c r="CR501" i="83"/>
  <c r="CS501" i="83"/>
  <c r="CT501" i="83" s="1"/>
  <c r="CR502" i="83"/>
  <c r="CS502" i="83"/>
  <c r="CT502" i="83" s="1"/>
  <c r="CR503" i="83"/>
  <c r="CS503" i="83"/>
  <c r="CT503" i="83" s="1"/>
  <c r="CR504" i="83"/>
  <c r="CS504" i="83"/>
  <c r="CT504" i="83" s="1"/>
  <c r="CR505" i="83"/>
  <c r="CS505" i="83"/>
  <c r="CT505" i="83" s="1"/>
  <c r="CR506" i="83"/>
  <c r="CS506" i="83"/>
  <c r="CT506" i="83" s="1"/>
  <c r="CR507" i="83"/>
  <c r="CS507" i="83"/>
  <c r="CT507" i="83" s="1"/>
  <c r="CR508" i="83"/>
  <c r="CS508" i="83"/>
  <c r="CT508" i="83" s="1"/>
  <c r="CR509" i="83"/>
  <c r="CS509" i="83"/>
  <c r="CT509" i="83" s="1"/>
  <c r="CR510" i="83"/>
  <c r="CS510" i="83"/>
  <c r="CT510" i="83" s="1"/>
  <c r="CR511" i="83"/>
  <c r="CS511" i="83"/>
  <c r="CT511" i="83" s="1"/>
  <c r="CR512" i="83"/>
  <c r="CS512" i="83"/>
  <c r="CT512" i="83" s="1"/>
  <c r="CR513" i="83"/>
  <c r="CS513" i="83"/>
  <c r="CT513" i="83" s="1"/>
  <c r="CR514" i="83"/>
  <c r="CS514" i="83"/>
  <c r="CT514" i="83" s="1"/>
  <c r="CR515" i="83"/>
  <c r="CS515" i="83"/>
  <c r="CT515" i="83" s="1"/>
  <c r="CR516" i="83"/>
  <c r="CS516" i="83"/>
  <c r="CT516" i="83" s="1"/>
  <c r="CR517" i="83"/>
  <c r="CS517" i="83"/>
  <c r="CT517" i="83" s="1"/>
  <c r="CR518" i="83"/>
  <c r="CS518" i="83"/>
  <c r="CT518" i="83" s="1"/>
  <c r="CR519" i="83"/>
  <c r="CS519" i="83"/>
  <c r="CT519" i="83" s="1"/>
  <c r="CR520" i="83"/>
  <c r="CS520" i="83"/>
  <c r="CT520" i="83" s="1"/>
  <c r="CR521" i="83"/>
  <c r="CS521" i="83"/>
  <c r="CT521" i="83" s="1"/>
  <c r="CR522" i="83"/>
  <c r="CS522" i="83"/>
  <c r="CT522" i="83" s="1"/>
  <c r="CR523" i="83"/>
  <c r="CS523" i="83"/>
  <c r="CT523" i="83" s="1"/>
  <c r="CR524" i="83"/>
  <c r="CS524" i="83"/>
  <c r="CT524" i="83" s="1"/>
  <c r="CR525" i="83"/>
  <c r="CS525" i="83"/>
  <c r="CT525" i="83" s="1"/>
  <c r="CR526" i="83"/>
  <c r="CS526" i="83"/>
  <c r="CT526" i="83" s="1"/>
  <c r="CR527" i="83"/>
  <c r="CS527" i="83"/>
  <c r="CT527" i="83" s="1"/>
  <c r="CR528" i="83"/>
  <c r="CS528" i="83"/>
  <c r="CT528" i="83" s="1"/>
  <c r="CR529" i="83"/>
  <c r="CS529" i="83"/>
  <c r="CT529" i="83" s="1"/>
  <c r="CR530" i="83"/>
  <c r="CS530" i="83"/>
  <c r="CT530" i="83" s="1"/>
  <c r="CR531" i="83"/>
  <c r="CS531" i="83"/>
  <c r="CT531" i="83" s="1"/>
  <c r="CR532" i="83"/>
  <c r="CS532" i="83"/>
  <c r="CT532" i="83" s="1"/>
  <c r="CR533" i="83"/>
  <c r="CS533" i="83"/>
  <c r="CT533" i="83" s="1"/>
  <c r="CR534" i="83"/>
  <c r="CS534" i="83"/>
  <c r="CT534" i="83" s="1"/>
  <c r="CR535" i="83"/>
  <c r="CS535" i="83"/>
  <c r="CT535" i="83" s="1"/>
  <c r="CR536" i="83"/>
  <c r="CS536" i="83"/>
  <c r="CT536" i="83" s="1"/>
  <c r="CR537" i="83"/>
  <c r="CS537" i="83"/>
  <c r="CT537" i="83" s="1"/>
  <c r="CR538" i="83"/>
  <c r="CS538" i="83"/>
  <c r="CT538" i="83" s="1"/>
  <c r="CR539" i="83"/>
  <c r="CS539" i="83"/>
  <c r="CT539" i="83" s="1"/>
  <c r="CR540" i="83"/>
  <c r="CS540" i="83"/>
  <c r="CT540" i="83" s="1"/>
  <c r="CR541" i="83"/>
  <c r="CS541" i="83"/>
  <c r="CT541" i="83" s="1"/>
  <c r="CR542" i="83"/>
  <c r="CS542" i="83"/>
  <c r="CT542" i="83" s="1"/>
  <c r="CR543" i="83"/>
  <c r="CS543" i="83"/>
  <c r="CT543" i="83" s="1"/>
  <c r="CR544" i="83"/>
  <c r="CS544" i="83"/>
  <c r="CT544" i="83" s="1"/>
  <c r="CR545" i="83"/>
  <c r="CS545" i="83"/>
  <c r="CT545" i="83" s="1"/>
  <c r="CR546" i="83"/>
  <c r="CS546" i="83"/>
  <c r="CT546" i="83" s="1"/>
  <c r="CR547" i="83"/>
  <c r="CS547" i="83"/>
  <c r="CT547" i="83" s="1"/>
  <c r="CR548" i="83"/>
  <c r="CS548" i="83"/>
  <c r="CT548" i="83" s="1"/>
  <c r="CR549" i="83"/>
  <c r="CS549" i="83"/>
  <c r="CT549" i="83" s="1"/>
  <c r="CR550" i="83"/>
  <c r="CS550" i="83"/>
  <c r="CT550" i="83" s="1"/>
  <c r="CR551" i="83"/>
  <c r="CS551" i="83"/>
  <c r="CT551" i="83" s="1"/>
  <c r="CR552" i="83"/>
  <c r="CS552" i="83"/>
  <c r="CT552" i="83" s="1"/>
  <c r="CR553" i="83"/>
  <c r="CS553" i="83"/>
  <c r="CT553" i="83" s="1"/>
  <c r="CR554" i="83"/>
  <c r="CS554" i="83"/>
  <c r="CT554" i="83" s="1"/>
  <c r="CR555" i="83"/>
  <c r="CS555" i="83"/>
  <c r="CT555" i="83" s="1"/>
  <c r="CR556" i="83"/>
  <c r="CS556" i="83"/>
  <c r="CT556" i="83" s="1"/>
  <c r="CR557" i="83"/>
  <c r="CS557" i="83"/>
  <c r="CT557" i="83" s="1"/>
  <c r="CR558" i="83"/>
  <c r="CS558" i="83"/>
  <c r="CT558" i="83" s="1"/>
  <c r="CR559" i="83"/>
  <c r="CS559" i="83"/>
  <c r="CT559" i="83" s="1"/>
  <c r="CR560" i="83"/>
  <c r="CS560" i="83"/>
  <c r="CT560" i="83" s="1"/>
  <c r="CR561" i="83"/>
  <c r="CS561" i="83"/>
  <c r="CT561" i="83" s="1"/>
  <c r="CR562" i="83"/>
  <c r="CS562" i="83"/>
  <c r="CT562" i="83" s="1"/>
  <c r="CR563" i="83"/>
  <c r="CS563" i="83"/>
  <c r="CT563" i="83" s="1"/>
  <c r="CR564" i="83"/>
  <c r="CS564" i="83"/>
  <c r="CT564" i="83" s="1"/>
  <c r="CR565" i="83"/>
  <c r="CS565" i="83"/>
  <c r="CT565" i="83" s="1"/>
  <c r="CR566" i="83"/>
  <c r="CS566" i="83"/>
  <c r="CT566" i="83" s="1"/>
  <c r="CR567" i="83"/>
  <c r="CS567" i="83"/>
  <c r="CT567" i="83" s="1"/>
  <c r="CR568" i="83"/>
  <c r="CS568" i="83"/>
  <c r="CT568" i="83" s="1"/>
  <c r="CR569" i="83"/>
  <c r="CS569" i="83"/>
  <c r="CT569" i="83" s="1"/>
  <c r="CR570" i="83"/>
  <c r="CS570" i="83"/>
  <c r="CT570" i="83" s="1"/>
  <c r="CR571" i="83"/>
  <c r="CS571" i="83"/>
  <c r="CT571" i="83" s="1"/>
  <c r="CR572" i="83"/>
  <c r="CS572" i="83"/>
  <c r="CT572" i="83" s="1"/>
  <c r="CR573" i="83"/>
  <c r="CS573" i="83"/>
  <c r="CT573" i="83" s="1"/>
  <c r="CR574" i="83"/>
  <c r="CS574" i="83"/>
  <c r="CT574" i="83" s="1"/>
  <c r="CR575" i="83"/>
  <c r="CS575" i="83"/>
  <c r="CT575" i="83" s="1"/>
  <c r="CR576" i="83"/>
  <c r="CS576" i="83"/>
  <c r="CT576" i="83" s="1"/>
  <c r="CR577" i="83"/>
  <c r="CS577" i="83"/>
  <c r="CT577" i="83" s="1"/>
  <c r="CR578" i="83"/>
  <c r="CS578" i="83"/>
  <c r="CT578" i="83" s="1"/>
  <c r="CR579" i="83"/>
  <c r="CS579" i="83"/>
  <c r="CT579" i="83" s="1"/>
  <c r="CR580" i="83"/>
  <c r="CS580" i="83"/>
  <c r="CT580" i="83" s="1"/>
  <c r="CR581" i="83"/>
  <c r="CS581" i="83"/>
  <c r="CT581" i="83" s="1"/>
  <c r="CR582" i="83"/>
  <c r="CS582" i="83"/>
  <c r="CT582" i="83" s="1"/>
  <c r="CR583" i="83"/>
  <c r="CS583" i="83"/>
  <c r="CT583" i="83" s="1"/>
  <c r="CR584" i="83"/>
  <c r="CS584" i="83"/>
  <c r="CT584" i="83" s="1"/>
  <c r="CR585" i="83"/>
  <c r="CS585" i="83"/>
  <c r="CT585" i="83" s="1"/>
  <c r="CR586" i="83"/>
  <c r="CS586" i="83"/>
  <c r="CT586" i="83" s="1"/>
  <c r="CR587" i="83"/>
  <c r="CS587" i="83"/>
  <c r="CT587" i="83" s="1"/>
  <c r="CR588" i="83"/>
  <c r="CS588" i="83"/>
  <c r="CT588" i="83" s="1"/>
  <c r="CR589" i="83"/>
  <c r="CS589" i="83"/>
  <c r="CT589" i="83" s="1"/>
  <c r="CR590" i="83"/>
  <c r="CS590" i="83"/>
  <c r="CT590" i="83" s="1"/>
  <c r="CR591" i="83"/>
  <c r="CS591" i="83"/>
  <c r="CT591" i="83" s="1"/>
  <c r="CR592" i="83"/>
  <c r="CS592" i="83"/>
  <c r="CT592" i="83" s="1"/>
  <c r="CR593" i="83"/>
  <c r="CS593" i="83"/>
  <c r="CT593" i="83" s="1"/>
  <c r="CR594" i="83"/>
  <c r="CS594" i="83"/>
  <c r="CT594" i="83" s="1"/>
  <c r="CR595" i="83"/>
  <c r="CS595" i="83"/>
  <c r="CT595" i="83" s="1"/>
  <c r="CR596" i="83"/>
  <c r="CS596" i="83"/>
  <c r="CT596" i="83" s="1"/>
  <c r="CR597" i="83"/>
  <c r="CS597" i="83"/>
  <c r="CT597" i="83" s="1"/>
  <c r="CR598" i="83"/>
  <c r="CS598" i="83"/>
  <c r="CT598" i="83" s="1"/>
  <c r="CR599" i="83"/>
  <c r="CS599" i="83"/>
  <c r="CT599" i="83" s="1"/>
  <c r="CR600" i="83"/>
  <c r="CS600" i="83"/>
  <c r="CT600" i="83" s="1"/>
  <c r="CR1" i="86"/>
  <c r="CS1" i="86"/>
  <c r="CT1" i="86" s="1"/>
  <c r="CW1" i="86"/>
  <c r="CX1" i="86"/>
  <c r="CY1" i="86" s="1"/>
  <c r="CR2" i="86"/>
  <c r="CS2" i="86"/>
  <c r="CT2" i="86" s="1"/>
  <c r="CW2" i="86"/>
  <c r="CX2" i="86"/>
  <c r="CY2" i="86" s="1"/>
  <c r="CR3" i="86"/>
  <c r="CS3" i="86"/>
  <c r="CT3" i="86" s="1"/>
  <c r="CW3" i="86"/>
  <c r="CX3" i="86"/>
  <c r="CY3" i="86" s="1"/>
  <c r="CR4" i="86"/>
  <c r="CS4" i="86"/>
  <c r="CT4" i="86" s="1"/>
  <c r="CW4" i="86"/>
  <c r="CX4" i="86"/>
  <c r="CY4" i="86" s="1"/>
  <c r="CR5" i="86"/>
  <c r="CS5" i="86"/>
  <c r="CT5" i="86" s="1"/>
  <c r="CW5" i="86"/>
  <c r="CX5" i="86"/>
  <c r="CY5" i="86" s="1"/>
  <c r="CR6" i="86"/>
  <c r="CS6" i="86"/>
  <c r="CT6" i="86" s="1"/>
  <c r="CW6" i="86"/>
  <c r="CX6" i="86"/>
  <c r="CY6" i="86" s="1"/>
  <c r="CR7" i="86"/>
  <c r="CS7" i="86"/>
  <c r="CT7" i="86" s="1"/>
  <c r="CW7" i="86"/>
  <c r="CX7" i="86"/>
  <c r="CY7" i="86" s="1"/>
  <c r="CR8" i="86"/>
  <c r="CS8" i="86"/>
  <c r="CT8" i="86" s="1"/>
  <c r="CW8" i="86"/>
  <c r="CX8" i="86"/>
  <c r="CY8" i="86" s="1"/>
  <c r="CR9" i="86"/>
  <c r="CS9" i="86"/>
  <c r="CT9" i="86" s="1"/>
  <c r="CW9" i="86"/>
  <c r="CX9" i="86"/>
  <c r="CY9" i="86" s="1"/>
  <c r="CR10" i="86"/>
  <c r="CS10" i="86"/>
  <c r="CT10" i="86" s="1"/>
  <c r="CW10" i="86"/>
  <c r="CX10" i="86"/>
  <c r="CY10" i="86" s="1"/>
  <c r="CR11" i="86"/>
  <c r="CS11" i="86"/>
  <c r="CT11" i="86" s="1"/>
  <c r="CW11" i="86"/>
  <c r="CX11" i="86"/>
  <c r="CY11" i="86" s="1"/>
  <c r="CR12" i="86"/>
  <c r="CS12" i="86"/>
  <c r="CT12" i="86" s="1"/>
  <c r="CW12" i="86"/>
  <c r="CX12" i="86"/>
  <c r="CY12" i="86" s="1"/>
  <c r="CR13" i="86"/>
  <c r="CS13" i="86"/>
  <c r="CT13" i="86" s="1"/>
  <c r="CW13" i="86"/>
  <c r="CX13" i="86"/>
  <c r="CY13" i="86" s="1"/>
  <c r="CR14" i="86"/>
  <c r="CS14" i="86"/>
  <c r="CT14" i="86" s="1"/>
  <c r="CW14" i="86"/>
  <c r="CX14" i="86"/>
  <c r="CY14" i="86" s="1"/>
  <c r="CR15" i="86"/>
  <c r="CS15" i="86"/>
  <c r="CT15" i="86" s="1"/>
  <c r="CW15" i="86"/>
  <c r="CX15" i="86"/>
  <c r="CY15" i="86" s="1"/>
  <c r="CR16" i="86"/>
  <c r="CS16" i="86"/>
  <c r="CT16" i="86" s="1"/>
  <c r="CW16" i="86"/>
  <c r="CX16" i="86"/>
  <c r="CY16" i="86" s="1"/>
  <c r="CR17" i="86"/>
  <c r="CS17" i="86"/>
  <c r="CT17" i="86" s="1"/>
  <c r="CW17" i="86"/>
  <c r="CX17" i="86"/>
  <c r="CY17" i="86" s="1"/>
  <c r="CR18" i="86"/>
  <c r="CS18" i="86"/>
  <c r="CT18" i="86" s="1"/>
  <c r="CW18" i="86"/>
  <c r="CX18" i="86"/>
  <c r="CY18" i="86" s="1"/>
  <c r="CR19" i="86"/>
  <c r="CS19" i="86"/>
  <c r="CT19" i="86" s="1"/>
  <c r="CW19" i="86"/>
  <c r="CX19" i="86"/>
  <c r="CY19" i="86" s="1"/>
  <c r="CR20" i="86"/>
  <c r="CS20" i="86"/>
  <c r="CT20" i="86" s="1"/>
  <c r="CW20" i="86"/>
  <c r="CX20" i="86"/>
  <c r="CY20" i="86" s="1"/>
  <c r="CR21" i="86"/>
  <c r="CS21" i="86"/>
  <c r="CT21" i="86" s="1"/>
  <c r="CW21" i="86"/>
  <c r="CX21" i="86"/>
  <c r="CY21" i="86" s="1"/>
  <c r="CR22" i="86"/>
  <c r="CS22" i="86"/>
  <c r="CT22" i="86" s="1"/>
  <c r="CW22" i="86"/>
  <c r="CX22" i="86"/>
  <c r="CY22" i="86" s="1"/>
  <c r="CR23" i="86"/>
  <c r="CS23" i="86"/>
  <c r="CT23" i="86" s="1"/>
  <c r="CW23" i="86"/>
  <c r="CX23" i="86"/>
  <c r="CY23" i="86" s="1"/>
  <c r="CR24" i="86"/>
  <c r="CS24" i="86"/>
  <c r="CT24" i="86" s="1"/>
  <c r="CW24" i="86"/>
  <c r="CX24" i="86"/>
  <c r="CY24" i="86" s="1"/>
  <c r="CR25" i="86"/>
  <c r="CS25" i="86"/>
  <c r="CT25" i="86" s="1"/>
  <c r="CW25" i="86"/>
  <c r="CX25" i="86"/>
  <c r="CY25" i="86" s="1"/>
  <c r="CR26" i="86"/>
  <c r="CS26" i="86"/>
  <c r="CT26" i="86" s="1"/>
  <c r="CW26" i="86"/>
  <c r="CX26" i="86"/>
  <c r="CY26" i="86" s="1"/>
  <c r="CR27" i="86"/>
  <c r="CS27" i="86"/>
  <c r="CT27" i="86" s="1"/>
  <c r="CW27" i="86"/>
  <c r="CX27" i="86"/>
  <c r="CY27" i="86" s="1"/>
  <c r="CR28" i="86"/>
  <c r="CS28" i="86"/>
  <c r="CT28" i="86" s="1"/>
  <c r="CW28" i="86"/>
  <c r="CX28" i="86"/>
  <c r="CY28" i="86" s="1"/>
  <c r="CR29" i="86"/>
  <c r="CS29" i="86"/>
  <c r="CT29" i="86" s="1"/>
  <c r="CW29" i="86"/>
  <c r="CX29" i="86"/>
  <c r="CY29" i="86" s="1"/>
  <c r="CR30" i="86"/>
  <c r="CS30" i="86"/>
  <c r="CT30" i="86" s="1"/>
  <c r="CW30" i="86"/>
  <c r="CX30" i="86"/>
  <c r="CY30" i="86" s="1"/>
  <c r="CR31" i="86"/>
  <c r="CS31" i="86"/>
  <c r="CT31" i="86" s="1"/>
  <c r="CW31" i="86"/>
  <c r="CX31" i="86"/>
  <c r="CY31" i="86" s="1"/>
  <c r="CR32" i="86"/>
  <c r="CS32" i="86"/>
  <c r="CT32" i="86" s="1"/>
  <c r="CW32" i="86"/>
  <c r="CX32" i="86"/>
  <c r="CY32" i="86" s="1"/>
  <c r="CR33" i="86"/>
  <c r="CS33" i="86"/>
  <c r="CT33" i="86" s="1"/>
  <c r="CW33" i="86"/>
  <c r="CX33" i="86"/>
  <c r="CY33" i="86" s="1"/>
  <c r="CR34" i="86"/>
  <c r="CS34" i="86"/>
  <c r="CT34" i="86" s="1"/>
  <c r="CW34" i="86"/>
  <c r="CX34" i="86"/>
  <c r="CY34" i="86" s="1"/>
  <c r="CR35" i="86"/>
  <c r="CS35" i="86"/>
  <c r="CT35" i="86" s="1"/>
  <c r="CW35" i="86"/>
  <c r="CX35" i="86"/>
  <c r="CY35" i="86" s="1"/>
  <c r="CR36" i="86"/>
  <c r="CS36" i="86"/>
  <c r="CT36" i="86" s="1"/>
  <c r="CW36" i="86"/>
  <c r="CX36" i="86"/>
  <c r="CY36" i="86" s="1"/>
  <c r="CR37" i="86"/>
  <c r="CS37" i="86"/>
  <c r="CT37" i="86" s="1"/>
  <c r="CW37" i="86"/>
  <c r="CX37" i="86"/>
  <c r="CY37" i="86" s="1"/>
  <c r="CR38" i="86"/>
  <c r="CS38" i="86"/>
  <c r="CT38" i="86" s="1"/>
  <c r="CW38" i="86"/>
  <c r="CX38" i="86"/>
  <c r="CY38" i="86" s="1"/>
  <c r="CR39" i="86"/>
  <c r="CS39" i="86"/>
  <c r="CT39" i="86" s="1"/>
  <c r="CW39" i="86"/>
  <c r="CX39" i="86"/>
  <c r="CY39" i="86" s="1"/>
  <c r="CR40" i="86"/>
  <c r="CS40" i="86"/>
  <c r="CT40" i="86" s="1"/>
  <c r="CW40" i="86"/>
  <c r="CX40" i="86"/>
  <c r="CY40" i="86" s="1"/>
  <c r="CR41" i="86"/>
  <c r="CS41" i="86"/>
  <c r="CT41" i="86" s="1"/>
  <c r="CW41" i="86"/>
  <c r="CX41" i="86"/>
  <c r="CY41" i="86" s="1"/>
  <c r="CR42" i="86"/>
  <c r="CS42" i="86"/>
  <c r="CT42" i="86" s="1"/>
  <c r="CW42" i="86"/>
  <c r="CX42" i="86"/>
  <c r="CY42" i="86" s="1"/>
  <c r="CR43" i="86"/>
  <c r="CS43" i="86"/>
  <c r="CT43" i="86" s="1"/>
  <c r="CW43" i="86"/>
  <c r="CX43" i="86"/>
  <c r="CY43" i="86" s="1"/>
  <c r="CR44" i="86"/>
  <c r="CS44" i="86"/>
  <c r="CT44" i="86" s="1"/>
  <c r="CW44" i="86"/>
  <c r="CX44" i="86"/>
  <c r="CY44" i="86" s="1"/>
  <c r="CR45" i="86"/>
  <c r="CS45" i="86"/>
  <c r="CT45" i="86" s="1"/>
  <c r="CW45" i="86"/>
  <c r="CX45" i="86"/>
  <c r="CY45" i="86" s="1"/>
  <c r="CR46" i="86"/>
  <c r="CS46" i="86"/>
  <c r="CT46" i="86" s="1"/>
  <c r="CW46" i="86"/>
  <c r="CX46" i="86"/>
  <c r="CY46" i="86" s="1"/>
  <c r="CR47" i="86"/>
  <c r="CS47" i="86"/>
  <c r="CT47" i="86" s="1"/>
  <c r="CW47" i="86"/>
  <c r="CX47" i="86"/>
  <c r="CY47" i="86" s="1"/>
  <c r="CR48" i="86"/>
  <c r="CS48" i="86"/>
  <c r="CT48" i="86" s="1"/>
  <c r="CW48" i="86"/>
  <c r="CX48" i="86"/>
  <c r="CY48" i="86" s="1"/>
  <c r="CR49" i="86"/>
  <c r="CS49" i="86"/>
  <c r="CT49" i="86" s="1"/>
  <c r="CW49" i="86"/>
  <c r="CX49" i="86"/>
  <c r="CY49" i="86" s="1"/>
  <c r="CR50" i="86"/>
  <c r="CS50" i="86"/>
  <c r="CT50" i="86" s="1"/>
  <c r="CW50" i="86"/>
  <c r="CX50" i="86"/>
  <c r="CY50" i="86" s="1"/>
  <c r="CR51" i="86"/>
  <c r="CS51" i="86"/>
  <c r="CT51" i="86" s="1"/>
  <c r="CW51" i="86"/>
  <c r="CX51" i="86"/>
  <c r="CY51" i="86" s="1"/>
  <c r="CR52" i="86"/>
  <c r="CS52" i="86"/>
  <c r="CT52" i="86" s="1"/>
  <c r="CW52" i="86"/>
  <c r="CX52" i="86"/>
  <c r="CY52" i="86" s="1"/>
  <c r="CR53" i="86"/>
  <c r="CS53" i="86"/>
  <c r="CT53" i="86" s="1"/>
  <c r="CW53" i="86"/>
  <c r="CX53" i="86"/>
  <c r="CY53" i="86" s="1"/>
  <c r="CR54" i="86"/>
  <c r="CS54" i="86"/>
  <c r="CT54" i="86" s="1"/>
  <c r="CW54" i="86"/>
  <c r="CX54" i="86"/>
  <c r="CY54" i="86" s="1"/>
  <c r="CR55" i="86"/>
  <c r="CS55" i="86"/>
  <c r="CT55" i="86" s="1"/>
  <c r="CW55" i="86"/>
  <c r="CX55" i="86"/>
  <c r="CY55" i="86" s="1"/>
  <c r="CR56" i="86"/>
  <c r="CS56" i="86"/>
  <c r="CT56" i="86" s="1"/>
  <c r="CW56" i="86"/>
  <c r="CX56" i="86"/>
  <c r="CY56" i="86" s="1"/>
  <c r="CR57" i="86"/>
  <c r="CS57" i="86"/>
  <c r="CT57" i="86" s="1"/>
  <c r="CW57" i="86"/>
  <c r="CX57" i="86"/>
  <c r="CY57" i="86" s="1"/>
  <c r="CR58" i="86"/>
  <c r="CS58" i="86"/>
  <c r="CT58" i="86" s="1"/>
  <c r="CW58" i="86"/>
  <c r="CX58" i="86"/>
  <c r="CY58" i="86" s="1"/>
  <c r="CR59" i="86"/>
  <c r="CS59" i="86"/>
  <c r="CT59" i="86" s="1"/>
  <c r="CW59" i="86"/>
  <c r="CX59" i="86"/>
  <c r="CY59" i="86" s="1"/>
  <c r="CR60" i="86"/>
  <c r="CS60" i="86"/>
  <c r="CT60" i="86" s="1"/>
  <c r="CW60" i="86"/>
  <c r="CX60" i="86"/>
  <c r="CY60" i="86" s="1"/>
  <c r="CR61" i="86"/>
  <c r="CS61" i="86"/>
  <c r="CT61" i="86" s="1"/>
  <c r="CW61" i="86"/>
  <c r="CX61" i="86"/>
  <c r="CY61" i="86" s="1"/>
  <c r="CR62" i="86"/>
  <c r="CS62" i="86"/>
  <c r="CT62" i="86" s="1"/>
  <c r="CW62" i="86"/>
  <c r="CX62" i="86"/>
  <c r="CY62" i="86" s="1"/>
  <c r="CR63" i="86"/>
  <c r="CS63" i="86"/>
  <c r="CT63" i="86" s="1"/>
  <c r="CW63" i="86"/>
  <c r="CX63" i="86"/>
  <c r="CY63" i="86" s="1"/>
  <c r="CR64" i="86"/>
  <c r="CS64" i="86"/>
  <c r="CT64" i="86" s="1"/>
  <c r="CW64" i="86"/>
  <c r="CX64" i="86"/>
  <c r="CY64" i="86" s="1"/>
  <c r="CR65" i="86"/>
  <c r="CS65" i="86"/>
  <c r="CT65" i="86" s="1"/>
  <c r="CW65" i="86"/>
  <c r="CX65" i="86"/>
  <c r="CY65" i="86" s="1"/>
  <c r="CR66" i="86"/>
  <c r="CS66" i="86"/>
  <c r="CT66" i="86" s="1"/>
  <c r="CW66" i="86"/>
  <c r="CX66" i="86"/>
  <c r="CY66" i="86" s="1"/>
  <c r="CR67" i="86"/>
  <c r="CS67" i="86"/>
  <c r="CT67" i="86" s="1"/>
  <c r="CW67" i="86"/>
  <c r="CX67" i="86"/>
  <c r="CY67" i="86" s="1"/>
  <c r="CR68" i="86"/>
  <c r="CS68" i="86"/>
  <c r="CT68" i="86" s="1"/>
  <c r="CW68" i="86"/>
  <c r="CX68" i="86"/>
  <c r="CY68" i="86" s="1"/>
  <c r="CR69" i="86"/>
  <c r="CS69" i="86"/>
  <c r="CT69" i="86" s="1"/>
  <c r="CW69" i="86"/>
  <c r="CX69" i="86"/>
  <c r="CY69" i="86" s="1"/>
  <c r="CR70" i="86"/>
  <c r="CS70" i="86"/>
  <c r="CT70" i="86" s="1"/>
  <c r="CW70" i="86"/>
  <c r="CX70" i="86"/>
  <c r="CY70" i="86" s="1"/>
  <c r="CR71" i="86"/>
  <c r="CS71" i="86"/>
  <c r="CT71" i="86" s="1"/>
  <c r="CW71" i="86"/>
  <c r="CX71" i="86"/>
  <c r="CY71" i="86" s="1"/>
  <c r="CR72" i="86"/>
  <c r="CS72" i="86"/>
  <c r="CT72" i="86" s="1"/>
  <c r="CW72" i="86"/>
  <c r="CX72" i="86"/>
  <c r="CY72" i="86" s="1"/>
  <c r="CR73" i="86"/>
  <c r="CS73" i="86"/>
  <c r="CT73" i="86" s="1"/>
  <c r="CW73" i="86"/>
  <c r="CX73" i="86"/>
  <c r="CY73" i="86" s="1"/>
  <c r="CR74" i="86"/>
  <c r="CS74" i="86"/>
  <c r="CT74" i="86" s="1"/>
  <c r="CW74" i="86"/>
  <c r="CX74" i="86"/>
  <c r="CY74" i="86" s="1"/>
  <c r="CR75" i="86"/>
  <c r="CS75" i="86"/>
  <c r="CT75" i="86" s="1"/>
  <c r="CW75" i="86"/>
  <c r="CX75" i="86"/>
  <c r="CY75" i="86" s="1"/>
  <c r="CR76" i="86"/>
  <c r="CS76" i="86"/>
  <c r="CT76" i="86" s="1"/>
  <c r="CW76" i="86"/>
  <c r="CX76" i="86"/>
  <c r="CY76" i="86" s="1"/>
  <c r="CR77" i="86"/>
  <c r="CS77" i="86"/>
  <c r="CT77" i="86" s="1"/>
  <c r="CW77" i="86"/>
  <c r="CX77" i="86"/>
  <c r="CY77" i="86" s="1"/>
  <c r="CR78" i="86"/>
  <c r="CS78" i="86"/>
  <c r="CT78" i="86" s="1"/>
  <c r="CW78" i="86"/>
  <c r="CX78" i="86"/>
  <c r="CY78" i="86" s="1"/>
  <c r="CR79" i="86"/>
  <c r="CS79" i="86"/>
  <c r="CT79" i="86" s="1"/>
  <c r="CW79" i="86"/>
  <c r="CX79" i="86"/>
  <c r="CY79" i="86" s="1"/>
  <c r="CR80" i="86"/>
  <c r="CS80" i="86"/>
  <c r="CT80" i="86" s="1"/>
  <c r="CW80" i="86"/>
  <c r="CX80" i="86"/>
  <c r="CY80" i="86" s="1"/>
  <c r="CR81" i="86"/>
  <c r="CS81" i="86"/>
  <c r="CT81" i="86" s="1"/>
  <c r="CW81" i="86"/>
  <c r="CX81" i="86"/>
  <c r="CY81" i="86" s="1"/>
  <c r="CR82" i="86"/>
  <c r="CS82" i="86"/>
  <c r="CT82" i="86" s="1"/>
  <c r="CW82" i="86"/>
  <c r="CX82" i="86"/>
  <c r="CY82" i="86" s="1"/>
  <c r="CR83" i="86"/>
  <c r="CS83" i="86"/>
  <c r="CT83" i="86" s="1"/>
  <c r="CW83" i="86"/>
  <c r="CX83" i="86"/>
  <c r="CY83" i="86" s="1"/>
  <c r="CR84" i="86"/>
  <c r="CS84" i="86"/>
  <c r="CT84" i="86" s="1"/>
  <c r="CW84" i="86"/>
  <c r="CX84" i="86"/>
  <c r="CY84" i="86" s="1"/>
  <c r="CR85" i="86"/>
  <c r="CS85" i="86"/>
  <c r="CT85" i="86" s="1"/>
  <c r="CW85" i="86"/>
  <c r="CX85" i="86"/>
  <c r="CY85" i="86" s="1"/>
  <c r="CR86" i="86"/>
  <c r="CS86" i="86"/>
  <c r="CT86" i="86" s="1"/>
  <c r="CW86" i="86"/>
  <c r="CX86" i="86"/>
  <c r="CY86" i="86" s="1"/>
  <c r="CR87" i="86"/>
  <c r="CS87" i="86"/>
  <c r="CT87" i="86" s="1"/>
  <c r="CW87" i="86"/>
  <c r="CX87" i="86"/>
  <c r="CY87" i="86" s="1"/>
  <c r="CR88" i="86"/>
  <c r="CS88" i="86"/>
  <c r="CT88" i="86" s="1"/>
  <c r="CW88" i="86"/>
  <c r="CX88" i="86"/>
  <c r="CY88" i="86" s="1"/>
  <c r="CR89" i="86"/>
  <c r="CS89" i="86"/>
  <c r="CT89" i="86" s="1"/>
  <c r="CW89" i="86"/>
  <c r="CX89" i="86"/>
  <c r="CY89" i="86" s="1"/>
  <c r="CR90" i="86"/>
  <c r="CS90" i="86"/>
  <c r="CT90" i="86" s="1"/>
  <c r="CW90" i="86"/>
  <c r="CX90" i="86"/>
  <c r="CY90" i="86" s="1"/>
  <c r="CR91" i="86"/>
  <c r="CS91" i="86"/>
  <c r="CT91" i="86" s="1"/>
  <c r="CW91" i="86"/>
  <c r="CX91" i="86"/>
  <c r="CY91" i="86" s="1"/>
  <c r="CR92" i="86"/>
  <c r="CS92" i="86"/>
  <c r="CT92" i="86" s="1"/>
  <c r="CW92" i="86"/>
  <c r="CX92" i="86"/>
  <c r="CY92" i="86" s="1"/>
  <c r="CR93" i="86"/>
  <c r="CS93" i="86"/>
  <c r="CT93" i="86" s="1"/>
  <c r="CW93" i="86"/>
  <c r="CX93" i="86"/>
  <c r="CY93" i="86" s="1"/>
  <c r="CR94" i="86"/>
  <c r="CS94" i="86"/>
  <c r="CT94" i="86" s="1"/>
  <c r="CW94" i="86"/>
  <c r="CX94" i="86"/>
  <c r="CY94" i="86" s="1"/>
  <c r="CR95" i="86"/>
  <c r="CS95" i="86"/>
  <c r="CT95" i="86" s="1"/>
  <c r="CW95" i="86"/>
  <c r="CX95" i="86"/>
  <c r="CY95" i="86" s="1"/>
  <c r="CR96" i="86"/>
  <c r="CS96" i="86"/>
  <c r="CT96" i="86" s="1"/>
  <c r="CW96" i="86"/>
  <c r="CX96" i="86"/>
  <c r="CY96" i="86" s="1"/>
  <c r="CR97" i="86"/>
  <c r="CS97" i="86"/>
  <c r="CT97" i="86" s="1"/>
  <c r="CW97" i="86"/>
  <c r="CX97" i="86"/>
  <c r="CY97" i="86" s="1"/>
  <c r="CR98" i="86"/>
  <c r="CS98" i="86"/>
  <c r="CT98" i="86" s="1"/>
  <c r="CW98" i="86"/>
  <c r="CX98" i="86"/>
  <c r="CY98" i="86" s="1"/>
  <c r="CR99" i="86"/>
  <c r="CS99" i="86"/>
  <c r="CT99" i="86" s="1"/>
  <c r="CW99" i="86"/>
  <c r="CX99" i="86"/>
  <c r="CY99" i="86" s="1"/>
  <c r="CR100" i="86"/>
  <c r="CS100" i="86"/>
  <c r="CT100" i="86" s="1"/>
  <c r="CW100" i="86"/>
  <c r="CX100" i="86"/>
  <c r="CY100" i="86" s="1"/>
  <c r="CR101" i="86"/>
  <c r="CS101" i="86"/>
  <c r="CT101" i="86" s="1"/>
  <c r="CW101" i="86"/>
  <c r="CX101" i="86"/>
  <c r="CY101" i="86" s="1"/>
  <c r="CR102" i="86"/>
  <c r="CS102" i="86"/>
  <c r="CT102" i="86" s="1"/>
  <c r="CW102" i="86"/>
  <c r="CX102" i="86"/>
  <c r="CY102" i="86" s="1"/>
  <c r="CR103" i="86"/>
  <c r="CS103" i="86"/>
  <c r="CT103" i="86" s="1"/>
  <c r="CW103" i="86"/>
  <c r="CX103" i="86"/>
  <c r="CY103" i="86" s="1"/>
  <c r="CR104" i="86"/>
  <c r="CS104" i="86"/>
  <c r="CT104" i="86" s="1"/>
  <c r="CW104" i="86"/>
  <c r="CX104" i="86"/>
  <c r="CY104" i="86" s="1"/>
  <c r="CR105" i="86"/>
  <c r="CS105" i="86"/>
  <c r="CT105" i="86" s="1"/>
  <c r="CW105" i="86"/>
  <c r="CX105" i="86"/>
  <c r="CY105" i="86" s="1"/>
  <c r="CR106" i="86"/>
  <c r="CS106" i="86"/>
  <c r="CT106" i="86" s="1"/>
  <c r="CW106" i="86"/>
  <c r="CX106" i="86"/>
  <c r="CY106" i="86" s="1"/>
  <c r="CR107" i="86"/>
  <c r="CS107" i="86"/>
  <c r="CT107" i="86" s="1"/>
  <c r="CW107" i="86"/>
  <c r="CX107" i="86"/>
  <c r="CY107" i="86" s="1"/>
  <c r="CR108" i="86"/>
  <c r="CS108" i="86"/>
  <c r="CT108" i="86" s="1"/>
  <c r="CW108" i="86"/>
  <c r="CX108" i="86"/>
  <c r="CY108" i="86" s="1"/>
  <c r="CR109" i="86"/>
  <c r="CS109" i="86"/>
  <c r="CT109" i="86" s="1"/>
  <c r="CW109" i="86"/>
  <c r="CX109" i="86"/>
  <c r="CY109" i="86" s="1"/>
  <c r="CR110" i="86"/>
  <c r="CS110" i="86"/>
  <c r="CT110" i="86" s="1"/>
  <c r="CW110" i="86"/>
  <c r="CX110" i="86"/>
  <c r="CY110" i="86" s="1"/>
  <c r="CR111" i="86"/>
  <c r="CS111" i="86"/>
  <c r="CT111" i="86" s="1"/>
  <c r="CW111" i="86"/>
  <c r="CX111" i="86"/>
  <c r="CY111" i="86" s="1"/>
  <c r="CR112" i="86"/>
  <c r="CS112" i="86"/>
  <c r="CT112" i="86" s="1"/>
  <c r="CW112" i="86"/>
  <c r="CX112" i="86"/>
  <c r="CY112" i="86" s="1"/>
  <c r="CR113" i="86"/>
  <c r="CS113" i="86"/>
  <c r="CT113" i="86" s="1"/>
  <c r="CW113" i="86"/>
  <c r="CX113" i="86"/>
  <c r="CY113" i="86" s="1"/>
  <c r="CR114" i="86"/>
  <c r="CS114" i="86"/>
  <c r="CT114" i="86" s="1"/>
  <c r="CW114" i="86"/>
  <c r="CX114" i="86"/>
  <c r="CY114" i="86" s="1"/>
  <c r="CR115" i="86"/>
  <c r="CS115" i="86"/>
  <c r="CT115" i="86" s="1"/>
  <c r="CW115" i="86"/>
  <c r="CX115" i="86"/>
  <c r="CY115" i="86" s="1"/>
  <c r="CR116" i="86"/>
  <c r="CS116" i="86"/>
  <c r="CT116" i="86" s="1"/>
  <c r="CW116" i="86"/>
  <c r="CX116" i="86"/>
  <c r="CY116" i="86" s="1"/>
  <c r="CR117" i="86"/>
  <c r="CS117" i="86"/>
  <c r="CT117" i="86" s="1"/>
  <c r="CW117" i="86"/>
  <c r="CX117" i="86"/>
  <c r="CY117" i="86" s="1"/>
  <c r="CR118" i="86"/>
  <c r="CS118" i="86"/>
  <c r="CT118" i="86" s="1"/>
  <c r="CW118" i="86"/>
  <c r="CX118" i="86"/>
  <c r="CY118" i="86" s="1"/>
  <c r="CR119" i="86"/>
  <c r="CS119" i="86"/>
  <c r="CT119" i="86" s="1"/>
  <c r="CW119" i="86"/>
  <c r="CX119" i="86"/>
  <c r="CY119" i="86" s="1"/>
  <c r="CR120" i="86"/>
  <c r="CS120" i="86"/>
  <c r="CT120" i="86" s="1"/>
  <c r="CW120" i="86"/>
  <c r="CX120" i="86"/>
  <c r="CY120" i="86" s="1"/>
  <c r="CR121" i="86"/>
  <c r="CS121" i="86"/>
  <c r="CT121" i="86" s="1"/>
  <c r="CW121" i="86"/>
  <c r="CX121" i="86"/>
  <c r="CY121" i="86" s="1"/>
  <c r="CR122" i="86"/>
  <c r="CS122" i="86"/>
  <c r="CT122" i="86" s="1"/>
  <c r="CW122" i="86"/>
  <c r="CX122" i="86"/>
  <c r="CY122" i="86" s="1"/>
  <c r="CR123" i="86"/>
  <c r="CS123" i="86"/>
  <c r="CT123" i="86" s="1"/>
  <c r="CW123" i="86"/>
  <c r="CX123" i="86"/>
  <c r="CY123" i="86" s="1"/>
  <c r="CR124" i="86"/>
  <c r="CS124" i="86"/>
  <c r="CT124" i="86" s="1"/>
  <c r="CW124" i="86"/>
  <c r="CX124" i="86"/>
  <c r="CY124" i="86" s="1"/>
  <c r="CR125" i="86"/>
  <c r="CS125" i="86"/>
  <c r="CT125" i="86" s="1"/>
  <c r="CW125" i="86"/>
  <c r="CX125" i="86"/>
  <c r="CY125" i="86" s="1"/>
  <c r="CR126" i="86"/>
  <c r="CS126" i="86"/>
  <c r="CT126" i="86" s="1"/>
  <c r="CW126" i="86"/>
  <c r="CX126" i="86"/>
  <c r="CY126" i="86" s="1"/>
  <c r="CR127" i="86"/>
  <c r="CS127" i="86"/>
  <c r="CT127" i="86" s="1"/>
  <c r="CW127" i="86"/>
  <c r="CX127" i="86"/>
  <c r="CY127" i="86" s="1"/>
  <c r="CR128" i="86"/>
  <c r="CS128" i="86"/>
  <c r="CT128" i="86" s="1"/>
  <c r="CW128" i="86"/>
  <c r="CX128" i="86"/>
  <c r="CY128" i="86" s="1"/>
  <c r="CR129" i="86"/>
  <c r="CS129" i="86"/>
  <c r="CT129" i="86" s="1"/>
  <c r="CW129" i="86"/>
  <c r="CX129" i="86"/>
  <c r="CY129" i="86" s="1"/>
  <c r="CR130" i="86"/>
  <c r="CS130" i="86"/>
  <c r="CT130" i="86" s="1"/>
  <c r="CW130" i="86"/>
  <c r="CX130" i="86"/>
  <c r="CY130" i="86" s="1"/>
  <c r="CR131" i="86"/>
  <c r="CS131" i="86"/>
  <c r="CT131" i="86" s="1"/>
  <c r="CW131" i="86"/>
  <c r="CX131" i="86"/>
  <c r="CY131" i="86" s="1"/>
  <c r="CR132" i="86"/>
  <c r="CS132" i="86"/>
  <c r="CT132" i="86" s="1"/>
  <c r="CW132" i="86"/>
  <c r="CX132" i="86"/>
  <c r="CY132" i="86" s="1"/>
  <c r="CR133" i="86"/>
  <c r="CS133" i="86"/>
  <c r="CT133" i="86" s="1"/>
  <c r="CW133" i="86"/>
  <c r="CX133" i="86"/>
  <c r="CY133" i="86" s="1"/>
  <c r="CR134" i="86"/>
  <c r="CS134" i="86"/>
  <c r="CT134" i="86" s="1"/>
  <c r="CW134" i="86"/>
  <c r="CX134" i="86"/>
  <c r="CY134" i="86" s="1"/>
  <c r="CR135" i="86"/>
  <c r="CS135" i="86"/>
  <c r="CT135" i="86" s="1"/>
  <c r="CW135" i="86"/>
  <c r="CX135" i="86"/>
  <c r="CY135" i="86" s="1"/>
  <c r="CR136" i="86"/>
  <c r="CS136" i="86"/>
  <c r="CT136" i="86" s="1"/>
  <c r="CW136" i="86"/>
  <c r="CX136" i="86"/>
  <c r="CY136" i="86" s="1"/>
  <c r="CR137" i="86"/>
  <c r="CS137" i="86"/>
  <c r="CT137" i="86" s="1"/>
  <c r="CW137" i="86"/>
  <c r="CX137" i="86"/>
  <c r="CY137" i="86" s="1"/>
  <c r="CR138" i="86"/>
  <c r="CS138" i="86"/>
  <c r="CT138" i="86" s="1"/>
  <c r="CW138" i="86"/>
  <c r="CX138" i="86"/>
  <c r="CY138" i="86" s="1"/>
  <c r="CR139" i="86"/>
  <c r="CS139" i="86"/>
  <c r="CT139" i="86" s="1"/>
  <c r="CW139" i="86"/>
  <c r="CX139" i="86"/>
  <c r="CY139" i="86" s="1"/>
  <c r="CR140" i="86"/>
  <c r="CS140" i="86"/>
  <c r="CT140" i="86" s="1"/>
  <c r="CW140" i="86"/>
  <c r="CX140" i="86"/>
  <c r="CY140" i="86" s="1"/>
  <c r="CR141" i="86"/>
  <c r="CS141" i="86"/>
  <c r="CT141" i="86" s="1"/>
  <c r="CW141" i="86"/>
  <c r="CX141" i="86"/>
  <c r="CY141" i="86" s="1"/>
  <c r="CR142" i="86"/>
  <c r="CS142" i="86"/>
  <c r="CT142" i="86" s="1"/>
  <c r="CW142" i="86"/>
  <c r="CX142" i="86"/>
  <c r="CY142" i="86" s="1"/>
  <c r="CR143" i="86"/>
  <c r="CS143" i="86"/>
  <c r="CT143" i="86" s="1"/>
  <c r="CW143" i="86"/>
  <c r="CX143" i="86"/>
  <c r="CY143" i="86" s="1"/>
  <c r="CR144" i="86"/>
  <c r="CS144" i="86"/>
  <c r="CT144" i="86" s="1"/>
  <c r="CW144" i="86"/>
  <c r="CX144" i="86"/>
  <c r="CY144" i="86" s="1"/>
  <c r="CR145" i="86"/>
  <c r="CS145" i="86"/>
  <c r="CT145" i="86" s="1"/>
  <c r="CW145" i="86"/>
  <c r="CX145" i="86"/>
  <c r="CY145" i="86" s="1"/>
  <c r="CR146" i="86"/>
  <c r="CS146" i="86"/>
  <c r="CT146" i="86" s="1"/>
  <c r="CW146" i="86"/>
  <c r="CX146" i="86"/>
  <c r="CY146" i="86" s="1"/>
  <c r="CR147" i="86"/>
  <c r="CS147" i="86"/>
  <c r="CT147" i="86" s="1"/>
  <c r="CW147" i="86"/>
  <c r="CX147" i="86"/>
  <c r="CY147" i="86" s="1"/>
  <c r="CR148" i="86"/>
  <c r="CS148" i="86"/>
  <c r="CT148" i="86" s="1"/>
  <c r="CW148" i="86"/>
  <c r="CX148" i="86"/>
  <c r="CY148" i="86" s="1"/>
  <c r="CR149" i="86"/>
  <c r="CS149" i="86"/>
  <c r="CT149" i="86" s="1"/>
  <c r="CW149" i="86"/>
  <c r="CX149" i="86"/>
  <c r="CY149" i="86" s="1"/>
  <c r="CR150" i="86"/>
  <c r="CS150" i="86"/>
  <c r="CT150" i="86" s="1"/>
  <c r="CW150" i="86"/>
  <c r="CX150" i="86"/>
  <c r="CY150" i="86" s="1"/>
  <c r="CR151" i="86"/>
  <c r="CS151" i="86"/>
  <c r="CT151" i="86" s="1"/>
  <c r="CW151" i="86"/>
  <c r="CX151" i="86"/>
  <c r="CY151" i="86" s="1"/>
  <c r="CR152" i="86"/>
  <c r="CS152" i="86"/>
  <c r="CT152" i="86" s="1"/>
  <c r="CW152" i="86"/>
  <c r="CX152" i="86"/>
  <c r="CY152" i="86" s="1"/>
  <c r="CR153" i="86"/>
  <c r="CS153" i="86"/>
  <c r="CT153" i="86" s="1"/>
  <c r="CW153" i="86"/>
  <c r="CX153" i="86"/>
  <c r="CY153" i="86" s="1"/>
  <c r="CR154" i="86"/>
  <c r="CS154" i="86"/>
  <c r="CT154" i="86" s="1"/>
  <c r="CW154" i="86"/>
  <c r="CX154" i="86"/>
  <c r="CY154" i="86" s="1"/>
  <c r="CR155" i="86"/>
  <c r="CS155" i="86"/>
  <c r="CT155" i="86" s="1"/>
  <c r="CW155" i="86"/>
  <c r="CX155" i="86"/>
  <c r="CY155" i="86" s="1"/>
  <c r="CR156" i="86"/>
  <c r="CS156" i="86"/>
  <c r="CT156" i="86" s="1"/>
  <c r="CW156" i="86"/>
  <c r="CX156" i="86"/>
  <c r="CY156" i="86" s="1"/>
  <c r="CR157" i="86"/>
  <c r="CS157" i="86"/>
  <c r="CT157" i="86" s="1"/>
  <c r="CW157" i="86"/>
  <c r="CX157" i="86"/>
  <c r="CY157" i="86" s="1"/>
  <c r="CR158" i="86"/>
  <c r="CS158" i="86"/>
  <c r="CT158" i="86" s="1"/>
  <c r="CW158" i="86"/>
  <c r="CX158" i="86"/>
  <c r="CY158" i="86" s="1"/>
  <c r="CR159" i="86"/>
  <c r="CS159" i="86"/>
  <c r="CT159" i="86" s="1"/>
  <c r="CW159" i="86"/>
  <c r="CX159" i="86"/>
  <c r="CY159" i="86" s="1"/>
  <c r="CR160" i="86"/>
  <c r="CS160" i="86"/>
  <c r="CT160" i="86" s="1"/>
  <c r="CW160" i="86"/>
  <c r="CX160" i="86"/>
  <c r="CY160" i="86" s="1"/>
  <c r="CR161" i="86"/>
  <c r="CS161" i="86"/>
  <c r="CT161" i="86" s="1"/>
  <c r="CW161" i="86"/>
  <c r="CX161" i="86"/>
  <c r="CY161" i="86" s="1"/>
  <c r="CR162" i="86"/>
  <c r="CS162" i="86"/>
  <c r="CT162" i="86" s="1"/>
  <c r="CW162" i="86"/>
  <c r="CX162" i="86"/>
  <c r="CY162" i="86" s="1"/>
  <c r="CR163" i="86"/>
  <c r="CS163" i="86"/>
  <c r="CT163" i="86" s="1"/>
  <c r="CW163" i="86"/>
  <c r="CX163" i="86"/>
  <c r="CY163" i="86" s="1"/>
  <c r="CR164" i="86"/>
  <c r="CS164" i="86"/>
  <c r="CT164" i="86" s="1"/>
  <c r="CW164" i="86"/>
  <c r="CX164" i="86"/>
  <c r="CY164" i="86" s="1"/>
  <c r="CR165" i="86"/>
  <c r="CS165" i="86"/>
  <c r="CT165" i="86" s="1"/>
  <c r="CW165" i="86"/>
  <c r="CX165" i="86"/>
  <c r="CY165" i="86" s="1"/>
  <c r="CR166" i="86"/>
  <c r="CS166" i="86"/>
  <c r="CT166" i="86" s="1"/>
  <c r="CW166" i="86"/>
  <c r="CX166" i="86"/>
  <c r="CY166" i="86" s="1"/>
  <c r="CR167" i="86"/>
  <c r="CS167" i="86"/>
  <c r="CT167" i="86" s="1"/>
  <c r="CW167" i="86"/>
  <c r="CX167" i="86"/>
  <c r="CY167" i="86" s="1"/>
  <c r="CR168" i="86"/>
  <c r="CS168" i="86"/>
  <c r="CT168" i="86" s="1"/>
  <c r="CW168" i="86"/>
  <c r="CX168" i="86"/>
  <c r="CY168" i="86" s="1"/>
  <c r="CR169" i="86"/>
  <c r="CS169" i="86"/>
  <c r="CT169" i="86" s="1"/>
  <c r="CW169" i="86"/>
  <c r="CX169" i="86"/>
  <c r="CY169" i="86" s="1"/>
  <c r="CR170" i="86"/>
  <c r="CS170" i="86"/>
  <c r="CT170" i="86" s="1"/>
  <c r="CW170" i="86"/>
  <c r="CX170" i="86"/>
  <c r="CY170" i="86" s="1"/>
  <c r="CR171" i="86"/>
  <c r="CS171" i="86"/>
  <c r="CT171" i="86" s="1"/>
  <c r="CW171" i="86"/>
  <c r="CX171" i="86"/>
  <c r="CY171" i="86" s="1"/>
  <c r="CR172" i="86"/>
  <c r="CS172" i="86"/>
  <c r="CT172" i="86" s="1"/>
  <c r="CW172" i="86"/>
  <c r="CX172" i="86"/>
  <c r="CY172" i="86" s="1"/>
  <c r="CR173" i="86"/>
  <c r="CS173" i="86"/>
  <c r="CT173" i="86" s="1"/>
  <c r="CW173" i="86"/>
  <c r="CX173" i="86"/>
  <c r="CY173" i="86" s="1"/>
  <c r="CR174" i="86"/>
  <c r="CS174" i="86"/>
  <c r="CT174" i="86" s="1"/>
  <c r="CW174" i="86"/>
  <c r="CX174" i="86"/>
  <c r="CY174" i="86" s="1"/>
  <c r="CR175" i="86"/>
  <c r="CS175" i="86"/>
  <c r="CT175" i="86" s="1"/>
  <c r="CW175" i="86"/>
  <c r="CX175" i="86"/>
  <c r="CY175" i="86" s="1"/>
  <c r="CR176" i="86"/>
  <c r="CS176" i="86"/>
  <c r="CT176" i="86" s="1"/>
  <c r="CW176" i="86"/>
  <c r="CX176" i="86"/>
  <c r="CY176" i="86" s="1"/>
  <c r="CR177" i="86"/>
  <c r="CS177" i="86"/>
  <c r="CT177" i="86" s="1"/>
  <c r="CW177" i="86"/>
  <c r="CX177" i="86"/>
  <c r="CY177" i="86" s="1"/>
  <c r="CR178" i="86"/>
  <c r="CS178" i="86"/>
  <c r="CT178" i="86" s="1"/>
  <c r="CW178" i="86"/>
  <c r="CX178" i="86"/>
  <c r="CY178" i="86" s="1"/>
  <c r="CR179" i="86"/>
  <c r="CS179" i="86"/>
  <c r="CT179" i="86" s="1"/>
  <c r="CW179" i="86"/>
  <c r="CX179" i="86"/>
  <c r="CY179" i="86" s="1"/>
  <c r="CR180" i="86"/>
  <c r="CS180" i="86"/>
  <c r="CT180" i="86" s="1"/>
  <c r="CW180" i="86"/>
  <c r="CX180" i="86"/>
  <c r="CY180" i="86" s="1"/>
  <c r="CR181" i="86"/>
  <c r="CS181" i="86"/>
  <c r="CT181" i="86" s="1"/>
  <c r="CW181" i="86"/>
  <c r="CX181" i="86"/>
  <c r="CY181" i="86" s="1"/>
  <c r="CR182" i="86"/>
  <c r="CS182" i="86"/>
  <c r="CT182" i="86" s="1"/>
  <c r="CW182" i="86"/>
  <c r="CX182" i="86"/>
  <c r="CY182" i="86" s="1"/>
  <c r="CR183" i="86"/>
  <c r="CS183" i="86"/>
  <c r="CT183" i="86" s="1"/>
  <c r="CW183" i="86"/>
  <c r="CX183" i="86"/>
  <c r="CY183" i="86" s="1"/>
  <c r="CR184" i="86"/>
  <c r="CS184" i="86"/>
  <c r="CT184" i="86" s="1"/>
  <c r="CW184" i="86"/>
  <c r="CX184" i="86"/>
  <c r="CY184" i="86" s="1"/>
  <c r="CR185" i="86"/>
  <c r="CS185" i="86"/>
  <c r="CT185" i="86" s="1"/>
  <c r="CW185" i="86"/>
  <c r="CX185" i="86"/>
  <c r="CY185" i="86" s="1"/>
  <c r="CR186" i="86"/>
  <c r="CS186" i="86"/>
  <c r="CT186" i="86" s="1"/>
  <c r="CW186" i="86"/>
  <c r="CX186" i="86"/>
  <c r="CY186" i="86" s="1"/>
  <c r="CR187" i="86"/>
  <c r="CS187" i="86"/>
  <c r="CT187" i="86" s="1"/>
  <c r="CW187" i="86"/>
  <c r="CX187" i="86"/>
  <c r="CY187" i="86" s="1"/>
  <c r="CR188" i="86"/>
  <c r="CS188" i="86"/>
  <c r="CT188" i="86" s="1"/>
  <c r="CW188" i="86"/>
  <c r="CX188" i="86"/>
  <c r="CY188" i="86" s="1"/>
  <c r="CR189" i="86"/>
  <c r="CS189" i="86"/>
  <c r="CT189" i="86" s="1"/>
  <c r="CW189" i="86"/>
  <c r="CX189" i="86"/>
  <c r="CY189" i="86" s="1"/>
  <c r="CR190" i="86"/>
  <c r="CS190" i="86"/>
  <c r="CT190" i="86" s="1"/>
  <c r="CW190" i="86"/>
  <c r="CX190" i="86"/>
  <c r="CY190" i="86" s="1"/>
  <c r="CR191" i="86"/>
  <c r="CS191" i="86"/>
  <c r="CT191" i="86" s="1"/>
  <c r="CW191" i="86"/>
  <c r="CX191" i="86"/>
  <c r="CY191" i="86" s="1"/>
  <c r="CR192" i="86"/>
  <c r="CS192" i="86"/>
  <c r="CT192" i="86" s="1"/>
  <c r="CW192" i="86"/>
  <c r="CX192" i="86"/>
  <c r="CY192" i="86" s="1"/>
  <c r="CR193" i="86"/>
  <c r="CS193" i="86"/>
  <c r="CT193" i="86" s="1"/>
  <c r="CW193" i="86"/>
  <c r="CX193" i="86"/>
  <c r="CY193" i="86" s="1"/>
  <c r="CR194" i="86"/>
  <c r="CS194" i="86"/>
  <c r="CT194" i="86" s="1"/>
  <c r="CW194" i="86"/>
  <c r="CX194" i="86"/>
  <c r="CY194" i="86" s="1"/>
  <c r="CR195" i="86"/>
  <c r="CS195" i="86"/>
  <c r="CT195" i="86" s="1"/>
  <c r="CW195" i="86"/>
  <c r="CX195" i="86"/>
  <c r="CY195" i="86" s="1"/>
  <c r="CR196" i="86"/>
  <c r="CS196" i="86"/>
  <c r="CT196" i="86" s="1"/>
  <c r="CW196" i="86"/>
  <c r="CX196" i="86"/>
  <c r="CY196" i="86" s="1"/>
  <c r="CR197" i="86"/>
  <c r="CS197" i="86"/>
  <c r="CT197" i="86" s="1"/>
  <c r="CW197" i="86"/>
  <c r="CX197" i="86"/>
  <c r="CY197" i="86" s="1"/>
  <c r="CR198" i="86"/>
  <c r="CS198" i="86"/>
  <c r="CT198" i="86" s="1"/>
  <c r="CW198" i="86"/>
  <c r="CX198" i="86"/>
  <c r="CY198" i="86" s="1"/>
  <c r="CR199" i="86"/>
  <c r="CS199" i="86"/>
  <c r="CT199" i="86" s="1"/>
  <c r="CW199" i="86"/>
  <c r="CX199" i="86"/>
  <c r="CY199" i="86" s="1"/>
  <c r="CR200" i="86"/>
  <c r="CS200" i="86"/>
  <c r="CT200" i="86" s="1"/>
  <c r="CW200" i="86"/>
  <c r="CX200" i="86"/>
  <c r="CY200" i="86" s="1"/>
  <c r="CR201" i="86"/>
  <c r="CS201" i="86"/>
  <c r="CT201" i="86" s="1"/>
  <c r="CW201" i="86"/>
  <c r="CX201" i="86"/>
  <c r="CY201" i="86" s="1"/>
  <c r="CR202" i="86"/>
  <c r="CS202" i="86"/>
  <c r="CT202" i="86" s="1"/>
  <c r="CW202" i="86"/>
  <c r="CX202" i="86"/>
  <c r="CY202" i="86" s="1"/>
  <c r="CR203" i="86"/>
  <c r="CS203" i="86"/>
  <c r="CT203" i="86" s="1"/>
  <c r="CW203" i="86"/>
  <c r="CX203" i="86"/>
  <c r="CY203" i="86" s="1"/>
  <c r="CR204" i="86"/>
  <c r="CS204" i="86"/>
  <c r="CT204" i="86" s="1"/>
  <c r="CW204" i="86"/>
  <c r="CX204" i="86"/>
  <c r="CY204" i="86" s="1"/>
  <c r="CR205" i="86"/>
  <c r="CS205" i="86"/>
  <c r="CT205" i="86" s="1"/>
  <c r="CW205" i="86"/>
  <c r="CX205" i="86"/>
  <c r="CY205" i="86" s="1"/>
  <c r="CR206" i="86"/>
  <c r="CS206" i="86"/>
  <c r="CT206" i="86" s="1"/>
  <c r="CW206" i="86"/>
  <c r="CX206" i="86"/>
  <c r="CY206" i="86" s="1"/>
  <c r="CR207" i="86"/>
  <c r="CS207" i="86"/>
  <c r="CT207" i="86" s="1"/>
  <c r="CW207" i="86"/>
  <c r="CX207" i="86"/>
  <c r="CY207" i="86" s="1"/>
  <c r="CR208" i="86"/>
  <c r="CS208" i="86"/>
  <c r="CT208" i="86" s="1"/>
  <c r="CW208" i="86"/>
  <c r="CX208" i="86"/>
  <c r="CY208" i="86" s="1"/>
  <c r="CR209" i="86"/>
  <c r="CS209" i="86"/>
  <c r="CT209" i="86" s="1"/>
  <c r="CW209" i="86"/>
  <c r="CX209" i="86"/>
  <c r="CY209" i="86" s="1"/>
  <c r="CR210" i="86"/>
  <c r="CS210" i="86"/>
  <c r="CT210" i="86" s="1"/>
  <c r="CW210" i="86"/>
  <c r="CX210" i="86"/>
  <c r="CY210" i="86" s="1"/>
  <c r="CR211" i="86"/>
  <c r="CS211" i="86"/>
  <c r="CT211" i="86" s="1"/>
  <c r="CW211" i="86"/>
  <c r="CX211" i="86"/>
  <c r="CY211" i="86" s="1"/>
  <c r="CR212" i="86"/>
  <c r="CS212" i="86"/>
  <c r="CT212" i="86" s="1"/>
  <c r="CW212" i="86"/>
  <c r="CX212" i="86"/>
  <c r="CY212" i="86" s="1"/>
  <c r="CR213" i="86"/>
  <c r="CS213" i="86"/>
  <c r="CT213" i="86" s="1"/>
  <c r="CW213" i="86"/>
  <c r="CX213" i="86"/>
  <c r="CY213" i="86" s="1"/>
  <c r="CR214" i="86"/>
  <c r="CS214" i="86"/>
  <c r="CT214" i="86" s="1"/>
  <c r="CW214" i="86"/>
  <c r="CX214" i="86"/>
  <c r="CY214" i="86" s="1"/>
  <c r="CR215" i="86"/>
  <c r="CS215" i="86"/>
  <c r="CT215" i="86" s="1"/>
  <c r="CW215" i="86"/>
  <c r="CX215" i="86"/>
  <c r="CY215" i="86" s="1"/>
  <c r="CR216" i="86"/>
  <c r="CS216" i="86"/>
  <c r="CT216" i="86" s="1"/>
  <c r="CW216" i="86"/>
  <c r="CX216" i="86"/>
  <c r="CY216" i="86" s="1"/>
  <c r="CR217" i="86"/>
  <c r="CS217" i="86"/>
  <c r="CT217" i="86" s="1"/>
  <c r="CW217" i="86"/>
  <c r="CX217" i="86"/>
  <c r="CY217" i="86" s="1"/>
  <c r="CR218" i="86"/>
  <c r="CS218" i="86"/>
  <c r="CT218" i="86" s="1"/>
  <c r="CW218" i="86"/>
  <c r="CX218" i="86"/>
  <c r="CY218" i="86" s="1"/>
  <c r="CR219" i="86"/>
  <c r="CS219" i="86"/>
  <c r="CT219" i="86" s="1"/>
  <c r="CW219" i="86"/>
  <c r="CX219" i="86"/>
  <c r="CY219" i="86" s="1"/>
  <c r="CR220" i="86"/>
  <c r="CS220" i="86"/>
  <c r="CT220" i="86" s="1"/>
  <c r="CW220" i="86"/>
  <c r="CX220" i="86"/>
  <c r="CY220" i="86" s="1"/>
  <c r="CR221" i="86"/>
  <c r="CS221" i="86"/>
  <c r="CT221" i="86" s="1"/>
  <c r="CW221" i="86"/>
  <c r="CX221" i="86"/>
  <c r="CY221" i="86" s="1"/>
  <c r="CR222" i="86"/>
  <c r="CS222" i="86"/>
  <c r="CT222" i="86" s="1"/>
  <c r="CW222" i="86"/>
  <c r="CX222" i="86"/>
  <c r="CY222" i="86" s="1"/>
  <c r="CR223" i="86"/>
  <c r="CS223" i="86"/>
  <c r="CT223" i="86" s="1"/>
  <c r="CW223" i="86"/>
  <c r="CX223" i="86"/>
  <c r="CY223" i="86" s="1"/>
  <c r="CR224" i="86"/>
  <c r="CS224" i="86"/>
  <c r="CT224" i="86" s="1"/>
  <c r="CW224" i="86"/>
  <c r="CX224" i="86"/>
  <c r="CY224" i="86" s="1"/>
  <c r="CR225" i="86"/>
  <c r="CS225" i="86"/>
  <c r="CT225" i="86" s="1"/>
  <c r="CW225" i="86"/>
  <c r="CX225" i="86"/>
  <c r="CY225" i="86" s="1"/>
  <c r="CR226" i="86"/>
  <c r="CS226" i="86"/>
  <c r="CT226" i="86" s="1"/>
  <c r="CW226" i="86"/>
  <c r="CX226" i="86"/>
  <c r="CY226" i="86" s="1"/>
  <c r="CR227" i="86"/>
  <c r="CS227" i="86"/>
  <c r="CT227" i="86" s="1"/>
  <c r="CW227" i="86"/>
  <c r="CX227" i="86"/>
  <c r="CY227" i="86" s="1"/>
  <c r="CR228" i="86"/>
  <c r="CS228" i="86"/>
  <c r="CT228" i="86" s="1"/>
  <c r="CW228" i="86"/>
  <c r="CX228" i="86"/>
  <c r="CY228" i="86" s="1"/>
  <c r="CR229" i="86"/>
  <c r="CS229" i="86"/>
  <c r="CT229" i="86" s="1"/>
  <c r="CW229" i="86"/>
  <c r="CX229" i="86"/>
  <c r="CY229" i="86" s="1"/>
  <c r="CR230" i="86"/>
  <c r="CS230" i="86"/>
  <c r="CT230" i="86" s="1"/>
  <c r="CW230" i="86"/>
  <c r="CX230" i="86"/>
  <c r="CY230" i="86" s="1"/>
  <c r="CR231" i="86"/>
  <c r="CS231" i="86"/>
  <c r="CT231" i="86" s="1"/>
  <c r="CW231" i="86"/>
  <c r="CX231" i="86"/>
  <c r="CY231" i="86" s="1"/>
  <c r="CR232" i="86"/>
  <c r="CS232" i="86"/>
  <c r="CT232" i="86" s="1"/>
  <c r="CW232" i="86"/>
  <c r="CX232" i="86"/>
  <c r="CY232" i="86" s="1"/>
  <c r="CR233" i="86"/>
  <c r="CS233" i="86"/>
  <c r="CT233" i="86" s="1"/>
  <c r="CW233" i="86"/>
  <c r="CX233" i="86"/>
  <c r="CY233" i="86" s="1"/>
  <c r="CR234" i="86"/>
  <c r="CS234" i="86"/>
  <c r="CT234" i="86" s="1"/>
  <c r="CW234" i="86"/>
  <c r="CX234" i="86"/>
  <c r="CY234" i="86" s="1"/>
  <c r="CR235" i="86"/>
  <c r="CS235" i="86"/>
  <c r="CT235" i="86" s="1"/>
  <c r="CW235" i="86"/>
  <c r="CX235" i="86"/>
  <c r="CY235" i="86" s="1"/>
  <c r="CR236" i="86"/>
  <c r="CS236" i="86"/>
  <c r="CT236" i="86" s="1"/>
  <c r="CW236" i="86"/>
  <c r="CX236" i="86"/>
  <c r="CY236" i="86" s="1"/>
  <c r="CR237" i="86"/>
  <c r="CS237" i="86"/>
  <c r="CT237" i="86" s="1"/>
  <c r="CW237" i="86"/>
  <c r="CX237" i="86"/>
  <c r="CY237" i="86" s="1"/>
  <c r="CR238" i="86"/>
  <c r="CS238" i="86"/>
  <c r="CT238" i="86" s="1"/>
  <c r="CW238" i="86"/>
  <c r="CX238" i="86"/>
  <c r="CY238" i="86" s="1"/>
  <c r="CR239" i="86"/>
  <c r="CS239" i="86"/>
  <c r="CT239" i="86" s="1"/>
  <c r="CW239" i="86"/>
  <c r="CX239" i="86"/>
  <c r="CY239" i="86" s="1"/>
  <c r="CR240" i="86"/>
  <c r="CS240" i="86"/>
  <c r="CT240" i="86" s="1"/>
  <c r="CW240" i="86"/>
  <c r="CX240" i="86"/>
  <c r="CY240" i="86" s="1"/>
  <c r="CR241" i="86"/>
  <c r="CS241" i="86"/>
  <c r="CT241" i="86" s="1"/>
  <c r="CW241" i="86"/>
  <c r="CX241" i="86"/>
  <c r="CY241" i="86" s="1"/>
  <c r="CR242" i="86"/>
  <c r="CS242" i="86"/>
  <c r="CT242" i="86" s="1"/>
  <c r="CW242" i="86"/>
  <c r="CX242" i="86"/>
  <c r="CY242" i="86" s="1"/>
  <c r="CR243" i="86"/>
  <c r="CS243" i="86"/>
  <c r="CT243" i="86" s="1"/>
  <c r="CW243" i="86"/>
  <c r="CX243" i="86"/>
  <c r="CY243" i="86" s="1"/>
  <c r="CR244" i="86"/>
  <c r="CS244" i="86"/>
  <c r="CT244" i="86" s="1"/>
  <c r="CW244" i="86"/>
  <c r="CX244" i="86"/>
  <c r="CY244" i="86" s="1"/>
  <c r="CR245" i="86"/>
  <c r="CS245" i="86"/>
  <c r="CT245" i="86" s="1"/>
  <c r="CW245" i="86"/>
  <c r="CX245" i="86"/>
  <c r="CY245" i="86" s="1"/>
  <c r="CR246" i="86"/>
  <c r="CS246" i="86"/>
  <c r="CT246" i="86" s="1"/>
  <c r="CW246" i="86"/>
  <c r="CX246" i="86"/>
  <c r="CY246" i="86" s="1"/>
  <c r="CR247" i="86"/>
  <c r="CS247" i="86"/>
  <c r="CT247" i="86" s="1"/>
  <c r="CW247" i="86"/>
  <c r="CX247" i="86"/>
  <c r="CY247" i="86" s="1"/>
  <c r="CR248" i="86"/>
  <c r="CS248" i="86"/>
  <c r="CT248" i="86" s="1"/>
  <c r="CW248" i="86"/>
  <c r="CX248" i="86"/>
  <c r="CY248" i="86" s="1"/>
  <c r="CR249" i="86"/>
  <c r="CS249" i="86"/>
  <c r="CT249" i="86" s="1"/>
  <c r="CW249" i="86"/>
  <c r="CX249" i="86"/>
  <c r="CY249" i="86" s="1"/>
  <c r="CR250" i="86"/>
  <c r="CS250" i="86"/>
  <c r="CT250" i="86" s="1"/>
  <c r="CW250" i="86"/>
  <c r="CX250" i="86"/>
  <c r="CY250" i="86" s="1"/>
  <c r="CR251" i="86"/>
  <c r="CS251" i="86"/>
  <c r="CT251" i="86" s="1"/>
  <c r="CW251" i="86"/>
  <c r="CX251" i="86"/>
  <c r="CY251" i="86" s="1"/>
  <c r="CR252" i="86"/>
  <c r="CS252" i="86"/>
  <c r="CT252" i="86" s="1"/>
  <c r="CW252" i="86"/>
  <c r="CX252" i="86"/>
  <c r="CY252" i="86" s="1"/>
  <c r="CR253" i="86"/>
  <c r="CS253" i="86"/>
  <c r="CT253" i="86" s="1"/>
  <c r="CW253" i="86"/>
  <c r="CX253" i="86"/>
  <c r="CY253" i="86" s="1"/>
  <c r="CR254" i="86"/>
  <c r="CS254" i="86"/>
  <c r="CT254" i="86" s="1"/>
  <c r="CW254" i="86"/>
  <c r="CX254" i="86"/>
  <c r="CY254" i="86" s="1"/>
  <c r="CR255" i="86"/>
  <c r="CS255" i="86"/>
  <c r="CT255" i="86" s="1"/>
  <c r="CW255" i="86"/>
  <c r="CX255" i="86"/>
  <c r="CY255" i="86" s="1"/>
  <c r="CR256" i="86"/>
  <c r="CS256" i="86"/>
  <c r="CT256" i="86" s="1"/>
  <c r="CW256" i="86"/>
  <c r="CX256" i="86"/>
  <c r="CY256" i="86" s="1"/>
  <c r="CR257" i="86"/>
  <c r="CS257" i="86"/>
  <c r="CT257" i="86" s="1"/>
  <c r="CW257" i="86"/>
  <c r="CX257" i="86"/>
  <c r="CY257" i="86" s="1"/>
  <c r="CR258" i="86"/>
  <c r="CS258" i="86"/>
  <c r="CT258" i="86" s="1"/>
  <c r="CW258" i="86"/>
  <c r="CX258" i="86"/>
  <c r="CY258" i="86" s="1"/>
  <c r="CR259" i="86"/>
  <c r="CS259" i="86"/>
  <c r="CT259" i="86" s="1"/>
  <c r="CW259" i="86"/>
  <c r="CX259" i="86"/>
  <c r="CY259" i="86" s="1"/>
  <c r="CR260" i="86"/>
  <c r="CS260" i="86"/>
  <c r="CT260" i="86" s="1"/>
  <c r="CW260" i="86"/>
  <c r="CX260" i="86"/>
  <c r="CY260" i="86" s="1"/>
  <c r="CR261" i="86"/>
  <c r="CS261" i="86"/>
  <c r="CT261" i="86" s="1"/>
  <c r="CW261" i="86"/>
  <c r="CX261" i="86"/>
  <c r="CY261" i="86" s="1"/>
  <c r="CR262" i="86"/>
  <c r="CS262" i="86"/>
  <c r="CT262" i="86" s="1"/>
  <c r="CW262" i="86"/>
  <c r="CX262" i="86"/>
  <c r="CY262" i="86" s="1"/>
  <c r="CR263" i="86"/>
  <c r="CS263" i="86"/>
  <c r="CT263" i="86" s="1"/>
  <c r="CW263" i="86"/>
  <c r="CX263" i="86"/>
  <c r="CY263" i="86" s="1"/>
  <c r="CR264" i="86"/>
  <c r="CS264" i="86"/>
  <c r="CT264" i="86" s="1"/>
  <c r="CW264" i="86"/>
  <c r="CX264" i="86"/>
  <c r="CY264" i="86" s="1"/>
  <c r="CR265" i="86"/>
  <c r="CS265" i="86"/>
  <c r="CT265" i="86" s="1"/>
  <c r="CW265" i="86"/>
  <c r="CX265" i="86"/>
  <c r="CY265" i="86" s="1"/>
  <c r="CR266" i="86"/>
  <c r="CS266" i="86"/>
  <c r="CT266" i="86" s="1"/>
  <c r="CW266" i="86"/>
  <c r="CX266" i="86"/>
  <c r="CY266" i="86" s="1"/>
  <c r="CR267" i="86"/>
  <c r="CS267" i="86"/>
  <c r="CT267" i="86" s="1"/>
  <c r="CW267" i="86"/>
  <c r="CX267" i="86"/>
  <c r="CY267" i="86" s="1"/>
  <c r="CR268" i="86"/>
  <c r="CS268" i="86"/>
  <c r="CT268" i="86" s="1"/>
  <c r="CW268" i="86"/>
  <c r="CX268" i="86"/>
  <c r="CY268" i="86" s="1"/>
  <c r="CR269" i="86"/>
  <c r="CS269" i="86"/>
  <c r="CT269" i="86" s="1"/>
  <c r="CW269" i="86"/>
  <c r="CX269" i="86"/>
  <c r="CY269" i="86" s="1"/>
  <c r="CR270" i="86"/>
  <c r="CS270" i="86"/>
  <c r="CT270" i="86" s="1"/>
  <c r="CW270" i="86"/>
  <c r="CX270" i="86"/>
  <c r="CY270" i="86" s="1"/>
  <c r="CR271" i="86"/>
  <c r="CS271" i="86"/>
  <c r="CT271" i="86" s="1"/>
  <c r="CW271" i="86"/>
  <c r="CX271" i="86"/>
  <c r="CY271" i="86" s="1"/>
  <c r="CR272" i="86"/>
  <c r="CS272" i="86"/>
  <c r="CT272" i="86" s="1"/>
  <c r="CW272" i="86"/>
  <c r="CX272" i="86"/>
  <c r="CY272" i="86" s="1"/>
  <c r="CR273" i="86"/>
  <c r="CS273" i="86"/>
  <c r="CT273" i="86" s="1"/>
  <c r="CW273" i="86"/>
  <c r="CX273" i="86"/>
  <c r="CY273" i="86" s="1"/>
  <c r="CR274" i="86"/>
  <c r="CS274" i="86"/>
  <c r="CT274" i="86" s="1"/>
  <c r="CW274" i="86"/>
  <c r="CX274" i="86"/>
  <c r="CY274" i="86" s="1"/>
  <c r="CR275" i="86"/>
  <c r="CS275" i="86"/>
  <c r="CT275" i="86" s="1"/>
  <c r="CW275" i="86"/>
  <c r="CX275" i="86"/>
  <c r="CY275" i="86" s="1"/>
  <c r="CR276" i="86"/>
  <c r="CS276" i="86"/>
  <c r="CT276" i="86" s="1"/>
  <c r="CW276" i="86"/>
  <c r="CX276" i="86"/>
  <c r="CY276" i="86" s="1"/>
  <c r="CR277" i="86"/>
  <c r="CS277" i="86"/>
  <c r="CT277" i="86" s="1"/>
  <c r="CW277" i="86"/>
  <c r="CX277" i="86"/>
  <c r="CY277" i="86" s="1"/>
  <c r="CR278" i="86"/>
  <c r="CS278" i="86"/>
  <c r="CT278" i="86" s="1"/>
  <c r="CW278" i="86"/>
  <c r="CX278" i="86"/>
  <c r="CY278" i="86" s="1"/>
  <c r="CR279" i="86"/>
  <c r="CS279" i="86"/>
  <c r="CT279" i="86" s="1"/>
  <c r="CW279" i="86"/>
  <c r="CX279" i="86"/>
  <c r="CY279" i="86" s="1"/>
  <c r="CR280" i="86"/>
  <c r="CS280" i="86"/>
  <c r="CT280" i="86" s="1"/>
  <c r="CW280" i="86"/>
  <c r="CX280" i="86"/>
  <c r="CY280" i="86" s="1"/>
  <c r="CR281" i="86"/>
  <c r="CS281" i="86"/>
  <c r="CT281" i="86" s="1"/>
  <c r="CW281" i="86"/>
  <c r="CX281" i="86"/>
  <c r="CY281" i="86" s="1"/>
  <c r="CR282" i="86"/>
  <c r="CS282" i="86"/>
  <c r="CT282" i="86" s="1"/>
  <c r="CW282" i="86"/>
  <c r="CX282" i="86"/>
  <c r="CY282" i="86" s="1"/>
  <c r="CR283" i="86"/>
  <c r="CS283" i="86"/>
  <c r="CT283" i="86" s="1"/>
  <c r="CW283" i="86"/>
  <c r="CX283" i="86"/>
  <c r="CY283" i="86" s="1"/>
  <c r="CR284" i="86"/>
  <c r="CS284" i="86"/>
  <c r="CT284" i="86" s="1"/>
  <c r="CW284" i="86"/>
  <c r="CX284" i="86"/>
  <c r="CY284" i="86" s="1"/>
  <c r="CR285" i="86"/>
  <c r="CS285" i="86"/>
  <c r="CT285" i="86" s="1"/>
  <c r="CW285" i="86"/>
  <c r="CX285" i="86"/>
  <c r="CY285" i="86" s="1"/>
  <c r="CR286" i="86"/>
  <c r="CS286" i="86"/>
  <c r="CT286" i="86" s="1"/>
  <c r="CW286" i="86"/>
  <c r="CX286" i="86"/>
  <c r="CY286" i="86" s="1"/>
  <c r="CR287" i="86"/>
  <c r="CS287" i="86"/>
  <c r="CT287" i="86" s="1"/>
  <c r="CW287" i="86"/>
  <c r="CX287" i="86"/>
  <c r="CY287" i="86" s="1"/>
  <c r="CR288" i="86"/>
  <c r="CS288" i="86"/>
  <c r="CT288" i="86" s="1"/>
  <c r="CW288" i="86"/>
  <c r="CX288" i="86"/>
  <c r="CY288" i="86" s="1"/>
  <c r="CR289" i="86"/>
  <c r="CS289" i="86"/>
  <c r="CT289" i="86" s="1"/>
  <c r="CW289" i="86"/>
  <c r="CX289" i="86"/>
  <c r="CY289" i="86" s="1"/>
  <c r="CR290" i="86"/>
  <c r="CS290" i="86"/>
  <c r="CT290" i="86" s="1"/>
  <c r="CW290" i="86"/>
  <c r="CX290" i="86"/>
  <c r="CY290" i="86" s="1"/>
  <c r="CR291" i="86"/>
  <c r="CS291" i="86"/>
  <c r="CT291" i="86" s="1"/>
  <c r="CW291" i="86"/>
  <c r="CX291" i="86"/>
  <c r="CY291" i="86" s="1"/>
  <c r="CR292" i="86"/>
  <c r="CS292" i="86"/>
  <c r="CT292" i="86" s="1"/>
  <c r="CW292" i="86"/>
  <c r="CX292" i="86"/>
  <c r="CY292" i="86" s="1"/>
  <c r="CR293" i="86"/>
  <c r="CS293" i="86"/>
  <c r="CT293" i="86" s="1"/>
  <c r="CW293" i="86"/>
  <c r="CX293" i="86"/>
  <c r="CY293" i="86" s="1"/>
  <c r="CR294" i="86"/>
  <c r="CS294" i="86"/>
  <c r="CT294" i="86" s="1"/>
  <c r="CW294" i="86"/>
  <c r="CX294" i="86"/>
  <c r="CY294" i="86" s="1"/>
  <c r="CR295" i="86"/>
  <c r="CS295" i="86"/>
  <c r="CT295" i="86" s="1"/>
  <c r="CW295" i="86"/>
  <c r="CX295" i="86"/>
  <c r="CY295" i="86" s="1"/>
  <c r="CR296" i="86"/>
  <c r="CS296" i="86"/>
  <c r="CT296" i="86" s="1"/>
  <c r="CW296" i="86"/>
  <c r="CX296" i="86"/>
  <c r="CY296" i="86" s="1"/>
  <c r="CR297" i="86"/>
  <c r="CS297" i="86"/>
  <c r="CT297" i="86" s="1"/>
  <c r="CW297" i="86"/>
  <c r="CX297" i="86"/>
  <c r="CY297" i="86" s="1"/>
  <c r="CR298" i="86"/>
  <c r="CS298" i="86"/>
  <c r="CT298" i="86" s="1"/>
  <c r="CW298" i="86"/>
  <c r="CX298" i="86"/>
  <c r="CY298" i="86" s="1"/>
  <c r="CR299" i="86"/>
  <c r="CS299" i="86"/>
  <c r="CT299" i="86" s="1"/>
  <c r="CW299" i="86"/>
  <c r="CX299" i="86"/>
  <c r="CY299" i="86" s="1"/>
  <c r="CR300" i="86"/>
  <c r="CS300" i="86"/>
  <c r="CT300" i="86" s="1"/>
  <c r="CW300" i="86"/>
  <c r="CX300" i="86"/>
  <c r="CY300" i="86" s="1"/>
  <c r="CR301" i="86"/>
  <c r="CS301" i="86"/>
  <c r="CT301" i="86" s="1"/>
  <c r="CW301" i="86"/>
  <c r="CX301" i="86"/>
  <c r="CY301" i="86" s="1"/>
  <c r="CR302" i="86"/>
  <c r="CS302" i="86"/>
  <c r="CT302" i="86" s="1"/>
  <c r="CW302" i="86"/>
  <c r="CX302" i="86"/>
  <c r="CY302" i="86" s="1"/>
  <c r="CR303" i="86"/>
  <c r="CS303" i="86"/>
  <c r="CT303" i="86" s="1"/>
  <c r="CW303" i="86"/>
  <c r="CX303" i="86"/>
  <c r="CY303" i="86" s="1"/>
  <c r="CR304" i="86"/>
  <c r="CS304" i="86"/>
  <c r="CT304" i="86" s="1"/>
  <c r="CW304" i="86"/>
  <c r="CX304" i="86"/>
  <c r="CY304" i="86" s="1"/>
  <c r="CR305" i="86"/>
  <c r="CS305" i="86"/>
  <c r="CT305" i="86" s="1"/>
  <c r="CW305" i="86"/>
  <c r="CX305" i="86"/>
  <c r="CY305" i="86" s="1"/>
  <c r="CR306" i="86"/>
  <c r="CS306" i="86"/>
  <c r="CT306" i="86" s="1"/>
  <c r="CW306" i="86"/>
  <c r="CX306" i="86"/>
  <c r="CY306" i="86" s="1"/>
  <c r="CR307" i="86"/>
  <c r="CS307" i="86"/>
  <c r="CT307" i="86" s="1"/>
  <c r="CW307" i="86"/>
  <c r="CX307" i="86"/>
  <c r="CY307" i="86" s="1"/>
  <c r="CR308" i="86"/>
  <c r="CS308" i="86"/>
  <c r="CT308" i="86" s="1"/>
  <c r="CW308" i="86"/>
  <c r="CX308" i="86"/>
  <c r="CY308" i="86" s="1"/>
  <c r="CR309" i="86"/>
  <c r="CS309" i="86"/>
  <c r="CT309" i="86" s="1"/>
  <c r="CW309" i="86"/>
  <c r="CX309" i="86"/>
  <c r="CY309" i="86" s="1"/>
  <c r="CR310" i="86"/>
  <c r="CS310" i="86"/>
  <c r="CT310" i="86" s="1"/>
  <c r="CW310" i="86"/>
  <c r="CX310" i="86"/>
  <c r="CY310" i="86" s="1"/>
  <c r="CR311" i="86"/>
  <c r="CS311" i="86"/>
  <c r="CT311" i="86" s="1"/>
  <c r="CW311" i="86"/>
  <c r="CX311" i="86"/>
  <c r="CY311" i="86" s="1"/>
  <c r="CR312" i="86"/>
  <c r="CS312" i="86"/>
  <c r="CT312" i="86" s="1"/>
  <c r="CW312" i="86"/>
  <c r="CX312" i="86"/>
  <c r="CY312" i="86" s="1"/>
  <c r="CR313" i="86"/>
  <c r="CS313" i="86"/>
  <c r="CT313" i="86" s="1"/>
  <c r="CW313" i="86"/>
  <c r="CX313" i="86"/>
  <c r="CY313" i="86" s="1"/>
  <c r="CR314" i="86"/>
  <c r="CS314" i="86"/>
  <c r="CT314" i="86" s="1"/>
  <c r="CW314" i="86"/>
  <c r="CX314" i="86"/>
  <c r="CY314" i="86" s="1"/>
  <c r="CR315" i="86"/>
  <c r="CS315" i="86"/>
  <c r="CT315" i="86" s="1"/>
  <c r="CW315" i="86"/>
  <c r="CX315" i="86"/>
  <c r="CY315" i="86" s="1"/>
  <c r="CR316" i="86"/>
  <c r="CS316" i="86"/>
  <c r="CT316" i="86" s="1"/>
  <c r="CW316" i="86"/>
  <c r="CX316" i="86"/>
  <c r="CY316" i="86" s="1"/>
  <c r="CR317" i="86"/>
  <c r="CS317" i="86"/>
  <c r="CT317" i="86" s="1"/>
  <c r="CW317" i="86"/>
  <c r="CX317" i="86"/>
  <c r="CY317" i="86" s="1"/>
  <c r="CR318" i="86"/>
  <c r="CS318" i="86"/>
  <c r="CT318" i="86" s="1"/>
  <c r="CW318" i="86"/>
  <c r="CX318" i="86"/>
  <c r="CY318" i="86" s="1"/>
  <c r="CR319" i="86"/>
  <c r="CS319" i="86"/>
  <c r="CT319" i="86" s="1"/>
  <c r="CW319" i="86"/>
  <c r="CX319" i="86"/>
  <c r="CY319" i="86" s="1"/>
  <c r="CR320" i="86"/>
  <c r="CS320" i="86"/>
  <c r="CT320" i="86" s="1"/>
  <c r="CW320" i="86"/>
  <c r="CX320" i="86"/>
  <c r="CY320" i="86" s="1"/>
  <c r="CR321" i="86"/>
  <c r="CS321" i="86"/>
  <c r="CT321" i="86" s="1"/>
  <c r="CW321" i="86"/>
  <c r="CX321" i="86"/>
  <c r="CY321" i="86" s="1"/>
  <c r="CR322" i="86"/>
  <c r="CS322" i="86"/>
  <c r="CT322" i="86" s="1"/>
  <c r="CW322" i="86"/>
  <c r="CX322" i="86"/>
  <c r="CY322" i="86" s="1"/>
  <c r="CR323" i="86"/>
  <c r="CS323" i="86"/>
  <c r="CT323" i="86" s="1"/>
  <c r="CW323" i="86"/>
  <c r="CX323" i="86"/>
  <c r="CY323" i="86" s="1"/>
  <c r="CR324" i="86"/>
  <c r="CS324" i="86"/>
  <c r="CT324" i="86" s="1"/>
  <c r="CW324" i="86"/>
  <c r="CX324" i="86"/>
  <c r="CY324" i="86" s="1"/>
  <c r="CR325" i="86"/>
  <c r="CS325" i="86"/>
  <c r="CT325" i="86" s="1"/>
  <c r="CW325" i="86"/>
  <c r="CX325" i="86"/>
  <c r="CY325" i="86" s="1"/>
  <c r="CR326" i="86"/>
  <c r="CS326" i="86"/>
  <c r="CT326" i="86" s="1"/>
  <c r="CW326" i="86"/>
  <c r="CX326" i="86"/>
  <c r="CY326" i="86" s="1"/>
  <c r="CR327" i="86"/>
  <c r="CS327" i="86"/>
  <c r="CT327" i="86" s="1"/>
  <c r="CW327" i="86"/>
  <c r="CX327" i="86"/>
  <c r="CY327" i="86" s="1"/>
  <c r="CR328" i="86"/>
  <c r="CS328" i="86"/>
  <c r="CT328" i="86" s="1"/>
  <c r="CW328" i="86"/>
  <c r="CX328" i="86"/>
  <c r="CY328" i="86" s="1"/>
  <c r="CR329" i="86"/>
  <c r="CS329" i="86"/>
  <c r="CT329" i="86" s="1"/>
  <c r="CW329" i="86"/>
  <c r="CX329" i="86"/>
  <c r="CY329" i="86" s="1"/>
  <c r="CR330" i="86"/>
  <c r="CS330" i="86"/>
  <c r="CT330" i="86" s="1"/>
  <c r="CW330" i="86"/>
  <c r="CX330" i="86"/>
  <c r="CY330" i="86" s="1"/>
  <c r="CR331" i="86"/>
  <c r="CS331" i="86"/>
  <c r="CT331" i="86" s="1"/>
  <c r="CW331" i="86"/>
  <c r="CX331" i="86"/>
  <c r="CY331" i="86" s="1"/>
  <c r="CR332" i="86"/>
  <c r="CS332" i="86"/>
  <c r="CT332" i="86" s="1"/>
  <c r="CW332" i="86"/>
  <c r="CX332" i="86"/>
  <c r="CY332" i="86" s="1"/>
  <c r="CR333" i="86"/>
  <c r="CS333" i="86"/>
  <c r="CT333" i="86" s="1"/>
  <c r="CW333" i="86"/>
  <c r="CX333" i="86"/>
  <c r="CY333" i="86" s="1"/>
  <c r="CR334" i="86"/>
  <c r="CS334" i="86"/>
  <c r="CT334" i="86" s="1"/>
  <c r="CW334" i="86"/>
  <c r="CX334" i="86"/>
  <c r="CY334" i="86" s="1"/>
  <c r="CR335" i="86"/>
  <c r="CS335" i="86"/>
  <c r="CT335" i="86" s="1"/>
  <c r="CW335" i="86"/>
  <c r="CX335" i="86"/>
  <c r="CY335" i="86" s="1"/>
  <c r="CR336" i="86"/>
  <c r="CS336" i="86"/>
  <c r="CT336" i="86" s="1"/>
  <c r="CW336" i="86"/>
  <c r="CX336" i="86"/>
  <c r="CY336" i="86" s="1"/>
  <c r="CR337" i="86"/>
  <c r="CS337" i="86"/>
  <c r="CT337" i="86" s="1"/>
  <c r="CW337" i="86"/>
  <c r="CX337" i="86"/>
  <c r="CY337" i="86" s="1"/>
  <c r="CR338" i="86"/>
  <c r="CS338" i="86"/>
  <c r="CT338" i="86" s="1"/>
  <c r="CW338" i="86"/>
  <c r="CX338" i="86"/>
  <c r="CY338" i="86" s="1"/>
  <c r="CR339" i="86"/>
  <c r="CS339" i="86"/>
  <c r="CT339" i="86" s="1"/>
  <c r="CW339" i="86"/>
  <c r="CX339" i="86"/>
  <c r="CY339" i="86" s="1"/>
  <c r="CR340" i="86"/>
  <c r="CS340" i="86"/>
  <c r="CT340" i="86" s="1"/>
  <c r="CW340" i="86"/>
  <c r="CX340" i="86"/>
  <c r="CY340" i="86" s="1"/>
  <c r="CR341" i="86"/>
  <c r="CS341" i="86"/>
  <c r="CT341" i="86" s="1"/>
  <c r="CW341" i="86"/>
  <c r="CX341" i="86"/>
  <c r="CY341" i="86" s="1"/>
  <c r="CR342" i="86"/>
  <c r="CS342" i="86"/>
  <c r="CT342" i="86" s="1"/>
  <c r="CW342" i="86"/>
  <c r="CX342" i="86"/>
  <c r="CY342" i="86" s="1"/>
  <c r="CR343" i="86"/>
  <c r="CS343" i="86"/>
  <c r="CT343" i="86" s="1"/>
  <c r="CW343" i="86"/>
  <c r="CX343" i="86"/>
  <c r="CY343" i="86" s="1"/>
  <c r="CR344" i="86"/>
  <c r="CS344" i="86"/>
  <c r="CT344" i="86" s="1"/>
  <c r="CW344" i="86"/>
  <c r="CX344" i="86"/>
  <c r="CY344" i="86" s="1"/>
  <c r="CR345" i="86"/>
  <c r="CS345" i="86"/>
  <c r="CT345" i="86" s="1"/>
  <c r="CW345" i="86"/>
  <c r="CX345" i="86"/>
  <c r="CY345" i="86" s="1"/>
  <c r="CR346" i="86"/>
  <c r="CS346" i="86"/>
  <c r="CT346" i="86" s="1"/>
  <c r="CW346" i="86"/>
  <c r="CX346" i="86"/>
  <c r="CY346" i="86" s="1"/>
  <c r="CR347" i="86"/>
  <c r="CS347" i="86"/>
  <c r="CT347" i="86" s="1"/>
  <c r="CW347" i="86"/>
  <c r="CX347" i="86"/>
  <c r="CY347" i="86" s="1"/>
  <c r="CR348" i="86"/>
  <c r="CS348" i="86"/>
  <c r="CT348" i="86" s="1"/>
  <c r="CW348" i="86"/>
  <c r="CX348" i="86"/>
  <c r="CY348" i="86" s="1"/>
  <c r="CR349" i="86"/>
  <c r="CS349" i="86"/>
  <c r="CT349" i="86" s="1"/>
  <c r="CW349" i="86"/>
  <c r="CX349" i="86"/>
  <c r="CY349" i="86" s="1"/>
  <c r="CR350" i="86"/>
  <c r="CS350" i="86"/>
  <c r="CT350" i="86" s="1"/>
  <c r="CW350" i="86"/>
  <c r="CX350" i="86"/>
  <c r="CY350" i="86" s="1"/>
  <c r="CR351" i="86"/>
  <c r="CS351" i="86"/>
  <c r="CT351" i="86" s="1"/>
  <c r="CW351" i="86"/>
  <c r="CX351" i="86"/>
  <c r="CY351" i="86" s="1"/>
  <c r="CR352" i="86"/>
  <c r="CS352" i="86"/>
  <c r="CT352" i="86" s="1"/>
  <c r="CW352" i="86"/>
  <c r="CX352" i="86"/>
  <c r="CY352" i="86" s="1"/>
  <c r="CR353" i="86"/>
  <c r="CS353" i="86"/>
  <c r="CT353" i="86" s="1"/>
  <c r="CW353" i="86"/>
  <c r="CX353" i="86"/>
  <c r="CY353" i="86" s="1"/>
  <c r="CR354" i="86"/>
  <c r="CS354" i="86"/>
  <c r="CT354" i="86" s="1"/>
  <c r="CW354" i="86"/>
  <c r="CX354" i="86"/>
  <c r="CY354" i="86" s="1"/>
  <c r="CR355" i="86"/>
  <c r="CS355" i="86"/>
  <c r="CT355" i="86" s="1"/>
  <c r="CW355" i="86"/>
  <c r="CX355" i="86"/>
  <c r="CY355" i="86" s="1"/>
  <c r="CR356" i="86"/>
  <c r="CS356" i="86"/>
  <c r="CT356" i="86" s="1"/>
  <c r="CW356" i="86"/>
  <c r="CX356" i="86"/>
  <c r="CY356" i="86" s="1"/>
  <c r="CR357" i="86"/>
  <c r="CS357" i="86"/>
  <c r="CT357" i="86" s="1"/>
  <c r="CW357" i="86"/>
  <c r="CX357" i="86"/>
  <c r="CY357" i="86" s="1"/>
  <c r="CR358" i="86"/>
  <c r="CS358" i="86"/>
  <c r="CT358" i="86" s="1"/>
  <c r="CW358" i="86"/>
  <c r="CX358" i="86"/>
  <c r="CY358" i="86" s="1"/>
  <c r="CR359" i="86"/>
  <c r="CS359" i="86"/>
  <c r="CT359" i="86" s="1"/>
  <c r="CW359" i="86"/>
  <c r="CX359" i="86"/>
  <c r="CY359" i="86" s="1"/>
  <c r="CR360" i="86"/>
  <c r="CS360" i="86"/>
  <c r="CT360" i="86" s="1"/>
  <c r="CW360" i="86"/>
  <c r="CX360" i="86"/>
  <c r="CY360" i="86" s="1"/>
  <c r="CR361" i="86"/>
  <c r="CS361" i="86"/>
  <c r="CT361" i="86" s="1"/>
  <c r="CW361" i="86"/>
  <c r="CX361" i="86"/>
  <c r="CY361" i="86" s="1"/>
  <c r="CR362" i="86"/>
  <c r="CS362" i="86"/>
  <c r="CT362" i="86" s="1"/>
  <c r="CW362" i="86"/>
  <c r="CX362" i="86"/>
  <c r="CY362" i="86" s="1"/>
  <c r="CR363" i="86"/>
  <c r="CS363" i="86"/>
  <c r="CT363" i="86" s="1"/>
  <c r="CW363" i="86"/>
  <c r="CX363" i="86"/>
  <c r="CY363" i="86" s="1"/>
  <c r="CR364" i="86"/>
  <c r="CS364" i="86"/>
  <c r="CT364" i="86" s="1"/>
  <c r="CW364" i="86"/>
  <c r="CX364" i="86"/>
  <c r="CY364" i="86" s="1"/>
  <c r="CR365" i="86"/>
  <c r="CS365" i="86"/>
  <c r="CT365" i="86" s="1"/>
  <c r="CW365" i="86"/>
  <c r="CX365" i="86"/>
  <c r="CY365" i="86" s="1"/>
  <c r="CR366" i="86"/>
  <c r="CS366" i="86"/>
  <c r="CT366" i="86" s="1"/>
  <c r="CW366" i="86"/>
  <c r="CX366" i="86"/>
  <c r="CY366" i="86" s="1"/>
  <c r="CR367" i="86"/>
  <c r="CS367" i="86"/>
  <c r="CT367" i="86" s="1"/>
  <c r="CW367" i="86"/>
  <c r="CX367" i="86"/>
  <c r="CY367" i="86" s="1"/>
  <c r="CR368" i="86"/>
  <c r="CS368" i="86"/>
  <c r="CT368" i="86" s="1"/>
  <c r="CW368" i="86"/>
  <c r="CX368" i="86"/>
  <c r="CY368" i="86" s="1"/>
  <c r="CR369" i="86"/>
  <c r="CS369" i="86"/>
  <c r="CT369" i="86" s="1"/>
  <c r="CW369" i="86"/>
  <c r="CX369" i="86"/>
  <c r="CY369" i="86" s="1"/>
  <c r="CR370" i="86"/>
  <c r="CS370" i="86"/>
  <c r="CT370" i="86" s="1"/>
  <c r="CW370" i="86"/>
  <c r="CX370" i="86"/>
  <c r="CY370" i="86" s="1"/>
  <c r="CR371" i="86"/>
  <c r="CS371" i="86"/>
  <c r="CT371" i="86" s="1"/>
  <c r="CW371" i="86"/>
  <c r="CX371" i="86"/>
  <c r="CY371" i="86" s="1"/>
  <c r="CR372" i="86"/>
  <c r="CS372" i="86"/>
  <c r="CT372" i="86" s="1"/>
  <c r="CW372" i="86"/>
  <c r="CX372" i="86"/>
  <c r="CY372" i="86" s="1"/>
  <c r="CR373" i="86"/>
  <c r="CS373" i="86"/>
  <c r="CT373" i="86" s="1"/>
  <c r="CW373" i="86"/>
  <c r="CX373" i="86"/>
  <c r="CY373" i="86" s="1"/>
  <c r="CR374" i="86"/>
  <c r="CS374" i="86"/>
  <c r="CT374" i="86" s="1"/>
  <c r="CW374" i="86"/>
  <c r="CX374" i="86"/>
  <c r="CY374" i="86" s="1"/>
  <c r="CR375" i="86"/>
  <c r="CS375" i="86"/>
  <c r="CT375" i="86" s="1"/>
  <c r="CW375" i="86"/>
  <c r="CX375" i="86"/>
  <c r="CY375" i="86" s="1"/>
  <c r="CR376" i="86"/>
  <c r="CS376" i="86"/>
  <c r="CT376" i="86" s="1"/>
  <c r="CW376" i="86"/>
  <c r="CX376" i="86"/>
  <c r="CY376" i="86" s="1"/>
  <c r="CR377" i="86"/>
  <c r="CS377" i="86"/>
  <c r="CT377" i="86" s="1"/>
  <c r="CW377" i="86"/>
  <c r="CX377" i="86"/>
  <c r="CY377" i="86" s="1"/>
  <c r="CR378" i="86"/>
  <c r="CS378" i="86"/>
  <c r="CT378" i="86" s="1"/>
  <c r="CW378" i="86"/>
  <c r="CX378" i="86"/>
  <c r="CY378" i="86" s="1"/>
  <c r="CR379" i="86"/>
  <c r="CS379" i="86"/>
  <c r="CT379" i="86" s="1"/>
  <c r="CW379" i="86"/>
  <c r="CX379" i="86"/>
  <c r="CY379" i="86" s="1"/>
  <c r="CR380" i="86"/>
  <c r="CS380" i="86"/>
  <c r="CT380" i="86" s="1"/>
  <c r="CW380" i="86"/>
  <c r="CX380" i="86"/>
  <c r="CY380" i="86" s="1"/>
  <c r="CR381" i="86"/>
  <c r="CS381" i="86"/>
  <c r="CT381" i="86" s="1"/>
  <c r="CW381" i="86"/>
  <c r="CX381" i="86"/>
  <c r="CY381" i="86" s="1"/>
  <c r="CR382" i="86"/>
  <c r="CS382" i="86"/>
  <c r="CT382" i="86" s="1"/>
  <c r="CW382" i="86"/>
  <c r="CX382" i="86"/>
  <c r="CY382" i="86" s="1"/>
  <c r="CR383" i="86"/>
  <c r="CS383" i="86"/>
  <c r="CT383" i="86" s="1"/>
  <c r="CW383" i="86"/>
  <c r="CX383" i="86"/>
  <c r="CY383" i="86" s="1"/>
  <c r="CR384" i="86"/>
  <c r="CS384" i="86"/>
  <c r="CT384" i="86" s="1"/>
  <c r="CW384" i="86"/>
  <c r="CX384" i="86"/>
  <c r="CY384" i="86" s="1"/>
  <c r="CR385" i="86"/>
  <c r="CS385" i="86"/>
  <c r="CT385" i="86" s="1"/>
  <c r="CW385" i="86"/>
  <c r="CX385" i="86"/>
  <c r="CY385" i="86" s="1"/>
  <c r="CR386" i="86"/>
  <c r="CS386" i="86"/>
  <c r="CT386" i="86" s="1"/>
  <c r="CW386" i="86"/>
  <c r="CX386" i="86"/>
  <c r="CY386" i="86" s="1"/>
  <c r="CR387" i="86"/>
  <c r="CS387" i="86"/>
  <c r="CT387" i="86" s="1"/>
  <c r="CW387" i="86"/>
  <c r="CX387" i="86"/>
  <c r="CY387" i="86" s="1"/>
  <c r="CR388" i="86"/>
  <c r="CS388" i="86"/>
  <c r="CT388" i="86" s="1"/>
  <c r="CW388" i="86"/>
  <c r="CX388" i="86"/>
  <c r="CY388" i="86" s="1"/>
  <c r="CR389" i="86"/>
  <c r="CS389" i="86"/>
  <c r="CT389" i="86" s="1"/>
  <c r="CW389" i="86"/>
  <c r="CX389" i="86"/>
  <c r="CY389" i="86" s="1"/>
  <c r="CR390" i="86"/>
  <c r="CS390" i="86"/>
  <c r="CT390" i="86" s="1"/>
  <c r="CW390" i="86"/>
  <c r="CX390" i="86"/>
  <c r="CY390" i="86" s="1"/>
  <c r="CR391" i="86"/>
  <c r="CS391" i="86"/>
  <c r="CT391" i="86" s="1"/>
  <c r="CW391" i="86"/>
  <c r="CX391" i="86"/>
  <c r="CY391" i="86" s="1"/>
  <c r="CR392" i="86"/>
  <c r="CS392" i="86"/>
  <c r="CT392" i="86" s="1"/>
  <c r="CW392" i="86"/>
  <c r="CX392" i="86"/>
  <c r="CY392" i="86" s="1"/>
  <c r="CR393" i="86"/>
  <c r="CS393" i="86"/>
  <c r="CT393" i="86" s="1"/>
  <c r="CW393" i="86"/>
  <c r="CX393" i="86"/>
  <c r="CY393" i="86" s="1"/>
  <c r="CR394" i="86"/>
  <c r="CS394" i="86"/>
  <c r="CT394" i="86" s="1"/>
  <c r="CW394" i="86"/>
  <c r="CX394" i="86"/>
  <c r="CY394" i="86" s="1"/>
  <c r="CR395" i="86"/>
  <c r="CS395" i="86"/>
  <c r="CT395" i="86" s="1"/>
  <c r="CW395" i="86"/>
  <c r="CX395" i="86"/>
  <c r="CY395" i="86" s="1"/>
  <c r="CR396" i="86"/>
  <c r="CS396" i="86"/>
  <c r="CT396" i="86" s="1"/>
  <c r="CW396" i="86"/>
  <c r="CX396" i="86"/>
  <c r="CY396" i="86" s="1"/>
  <c r="CR397" i="86"/>
  <c r="CS397" i="86"/>
  <c r="CT397" i="86" s="1"/>
  <c r="CW397" i="86"/>
  <c r="CX397" i="86"/>
  <c r="CY397" i="86" s="1"/>
  <c r="CR398" i="86"/>
  <c r="CS398" i="86"/>
  <c r="CT398" i="86" s="1"/>
  <c r="CW398" i="86"/>
  <c r="CX398" i="86"/>
  <c r="CY398" i="86" s="1"/>
  <c r="CR399" i="86"/>
  <c r="CS399" i="86"/>
  <c r="CT399" i="86" s="1"/>
  <c r="CW399" i="86"/>
  <c r="CX399" i="86"/>
  <c r="CY399" i="86" s="1"/>
  <c r="CR400" i="86"/>
  <c r="CS400" i="86"/>
  <c r="CT400" i="86" s="1"/>
  <c r="CW400" i="86"/>
  <c r="CX400" i="86"/>
  <c r="CY400" i="86" s="1"/>
  <c r="CR401" i="86"/>
  <c r="CS401" i="86"/>
  <c r="CT401" i="86" s="1"/>
  <c r="CR402" i="86"/>
  <c r="CS402" i="86"/>
  <c r="CT402" i="86" s="1"/>
  <c r="CR403" i="86"/>
  <c r="CS403" i="86"/>
  <c r="CT403" i="86" s="1"/>
  <c r="CR404" i="86"/>
  <c r="CS404" i="86"/>
  <c r="CT404" i="86" s="1"/>
  <c r="CR405" i="86"/>
  <c r="CS405" i="86"/>
  <c r="CT405" i="86" s="1"/>
  <c r="CR406" i="86"/>
  <c r="CS406" i="86"/>
  <c r="CT406" i="86" s="1"/>
  <c r="CR407" i="86"/>
  <c r="CS407" i="86"/>
  <c r="CT407" i="86" s="1"/>
  <c r="CR408" i="86"/>
  <c r="CS408" i="86"/>
  <c r="CT408" i="86" s="1"/>
  <c r="CR409" i="86"/>
  <c r="CS409" i="86"/>
  <c r="CT409" i="86" s="1"/>
  <c r="CR410" i="86"/>
  <c r="CS410" i="86"/>
  <c r="CT410" i="86" s="1"/>
  <c r="CR411" i="86"/>
  <c r="CS411" i="86"/>
  <c r="CT411" i="86" s="1"/>
  <c r="CR412" i="86"/>
  <c r="CS412" i="86"/>
  <c r="CT412" i="86" s="1"/>
  <c r="CR413" i="86"/>
  <c r="CS413" i="86"/>
  <c r="CT413" i="86" s="1"/>
  <c r="CR414" i="86"/>
  <c r="CS414" i="86"/>
  <c r="CT414" i="86" s="1"/>
  <c r="CR415" i="86"/>
  <c r="CS415" i="86"/>
  <c r="CT415" i="86" s="1"/>
  <c r="CR416" i="86"/>
  <c r="CS416" i="86"/>
  <c r="CT416" i="86" s="1"/>
  <c r="CR417" i="86"/>
  <c r="CS417" i="86"/>
  <c r="CT417" i="86" s="1"/>
  <c r="CR418" i="86"/>
  <c r="CS418" i="86"/>
  <c r="CT418" i="86" s="1"/>
  <c r="CR419" i="86"/>
  <c r="CS419" i="86"/>
  <c r="CT419" i="86" s="1"/>
  <c r="CR420" i="86"/>
  <c r="CS420" i="86"/>
  <c r="CT420" i="86" s="1"/>
  <c r="CR421" i="86"/>
  <c r="CS421" i="86"/>
  <c r="CT421" i="86" s="1"/>
  <c r="CR422" i="86"/>
  <c r="CS422" i="86"/>
  <c r="CT422" i="86" s="1"/>
  <c r="CR423" i="86"/>
  <c r="CS423" i="86"/>
  <c r="CT423" i="86" s="1"/>
  <c r="CR424" i="86"/>
  <c r="CS424" i="86"/>
  <c r="CT424" i="86" s="1"/>
  <c r="CR425" i="86"/>
  <c r="CS425" i="86"/>
  <c r="CT425" i="86" s="1"/>
  <c r="CR426" i="86"/>
  <c r="CS426" i="86"/>
  <c r="CT426" i="86" s="1"/>
  <c r="CR427" i="86"/>
  <c r="CS427" i="86"/>
  <c r="CT427" i="86" s="1"/>
  <c r="CR428" i="86"/>
  <c r="CS428" i="86"/>
  <c r="CT428" i="86" s="1"/>
  <c r="CR429" i="86"/>
  <c r="CS429" i="86"/>
  <c r="CT429" i="86" s="1"/>
  <c r="CR430" i="86"/>
  <c r="CS430" i="86"/>
  <c r="CT430" i="86" s="1"/>
  <c r="CR431" i="86"/>
  <c r="CS431" i="86"/>
  <c r="CT431" i="86" s="1"/>
  <c r="CR432" i="86"/>
  <c r="CS432" i="86"/>
  <c r="CT432" i="86" s="1"/>
  <c r="CR433" i="86"/>
  <c r="CS433" i="86"/>
  <c r="CT433" i="86" s="1"/>
  <c r="CR434" i="86"/>
  <c r="CS434" i="86"/>
  <c r="CT434" i="86" s="1"/>
  <c r="CR435" i="86"/>
  <c r="CS435" i="86"/>
  <c r="CT435" i="86" s="1"/>
  <c r="CR436" i="86"/>
  <c r="CS436" i="86"/>
  <c r="CT436" i="86" s="1"/>
  <c r="CR437" i="86"/>
  <c r="CS437" i="86"/>
  <c r="CT437" i="86" s="1"/>
  <c r="CR438" i="86"/>
  <c r="CS438" i="86"/>
  <c r="CT438" i="86" s="1"/>
  <c r="CR439" i="86"/>
  <c r="CS439" i="86"/>
  <c r="CT439" i="86" s="1"/>
  <c r="CR440" i="86"/>
  <c r="CS440" i="86"/>
  <c r="CT440" i="86" s="1"/>
  <c r="CR441" i="86"/>
  <c r="CS441" i="86"/>
  <c r="CT441" i="86" s="1"/>
  <c r="CR442" i="86"/>
  <c r="CS442" i="86"/>
  <c r="CT442" i="86" s="1"/>
  <c r="CR443" i="86"/>
  <c r="CS443" i="86"/>
  <c r="CT443" i="86" s="1"/>
  <c r="CR444" i="86"/>
  <c r="CS444" i="86"/>
  <c r="CT444" i="86" s="1"/>
  <c r="CR445" i="86"/>
  <c r="CS445" i="86"/>
  <c r="CT445" i="86" s="1"/>
  <c r="CR446" i="86"/>
  <c r="CS446" i="86"/>
  <c r="CT446" i="86" s="1"/>
  <c r="CR447" i="86"/>
  <c r="CS447" i="86"/>
  <c r="CT447" i="86" s="1"/>
  <c r="CR448" i="86"/>
  <c r="CS448" i="86"/>
  <c r="CT448" i="86" s="1"/>
  <c r="CR449" i="86"/>
  <c r="CS449" i="86"/>
  <c r="CT449" i="86" s="1"/>
  <c r="CR450" i="86"/>
  <c r="CS450" i="86"/>
  <c r="CT450" i="86" s="1"/>
  <c r="CR451" i="86"/>
  <c r="CS451" i="86"/>
  <c r="CT451" i="86" s="1"/>
  <c r="CR452" i="86"/>
  <c r="CS452" i="86"/>
  <c r="CT452" i="86" s="1"/>
  <c r="CR453" i="86"/>
  <c r="CS453" i="86"/>
  <c r="CT453" i="86" s="1"/>
  <c r="CR454" i="86"/>
  <c r="CS454" i="86"/>
  <c r="CT454" i="86" s="1"/>
  <c r="CR455" i="86"/>
  <c r="CS455" i="86"/>
  <c r="CT455" i="86" s="1"/>
  <c r="CR456" i="86"/>
  <c r="CS456" i="86"/>
  <c r="CT456" i="86" s="1"/>
  <c r="CR457" i="86"/>
  <c r="CS457" i="86"/>
  <c r="CT457" i="86" s="1"/>
  <c r="CR458" i="86"/>
  <c r="CS458" i="86"/>
  <c r="CT458" i="86" s="1"/>
  <c r="CR459" i="86"/>
  <c r="CS459" i="86"/>
  <c r="CT459" i="86" s="1"/>
  <c r="CR460" i="86"/>
  <c r="CS460" i="86"/>
  <c r="CT460" i="86" s="1"/>
  <c r="CR461" i="86"/>
  <c r="CS461" i="86"/>
  <c r="CT461" i="86" s="1"/>
  <c r="CR462" i="86"/>
  <c r="CS462" i="86"/>
  <c r="CT462" i="86" s="1"/>
  <c r="CR463" i="86"/>
  <c r="CS463" i="86"/>
  <c r="CT463" i="86" s="1"/>
  <c r="CR464" i="86"/>
  <c r="CS464" i="86"/>
  <c r="CT464" i="86" s="1"/>
  <c r="CR465" i="86"/>
  <c r="CS465" i="86"/>
  <c r="CT465" i="86" s="1"/>
  <c r="CR466" i="86"/>
  <c r="CS466" i="86"/>
  <c r="CT466" i="86" s="1"/>
  <c r="CR467" i="86"/>
  <c r="CS467" i="86"/>
  <c r="CT467" i="86" s="1"/>
  <c r="CR468" i="86"/>
  <c r="CS468" i="86"/>
  <c r="CT468" i="86" s="1"/>
  <c r="CR469" i="86"/>
  <c r="CS469" i="86"/>
  <c r="CT469" i="86" s="1"/>
  <c r="CR470" i="86"/>
  <c r="CS470" i="86"/>
  <c r="CT470" i="86" s="1"/>
  <c r="CR471" i="86"/>
  <c r="CS471" i="86"/>
  <c r="CT471" i="86" s="1"/>
  <c r="CR472" i="86"/>
  <c r="CS472" i="86"/>
  <c r="CT472" i="86" s="1"/>
  <c r="CR473" i="86"/>
  <c r="CS473" i="86"/>
  <c r="CT473" i="86" s="1"/>
  <c r="CR474" i="86"/>
  <c r="CS474" i="86"/>
  <c r="CT474" i="86" s="1"/>
  <c r="CR475" i="86"/>
  <c r="CS475" i="86"/>
  <c r="CT475" i="86" s="1"/>
  <c r="CR476" i="86"/>
  <c r="CS476" i="86"/>
  <c r="CT476" i="86" s="1"/>
  <c r="CR477" i="86"/>
  <c r="CS477" i="86"/>
  <c r="CT477" i="86" s="1"/>
  <c r="CR478" i="86"/>
  <c r="CS478" i="86"/>
  <c r="CT478" i="86" s="1"/>
  <c r="CR479" i="86"/>
  <c r="CS479" i="86"/>
  <c r="CT479" i="86" s="1"/>
  <c r="CR480" i="86"/>
  <c r="CS480" i="86"/>
  <c r="CT480" i="86" s="1"/>
  <c r="CR481" i="86"/>
  <c r="CS481" i="86"/>
  <c r="CT481" i="86" s="1"/>
  <c r="CR482" i="86"/>
  <c r="CS482" i="86"/>
  <c r="CT482" i="86" s="1"/>
  <c r="CR483" i="86"/>
  <c r="CS483" i="86"/>
  <c r="CT483" i="86" s="1"/>
  <c r="CR484" i="86"/>
  <c r="CS484" i="86"/>
  <c r="CT484" i="86" s="1"/>
  <c r="CR485" i="86"/>
  <c r="CS485" i="86"/>
  <c r="CT485" i="86" s="1"/>
  <c r="CR486" i="86"/>
  <c r="CS486" i="86"/>
  <c r="CT486" i="86" s="1"/>
  <c r="CR487" i="86"/>
  <c r="CS487" i="86"/>
  <c r="CT487" i="86" s="1"/>
  <c r="CR488" i="86"/>
  <c r="CS488" i="86"/>
  <c r="CT488" i="86" s="1"/>
  <c r="CR489" i="86"/>
  <c r="CS489" i="86"/>
  <c r="CT489" i="86" s="1"/>
  <c r="CR490" i="86"/>
  <c r="CS490" i="86"/>
  <c r="CT490" i="86" s="1"/>
  <c r="CR491" i="86"/>
  <c r="CS491" i="86"/>
  <c r="CT491" i="86" s="1"/>
  <c r="CR492" i="86"/>
  <c r="CS492" i="86"/>
  <c r="CT492" i="86" s="1"/>
  <c r="CR493" i="86"/>
  <c r="CS493" i="86"/>
  <c r="CT493" i="86" s="1"/>
  <c r="CR494" i="86"/>
  <c r="CS494" i="86"/>
  <c r="CT494" i="86" s="1"/>
  <c r="CR495" i="86"/>
  <c r="CS495" i="86"/>
  <c r="CT495" i="86" s="1"/>
  <c r="CR496" i="86"/>
  <c r="CS496" i="86"/>
  <c r="CT496" i="86" s="1"/>
  <c r="CR497" i="86"/>
  <c r="CS497" i="86"/>
  <c r="CT497" i="86" s="1"/>
  <c r="CR498" i="86"/>
  <c r="CS498" i="86"/>
  <c r="CT498" i="86" s="1"/>
  <c r="CR499" i="86"/>
  <c r="CS499" i="86"/>
  <c r="CT499" i="86" s="1"/>
  <c r="CR500" i="86"/>
  <c r="CS500" i="86"/>
  <c r="CT500" i="86" s="1"/>
  <c r="CR501" i="86"/>
  <c r="CS501" i="86"/>
  <c r="CT501" i="86" s="1"/>
  <c r="CR502" i="86"/>
  <c r="CS502" i="86"/>
  <c r="CT502" i="86" s="1"/>
  <c r="CR503" i="86"/>
  <c r="CS503" i="86"/>
  <c r="CT503" i="86" s="1"/>
  <c r="CR504" i="86"/>
  <c r="CS504" i="86"/>
  <c r="CT504" i="86" s="1"/>
  <c r="CR505" i="86"/>
  <c r="CS505" i="86"/>
  <c r="CT505" i="86" s="1"/>
  <c r="CR506" i="86"/>
  <c r="CS506" i="86"/>
  <c r="CT506" i="86" s="1"/>
  <c r="CR507" i="86"/>
  <c r="CS507" i="86"/>
  <c r="CT507" i="86" s="1"/>
  <c r="CR508" i="86"/>
  <c r="CS508" i="86"/>
  <c r="CT508" i="86" s="1"/>
  <c r="CR509" i="86"/>
  <c r="CS509" i="86"/>
  <c r="CT509" i="86" s="1"/>
  <c r="CR510" i="86"/>
  <c r="CS510" i="86"/>
  <c r="CT510" i="86" s="1"/>
  <c r="CR511" i="86"/>
  <c r="CS511" i="86"/>
  <c r="CT511" i="86" s="1"/>
  <c r="CR512" i="86"/>
  <c r="CS512" i="86"/>
  <c r="CT512" i="86" s="1"/>
  <c r="CR513" i="86"/>
  <c r="CS513" i="86"/>
  <c r="CT513" i="86" s="1"/>
  <c r="CR514" i="86"/>
  <c r="CS514" i="86"/>
  <c r="CT514" i="86" s="1"/>
  <c r="CR515" i="86"/>
  <c r="CS515" i="86"/>
  <c r="CT515" i="86" s="1"/>
  <c r="CR516" i="86"/>
  <c r="CS516" i="86"/>
  <c r="CT516" i="86" s="1"/>
  <c r="CR517" i="86"/>
  <c r="CS517" i="86"/>
  <c r="CT517" i="86" s="1"/>
  <c r="CR518" i="86"/>
  <c r="CS518" i="86"/>
  <c r="CT518" i="86" s="1"/>
  <c r="CR519" i="86"/>
  <c r="CS519" i="86"/>
  <c r="CT519" i="86" s="1"/>
  <c r="CR520" i="86"/>
  <c r="CS520" i="86"/>
  <c r="CT520" i="86" s="1"/>
  <c r="CR521" i="86"/>
  <c r="CS521" i="86"/>
  <c r="CT521" i="86" s="1"/>
  <c r="CR522" i="86"/>
  <c r="CS522" i="86"/>
  <c r="CT522" i="86" s="1"/>
  <c r="CR523" i="86"/>
  <c r="CS523" i="86"/>
  <c r="CT523" i="86" s="1"/>
  <c r="CR524" i="86"/>
  <c r="CS524" i="86"/>
  <c r="CT524" i="86" s="1"/>
  <c r="CR525" i="86"/>
  <c r="CS525" i="86"/>
  <c r="CT525" i="86" s="1"/>
  <c r="CR526" i="86"/>
  <c r="CS526" i="86"/>
  <c r="CT526" i="86" s="1"/>
  <c r="CR527" i="86"/>
  <c r="CS527" i="86"/>
  <c r="CT527" i="86" s="1"/>
  <c r="CR528" i="86"/>
  <c r="CS528" i="86"/>
  <c r="CT528" i="86" s="1"/>
  <c r="CR529" i="86"/>
  <c r="CS529" i="86"/>
  <c r="CT529" i="86" s="1"/>
  <c r="CR530" i="86"/>
  <c r="CS530" i="86"/>
  <c r="CT530" i="86" s="1"/>
  <c r="CR531" i="86"/>
  <c r="CS531" i="86"/>
  <c r="CT531" i="86" s="1"/>
  <c r="CR532" i="86"/>
  <c r="CS532" i="86"/>
  <c r="CT532" i="86" s="1"/>
  <c r="CR533" i="86"/>
  <c r="CS533" i="86"/>
  <c r="CT533" i="86" s="1"/>
  <c r="CR534" i="86"/>
  <c r="CS534" i="86"/>
  <c r="CT534" i="86" s="1"/>
  <c r="CR535" i="86"/>
  <c r="CS535" i="86"/>
  <c r="CT535" i="86" s="1"/>
  <c r="CR536" i="86"/>
  <c r="CS536" i="86"/>
  <c r="CT536" i="86" s="1"/>
  <c r="CR537" i="86"/>
  <c r="CS537" i="86"/>
  <c r="CT537" i="86" s="1"/>
  <c r="CR538" i="86"/>
  <c r="CS538" i="86"/>
  <c r="CT538" i="86" s="1"/>
  <c r="CR539" i="86"/>
  <c r="CS539" i="86"/>
  <c r="CT539" i="86" s="1"/>
  <c r="CR540" i="86"/>
  <c r="CS540" i="86"/>
  <c r="CT540" i="86" s="1"/>
  <c r="CR541" i="86"/>
  <c r="CS541" i="86"/>
  <c r="CT541" i="86" s="1"/>
  <c r="CR542" i="86"/>
  <c r="CS542" i="86"/>
  <c r="CT542" i="86" s="1"/>
  <c r="CR543" i="86"/>
  <c r="CS543" i="86"/>
  <c r="CT543" i="86" s="1"/>
  <c r="CR544" i="86"/>
  <c r="CS544" i="86"/>
  <c r="CT544" i="86" s="1"/>
  <c r="CR545" i="86"/>
  <c r="CS545" i="86"/>
  <c r="CT545" i="86" s="1"/>
  <c r="CR546" i="86"/>
  <c r="CS546" i="86"/>
  <c r="CT546" i="86" s="1"/>
  <c r="CR547" i="86"/>
  <c r="CS547" i="86"/>
  <c r="CT547" i="86" s="1"/>
  <c r="CR548" i="86"/>
  <c r="CS548" i="86"/>
  <c r="CT548" i="86" s="1"/>
  <c r="CR549" i="86"/>
  <c r="CS549" i="86"/>
  <c r="CT549" i="86" s="1"/>
  <c r="CR550" i="86"/>
  <c r="CS550" i="86"/>
  <c r="CT550" i="86" s="1"/>
  <c r="CR551" i="86"/>
  <c r="CS551" i="86"/>
  <c r="CT551" i="86" s="1"/>
  <c r="CR552" i="86"/>
  <c r="CS552" i="86"/>
  <c r="CT552" i="86" s="1"/>
  <c r="CR553" i="86"/>
  <c r="CS553" i="86"/>
  <c r="CT553" i="86" s="1"/>
  <c r="CR554" i="86"/>
  <c r="CS554" i="86"/>
  <c r="CT554" i="86" s="1"/>
  <c r="CR555" i="86"/>
  <c r="CS555" i="86"/>
  <c r="CT555" i="86" s="1"/>
  <c r="CR556" i="86"/>
  <c r="CS556" i="86"/>
  <c r="CT556" i="86" s="1"/>
  <c r="CR557" i="86"/>
  <c r="CS557" i="86"/>
  <c r="CT557" i="86" s="1"/>
  <c r="CR558" i="86"/>
  <c r="CS558" i="86"/>
  <c r="CT558" i="86" s="1"/>
  <c r="CR559" i="86"/>
  <c r="CS559" i="86"/>
  <c r="CT559" i="86" s="1"/>
  <c r="CR560" i="86"/>
  <c r="CS560" i="86"/>
  <c r="CT560" i="86" s="1"/>
  <c r="CR561" i="86"/>
  <c r="CS561" i="86"/>
  <c r="CT561" i="86" s="1"/>
  <c r="CR562" i="86"/>
  <c r="CS562" i="86"/>
  <c r="CT562" i="86" s="1"/>
  <c r="CR563" i="86"/>
  <c r="CS563" i="86"/>
  <c r="CT563" i="86" s="1"/>
  <c r="CR564" i="86"/>
  <c r="CS564" i="86"/>
  <c r="CT564" i="86" s="1"/>
  <c r="CR565" i="86"/>
  <c r="CS565" i="86"/>
  <c r="CT565" i="86" s="1"/>
  <c r="CR566" i="86"/>
  <c r="CS566" i="86"/>
  <c r="CT566" i="86" s="1"/>
  <c r="CR567" i="86"/>
  <c r="CS567" i="86"/>
  <c r="CT567" i="86" s="1"/>
  <c r="CR568" i="86"/>
  <c r="CS568" i="86"/>
  <c r="CT568" i="86" s="1"/>
  <c r="CR569" i="86"/>
  <c r="CS569" i="86"/>
  <c r="CT569" i="86" s="1"/>
  <c r="CR570" i="86"/>
  <c r="CS570" i="86"/>
  <c r="CT570" i="86" s="1"/>
  <c r="CR571" i="86"/>
  <c r="CS571" i="86"/>
  <c r="CT571" i="86" s="1"/>
  <c r="CR572" i="86"/>
  <c r="CS572" i="86"/>
  <c r="CT572" i="86" s="1"/>
  <c r="CR573" i="86"/>
  <c r="CS573" i="86"/>
  <c r="CT573" i="86" s="1"/>
  <c r="CR574" i="86"/>
  <c r="CS574" i="86"/>
  <c r="CT574" i="86" s="1"/>
  <c r="CR575" i="86"/>
  <c r="CS575" i="86"/>
  <c r="CT575" i="86" s="1"/>
  <c r="CR576" i="86"/>
  <c r="CS576" i="86"/>
  <c r="CT576" i="86" s="1"/>
  <c r="CR577" i="86"/>
  <c r="CS577" i="86"/>
  <c r="CT577" i="86" s="1"/>
  <c r="CR578" i="86"/>
  <c r="CS578" i="86"/>
  <c r="CT578" i="86" s="1"/>
  <c r="CR579" i="86"/>
  <c r="CS579" i="86"/>
  <c r="CT579" i="86" s="1"/>
  <c r="CR580" i="86"/>
  <c r="CS580" i="86"/>
  <c r="CT580" i="86" s="1"/>
  <c r="CR581" i="86"/>
  <c r="CS581" i="86"/>
  <c r="CT581" i="86" s="1"/>
  <c r="CR582" i="86"/>
  <c r="CS582" i="86"/>
  <c r="CT582" i="86" s="1"/>
  <c r="CR583" i="86"/>
  <c r="CS583" i="86"/>
  <c r="CT583" i="86" s="1"/>
  <c r="CR584" i="86"/>
  <c r="CS584" i="86"/>
  <c r="CT584" i="86" s="1"/>
  <c r="CR585" i="86"/>
  <c r="CS585" i="86"/>
  <c r="CT585" i="86" s="1"/>
  <c r="CR586" i="86"/>
  <c r="CS586" i="86"/>
  <c r="CT586" i="86" s="1"/>
  <c r="CR587" i="86"/>
  <c r="CS587" i="86"/>
  <c r="CT587" i="86" s="1"/>
  <c r="CR588" i="86"/>
  <c r="CS588" i="86"/>
  <c r="CT588" i="86" s="1"/>
  <c r="CR589" i="86"/>
  <c r="CS589" i="86"/>
  <c r="CT589" i="86" s="1"/>
  <c r="CR590" i="86"/>
  <c r="CS590" i="86"/>
  <c r="CT590" i="86" s="1"/>
  <c r="CR591" i="86"/>
  <c r="CS591" i="86"/>
  <c r="CT591" i="86" s="1"/>
  <c r="CR592" i="86"/>
  <c r="CS592" i="86"/>
  <c r="CT592" i="86" s="1"/>
  <c r="CR593" i="86"/>
  <c r="CS593" i="86"/>
  <c r="CT593" i="86" s="1"/>
  <c r="CR594" i="86"/>
  <c r="CS594" i="86"/>
  <c r="CT594" i="86" s="1"/>
  <c r="CR595" i="86"/>
  <c r="CS595" i="86"/>
  <c r="CT595" i="86" s="1"/>
  <c r="CR596" i="86"/>
  <c r="CS596" i="86"/>
  <c r="CT596" i="86" s="1"/>
  <c r="CR597" i="86"/>
  <c r="CS597" i="86"/>
  <c r="CT597" i="86" s="1"/>
  <c r="CR598" i="86"/>
  <c r="CS598" i="86"/>
  <c r="CT598" i="86" s="1"/>
  <c r="CR599" i="86"/>
  <c r="CS599" i="86"/>
  <c r="CT599" i="86" s="1"/>
  <c r="CR600" i="86"/>
  <c r="CS600" i="86"/>
  <c r="CT600" i="86" s="1"/>
  <c r="CR1" i="89"/>
  <c r="CS1" i="89"/>
  <c r="CT1" i="89" s="1"/>
  <c r="CW1" i="89"/>
  <c r="CX1" i="89"/>
  <c r="CY1" i="89" s="1"/>
  <c r="CR2" i="89"/>
  <c r="CS2" i="89"/>
  <c r="CT2" i="89" s="1"/>
  <c r="CW2" i="89"/>
  <c r="CX2" i="89"/>
  <c r="CY2" i="89" s="1"/>
  <c r="CR3" i="89"/>
  <c r="CS3" i="89"/>
  <c r="CT3" i="89" s="1"/>
  <c r="CW3" i="89"/>
  <c r="CX3" i="89"/>
  <c r="CY3" i="89" s="1"/>
  <c r="CR4" i="89"/>
  <c r="CS4" i="89"/>
  <c r="CT4" i="89" s="1"/>
  <c r="CW4" i="89"/>
  <c r="CX4" i="89"/>
  <c r="CY4" i="89" s="1"/>
  <c r="CR5" i="89"/>
  <c r="CS5" i="89"/>
  <c r="CT5" i="89" s="1"/>
  <c r="CW5" i="89"/>
  <c r="CX5" i="89"/>
  <c r="CY5" i="89" s="1"/>
  <c r="CR6" i="89"/>
  <c r="CS6" i="89"/>
  <c r="CT6" i="89" s="1"/>
  <c r="CW6" i="89"/>
  <c r="CX6" i="89"/>
  <c r="CY6" i="89" s="1"/>
  <c r="CR7" i="89"/>
  <c r="CS7" i="89"/>
  <c r="CT7" i="89" s="1"/>
  <c r="CW7" i="89"/>
  <c r="CX7" i="89"/>
  <c r="CY7" i="89" s="1"/>
  <c r="CR8" i="89"/>
  <c r="CS8" i="89"/>
  <c r="CT8" i="89" s="1"/>
  <c r="CW8" i="89"/>
  <c r="CX8" i="89"/>
  <c r="CY8" i="89" s="1"/>
  <c r="CR9" i="89"/>
  <c r="CS9" i="89"/>
  <c r="CT9" i="89" s="1"/>
  <c r="CW9" i="89"/>
  <c r="CX9" i="89"/>
  <c r="CY9" i="89" s="1"/>
  <c r="CR10" i="89"/>
  <c r="CS10" i="89"/>
  <c r="CT10" i="89" s="1"/>
  <c r="CW10" i="89"/>
  <c r="CX10" i="89"/>
  <c r="CY10" i="89" s="1"/>
  <c r="CR11" i="89"/>
  <c r="CS11" i="89"/>
  <c r="CT11" i="89" s="1"/>
  <c r="CW11" i="89"/>
  <c r="CX11" i="89"/>
  <c r="CY11" i="89" s="1"/>
  <c r="CR12" i="89"/>
  <c r="CS12" i="89"/>
  <c r="CT12" i="89" s="1"/>
  <c r="CW12" i="89"/>
  <c r="CX12" i="89"/>
  <c r="CY12" i="89" s="1"/>
  <c r="CR13" i="89"/>
  <c r="CS13" i="89"/>
  <c r="CT13" i="89" s="1"/>
  <c r="CW13" i="89"/>
  <c r="CX13" i="89"/>
  <c r="CY13" i="89" s="1"/>
  <c r="CR14" i="89"/>
  <c r="CS14" i="89"/>
  <c r="CT14" i="89" s="1"/>
  <c r="CW14" i="89"/>
  <c r="CX14" i="89"/>
  <c r="CY14" i="89" s="1"/>
  <c r="CR15" i="89"/>
  <c r="CS15" i="89"/>
  <c r="CT15" i="89" s="1"/>
  <c r="CW15" i="89"/>
  <c r="CX15" i="89"/>
  <c r="CY15" i="89" s="1"/>
  <c r="CR16" i="89"/>
  <c r="CS16" i="89"/>
  <c r="CT16" i="89" s="1"/>
  <c r="CW16" i="89"/>
  <c r="CX16" i="89"/>
  <c r="CY16" i="89" s="1"/>
  <c r="CR17" i="89"/>
  <c r="CS17" i="89"/>
  <c r="CT17" i="89" s="1"/>
  <c r="CW17" i="89"/>
  <c r="CX17" i="89"/>
  <c r="CY17" i="89" s="1"/>
  <c r="CR18" i="89"/>
  <c r="CS18" i="89"/>
  <c r="CT18" i="89" s="1"/>
  <c r="CW18" i="89"/>
  <c r="CX18" i="89"/>
  <c r="CY18" i="89" s="1"/>
  <c r="CR19" i="89"/>
  <c r="CS19" i="89"/>
  <c r="CT19" i="89" s="1"/>
  <c r="CW19" i="89"/>
  <c r="CX19" i="89"/>
  <c r="CY19" i="89" s="1"/>
  <c r="CR20" i="89"/>
  <c r="CS20" i="89"/>
  <c r="CT20" i="89" s="1"/>
  <c r="CW20" i="89"/>
  <c r="CX20" i="89"/>
  <c r="CY20" i="89" s="1"/>
  <c r="CR21" i="89"/>
  <c r="CS21" i="89"/>
  <c r="CT21" i="89" s="1"/>
  <c r="CW21" i="89"/>
  <c r="CX21" i="89"/>
  <c r="CY21" i="89" s="1"/>
  <c r="CR22" i="89"/>
  <c r="CS22" i="89"/>
  <c r="CT22" i="89" s="1"/>
  <c r="CW22" i="89"/>
  <c r="CX22" i="89"/>
  <c r="CY22" i="89" s="1"/>
  <c r="CR23" i="89"/>
  <c r="CS23" i="89"/>
  <c r="CT23" i="89" s="1"/>
  <c r="CW23" i="89"/>
  <c r="CX23" i="89"/>
  <c r="CY23" i="89" s="1"/>
  <c r="CR24" i="89"/>
  <c r="CS24" i="89"/>
  <c r="CT24" i="89" s="1"/>
  <c r="CW24" i="89"/>
  <c r="CX24" i="89"/>
  <c r="CY24" i="89" s="1"/>
  <c r="CR25" i="89"/>
  <c r="CS25" i="89"/>
  <c r="CT25" i="89" s="1"/>
  <c r="CW25" i="89"/>
  <c r="CX25" i="89"/>
  <c r="CY25" i="89" s="1"/>
  <c r="CR26" i="89"/>
  <c r="CS26" i="89"/>
  <c r="CT26" i="89" s="1"/>
  <c r="CW26" i="89"/>
  <c r="CX26" i="89"/>
  <c r="CY26" i="89" s="1"/>
  <c r="CR27" i="89"/>
  <c r="CS27" i="89"/>
  <c r="CT27" i="89" s="1"/>
  <c r="CW27" i="89"/>
  <c r="CX27" i="89"/>
  <c r="CY27" i="89" s="1"/>
  <c r="CR28" i="89"/>
  <c r="CS28" i="89"/>
  <c r="CT28" i="89" s="1"/>
  <c r="CW28" i="89"/>
  <c r="CX28" i="89"/>
  <c r="CY28" i="89" s="1"/>
  <c r="CR29" i="89"/>
  <c r="CS29" i="89"/>
  <c r="CT29" i="89" s="1"/>
  <c r="CW29" i="89"/>
  <c r="CX29" i="89"/>
  <c r="CY29" i="89" s="1"/>
  <c r="CR30" i="89"/>
  <c r="CS30" i="89"/>
  <c r="CT30" i="89" s="1"/>
  <c r="CW30" i="89"/>
  <c r="CX30" i="89"/>
  <c r="CY30" i="89" s="1"/>
  <c r="CR31" i="89"/>
  <c r="CS31" i="89"/>
  <c r="CT31" i="89" s="1"/>
  <c r="CW31" i="89"/>
  <c r="CX31" i="89"/>
  <c r="CY31" i="89" s="1"/>
  <c r="CR32" i="89"/>
  <c r="CS32" i="89"/>
  <c r="CT32" i="89" s="1"/>
  <c r="CW32" i="89"/>
  <c r="CX32" i="89"/>
  <c r="CY32" i="89" s="1"/>
  <c r="CR33" i="89"/>
  <c r="CS33" i="89"/>
  <c r="CT33" i="89" s="1"/>
  <c r="CW33" i="89"/>
  <c r="CX33" i="89"/>
  <c r="CY33" i="89" s="1"/>
  <c r="CR34" i="89"/>
  <c r="CS34" i="89"/>
  <c r="CT34" i="89" s="1"/>
  <c r="CW34" i="89"/>
  <c r="CX34" i="89"/>
  <c r="CY34" i="89" s="1"/>
  <c r="CR35" i="89"/>
  <c r="CS35" i="89"/>
  <c r="CT35" i="89" s="1"/>
  <c r="CW35" i="89"/>
  <c r="CX35" i="89"/>
  <c r="CY35" i="89" s="1"/>
  <c r="CR36" i="89"/>
  <c r="CS36" i="89"/>
  <c r="CT36" i="89" s="1"/>
  <c r="CW36" i="89"/>
  <c r="CX36" i="89"/>
  <c r="CY36" i="89" s="1"/>
  <c r="CR37" i="89"/>
  <c r="CS37" i="89"/>
  <c r="CT37" i="89" s="1"/>
  <c r="CW37" i="89"/>
  <c r="CX37" i="89"/>
  <c r="CY37" i="89" s="1"/>
  <c r="CR38" i="89"/>
  <c r="CS38" i="89"/>
  <c r="CT38" i="89" s="1"/>
  <c r="CW38" i="89"/>
  <c r="CX38" i="89"/>
  <c r="CY38" i="89" s="1"/>
  <c r="CR39" i="89"/>
  <c r="CS39" i="89"/>
  <c r="CT39" i="89" s="1"/>
  <c r="CW39" i="89"/>
  <c r="CX39" i="89"/>
  <c r="CY39" i="89" s="1"/>
  <c r="CR40" i="89"/>
  <c r="CS40" i="89"/>
  <c r="CT40" i="89" s="1"/>
  <c r="CW40" i="89"/>
  <c r="CX40" i="89"/>
  <c r="CY40" i="89" s="1"/>
  <c r="CR41" i="89"/>
  <c r="CS41" i="89"/>
  <c r="CT41" i="89" s="1"/>
  <c r="CW41" i="89"/>
  <c r="CX41" i="89"/>
  <c r="CY41" i="89" s="1"/>
  <c r="CR42" i="89"/>
  <c r="CS42" i="89"/>
  <c r="CT42" i="89" s="1"/>
  <c r="CW42" i="89"/>
  <c r="CX42" i="89"/>
  <c r="CY42" i="89" s="1"/>
  <c r="CR43" i="89"/>
  <c r="CS43" i="89"/>
  <c r="CT43" i="89" s="1"/>
  <c r="CW43" i="89"/>
  <c r="CX43" i="89"/>
  <c r="CY43" i="89" s="1"/>
  <c r="CR44" i="89"/>
  <c r="CS44" i="89"/>
  <c r="CT44" i="89" s="1"/>
  <c r="CW44" i="89"/>
  <c r="CX44" i="89"/>
  <c r="CY44" i="89" s="1"/>
  <c r="CR45" i="89"/>
  <c r="CS45" i="89"/>
  <c r="CT45" i="89" s="1"/>
  <c r="CW45" i="89"/>
  <c r="CX45" i="89"/>
  <c r="CY45" i="89" s="1"/>
  <c r="CR46" i="89"/>
  <c r="CS46" i="89"/>
  <c r="CT46" i="89" s="1"/>
  <c r="CW46" i="89"/>
  <c r="CX46" i="89"/>
  <c r="CY46" i="89" s="1"/>
  <c r="CR47" i="89"/>
  <c r="CS47" i="89"/>
  <c r="CT47" i="89" s="1"/>
  <c r="CW47" i="89"/>
  <c r="CX47" i="89"/>
  <c r="CY47" i="89" s="1"/>
  <c r="CR48" i="89"/>
  <c r="CS48" i="89"/>
  <c r="CT48" i="89" s="1"/>
  <c r="CW48" i="89"/>
  <c r="CX48" i="89"/>
  <c r="CY48" i="89" s="1"/>
  <c r="CR49" i="89"/>
  <c r="CS49" i="89"/>
  <c r="CT49" i="89" s="1"/>
  <c r="CW49" i="89"/>
  <c r="CX49" i="89"/>
  <c r="CY49" i="89" s="1"/>
  <c r="CR50" i="89"/>
  <c r="CS50" i="89"/>
  <c r="CT50" i="89" s="1"/>
  <c r="CW50" i="89"/>
  <c r="CX50" i="89"/>
  <c r="CY50" i="89" s="1"/>
  <c r="CR51" i="89"/>
  <c r="CS51" i="89"/>
  <c r="CT51" i="89" s="1"/>
  <c r="CW51" i="89"/>
  <c r="CX51" i="89"/>
  <c r="CY51" i="89" s="1"/>
  <c r="CR52" i="89"/>
  <c r="CS52" i="89"/>
  <c r="CT52" i="89" s="1"/>
  <c r="CW52" i="89"/>
  <c r="CX52" i="89"/>
  <c r="CY52" i="89" s="1"/>
  <c r="CR53" i="89"/>
  <c r="CS53" i="89"/>
  <c r="CT53" i="89" s="1"/>
  <c r="CW53" i="89"/>
  <c r="CX53" i="89"/>
  <c r="CY53" i="89" s="1"/>
  <c r="CR54" i="89"/>
  <c r="CS54" i="89"/>
  <c r="CT54" i="89" s="1"/>
  <c r="CW54" i="89"/>
  <c r="CX54" i="89"/>
  <c r="CY54" i="89" s="1"/>
  <c r="CR55" i="89"/>
  <c r="CS55" i="89"/>
  <c r="CT55" i="89" s="1"/>
  <c r="CW55" i="89"/>
  <c r="CX55" i="89"/>
  <c r="CY55" i="89" s="1"/>
  <c r="CR56" i="89"/>
  <c r="CS56" i="89"/>
  <c r="CT56" i="89" s="1"/>
  <c r="CW56" i="89"/>
  <c r="CX56" i="89"/>
  <c r="CY56" i="89" s="1"/>
  <c r="CR57" i="89"/>
  <c r="CS57" i="89"/>
  <c r="CT57" i="89" s="1"/>
  <c r="CW57" i="89"/>
  <c r="CX57" i="89"/>
  <c r="CY57" i="89" s="1"/>
  <c r="CR58" i="89"/>
  <c r="CS58" i="89"/>
  <c r="CT58" i="89" s="1"/>
  <c r="CW58" i="89"/>
  <c r="CX58" i="89"/>
  <c r="CY58" i="89" s="1"/>
  <c r="CR59" i="89"/>
  <c r="CS59" i="89"/>
  <c r="CT59" i="89" s="1"/>
  <c r="CW59" i="89"/>
  <c r="CX59" i="89"/>
  <c r="CY59" i="89" s="1"/>
  <c r="CR60" i="89"/>
  <c r="CS60" i="89"/>
  <c r="CT60" i="89" s="1"/>
  <c r="CW60" i="89"/>
  <c r="CX60" i="89"/>
  <c r="CY60" i="89" s="1"/>
  <c r="CR61" i="89"/>
  <c r="CS61" i="89"/>
  <c r="CT61" i="89" s="1"/>
  <c r="CW61" i="89"/>
  <c r="CX61" i="89"/>
  <c r="CY61" i="89" s="1"/>
  <c r="CR62" i="89"/>
  <c r="CS62" i="89"/>
  <c r="CT62" i="89" s="1"/>
  <c r="CW62" i="89"/>
  <c r="CX62" i="89"/>
  <c r="CY62" i="89" s="1"/>
  <c r="CR63" i="89"/>
  <c r="CS63" i="89"/>
  <c r="CT63" i="89" s="1"/>
  <c r="CW63" i="89"/>
  <c r="CX63" i="89"/>
  <c r="CY63" i="89" s="1"/>
  <c r="CR64" i="89"/>
  <c r="CS64" i="89"/>
  <c r="CT64" i="89" s="1"/>
  <c r="CW64" i="89"/>
  <c r="CX64" i="89"/>
  <c r="CY64" i="89" s="1"/>
  <c r="CR65" i="89"/>
  <c r="CS65" i="89"/>
  <c r="CT65" i="89" s="1"/>
  <c r="CW65" i="89"/>
  <c r="CX65" i="89"/>
  <c r="CY65" i="89" s="1"/>
  <c r="CR66" i="89"/>
  <c r="CS66" i="89"/>
  <c r="CT66" i="89" s="1"/>
  <c r="CW66" i="89"/>
  <c r="CX66" i="89"/>
  <c r="CY66" i="89" s="1"/>
  <c r="CR67" i="89"/>
  <c r="CS67" i="89"/>
  <c r="CT67" i="89" s="1"/>
  <c r="CW67" i="89"/>
  <c r="CX67" i="89"/>
  <c r="CY67" i="89" s="1"/>
  <c r="CR68" i="89"/>
  <c r="CS68" i="89"/>
  <c r="CT68" i="89" s="1"/>
  <c r="CW68" i="89"/>
  <c r="CX68" i="89"/>
  <c r="CY68" i="89" s="1"/>
  <c r="CR69" i="89"/>
  <c r="CS69" i="89"/>
  <c r="CT69" i="89" s="1"/>
  <c r="CW69" i="89"/>
  <c r="CX69" i="89"/>
  <c r="CY69" i="89" s="1"/>
  <c r="CR70" i="89"/>
  <c r="CS70" i="89"/>
  <c r="CT70" i="89" s="1"/>
  <c r="CW70" i="89"/>
  <c r="CX70" i="89"/>
  <c r="CY70" i="89" s="1"/>
  <c r="CR71" i="89"/>
  <c r="CS71" i="89"/>
  <c r="CT71" i="89" s="1"/>
  <c r="CW71" i="89"/>
  <c r="CX71" i="89"/>
  <c r="CY71" i="89" s="1"/>
  <c r="CR72" i="89"/>
  <c r="CS72" i="89"/>
  <c r="CT72" i="89" s="1"/>
  <c r="CW72" i="89"/>
  <c r="CX72" i="89"/>
  <c r="CY72" i="89" s="1"/>
  <c r="CR73" i="89"/>
  <c r="CS73" i="89"/>
  <c r="CT73" i="89" s="1"/>
  <c r="CW73" i="89"/>
  <c r="CX73" i="89"/>
  <c r="CY73" i="89" s="1"/>
  <c r="CR74" i="89"/>
  <c r="CS74" i="89"/>
  <c r="CT74" i="89" s="1"/>
  <c r="CW74" i="89"/>
  <c r="CX74" i="89"/>
  <c r="CY74" i="89" s="1"/>
  <c r="CR75" i="89"/>
  <c r="CS75" i="89"/>
  <c r="CT75" i="89" s="1"/>
  <c r="CW75" i="89"/>
  <c r="CX75" i="89"/>
  <c r="CY75" i="89" s="1"/>
  <c r="CR76" i="89"/>
  <c r="CS76" i="89"/>
  <c r="CT76" i="89" s="1"/>
  <c r="CW76" i="89"/>
  <c r="CX76" i="89"/>
  <c r="CY76" i="89" s="1"/>
  <c r="CR77" i="89"/>
  <c r="CS77" i="89"/>
  <c r="CT77" i="89" s="1"/>
  <c r="CW77" i="89"/>
  <c r="CX77" i="89"/>
  <c r="CY77" i="89" s="1"/>
  <c r="CR78" i="89"/>
  <c r="CS78" i="89"/>
  <c r="CT78" i="89" s="1"/>
  <c r="CW78" i="89"/>
  <c r="CX78" i="89"/>
  <c r="CY78" i="89" s="1"/>
  <c r="CR79" i="89"/>
  <c r="CS79" i="89"/>
  <c r="CT79" i="89" s="1"/>
  <c r="CW79" i="89"/>
  <c r="CX79" i="89"/>
  <c r="CY79" i="89" s="1"/>
  <c r="CR80" i="89"/>
  <c r="CS80" i="89"/>
  <c r="CT80" i="89" s="1"/>
  <c r="CW80" i="89"/>
  <c r="CX80" i="89"/>
  <c r="CY80" i="89" s="1"/>
  <c r="CR81" i="89"/>
  <c r="CS81" i="89"/>
  <c r="CT81" i="89" s="1"/>
  <c r="CW81" i="89"/>
  <c r="CX81" i="89"/>
  <c r="CY81" i="89" s="1"/>
  <c r="CR82" i="89"/>
  <c r="CS82" i="89"/>
  <c r="CT82" i="89" s="1"/>
  <c r="CW82" i="89"/>
  <c r="CX82" i="89"/>
  <c r="CY82" i="89" s="1"/>
  <c r="CR83" i="89"/>
  <c r="CS83" i="89"/>
  <c r="CT83" i="89" s="1"/>
  <c r="CW83" i="89"/>
  <c r="CX83" i="89"/>
  <c r="CY83" i="89" s="1"/>
  <c r="CR84" i="89"/>
  <c r="CS84" i="89"/>
  <c r="CT84" i="89" s="1"/>
  <c r="CW84" i="89"/>
  <c r="CX84" i="89"/>
  <c r="CY84" i="89" s="1"/>
  <c r="CR85" i="89"/>
  <c r="CS85" i="89"/>
  <c r="CT85" i="89" s="1"/>
  <c r="CW85" i="89"/>
  <c r="CX85" i="89"/>
  <c r="CY85" i="89" s="1"/>
  <c r="CR86" i="89"/>
  <c r="CS86" i="89"/>
  <c r="CT86" i="89" s="1"/>
  <c r="CW86" i="89"/>
  <c r="CX86" i="89"/>
  <c r="CY86" i="89" s="1"/>
  <c r="CR87" i="89"/>
  <c r="CS87" i="89"/>
  <c r="CT87" i="89" s="1"/>
  <c r="CW87" i="89"/>
  <c r="CX87" i="89"/>
  <c r="CY87" i="89" s="1"/>
  <c r="CR88" i="89"/>
  <c r="CS88" i="89"/>
  <c r="CT88" i="89" s="1"/>
  <c r="CW88" i="89"/>
  <c r="CX88" i="89"/>
  <c r="CY88" i="89" s="1"/>
  <c r="CR89" i="89"/>
  <c r="CS89" i="89"/>
  <c r="CT89" i="89" s="1"/>
  <c r="CW89" i="89"/>
  <c r="CX89" i="89"/>
  <c r="CY89" i="89" s="1"/>
  <c r="CR90" i="89"/>
  <c r="CS90" i="89"/>
  <c r="CT90" i="89" s="1"/>
  <c r="CW90" i="89"/>
  <c r="CX90" i="89"/>
  <c r="CY90" i="89" s="1"/>
  <c r="CR91" i="89"/>
  <c r="CS91" i="89"/>
  <c r="CT91" i="89" s="1"/>
  <c r="CW91" i="89"/>
  <c r="CX91" i="89"/>
  <c r="CY91" i="89" s="1"/>
  <c r="CR92" i="89"/>
  <c r="CS92" i="89"/>
  <c r="CT92" i="89" s="1"/>
  <c r="CW92" i="89"/>
  <c r="CX92" i="89"/>
  <c r="CY92" i="89" s="1"/>
  <c r="CR93" i="89"/>
  <c r="CS93" i="89"/>
  <c r="CT93" i="89" s="1"/>
  <c r="CW93" i="89"/>
  <c r="CX93" i="89"/>
  <c r="CY93" i="89" s="1"/>
  <c r="CR94" i="89"/>
  <c r="CS94" i="89"/>
  <c r="CT94" i="89" s="1"/>
  <c r="CW94" i="89"/>
  <c r="CX94" i="89"/>
  <c r="CY94" i="89" s="1"/>
  <c r="CR95" i="89"/>
  <c r="CS95" i="89"/>
  <c r="CT95" i="89" s="1"/>
  <c r="CW95" i="89"/>
  <c r="CX95" i="89"/>
  <c r="CY95" i="89" s="1"/>
  <c r="CR96" i="89"/>
  <c r="CS96" i="89"/>
  <c r="CT96" i="89" s="1"/>
  <c r="CW96" i="89"/>
  <c r="CX96" i="89"/>
  <c r="CY96" i="89" s="1"/>
  <c r="CR97" i="89"/>
  <c r="CS97" i="89"/>
  <c r="CT97" i="89" s="1"/>
  <c r="CW97" i="89"/>
  <c r="CX97" i="89"/>
  <c r="CY97" i="89" s="1"/>
  <c r="CR98" i="89"/>
  <c r="CS98" i="89"/>
  <c r="CT98" i="89" s="1"/>
  <c r="CW98" i="89"/>
  <c r="CX98" i="89"/>
  <c r="CY98" i="89" s="1"/>
  <c r="CR99" i="89"/>
  <c r="CS99" i="89"/>
  <c r="CT99" i="89" s="1"/>
  <c r="CW99" i="89"/>
  <c r="CX99" i="89"/>
  <c r="CY99" i="89" s="1"/>
  <c r="CR100" i="89"/>
  <c r="CS100" i="89"/>
  <c r="CT100" i="89" s="1"/>
  <c r="CW100" i="89"/>
  <c r="CX100" i="89"/>
  <c r="CY100" i="89" s="1"/>
  <c r="CR101" i="89"/>
  <c r="CS101" i="89"/>
  <c r="CT101" i="89" s="1"/>
  <c r="CW101" i="89"/>
  <c r="CX101" i="89"/>
  <c r="CY101" i="89" s="1"/>
  <c r="CR102" i="89"/>
  <c r="CS102" i="89"/>
  <c r="CT102" i="89" s="1"/>
  <c r="CW102" i="89"/>
  <c r="CX102" i="89"/>
  <c r="CY102" i="89" s="1"/>
  <c r="CR103" i="89"/>
  <c r="CS103" i="89"/>
  <c r="CT103" i="89" s="1"/>
  <c r="CW103" i="89"/>
  <c r="CX103" i="89"/>
  <c r="CY103" i="89" s="1"/>
  <c r="CR104" i="89"/>
  <c r="CS104" i="89"/>
  <c r="CT104" i="89" s="1"/>
  <c r="CW104" i="89"/>
  <c r="CX104" i="89"/>
  <c r="CY104" i="89" s="1"/>
  <c r="CR105" i="89"/>
  <c r="CS105" i="89"/>
  <c r="CT105" i="89" s="1"/>
  <c r="CW105" i="89"/>
  <c r="CX105" i="89"/>
  <c r="CY105" i="89" s="1"/>
  <c r="CR106" i="89"/>
  <c r="CS106" i="89"/>
  <c r="CT106" i="89" s="1"/>
  <c r="CW106" i="89"/>
  <c r="CX106" i="89"/>
  <c r="CY106" i="89" s="1"/>
  <c r="CR107" i="89"/>
  <c r="CS107" i="89"/>
  <c r="CT107" i="89" s="1"/>
  <c r="CW107" i="89"/>
  <c r="CX107" i="89"/>
  <c r="CY107" i="89" s="1"/>
  <c r="CR108" i="89"/>
  <c r="CS108" i="89"/>
  <c r="CT108" i="89" s="1"/>
  <c r="CW108" i="89"/>
  <c r="CX108" i="89"/>
  <c r="CY108" i="89" s="1"/>
  <c r="CR109" i="89"/>
  <c r="CS109" i="89"/>
  <c r="CT109" i="89" s="1"/>
  <c r="CW109" i="89"/>
  <c r="CX109" i="89"/>
  <c r="CY109" i="89" s="1"/>
  <c r="CR110" i="89"/>
  <c r="CS110" i="89"/>
  <c r="CT110" i="89" s="1"/>
  <c r="CW110" i="89"/>
  <c r="CX110" i="89"/>
  <c r="CY110" i="89" s="1"/>
  <c r="CR111" i="89"/>
  <c r="CS111" i="89"/>
  <c r="CT111" i="89" s="1"/>
  <c r="CW111" i="89"/>
  <c r="CX111" i="89"/>
  <c r="CY111" i="89" s="1"/>
  <c r="CR112" i="89"/>
  <c r="CS112" i="89"/>
  <c r="CT112" i="89" s="1"/>
  <c r="CW112" i="89"/>
  <c r="CX112" i="89"/>
  <c r="CY112" i="89" s="1"/>
  <c r="CR113" i="89"/>
  <c r="CS113" i="89"/>
  <c r="CT113" i="89" s="1"/>
  <c r="CW113" i="89"/>
  <c r="CX113" i="89"/>
  <c r="CY113" i="89" s="1"/>
  <c r="CR114" i="89"/>
  <c r="CS114" i="89"/>
  <c r="CT114" i="89" s="1"/>
  <c r="CW114" i="89"/>
  <c r="CX114" i="89"/>
  <c r="CY114" i="89" s="1"/>
  <c r="CR115" i="89"/>
  <c r="CS115" i="89"/>
  <c r="CT115" i="89" s="1"/>
  <c r="CW115" i="89"/>
  <c r="CX115" i="89"/>
  <c r="CY115" i="89" s="1"/>
  <c r="CR116" i="89"/>
  <c r="CS116" i="89"/>
  <c r="CT116" i="89" s="1"/>
  <c r="CW116" i="89"/>
  <c r="CX116" i="89"/>
  <c r="CY116" i="89" s="1"/>
  <c r="CR117" i="89"/>
  <c r="CS117" i="89"/>
  <c r="CT117" i="89" s="1"/>
  <c r="CW117" i="89"/>
  <c r="CX117" i="89"/>
  <c r="CY117" i="89" s="1"/>
  <c r="CR118" i="89"/>
  <c r="CS118" i="89"/>
  <c r="CT118" i="89" s="1"/>
  <c r="CW118" i="89"/>
  <c r="CX118" i="89"/>
  <c r="CY118" i="89" s="1"/>
  <c r="CR119" i="89"/>
  <c r="CS119" i="89"/>
  <c r="CT119" i="89" s="1"/>
  <c r="CW119" i="89"/>
  <c r="CX119" i="89"/>
  <c r="CY119" i="89" s="1"/>
  <c r="CR120" i="89"/>
  <c r="CS120" i="89"/>
  <c r="CT120" i="89" s="1"/>
  <c r="CW120" i="89"/>
  <c r="CX120" i="89"/>
  <c r="CY120" i="89" s="1"/>
  <c r="CR121" i="89"/>
  <c r="CS121" i="89"/>
  <c r="CT121" i="89" s="1"/>
  <c r="CW121" i="89"/>
  <c r="CX121" i="89"/>
  <c r="CY121" i="89" s="1"/>
  <c r="CR122" i="89"/>
  <c r="CS122" i="89"/>
  <c r="CT122" i="89" s="1"/>
  <c r="CW122" i="89"/>
  <c r="CX122" i="89"/>
  <c r="CY122" i="89" s="1"/>
  <c r="CR123" i="89"/>
  <c r="CS123" i="89"/>
  <c r="CT123" i="89" s="1"/>
  <c r="CW123" i="89"/>
  <c r="CX123" i="89"/>
  <c r="CY123" i="89" s="1"/>
  <c r="CR124" i="89"/>
  <c r="CS124" i="89"/>
  <c r="CT124" i="89" s="1"/>
  <c r="CW124" i="89"/>
  <c r="CX124" i="89"/>
  <c r="CY124" i="89" s="1"/>
  <c r="CR125" i="89"/>
  <c r="CS125" i="89"/>
  <c r="CT125" i="89" s="1"/>
  <c r="CW125" i="89"/>
  <c r="CX125" i="89"/>
  <c r="CY125" i="89" s="1"/>
  <c r="CR126" i="89"/>
  <c r="CS126" i="89"/>
  <c r="CT126" i="89" s="1"/>
  <c r="CW126" i="89"/>
  <c r="CX126" i="89"/>
  <c r="CY126" i="89" s="1"/>
  <c r="CR127" i="89"/>
  <c r="CS127" i="89"/>
  <c r="CT127" i="89" s="1"/>
  <c r="CW127" i="89"/>
  <c r="CX127" i="89"/>
  <c r="CY127" i="89" s="1"/>
  <c r="CR128" i="89"/>
  <c r="CS128" i="89"/>
  <c r="CT128" i="89" s="1"/>
  <c r="CW128" i="89"/>
  <c r="CX128" i="89"/>
  <c r="CY128" i="89" s="1"/>
  <c r="CR129" i="89"/>
  <c r="CS129" i="89"/>
  <c r="CT129" i="89" s="1"/>
  <c r="CW129" i="89"/>
  <c r="CX129" i="89"/>
  <c r="CY129" i="89" s="1"/>
  <c r="CR130" i="89"/>
  <c r="CS130" i="89"/>
  <c r="CT130" i="89" s="1"/>
  <c r="CW130" i="89"/>
  <c r="CX130" i="89"/>
  <c r="CY130" i="89" s="1"/>
  <c r="CR131" i="89"/>
  <c r="CS131" i="89"/>
  <c r="CT131" i="89" s="1"/>
  <c r="CW131" i="89"/>
  <c r="CX131" i="89"/>
  <c r="CY131" i="89" s="1"/>
  <c r="CR132" i="89"/>
  <c r="CS132" i="89"/>
  <c r="CT132" i="89" s="1"/>
  <c r="CW132" i="89"/>
  <c r="CX132" i="89"/>
  <c r="CY132" i="89" s="1"/>
  <c r="CR133" i="89"/>
  <c r="CS133" i="89"/>
  <c r="CT133" i="89" s="1"/>
  <c r="CW133" i="89"/>
  <c r="CX133" i="89"/>
  <c r="CY133" i="89" s="1"/>
  <c r="CR134" i="89"/>
  <c r="CS134" i="89"/>
  <c r="CT134" i="89" s="1"/>
  <c r="CW134" i="89"/>
  <c r="CX134" i="89"/>
  <c r="CY134" i="89" s="1"/>
  <c r="CR135" i="89"/>
  <c r="CS135" i="89"/>
  <c r="CT135" i="89" s="1"/>
  <c r="CW135" i="89"/>
  <c r="CX135" i="89"/>
  <c r="CY135" i="89" s="1"/>
  <c r="CR136" i="89"/>
  <c r="CS136" i="89"/>
  <c r="CT136" i="89" s="1"/>
  <c r="CW136" i="89"/>
  <c r="CX136" i="89"/>
  <c r="CY136" i="89" s="1"/>
  <c r="CR137" i="89"/>
  <c r="CS137" i="89"/>
  <c r="CT137" i="89" s="1"/>
  <c r="CW137" i="89"/>
  <c r="CX137" i="89"/>
  <c r="CY137" i="89" s="1"/>
  <c r="CR138" i="89"/>
  <c r="CS138" i="89"/>
  <c r="CT138" i="89" s="1"/>
  <c r="CW138" i="89"/>
  <c r="CX138" i="89"/>
  <c r="CY138" i="89" s="1"/>
  <c r="CR139" i="89"/>
  <c r="CS139" i="89"/>
  <c r="CT139" i="89" s="1"/>
  <c r="CW139" i="89"/>
  <c r="CX139" i="89"/>
  <c r="CY139" i="89" s="1"/>
  <c r="CR140" i="89"/>
  <c r="CS140" i="89"/>
  <c r="CT140" i="89" s="1"/>
  <c r="CW140" i="89"/>
  <c r="CX140" i="89"/>
  <c r="CY140" i="89" s="1"/>
  <c r="CR141" i="89"/>
  <c r="CS141" i="89"/>
  <c r="CT141" i="89" s="1"/>
  <c r="CW141" i="89"/>
  <c r="CX141" i="89"/>
  <c r="CY141" i="89" s="1"/>
  <c r="CR142" i="89"/>
  <c r="CS142" i="89"/>
  <c r="CT142" i="89" s="1"/>
  <c r="CW142" i="89"/>
  <c r="CX142" i="89"/>
  <c r="CY142" i="89" s="1"/>
  <c r="CR143" i="89"/>
  <c r="CS143" i="89"/>
  <c r="CT143" i="89" s="1"/>
  <c r="CW143" i="89"/>
  <c r="CX143" i="89"/>
  <c r="CY143" i="89" s="1"/>
  <c r="CR144" i="89"/>
  <c r="CS144" i="89"/>
  <c r="CT144" i="89" s="1"/>
  <c r="CW144" i="89"/>
  <c r="CX144" i="89"/>
  <c r="CY144" i="89" s="1"/>
  <c r="CR145" i="89"/>
  <c r="CS145" i="89"/>
  <c r="CT145" i="89" s="1"/>
  <c r="CW145" i="89"/>
  <c r="CX145" i="89"/>
  <c r="CY145" i="89" s="1"/>
  <c r="CR146" i="89"/>
  <c r="CS146" i="89"/>
  <c r="CT146" i="89" s="1"/>
  <c r="CW146" i="89"/>
  <c r="CX146" i="89"/>
  <c r="CY146" i="89" s="1"/>
  <c r="CR147" i="89"/>
  <c r="CS147" i="89"/>
  <c r="CT147" i="89" s="1"/>
  <c r="CW147" i="89"/>
  <c r="CX147" i="89"/>
  <c r="CY147" i="89" s="1"/>
  <c r="CR148" i="89"/>
  <c r="CS148" i="89"/>
  <c r="CT148" i="89" s="1"/>
  <c r="CW148" i="89"/>
  <c r="CX148" i="89"/>
  <c r="CY148" i="89" s="1"/>
  <c r="CR149" i="89"/>
  <c r="CS149" i="89"/>
  <c r="CT149" i="89" s="1"/>
  <c r="CW149" i="89"/>
  <c r="CX149" i="89"/>
  <c r="CY149" i="89" s="1"/>
  <c r="CR150" i="89"/>
  <c r="CS150" i="89"/>
  <c r="CT150" i="89" s="1"/>
  <c r="CW150" i="89"/>
  <c r="CX150" i="89"/>
  <c r="CY150" i="89" s="1"/>
  <c r="CR151" i="89"/>
  <c r="CS151" i="89"/>
  <c r="CT151" i="89" s="1"/>
  <c r="CW151" i="89"/>
  <c r="CX151" i="89"/>
  <c r="CY151" i="89" s="1"/>
  <c r="CR152" i="89"/>
  <c r="CS152" i="89"/>
  <c r="CT152" i="89" s="1"/>
  <c r="CW152" i="89"/>
  <c r="CX152" i="89"/>
  <c r="CY152" i="89" s="1"/>
  <c r="CR153" i="89"/>
  <c r="CS153" i="89"/>
  <c r="CT153" i="89" s="1"/>
  <c r="CW153" i="89"/>
  <c r="CX153" i="89"/>
  <c r="CY153" i="89" s="1"/>
  <c r="CR154" i="89"/>
  <c r="CS154" i="89"/>
  <c r="CT154" i="89" s="1"/>
  <c r="CW154" i="89"/>
  <c r="CX154" i="89"/>
  <c r="CY154" i="89" s="1"/>
  <c r="CR155" i="89"/>
  <c r="CS155" i="89"/>
  <c r="CT155" i="89" s="1"/>
  <c r="CW155" i="89"/>
  <c r="CX155" i="89"/>
  <c r="CY155" i="89" s="1"/>
  <c r="CR156" i="89"/>
  <c r="CS156" i="89"/>
  <c r="CT156" i="89" s="1"/>
  <c r="CW156" i="89"/>
  <c r="CX156" i="89"/>
  <c r="CY156" i="89" s="1"/>
  <c r="CR157" i="89"/>
  <c r="CS157" i="89"/>
  <c r="CT157" i="89" s="1"/>
  <c r="CW157" i="89"/>
  <c r="CX157" i="89"/>
  <c r="CY157" i="89" s="1"/>
  <c r="CR158" i="89"/>
  <c r="CS158" i="89"/>
  <c r="CT158" i="89" s="1"/>
  <c r="CW158" i="89"/>
  <c r="CX158" i="89"/>
  <c r="CY158" i="89" s="1"/>
  <c r="CR159" i="89"/>
  <c r="CS159" i="89"/>
  <c r="CT159" i="89" s="1"/>
  <c r="CW159" i="89"/>
  <c r="CX159" i="89"/>
  <c r="CY159" i="89" s="1"/>
  <c r="CR160" i="89"/>
  <c r="CS160" i="89"/>
  <c r="CT160" i="89" s="1"/>
  <c r="CW160" i="89"/>
  <c r="CX160" i="89"/>
  <c r="CY160" i="89" s="1"/>
  <c r="CR161" i="89"/>
  <c r="CS161" i="89"/>
  <c r="CT161" i="89" s="1"/>
  <c r="CW161" i="89"/>
  <c r="CX161" i="89"/>
  <c r="CY161" i="89" s="1"/>
  <c r="CR162" i="89"/>
  <c r="CS162" i="89"/>
  <c r="CT162" i="89" s="1"/>
  <c r="CW162" i="89"/>
  <c r="CX162" i="89"/>
  <c r="CY162" i="89" s="1"/>
  <c r="CR163" i="89"/>
  <c r="CS163" i="89"/>
  <c r="CT163" i="89" s="1"/>
  <c r="CW163" i="89"/>
  <c r="CX163" i="89"/>
  <c r="CY163" i="89" s="1"/>
  <c r="CR164" i="89"/>
  <c r="CS164" i="89"/>
  <c r="CT164" i="89" s="1"/>
  <c r="CW164" i="89"/>
  <c r="CX164" i="89"/>
  <c r="CY164" i="89" s="1"/>
  <c r="CR165" i="89"/>
  <c r="CS165" i="89"/>
  <c r="CT165" i="89" s="1"/>
  <c r="CW165" i="89"/>
  <c r="CX165" i="89"/>
  <c r="CY165" i="89" s="1"/>
  <c r="CR166" i="89"/>
  <c r="CS166" i="89"/>
  <c r="CT166" i="89" s="1"/>
  <c r="CW166" i="89"/>
  <c r="CX166" i="89"/>
  <c r="CY166" i="89" s="1"/>
  <c r="CR167" i="89"/>
  <c r="CS167" i="89"/>
  <c r="CT167" i="89" s="1"/>
  <c r="CW167" i="89"/>
  <c r="CX167" i="89"/>
  <c r="CY167" i="89" s="1"/>
  <c r="CR168" i="89"/>
  <c r="CS168" i="89"/>
  <c r="CT168" i="89" s="1"/>
  <c r="CW168" i="89"/>
  <c r="CX168" i="89"/>
  <c r="CY168" i="89" s="1"/>
  <c r="CR169" i="89"/>
  <c r="CS169" i="89"/>
  <c r="CT169" i="89" s="1"/>
  <c r="CW169" i="89"/>
  <c r="CX169" i="89"/>
  <c r="CY169" i="89" s="1"/>
  <c r="CR170" i="89"/>
  <c r="CS170" i="89"/>
  <c r="CT170" i="89" s="1"/>
  <c r="CW170" i="89"/>
  <c r="CX170" i="89"/>
  <c r="CY170" i="89" s="1"/>
  <c r="CR171" i="89"/>
  <c r="CS171" i="89"/>
  <c r="CT171" i="89" s="1"/>
  <c r="CW171" i="89"/>
  <c r="CX171" i="89"/>
  <c r="CY171" i="89" s="1"/>
  <c r="CR172" i="89"/>
  <c r="CS172" i="89"/>
  <c r="CT172" i="89" s="1"/>
  <c r="CW172" i="89"/>
  <c r="CX172" i="89"/>
  <c r="CY172" i="89" s="1"/>
  <c r="CR173" i="89"/>
  <c r="CS173" i="89"/>
  <c r="CT173" i="89" s="1"/>
  <c r="CW173" i="89"/>
  <c r="CX173" i="89"/>
  <c r="CY173" i="89" s="1"/>
  <c r="CR174" i="89"/>
  <c r="CS174" i="89"/>
  <c r="CT174" i="89" s="1"/>
  <c r="CW174" i="89"/>
  <c r="CX174" i="89"/>
  <c r="CY174" i="89" s="1"/>
  <c r="CR175" i="89"/>
  <c r="CS175" i="89"/>
  <c r="CT175" i="89" s="1"/>
  <c r="CW175" i="89"/>
  <c r="CX175" i="89"/>
  <c r="CY175" i="89" s="1"/>
  <c r="CR176" i="89"/>
  <c r="CS176" i="89"/>
  <c r="CT176" i="89" s="1"/>
  <c r="CW176" i="89"/>
  <c r="CX176" i="89"/>
  <c r="CY176" i="89" s="1"/>
  <c r="CR177" i="89"/>
  <c r="CS177" i="89"/>
  <c r="CT177" i="89" s="1"/>
  <c r="CW177" i="89"/>
  <c r="CX177" i="89"/>
  <c r="CY177" i="89" s="1"/>
  <c r="CR178" i="89"/>
  <c r="CS178" i="89"/>
  <c r="CT178" i="89" s="1"/>
  <c r="CW178" i="89"/>
  <c r="CX178" i="89"/>
  <c r="CY178" i="89" s="1"/>
  <c r="CR179" i="89"/>
  <c r="CS179" i="89"/>
  <c r="CT179" i="89" s="1"/>
  <c r="CW179" i="89"/>
  <c r="CX179" i="89"/>
  <c r="CY179" i="89" s="1"/>
  <c r="CR180" i="89"/>
  <c r="CS180" i="89"/>
  <c r="CT180" i="89" s="1"/>
  <c r="CW180" i="89"/>
  <c r="CX180" i="89"/>
  <c r="CY180" i="89" s="1"/>
  <c r="CR181" i="89"/>
  <c r="CS181" i="89"/>
  <c r="CT181" i="89" s="1"/>
  <c r="CW181" i="89"/>
  <c r="CX181" i="89"/>
  <c r="CY181" i="89" s="1"/>
  <c r="CR182" i="89"/>
  <c r="CS182" i="89"/>
  <c r="CT182" i="89" s="1"/>
  <c r="CW182" i="89"/>
  <c r="CX182" i="89"/>
  <c r="CY182" i="89" s="1"/>
  <c r="CR183" i="89"/>
  <c r="CS183" i="89"/>
  <c r="CT183" i="89" s="1"/>
  <c r="CW183" i="89"/>
  <c r="CX183" i="89"/>
  <c r="CY183" i="89" s="1"/>
  <c r="CR184" i="89"/>
  <c r="CS184" i="89"/>
  <c r="CT184" i="89" s="1"/>
  <c r="CW184" i="89"/>
  <c r="CX184" i="89"/>
  <c r="CY184" i="89" s="1"/>
  <c r="CR185" i="89"/>
  <c r="CS185" i="89"/>
  <c r="CT185" i="89" s="1"/>
  <c r="CW185" i="89"/>
  <c r="CX185" i="89"/>
  <c r="CY185" i="89" s="1"/>
  <c r="CR186" i="89"/>
  <c r="CS186" i="89"/>
  <c r="CT186" i="89" s="1"/>
  <c r="CW186" i="89"/>
  <c r="CX186" i="89"/>
  <c r="CY186" i="89" s="1"/>
  <c r="CR187" i="89"/>
  <c r="CS187" i="89"/>
  <c r="CT187" i="89" s="1"/>
  <c r="CW187" i="89"/>
  <c r="CX187" i="89"/>
  <c r="CY187" i="89" s="1"/>
  <c r="CR188" i="89"/>
  <c r="CS188" i="89"/>
  <c r="CT188" i="89" s="1"/>
  <c r="CW188" i="89"/>
  <c r="CX188" i="89"/>
  <c r="CY188" i="89" s="1"/>
  <c r="CR189" i="89"/>
  <c r="CS189" i="89"/>
  <c r="CT189" i="89" s="1"/>
  <c r="CW189" i="89"/>
  <c r="CX189" i="89"/>
  <c r="CY189" i="89" s="1"/>
  <c r="CR190" i="89"/>
  <c r="CS190" i="89"/>
  <c r="CT190" i="89" s="1"/>
  <c r="CW190" i="89"/>
  <c r="CX190" i="89"/>
  <c r="CY190" i="89" s="1"/>
  <c r="CR191" i="89"/>
  <c r="CS191" i="89"/>
  <c r="CT191" i="89" s="1"/>
  <c r="CW191" i="89"/>
  <c r="CX191" i="89"/>
  <c r="CY191" i="89" s="1"/>
  <c r="CR192" i="89"/>
  <c r="CS192" i="89"/>
  <c r="CT192" i="89" s="1"/>
  <c r="CW192" i="89"/>
  <c r="CX192" i="89"/>
  <c r="CY192" i="89" s="1"/>
  <c r="CR193" i="89"/>
  <c r="CS193" i="89"/>
  <c r="CT193" i="89" s="1"/>
  <c r="CW193" i="89"/>
  <c r="CX193" i="89"/>
  <c r="CY193" i="89" s="1"/>
  <c r="CR194" i="89"/>
  <c r="CS194" i="89"/>
  <c r="CT194" i="89" s="1"/>
  <c r="CW194" i="89"/>
  <c r="CX194" i="89"/>
  <c r="CY194" i="89" s="1"/>
  <c r="CR195" i="89"/>
  <c r="CS195" i="89"/>
  <c r="CT195" i="89" s="1"/>
  <c r="CW195" i="89"/>
  <c r="CX195" i="89"/>
  <c r="CY195" i="89" s="1"/>
  <c r="CR196" i="89"/>
  <c r="CS196" i="89"/>
  <c r="CT196" i="89" s="1"/>
  <c r="CW196" i="89"/>
  <c r="CX196" i="89"/>
  <c r="CY196" i="89" s="1"/>
  <c r="CR197" i="89"/>
  <c r="CS197" i="89"/>
  <c r="CT197" i="89" s="1"/>
  <c r="CW197" i="89"/>
  <c r="CX197" i="89"/>
  <c r="CY197" i="89" s="1"/>
  <c r="CR198" i="89"/>
  <c r="CS198" i="89"/>
  <c r="CT198" i="89" s="1"/>
  <c r="CW198" i="89"/>
  <c r="CX198" i="89"/>
  <c r="CY198" i="89" s="1"/>
  <c r="CR199" i="89"/>
  <c r="CS199" i="89"/>
  <c r="CT199" i="89" s="1"/>
  <c r="CW199" i="89"/>
  <c r="CX199" i="89"/>
  <c r="CY199" i="89" s="1"/>
  <c r="CR200" i="89"/>
  <c r="CS200" i="89"/>
  <c r="CT200" i="89" s="1"/>
  <c r="CW200" i="89"/>
  <c r="CX200" i="89"/>
  <c r="CY200" i="89" s="1"/>
  <c r="CR201" i="89"/>
  <c r="CS201" i="89"/>
  <c r="CT201" i="89" s="1"/>
  <c r="CW201" i="89"/>
  <c r="CX201" i="89"/>
  <c r="CY201" i="89" s="1"/>
  <c r="CR202" i="89"/>
  <c r="CS202" i="89"/>
  <c r="CT202" i="89" s="1"/>
  <c r="CW202" i="89"/>
  <c r="CX202" i="89"/>
  <c r="CY202" i="89" s="1"/>
  <c r="CR203" i="89"/>
  <c r="CS203" i="89"/>
  <c r="CT203" i="89" s="1"/>
  <c r="CW203" i="89"/>
  <c r="CX203" i="89"/>
  <c r="CY203" i="89" s="1"/>
  <c r="CR204" i="89"/>
  <c r="CS204" i="89"/>
  <c r="CT204" i="89" s="1"/>
  <c r="CW204" i="89"/>
  <c r="CX204" i="89"/>
  <c r="CY204" i="89" s="1"/>
  <c r="CR205" i="89"/>
  <c r="CS205" i="89"/>
  <c r="CT205" i="89" s="1"/>
  <c r="CW205" i="89"/>
  <c r="CX205" i="89"/>
  <c r="CY205" i="89" s="1"/>
  <c r="CR206" i="89"/>
  <c r="CS206" i="89"/>
  <c r="CT206" i="89" s="1"/>
  <c r="CW206" i="89"/>
  <c r="CX206" i="89"/>
  <c r="CY206" i="89" s="1"/>
  <c r="CR207" i="89"/>
  <c r="CS207" i="89"/>
  <c r="CT207" i="89" s="1"/>
  <c r="CW207" i="89"/>
  <c r="CX207" i="89"/>
  <c r="CY207" i="89" s="1"/>
  <c r="CR208" i="89"/>
  <c r="CS208" i="89"/>
  <c r="CT208" i="89" s="1"/>
  <c r="CW208" i="89"/>
  <c r="CX208" i="89"/>
  <c r="CY208" i="89" s="1"/>
  <c r="CR209" i="89"/>
  <c r="CS209" i="89"/>
  <c r="CT209" i="89" s="1"/>
  <c r="CW209" i="89"/>
  <c r="CX209" i="89"/>
  <c r="CY209" i="89" s="1"/>
  <c r="CR210" i="89"/>
  <c r="CS210" i="89"/>
  <c r="CT210" i="89" s="1"/>
  <c r="CW210" i="89"/>
  <c r="CX210" i="89"/>
  <c r="CY210" i="89" s="1"/>
  <c r="CR211" i="89"/>
  <c r="CS211" i="89"/>
  <c r="CT211" i="89" s="1"/>
  <c r="CW211" i="89"/>
  <c r="CX211" i="89"/>
  <c r="CY211" i="89" s="1"/>
  <c r="CR212" i="89"/>
  <c r="CS212" i="89"/>
  <c r="CT212" i="89" s="1"/>
  <c r="CW212" i="89"/>
  <c r="CX212" i="89"/>
  <c r="CY212" i="89" s="1"/>
  <c r="CR213" i="89"/>
  <c r="CS213" i="89"/>
  <c r="CT213" i="89" s="1"/>
  <c r="CW213" i="89"/>
  <c r="CX213" i="89"/>
  <c r="CY213" i="89" s="1"/>
  <c r="CR214" i="89"/>
  <c r="CS214" i="89"/>
  <c r="CT214" i="89" s="1"/>
  <c r="CW214" i="89"/>
  <c r="CX214" i="89"/>
  <c r="CY214" i="89" s="1"/>
  <c r="CR215" i="89"/>
  <c r="CS215" i="89"/>
  <c r="CT215" i="89" s="1"/>
  <c r="CW215" i="89"/>
  <c r="CX215" i="89"/>
  <c r="CY215" i="89" s="1"/>
  <c r="CR216" i="89"/>
  <c r="CS216" i="89"/>
  <c r="CT216" i="89" s="1"/>
  <c r="CW216" i="89"/>
  <c r="CX216" i="89"/>
  <c r="CY216" i="89" s="1"/>
  <c r="CR217" i="89"/>
  <c r="CS217" i="89"/>
  <c r="CT217" i="89" s="1"/>
  <c r="CW217" i="89"/>
  <c r="CX217" i="89"/>
  <c r="CY217" i="89" s="1"/>
  <c r="CR218" i="89"/>
  <c r="CS218" i="89"/>
  <c r="CT218" i="89" s="1"/>
  <c r="CW218" i="89"/>
  <c r="CX218" i="89"/>
  <c r="CY218" i="89" s="1"/>
  <c r="CR219" i="89"/>
  <c r="CS219" i="89"/>
  <c r="CT219" i="89" s="1"/>
  <c r="CW219" i="89"/>
  <c r="CX219" i="89"/>
  <c r="CY219" i="89" s="1"/>
  <c r="CR220" i="89"/>
  <c r="CS220" i="89"/>
  <c r="CT220" i="89" s="1"/>
  <c r="CW220" i="89"/>
  <c r="CX220" i="89"/>
  <c r="CY220" i="89" s="1"/>
  <c r="CR221" i="89"/>
  <c r="CS221" i="89"/>
  <c r="CT221" i="89" s="1"/>
  <c r="CW221" i="89"/>
  <c r="CX221" i="89"/>
  <c r="CY221" i="89" s="1"/>
  <c r="CR222" i="89"/>
  <c r="CS222" i="89"/>
  <c r="CT222" i="89" s="1"/>
  <c r="CW222" i="89"/>
  <c r="CX222" i="89"/>
  <c r="CY222" i="89" s="1"/>
  <c r="CR223" i="89"/>
  <c r="CS223" i="89"/>
  <c r="CT223" i="89" s="1"/>
  <c r="CW223" i="89"/>
  <c r="CX223" i="89"/>
  <c r="CY223" i="89" s="1"/>
  <c r="CR224" i="89"/>
  <c r="CS224" i="89"/>
  <c r="CT224" i="89" s="1"/>
  <c r="CW224" i="89"/>
  <c r="CX224" i="89"/>
  <c r="CY224" i="89" s="1"/>
  <c r="CR225" i="89"/>
  <c r="CS225" i="89"/>
  <c r="CT225" i="89" s="1"/>
  <c r="CW225" i="89"/>
  <c r="CX225" i="89"/>
  <c r="CY225" i="89" s="1"/>
  <c r="CR226" i="89"/>
  <c r="CS226" i="89"/>
  <c r="CT226" i="89" s="1"/>
  <c r="CW226" i="89"/>
  <c r="CX226" i="89"/>
  <c r="CY226" i="89" s="1"/>
  <c r="CR227" i="89"/>
  <c r="CS227" i="89"/>
  <c r="CT227" i="89" s="1"/>
  <c r="CW227" i="89"/>
  <c r="CX227" i="89"/>
  <c r="CY227" i="89" s="1"/>
  <c r="CR228" i="89"/>
  <c r="CS228" i="89"/>
  <c r="CT228" i="89" s="1"/>
  <c r="CW228" i="89"/>
  <c r="CX228" i="89"/>
  <c r="CY228" i="89" s="1"/>
  <c r="CR229" i="89"/>
  <c r="CS229" i="89"/>
  <c r="CT229" i="89" s="1"/>
  <c r="CW229" i="89"/>
  <c r="CX229" i="89"/>
  <c r="CY229" i="89" s="1"/>
  <c r="CR230" i="89"/>
  <c r="CS230" i="89"/>
  <c r="CT230" i="89" s="1"/>
  <c r="CW230" i="89"/>
  <c r="CX230" i="89"/>
  <c r="CY230" i="89" s="1"/>
  <c r="CR231" i="89"/>
  <c r="CS231" i="89"/>
  <c r="CT231" i="89" s="1"/>
  <c r="CW231" i="89"/>
  <c r="CX231" i="89"/>
  <c r="CY231" i="89" s="1"/>
  <c r="CR232" i="89"/>
  <c r="CS232" i="89"/>
  <c r="CT232" i="89" s="1"/>
  <c r="CW232" i="89"/>
  <c r="CX232" i="89"/>
  <c r="CY232" i="89" s="1"/>
  <c r="CR233" i="89"/>
  <c r="CS233" i="89"/>
  <c r="CT233" i="89" s="1"/>
  <c r="CW233" i="89"/>
  <c r="CX233" i="89"/>
  <c r="CY233" i="89" s="1"/>
  <c r="CR234" i="89"/>
  <c r="CS234" i="89"/>
  <c r="CT234" i="89" s="1"/>
  <c r="CW234" i="89"/>
  <c r="CX234" i="89"/>
  <c r="CY234" i="89" s="1"/>
  <c r="CR235" i="89"/>
  <c r="CS235" i="89"/>
  <c r="CT235" i="89" s="1"/>
  <c r="CW235" i="89"/>
  <c r="CX235" i="89"/>
  <c r="CY235" i="89" s="1"/>
  <c r="CR236" i="89"/>
  <c r="CS236" i="89"/>
  <c r="CT236" i="89" s="1"/>
  <c r="CW236" i="89"/>
  <c r="CX236" i="89"/>
  <c r="CY236" i="89" s="1"/>
  <c r="CR237" i="89"/>
  <c r="CS237" i="89"/>
  <c r="CT237" i="89" s="1"/>
  <c r="CW237" i="89"/>
  <c r="CX237" i="89"/>
  <c r="CY237" i="89" s="1"/>
  <c r="CR238" i="89"/>
  <c r="CS238" i="89"/>
  <c r="CT238" i="89" s="1"/>
  <c r="CW238" i="89"/>
  <c r="CX238" i="89"/>
  <c r="CY238" i="89" s="1"/>
  <c r="CR239" i="89"/>
  <c r="CS239" i="89"/>
  <c r="CT239" i="89" s="1"/>
  <c r="CW239" i="89"/>
  <c r="CX239" i="89"/>
  <c r="CY239" i="89" s="1"/>
  <c r="CR240" i="89"/>
  <c r="CS240" i="89"/>
  <c r="CT240" i="89" s="1"/>
  <c r="CW240" i="89"/>
  <c r="CX240" i="89"/>
  <c r="CY240" i="89" s="1"/>
  <c r="CR241" i="89"/>
  <c r="CS241" i="89"/>
  <c r="CT241" i="89" s="1"/>
  <c r="CW241" i="89"/>
  <c r="CX241" i="89"/>
  <c r="CY241" i="89" s="1"/>
  <c r="CR242" i="89"/>
  <c r="CS242" i="89"/>
  <c r="CT242" i="89" s="1"/>
  <c r="CW242" i="89"/>
  <c r="CX242" i="89"/>
  <c r="CY242" i="89" s="1"/>
  <c r="CR243" i="89"/>
  <c r="CS243" i="89"/>
  <c r="CT243" i="89" s="1"/>
  <c r="CW243" i="89"/>
  <c r="CX243" i="89"/>
  <c r="CY243" i="89" s="1"/>
  <c r="CR244" i="89"/>
  <c r="CS244" i="89"/>
  <c r="CT244" i="89" s="1"/>
  <c r="CW244" i="89"/>
  <c r="CX244" i="89"/>
  <c r="CY244" i="89" s="1"/>
  <c r="CR245" i="89"/>
  <c r="CS245" i="89"/>
  <c r="CT245" i="89" s="1"/>
  <c r="CW245" i="89"/>
  <c r="CX245" i="89"/>
  <c r="CY245" i="89" s="1"/>
  <c r="CR246" i="89"/>
  <c r="CS246" i="89"/>
  <c r="CT246" i="89" s="1"/>
  <c r="CW246" i="89"/>
  <c r="CX246" i="89"/>
  <c r="CY246" i="89" s="1"/>
  <c r="CR247" i="89"/>
  <c r="CS247" i="89"/>
  <c r="CT247" i="89" s="1"/>
  <c r="CW247" i="89"/>
  <c r="CX247" i="89"/>
  <c r="CY247" i="89" s="1"/>
  <c r="CR248" i="89"/>
  <c r="CS248" i="89"/>
  <c r="CT248" i="89" s="1"/>
  <c r="CW248" i="89"/>
  <c r="CX248" i="89"/>
  <c r="CY248" i="89" s="1"/>
  <c r="CR249" i="89"/>
  <c r="CS249" i="89"/>
  <c r="CT249" i="89" s="1"/>
  <c r="CW249" i="89"/>
  <c r="CX249" i="89"/>
  <c r="CY249" i="89" s="1"/>
  <c r="CR250" i="89"/>
  <c r="CS250" i="89"/>
  <c r="CT250" i="89" s="1"/>
  <c r="CW250" i="89"/>
  <c r="CX250" i="89"/>
  <c r="CY250" i="89" s="1"/>
  <c r="CR251" i="89"/>
  <c r="CS251" i="89"/>
  <c r="CT251" i="89" s="1"/>
  <c r="CW251" i="89"/>
  <c r="CX251" i="89"/>
  <c r="CY251" i="89" s="1"/>
  <c r="CR252" i="89"/>
  <c r="CS252" i="89"/>
  <c r="CT252" i="89" s="1"/>
  <c r="CW252" i="89"/>
  <c r="CX252" i="89"/>
  <c r="CY252" i="89" s="1"/>
  <c r="CR253" i="89"/>
  <c r="CS253" i="89"/>
  <c r="CT253" i="89" s="1"/>
  <c r="CW253" i="89"/>
  <c r="CX253" i="89"/>
  <c r="CY253" i="89" s="1"/>
  <c r="CR254" i="89"/>
  <c r="CS254" i="89"/>
  <c r="CT254" i="89" s="1"/>
  <c r="CW254" i="89"/>
  <c r="CX254" i="89"/>
  <c r="CY254" i="89" s="1"/>
  <c r="CR255" i="89"/>
  <c r="CS255" i="89"/>
  <c r="CT255" i="89" s="1"/>
  <c r="CW255" i="89"/>
  <c r="CX255" i="89"/>
  <c r="CY255" i="89" s="1"/>
  <c r="CR256" i="89"/>
  <c r="CS256" i="89"/>
  <c r="CT256" i="89" s="1"/>
  <c r="CW256" i="89"/>
  <c r="CX256" i="89"/>
  <c r="CY256" i="89" s="1"/>
  <c r="CR257" i="89"/>
  <c r="CS257" i="89"/>
  <c r="CT257" i="89" s="1"/>
  <c r="CW257" i="89"/>
  <c r="CX257" i="89"/>
  <c r="CY257" i="89" s="1"/>
  <c r="CR258" i="89"/>
  <c r="CS258" i="89"/>
  <c r="CT258" i="89" s="1"/>
  <c r="CW258" i="89"/>
  <c r="CX258" i="89"/>
  <c r="CY258" i="89" s="1"/>
  <c r="CR259" i="89"/>
  <c r="CS259" i="89"/>
  <c r="CT259" i="89" s="1"/>
  <c r="CW259" i="89"/>
  <c r="CX259" i="89"/>
  <c r="CY259" i="89" s="1"/>
  <c r="CR260" i="89"/>
  <c r="CS260" i="89"/>
  <c r="CT260" i="89" s="1"/>
  <c r="CW260" i="89"/>
  <c r="CX260" i="89"/>
  <c r="CY260" i="89" s="1"/>
  <c r="CR261" i="89"/>
  <c r="CS261" i="89"/>
  <c r="CT261" i="89" s="1"/>
  <c r="CW261" i="89"/>
  <c r="CX261" i="89"/>
  <c r="CY261" i="89" s="1"/>
  <c r="CR262" i="89"/>
  <c r="CS262" i="89"/>
  <c r="CT262" i="89" s="1"/>
  <c r="CW262" i="89"/>
  <c r="CX262" i="89"/>
  <c r="CY262" i="89" s="1"/>
  <c r="CR263" i="89"/>
  <c r="CS263" i="89"/>
  <c r="CT263" i="89" s="1"/>
  <c r="CW263" i="89"/>
  <c r="CX263" i="89"/>
  <c r="CY263" i="89" s="1"/>
  <c r="CR264" i="89"/>
  <c r="CS264" i="89"/>
  <c r="CT264" i="89" s="1"/>
  <c r="CW264" i="89"/>
  <c r="CX264" i="89"/>
  <c r="CY264" i="89" s="1"/>
  <c r="CR265" i="89"/>
  <c r="CS265" i="89"/>
  <c r="CT265" i="89" s="1"/>
  <c r="CW265" i="89"/>
  <c r="CX265" i="89"/>
  <c r="CY265" i="89" s="1"/>
  <c r="CR266" i="89"/>
  <c r="CS266" i="89"/>
  <c r="CT266" i="89" s="1"/>
  <c r="CW266" i="89"/>
  <c r="CX266" i="89"/>
  <c r="CY266" i="89" s="1"/>
  <c r="CR267" i="89"/>
  <c r="CS267" i="89"/>
  <c r="CT267" i="89" s="1"/>
  <c r="CW267" i="89"/>
  <c r="CX267" i="89"/>
  <c r="CY267" i="89" s="1"/>
  <c r="CR268" i="89"/>
  <c r="CS268" i="89"/>
  <c r="CT268" i="89" s="1"/>
  <c r="CW268" i="89"/>
  <c r="CX268" i="89"/>
  <c r="CY268" i="89" s="1"/>
  <c r="CR269" i="89"/>
  <c r="CS269" i="89"/>
  <c r="CT269" i="89" s="1"/>
  <c r="CW269" i="89"/>
  <c r="CX269" i="89"/>
  <c r="CY269" i="89" s="1"/>
  <c r="CR270" i="89"/>
  <c r="CS270" i="89"/>
  <c r="CT270" i="89" s="1"/>
  <c r="CW270" i="89"/>
  <c r="CX270" i="89"/>
  <c r="CY270" i="89" s="1"/>
  <c r="CR271" i="89"/>
  <c r="CS271" i="89"/>
  <c r="CT271" i="89" s="1"/>
  <c r="CW271" i="89"/>
  <c r="CX271" i="89"/>
  <c r="CY271" i="89" s="1"/>
  <c r="CR272" i="89"/>
  <c r="CS272" i="89"/>
  <c r="CT272" i="89" s="1"/>
  <c r="CW272" i="89"/>
  <c r="CX272" i="89"/>
  <c r="CY272" i="89" s="1"/>
  <c r="CR273" i="89"/>
  <c r="CS273" i="89"/>
  <c r="CT273" i="89" s="1"/>
  <c r="CW273" i="89"/>
  <c r="CX273" i="89"/>
  <c r="CY273" i="89" s="1"/>
  <c r="CR274" i="89"/>
  <c r="CS274" i="89"/>
  <c r="CT274" i="89" s="1"/>
  <c r="CW274" i="89"/>
  <c r="CX274" i="89"/>
  <c r="CY274" i="89" s="1"/>
  <c r="CR275" i="89"/>
  <c r="CS275" i="89"/>
  <c r="CT275" i="89" s="1"/>
  <c r="CW275" i="89"/>
  <c r="CX275" i="89"/>
  <c r="CY275" i="89" s="1"/>
  <c r="CR276" i="89"/>
  <c r="CS276" i="89"/>
  <c r="CT276" i="89" s="1"/>
  <c r="CW276" i="89"/>
  <c r="CX276" i="89"/>
  <c r="CY276" i="89" s="1"/>
  <c r="CR277" i="89"/>
  <c r="CS277" i="89"/>
  <c r="CT277" i="89" s="1"/>
  <c r="CW277" i="89"/>
  <c r="CX277" i="89"/>
  <c r="CY277" i="89" s="1"/>
  <c r="CR278" i="89"/>
  <c r="CS278" i="89"/>
  <c r="CT278" i="89" s="1"/>
  <c r="CW278" i="89"/>
  <c r="CX278" i="89"/>
  <c r="CY278" i="89" s="1"/>
  <c r="CR279" i="89"/>
  <c r="CS279" i="89"/>
  <c r="CT279" i="89" s="1"/>
  <c r="CW279" i="89"/>
  <c r="CX279" i="89"/>
  <c r="CY279" i="89" s="1"/>
  <c r="CR280" i="89"/>
  <c r="CS280" i="89"/>
  <c r="CT280" i="89" s="1"/>
  <c r="CW280" i="89"/>
  <c r="CX280" i="89"/>
  <c r="CY280" i="89" s="1"/>
  <c r="CR281" i="89"/>
  <c r="CS281" i="89"/>
  <c r="CT281" i="89" s="1"/>
  <c r="CW281" i="89"/>
  <c r="CX281" i="89"/>
  <c r="CY281" i="89" s="1"/>
  <c r="CR282" i="89"/>
  <c r="CS282" i="89"/>
  <c r="CT282" i="89" s="1"/>
  <c r="CW282" i="89"/>
  <c r="CX282" i="89"/>
  <c r="CY282" i="89" s="1"/>
  <c r="CR283" i="89"/>
  <c r="CS283" i="89"/>
  <c r="CT283" i="89" s="1"/>
  <c r="CW283" i="89"/>
  <c r="CX283" i="89"/>
  <c r="CY283" i="89" s="1"/>
  <c r="CR284" i="89"/>
  <c r="CS284" i="89"/>
  <c r="CT284" i="89" s="1"/>
  <c r="CW284" i="89"/>
  <c r="CX284" i="89"/>
  <c r="CY284" i="89" s="1"/>
  <c r="CR285" i="89"/>
  <c r="CS285" i="89"/>
  <c r="CT285" i="89" s="1"/>
  <c r="CW285" i="89"/>
  <c r="CX285" i="89"/>
  <c r="CY285" i="89" s="1"/>
  <c r="CR286" i="89"/>
  <c r="CS286" i="89"/>
  <c r="CT286" i="89" s="1"/>
  <c r="CW286" i="89"/>
  <c r="CX286" i="89"/>
  <c r="CY286" i="89" s="1"/>
  <c r="CR287" i="89"/>
  <c r="CS287" i="89"/>
  <c r="CT287" i="89" s="1"/>
  <c r="CW287" i="89"/>
  <c r="CX287" i="89"/>
  <c r="CY287" i="89" s="1"/>
  <c r="CR288" i="89"/>
  <c r="CS288" i="89"/>
  <c r="CT288" i="89" s="1"/>
  <c r="CW288" i="89"/>
  <c r="CX288" i="89"/>
  <c r="CY288" i="89" s="1"/>
  <c r="CR289" i="89"/>
  <c r="CS289" i="89"/>
  <c r="CT289" i="89" s="1"/>
  <c r="CW289" i="89"/>
  <c r="CX289" i="89"/>
  <c r="CY289" i="89" s="1"/>
  <c r="CR290" i="89"/>
  <c r="CS290" i="89"/>
  <c r="CT290" i="89" s="1"/>
  <c r="CW290" i="89"/>
  <c r="CX290" i="89"/>
  <c r="CY290" i="89" s="1"/>
  <c r="CR291" i="89"/>
  <c r="CS291" i="89"/>
  <c r="CT291" i="89" s="1"/>
  <c r="CW291" i="89"/>
  <c r="CX291" i="89"/>
  <c r="CY291" i="89" s="1"/>
  <c r="CR292" i="89"/>
  <c r="CS292" i="89"/>
  <c r="CT292" i="89" s="1"/>
  <c r="CW292" i="89"/>
  <c r="CX292" i="89"/>
  <c r="CY292" i="89" s="1"/>
  <c r="CR293" i="89"/>
  <c r="CS293" i="89"/>
  <c r="CT293" i="89" s="1"/>
  <c r="CW293" i="89"/>
  <c r="CX293" i="89"/>
  <c r="CY293" i="89" s="1"/>
  <c r="CR294" i="89"/>
  <c r="CS294" i="89"/>
  <c r="CT294" i="89" s="1"/>
  <c r="CW294" i="89"/>
  <c r="CX294" i="89"/>
  <c r="CY294" i="89" s="1"/>
  <c r="CR295" i="89"/>
  <c r="CS295" i="89"/>
  <c r="CT295" i="89" s="1"/>
  <c r="CW295" i="89"/>
  <c r="CX295" i="89"/>
  <c r="CY295" i="89" s="1"/>
  <c r="CR296" i="89"/>
  <c r="CS296" i="89"/>
  <c r="CT296" i="89" s="1"/>
  <c r="CW296" i="89"/>
  <c r="CX296" i="89"/>
  <c r="CY296" i="89" s="1"/>
  <c r="CR297" i="89"/>
  <c r="CS297" i="89"/>
  <c r="CT297" i="89" s="1"/>
  <c r="CW297" i="89"/>
  <c r="CX297" i="89"/>
  <c r="CY297" i="89" s="1"/>
  <c r="CR298" i="89"/>
  <c r="CS298" i="89"/>
  <c r="CT298" i="89" s="1"/>
  <c r="CW298" i="89"/>
  <c r="CX298" i="89"/>
  <c r="CY298" i="89" s="1"/>
  <c r="CR299" i="89"/>
  <c r="CS299" i="89"/>
  <c r="CT299" i="89" s="1"/>
  <c r="CW299" i="89"/>
  <c r="CX299" i="89"/>
  <c r="CY299" i="89" s="1"/>
  <c r="CR300" i="89"/>
  <c r="CS300" i="89"/>
  <c r="CT300" i="89" s="1"/>
  <c r="CW300" i="89"/>
  <c r="CX300" i="89"/>
  <c r="CY300" i="89" s="1"/>
  <c r="CR301" i="89"/>
  <c r="CS301" i="89"/>
  <c r="CT301" i="89" s="1"/>
  <c r="CW301" i="89"/>
  <c r="CX301" i="89"/>
  <c r="CY301" i="89" s="1"/>
  <c r="CR302" i="89"/>
  <c r="CS302" i="89"/>
  <c r="CT302" i="89" s="1"/>
  <c r="CW302" i="89"/>
  <c r="CX302" i="89"/>
  <c r="CY302" i="89" s="1"/>
  <c r="CR303" i="89"/>
  <c r="CS303" i="89"/>
  <c r="CT303" i="89" s="1"/>
  <c r="CW303" i="89"/>
  <c r="CX303" i="89"/>
  <c r="CY303" i="89" s="1"/>
  <c r="CR304" i="89"/>
  <c r="CS304" i="89"/>
  <c r="CT304" i="89" s="1"/>
  <c r="CW304" i="89"/>
  <c r="CX304" i="89"/>
  <c r="CY304" i="89" s="1"/>
  <c r="CR305" i="89"/>
  <c r="CS305" i="89"/>
  <c r="CT305" i="89" s="1"/>
  <c r="CW305" i="89"/>
  <c r="CX305" i="89"/>
  <c r="CY305" i="89" s="1"/>
  <c r="CR306" i="89"/>
  <c r="CS306" i="89"/>
  <c r="CT306" i="89" s="1"/>
  <c r="CW306" i="89"/>
  <c r="CX306" i="89"/>
  <c r="CY306" i="89" s="1"/>
  <c r="CR307" i="89"/>
  <c r="CS307" i="89"/>
  <c r="CT307" i="89" s="1"/>
  <c r="CW307" i="89"/>
  <c r="CX307" i="89"/>
  <c r="CY307" i="89" s="1"/>
  <c r="CR308" i="89"/>
  <c r="CS308" i="89"/>
  <c r="CT308" i="89" s="1"/>
  <c r="CW308" i="89"/>
  <c r="CX308" i="89"/>
  <c r="CY308" i="89" s="1"/>
  <c r="CR309" i="89"/>
  <c r="CS309" i="89"/>
  <c r="CT309" i="89" s="1"/>
  <c r="CW309" i="89"/>
  <c r="CX309" i="89"/>
  <c r="CY309" i="89" s="1"/>
  <c r="CR310" i="89"/>
  <c r="CS310" i="89"/>
  <c r="CT310" i="89" s="1"/>
  <c r="CW310" i="89"/>
  <c r="CX310" i="89"/>
  <c r="CY310" i="89" s="1"/>
  <c r="CR311" i="89"/>
  <c r="CS311" i="89"/>
  <c r="CT311" i="89" s="1"/>
  <c r="CW311" i="89"/>
  <c r="CX311" i="89"/>
  <c r="CY311" i="89" s="1"/>
  <c r="CR312" i="89"/>
  <c r="CS312" i="89"/>
  <c r="CT312" i="89" s="1"/>
  <c r="CW312" i="89"/>
  <c r="CX312" i="89"/>
  <c r="CY312" i="89" s="1"/>
  <c r="CR313" i="89"/>
  <c r="CS313" i="89"/>
  <c r="CT313" i="89" s="1"/>
  <c r="CW313" i="89"/>
  <c r="CX313" i="89"/>
  <c r="CY313" i="89" s="1"/>
  <c r="CR314" i="89"/>
  <c r="CS314" i="89"/>
  <c r="CT314" i="89" s="1"/>
  <c r="CW314" i="89"/>
  <c r="CX314" i="89"/>
  <c r="CY314" i="89" s="1"/>
  <c r="CR315" i="89"/>
  <c r="CS315" i="89"/>
  <c r="CT315" i="89" s="1"/>
  <c r="CW315" i="89"/>
  <c r="CX315" i="89"/>
  <c r="CY315" i="89" s="1"/>
  <c r="CR316" i="89"/>
  <c r="CS316" i="89"/>
  <c r="CT316" i="89" s="1"/>
  <c r="CW316" i="89"/>
  <c r="CX316" i="89"/>
  <c r="CY316" i="89" s="1"/>
  <c r="CR317" i="89"/>
  <c r="CS317" i="89"/>
  <c r="CT317" i="89" s="1"/>
  <c r="CW317" i="89"/>
  <c r="CX317" i="89"/>
  <c r="CY317" i="89" s="1"/>
  <c r="CR318" i="89"/>
  <c r="CS318" i="89"/>
  <c r="CT318" i="89" s="1"/>
  <c r="CW318" i="89"/>
  <c r="CX318" i="89"/>
  <c r="CY318" i="89" s="1"/>
  <c r="CR319" i="89"/>
  <c r="CS319" i="89"/>
  <c r="CT319" i="89" s="1"/>
  <c r="CW319" i="89"/>
  <c r="CX319" i="89"/>
  <c r="CY319" i="89" s="1"/>
  <c r="CR320" i="89"/>
  <c r="CS320" i="89"/>
  <c r="CT320" i="89" s="1"/>
  <c r="CW320" i="89"/>
  <c r="CX320" i="89"/>
  <c r="CY320" i="89" s="1"/>
  <c r="CR321" i="89"/>
  <c r="CS321" i="89"/>
  <c r="CT321" i="89" s="1"/>
  <c r="CW321" i="89"/>
  <c r="CX321" i="89"/>
  <c r="CY321" i="89" s="1"/>
  <c r="CR322" i="89"/>
  <c r="CS322" i="89"/>
  <c r="CT322" i="89" s="1"/>
  <c r="CW322" i="89"/>
  <c r="CX322" i="89"/>
  <c r="CY322" i="89" s="1"/>
  <c r="CR323" i="89"/>
  <c r="CS323" i="89"/>
  <c r="CT323" i="89" s="1"/>
  <c r="CW323" i="89"/>
  <c r="CX323" i="89"/>
  <c r="CY323" i="89" s="1"/>
  <c r="CR324" i="89"/>
  <c r="CS324" i="89"/>
  <c r="CT324" i="89" s="1"/>
  <c r="CW324" i="89"/>
  <c r="CX324" i="89"/>
  <c r="CY324" i="89" s="1"/>
  <c r="CR325" i="89"/>
  <c r="CS325" i="89"/>
  <c r="CT325" i="89" s="1"/>
  <c r="CW325" i="89"/>
  <c r="CX325" i="89"/>
  <c r="CY325" i="89" s="1"/>
  <c r="CR326" i="89"/>
  <c r="CS326" i="89"/>
  <c r="CT326" i="89" s="1"/>
  <c r="CW326" i="89"/>
  <c r="CX326" i="89"/>
  <c r="CY326" i="89" s="1"/>
  <c r="CR327" i="89"/>
  <c r="CS327" i="89"/>
  <c r="CT327" i="89" s="1"/>
  <c r="CW327" i="89"/>
  <c r="CX327" i="89"/>
  <c r="CY327" i="89" s="1"/>
  <c r="CR328" i="89"/>
  <c r="CS328" i="89"/>
  <c r="CT328" i="89" s="1"/>
  <c r="CW328" i="89"/>
  <c r="CX328" i="89"/>
  <c r="CY328" i="89" s="1"/>
  <c r="CR329" i="89"/>
  <c r="CS329" i="89"/>
  <c r="CT329" i="89" s="1"/>
  <c r="CW329" i="89"/>
  <c r="CX329" i="89"/>
  <c r="CY329" i="89" s="1"/>
  <c r="CR330" i="89"/>
  <c r="CS330" i="89"/>
  <c r="CT330" i="89" s="1"/>
  <c r="CW330" i="89"/>
  <c r="CX330" i="89"/>
  <c r="CY330" i="89" s="1"/>
  <c r="CR331" i="89"/>
  <c r="CS331" i="89"/>
  <c r="CT331" i="89" s="1"/>
  <c r="CW331" i="89"/>
  <c r="CX331" i="89"/>
  <c r="CY331" i="89" s="1"/>
  <c r="CR332" i="89"/>
  <c r="CS332" i="89"/>
  <c r="CT332" i="89" s="1"/>
  <c r="CW332" i="89"/>
  <c r="CX332" i="89"/>
  <c r="CY332" i="89" s="1"/>
  <c r="CR333" i="89"/>
  <c r="CS333" i="89"/>
  <c r="CT333" i="89" s="1"/>
  <c r="CW333" i="89"/>
  <c r="CX333" i="89"/>
  <c r="CY333" i="89" s="1"/>
  <c r="CR334" i="89"/>
  <c r="CS334" i="89"/>
  <c r="CT334" i="89" s="1"/>
  <c r="CW334" i="89"/>
  <c r="CX334" i="89"/>
  <c r="CY334" i="89" s="1"/>
  <c r="CR335" i="89"/>
  <c r="CS335" i="89"/>
  <c r="CT335" i="89" s="1"/>
  <c r="CW335" i="89"/>
  <c r="CX335" i="89"/>
  <c r="CY335" i="89" s="1"/>
  <c r="CR336" i="89"/>
  <c r="CS336" i="89"/>
  <c r="CT336" i="89" s="1"/>
  <c r="CW336" i="89"/>
  <c r="CX336" i="89"/>
  <c r="CY336" i="89" s="1"/>
  <c r="CR337" i="89"/>
  <c r="CS337" i="89"/>
  <c r="CT337" i="89" s="1"/>
  <c r="CW337" i="89"/>
  <c r="CX337" i="89"/>
  <c r="CY337" i="89" s="1"/>
  <c r="CR338" i="89"/>
  <c r="CS338" i="89"/>
  <c r="CT338" i="89" s="1"/>
  <c r="CW338" i="89"/>
  <c r="CX338" i="89"/>
  <c r="CY338" i="89" s="1"/>
  <c r="CR339" i="89"/>
  <c r="CS339" i="89"/>
  <c r="CT339" i="89" s="1"/>
  <c r="CW339" i="89"/>
  <c r="CX339" i="89"/>
  <c r="CY339" i="89" s="1"/>
  <c r="CR340" i="89"/>
  <c r="CS340" i="89"/>
  <c r="CT340" i="89" s="1"/>
  <c r="CW340" i="89"/>
  <c r="CX340" i="89"/>
  <c r="CY340" i="89" s="1"/>
  <c r="CR341" i="89"/>
  <c r="CS341" i="89"/>
  <c r="CT341" i="89" s="1"/>
  <c r="CW341" i="89"/>
  <c r="CX341" i="89"/>
  <c r="CY341" i="89" s="1"/>
  <c r="CR342" i="89"/>
  <c r="CS342" i="89"/>
  <c r="CT342" i="89" s="1"/>
  <c r="CW342" i="89"/>
  <c r="CX342" i="89"/>
  <c r="CY342" i="89" s="1"/>
  <c r="CR343" i="89"/>
  <c r="CS343" i="89"/>
  <c r="CT343" i="89" s="1"/>
  <c r="CW343" i="89"/>
  <c r="CX343" i="89"/>
  <c r="CY343" i="89" s="1"/>
  <c r="CR344" i="89"/>
  <c r="CS344" i="89"/>
  <c r="CT344" i="89" s="1"/>
  <c r="CW344" i="89"/>
  <c r="CX344" i="89"/>
  <c r="CY344" i="89" s="1"/>
  <c r="CR345" i="89"/>
  <c r="CS345" i="89"/>
  <c r="CT345" i="89" s="1"/>
  <c r="CW345" i="89"/>
  <c r="CX345" i="89"/>
  <c r="CY345" i="89" s="1"/>
  <c r="CR346" i="89"/>
  <c r="CS346" i="89"/>
  <c r="CT346" i="89" s="1"/>
  <c r="CW346" i="89"/>
  <c r="CX346" i="89"/>
  <c r="CY346" i="89" s="1"/>
  <c r="CR347" i="89"/>
  <c r="CS347" i="89"/>
  <c r="CT347" i="89" s="1"/>
  <c r="CW347" i="89"/>
  <c r="CX347" i="89"/>
  <c r="CY347" i="89" s="1"/>
  <c r="CR348" i="89"/>
  <c r="CS348" i="89"/>
  <c r="CT348" i="89" s="1"/>
  <c r="CW348" i="89"/>
  <c r="CX348" i="89"/>
  <c r="CY348" i="89" s="1"/>
  <c r="CR349" i="89"/>
  <c r="CS349" i="89"/>
  <c r="CT349" i="89" s="1"/>
  <c r="CW349" i="89"/>
  <c r="CX349" i="89"/>
  <c r="CY349" i="89" s="1"/>
  <c r="CR350" i="89"/>
  <c r="CS350" i="89"/>
  <c r="CT350" i="89" s="1"/>
  <c r="CW350" i="89"/>
  <c r="CX350" i="89"/>
  <c r="CY350" i="89" s="1"/>
  <c r="CR351" i="89"/>
  <c r="CS351" i="89"/>
  <c r="CT351" i="89" s="1"/>
  <c r="CW351" i="89"/>
  <c r="CX351" i="89"/>
  <c r="CY351" i="89" s="1"/>
  <c r="CR352" i="89"/>
  <c r="CS352" i="89"/>
  <c r="CT352" i="89" s="1"/>
  <c r="CW352" i="89"/>
  <c r="CX352" i="89"/>
  <c r="CY352" i="89" s="1"/>
  <c r="CR353" i="89"/>
  <c r="CS353" i="89"/>
  <c r="CT353" i="89" s="1"/>
  <c r="CW353" i="89"/>
  <c r="CX353" i="89"/>
  <c r="CY353" i="89" s="1"/>
  <c r="CR354" i="89"/>
  <c r="CS354" i="89"/>
  <c r="CT354" i="89" s="1"/>
  <c r="CW354" i="89"/>
  <c r="CX354" i="89"/>
  <c r="CY354" i="89" s="1"/>
  <c r="CR355" i="89"/>
  <c r="CS355" i="89"/>
  <c r="CT355" i="89" s="1"/>
  <c r="CW355" i="89"/>
  <c r="CX355" i="89"/>
  <c r="CY355" i="89" s="1"/>
  <c r="CR356" i="89"/>
  <c r="CS356" i="89"/>
  <c r="CT356" i="89" s="1"/>
  <c r="CW356" i="89"/>
  <c r="CX356" i="89"/>
  <c r="CY356" i="89" s="1"/>
  <c r="CR357" i="89"/>
  <c r="CS357" i="89"/>
  <c r="CT357" i="89" s="1"/>
  <c r="CW357" i="89"/>
  <c r="CX357" i="89"/>
  <c r="CY357" i="89" s="1"/>
  <c r="CR358" i="89"/>
  <c r="CS358" i="89"/>
  <c r="CT358" i="89" s="1"/>
  <c r="CW358" i="89"/>
  <c r="CX358" i="89"/>
  <c r="CY358" i="89" s="1"/>
  <c r="CR359" i="89"/>
  <c r="CS359" i="89"/>
  <c r="CT359" i="89" s="1"/>
  <c r="CW359" i="89"/>
  <c r="CX359" i="89"/>
  <c r="CY359" i="89" s="1"/>
  <c r="CR360" i="89"/>
  <c r="CS360" i="89"/>
  <c r="CT360" i="89" s="1"/>
  <c r="CW360" i="89"/>
  <c r="CX360" i="89"/>
  <c r="CY360" i="89" s="1"/>
  <c r="CR361" i="89"/>
  <c r="CS361" i="89"/>
  <c r="CT361" i="89" s="1"/>
  <c r="CW361" i="89"/>
  <c r="CX361" i="89"/>
  <c r="CY361" i="89" s="1"/>
  <c r="CR362" i="89"/>
  <c r="CS362" i="89"/>
  <c r="CT362" i="89" s="1"/>
  <c r="CW362" i="89"/>
  <c r="CX362" i="89"/>
  <c r="CY362" i="89" s="1"/>
  <c r="CR363" i="89"/>
  <c r="CS363" i="89"/>
  <c r="CT363" i="89" s="1"/>
  <c r="CW363" i="89"/>
  <c r="CX363" i="89"/>
  <c r="CY363" i="89" s="1"/>
  <c r="CR364" i="89"/>
  <c r="CS364" i="89"/>
  <c r="CT364" i="89" s="1"/>
  <c r="CW364" i="89"/>
  <c r="CX364" i="89"/>
  <c r="CY364" i="89" s="1"/>
  <c r="CR365" i="89"/>
  <c r="CS365" i="89"/>
  <c r="CT365" i="89" s="1"/>
  <c r="CW365" i="89"/>
  <c r="CX365" i="89"/>
  <c r="CY365" i="89" s="1"/>
  <c r="CR366" i="89"/>
  <c r="CS366" i="89"/>
  <c r="CT366" i="89" s="1"/>
  <c r="CW366" i="89"/>
  <c r="CX366" i="89"/>
  <c r="CY366" i="89" s="1"/>
  <c r="CR367" i="89"/>
  <c r="CS367" i="89"/>
  <c r="CT367" i="89" s="1"/>
  <c r="CW367" i="89"/>
  <c r="CX367" i="89"/>
  <c r="CY367" i="89" s="1"/>
  <c r="CR368" i="89"/>
  <c r="CS368" i="89"/>
  <c r="CT368" i="89" s="1"/>
  <c r="CW368" i="89"/>
  <c r="CX368" i="89"/>
  <c r="CY368" i="89" s="1"/>
  <c r="CR369" i="89"/>
  <c r="CS369" i="89"/>
  <c r="CT369" i="89" s="1"/>
  <c r="CW369" i="89"/>
  <c r="CX369" i="89"/>
  <c r="CY369" i="89" s="1"/>
  <c r="CR370" i="89"/>
  <c r="CS370" i="89"/>
  <c r="CT370" i="89" s="1"/>
  <c r="CW370" i="89"/>
  <c r="CX370" i="89"/>
  <c r="CY370" i="89" s="1"/>
  <c r="CR371" i="89"/>
  <c r="CS371" i="89"/>
  <c r="CT371" i="89" s="1"/>
  <c r="CW371" i="89"/>
  <c r="CX371" i="89"/>
  <c r="CY371" i="89" s="1"/>
  <c r="CR372" i="89"/>
  <c r="CS372" i="89"/>
  <c r="CT372" i="89" s="1"/>
  <c r="CW372" i="89"/>
  <c r="CX372" i="89"/>
  <c r="CY372" i="89" s="1"/>
  <c r="CR373" i="89"/>
  <c r="CS373" i="89"/>
  <c r="CT373" i="89" s="1"/>
  <c r="CW373" i="89"/>
  <c r="CX373" i="89"/>
  <c r="CY373" i="89" s="1"/>
  <c r="CR374" i="89"/>
  <c r="CS374" i="89"/>
  <c r="CT374" i="89" s="1"/>
  <c r="CW374" i="89"/>
  <c r="CX374" i="89"/>
  <c r="CY374" i="89" s="1"/>
  <c r="CR375" i="89"/>
  <c r="CS375" i="89"/>
  <c r="CT375" i="89" s="1"/>
  <c r="CW375" i="89"/>
  <c r="CX375" i="89"/>
  <c r="CY375" i="89" s="1"/>
  <c r="CR376" i="89"/>
  <c r="CS376" i="89"/>
  <c r="CT376" i="89" s="1"/>
  <c r="CW376" i="89"/>
  <c r="CX376" i="89"/>
  <c r="CY376" i="89" s="1"/>
  <c r="CR377" i="89"/>
  <c r="CS377" i="89"/>
  <c r="CT377" i="89" s="1"/>
  <c r="CW377" i="89"/>
  <c r="CX377" i="89"/>
  <c r="CY377" i="89" s="1"/>
  <c r="CR378" i="89"/>
  <c r="CS378" i="89"/>
  <c r="CT378" i="89" s="1"/>
  <c r="CW378" i="89"/>
  <c r="CX378" i="89"/>
  <c r="CY378" i="89" s="1"/>
  <c r="CR379" i="89"/>
  <c r="CS379" i="89"/>
  <c r="CT379" i="89" s="1"/>
  <c r="CW379" i="89"/>
  <c r="CX379" i="89"/>
  <c r="CY379" i="89" s="1"/>
  <c r="CR380" i="89"/>
  <c r="CS380" i="89"/>
  <c r="CT380" i="89" s="1"/>
  <c r="CW380" i="89"/>
  <c r="CX380" i="89"/>
  <c r="CY380" i="89" s="1"/>
  <c r="CR381" i="89"/>
  <c r="CS381" i="89"/>
  <c r="CT381" i="89" s="1"/>
  <c r="CW381" i="89"/>
  <c r="CX381" i="89"/>
  <c r="CY381" i="89" s="1"/>
  <c r="CR382" i="89"/>
  <c r="CS382" i="89"/>
  <c r="CT382" i="89" s="1"/>
  <c r="CW382" i="89"/>
  <c r="CX382" i="89"/>
  <c r="CY382" i="89" s="1"/>
  <c r="CR383" i="89"/>
  <c r="CS383" i="89"/>
  <c r="CT383" i="89" s="1"/>
  <c r="CW383" i="89"/>
  <c r="CX383" i="89"/>
  <c r="CY383" i="89" s="1"/>
  <c r="CR384" i="89"/>
  <c r="CS384" i="89"/>
  <c r="CT384" i="89" s="1"/>
  <c r="CW384" i="89"/>
  <c r="CX384" i="89"/>
  <c r="CY384" i="89" s="1"/>
  <c r="CR385" i="89"/>
  <c r="CS385" i="89"/>
  <c r="CT385" i="89" s="1"/>
  <c r="CW385" i="89"/>
  <c r="CX385" i="89"/>
  <c r="CY385" i="89" s="1"/>
  <c r="CR386" i="89"/>
  <c r="CS386" i="89"/>
  <c r="CT386" i="89" s="1"/>
  <c r="CW386" i="89"/>
  <c r="CX386" i="89"/>
  <c r="CY386" i="89" s="1"/>
  <c r="CR387" i="89"/>
  <c r="CS387" i="89"/>
  <c r="CT387" i="89" s="1"/>
  <c r="CW387" i="89"/>
  <c r="CX387" i="89"/>
  <c r="CY387" i="89" s="1"/>
  <c r="CR388" i="89"/>
  <c r="CS388" i="89"/>
  <c r="CT388" i="89" s="1"/>
  <c r="CW388" i="89"/>
  <c r="CX388" i="89"/>
  <c r="CY388" i="89" s="1"/>
  <c r="CR389" i="89"/>
  <c r="CS389" i="89"/>
  <c r="CT389" i="89" s="1"/>
  <c r="CW389" i="89"/>
  <c r="CX389" i="89"/>
  <c r="CY389" i="89" s="1"/>
  <c r="CR390" i="89"/>
  <c r="CS390" i="89"/>
  <c r="CT390" i="89" s="1"/>
  <c r="CW390" i="89"/>
  <c r="CX390" i="89"/>
  <c r="CY390" i="89" s="1"/>
  <c r="CR391" i="89"/>
  <c r="CS391" i="89"/>
  <c r="CT391" i="89" s="1"/>
  <c r="CW391" i="89"/>
  <c r="CX391" i="89"/>
  <c r="CY391" i="89" s="1"/>
  <c r="CR392" i="89"/>
  <c r="CS392" i="89"/>
  <c r="CT392" i="89" s="1"/>
  <c r="CW392" i="89"/>
  <c r="CX392" i="89"/>
  <c r="CY392" i="89" s="1"/>
  <c r="CR393" i="89"/>
  <c r="CS393" i="89"/>
  <c r="CT393" i="89" s="1"/>
  <c r="CW393" i="89"/>
  <c r="CX393" i="89"/>
  <c r="CY393" i="89" s="1"/>
  <c r="CR394" i="89"/>
  <c r="CS394" i="89"/>
  <c r="CT394" i="89" s="1"/>
  <c r="CW394" i="89"/>
  <c r="CX394" i="89"/>
  <c r="CY394" i="89" s="1"/>
  <c r="CR395" i="89"/>
  <c r="CS395" i="89"/>
  <c r="CT395" i="89" s="1"/>
  <c r="CW395" i="89"/>
  <c r="CX395" i="89"/>
  <c r="CY395" i="89" s="1"/>
  <c r="CR396" i="89"/>
  <c r="CS396" i="89"/>
  <c r="CT396" i="89" s="1"/>
  <c r="CW396" i="89"/>
  <c r="CX396" i="89"/>
  <c r="CY396" i="89" s="1"/>
  <c r="CR397" i="89"/>
  <c r="CS397" i="89"/>
  <c r="CT397" i="89" s="1"/>
  <c r="CW397" i="89"/>
  <c r="CX397" i="89"/>
  <c r="CY397" i="89" s="1"/>
  <c r="CR398" i="89"/>
  <c r="CS398" i="89"/>
  <c r="CT398" i="89" s="1"/>
  <c r="CW398" i="89"/>
  <c r="CX398" i="89"/>
  <c r="CY398" i="89" s="1"/>
  <c r="CR399" i="89"/>
  <c r="CS399" i="89"/>
  <c r="CT399" i="89" s="1"/>
  <c r="CW399" i="89"/>
  <c r="CX399" i="89"/>
  <c r="CY399" i="89" s="1"/>
  <c r="CR400" i="89"/>
  <c r="CS400" i="89"/>
  <c r="CT400" i="89" s="1"/>
  <c r="CW400" i="89"/>
  <c r="CX400" i="89"/>
  <c r="CY400" i="89" s="1"/>
  <c r="CR401" i="89"/>
  <c r="CS401" i="89"/>
  <c r="CT401" i="89" s="1"/>
  <c r="CR402" i="89"/>
  <c r="CS402" i="89"/>
  <c r="CT402" i="89" s="1"/>
  <c r="CR403" i="89"/>
  <c r="CS403" i="89"/>
  <c r="CT403" i="89" s="1"/>
  <c r="CR404" i="89"/>
  <c r="CS404" i="89"/>
  <c r="CT404" i="89" s="1"/>
  <c r="CR405" i="89"/>
  <c r="CS405" i="89"/>
  <c r="CT405" i="89" s="1"/>
  <c r="CR406" i="89"/>
  <c r="CS406" i="89"/>
  <c r="CT406" i="89" s="1"/>
  <c r="CR407" i="89"/>
  <c r="CS407" i="89"/>
  <c r="CT407" i="89" s="1"/>
  <c r="CR408" i="89"/>
  <c r="CS408" i="89"/>
  <c r="CT408" i="89" s="1"/>
  <c r="CR409" i="89"/>
  <c r="CS409" i="89"/>
  <c r="CT409" i="89" s="1"/>
  <c r="CR410" i="89"/>
  <c r="CS410" i="89"/>
  <c r="CT410" i="89" s="1"/>
  <c r="CR411" i="89"/>
  <c r="CS411" i="89"/>
  <c r="CT411" i="89" s="1"/>
  <c r="CR412" i="89"/>
  <c r="CS412" i="89"/>
  <c r="CT412" i="89" s="1"/>
  <c r="CR413" i="89"/>
  <c r="CS413" i="89"/>
  <c r="CT413" i="89" s="1"/>
  <c r="CR414" i="89"/>
  <c r="CS414" i="89"/>
  <c r="CT414" i="89" s="1"/>
  <c r="CR415" i="89"/>
  <c r="CS415" i="89"/>
  <c r="CT415" i="89" s="1"/>
  <c r="CR416" i="89"/>
  <c r="CS416" i="89"/>
  <c r="CT416" i="89" s="1"/>
  <c r="CR417" i="89"/>
  <c r="CS417" i="89"/>
  <c r="CT417" i="89" s="1"/>
  <c r="CR418" i="89"/>
  <c r="CS418" i="89"/>
  <c r="CT418" i="89" s="1"/>
  <c r="CR419" i="89"/>
  <c r="CS419" i="89"/>
  <c r="CT419" i="89" s="1"/>
  <c r="CR420" i="89"/>
  <c r="CS420" i="89"/>
  <c r="CT420" i="89" s="1"/>
  <c r="CR421" i="89"/>
  <c r="CS421" i="89"/>
  <c r="CT421" i="89" s="1"/>
  <c r="CR422" i="89"/>
  <c r="CS422" i="89"/>
  <c r="CT422" i="89" s="1"/>
  <c r="CR423" i="89"/>
  <c r="CS423" i="89"/>
  <c r="CT423" i="89" s="1"/>
  <c r="CR424" i="89"/>
  <c r="CS424" i="89"/>
  <c r="CT424" i="89" s="1"/>
  <c r="CR425" i="89"/>
  <c r="CS425" i="89"/>
  <c r="CT425" i="89" s="1"/>
  <c r="CR426" i="89"/>
  <c r="CS426" i="89"/>
  <c r="CT426" i="89" s="1"/>
  <c r="CR427" i="89"/>
  <c r="CS427" i="89"/>
  <c r="CT427" i="89" s="1"/>
  <c r="CR428" i="89"/>
  <c r="CS428" i="89"/>
  <c r="CT428" i="89" s="1"/>
  <c r="CR429" i="89"/>
  <c r="CS429" i="89"/>
  <c r="CT429" i="89" s="1"/>
  <c r="CR430" i="89"/>
  <c r="CS430" i="89"/>
  <c r="CT430" i="89" s="1"/>
  <c r="CR431" i="89"/>
  <c r="CS431" i="89"/>
  <c r="CT431" i="89" s="1"/>
  <c r="CR432" i="89"/>
  <c r="CS432" i="89"/>
  <c r="CT432" i="89" s="1"/>
  <c r="CR433" i="89"/>
  <c r="CS433" i="89"/>
  <c r="CT433" i="89" s="1"/>
  <c r="CR434" i="89"/>
  <c r="CS434" i="89"/>
  <c r="CT434" i="89" s="1"/>
  <c r="CR435" i="89"/>
  <c r="CS435" i="89"/>
  <c r="CT435" i="89" s="1"/>
  <c r="CR436" i="89"/>
  <c r="CS436" i="89"/>
  <c r="CT436" i="89" s="1"/>
  <c r="CR437" i="89"/>
  <c r="CS437" i="89"/>
  <c r="CT437" i="89" s="1"/>
  <c r="CR438" i="89"/>
  <c r="CS438" i="89"/>
  <c r="CT438" i="89" s="1"/>
  <c r="CR439" i="89"/>
  <c r="CS439" i="89"/>
  <c r="CT439" i="89" s="1"/>
  <c r="CR440" i="89"/>
  <c r="CS440" i="89"/>
  <c r="CT440" i="89" s="1"/>
  <c r="CR441" i="89"/>
  <c r="CS441" i="89"/>
  <c r="CT441" i="89" s="1"/>
  <c r="CR442" i="89"/>
  <c r="CS442" i="89"/>
  <c r="CT442" i="89" s="1"/>
  <c r="CR443" i="89"/>
  <c r="CS443" i="89"/>
  <c r="CT443" i="89" s="1"/>
  <c r="CR444" i="89"/>
  <c r="CS444" i="89"/>
  <c r="CT444" i="89" s="1"/>
  <c r="CR445" i="89"/>
  <c r="CS445" i="89"/>
  <c r="CT445" i="89" s="1"/>
  <c r="CR446" i="89"/>
  <c r="CS446" i="89"/>
  <c r="CT446" i="89" s="1"/>
  <c r="CR447" i="89"/>
  <c r="CS447" i="89"/>
  <c r="CT447" i="89" s="1"/>
  <c r="CR448" i="89"/>
  <c r="CS448" i="89"/>
  <c r="CT448" i="89" s="1"/>
  <c r="CR449" i="89"/>
  <c r="CS449" i="89"/>
  <c r="CT449" i="89" s="1"/>
  <c r="CR450" i="89"/>
  <c r="CS450" i="89"/>
  <c r="CT450" i="89" s="1"/>
  <c r="CR451" i="89"/>
  <c r="CS451" i="89"/>
  <c r="CT451" i="89" s="1"/>
  <c r="CR452" i="89"/>
  <c r="CS452" i="89"/>
  <c r="CT452" i="89" s="1"/>
  <c r="CR453" i="89"/>
  <c r="CS453" i="89"/>
  <c r="CT453" i="89" s="1"/>
  <c r="CR454" i="89"/>
  <c r="CS454" i="89"/>
  <c r="CT454" i="89" s="1"/>
  <c r="CR455" i="89"/>
  <c r="CS455" i="89"/>
  <c r="CT455" i="89" s="1"/>
  <c r="CR456" i="89"/>
  <c r="CS456" i="89"/>
  <c r="CT456" i="89" s="1"/>
  <c r="CR457" i="89"/>
  <c r="CS457" i="89"/>
  <c r="CT457" i="89" s="1"/>
  <c r="CR458" i="89"/>
  <c r="CS458" i="89"/>
  <c r="CT458" i="89" s="1"/>
  <c r="CR459" i="89"/>
  <c r="CS459" i="89"/>
  <c r="CT459" i="89" s="1"/>
  <c r="CR460" i="89"/>
  <c r="CS460" i="89"/>
  <c r="CT460" i="89" s="1"/>
  <c r="CR461" i="89"/>
  <c r="CS461" i="89"/>
  <c r="CT461" i="89" s="1"/>
  <c r="CR462" i="89"/>
  <c r="CS462" i="89"/>
  <c r="CT462" i="89" s="1"/>
  <c r="CR463" i="89"/>
  <c r="CS463" i="89"/>
  <c r="CT463" i="89" s="1"/>
  <c r="CR464" i="89"/>
  <c r="CS464" i="89"/>
  <c r="CT464" i="89" s="1"/>
  <c r="CR465" i="89"/>
  <c r="CS465" i="89"/>
  <c r="CT465" i="89" s="1"/>
  <c r="CR466" i="89"/>
  <c r="CS466" i="89"/>
  <c r="CT466" i="89" s="1"/>
  <c r="CR467" i="89"/>
  <c r="CS467" i="89"/>
  <c r="CT467" i="89" s="1"/>
  <c r="CR468" i="89"/>
  <c r="CS468" i="89"/>
  <c r="CT468" i="89" s="1"/>
  <c r="CR469" i="89"/>
  <c r="CS469" i="89"/>
  <c r="CT469" i="89" s="1"/>
  <c r="CR470" i="89"/>
  <c r="CS470" i="89"/>
  <c r="CT470" i="89" s="1"/>
  <c r="CR471" i="89"/>
  <c r="CS471" i="89"/>
  <c r="CT471" i="89" s="1"/>
  <c r="CR472" i="89"/>
  <c r="CS472" i="89"/>
  <c r="CT472" i="89" s="1"/>
  <c r="CR473" i="89"/>
  <c r="CS473" i="89"/>
  <c r="CT473" i="89" s="1"/>
  <c r="CR474" i="89"/>
  <c r="CS474" i="89"/>
  <c r="CT474" i="89" s="1"/>
  <c r="CR475" i="89"/>
  <c r="CS475" i="89"/>
  <c r="CT475" i="89" s="1"/>
  <c r="CR476" i="89"/>
  <c r="CS476" i="89"/>
  <c r="CT476" i="89" s="1"/>
  <c r="CR477" i="89"/>
  <c r="CS477" i="89"/>
  <c r="CT477" i="89" s="1"/>
  <c r="CR478" i="89"/>
  <c r="CS478" i="89"/>
  <c r="CT478" i="89" s="1"/>
  <c r="CR479" i="89"/>
  <c r="CS479" i="89"/>
  <c r="CT479" i="89" s="1"/>
  <c r="CR480" i="89"/>
  <c r="CS480" i="89"/>
  <c r="CT480" i="89" s="1"/>
  <c r="CR481" i="89"/>
  <c r="CS481" i="89"/>
  <c r="CT481" i="89" s="1"/>
  <c r="CR482" i="89"/>
  <c r="CS482" i="89"/>
  <c r="CT482" i="89" s="1"/>
  <c r="CR483" i="89"/>
  <c r="CS483" i="89"/>
  <c r="CT483" i="89" s="1"/>
  <c r="CR484" i="89"/>
  <c r="CS484" i="89"/>
  <c r="CT484" i="89" s="1"/>
  <c r="CR485" i="89"/>
  <c r="CS485" i="89"/>
  <c r="CT485" i="89" s="1"/>
  <c r="CR486" i="89"/>
  <c r="CS486" i="89"/>
  <c r="CT486" i="89" s="1"/>
  <c r="CR487" i="89"/>
  <c r="CS487" i="89"/>
  <c r="CT487" i="89" s="1"/>
  <c r="CR488" i="89"/>
  <c r="CS488" i="89"/>
  <c r="CT488" i="89" s="1"/>
  <c r="CR489" i="89"/>
  <c r="CS489" i="89"/>
  <c r="CT489" i="89" s="1"/>
  <c r="CR490" i="89"/>
  <c r="CS490" i="89"/>
  <c r="CT490" i="89" s="1"/>
  <c r="CR491" i="89"/>
  <c r="CS491" i="89"/>
  <c r="CT491" i="89" s="1"/>
  <c r="CR492" i="89"/>
  <c r="CS492" i="89"/>
  <c r="CT492" i="89" s="1"/>
  <c r="CR493" i="89"/>
  <c r="CS493" i="89"/>
  <c r="CT493" i="89" s="1"/>
  <c r="CR494" i="89"/>
  <c r="CS494" i="89"/>
  <c r="CT494" i="89" s="1"/>
  <c r="CR495" i="89"/>
  <c r="CS495" i="89"/>
  <c r="CT495" i="89" s="1"/>
  <c r="CR496" i="89"/>
  <c r="CS496" i="89"/>
  <c r="CT496" i="89" s="1"/>
  <c r="CR497" i="89"/>
  <c r="CS497" i="89"/>
  <c r="CT497" i="89" s="1"/>
  <c r="CR498" i="89"/>
  <c r="CS498" i="89"/>
  <c r="CT498" i="89" s="1"/>
  <c r="CR499" i="89"/>
  <c r="CS499" i="89"/>
  <c r="CT499" i="89" s="1"/>
  <c r="CR500" i="89"/>
  <c r="CS500" i="89"/>
  <c r="CT500" i="89" s="1"/>
  <c r="CR501" i="89"/>
  <c r="CS501" i="89"/>
  <c r="CT501" i="89" s="1"/>
  <c r="CR502" i="89"/>
  <c r="CS502" i="89"/>
  <c r="CT502" i="89" s="1"/>
  <c r="CR503" i="89"/>
  <c r="CS503" i="89"/>
  <c r="CT503" i="89" s="1"/>
  <c r="CR504" i="89"/>
  <c r="CS504" i="89"/>
  <c r="CT504" i="89" s="1"/>
  <c r="CR505" i="89"/>
  <c r="CS505" i="89"/>
  <c r="CT505" i="89" s="1"/>
  <c r="CR506" i="89"/>
  <c r="CS506" i="89"/>
  <c r="CT506" i="89" s="1"/>
  <c r="CR507" i="89"/>
  <c r="CS507" i="89"/>
  <c r="CT507" i="89" s="1"/>
  <c r="CR508" i="89"/>
  <c r="CS508" i="89"/>
  <c r="CT508" i="89" s="1"/>
  <c r="CR509" i="89"/>
  <c r="CS509" i="89"/>
  <c r="CT509" i="89" s="1"/>
  <c r="CR510" i="89"/>
  <c r="CS510" i="89"/>
  <c r="CT510" i="89" s="1"/>
  <c r="CR511" i="89"/>
  <c r="CS511" i="89"/>
  <c r="CT511" i="89" s="1"/>
  <c r="CR512" i="89"/>
  <c r="CS512" i="89"/>
  <c r="CT512" i="89" s="1"/>
  <c r="CR513" i="89"/>
  <c r="CS513" i="89"/>
  <c r="CT513" i="89" s="1"/>
  <c r="CR514" i="89"/>
  <c r="CS514" i="89"/>
  <c r="CT514" i="89" s="1"/>
  <c r="CR515" i="89"/>
  <c r="CS515" i="89"/>
  <c r="CT515" i="89" s="1"/>
  <c r="CR516" i="89"/>
  <c r="CS516" i="89"/>
  <c r="CT516" i="89" s="1"/>
  <c r="CR517" i="89"/>
  <c r="CS517" i="89"/>
  <c r="CT517" i="89" s="1"/>
  <c r="CR518" i="89"/>
  <c r="CS518" i="89"/>
  <c r="CT518" i="89" s="1"/>
  <c r="CR519" i="89"/>
  <c r="CS519" i="89"/>
  <c r="CT519" i="89" s="1"/>
  <c r="CR520" i="89"/>
  <c r="CS520" i="89"/>
  <c r="CT520" i="89" s="1"/>
  <c r="CR521" i="89"/>
  <c r="CS521" i="89"/>
  <c r="CT521" i="89" s="1"/>
  <c r="CR522" i="89"/>
  <c r="CS522" i="89"/>
  <c r="CT522" i="89" s="1"/>
  <c r="CR523" i="89"/>
  <c r="CS523" i="89"/>
  <c r="CT523" i="89" s="1"/>
  <c r="CR524" i="89"/>
  <c r="CS524" i="89"/>
  <c r="CT524" i="89" s="1"/>
  <c r="CR525" i="89"/>
  <c r="CS525" i="89"/>
  <c r="CT525" i="89" s="1"/>
  <c r="CR526" i="89"/>
  <c r="CS526" i="89"/>
  <c r="CT526" i="89" s="1"/>
  <c r="CR527" i="89"/>
  <c r="CS527" i="89"/>
  <c r="CT527" i="89" s="1"/>
  <c r="CR528" i="89"/>
  <c r="CS528" i="89"/>
  <c r="CT528" i="89" s="1"/>
  <c r="CR529" i="89"/>
  <c r="CS529" i="89"/>
  <c r="CT529" i="89" s="1"/>
  <c r="CR530" i="89"/>
  <c r="CS530" i="89"/>
  <c r="CT530" i="89" s="1"/>
  <c r="CR531" i="89"/>
  <c r="CS531" i="89"/>
  <c r="CT531" i="89" s="1"/>
  <c r="CR532" i="89"/>
  <c r="CS532" i="89"/>
  <c r="CT532" i="89" s="1"/>
  <c r="CR533" i="89"/>
  <c r="CS533" i="89"/>
  <c r="CT533" i="89" s="1"/>
  <c r="CR534" i="89"/>
  <c r="CS534" i="89"/>
  <c r="CT534" i="89" s="1"/>
  <c r="CR535" i="89"/>
  <c r="CS535" i="89"/>
  <c r="CT535" i="89" s="1"/>
  <c r="CR536" i="89"/>
  <c r="CS536" i="89"/>
  <c r="CT536" i="89" s="1"/>
  <c r="CR537" i="89"/>
  <c r="CS537" i="89"/>
  <c r="CT537" i="89" s="1"/>
  <c r="CR538" i="89"/>
  <c r="CS538" i="89"/>
  <c r="CT538" i="89" s="1"/>
  <c r="CR539" i="89"/>
  <c r="CS539" i="89"/>
  <c r="CT539" i="89" s="1"/>
  <c r="CR540" i="89"/>
  <c r="CS540" i="89"/>
  <c r="CT540" i="89" s="1"/>
  <c r="CR541" i="89"/>
  <c r="CS541" i="89"/>
  <c r="CT541" i="89" s="1"/>
  <c r="CR542" i="89"/>
  <c r="CS542" i="89"/>
  <c r="CT542" i="89" s="1"/>
  <c r="CR543" i="89"/>
  <c r="CS543" i="89"/>
  <c r="CT543" i="89" s="1"/>
  <c r="CR544" i="89"/>
  <c r="CS544" i="89"/>
  <c r="CT544" i="89" s="1"/>
  <c r="CR545" i="89"/>
  <c r="CS545" i="89"/>
  <c r="CT545" i="89" s="1"/>
  <c r="CR546" i="89"/>
  <c r="CS546" i="89"/>
  <c r="CT546" i="89" s="1"/>
  <c r="CR547" i="89"/>
  <c r="CS547" i="89"/>
  <c r="CT547" i="89" s="1"/>
  <c r="CR548" i="89"/>
  <c r="CS548" i="89"/>
  <c r="CT548" i="89" s="1"/>
  <c r="CR549" i="89"/>
  <c r="CS549" i="89"/>
  <c r="CT549" i="89" s="1"/>
  <c r="CR550" i="89"/>
  <c r="CS550" i="89"/>
  <c r="CT550" i="89" s="1"/>
  <c r="CR551" i="89"/>
  <c r="CS551" i="89"/>
  <c r="CT551" i="89" s="1"/>
  <c r="CR552" i="89"/>
  <c r="CS552" i="89"/>
  <c r="CT552" i="89" s="1"/>
  <c r="CR553" i="89"/>
  <c r="CS553" i="89"/>
  <c r="CT553" i="89" s="1"/>
  <c r="CR554" i="89"/>
  <c r="CS554" i="89"/>
  <c r="CT554" i="89" s="1"/>
  <c r="CR555" i="89"/>
  <c r="CS555" i="89"/>
  <c r="CT555" i="89" s="1"/>
  <c r="CR556" i="89"/>
  <c r="CS556" i="89"/>
  <c r="CT556" i="89" s="1"/>
  <c r="CR557" i="89"/>
  <c r="CS557" i="89"/>
  <c r="CT557" i="89" s="1"/>
  <c r="CR558" i="89"/>
  <c r="CS558" i="89"/>
  <c r="CT558" i="89" s="1"/>
  <c r="CR559" i="89"/>
  <c r="CS559" i="89"/>
  <c r="CT559" i="89" s="1"/>
  <c r="CR560" i="89"/>
  <c r="CS560" i="89"/>
  <c r="CT560" i="89" s="1"/>
  <c r="CR561" i="89"/>
  <c r="CS561" i="89"/>
  <c r="CT561" i="89" s="1"/>
  <c r="CR562" i="89"/>
  <c r="CS562" i="89"/>
  <c r="CT562" i="89" s="1"/>
  <c r="CR563" i="89"/>
  <c r="CS563" i="89"/>
  <c r="CT563" i="89" s="1"/>
  <c r="CR564" i="89"/>
  <c r="CS564" i="89"/>
  <c r="CT564" i="89" s="1"/>
  <c r="CR565" i="89"/>
  <c r="CS565" i="89"/>
  <c r="CT565" i="89" s="1"/>
  <c r="CR566" i="89"/>
  <c r="CS566" i="89"/>
  <c r="CT566" i="89" s="1"/>
  <c r="CR567" i="89"/>
  <c r="CS567" i="89"/>
  <c r="CT567" i="89" s="1"/>
  <c r="CR568" i="89"/>
  <c r="CS568" i="89"/>
  <c r="CT568" i="89" s="1"/>
  <c r="CR569" i="89"/>
  <c r="CS569" i="89"/>
  <c r="CT569" i="89" s="1"/>
  <c r="CR570" i="89"/>
  <c r="CS570" i="89"/>
  <c r="CT570" i="89" s="1"/>
  <c r="CR571" i="89"/>
  <c r="CS571" i="89"/>
  <c r="CT571" i="89" s="1"/>
  <c r="CR572" i="89"/>
  <c r="CS572" i="89"/>
  <c r="CT572" i="89" s="1"/>
  <c r="CR573" i="89"/>
  <c r="CS573" i="89"/>
  <c r="CT573" i="89" s="1"/>
  <c r="CR574" i="89"/>
  <c r="CS574" i="89"/>
  <c r="CT574" i="89" s="1"/>
  <c r="CR575" i="89"/>
  <c r="CS575" i="89"/>
  <c r="CT575" i="89" s="1"/>
  <c r="CR576" i="89"/>
  <c r="CS576" i="89"/>
  <c r="CT576" i="89" s="1"/>
  <c r="CR577" i="89"/>
  <c r="CS577" i="89"/>
  <c r="CT577" i="89" s="1"/>
  <c r="CR578" i="89"/>
  <c r="CS578" i="89"/>
  <c r="CT578" i="89" s="1"/>
  <c r="CR579" i="89"/>
  <c r="CS579" i="89"/>
  <c r="CT579" i="89" s="1"/>
  <c r="CR580" i="89"/>
  <c r="CS580" i="89"/>
  <c r="CT580" i="89" s="1"/>
  <c r="CR581" i="89"/>
  <c r="CS581" i="89"/>
  <c r="CT581" i="89" s="1"/>
  <c r="CR582" i="89"/>
  <c r="CS582" i="89"/>
  <c r="CT582" i="89" s="1"/>
  <c r="CR583" i="89"/>
  <c r="CS583" i="89"/>
  <c r="CT583" i="89" s="1"/>
  <c r="CR584" i="89"/>
  <c r="CS584" i="89"/>
  <c r="CT584" i="89" s="1"/>
  <c r="CR585" i="89"/>
  <c r="CS585" i="89"/>
  <c r="CT585" i="89" s="1"/>
  <c r="CR586" i="89"/>
  <c r="CS586" i="89"/>
  <c r="CT586" i="89" s="1"/>
  <c r="CR587" i="89"/>
  <c r="CS587" i="89"/>
  <c r="CT587" i="89" s="1"/>
  <c r="CR588" i="89"/>
  <c r="CS588" i="89"/>
  <c r="CT588" i="89" s="1"/>
  <c r="CR589" i="89"/>
  <c r="CS589" i="89"/>
  <c r="CT589" i="89" s="1"/>
  <c r="CR590" i="89"/>
  <c r="CS590" i="89"/>
  <c r="CT590" i="89" s="1"/>
  <c r="CR591" i="89"/>
  <c r="CS591" i="89"/>
  <c r="CT591" i="89" s="1"/>
  <c r="CR592" i="89"/>
  <c r="CS592" i="89"/>
  <c r="CT592" i="89" s="1"/>
  <c r="CR593" i="89"/>
  <c r="CS593" i="89"/>
  <c r="CT593" i="89" s="1"/>
  <c r="CR594" i="89"/>
  <c r="CS594" i="89"/>
  <c r="CT594" i="89" s="1"/>
  <c r="CR595" i="89"/>
  <c r="CS595" i="89"/>
  <c r="CT595" i="89" s="1"/>
  <c r="CR596" i="89"/>
  <c r="CS596" i="89"/>
  <c r="CT596" i="89" s="1"/>
  <c r="CR597" i="89"/>
  <c r="CS597" i="89"/>
  <c r="CT597" i="89" s="1"/>
  <c r="CR598" i="89"/>
  <c r="CS598" i="89"/>
  <c r="CT598" i="89" s="1"/>
  <c r="CR599" i="89"/>
  <c r="CS599" i="89"/>
  <c r="CT599" i="89" s="1"/>
  <c r="CR600" i="89"/>
  <c r="CS600" i="89"/>
  <c r="CT600" i="89" s="1"/>
  <c r="CR1" i="92"/>
  <c r="CS1" i="92"/>
  <c r="CT1" i="92" s="1"/>
  <c r="CW1" i="92"/>
  <c r="CX1" i="92"/>
  <c r="CY1" i="92" s="1"/>
  <c r="CR2" i="92"/>
  <c r="CS2" i="92"/>
  <c r="CT2" i="92" s="1"/>
  <c r="CW2" i="92"/>
  <c r="CX2" i="92"/>
  <c r="CY2" i="92" s="1"/>
  <c r="CR3" i="92"/>
  <c r="CS3" i="92"/>
  <c r="CT3" i="92" s="1"/>
  <c r="CW3" i="92"/>
  <c r="CX3" i="92"/>
  <c r="CY3" i="92" s="1"/>
  <c r="CR4" i="92"/>
  <c r="CS4" i="92"/>
  <c r="CT4" i="92" s="1"/>
  <c r="CW4" i="92"/>
  <c r="CX4" i="92"/>
  <c r="CY4" i="92" s="1"/>
  <c r="CR5" i="92"/>
  <c r="CS5" i="92"/>
  <c r="CT5" i="92" s="1"/>
  <c r="CW5" i="92"/>
  <c r="CX5" i="92"/>
  <c r="CY5" i="92" s="1"/>
  <c r="CR6" i="92"/>
  <c r="CS6" i="92"/>
  <c r="CT6" i="92" s="1"/>
  <c r="CW6" i="92"/>
  <c r="CX6" i="92"/>
  <c r="CY6" i="92" s="1"/>
  <c r="CR7" i="92"/>
  <c r="CS7" i="92"/>
  <c r="CT7" i="92" s="1"/>
  <c r="CW7" i="92"/>
  <c r="CX7" i="92"/>
  <c r="CY7" i="92" s="1"/>
  <c r="CR8" i="92"/>
  <c r="CS8" i="92"/>
  <c r="CT8" i="92" s="1"/>
  <c r="CW8" i="92"/>
  <c r="CX8" i="92"/>
  <c r="CY8" i="92" s="1"/>
  <c r="CR9" i="92"/>
  <c r="CS9" i="92"/>
  <c r="CT9" i="92" s="1"/>
  <c r="CW9" i="92"/>
  <c r="CX9" i="92"/>
  <c r="CY9" i="92" s="1"/>
  <c r="CR10" i="92"/>
  <c r="CS10" i="92"/>
  <c r="CT10" i="92" s="1"/>
  <c r="CW10" i="92"/>
  <c r="CX10" i="92"/>
  <c r="CY10" i="92" s="1"/>
  <c r="CR11" i="92"/>
  <c r="CS11" i="92"/>
  <c r="CT11" i="92" s="1"/>
  <c r="CW11" i="92"/>
  <c r="CX11" i="92"/>
  <c r="CY11" i="92" s="1"/>
  <c r="CR12" i="92"/>
  <c r="CS12" i="92"/>
  <c r="CT12" i="92" s="1"/>
  <c r="CW12" i="92"/>
  <c r="CX12" i="92"/>
  <c r="CY12" i="92" s="1"/>
  <c r="CR13" i="92"/>
  <c r="CS13" i="92"/>
  <c r="CT13" i="92" s="1"/>
  <c r="CW13" i="92"/>
  <c r="CX13" i="92"/>
  <c r="CY13" i="92" s="1"/>
  <c r="CR14" i="92"/>
  <c r="CS14" i="92"/>
  <c r="CT14" i="92" s="1"/>
  <c r="CW14" i="92"/>
  <c r="CX14" i="92"/>
  <c r="CY14" i="92" s="1"/>
  <c r="CR15" i="92"/>
  <c r="CS15" i="92"/>
  <c r="CT15" i="92" s="1"/>
  <c r="CW15" i="92"/>
  <c r="CX15" i="92"/>
  <c r="CY15" i="92" s="1"/>
  <c r="CR16" i="92"/>
  <c r="CS16" i="92"/>
  <c r="CT16" i="92" s="1"/>
  <c r="CW16" i="92"/>
  <c r="CX16" i="92"/>
  <c r="CY16" i="92" s="1"/>
  <c r="CR17" i="92"/>
  <c r="CS17" i="92"/>
  <c r="CT17" i="92" s="1"/>
  <c r="CW17" i="92"/>
  <c r="CX17" i="92"/>
  <c r="CY17" i="92" s="1"/>
  <c r="CR18" i="92"/>
  <c r="CS18" i="92"/>
  <c r="CT18" i="92" s="1"/>
  <c r="CW18" i="92"/>
  <c r="CX18" i="92"/>
  <c r="CY18" i="92" s="1"/>
  <c r="CR19" i="92"/>
  <c r="CS19" i="92"/>
  <c r="CT19" i="92" s="1"/>
  <c r="CW19" i="92"/>
  <c r="CX19" i="92"/>
  <c r="CY19" i="92" s="1"/>
  <c r="CR20" i="92"/>
  <c r="CS20" i="92"/>
  <c r="CT20" i="92" s="1"/>
  <c r="CW20" i="92"/>
  <c r="CX20" i="92"/>
  <c r="CY20" i="92" s="1"/>
  <c r="CR21" i="92"/>
  <c r="CS21" i="92"/>
  <c r="CT21" i="92" s="1"/>
  <c r="CW21" i="92"/>
  <c r="CX21" i="92"/>
  <c r="CY21" i="92" s="1"/>
  <c r="CR22" i="92"/>
  <c r="CS22" i="92"/>
  <c r="CT22" i="92" s="1"/>
  <c r="CW22" i="92"/>
  <c r="CX22" i="92"/>
  <c r="CY22" i="92" s="1"/>
  <c r="CR23" i="92"/>
  <c r="CS23" i="92"/>
  <c r="CT23" i="92" s="1"/>
  <c r="CW23" i="92"/>
  <c r="CX23" i="92"/>
  <c r="CY23" i="92" s="1"/>
  <c r="CR24" i="92"/>
  <c r="CS24" i="92"/>
  <c r="CT24" i="92" s="1"/>
  <c r="CW24" i="92"/>
  <c r="CX24" i="92"/>
  <c r="CY24" i="92" s="1"/>
  <c r="CR25" i="92"/>
  <c r="CS25" i="92"/>
  <c r="CT25" i="92" s="1"/>
  <c r="CW25" i="92"/>
  <c r="CX25" i="92"/>
  <c r="CY25" i="92" s="1"/>
  <c r="CR26" i="92"/>
  <c r="CS26" i="92"/>
  <c r="CT26" i="92" s="1"/>
  <c r="CW26" i="92"/>
  <c r="CX26" i="92"/>
  <c r="CY26" i="92" s="1"/>
  <c r="CR27" i="92"/>
  <c r="CS27" i="92"/>
  <c r="CT27" i="92" s="1"/>
  <c r="CW27" i="92"/>
  <c r="CX27" i="92"/>
  <c r="CY27" i="92" s="1"/>
  <c r="CR28" i="92"/>
  <c r="CS28" i="92"/>
  <c r="CT28" i="92" s="1"/>
  <c r="CW28" i="92"/>
  <c r="CX28" i="92"/>
  <c r="CY28" i="92" s="1"/>
  <c r="CR29" i="92"/>
  <c r="CS29" i="92"/>
  <c r="CT29" i="92" s="1"/>
  <c r="CW29" i="92"/>
  <c r="CX29" i="92"/>
  <c r="CY29" i="92" s="1"/>
  <c r="CR30" i="92"/>
  <c r="CS30" i="92"/>
  <c r="CT30" i="92" s="1"/>
  <c r="CW30" i="92"/>
  <c r="CX30" i="92"/>
  <c r="CY30" i="92" s="1"/>
  <c r="CR31" i="92"/>
  <c r="CS31" i="92"/>
  <c r="CT31" i="92" s="1"/>
  <c r="CW31" i="92"/>
  <c r="CX31" i="92"/>
  <c r="CY31" i="92" s="1"/>
  <c r="CR32" i="92"/>
  <c r="CS32" i="92"/>
  <c r="CT32" i="92" s="1"/>
  <c r="CW32" i="92"/>
  <c r="CX32" i="92"/>
  <c r="CY32" i="92" s="1"/>
  <c r="CR33" i="92"/>
  <c r="CS33" i="92"/>
  <c r="CT33" i="92" s="1"/>
  <c r="CW33" i="92"/>
  <c r="CX33" i="92"/>
  <c r="CY33" i="92" s="1"/>
  <c r="CR34" i="92"/>
  <c r="CS34" i="92"/>
  <c r="CT34" i="92" s="1"/>
  <c r="CW34" i="92"/>
  <c r="CX34" i="92"/>
  <c r="CY34" i="92" s="1"/>
  <c r="CR35" i="92"/>
  <c r="CS35" i="92"/>
  <c r="CT35" i="92" s="1"/>
  <c r="CW35" i="92"/>
  <c r="CX35" i="92"/>
  <c r="CY35" i="92" s="1"/>
  <c r="CR36" i="92"/>
  <c r="CS36" i="92"/>
  <c r="CT36" i="92" s="1"/>
  <c r="CW36" i="92"/>
  <c r="CX36" i="92"/>
  <c r="CY36" i="92" s="1"/>
  <c r="CR37" i="92"/>
  <c r="CS37" i="92"/>
  <c r="CT37" i="92" s="1"/>
  <c r="CW37" i="92"/>
  <c r="CX37" i="92"/>
  <c r="CY37" i="92" s="1"/>
  <c r="CR38" i="92"/>
  <c r="CS38" i="92"/>
  <c r="CT38" i="92" s="1"/>
  <c r="CW38" i="92"/>
  <c r="CX38" i="92"/>
  <c r="CY38" i="92" s="1"/>
  <c r="CR39" i="92"/>
  <c r="CS39" i="92"/>
  <c r="CT39" i="92" s="1"/>
  <c r="CW39" i="92"/>
  <c r="CX39" i="92"/>
  <c r="CY39" i="92" s="1"/>
  <c r="CR40" i="92"/>
  <c r="CS40" i="92"/>
  <c r="CT40" i="92" s="1"/>
  <c r="CW40" i="92"/>
  <c r="CX40" i="92"/>
  <c r="CY40" i="92" s="1"/>
  <c r="CR41" i="92"/>
  <c r="CS41" i="92"/>
  <c r="CT41" i="92" s="1"/>
  <c r="CW41" i="92"/>
  <c r="CX41" i="92"/>
  <c r="CY41" i="92" s="1"/>
  <c r="CR42" i="92"/>
  <c r="CS42" i="92"/>
  <c r="CT42" i="92" s="1"/>
  <c r="CW42" i="92"/>
  <c r="CX42" i="92"/>
  <c r="CY42" i="92" s="1"/>
  <c r="CR43" i="92"/>
  <c r="CS43" i="92"/>
  <c r="CT43" i="92" s="1"/>
  <c r="CW43" i="92"/>
  <c r="CX43" i="92"/>
  <c r="CY43" i="92" s="1"/>
  <c r="CR44" i="92"/>
  <c r="CS44" i="92"/>
  <c r="CT44" i="92" s="1"/>
  <c r="CW44" i="92"/>
  <c r="CX44" i="92"/>
  <c r="CY44" i="92" s="1"/>
  <c r="CR45" i="92"/>
  <c r="CS45" i="92"/>
  <c r="CT45" i="92" s="1"/>
  <c r="CW45" i="92"/>
  <c r="CX45" i="92"/>
  <c r="CY45" i="92" s="1"/>
  <c r="CR46" i="92"/>
  <c r="CS46" i="92"/>
  <c r="CT46" i="92" s="1"/>
  <c r="CW46" i="92"/>
  <c r="CX46" i="92"/>
  <c r="CY46" i="92" s="1"/>
  <c r="CR47" i="92"/>
  <c r="CS47" i="92"/>
  <c r="CT47" i="92" s="1"/>
  <c r="CW47" i="92"/>
  <c r="CX47" i="92"/>
  <c r="CY47" i="92" s="1"/>
  <c r="CR48" i="92"/>
  <c r="CS48" i="92"/>
  <c r="CT48" i="92" s="1"/>
  <c r="CW48" i="92"/>
  <c r="CX48" i="92"/>
  <c r="CY48" i="92" s="1"/>
  <c r="CR49" i="92"/>
  <c r="CS49" i="92"/>
  <c r="CT49" i="92" s="1"/>
  <c r="CW49" i="92"/>
  <c r="CX49" i="92"/>
  <c r="CY49" i="92" s="1"/>
  <c r="CR50" i="92"/>
  <c r="CS50" i="92"/>
  <c r="CT50" i="92" s="1"/>
  <c r="CW50" i="92"/>
  <c r="CX50" i="92"/>
  <c r="CY50" i="92" s="1"/>
  <c r="CR51" i="92"/>
  <c r="CS51" i="92"/>
  <c r="CT51" i="92" s="1"/>
  <c r="CW51" i="92"/>
  <c r="CX51" i="92"/>
  <c r="CY51" i="92" s="1"/>
  <c r="CR52" i="92"/>
  <c r="CS52" i="92"/>
  <c r="CT52" i="92" s="1"/>
  <c r="CW52" i="92"/>
  <c r="CX52" i="92"/>
  <c r="CY52" i="92" s="1"/>
  <c r="CR53" i="92"/>
  <c r="CS53" i="92"/>
  <c r="CT53" i="92" s="1"/>
  <c r="CW53" i="92"/>
  <c r="CX53" i="92"/>
  <c r="CY53" i="92" s="1"/>
  <c r="CR54" i="92"/>
  <c r="CS54" i="92"/>
  <c r="CT54" i="92" s="1"/>
  <c r="CW54" i="92"/>
  <c r="CX54" i="92"/>
  <c r="CY54" i="92" s="1"/>
  <c r="CR55" i="92"/>
  <c r="CS55" i="92"/>
  <c r="CT55" i="92" s="1"/>
  <c r="CW55" i="92"/>
  <c r="CX55" i="92"/>
  <c r="CY55" i="92" s="1"/>
  <c r="CR56" i="92"/>
  <c r="CS56" i="92"/>
  <c r="CT56" i="92" s="1"/>
  <c r="CW56" i="92"/>
  <c r="CX56" i="92"/>
  <c r="CY56" i="92" s="1"/>
  <c r="CR57" i="92"/>
  <c r="CS57" i="92"/>
  <c r="CT57" i="92" s="1"/>
  <c r="CW57" i="92"/>
  <c r="CX57" i="92"/>
  <c r="CY57" i="92" s="1"/>
  <c r="CR58" i="92"/>
  <c r="CS58" i="92"/>
  <c r="CT58" i="92" s="1"/>
  <c r="CW58" i="92"/>
  <c r="CX58" i="92"/>
  <c r="CY58" i="92" s="1"/>
  <c r="CR59" i="92"/>
  <c r="CS59" i="92"/>
  <c r="CT59" i="92" s="1"/>
  <c r="CW59" i="92"/>
  <c r="CX59" i="92"/>
  <c r="CY59" i="92" s="1"/>
  <c r="CR60" i="92"/>
  <c r="CS60" i="92"/>
  <c r="CT60" i="92" s="1"/>
  <c r="CW60" i="92"/>
  <c r="CX60" i="92"/>
  <c r="CY60" i="92" s="1"/>
  <c r="CR61" i="92"/>
  <c r="CS61" i="92"/>
  <c r="CT61" i="92" s="1"/>
  <c r="CW61" i="92"/>
  <c r="CX61" i="92"/>
  <c r="CY61" i="92" s="1"/>
  <c r="CR62" i="92"/>
  <c r="CS62" i="92"/>
  <c r="CT62" i="92" s="1"/>
  <c r="CW62" i="92"/>
  <c r="CX62" i="92"/>
  <c r="CY62" i="92" s="1"/>
  <c r="CR63" i="92"/>
  <c r="CS63" i="92"/>
  <c r="CT63" i="92" s="1"/>
  <c r="CW63" i="92"/>
  <c r="CX63" i="92"/>
  <c r="CY63" i="92" s="1"/>
  <c r="CR64" i="92"/>
  <c r="CS64" i="92"/>
  <c r="CT64" i="92" s="1"/>
  <c r="CW64" i="92"/>
  <c r="CX64" i="92"/>
  <c r="CY64" i="92" s="1"/>
  <c r="CR65" i="92"/>
  <c r="CS65" i="92"/>
  <c r="CT65" i="92" s="1"/>
  <c r="CW65" i="92"/>
  <c r="CX65" i="92"/>
  <c r="CY65" i="92" s="1"/>
  <c r="CR66" i="92"/>
  <c r="CS66" i="92"/>
  <c r="CT66" i="92" s="1"/>
  <c r="CW66" i="92"/>
  <c r="CX66" i="92"/>
  <c r="CY66" i="92" s="1"/>
  <c r="CR67" i="92"/>
  <c r="CS67" i="92"/>
  <c r="CT67" i="92" s="1"/>
  <c r="CW67" i="92"/>
  <c r="CX67" i="92"/>
  <c r="CY67" i="92" s="1"/>
  <c r="CR68" i="92"/>
  <c r="CS68" i="92"/>
  <c r="CT68" i="92" s="1"/>
  <c r="CW68" i="92"/>
  <c r="CX68" i="92"/>
  <c r="CY68" i="92" s="1"/>
  <c r="CR69" i="92"/>
  <c r="CS69" i="92"/>
  <c r="CT69" i="92" s="1"/>
  <c r="CW69" i="92"/>
  <c r="CX69" i="92"/>
  <c r="CY69" i="92" s="1"/>
  <c r="CR70" i="92"/>
  <c r="CS70" i="92"/>
  <c r="CT70" i="92" s="1"/>
  <c r="CW70" i="92"/>
  <c r="CX70" i="92"/>
  <c r="CY70" i="92" s="1"/>
  <c r="CR71" i="92"/>
  <c r="CS71" i="92"/>
  <c r="CT71" i="92" s="1"/>
  <c r="CW71" i="92"/>
  <c r="CX71" i="92"/>
  <c r="CY71" i="92" s="1"/>
  <c r="CR72" i="92"/>
  <c r="CS72" i="92"/>
  <c r="CT72" i="92" s="1"/>
  <c r="CW72" i="92"/>
  <c r="CX72" i="92"/>
  <c r="CY72" i="92" s="1"/>
  <c r="CR73" i="92"/>
  <c r="CS73" i="92"/>
  <c r="CT73" i="92" s="1"/>
  <c r="CW73" i="92"/>
  <c r="CX73" i="92"/>
  <c r="CY73" i="92" s="1"/>
  <c r="CR74" i="92"/>
  <c r="CS74" i="92"/>
  <c r="CT74" i="92" s="1"/>
  <c r="CW74" i="92"/>
  <c r="CX74" i="92"/>
  <c r="CY74" i="92" s="1"/>
  <c r="CR75" i="92"/>
  <c r="CS75" i="92"/>
  <c r="CT75" i="92" s="1"/>
  <c r="CW75" i="92"/>
  <c r="CX75" i="92"/>
  <c r="CY75" i="92" s="1"/>
  <c r="CR76" i="92"/>
  <c r="CS76" i="92"/>
  <c r="CT76" i="92" s="1"/>
  <c r="CW76" i="92"/>
  <c r="CX76" i="92"/>
  <c r="CY76" i="92" s="1"/>
  <c r="CR77" i="92"/>
  <c r="CS77" i="92"/>
  <c r="CT77" i="92" s="1"/>
  <c r="CW77" i="92"/>
  <c r="CX77" i="92"/>
  <c r="CY77" i="92" s="1"/>
  <c r="CR78" i="92"/>
  <c r="CS78" i="92"/>
  <c r="CT78" i="92" s="1"/>
  <c r="CW78" i="92"/>
  <c r="CX78" i="92"/>
  <c r="CY78" i="92" s="1"/>
  <c r="CR79" i="92"/>
  <c r="CS79" i="92"/>
  <c r="CT79" i="92" s="1"/>
  <c r="CW79" i="92"/>
  <c r="CX79" i="92"/>
  <c r="CY79" i="92" s="1"/>
  <c r="CR80" i="92"/>
  <c r="CS80" i="92"/>
  <c r="CT80" i="92" s="1"/>
  <c r="CW80" i="92"/>
  <c r="CX80" i="92"/>
  <c r="CY80" i="92" s="1"/>
  <c r="CR81" i="92"/>
  <c r="CS81" i="92"/>
  <c r="CT81" i="92" s="1"/>
  <c r="CW81" i="92"/>
  <c r="CX81" i="92"/>
  <c r="CY81" i="92" s="1"/>
  <c r="CR82" i="92"/>
  <c r="CS82" i="92"/>
  <c r="CT82" i="92" s="1"/>
  <c r="CW82" i="92"/>
  <c r="CX82" i="92"/>
  <c r="CY82" i="92" s="1"/>
  <c r="CR83" i="92"/>
  <c r="CS83" i="92"/>
  <c r="CT83" i="92" s="1"/>
  <c r="CW83" i="92"/>
  <c r="CX83" i="92"/>
  <c r="CY83" i="92" s="1"/>
  <c r="CR84" i="92"/>
  <c r="CS84" i="92"/>
  <c r="CT84" i="92" s="1"/>
  <c r="CW84" i="92"/>
  <c r="CX84" i="92"/>
  <c r="CY84" i="92" s="1"/>
  <c r="CR85" i="92"/>
  <c r="CS85" i="92"/>
  <c r="CT85" i="92" s="1"/>
  <c r="CW85" i="92"/>
  <c r="CX85" i="92"/>
  <c r="CY85" i="92" s="1"/>
  <c r="CR86" i="92"/>
  <c r="CS86" i="92"/>
  <c r="CT86" i="92" s="1"/>
  <c r="CW86" i="92"/>
  <c r="CX86" i="92"/>
  <c r="CY86" i="92" s="1"/>
  <c r="CR87" i="92"/>
  <c r="CS87" i="92"/>
  <c r="CT87" i="92" s="1"/>
  <c r="CW87" i="92"/>
  <c r="CX87" i="92"/>
  <c r="CY87" i="92" s="1"/>
  <c r="CR88" i="92"/>
  <c r="CS88" i="92"/>
  <c r="CT88" i="92" s="1"/>
  <c r="CW88" i="92"/>
  <c r="CX88" i="92"/>
  <c r="CY88" i="92" s="1"/>
  <c r="CR89" i="92"/>
  <c r="CS89" i="92"/>
  <c r="CT89" i="92" s="1"/>
  <c r="CW89" i="92"/>
  <c r="CX89" i="92"/>
  <c r="CY89" i="92" s="1"/>
  <c r="CR90" i="92"/>
  <c r="CS90" i="92"/>
  <c r="CT90" i="92" s="1"/>
  <c r="CW90" i="92"/>
  <c r="CX90" i="92"/>
  <c r="CY90" i="92" s="1"/>
  <c r="CR91" i="92"/>
  <c r="CS91" i="92"/>
  <c r="CT91" i="92" s="1"/>
  <c r="CW91" i="92"/>
  <c r="CX91" i="92"/>
  <c r="CY91" i="92" s="1"/>
  <c r="CR92" i="92"/>
  <c r="CS92" i="92"/>
  <c r="CT92" i="92" s="1"/>
  <c r="CW92" i="92"/>
  <c r="CX92" i="92"/>
  <c r="CY92" i="92" s="1"/>
  <c r="CR93" i="92"/>
  <c r="CS93" i="92"/>
  <c r="CT93" i="92" s="1"/>
  <c r="CW93" i="92"/>
  <c r="CX93" i="92"/>
  <c r="CY93" i="92" s="1"/>
  <c r="CR94" i="92"/>
  <c r="CS94" i="92"/>
  <c r="CT94" i="92" s="1"/>
  <c r="CW94" i="92"/>
  <c r="CX94" i="92"/>
  <c r="CY94" i="92" s="1"/>
  <c r="CR95" i="92"/>
  <c r="CS95" i="92"/>
  <c r="CT95" i="92" s="1"/>
  <c r="CW95" i="92"/>
  <c r="CX95" i="92"/>
  <c r="CY95" i="92" s="1"/>
  <c r="CR96" i="92"/>
  <c r="CS96" i="92"/>
  <c r="CT96" i="92" s="1"/>
  <c r="CW96" i="92"/>
  <c r="CX96" i="92"/>
  <c r="CY96" i="92" s="1"/>
  <c r="CR97" i="92"/>
  <c r="CS97" i="92"/>
  <c r="CT97" i="92" s="1"/>
  <c r="CW97" i="92"/>
  <c r="CX97" i="92"/>
  <c r="CY97" i="92" s="1"/>
  <c r="CR98" i="92"/>
  <c r="CS98" i="92"/>
  <c r="CT98" i="92" s="1"/>
  <c r="CW98" i="92"/>
  <c r="CX98" i="92"/>
  <c r="CY98" i="92" s="1"/>
  <c r="CR99" i="92"/>
  <c r="CS99" i="92"/>
  <c r="CT99" i="92" s="1"/>
  <c r="CW99" i="92"/>
  <c r="CX99" i="92"/>
  <c r="CY99" i="92" s="1"/>
  <c r="CR100" i="92"/>
  <c r="CS100" i="92"/>
  <c r="CT100" i="92" s="1"/>
  <c r="CW100" i="92"/>
  <c r="CX100" i="92"/>
  <c r="CY100" i="92" s="1"/>
  <c r="CR101" i="92"/>
  <c r="CS101" i="92"/>
  <c r="CT101" i="92" s="1"/>
  <c r="CW101" i="92"/>
  <c r="CX101" i="92"/>
  <c r="CY101" i="92" s="1"/>
  <c r="CR102" i="92"/>
  <c r="CS102" i="92"/>
  <c r="CT102" i="92" s="1"/>
  <c r="CW102" i="92"/>
  <c r="CX102" i="92"/>
  <c r="CY102" i="92" s="1"/>
  <c r="CR103" i="92"/>
  <c r="CS103" i="92"/>
  <c r="CT103" i="92" s="1"/>
  <c r="CW103" i="92"/>
  <c r="CX103" i="92"/>
  <c r="CY103" i="92" s="1"/>
  <c r="CR104" i="92"/>
  <c r="CS104" i="92"/>
  <c r="CT104" i="92" s="1"/>
  <c r="CW104" i="92"/>
  <c r="CX104" i="92"/>
  <c r="CY104" i="92" s="1"/>
  <c r="CR105" i="92"/>
  <c r="CS105" i="92"/>
  <c r="CT105" i="92" s="1"/>
  <c r="CW105" i="92"/>
  <c r="CX105" i="92"/>
  <c r="CY105" i="92" s="1"/>
  <c r="CR106" i="92"/>
  <c r="CS106" i="92"/>
  <c r="CT106" i="92" s="1"/>
  <c r="CW106" i="92"/>
  <c r="CX106" i="92"/>
  <c r="CY106" i="92" s="1"/>
  <c r="CR107" i="92"/>
  <c r="CS107" i="92"/>
  <c r="CT107" i="92" s="1"/>
  <c r="CW107" i="92"/>
  <c r="CX107" i="92"/>
  <c r="CY107" i="92" s="1"/>
  <c r="CR108" i="92"/>
  <c r="CS108" i="92"/>
  <c r="CT108" i="92" s="1"/>
  <c r="CW108" i="92"/>
  <c r="CX108" i="92"/>
  <c r="CY108" i="92" s="1"/>
  <c r="CR109" i="92"/>
  <c r="CS109" i="92"/>
  <c r="CT109" i="92" s="1"/>
  <c r="CW109" i="92"/>
  <c r="CX109" i="92"/>
  <c r="CY109" i="92" s="1"/>
  <c r="CR110" i="92"/>
  <c r="CS110" i="92"/>
  <c r="CT110" i="92" s="1"/>
  <c r="CW110" i="92"/>
  <c r="CX110" i="92"/>
  <c r="CY110" i="92" s="1"/>
  <c r="CR111" i="92"/>
  <c r="CS111" i="92"/>
  <c r="CT111" i="92" s="1"/>
  <c r="CW111" i="92"/>
  <c r="CX111" i="92"/>
  <c r="CY111" i="92" s="1"/>
  <c r="CR112" i="92"/>
  <c r="CS112" i="92"/>
  <c r="CT112" i="92" s="1"/>
  <c r="CW112" i="92"/>
  <c r="CX112" i="92"/>
  <c r="CY112" i="92" s="1"/>
  <c r="CR113" i="92"/>
  <c r="CS113" i="92"/>
  <c r="CT113" i="92" s="1"/>
  <c r="CW113" i="92"/>
  <c r="CX113" i="92"/>
  <c r="CY113" i="92" s="1"/>
  <c r="CR114" i="92"/>
  <c r="CS114" i="92"/>
  <c r="CT114" i="92" s="1"/>
  <c r="CW114" i="92"/>
  <c r="CX114" i="92"/>
  <c r="CY114" i="92" s="1"/>
  <c r="CR115" i="92"/>
  <c r="CS115" i="92"/>
  <c r="CT115" i="92" s="1"/>
  <c r="CW115" i="92"/>
  <c r="CX115" i="92"/>
  <c r="CY115" i="92" s="1"/>
  <c r="CR116" i="92"/>
  <c r="CS116" i="92"/>
  <c r="CT116" i="92" s="1"/>
  <c r="CW116" i="92"/>
  <c r="CX116" i="92"/>
  <c r="CY116" i="92" s="1"/>
  <c r="CR117" i="92"/>
  <c r="CS117" i="92"/>
  <c r="CT117" i="92" s="1"/>
  <c r="CW117" i="92"/>
  <c r="CX117" i="92"/>
  <c r="CY117" i="92" s="1"/>
  <c r="CR118" i="92"/>
  <c r="CS118" i="92"/>
  <c r="CT118" i="92" s="1"/>
  <c r="CW118" i="92"/>
  <c r="CX118" i="92"/>
  <c r="CY118" i="92" s="1"/>
  <c r="CR119" i="92"/>
  <c r="CS119" i="92"/>
  <c r="CT119" i="92" s="1"/>
  <c r="CW119" i="92"/>
  <c r="CX119" i="92"/>
  <c r="CY119" i="92" s="1"/>
  <c r="CR120" i="92"/>
  <c r="CS120" i="92"/>
  <c r="CT120" i="92" s="1"/>
  <c r="CW120" i="92"/>
  <c r="CX120" i="92"/>
  <c r="CY120" i="92" s="1"/>
  <c r="CR121" i="92"/>
  <c r="CS121" i="92"/>
  <c r="CT121" i="92" s="1"/>
  <c r="CW121" i="92"/>
  <c r="CX121" i="92"/>
  <c r="CY121" i="92" s="1"/>
  <c r="CR122" i="92"/>
  <c r="CS122" i="92"/>
  <c r="CT122" i="92" s="1"/>
  <c r="CW122" i="92"/>
  <c r="CX122" i="92"/>
  <c r="CY122" i="92" s="1"/>
  <c r="CR123" i="92"/>
  <c r="CS123" i="92"/>
  <c r="CT123" i="92" s="1"/>
  <c r="CW123" i="92"/>
  <c r="CX123" i="92"/>
  <c r="CY123" i="92" s="1"/>
  <c r="CR124" i="92"/>
  <c r="CS124" i="92"/>
  <c r="CT124" i="92" s="1"/>
  <c r="CW124" i="92"/>
  <c r="CX124" i="92"/>
  <c r="CY124" i="92" s="1"/>
  <c r="CR125" i="92"/>
  <c r="CS125" i="92"/>
  <c r="CT125" i="92" s="1"/>
  <c r="CW125" i="92"/>
  <c r="CX125" i="92"/>
  <c r="CY125" i="92" s="1"/>
  <c r="CR126" i="92"/>
  <c r="CS126" i="92"/>
  <c r="CT126" i="92" s="1"/>
  <c r="CW126" i="92"/>
  <c r="CX126" i="92"/>
  <c r="CY126" i="92" s="1"/>
  <c r="CR127" i="92"/>
  <c r="CS127" i="92"/>
  <c r="CT127" i="92" s="1"/>
  <c r="CW127" i="92"/>
  <c r="CX127" i="92"/>
  <c r="CY127" i="92" s="1"/>
  <c r="CR128" i="92"/>
  <c r="CS128" i="92"/>
  <c r="CT128" i="92" s="1"/>
  <c r="CW128" i="92"/>
  <c r="CX128" i="92"/>
  <c r="CY128" i="92" s="1"/>
  <c r="CR129" i="92"/>
  <c r="CS129" i="92"/>
  <c r="CT129" i="92" s="1"/>
  <c r="CW129" i="92"/>
  <c r="CX129" i="92"/>
  <c r="CY129" i="92" s="1"/>
  <c r="CR130" i="92"/>
  <c r="CS130" i="92"/>
  <c r="CT130" i="92" s="1"/>
  <c r="CW130" i="92"/>
  <c r="CX130" i="92"/>
  <c r="CY130" i="92" s="1"/>
  <c r="CR131" i="92"/>
  <c r="CS131" i="92"/>
  <c r="CT131" i="92" s="1"/>
  <c r="CW131" i="92"/>
  <c r="CX131" i="92"/>
  <c r="CY131" i="92" s="1"/>
  <c r="CR132" i="92"/>
  <c r="CS132" i="92"/>
  <c r="CT132" i="92" s="1"/>
  <c r="CW132" i="92"/>
  <c r="CX132" i="92"/>
  <c r="CY132" i="92" s="1"/>
  <c r="CR133" i="92"/>
  <c r="CS133" i="92"/>
  <c r="CT133" i="92" s="1"/>
  <c r="CW133" i="92"/>
  <c r="CX133" i="92"/>
  <c r="CY133" i="92" s="1"/>
  <c r="CR134" i="92"/>
  <c r="CS134" i="92"/>
  <c r="CT134" i="92" s="1"/>
  <c r="CW134" i="92"/>
  <c r="CX134" i="92"/>
  <c r="CY134" i="92" s="1"/>
  <c r="CR135" i="92"/>
  <c r="CS135" i="92"/>
  <c r="CT135" i="92" s="1"/>
  <c r="CW135" i="92"/>
  <c r="CX135" i="92"/>
  <c r="CY135" i="92" s="1"/>
  <c r="CR136" i="92"/>
  <c r="CS136" i="92"/>
  <c r="CT136" i="92" s="1"/>
  <c r="CW136" i="92"/>
  <c r="CX136" i="92"/>
  <c r="CY136" i="92" s="1"/>
  <c r="CR137" i="92"/>
  <c r="CS137" i="92"/>
  <c r="CT137" i="92" s="1"/>
  <c r="CW137" i="92"/>
  <c r="CX137" i="92"/>
  <c r="CY137" i="92" s="1"/>
  <c r="CR138" i="92"/>
  <c r="CS138" i="92"/>
  <c r="CT138" i="92" s="1"/>
  <c r="CW138" i="92"/>
  <c r="CX138" i="92"/>
  <c r="CY138" i="92" s="1"/>
  <c r="CR139" i="92"/>
  <c r="CS139" i="92"/>
  <c r="CT139" i="92" s="1"/>
  <c r="CW139" i="92"/>
  <c r="CX139" i="92"/>
  <c r="CY139" i="92" s="1"/>
  <c r="CR140" i="92"/>
  <c r="CS140" i="92"/>
  <c r="CT140" i="92" s="1"/>
  <c r="CW140" i="92"/>
  <c r="CX140" i="92"/>
  <c r="CY140" i="92" s="1"/>
  <c r="CR141" i="92"/>
  <c r="CS141" i="92"/>
  <c r="CT141" i="92" s="1"/>
  <c r="CW141" i="92"/>
  <c r="CX141" i="92"/>
  <c r="CY141" i="92" s="1"/>
  <c r="CR142" i="92"/>
  <c r="CS142" i="92"/>
  <c r="CT142" i="92" s="1"/>
  <c r="CW142" i="92"/>
  <c r="CX142" i="92"/>
  <c r="CY142" i="92" s="1"/>
  <c r="CR143" i="92"/>
  <c r="CS143" i="92"/>
  <c r="CT143" i="92" s="1"/>
  <c r="CW143" i="92"/>
  <c r="CX143" i="92"/>
  <c r="CY143" i="92" s="1"/>
  <c r="CR144" i="92"/>
  <c r="CS144" i="92"/>
  <c r="CT144" i="92" s="1"/>
  <c r="CW144" i="92"/>
  <c r="CX144" i="92"/>
  <c r="CY144" i="92" s="1"/>
  <c r="CR145" i="92"/>
  <c r="CS145" i="92"/>
  <c r="CT145" i="92" s="1"/>
  <c r="CW145" i="92"/>
  <c r="CX145" i="92"/>
  <c r="CY145" i="92" s="1"/>
  <c r="CR146" i="92"/>
  <c r="CS146" i="92"/>
  <c r="CT146" i="92" s="1"/>
  <c r="CW146" i="92"/>
  <c r="CX146" i="92"/>
  <c r="CY146" i="92" s="1"/>
  <c r="CR147" i="92"/>
  <c r="CS147" i="92"/>
  <c r="CT147" i="92" s="1"/>
  <c r="CW147" i="92"/>
  <c r="CX147" i="92"/>
  <c r="CY147" i="92" s="1"/>
  <c r="CR148" i="92"/>
  <c r="CS148" i="92"/>
  <c r="CT148" i="92" s="1"/>
  <c r="CW148" i="92"/>
  <c r="CX148" i="92"/>
  <c r="CY148" i="92" s="1"/>
  <c r="CR149" i="92"/>
  <c r="CS149" i="92"/>
  <c r="CT149" i="92" s="1"/>
  <c r="CW149" i="92"/>
  <c r="CX149" i="92"/>
  <c r="CY149" i="92" s="1"/>
  <c r="CR150" i="92"/>
  <c r="CS150" i="92"/>
  <c r="CT150" i="92" s="1"/>
  <c r="CW150" i="92"/>
  <c r="CX150" i="92"/>
  <c r="CY150" i="92" s="1"/>
  <c r="CR151" i="92"/>
  <c r="CS151" i="92"/>
  <c r="CT151" i="92" s="1"/>
  <c r="CW151" i="92"/>
  <c r="CX151" i="92"/>
  <c r="CY151" i="92" s="1"/>
  <c r="CR152" i="92"/>
  <c r="CS152" i="92"/>
  <c r="CT152" i="92" s="1"/>
  <c r="CW152" i="92"/>
  <c r="CX152" i="92"/>
  <c r="CY152" i="92" s="1"/>
  <c r="CR153" i="92"/>
  <c r="CS153" i="92"/>
  <c r="CT153" i="92" s="1"/>
  <c r="CW153" i="92"/>
  <c r="CX153" i="92"/>
  <c r="CY153" i="92" s="1"/>
  <c r="CR154" i="92"/>
  <c r="CS154" i="92"/>
  <c r="CT154" i="92" s="1"/>
  <c r="CW154" i="92"/>
  <c r="CX154" i="92"/>
  <c r="CY154" i="92" s="1"/>
  <c r="CR155" i="92"/>
  <c r="CS155" i="92"/>
  <c r="CT155" i="92" s="1"/>
  <c r="CW155" i="92"/>
  <c r="CX155" i="92"/>
  <c r="CY155" i="92" s="1"/>
  <c r="CR156" i="92"/>
  <c r="CS156" i="92"/>
  <c r="CT156" i="92" s="1"/>
  <c r="CW156" i="92"/>
  <c r="CX156" i="92"/>
  <c r="CY156" i="92" s="1"/>
  <c r="CR157" i="92"/>
  <c r="CS157" i="92"/>
  <c r="CT157" i="92" s="1"/>
  <c r="CW157" i="92"/>
  <c r="CX157" i="92"/>
  <c r="CY157" i="92" s="1"/>
  <c r="CR158" i="92"/>
  <c r="CS158" i="92"/>
  <c r="CT158" i="92" s="1"/>
  <c r="CW158" i="92"/>
  <c r="CX158" i="92"/>
  <c r="CY158" i="92" s="1"/>
  <c r="CR159" i="92"/>
  <c r="CS159" i="92"/>
  <c r="CT159" i="92" s="1"/>
  <c r="CW159" i="92"/>
  <c r="CX159" i="92"/>
  <c r="CY159" i="92" s="1"/>
  <c r="CR160" i="92"/>
  <c r="CS160" i="92"/>
  <c r="CT160" i="92" s="1"/>
  <c r="CW160" i="92"/>
  <c r="CX160" i="92"/>
  <c r="CY160" i="92" s="1"/>
  <c r="CR161" i="92"/>
  <c r="CS161" i="92"/>
  <c r="CT161" i="92" s="1"/>
  <c r="CW161" i="92"/>
  <c r="CX161" i="92"/>
  <c r="CY161" i="92" s="1"/>
  <c r="CR162" i="92"/>
  <c r="CS162" i="92"/>
  <c r="CT162" i="92" s="1"/>
  <c r="CW162" i="92"/>
  <c r="CX162" i="92"/>
  <c r="CY162" i="92" s="1"/>
  <c r="CR163" i="92"/>
  <c r="CS163" i="92"/>
  <c r="CT163" i="92" s="1"/>
  <c r="CW163" i="92"/>
  <c r="CX163" i="92"/>
  <c r="CY163" i="92" s="1"/>
  <c r="CR164" i="92"/>
  <c r="CS164" i="92"/>
  <c r="CT164" i="92" s="1"/>
  <c r="CW164" i="92"/>
  <c r="CX164" i="92"/>
  <c r="CY164" i="92" s="1"/>
  <c r="CR165" i="92"/>
  <c r="CS165" i="92"/>
  <c r="CT165" i="92" s="1"/>
  <c r="CW165" i="92"/>
  <c r="CX165" i="92"/>
  <c r="CY165" i="92" s="1"/>
  <c r="CR166" i="92"/>
  <c r="CS166" i="92"/>
  <c r="CT166" i="92" s="1"/>
  <c r="CW166" i="92"/>
  <c r="CX166" i="92"/>
  <c r="CY166" i="92" s="1"/>
  <c r="CR167" i="92"/>
  <c r="CS167" i="92"/>
  <c r="CT167" i="92" s="1"/>
  <c r="CW167" i="92"/>
  <c r="CX167" i="92"/>
  <c r="CY167" i="92" s="1"/>
  <c r="CR168" i="92"/>
  <c r="CS168" i="92"/>
  <c r="CT168" i="92" s="1"/>
  <c r="CW168" i="92"/>
  <c r="CX168" i="92"/>
  <c r="CY168" i="92" s="1"/>
  <c r="CR169" i="92"/>
  <c r="CS169" i="92"/>
  <c r="CT169" i="92" s="1"/>
  <c r="CW169" i="92"/>
  <c r="CX169" i="92"/>
  <c r="CY169" i="92" s="1"/>
  <c r="CR170" i="92"/>
  <c r="CS170" i="92"/>
  <c r="CT170" i="92" s="1"/>
  <c r="CW170" i="92"/>
  <c r="CX170" i="92"/>
  <c r="CY170" i="92" s="1"/>
  <c r="CR171" i="92"/>
  <c r="CS171" i="92"/>
  <c r="CT171" i="92" s="1"/>
  <c r="CW171" i="92"/>
  <c r="CX171" i="92"/>
  <c r="CY171" i="92" s="1"/>
  <c r="CR172" i="92"/>
  <c r="CS172" i="92"/>
  <c r="CT172" i="92" s="1"/>
  <c r="CW172" i="92"/>
  <c r="CX172" i="92"/>
  <c r="CY172" i="92" s="1"/>
  <c r="CR173" i="92"/>
  <c r="CS173" i="92"/>
  <c r="CT173" i="92" s="1"/>
  <c r="CW173" i="92"/>
  <c r="CX173" i="92"/>
  <c r="CY173" i="92" s="1"/>
  <c r="CR174" i="92"/>
  <c r="CS174" i="92"/>
  <c r="CT174" i="92" s="1"/>
  <c r="CW174" i="92"/>
  <c r="CX174" i="92"/>
  <c r="CY174" i="92" s="1"/>
  <c r="CR175" i="92"/>
  <c r="CS175" i="92"/>
  <c r="CT175" i="92" s="1"/>
  <c r="CW175" i="92"/>
  <c r="CX175" i="92"/>
  <c r="CY175" i="92" s="1"/>
  <c r="CR176" i="92"/>
  <c r="CS176" i="92"/>
  <c r="CT176" i="92" s="1"/>
  <c r="CW176" i="92"/>
  <c r="CX176" i="92"/>
  <c r="CY176" i="92" s="1"/>
  <c r="CR177" i="92"/>
  <c r="CS177" i="92"/>
  <c r="CT177" i="92" s="1"/>
  <c r="CW177" i="92"/>
  <c r="CX177" i="92"/>
  <c r="CY177" i="92" s="1"/>
  <c r="CR178" i="92"/>
  <c r="CS178" i="92"/>
  <c r="CT178" i="92" s="1"/>
  <c r="CW178" i="92"/>
  <c r="CX178" i="92"/>
  <c r="CY178" i="92" s="1"/>
  <c r="CR179" i="92"/>
  <c r="CS179" i="92"/>
  <c r="CT179" i="92" s="1"/>
  <c r="CW179" i="92"/>
  <c r="CX179" i="92"/>
  <c r="CY179" i="92" s="1"/>
  <c r="CR180" i="92"/>
  <c r="CS180" i="92"/>
  <c r="CT180" i="92" s="1"/>
  <c r="CW180" i="92"/>
  <c r="CX180" i="92"/>
  <c r="CY180" i="92" s="1"/>
  <c r="CR181" i="92"/>
  <c r="CS181" i="92"/>
  <c r="CT181" i="92" s="1"/>
  <c r="CW181" i="92"/>
  <c r="CX181" i="92"/>
  <c r="CY181" i="92" s="1"/>
  <c r="CR182" i="92"/>
  <c r="CS182" i="92"/>
  <c r="CT182" i="92" s="1"/>
  <c r="CW182" i="92"/>
  <c r="CX182" i="92"/>
  <c r="CY182" i="92" s="1"/>
  <c r="CR183" i="92"/>
  <c r="CS183" i="92"/>
  <c r="CT183" i="92" s="1"/>
  <c r="CW183" i="92"/>
  <c r="CX183" i="92"/>
  <c r="CY183" i="92" s="1"/>
  <c r="CR184" i="92"/>
  <c r="CS184" i="92"/>
  <c r="CT184" i="92" s="1"/>
  <c r="CW184" i="92"/>
  <c r="CX184" i="92"/>
  <c r="CY184" i="92" s="1"/>
  <c r="CR185" i="92"/>
  <c r="CS185" i="92"/>
  <c r="CT185" i="92" s="1"/>
  <c r="CW185" i="92"/>
  <c r="CX185" i="92"/>
  <c r="CY185" i="92" s="1"/>
  <c r="CR186" i="92"/>
  <c r="CS186" i="92"/>
  <c r="CT186" i="92" s="1"/>
  <c r="CW186" i="92"/>
  <c r="CX186" i="92"/>
  <c r="CY186" i="92" s="1"/>
  <c r="CR187" i="92"/>
  <c r="CS187" i="92"/>
  <c r="CT187" i="92" s="1"/>
  <c r="CW187" i="92"/>
  <c r="CX187" i="92"/>
  <c r="CY187" i="92" s="1"/>
  <c r="CR188" i="92"/>
  <c r="CS188" i="92"/>
  <c r="CT188" i="92" s="1"/>
  <c r="CW188" i="92"/>
  <c r="CX188" i="92"/>
  <c r="CY188" i="92" s="1"/>
  <c r="CR189" i="92"/>
  <c r="CS189" i="92"/>
  <c r="CT189" i="92" s="1"/>
  <c r="CW189" i="92"/>
  <c r="CX189" i="92"/>
  <c r="CY189" i="92" s="1"/>
  <c r="CR190" i="92"/>
  <c r="CS190" i="92"/>
  <c r="CT190" i="92" s="1"/>
  <c r="CW190" i="92"/>
  <c r="CX190" i="92"/>
  <c r="CY190" i="92" s="1"/>
  <c r="CR191" i="92"/>
  <c r="CS191" i="92"/>
  <c r="CT191" i="92" s="1"/>
  <c r="CW191" i="92"/>
  <c r="CX191" i="92"/>
  <c r="CY191" i="92" s="1"/>
  <c r="CR192" i="92"/>
  <c r="CS192" i="92"/>
  <c r="CT192" i="92" s="1"/>
  <c r="CW192" i="92"/>
  <c r="CX192" i="92"/>
  <c r="CY192" i="92" s="1"/>
  <c r="CR193" i="92"/>
  <c r="CS193" i="92"/>
  <c r="CT193" i="92" s="1"/>
  <c r="CW193" i="92"/>
  <c r="CX193" i="92"/>
  <c r="CY193" i="92" s="1"/>
  <c r="CR194" i="92"/>
  <c r="CS194" i="92"/>
  <c r="CT194" i="92" s="1"/>
  <c r="CW194" i="92"/>
  <c r="CX194" i="92"/>
  <c r="CY194" i="92" s="1"/>
  <c r="CR195" i="92"/>
  <c r="CS195" i="92"/>
  <c r="CT195" i="92" s="1"/>
  <c r="CW195" i="92"/>
  <c r="CX195" i="92"/>
  <c r="CY195" i="92" s="1"/>
  <c r="CR196" i="92"/>
  <c r="CS196" i="92"/>
  <c r="CT196" i="92" s="1"/>
  <c r="CW196" i="92"/>
  <c r="CX196" i="92"/>
  <c r="CY196" i="92" s="1"/>
  <c r="CR197" i="92"/>
  <c r="CS197" i="92"/>
  <c r="CT197" i="92" s="1"/>
  <c r="CW197" i="92"/>
  <c r="CX197" i="92"/>
  <c r="CY197" i="92" s="1"/>
  <c r="CR198" i="92"/>
  <c r="CS198" i="92"/>
  <c r="CT198" i="92" s="1"/>
  <c r="CW198" i="92"/>
  <c r="CX198" i="92"/>
  <c r="CY198" i="92" s="1"/>
  <c r="CR199" i="92"/>
  <c r="CS199" i="92"/>
  <c r="CT199" i="92" s="1"/>
  <c r="CW199" i="92"/>
  <c r="CX199" i="92"/>
  <c r="CY199" i="92" s="1"/>
  <c r="CR200" i="92"/>
  <c r="CS200" i="92"/>
  <c r="CT200" i="92" s="1"/>
  <c r="CW200" i="92"/>
  <c r="CX200" i="92"/>
  <c r="CY200" i="92" s="1"/>
  <c r="CR201" i="92"/>
  <c r="CS201" i="92"/>
  <c r="CT201" i="92" s="1"/>
  <c r="CW201" i="92"/>
  <c r="CX201" i="92"/>
  <c r="CY201" i="92" s="1"/>
  <c r="CR202" i="92"/>
  <c r="CS202" i="92"/>
  <c r="CT202" i="92" s="1"/>
  <c r="CW202" i="92"/>
  <c r="CX202" i="92"/>
  <c r="CY202" i="92" s="1"/>
  <c r="CR203" i="92"/>
  <c r="CS203" i="92"/>
  <c r="CT203" i="92" s="1"/>
  <c r="CW203" i="92"/>
  <c r="CX203" i="92"/>
  <c r="CY203" i="92" s="1"/>
  <c r="CR204" i="92"/>
  <c r="CS204" i="92"/>
  <c r="CT204" i="92" s="1"/>
  <c r="CW204" i="92"/>
  <c r="CX204" i="92"/>
  <c r="CY204" i="92" s="1"/>
  <c r="CR205" i="92"/>
  <c r="CS205" i="92"/>
  <c r="CT205" i="92" s="1"/>
  <c r="CW205" i="92"/>
  <c r="CX205" i="92"/>
  <c r="CY205" i="92" s="1"/>
  <c r="CR206" i="92"/>
  <c r="CS206" i="92"/>
  <c r="CT206" i="92" s="1"/>
  <c r="CW206" i="92"/>
  <c r="CX206" i="92"/>
  <c r="CY206" i="92" s="1"/>
  <c r="CR207" i="92"/>
  <c r="CS207" i="92"/>
  <c r="CT207" i="92" s="1"/>
  <c r="CW207" i="92"/>
  <c r="CX207" i="92"/>
  <c r="CY207" i="92" s="1"/>
  <c r="CR208" i="92"/>
  <c r="CS208" i="92"/>
  <c r="CT208" i="92" s="1"/>
  <c r="CW208" i="92"/>
  <c r="CX208" i="92"/>
  <c r="CY208" i="92" s="1"/>
  <c r="CR209" i="92"/>
  <c r="CS209" i="92"/>
  <c r="CT209" i="92" s="1"/>
  <c r="CW209" i="92"/>
  <c r="CX209" i="92"/>
  <c r="CY209" i="92" s="1"/>
  <c r="CR210" i="92"/>
  <c r="CS210" i="92"/>
  <c r="CT210" i="92" s="1"/>
  <c r="CW210" i="92"/>
  <c r="CX210" i="92"/>
  <c r="CY210" i="92" s="1"/>
  <c r="CR211" i="92"/>
  <c r="CS211" i="92"/>
  <c r="CT211" i="92" s="1"/>
  <c r="CW211" i="92"/>
  <c r="CX211" i="92"/>
  <c r="CY211" i="92" s="1"/>
  <c r="CR212" i="92"/>
  <c r="CS212" i="92"/>
  <c r="CT212" i="92" s="1"/>
  <c r="CW212" i="92"/>
  <c r="CX212" i="92"/>
  <c r="CY212" i="92" s="1"/>
  <c r="CR213" i="92"/>
  <c r="CS213" i="92"/>
  <c r="CT213" i="92" s="1"/>
  <c r="CW213" i="92"/>
  <c r="CX213" i="92"/>
  <c r="CY213" i="92" s="1"/>
  <c r="CR214" i="92"/>
  <c r="CS214" i="92"/>
  <c r="CT214" i="92" s="1"/>
  <c r="CW214" i="92"/>
  <c r="CX214" i="92"/>
  <c r="CY214" i="92" s="1"/>
  <c r="CR215" i="92"/>
  <c r="CS215" i="92"/>
  <c r="CT215" i="92" s="1"/>
  <c r="CW215" i="92"/>
  <c r="CX215" i="92"/>
  <c r="CY215" i="92" s="1"/>
  <c r="CR216" i="92"/>
  <c r="CS216" i="92"/>
  <c r="CT216" i="92" s="1"/>
  <c r="CW216" i="92"/>
  <c r="CX216" i="92"/>
  <c r="CY216" i="92" s="1"/>
  <c r="CR217" i="92"/>
  <c r="CS217" i="92"/>
  <c r="CT217" i="92" s="1"/>
  <c r="CW217" i="92"/>
  <c r="CX217" i="92"/>
  <c r="CY217" i="92" s="1"/>
  <c r="CR218" i="92"/>
  <c r="CS218" i="92"/>
  <c r="CT218" i="92" s="1"/>
  <c r="CW218" i="92"/>
  <c r="CX218" i="92"/>
  <c r="CY218" i="92" s="1"/>
  <c r="CR219" i="92"/>
  <c r="CS219" i="92"/>
  <c r="CT219" i="92" s="1"/>
  <c r="CW219" i="92"/>
  <c r="CX219" i="92"/>
  <c r="CY219" i="92" s="1"/>
  <c r="CR220" i="92"/>
  <c r="CS220" i="92"/>
  <c r="CT220" i="92" s="1"/>
  <c r="CW220" i="92"/>
  <c r="CX220" i="92"/>
  <c r="CY220" i="92" s="1"/>
  <c r="CR221" i="92"/>
  <c r="CS221" i="92"/>
  <c r="CT221" i="92" s="1"/>
  <c r="CW221" i="92"/>
  <c r="CX221" i="92"/>
  <c r="CY221" i="92" s="1"/>
  <c r="CR222" i="92"/>
  <c r="CS222" i="92"/>
  <c r="CT222" i="92" s="1"/>
  <c r="CW222" i="92"/>
  <c r="CX222" i="92"/>
  <c r="CY222" i="92" s="1"/>
  <c r="CR223" i="92"/>
  <c r="CS223" i="92"/>
  <c r="CT223" i="92" s="1"/>
  <c r="CW223" i="92"/>
  <c r="CX223" i="92"/>
  <c r="CY223" i="92" s="1"/>
  <c r="CR224" i="92"/>
  <c r="CS224" i="92"/>
  <c r="CT224" i="92" s="1"/>
  <c r="CW224" i="92"/>
  <c r="CX224" i="92"/>
  <c r="CY224" i="92" s="1"/>
  <c r="CR225" i="92"/>
  <c r="CS225" i="92"/>
  <c r="CT225" i="92" s="1"/>
  <c r="CW225" i="92"/>
  <c r="CX225" i="92"/>
  <c r="CY225" i="92" s="1"/>
  <c r="CR226" i="92"/>
  <c r="CS226" i="92"/>
  <c r="CT226" i="92" s="1"/>
  <c r="CW226" i="92"/>
  <c r="CX226" i="92"/>
  <c r="CY226" i="92" s="1"/>
  <c r="CR227" i="92"/>
  <c r="CS227" i="92"/>
  <c r="CT227" i="92" s="1"/>
  <c r="CW227" i="92"/>
  <c r="CX227" i="92"/>
  <c r="CY227" i="92" s="1"/>
  <c r="CR228" i="92"/>
  <c r="CS228" i="92"/>
  <c r="CT228" i="92" s="1"/>
  <c r="CW228" i="92"/>
  <c r="CX228" i="92"/>
  <c r="CY228" i="92" s="1"/>
  <c r="CR229" i="92"/>
  <c r="CS229" i="92"/>
  <c r="CT229" i="92" s="1"/>
  <c r="CW229" i="92"/>
  <c r="CX229" i="92"/>
  <c r="CY229" i="92" s="1"/>
  <c r="CR230" i="92"/>
  <c r="CS230" i="92"/>
  <c r="CT230" i="92" s="1"/>
  <c r="CW230" i="92"/>
  <c r="CX230" i="92"/>
  <c r="CY230" i="92" s="1"/>
  <c r="CR231" i="92"/>
  <c r="CS231" i="92"/>
  <c r="CT231" i="92" s="1"/>
  <c r="CW231" i="92"/>
  <c r="CX231" i="92"/>
  <c r="CY231" i="92" s="1"/>
  <c r="CR232" i="92"/>
  <c r="CS232" i="92"/>
  <c r="CT232" i="92" s="1"/>
  <c r="CW232" i="92"/>
  <c r="CX232" i="92"/>
  <c r="CY232" i="92" s="1"/>
  <c r="CR233" i="92"/>
  <c r="CS233" i="92"/>
  <c r="CT233" i="92" s="1"/>
  <c r="CW233" i="92"/>
  <c r="CX233" i="92"/>
  <c r="CY233" i="92" s="1"/>
  <c r="CR234" i="92"/>
  <c r="CS234" i="92"/>
  <c r="CT234" i="92" s="1"/>
  <c r="CW234" i="92"/>
  <c r="CX234" i="92"/>
  <c r="CY234" i="92" s="1"/>
  <c r="CR235" i="92"/>
  <c r="CS235" i="92"/>
  <c r="CT235" i="92" s="1"/>
  <c r="CW235" i="92"/>
  <c r="CX235" i="92"/>
  <c r="CY235" i="92" s="1"/>
  <c r="CR236" i="92"/>
  <c r="CS236" i="92"/>
  <c r="CT236" i="92" s="1"/>
  <c r="CW236" i="92"/>
  <c r="CX236" i="92"/>
  <c r="CY236" i="92" s="1"/>
  <c r="CR237" i="92"/>
  <c r="CS237" i="92"/>
  <c r="CT237" i="92" s="1"/>
  <c r="CW237" i="92"/>
  <c r="CX237" i="92"/>
  <c r="CY237" i="92" s="1"/>
  <c r="CR238" i="92"/>
  <c r="CS238" i="92"/>
  <c r="CT238" i="92" s="1"/>
  <c r="CW238" i="92"/>
  <c r="CX238" i="92"/>
  <c r="CY238" i="92" s="1"/>
  <c r="CR239" i="92"/>
  <c r="CS239" i="92"/>
  <c r="CT239" i="92" s="1"/>
  <c r="CW239" i="92"/>
  <c r="CX239" i="92"/>
  <c r="CY239" i="92" s="1"/>
  <c r="CR240" i="92"/>
  <c r="CS240" i="92"/>
  <c r="CT240" i="92" s="1"/>
  <c r="CW240" i="92"/>
  <c r="CX240" i="92"/>
  <c r="CY240" i="92" s="1"/>
  <c r="CR241" i="92"/>
  <c r="CS241" i="92"/>
  <c r="CT241" i="92" s="1"/>
  <c r="CW241" i="92"/>
  <c r="CX241" i="92"/>
  <c r="CY241" i="92" s="1"/>
  <c r="CR242" i="92"/>
  <c r="CS242" i="92"/>
  <c r="CT242" i="92" s="1"/>
  <c r="CW242" i="92"/>
  <c r="CX242" i="92"/>
  <c r="CY242" i="92" s="1"/>
  <c r="CR243" i="92"/>
  <c r="CS243" i="92"/>
  <c r="CT243" i="92" s="1"/>
  <c r="CW243" i="92"/>
  <c r="CX243" i="92"/>
  <c r="CY243" i="92" s="1"/>
  <c r="CR244" i="92"/>
  <c r="CS244" i="92"/>
  <c r="CT244" i="92" s="1"/>
  <c r="CW244" i="92"/>
  <c r="CX244" i="92"/>
  <c r="CY244" i="92" s="1"/>
  <c r="CR245" i="92"/>
  <c r="CS245" i="92"/>
  <c r="CT245" i="92" s="1"/>
  <c r="CW245" i="92"/>
  <c r="CX245" i="92"/>
  <c r="CY245" i="92" s="1"/>
  <c r="CR246" i="92"/>
  <c r="CS246" i="92"/>
  <c r="CT246" i="92" s="1"/>
  <c r="CW246" i="92"/>
  <c r="CX246" i="92"/>
  <c r="CY246" i="92" s="1"/>
  <c r="CR247" i="92"/>
  <c r="CS247" i="92"/>
  <c r="CT247" i="92" s="1"/>
  <c r="CW247" i="92"/>
  <c r="CX247" i="92"/>
  <c r="CY247" i="92" s="1"/>
  <c r="CR248" i="92"/>
  <c r="CS248" i="92"/>
  <c r="CT248" i="92" s="1"/>
  <c r="CW248" i="92"/>
  <c r="CX248" i="92"/>
  <c r="CY248" i="92" s="1"/>
  <c r="CR249" i="92"/>
  <c r="CS249" i="92"/>
  <c r="CT249" i="92" s="1"/>
  <c r="CW249" i="92"/>
  <c r="CX249" i="92"/>
  <c r="CY249" i="92" s="1"/>
  <c r="CR250" i="92"/>
  <c r="CS250" i="92"/>
  <c r="CT250" i="92" s="1"/>
  <c r="CW250" i="92"/>
  <c r="CX250" i="92"/>
  <c r="CY250" i="92" s="1"/>
  <c r="CR251" i="92"/>
  <c r="CS251" i="92"/>
  <c r="CT251" i="92" s="1"/>
  <c r="CW251" i="92"/>
  <c r="CX251" i="92"/>
  <c r="CY251" i="92" s="1"/>
  <c r="CR252" i="92"/>
  <c r="CS252" i="92"/>
  <c r="CT252" i="92" s="1"/>
  <c r="CW252" i="92"/>
  <c r="CX252" i="92"/>
  <c r="CY252" i="92" s="1"/>
  <c r="CR253" i="92"/>
  <c r="CS253" i="92"/>
  <c r="CT253" i="92" s="1"/>
  <c r="CW253" i="92"/>
  <c r="CX253" i="92"/>
  <c r="CY253" i="92" s="1"/>
  <c r="CR254" i="92"/>
  <c r="CS254" i="92"/>
  <c r="CT254" i="92" s="1"/>
  <c r="CW254" i="92"/>
  <c r="CX254" i="92"/>
  <c r="CY254" i="92" s="1"/>
  <c r="CR255" i="92"/>
  <c r="CS255" i="92"/>
  <c r="CT255" i="92" s="1"/>
  <c r="CW255" i="92"/>
  <c r="CX255" i="92"/>
  <c r="CY255" i="92" s="1"/>
  <c r="CR256" i="92"/>
  <c r="CS256" i="92"/>
  <c r="CT256" i="92" s="1"/>
  <c r="CW256" i="92"/>
  <c r="CX256" i="92"/>
  <c r="CY256" i="92" s="1"/>
  <c r="CR257" i="92"/>
  <c r="CS257" i="92"/>
  <c r="CT257" i="92" s="1"/>
  <c r="CW257" i="92"/>
  <c r="CX257" i="92"/>
  <c r="CY257" i="92" s="1"/>
  <c r="CR258" i="92"/>
  <c r="CS258" i="92"/>
  <c r="CT258" i="92" s="1"/>
  <c r="CW258" i="92"/>
  <c r="CX258" i="92"/>
  <c r="CY258" i="92" s="1"/>
  <c r="CR259" i="92"/>
  <c r="CS259" i="92"/>
  <c r="CT259" i="92" s="1"/>
  <c r="CW259" i="92"/>
  <c r="CX259" i="92"/>
  <c r="CY259" i="92" s="1"/>
  <c r="CR260" i="92"/>
  <c r="CS260" i="92"/>
  <c r="CT260" i="92" s="1"/>
  <c r="CW260" i="92"/>
  <c r="CX260" i="92"/>
  <c r="CY260" i="92" s="1"/>
  <c r="CR261" i="92"/>
  <c r="CS261" i="92"/>
  <c r="CT261" i="92" s="1"/>
  <c r="CW261" i="92"/>
  <c r="CX261" i="92"/>
  <c r="CY261" i="92" s="1"/>
  <c r="CR262" i="92"/>
  <c r="CS262" i="92"/>
  <c r="CT262" i="92" s="1"/>
  <c r="CW262" i="92"/>
  <c r="CX262" i="92"/>
  <c r="CY262" i="92" s="1"/>
  <c r="CR263" i="92"/>
  <c r="CS263" i="92"/>
  <c r="CT263" i="92" s="1"/>
  <c r="CW263" i="92"/>
  <c r="CX263" i="92"/>
  <c r="CY263" i="92" s="1"/>
  <c r="CR264" i="92"/>
  <c r="CS264" i="92"/>
  <c r="CT264" i="92" s="1"/>
  <c r="CW264" i="92"/>
  <c r="CX264" i="92"/>
  <c r="CY264" i="92" s="1"/>
  <c r="CR265" i="92"/>
  <c r="CS265" i="92"/>
  <c r="CT265" i="92" s="1"/>
  <c r="CW265" i="92"/>
  <c r="CX265" i="92"/>
  <c r="CY265" i="92" s="1"/>
  <c r="CR266" i="92"/>
  <c r="CS266" i="92"/>
  <c r="CT266" i="92" s="1"/>
  <c r="CW266" i="92"/>
  <c r="CX266" i="92"/>
  <c r="CY266" i="92" s="1"/>
  <c r="CR267" i="92"/>
  <c r="CS267" i="92"/>
  <c r="CT267" i="92" s="1"/>
  <c r="CW267" i="92"/>
  <c r="CX267" i="92"/>
  <c r="CY267" i="92" s="1"/>
  <c r="CR268" i="92"/>
  <c r="CS268" i="92"/>
  <c r="CT268" i="92" s="1"/>
  <c r="CW268" i="92"/>
  <c r="CX268" i="92"/>
  <c r="CY268" i="92" s="1"/>
  <c r="CR269" i="92"/>
  <c r="CS269" i="92"/>
  <c r="CT269" i="92" s="1"/>
  <c r="CW269" i="92"/>
  <c r="CX269" i="92"/>
  <c r="CY269" i="92" s="1"/>
  <c r="CR270" i="92"/>
  <c r="CS270" i="92"/>
  <c r="CT270" i="92" s="1"/>
  <c r="CW270" i="92"/>
  <c r="CX270" i="92"/>
  <c r="CY270" i="92" s="1"/>
  <c r="CR271" i="92"/>
  <c r="CS271" i="92"/>
  <c r="CT271" i="92" s="1"/>
  <c r="CW271" i="92"/>
  <c r="CX271" i="92"/>
  <c r="CY271" i="92" s="1"/>
  <c r="CR272" i="92"/>
  <c r="CS272" i="92"/>
  <c r="CT272" i="92" s="1"/>
  <c r="CW272" i="92"/>
  <c r="CX272" i="92"/>
  <c r="CY272" i="92" s="1"/>
  <c r="CR273" i="92"/>
  <c r="CS273" i="92"/>
  <c r="CT273" i="92" s="1"/>
  <c r="CW273" i="92"/>
  <c r="CX273" i="92"/>
  <c r="CY273" i="92" s="1"/>
  <c r="CR274" i="92"/>
  <c r="CS274" i="92"/>
  <c r="CT274" i="92" s="1"/>
  <c r="CW274" i="92"/>
  <c r="CX274" i="92"/>
  <c r="CY274" i="92" s="1"/>
  <c r="CR275" i="92"/>
  <c r="CS275" i="92"/>
  <c r="CT275" i="92" s="1"/>
  <c r="CW275" i="92"/>
  <c r="CX275" i="92"/>
  <c r="CY275" i="92" s="1"/>
  <c r="CR276" i="92"/>
  <c r="CS276" i="92"/>
  <c r="CT276" i="92" s="1"/>
  <c r="CW276" i="92"/>
  <c r="CX276" i="92"/>
  <c r="CY276" i="92" s="1"/>
  <c r="CR277" i="92"/>
  <c r="CS277" i="92"/>
  <c r="CT277" i="92" s="1"/>
  <c r="CW277" i="92"/>
  <c r="CX277" i="92"/>
  <c r="CY277" i="92" s="1"/>
  <c r="CR278" i="92"/>
  <c r="CS278" i="92"/>
  <c r="CT278" i="92" s="1"/>
  <c r="CW278" i="92"/>
  <c r="CX278" i="92"/>
  <c r="CY278" i="92" s="1"/>
  <c r="CR279" i="92"/>
  <c r="CS279" i="92"/>
  <c r="CT279" i="92" s="1"/>
  <c r="CW279" i="92"/>
  <c r="CX279" i="92"/>
  <c r="CY279" i="92" s="1"/>
  <c r="CR280" i="92"/>
  <c r="CS280" i="92"/>
  <c r="CT280" i="92" s="1"/>
  <c r="CW280" i="92"/>
  <c r="CX280" i="92"/>
  <c r="CY280" i="92" s="1"/>
  <c r="CR281" i="92"/>
  <c r="CS281" i="92"/>
  <c r="CT281" i="92" s="1"/>
  <c r="CW281" i="92"/>
  <c r="CX281" i="92"/>
  <c r="CY281" i="92" s="1"/>
  <c r="CR282" i="92"/>
  <c r="CS282" i="92"/>
  <c r="CT282" i="92" s="1"/>
  <c r="CW282" i="92"/>
  <c r="CX282" i="92"/>
  <c r="CY282" i="92" s="1"/>
  <c r="CR283" i="92"/>
  <c r="CS283" i="92"/>
  <c r="CT283" i="92" s="1"/>
  <c r="CW283" i="92"/>
  <c r="CX283" i="92"/>
  <c r="CY283" i="92" s="1"/>
  <c r="CR284" i="92"/>
  <c r="CS284" i="92"/>
  <c r="CT284" i="92" s="1"/>
  <c r="CW284" i="92"/>
  <c r="CX284" i="92"/>
  <c r="CY284" i="92" s="1"/>
  <c r="CR285" i="92"/>
  <c r="CS285" i="92"/>
  <c r="CT285" i="92" s="1"/>
  <c r="CW285" i="92"/>
  <c r="CX285" i="92"/>
  <c r="CY285" i="92" s="1"/>
  <c r="CR286" i="92"/>
  <c r="CS286" i="92"/>
  <c r="CT286" i="92" s="1"/>
  <c r="CW286" i="92"/>
  <c r="CX286" i="92"/>
  <c r="CY286" i="92" s="1"/>
  <c r="CR287" i="92"/>
  <c r="CS287" i="92"/>
  <c r="CT287" i="92" s="1"/>
  <c r="CW287" i="92"/>
  <c r="CX287" i="92"/>
  <c r="CY287" i="92" s="1"/>
  <c r="CR288" i="92"/>
  <c r="CS288" i="92"/>
  <c r="CT288" i="92" s="1"/>
  <c r="CW288" i="92"/>
  <c r="CX288" i="92"/>
  <c r="CY288" i="92" s="1"/>
  <c r="CR289" i="92"/>
  <c r="CS289" i="92"/>
  <c r="CT289" i="92" s="1"/>
  <c r="CW289" i="92"/>
  <c r="CX289" i="92"/>
  <c r="CY289" i="92" s="1"/>
  <c r="CR290" i="92"/>
  <c r="CS290" i="92"/>
  <c r="CT290" i="92" s="1"/>
  <c r="CW290" i="92"/>
  <c r="CX290" i="92"/>
  <c r="CY290" i="92" s="1"/>
  <c r="CR291" i="92"/>
  <c r="CS291" i="92"/>
  <c r="CT291" i="92" s="1"/>
  <c r="CW291" i="92"/>
  <c r="CX291" i="92"/>
  <c r="CY291" i="92" s="1"/>
  <c r="CR292" i="92"/>
  <c r="CS292" i="92"/>
  <c r="CT292" i="92" s="1"/>
  <c r="CW292" i="92"/>
  <c r="CX292" i="92"/>
  <c r="CY292" i="92" s="1"/>
  <c r="CR293" i="92"/>
  <c r="CS293" i="92"/>
  <c r="CT293" i="92" s="1"/>
  <c r="CW293" i="92"/>
  <c r="CX293" i="92"/>
  <c r="CY293" i="92" s="1"/>
  <c r="CR294" i="92"/>
  <c r="CS294" i="92"/>
  <c r="CT294" i="92" s="1"/>
  <c r="CW294" i="92"/>
  <c r="CX294" i="92"/>
  <c r="CY294" i="92" s="1"/>
  <c r="CR295" i="92"/>
  <c r="CS295" i="92"/>
  <c r="CT295" i="92" s="1"/>
  <c r="CW295" i="92"/>
  <c r="CX295" i="92"/>
  <c r="CY295" i="92" s="1"/>
  <c r="CR296" i="92"/>
  <c r="CS296" i="92"/>
  <c r="CT296" i="92" s="1"/>
  <c r="CW296" i="92"/>
  <c r="CX296" i="92"/>
  <c r="CY296" i="92" s="1"/>
  <c r="CR297" i="92"/>
  <c r="CS297" i="92"/>
  <c r="CT297" i="92" s="1"/>
  <c r="CW297" i="92"/>
  <c r="CX297" i="92"/>
  <c r="CY297" i="92" s="1"/>
  <c r="CR298" i="92"/>
  <c r="CS298" i="92"/>
  <c r="CT298" i="92" s="1"/>
  <c r="CW298" i="92"/>
  <c r="CX298" i="92"/>
  <c r="CY298" i="92" s="1"/>
  <c r="CR299" i="92"/>
  <c r="CS299" i="92"/>
  <c r="CT299" i="92" s="1"/>
  <c r="CW299" i="92"/>
  <c r="CX299" i="92"/>
  <c r="CY299" i="92" s="1"/>
  <c r="CR300" i="92"/>
  <c r="CS300" i="92"/>
  <c r="CT300" i="92" s="1"/>
  <c r="CW300" i="92"/>
  <c r="CX300" i="92"/>
  <c r="CY300" i="92" s="1"/>
  <c r="CR301" i="92"/>
  <c r="CS301" i="92"/>
  <c r="CT301" i="92" s="1"/>
  <c r="CW301" i="92"/>
  <c r="CX301" i="92"/>
  <c r="CY301" i="92" s="1"/>
  <c r="CR302" i="92"/>
  <c r="CS302" i="92"/>
  <c r="CT302" i="92" s="1"/>
  <c r="CW302" i="92"/>
  <c r="CX302" i="92"/>
  <c r="CY302" i="92" s="1"/>
  <c r="CR303" i="92"/>
  <c r="CS303" i="92"/>
  <c r="CT303" i="92" s="1"/>
  <c r="CW303" i="92"/>
  <c r="CX303" i="92"/>
  <c r="CY303" i="92" s="1"/>
  <c r="CR304" i="92"/>
  <c r="CS304" i="92"/>
  <c r="CT304" i="92" s="1"/>
  <c r="CW304" i="92"/>
  <c r="CX304" i="92"/>
  <c r="CY304" i="92" s="1"/>
  <c r="CR305" i="92"/>
  <c r="CS305" i="92"/>
  <c r="CT305" i="92" s="1"/>
  <c r="CW305" i="92"/>
  <c r="CX305" i="92"/>
  <c r="CY305" i="92" s="1"/>
  <c r="CR306" i="92"/>
  <c r="CS306" i="92"/>
  <c r="CT306" i="92" s="1"/>
  <c r="CW306" i="92"/>
  <c r="CX306" i="92"/>
  <c r="CY306" i="92" s="1"/>
  <c r="CR307" i="92"/>
  <c r="CS307" i="92"/>
  <c r="CT307" i="92" s="1"/>
  <c r="CW307" i="92"/>
  <c r="CX307" i="92"/>
  <c r="CY307" i="92" s="1"/>
  <c r="CR308" i="92"/>
  <c r="CS308" i="92"/>
  <c r="CT308" i="92" s="1"/>
  <c r="CW308" i="92"/>
  <c r="CX308" i="92"/>
  <c r="CY308" i="92" s="1"/>
  <c r="CR309" i="92"/>
  <c r="CS309" i="92"/>
  <c r="CT309" i="92" s="1"/>
  <c r="CW309" i="92"/>
  <c r="CX309" i="92"/>
  <c r="CY309" i="92" s="1"/>
  <c r="CR310" i="92"/>
  <c r="CS310" i="92"/>
  <c r="CT310" i="92" s="1"/>
  <c r="CW310" i="92"/>
  <c r="CX310" i="92"/>
  <c r="CY310" i="92" s="1"/>
  <c r="CR311" i="92"/>
  <c r="CS311" i="92"/>
  <c r="CT311" i="92" s="1"/>
  <c r="CW311" i="92"/>
  <c r="CX311" i="92"/>
  <c r="CY311" i="92" s="1"/>
  <c r="CR312" i="92"/>
  <c r="CS312" i="92"/>
  <c r="CT312" i="92" s="1"/>
  <c r="CW312" i="92"/>
  <c r="CX312" i="92"/>
  <c r="CY312" i="92" s="1"/>
  <c r="CR313" i="92"/>
  <c r="CS313" i="92"/>
  <c r="CT313" i="92" s="1"/>
  <c r="CW313" i="92"/>
  <c r="CX313" i="92"/>
  <c r="CY313" i="92" s="1"/>
  <c r="CR314" i="92"/>
  <c r="CS314" i="92"/>
  <c r="CT314" i="92" s="1"/>
  <c r="CW314" i="92"/>
  <c r="CX314" i="92"/>
  <c r="CY314" i="92" s="1"/>
  <c r="CR315" i="92"/>
  <c r="CS315" i="92"/>
  <c r="CT315" i="92" s="1"/>
  <c r="CW315" i="92"/>
  <c r="CX315" i="92"/>
  <c r="CY315" i="92" s="1"/>
  <c r="CR316" i="92"/>
  <c r="CS316" i="92"/>
  <c r="CT316" i="92" s="1"/>
  <c r="CW316" i="92"/>
  <c r="CX316" i="92"/>
  <c r="CY316" i="92" s="1"/>
  <c r="CR317" i="92"/>
  <c r="CS317" i="92"/>
  <c r="CT317" i="92" s="1"/>
  <c r="CW317" i="92"/>
  <c r="CX317" i="92"/>
  <c r="CY317" i="92" s="1"/>
  <c r="CR318" i="92"/>
  <c r="CS318" i="92"/>
  <c r="CT318" i="92" s="1"/>
  <c r="CW318" i="92"/>
  <c r="CX318" i="92"/>
  <c r="CY318" i="92" s="1"/>
  <c r="CR319" i="92"/>
  <c r="CS319" i="92"/>
  <c r="CT319" i="92" s="1"/>
  <c r="CW319" i="92"/>
  <c r="CX319" i="92"/>
  <c r="CY319" i="92" s="1"/>
  <c r="CR320" i="92"/>
  <c r="CS320" i="92"/>
  <c r="CT320" i="92" s="1"/>
  <c r="CW320" i="92"/>
  <c r="CX320" i="92"/>
  <c r="CY320" i="92" s="1"/>
  <c r="CR321" i="92"/>
  <c r="CS321" i="92"/>
  <c r="CT321" i="92" s="1"/>
  <c r="CW321" i="92"/>
  <c r="CX321" i="92"/>
  <c r="CY321" i="92" s="1"/>
  <c r="CR322" i="92"/>
  <c r="CS322" i="92"/>
  <c r="CT322" i="92" s="1"/>
  <c r="CW322" i="92"/>
  <c r="CX322" i="92"/>
  <c r="CY322" i="92" s="1"/>
  <c r="CR323" i="92"/>
  <c r="CS323" i="92"/>
  <c r="CT323" i="92" s="1"/>
  <c r="CW323" i="92"/>
  <c r="CX323" i="92"/>
  <c r="CY323" i="92" s="1"/>
  <c r="CR324" i="92"/>
  <c r="CS324" i="92"/>
  <c r="CT324" i="92" s="1"/>
  <c r="CW324" i="92"/>
  <c r="CX324" i="92"/>
  <c r="CY324" i="92" s="1"/>
  <c r="CR325" i="92"/>
  <c r="CS325" i="92"/>
  <c r="CT325" i="92" s="1"/>
  <c r="CW325" i="92"/>
  <c r="CX325" i="92"/>
  <c r="CY325" i="92" s="1"/>
  <c r="CR326" i="92"/>
  <c r="CS326" i="92"/>
  <c r="CT326" i="92" s="1"/>
  <c r="CW326" i="92"/>
  <c r="CX326" i="92"/>
  <c r="CY326" i="92" s="1"/>
  <c r="CR327" i="92"/>
  <c r="CS327" i="92"/>
  <c r="CT327" i="92" s="1"/>
  <c r="CW327" i="92"/>
  <c r="CX327" i="92"/>
  <c r="CY327" i="92" s="1"/>
  <c r="CR328" i="92"/>
  <c r="CS328" i="92"/>
  <c r="CT328" i="92" s="1"/>
  <c r="CW328" i="92"/>
  <c r="CX328" i="92"/>
  <c r="CY328" i="92" s="1"/>
  <c r="CR329" i="92"/>
  <c r="CS329" i="92"/>
  <c r="CT329" i="92" s="1"/>
  <c r="CW329" i="92"/>
  <c r="CX329" i="92"/>
  <c r="CY329" i="92" s="1"/>
  <c r="CR330" i="92"/>
  <c r="CS330" i="92"/>
  <c r="CT330" i="92" s="1"/>
  <c r="CW330" i="92"/>
  <c r="CX330" i="92"/>
  <c r="CY330" i="92" s="1"/>
  <c r="CR331" i="92"/>
  <c r="CS331" i="92"/>
  <c r="CT331" i="92" s="1"/>
  <c r="CW331" i="92"/>
  <c r="CX331" i="92"/>
  <c r="CY331" i="92" s="1"/>
  <c r="CR332" i="92"/>
  <c r="CS332" i="92"/>
  <c r="CT332" i="92" s="1"/>
  <c r="CW332" i="92"/>
  <c r="CX332" i="92"/>
  <c r="CY332" i="92" s="1"/>
  <c r="CR333" i="92"/>
  <c r="CS333" i="92"/>
  <c r="CT333" i="92" s="1"/>
  <c r="CW333" i="92"/>
  <c r="CX333" i="92"/>
  <c r="CY333" i="92" s="1"/>
  <c r="CR334" i="92"/>
  <c r="CS334" i="92"/>
  <c r="CT334" i="92" s="1"/>
  <c r="CW334" i="92"/>
  <c r="CX334" i="92"/>
  <c r="CY334" i="92" s="1"/>
  <c r="CR335" i="92"/>
  <c r="CS335" i="92"/>
  <c r="CT335" i="92" s="1"/>
  <c r="CW335" i="92"/>
  <c r="CX335" i="92"/>
  <c r="CY335" i="92" s="1"/>
  <c r="CR336" i="92"/>
  <c r="CS336" i="92"/>
  <c r="CT336" i="92" s="1"/>
  <c r="CW336" i="92"/>
  <c r="CX336" i="92"/>
  <c r="CY336" i="92" s="1"/>
  <c r="CR337" i="92"/>
  <c r="CS337" i="92"/>
  <c r="CT337" i="92" s="1"/>
  <c r="CW337" i="92"/>
  <c r="CX337" i="92"/>
  <c r="CY337" i="92" s="1"/>
  <c r="CR338" i="92"/>
  <c r="CS338" i="92"/>
  <c r="CT338" i="92" s="1"/>
  <c r="CW338" i="92"/>
  <c r="CX338" i="92"/>
  <c r="CY338" i="92" s="1"/>
  <c r="CR339" i="92"/>
  <c r="CS339" i="92"/>
  <c r="CT339" i="92" s="1"/>
  <c r="CW339" i="92"/>
  <c r="CX339" i="92"/>
  <c r="CY339" i="92" s="1"/>
  <c r="CR340" i="92"/>
  <c r="CS340" i="92"/>
  <c r="CT340" i="92" s="1"/>
  <c r="CW340" i="92"/>
  <c r="CX340" i="92"/>
  <c r="CY340" i="92" s="1"/>
  <c r="CR341" i="92"/>
  <c r="CS341" i="92"/>
  <c r="CT341" i="92" s="1"/>
  <c r="CW341" i="92"/>
  <c r="CX341" i="92"/>
  <c r="CY341" i="92" s="1"/>
  <c r="CR342" i="92"/>
  <c r="CS342" i="92"/>
  <c r="CT342" i="92" s="1"/>
  <c r="CW342" i="92"/>
  <c r="CX342" i="92"/>
  <c r="CY342" i="92" s="1"/>
  <c r="CR343" i="92"/>
  <c r="CS343" i="92"/>
  <c r="CT343" i="92" s="1"/>
  <c r="CW343" i="92"/>
  <c r="CX343" i="92"/>
  <c r="CY343" i="92" s="1"/>
  <c r="CR344" i="92"/>
  <c r="CS344" i="92"/>
  <c r="CT344" i="92" s="1"/>
  <c r="CW344" i="92"/>
  <c r="CX344" i="92"/>
  <c r="CY344" i="92" s="1"/>
  <c r="CR345" i="92"/>
  <c r="CS345" i="92"/>
  <c r="CT345" i="92" s="1"/>
  <c r="CW345" i="92"/>
  <c r="CX345" i="92"/>
  <c r="CY345" i="92" s="1"/>
  <c r="CR346" i="92"/>
  <c r="CS346" i="92"/>
  <c r="CT346" i="92" s="1"/>
  <c r="CW346" i="92"/>
  <c r="CX346" i="92"/>
  <c r="CY346" i="92" s="1"/>
  <c r="CR347" i="92"/>
  <c r="CS347" i="92"/>
  <c r="CT347" i="92" s="1"/>
  <c r="CW347" i="92"/>
  <c r="CX347" i="92"/>
  <c r="CY347" i="92" s="1"/>
  <c r="CR348" i="92"/>
  <c r="CS348" i="92"/>
  <c r="CT348" i="92" s="1"/>
  <c r="CW348" i="92"/>
  <c r="CX348" i="92"/>
  <c r="CY348" i="92" s="1"/>
  <c r="CR349" i="92"/>
  <c r="CS349" i="92"/>
  <c r="CT349" i="92" s="1"/>
  <c r="CW349" i="92"/>
  <c r="CX349" i="92"/>
  <c r="CY349" i="92" s="1"/>
  <c r="CR350" i="92"/>
  <c r="CS350" i="92"/>
  <c r="CT350" i="92" s="1"/>
  <c r="CW350" i="92"/>
  <c r="CX350" i="92"/>
  <c r="CY350" i="92" s="1"/>
  <c r="CR351" i="92"/>
  <c r="CS351" i="92"/>
  <c r="CT351" i="92" s="1"/>
  <c r="CW351" i="92"/>
  <c r="CX351" i="92"/>
  <c r="CY351" i="92" s="1"/>
  <c r="CR352" i="92"/>
  <c r="CS352" i="92"/>
  <c r="CT352" i="92" s="1"/>
  <c r="CW352" i="92"/>
  <c r="CX352" i="92"/>
  <c r="CY352" i="92" s="1"/>
  <c r="CR353" i="92"/>
  <c r="CS353" i="92"/>
  <c r="CT353" i="92" s="1"/>
  <c r="CW353" i="92"/>
  <c r="CX353" i="92"/>
  <c r="CY353" i="92" s="1"/>
  <c r="CR354" i="92"/>
  <c r="CS354" i="92"/>
  <c r="CT354" i="92" s="1"/>
  <c r="CW354" i="92"/>
  <c r="CX354" i="92"/>
  <c r="CY354" i="92" s="1"/>
  <c r="CR355" i="92"/>
  <c r="CS355" i="92"/>
  <c r="CT355" i="92" s="1"/>
  <c r="CW355" i="92"/>
  <c r="CX355" i="92"/>
  <c r="CY355" i="92" s="1"/>
  <c r="CR356" i="92"/>
  <c r="CS356" i="92"/>
  <c r="CT356" i="92" s="1"/>
  <c r="CW356" i="92"/>
  <c r="CX356" i="92"/>
  <c r="CY356" i="92" s="1"/>
  <c r="CR357" i="92"/>
  <c r="CS357" i="92"/>
  <c r="CT357" i="92" s="1"/>
  <c r="CW357" i="92"/>
  <c r="CX357" i="92"/>
  <c r="CY357" i="92" s="1"/>
  <c r="CR358" i="92"/>
  <c r="CS358" i="92"/>
  <c r="CT358" i="92" s="1"/>
  <c r="CW358" i="92"/>
  <c r="CX358" i="92"/>
  <c r="CY358" i="92" s="1"/>
  <c r="CR359" i="92"/>
  <c r="CS359" i="92"/>
  <c r="CT359" i="92" s="1"/>
  <c r="CW359" i="92"/>
  <c r="CX359" i="92"/>
  <c r="CY359" i="92" s="1"/>
  <c r="CR360" i="92"/>
  <c r="CS360" i="92"/>
  <c r="CT360" i="92" s="1"/>
  <c r="CW360" i="92"/>
  <c r="CX360" i="92"/>
  <c r="CY360" i="92" s="1"/>
  <c r="CR361" i="92"/>
  <c r="CS361" i="92"/>
  <c r="CT361" i="92" s="1"/>
  <c r="CW361" i="92"/>
  <c r="CX361" i="92"/>
  <c r="CY361" i="92" s="1"/>
  <c r="CR362" i="92"/>
  <c r="CS362" i="92"/>
  <c r="CT362" i="92" s="1"/>
  <c r="CW362" i="92"/>
  <c r="CX362" i="92"/>
  <c r="CY362" i="92" s="1"/>
  <c r="CR363" i="92"/>
  <c r="CS363" i="92"/>
  <c r="CT363" i="92" s="1"/>
  <c r="CW363" i="92"/>
  <c r="CX363" i="92"/>
  <c r="CY363" i="92" s="1"/>
  <c r="CR364" i="92"/>
  <c r="CS364" i="92"/>
  <c r="CT364" i="92" s="1"/>
  <c r="CW364" i="92"/>
  <c r="CX364" i="92"/>
  <c r="CY364" i="92" s="1"/>
  <c r="CR365" i="92"/>
  <c r="CS365" i="92"/>
  <c r="CT365" i="92" s="1"/>
  <c r="CW365" i="92"/>
  <c r="CX365" i="92"/>
  <c r="CY365" i="92" s="1"/>
  <c r="CR366" i="92"/>
  <c r="CS366" i="92"/>
  <c r="CT366" i="92" s="1"/>
  <c r="CW366" i="92"/>
  <c r="CX366" i="92"/>
  <c r="CY366" i="92" s="1"/>
  <c r="CR367" i="92"/>
  <c r="CS367" i="92"/>
  <c r="CT367" i="92" s="1"/>
  <c r="CW367" i="92"/>
  <c r="CX367" i="92"/>
  <c r="CY367" i="92" s="1"/>
  <c r="CR368" i="92"/>
  <c r="CS368" i="92"/>
  <c r="CT368" i="92" s="1"/>
  <c r="CW368" i="92"/>
  <c r="CX368" i="92"/>
  <c r="CY368" i="92" s="1"/>
  <c r="CR369" i="92"/>
  <c r="CS369" i="92"/>
  <c r="CT369" i="92" s="1"/>
  <c r="CW369" i="92"/>
  <c r="CX369" i="92"/>
  <c r="CY369" i="92" s="1"/>
  <c r="CR370" i="92"/>
  <c r="CS370" i="92"/>
  <c r="CT370" i="92" s="1"/>
  <c r="CW370" i="92"/>
  <c r="CX370" i="92"/>
  <c r="CY370" i="92" s="1"/>
  <c r="CR371" i="92"/>
  <c r="CS371" i="92"/>
  <c r="CT371" i="92" s="1"/>
  <c r="CW371" i="92"/>
  <c r="CX371" i="92"/>
  <c r="CY371" i="92" s="1"/>
  <c r="CR372" i="92"/>
  <c r="CS372" i="92"/>
  <c r="CT372" i="92" s="1"/>
  <c r="CW372" i="92"/>
  <c r="CX372" i="92"/>
  <c r="CY372" i="92" s="1"/>
  <c r="CR373" i="92"/>
  <c r="CS373" i="92"/>
  <c r="CT373" i="92" s="1"/>
  <c r="CW373" i="92"/>
  <c r="CX373" i="92"/>
  <c r="CY373" i="92" s="1"/>
  <c r="CR374" i="92"/>
  <c r="CS374" i="92"/>
  <c r="CT374" i="92" s="1"/>
  <c r="CW374" i="92"/>
  <c r="CX374" i="92"/>
  <c r="CY374" i="92" s="1"/>
  <c r="CR375" i="92"/>
  <c r="CS375" i="92"/>
  <c r="CT375" i="92" s="1"/>
  <c r="CW375" i="92"/>
  <c r="CX375" i="92"/>
  <c r="CY375" i="92" s="1"/>
  <c r="CR376" i="92"/>
  <c r="CS376" i="92"/>
  <c r="CT376" i="92" s="1"/>
  <c r="CW376" i="92"/>
  <c r="CX376" i="92"/>
  <c r="CY376" i="92" s="1"/>
  <c r="CR377" i="92"/>
  <c r="CS377" i="92"/>
  <c r="CT377" i="92" s="1"/>
  <c r="CW377" i="92"/>
  <c r="CX377" i="92"/>
  <c r="CY377" i="92" s="1"/>
  <c r="CR378" i="92"/>
  <c r="CS378" i="92"/>
  <c r="CT378" i="92" s="1"/>
  <c r="CW378" i="92"/>
  <c r="CX378" i="92"/>
  <c r="CY378" i="92" s="1"/>
  <c r="CR379" i="92"/>
  <c r="CS379" i="92"/>
  <c r="CT379" i="92" s="1"/>
  <c r="CW379" i="92"/>
  <c r="CX379" i="92"/>
  <c r="CY379" i="92" s="1"/>
  <c r="CR380" i="92"/>
  <c r="CS380" i="92"/>
  <c r="CT380" i="92" s="1"/>
  <c r="CW380" i="92"/>
  <c r="CX380" i="92"/>
  <c r="CY380" i="92" s="1"/>
  <c r="CR381" i="92"/>
  <c r="CS381" i="92"/>
  <c r="CT381" i="92" s="1"/>
  <c r="CW381" i="92"/>
  <c r="CX381" i="92"/>
  <c r="CY381" i="92" s="1"/>
  <c r="CR382" i="92"/>
  <c r="CS382" i="92"/>
  <c r="CT382" i="92" s="1"/>
  <c r="CW382" i="92"/>
  <c r="CX382" i="92"/>
  <c r="CY382" i="92" s="1"/>
  <c r="CR383" i="92"/>
  <c r="CS383" i="92"/>
  <c r="CT383" i="92" s="1"/>
  <c r="CW383" i="92"/>
  <c r="CX383" i="92"/>
  <c r="CY383" i="92" s="1"/>
  <c r="CR384" i="92"/>
  <c r="CS384" i="92"/>
  <c r="CT384" i="92" s="1"/>
  <c r="CW384" i="92"/>
  <c r="CX384" i="92"/>
  <c r="CY384" i="92" s="1"/>
  <c r="CR385" i="92"/>
  <c r="CS385" i="92"/>
  <c r="CT385" i="92" s="1"/>
  <c r="CW385" i="92"/>
  <c r="CX385" i="92"/>
  <c r="CY385" i="92" s="1"/>
  <c r="CR386" i="92"/>
  <c r="CS386" i="92"/>
  <c r="CT386" i="92" s="1"/>
  <c r="CW386" i="92"/>
  <c r="CX386" i="92"/>
  <c r="CY386" i="92" s="1"/>
  <c r="CR387" i="92"/>
  <c r="CS387" i="92"/>
  <c r="CT387" i="92" s="1"/>
  <c r="CW387" i="92"/>
  <c r="CX387" i="92"/>
  <c r="CY387" i="92" s="1"/>
  <c r="CR388" i="92"/>
  <c r="CS388" i="92"/>
  <c r="CT388" i="92" s="1"/>
  <c r="CW388" i="92"/>
  <c r="CX388" i="92"/>
  <c r="CY388" i="92" s="1"/>
  <c r="CR389" i="92"/>
  <c r="CS389" i="92"/>
  <c r="CT389" i="92" s="1"/>
  <c r="CW389" i="92"/>
  <c r="CX389" i="92"/>
  <c r="CY389" i="92" s="1"/>
  <c r="CR390" i="92"/>
  <c r="CS390" i="92"/>
  <c r="CT390" i="92" s="1"/>
  <c r="CW390" i="92"/>
  <c r="CX390" i="92"/>
  <c r="CY390" i="92" s="1"/>
  <c r="CR391" i="92"/>
  <c r="CS391" i="92"/>
  <c r="CT391" i="92" s="1"/>
  <c r="CW391" i="92"/>
  <c r="CX391" i="92"/>
  <c r="CY391" i="92" s="1"/>
  <c r="CR392" i="92"/>
  <c r="CS392" i="92"/>
  <c r="CT392" i="92" s="1"/>
  <c r="CW392" i="92"/>
  <c r="CX392" i="92"/>
  <c r="CY392" i="92" s="1"/>
  <c r="CR393" i="92"/>
  <c r="CS393" i="92"/>
  <c r="CT393" i="92" s="1"/>
  <c r="CW393" i="92"/>
  <c r="CX393" i="92"/>
  <c r="CY393" i="92" s="1"/>
  <c r="CR394" i="92"/>
  <c r="CS394" i="92"/>
  <c r="CT394" i="92" s="1"/>
  <c r="CW394" i="92"/>
  <c r="CX394" i="92"/>
  <c r="CY394" i="92" s="1"/>
  <c r="CR395" i="92"/>
  <c r="CS395" i="92"/>
  <c r="CT395" i="92" s="1"/>
  <c r="CW395" i="92"/>
  <c r="CX395" i="92"/>
  <c r="CY395" i="92" s="1"/>
  <c r="CR396" i="92"/>
  <c r="CS396" i="92"/>
  <c r="CT396" i="92" s="1"/>
  <c r="CW396" i="92"/>
  <c r="CX396" i="92"/>
  <c r="CY396" i="92" s="1"/>
  <c r="CR397" i="92"/>
  <c r="CS397" i="92"/>
  <c r="CT397" i="92" s="1"/>
  <c r="CW397" i="92"/>
  <c r="CX397" i="92"/>
  <c r="CY397" i="92" s="1"/>
  <c r="CR398" i="92"/>
  <c r="CS398" i="92"/>
  <c r="CT398" i="92" s="1"/>
  <c r="CW398" i="92"/>
  <c r="CX398" i="92"/>
  <c r="CY398" i="92" s="1"/>
  <c r="CR399" i="92"/>
  <c r="CS399" i="92"/>
  <c r="CT399" i="92" s="1"/>
  <c r="CW399" i="92"/>
  <c r="CX399" i="92"/>
  <c r="CY399" i="92" s="1"/>
  <c r="CR400" i="92"/>
  <c r="CS400" i="92"/>
  <c r="CT400" i="92" s="1"/>
  <c r="CW400" i="92"/>
  <c r="CX400" i="92"/>
  <c r="CY400" i="92" s="1"/>
  <c r="CR401" i="92"/>
  <c r="CS401" i="92"/>
  <c r="CT401" i="92" s="1"/>
  <c r="CR402" i="92"/>
  <c r="CS402" i="92"/>
  <c r="CT402" i="92" s="1"/>
  <c r="CR403" i="92"/>
  <c r="CS403" i="92"/>
  <c r="CT403" i="92" s="1"/>
  <c r="CR404" i="92"/>
  <c r="CS404" i="92"/>
  <c r="CT404" i="92" s="1"/>
  <c r="CR405" i="92"/>
  <c r="CS405" i="92"/>
  <c r="CT405" i="92" s="1"/>
  <c r="CR406" i="92"/>
  <c r="CS406" i="92"/>
  <c r="CT406" i="92" s="1"/>
  <c r="CR407" i="92"/>
  <c r="CS407" i="92"/>
  <c r="CT407" i="92" s="1"/>
  <c r="CR408" i="92"/>
  <c r="CS408" i="92"/>
  <c r="CT408" i="92" s="1"/>
  <c r="CR409" i="92"/>
  <c r="CS409" i="92"/>
  <c r="CT409" i="92" s="1"/>
  <c r="CR410" i="92"/>
  <c r="CS410" i="92"/>
  <c r="CT410" i="92" s="1"/>
  <c r="CR411" i="92"/>
  <c r="CS411" i="92"/>
  <c r="CT411" i="92" s="1"/>
  <c r="CR412" i="92"/>
  <c r="CS412" i="92"/>
  <c r="CT412" i="92" s="1"/>
  <c r="CR413" i="92"/>
  <c r="CS413" i="92"/>
  <c r="CT413" i="92" s="1"/>
  <c r="CR414" i="92"/>
  <c r="CS414" i="92"/>
  <c r="CT414" i="92" s="1"/>
  <c r="CR415" i="92"/>
  <c r="CS415" i="92"/>
  <c r="CT415" i="92" s="1"/>
  <c r="CR416" i="92"/>
  <c r="CS416" i="92"/>
  <c r="CT416" i="92" s="1"/>
  <c r="CR417" i="92"/>
  <c r="CS417" i="92"/>
  <c r="CT417" i="92" s="1"/>
  <c r="CR418" i="92"/>
  <c r="CS418" i="92"/>
  <c r="CT418" i="92" s="1"/>
  <c r="CR419" i="92"/>
  <c r="CS419" i="92"/>
  <c r="CT419" i="92" s="1"/>
  <c r="CR420" i="92"/>
  <c r="CS420" i="92"/>
  <c r="CT420" i="92" s="1"/>
  <c r="CR421" i="92"/>
  <c r="CS421" i="92"/>
  <c r="CT421" i="92" s="1"/>
  <c r="CR422" i="92"/>
  <c r="CS422" i="92"/>
  <c r="CT422" i="92" s="1"/>
  <c r="CR423" i="92"/>
  <c r="CS423" i="92"/>
  <c r="CT423" i="92" s="1"/>
  <c r="CR424" i="92"/>
  <c r="CS424" i="92"/>
  <c r="CT424" i="92" s="1"/>
  <c r="CR425" i="92"/>
  <c r="CS425" i="92"/>
  <c r="CT425" i="92" s="1"/>
  <c r="CR426" i="92"/>
  <c r="CS426" i="92"/>
  <c r="CT426" i="92" s="1"/>
  <c r="CR427" i="92"/>
  <c r="CS427" i="92"/>
  <c r="CT427" i="92" s="1"/>
  <c r="CR428" i="92"/>
  <c r="CS428" i="92"/>
  <c r="CT428" i="92" s="1"/>
  <c r="CR429" i="92"/>
  <c r="CS429" i="92"/>
  <c r="CT429" i="92" s="1"/>
  <c r="CR430" i="92"/>
  <c r="CS430" i="92"/>
  <c r="CT430" i="92" s="1"/>
  <c r="CR431" i="92"/>
  <c r="CS431" i="92"/>
  <c r="CT431" i="92" s="1"/>
  <c r="CR432" i="92"/>
  <c r="CS432" i="92"/>
  <c r="CT432" i="92" s="1"/>
  <c r="CR433" i="92"/>
  <c r="CS433" i="92"/>
  <c r="CT433" i="92" s="1"/>
  <c r="CR434" i="92"/>
  <c r="CS434" i="92"/>
  <c r="CT434" i="92" s="1"/>
  <c r="CR435" i="92"/>
  <c r="CS435" i="92"/>
  <c r="CT435" i="92" s="1"/>
  <c r="CR436" i="92"/>
  <c r="CS436" i="92"/>
  <c r="CT436" i="92" s="1"/>
  <c r="CR437" i="92"/>
  <c r="CS437" i="92"/>
  <c r="CT437" i="92" s="1"/>
  <c r="CR438" i="92"/>
  <c r="CS438" i="92"/>
  <c r="CT438" i="92" s="1"/>
  <c r="CR439" i="92"/>
  <c r="CS439" i="92"/>
  <c r="CT439" i="92" s="1"/>
  <c r="CR440" i="92"/>
  <c r="CS440" i="92"/>
  <c r="CT440" i="92" s="1"/>
  <c r="CR441" i="92"/>
  <c r="CS441" i="92"/>
  <c r="CT441" i="92" s="1"/>
  <c r="CR442" i="92"/>
  <c r="CS442" i="92"/>
  <c r="CT442" i="92" s="1"/>
  <c r="CR443" i="92"/>
  <c r="CS443" i="92"/>
  <c r="CT443" i="92" s="1"/>
  <c r="CR444" i="92"/>
  <c r="CS444" i="92"/>
  <c r="CT444" i="92" s="1"/>
  <c r="CR445" i="92"/>
  <c r="CS445" i="92"/>
  <c r="CT445" i="92" s="1"/>
  <c r="CR446" i="92"/>
  <c r="CS446" i="92"/>
  <c r="CT446" i="92" s="1"/>
  <c r="CR447" i="92"/>
  <c r="CS447" i="92"/>
  <c r="CT447" i="92" s="1"/>
  <c r="CR448" i="92"/>
  <c r="CS448" i="92"/>
  <c r="CT448" i="92" s="1"/>
  <c r="CR449" i="92"/>
  <c r="CS449" i="92"/>
  <c r="CT449" i="92" s="1"/>
  <c r="CR450" i="92"/>
  <c r="CS450" i="92"/>
  <c r="CT450" i="92" s="1"/>
  <c r="CR451" i="92"/>
  <c r="CS451" i="92"/>
  <c r="CT451" i="92" s="1"/>
  <c r="CR452" i="92"/>
  <c r="CS452" i="92"/>
  <c r="CT452" i="92" s="1"/>
  <c r="CR453" i="92"/>
  <c r="CS453" i="92"/>
  <c r="CT453" i="92" s="1"/>
  <c r="CR454" i="92"/>
  <c r="CS454" i="92"/>
  <c r="CT454" i="92" s="1"/>
  <c r="CR455" i="92"/>
  <c r="CS455" i="92"/>
  <c r="CT455" i="92" s="1"/>
  <c r="CR456" i="92"/>
  <c r="CS456" i="92"/>
  <c r="CT456" i="92" s="1"/>
  <c r="CR457" i="92"/>
  <c r="CS457" i="92"/>
  <c r="CT457" i="92" s="1"/>
  <c r="CR458" i="92"/>
  <c r="CS458" i="92"/>
  <c r="CT458" i="92" s="1"/>
  <c r="CR459" i="92"/>
  <c r="CS459" i="92"/>
  <c r="CT459" i="92" s="1"/>
  <c r="CR460" i="92"/>
  <c r="CS460" i="92"/>
  <c r="CT460" i="92" s="1"/>
  <c r="CR461" i="92"/>
  <c r="CS461" i="92"/>
  <c r="CT461" i="92" s="1"/>
  <c r="CR462" i="92"/>
  <c r="CS462" i="92"/>
  <c r="CT462" i="92" s="1"/>
  <c r="CR463" i="92"/>
  <c r="CS463" i="92"/>
  <c r="CT463" i="92" s="1"/>
  <c r="CR464" i="92"/>
  <c r="CS464" i="92"/>
  <c r="CT464" i="92" s="1"/>
  <c r="CR465" i="92"/>
  <c r="CS465" i="92"/>
  <c r="CT465" i="92" s="1"/>
  <c r="CR466" i="92"/>
  <c r="CS466" i="92"/>
  <c r="CT466" i="92" s="1"/>
  <c r="CR467" i="92"/>
  <c r="CS467" i="92"/>
  <c r="CT467" i="92" s="1"/>
  <c r="CR468" i="92"/>
  <c r="CS468" i="92"/>
  <c r="CT468" i="92" s="1"/>
  <c r="CR469" i="92"/>
  <c r="CS469" i="92"/>
  <c r="CT469" i="92" s="1"/>
  <c r="CR470" i="92"/>
  <c r="CS470" i="92"/>
  <c r="CT470" i="92" s="1"/>
  <c r="CR471" i="92"/>
  <c r="CS471" i="92"/>
  <c r="CT471" i="92" s="1"/>
  <c r="CR472" i="92"/>
  <c r="CS472" i="92"/>
  <c r="CT472" i="92" s="1"/>
  <c r="CR473" i="92"/>
  <c r="CS473" i="92"/>
  <c r="CT473" i="92" s="1"/>
  <c r="CR474" i="92"/>
  <c r="CS474" i="92"/>
  <c r="CT474" i="92" s="1"/>
  <c r="CR475" i="92"/>
  <c r="CS475" i="92"/>
  <c r="CT475" i="92" s="1"/>
  <c r="CR476" i="92"/>
  <c r="CS476" i="92"/>
  <c r="CT476" i="92" s="1"/>
  <c r="CR477" i="92"/>
  <c r="CS477" i="92"/>
  <c r="CT477" i="92" s="1"/>
  <c r="CR478" i="92"/>
  <c r="CS478" i="92"/>
  <c r="CT478" i="92" s="1"/>
  <c r="CR479" i="92"/>
  <c r="CS479" i="92"/>
  <c r="CT479" i="92" s="1"/>
  <c r="CR480" i="92"/>
  <c r="CS480" i="92"/>
  <c r="CT480" i="92" s="1"/>
  <c r="CR481" i="92"/>
  <c r="CS481" i="92"/>
  <c r="CT481" i="92" s="1"/>
  <c r="CR482" i="92"/>
  <c r="CS482" i="92"/>
  <c r="CT482" i="92" s="1"/>
  <c r="CR483" i="92"/>
  <c r="CS483" i="92"/>
  <c r="CT483" i="92" s="1"/>
  <c r="CR484" i="92"/>
  <c r="CS484" i="92"/>
  <c r="CT484" i="92" s="1"/>
  <c r="CR485" i="92"/>
  <c r="CS485" i="92"/>
  <c r="CT485" i="92" s="1"/>
  <c r="CR486" i="92"/>
  <c r="CS486" i="92"/>
  <c r="CT486" i="92" s="1"/>
  <c r="CR487" i="92"/>
  <c r="CS487" i="92"/>
  <c r="CT487" i="92" s="1"/>
  <c r="CR488" i="92"/>
  <c r="CS488" i="92"/>
  <c r="CT488" i="92" s="1"/>
  <c r="CR489" i="92"/>
  <c r="CS489" i="92"/>
  <c r="CT489" i="92" s="1"/>
  <c r="CR490" i="92"/>
  <c r="CS490" i="92"/>
  <c r="CT490" i="92" s="1"/>
  <c r="CR491" i="92"/>
  <c r="CS491" i="92"/>
  <c r="CT491" i="92" s="1"/>
  <c r="CR492" i="92"/>
  <c r="CS492" i="92"/>
  <c r="CT492" i="92" s="1"/>
  <c r="CR493" i="92"/>
  <c r="CS493" i="92"/>
  <c r="CT493" i="92" s="1"/>
  <c r="CR494" i="92"/>
  <c r="CS494" i="92"/>
  <c r="CT494" i="92" s="1"/>
  <c r="CR495" i="92"/>
  <c r="CS495" i="92"/>
  <c r="CT495" i="92" s="1"/>
  <c r="CR496" i="92"/>
  <c r="CS496" i="92"/>
  <c r="CT496" i="92" s="1"/>
  <c r="CR497" i="92"/>
  <c r="CS497" i="92"/>
  <c r="CT497" i="92" s="1"/>
  <c r="CR498" i="92"/>
  <c r="CS498" i="92"/>
  <c r="CT498" i="92" s="1"/>
  <c r="CR499" i="92"/>
  <c r="CS499" i="92"/>
  <c r="CT499" i="92" s="1"/>
  <c r="CR500" i="92"/>
  <c r="CS500" i="92"/>
  <c r="CT500" i="92" s="1"/>
  <c r="CR501" i="92"/>
  <c r="CS501" i="92"/>
  <c r="CT501" i="92" s="1"/>
  <c r="CR502" i="92"/>
  <c r="CS502" i="92"/>
  <c r="CT502" i="92" s="1"/>
  <c r="CR503" i="92"/>
  <c r="CS503" i="92"/>
  <c r="CT503" i="92" s="1"/>
  <c r="CR504" i="92"/>
  <c r="CS504" i="92"/>
  <c r="CT504" i="92" s="1"/>
  <c r="CR505" i="92"/>
  <c r="CS505" i="92"/>
  <c r="CT505" i="92" s="1"/>
  <c r="CR506" i="92"/>
  <c r="CS506" i="92"/>
  <c r="CT506" i="92" s="1"/>
  <c r="CR507" i="92"/>
  <c r="CS507" i="92"/>
  <c r="CT507" i="92" s="1"/>
  <c r="CR508" i="92"/>
  <c r="CS508" i="92"/>
  <c r="CT508" i="92" s="1"/>
  <c r="CR509" i="92"/>
  <c r="CS509" i="92"/>
  <c r="CT509" i="92" s="1"/>
  <c r="CR510" i="92"/>
  <c r="CS510" i="92"/>
  <c r="CT510" i="92" s="1"/>
  <c r="CR511" i="92"/>
  <c r="CS511" i="92"/>
  <c r="CT511" i="92" s="1"/>
  <c r="CR512" i="92"/>
  <c r="CS512" i="92"/>
  <c r="CT512" i="92" s="1"/>
  <c r="CR513" i="92"/>
  <c r="CS513" i="92"/>
  <c r="CT513" i="92" s="1"/>
  <c r="CR514" i="92"/>
  <c r="CS514" i="92"/>
  <c r="CT514" i="92" s="1"/>
  <c r="CR515" i="92"/>
  <c r="CS515" i="92"/>
  <c r="CT515" i="92" s="1"/>
  <c r="CR516" i="92"/>
  <c r="CS516" i="92"/>
  <c r="CT516" i="92" s="1"/>
  <c r="CR517" i="92"/>
  <c r="CS517" i="92"/>
  <c r="CT517" i="92" s="1"/>
  <c r="CR518" i="92"/>
  <c r="CS518" i="92"/>
  <c r="CT518" i="92" s="1"/>
  <c r="CR519" i="92"/>
  <c r="CS519" i="92"/>
  <c r="CT519" i="92" s="1"/>
  <c r="CR520" i="92"/>
  <c r="CS520" i="92"/>
  <c r="CT520" i="92" s="1"/>
  <c r="CR521" i="92"/>
  <c r="CS521" i="92"/>
  <c r="CT521" i="92" s="1"/>
  <c r="CR522" i="92"/>
  <c r="CS522" i="92"/>
  <c r="CT522" i="92" s="1"/>
  <c r="CR523" i="92"/>
  <c r="CS523" i="92"/>
  <c r="CT523" i="92" s="1"/>
  <c r="CR524" i="92"/>
  <c r="CS524" i="92"/>
  <c r="CT524" i="92" s="1"/>
  <c r="CR525" i="92"/>
  <c r="CS525" i="92"/>
  <c r="CT525" i="92" s="1"/>
  <c r="CR526" i="92"/>
  <c r="CS526" i="92"/>
  <c r="CT526" i="92" s="1"/>
  <c r="CR527" i="92"/>
  <c r="CS527" i="92"/>
  <c r="CT527" i="92" s="1"/>
  <c r="CR528" i="92"/>
  <c r="CS528" i="92"/>
  <c r="CT528" i="92" s="1"/>
  <c r="CR529" i="92"/>
  <c r="CS529" i="92"/>
  <c r="CT529" i="92" s="1"/>
  <c r="CR530" i="92"/>
  <c r="CS530" i="92"/>
  <c r="CT530" i="92" s="1"/>
  <c r="CR531" i="92"/>
  <c r="CS531" i="92"/>
  <c r="CT531" i="92" s="1"/>
  <c r="CR532" i="92"/>
  <c r="CS532" i="92"/>
  <c r="CT532" i="92" s="1"/>
  <c r="CR533" i="92"/>
  <c r="CS533" i="92"/>
  <c r="CT533" i="92" s="1"/>
  <c r="CR534" i="92"/>
  <c r="CS534" i="92"/>
  <c r="CT534" i="92" s="1"/>
  <c r="CR535" i="92"/>
  <c r="CS535" i="92"/>
  <c r="CT535" i="92" s="1"/>
  <c r="CR536" i="92"/>
  <c r="CS536" i="92"/>
  <c r="CT536" i="92" s="1"/>
  <c r="CR537" i="92"/>
  <c r="CS537" i="92"/>
  <c r="CT537" i="92" s="1"/>
  <c r="CR538" i="92"/>
  <c r="CS538" i="92"/>
  <c r="CT538" i="92" s="1"/>
  <c r="CR539" i="92"/>
  <c r="CS539" i="92"/>
  <c r="CT539" i="92" s="1"/>
  <c r="CR540" i="92"/>
  <c r="CS540" i="92"/>
  <c r="CT540" i="92" s="1"/>
  <c r="CR541" i="92"/>
  <c r="CS541" i="92"/>
  <c r="CT541" i="92" s="1"/>
  <c r="CR542" i="92"/>
  <c r="CS542" i="92"/>
  <c r="CT542" i="92" s="1"/>
  <c r="CR543" i="92"/>
  <c r="CS543" i="92"/>
  <c r="CT543" i="92" s="1"/>
  <c r="CR544" i="92"/>
  <c r="CS544" i="92"/>
  <c r="CT544" i="92" s="1"/>
  <c r="CR545" i="92"/>
  <c r="CS545" i="92"/>
  <c r="CT545" i="92" s="1"/>
  <c r="CR546" i="92"/>
  <c r="CS546" i="92"/>
  <c r="CT546" i="92" s="1"/>
  <c r="CR547" i="92"/>
  <c r="CS547" i="92"/>
  <c r="CT547" i="92" s="1"/>
  <c r="CR548" i="92"/>
  <c r="CS548" i="92"/>
  <c r="CT548" i="92" s="1"/>
  <c r="CR549" i="92"/>
  <c r="CS549" i="92"/>
  <c r="CT549" i="92" s="1"/>
  <c r="CR550" i="92"/>
  <c r="CS550" i="92"/>
  <c r="CT550" i="92" s="1"/>
  <c r="CR551" i="92"/>
  <c r="CS551" i="92"/>
  <c r="CT551" i="92" s="1"/>
  <c r="CR552" i="92"/>
  <c r="CS552" i="92"/>
  <c r="CT552" i="92" s="1"/>
  <c r="CR553" i="92"/>
  <c r="CS553" i="92"/>
  <c r="CT553" i="92" s="1"/>
  <c r="CR554" i="92"/>
  <c r="CS554" i="92"/>
  <c r="CT554" i="92" s="1"/>
  <c r="CR555" i="92"/>
  <c r="CS555" i="92"/>
  <c r="CT555" i="92" s="1"/>
  <c r="CR556" i="92"/>
  <c r="CS556" i="92"/>
  <c r="CT556" i="92" s="1"/>
  <c r="CR557" i="92"/>
  <c r="CS557" i="92"/>
  <c r="CT557" i="92" s="1"/>
  <c r="CR558" i="92"/>
  <c r="CS558" i="92"/>
  <c r="CT558" i="92" s="1"/>
  <c r="CR559" i="92"/>
  <c r="CS559" i="92"/>
  <c r="CT559" i="92" s="1"/>
  <c r="CR560" i="92"/>
  <c r="CS560" i="92"/>
  <c r="CT560" i="92" s="1"/>
  <c r="CR561" i="92"/>
  <c r="CS561" i="92"/>
  <c r="CT561" i="92" s="1"/>
  <c r="CR562" i="92"/>
  <c r="CS562" i="92"/>
  <c r="CT562" i="92" s="1"/>
  <c r="CR563" i="92"/>
  <c r="CS563" i="92"/>
  <c r="CT563" i="92" s="1"/>
  <c r="CR564" i="92"/>
  <c r="CS564" i="92"/>
  <c r="CT564" i="92" s="1"/>
  <c r="CR565" i="92"/>
  <c r="CS565" i="92"/>
  <c r="CT565" i="92" s="1"/>
  <c r="CR566" i="92"/>
  <c r="CS566" i="92"/>
  <c r="CT566" i="92" s="1"/>
  <c r="CR567" i="92"/>
  <c r="CS567" i="92"/>
  <c r="CT567" i="92" s="1"/>
  <c r="CR568" i="92"/>
  <c r="CS568" i="92"/>
  <c r="CT568" i="92" s="1"/>
  <c r="CR569" i="92"/>
  <c r="CS569" i="92"/>
  <c r="CT569" i="92" s="1"/>
  <c r="CR570" i="92"/>
  <c r="CS570" i="92"/>
  <c r="CT570" i="92" s="1"/>
  <c r="CR571" i="92"/>
  <c r="CS571" i="92"/>
  <c r="CT571" i="92" s="1"/>
  <c r="CR572" i="92"/>
  <c r="CS572" i="92"/>
  <c r="CT572" i="92" s="1"/>
  <c r="CR573" i="92"/>
  <c r="CS573" i="92"/>
  <c r="CT573" i="92" s="1"/>
  <c r="CR574" i="92"/>
  <c r="CS574" i="92"/>
  <c r="CT574" i="92" s="1"/>
  <c r="CR575" i="92"/>
  <c r="CS575" i="92"/>
  <c r="CT575" i="92" s="1"/>
  <c r="CR576" i="92"/>
  <c r="CS576" i="92"/>
  <c r="CT576" i="92" s="1"/>
  <c r="CR577" i="92"/>
  <c r="CS577" i="92"/>
  <c r="CT577" i="92" s="1"/>
  <c r="CR578" i="92"/>
  <c r="CS578" i="92"/>
  <c r="CT578" i="92" s="1"/>
  <c r="CR579" i="92"/>
  <c r="CS579" i="92"/>
  <c r="CT579" i="92" s="1"/>
  <c r="CR580" i="92"/>
  <c r="CS580" i="92"/>
  <c r="CT580" i="92" s="1"/>
  <c r="CR581" i="92"/>
  <c r="CS581" i="92"/>
  <c r="CT581" i="92" s="1"/>
  <c r="CR582" i="92"/>
  <c r="CS582" i="92"/>
  <c r="CT582" i="92" s="1"/>
  <c r="CR583" i="92"/>
  <c r="CS583" i="92"/>
  <c r="CT583" i="92" s="1"/>
  <c r="CR584" i="92"/>
  <c r="CS584" i="92"/>
  <c r="CT584" i="92" s="1"/>
  <c r="CR585" i="92"/>
  <c r="CS585" i="92"/>
  <c r="CT585" i="92" s="1"/>
  <c r="CR586" i="92"/>
  <c r="CS586" i="92"/>
  <c r="CT586" i="92" s="1"/>
  <c r="CR587" i="92"/>
  <c r="CS587" i="92"/>
  <c r="CT587" i="92" s="1"/>
  <c r="CR588" i="92"/>
  <c r="CS588" i="92"/>
  <c r="CT588" i="92" s="1"/>
  <c r="CR589" i="92"/>
  <c r="CS589" i="92"/>
  <c r="CT589" i="92" s="1"/>
  <c r="CR590" i="92"/>
  <c r="CS590" i="92"/>
  <c r="CT590" i="92" s="1"/>
  <c r="CR591" i="92"/>
  <c r="CS591" i="92"/>
  <c r="CT591" i="92" s="1"/>
  <c r="CR592" i="92"/>
  <c r="CS592" i="92"/>
  <c r="CT592" i="92" s="1"/>
  <c r="CR593" i="92"/>
  <c r="CS593" i="92"/>
  <c r="CT593" i="92" s="1"/>
  <c r="CR594" i="92"/>
  <c r="CS594" i="92"/>
  <c r="CT594" i="92" s="1"/>
  <c r="CR595" i="92"/>
  <c r="CS595" i="92"/>
  <c r="CT595" i="92" s="1"/>
  <c r="CR596" i="92"/>
  <c r="CS596" i="92"/>
  <c r="CT596" i="92" s="1"/>
  <c r="CR597" i="92"/>
  <c r="CS597" i="92"/>
  <c r="CT597" i="92" s="1"/>
  <c r="CR598" i="92"/>
  <c r="CS598" i="92"/>
  <c r="CT598" i="92" s="1"/>
  <c r="CR599" i="92"/>
  <c r="CS599" i="92"/>
  <c r="CT599" i="92" s="1"/>
  <c r="CR600" i="92"/>
  <c r="CS600" i="92"/>
  <c r="CT600" i="92" s="1"/>
  <c r="L1323" i="42" l="1"/>
  <c r="G1238" i="42"/>
  <c r="E1239" i="42"/>
  <c r="G1239" i="42" s="1"/>
  <c r="G1275" i="42"/>
  <c r="K1251" i="42"/>
  <c r="L1250" i="42"/>
  <c r="J1251" i="42"/>
  <c r="L1251" i="42" s="1"/>
  <c r="G1249" i="42"/>
  <c r="G1227" i="42"/>
  <c r="J1335" i="42"/>
  <c r="L1335" i="42" s="1"/>
  <c r="J1311" i="42"/>
  <c r="L1311" i="42" s="1"/>
  <c r="J1287" i="42"/>
  <c r="L1287" i="42" s="1"/>
  <c r="G1262" i="42"/>
  <c r="E1263" i="42"/>
  <c r="G1263" i="42" s="1"/>
  <c r="G1214" i="42"/>
  <c r="E1215" i="42"/>
  <c r="G1215" i="42" s="1"/>
  <c r="G1190" i="42"/>
  <c r="E1191" i="42"/>
  <c r="G1191" i="42" s="1"/>
  <c r="E1347" i="42"/>
  <c r="G1347" i="42" s="1"/>
  <c r="E1323" i="42"/>
  <c r="G1323" i="42" s="1"/>
  <c r="E1299" i="42"/>
  <c r="G1299" i="42" s="1"/>
  <c r="K1275" i="42"/>
  <c r="L1274" i="42"/>
  <c r="J1275" i="42"/>
  <c r="G1273" i="42"/>
  <c r="E1251" i="42"/>
  <c r="G1251" i="42" s="1"/>
  <c r="K1227" i="42"/>
  <c r="L1226" i="42"/>
  <c r="J1227" i="42"/>
  <c r="L1227" i="42" s="1"/>
  <c r="G1225" i="42"/>
  <c r="E1203" i="42"/>
  <c r="G1203" i="42" s="1"/>
  <c r="K1191" i="42"/>
  <c r="L1191" i="42" s="1"/>
  <c r="L1190" i="42"/>
  <c r="L1166" i="42"/>
  <c r="L1142" i="42"/>
  <c r="L1118" i="42"/>
  <c r="L1094" i="42"/>
  <c r="L1070" i="42"/>
  <c r="L1046" i="42"/>
  <c r="L1022" i="42"/>
  <c r="L998" i="42"/>
  <c r="L974" i="42"/>
  <c r="L950" i="42"/>
  <c r="L926" i="42"/>
  <c r="L902" i="42"/>
  <c r="L878" i="42"/>
  <c r="L854" i="42"/>
  <c r="L830" i="42"/>
  <c r="L806" i="42"/>
  <c r="L782" i="42"/>
  <c r="L758" i="42"/>
  <c r="L734" i="42"/>
  <c r="L710" i="42"/>
  <c r="L686" i="42"/>
  <c r="L662" i="42"/>
  <c r="L638" i="42"/>
  <c r="L614" i="42"/>
  <c r="L590" i="42"/>
  <c r="L566" i="42"/>
  <c r="L542" i="42"/>
  <c r="L518" i="42"/>
  <c r="G483" i="42"/>
  <c r="G459" i="42"/>
  <c r="G446" i="42"/>
  <c r="E447" i="42"/>
  <c r="G447" i="42" s="1"/>
  <c r="L435" i="42"/>
  <c r="G494" i="42"/>
  <c r="E495" i="42"/>
  <c r="G495" i="42" s="1"/>
  <c r="J1203" i="42"/>
  <c r="L1203" i="42" s="1"/>
  <c r="J1179" i="42"/>
  <c r="L1179" i="42" s="1"/>
  <c r="J1155" i="42"/>
  <c r="L1155" i="42" s="1"/>
  <c r="J1131" i="42"/>
  <c r="L1131" i="42" s="1"/>
  <c r="J1107" i="42"/>
  <c r="L1107" i="42" s="1"/>
  <c r="J1083" i="42"/>
  <c r="L1083" i="42" s="1"/>
  <c r="J1059" i="42"/>
  <c r="L1059" i="42" s="1"/>
  <c r="J1035" i="42"/>
  <c r="L1035" i="42" s="1"/>
  <c r="J1011" i="42"/>
  <c r="L1011" i="42" s="1"/>
  <c r="J987" i="42"/>
  <c r="L987" i="42" s="1"/>
  <c r="J963" i="42"/>
  <c r="L963" i="42" s="1"/>
  <c r="J939" i="42"/>
  <c r="L939" i="42" s="1"/>
  <c r="J915" i="42"/>
  <c r="L915" i="42" s="1"/>
  <c r="J891" i="42"/>
  <c r="L891" i="42" s="1"/>
  <c r="J867" i="42"/>
  <c r="L867" i="42" s="1"/>
  <c r="J843" i="42"/>
  <c r="L843" i="42" s="1"/>
  <c r="J819" i="42"/>
  <c r="L819" i="42" s="1"/>
  <c r="J795" i="42"/>
  <c r="L795" i="42" s="1"/>
  <c r="J771" i="42"/>
  <c r="L771" i="42" s="1"/>
  <c r="J747" i="42"/>
  <c r="L747" i="42" s="1"/>
  <c r="J723" i="42"/>
  <c r="L723" i="42" s="1"/>
  <c r="J699" i="42"/>
  <c r="L699" i="42" s="1"/>
  <c r="J675" i="42"/>
  <c r="L675" i="42" s="1"/>
  <c r="J651" i="42"/>
  <c r="L651" i="42" s="1"/>
  <c r="J627" i="42"/>
  <c r="L627" i="42" s="1"/>
  <c r="J603" i="42"/>
  <c r="L603" i="42" s="1"/>
  <c r="J579" i="42"/>
  <c r="L579" i="42" s="1"/>
  <c r="J555" i="42"/>
  <c r="L555" i="42" s="1"/>
  <c r="J531" i="42"/>
  <c r="L531" i="42" s="1"/>
  <c r="J507" i="42"/>
  <c r="L507" i="42" s="1"/>
  <c r="J495" i="42"/>
  <c r="L495" i="42" s="1"/>
  <c r="J483" i="42"/>
  <c r="L483" i="42" s="1"/>
  <c r="L446" i="42"/>
  <c r="E1167" i="42"/>
  <c r="G1167" i="42" s="1"/>
  <c r="E1143" i="42"/>
  <c r="G1143" i="42" s="1"/>
  <c r="E1119" i="42"/>
  <c r="G1119" i="42" s="1"/>
  <c r="E1095" i="42"/>
  <c r="G1095" i="42" s="1"/>
  <c r="E1071" i="42"/>
  <c r="G1071" i="42" s="1"/>
  <c r="E1047" i="42"/>
  <c r="G1047" i="42" s="1"/>
  <c r="E1023" i="42"/>
  <c r="G1023" i="42" s="1"/>
  <c r="E999" i="42"/>
  <c r="G999" i="42" s="1"/>
  <c r="E975" i="42"/>
  <c r="G975" i="42" s="1"/>
  <c r="E951" i="42"/>
  <c r="G951" i="42" s="1"/>
  <c r="E927" i="42"/>
  <c r="G927" i="42" s="1"/>
  <c r="E903" i="42"/>
  <c r="G903" i="42" s="1"/>
  <c r="E879" i="42"/>
  <c r="G879" i="42" s="1"/>
  <c r="E855" i="42"/>
  <c r="G855" i="42" s="1"/>
  <c r="E831" i="42"/>
  <c r="G831" i="42" s="1"/>
  <c r="E807" i="42"/>
  <c r="G807" i="42" s="1"/>
  <c r="E783" i="42"/>
  <c r="G783" i="42" s="1"/>
  <c r="E759" i="42"/>
  <c r="G759" i="42" s="1"/>
  <c r="E735" i="42"/>
  <c r="G735" i="42" s="1"/>
  <c r="E711" i="42"/>
  <c r="G711" i="42" s="1"/>
  <c r="E687" i="42"/>
  <c r="G687" i="42" s="1"/>
  <c r="E663" i="42"/>
  <c r="G663" i="42" s="1"/>
  <c r="E639" i="42"/>
  <c r="G639" i="42" s="1"/>
  <c r="E615" i="42"/>
  <c r="G615" i="42" s="1"/>
  <c r="E591" i="42"/>
  <c r="G591" i="42" s="1"/>
  <c r="E567" i="42"/>
  <c r="G567" i="42" s="1"/>
  <c r="E543" i="42"/>
  <c r="G543" i="42" s="1"/>
  <c r="E519" i="42"/>
  <c r="G519" i="42" s="1"/>
  <c r="G481" i="42"/>
  <c r="F471" i="42"/>
  <c r="G470" i="42"/>
  <c r="E471" i="42"/>
  <c r="G471" i="42" s="1"/>
  <c r="L459" i="42"/>
  <c r="E423" i="42"/>
  <c r="G423" i="42" s="1"/>
  <c r="E399" i="42"/>
  <c r="G399" i="42" s="1"/>
  <c r="E375" i="42"/>
  <c r="G375" i="42" s="1"/>
  <c r="E351" i="42"/>
  <c r="G351" i="42" s="1"/>
  <c r="E327" i="42"/>
  <c r="G327" i="42" s="1"/>
  <c r="E303" i="42"/>
  <c r="G303" i="42" s="1"/>
  <c r="E279" i="42"/>
  <c r="G279" i="42" s="1"/>
  <c r="E255" i="42"/>
  <c r="G255" i="42" s="1"/>
  <c r="E231" i="42"/>
  <c r="G231" i="42" s="1"/>
  <c r="E207" i="42"/>
  <c r="G207" i="42" s="1"/>
  <c r="E183" i="42"/>
  <c r="G183" i="42" s="1"/>
  <c r="E159" i="42"/>
  <c r="G159" i="42" s="1"/>
  <c r="E1335" i="41"/>
  <c r="G1335" i="41" s="1"/>
  <c r="E1311" i="41"/>
  <c r="G1311" i="41" s="1"/>
  <c r="G1286" i="41"/>
  <c r="E1275" i="41"/>
  <c r="G1275" i="41" s="1"/>
  <c r="L1273" i="41"/>
  <c r="L1238" i="41"/>
  <c r="J447" i="42"/>
  <c r="L447" i="42" s="1"/>
  <c r="J423" i="42"/>
  <c r="L423" i="42" s="1"/>
  <c r="J399" i="42"/>
  <c r="L399" i="42" s="1"/>
  <c r="J375" i="42"/>
  <c r="L375" i="42" s="1"/>
  <c r="J351" i="42"/>
  <c r="L351" i="42" s="1"/>
  <c r="J327" i="42"/>
  <c r="L327" i="42" s="1"/>
  <c r="J303" i="42"/>
  <c r="L303" i="42" s="1"/>
  <c r="J279" i="42"/>
  <c r="L279" i="42" s="1"/>
  <c r="J255" i="42"/>
  <c r="L255" i="42" s="1"/>
  <c r="J231" i="42"/>
  <c r="L231" i="42" s="1"/>
  <c r="J207" i="42"/>
  <c r="L207" i="42" s="1"/>
  <c r="J183" i="42"/>
  <c r="L183" i="42" s="1"/>
  <c r="J159" i="42"/>
  <c r="L159" i="42" s="1"/>
  <c r="J1335" i="41"/>
  <c r="L1335" i="41" s="1"/>
  <c r="J1311" i="41"/>
  <c r="L1311" i="41" s="1"/>
  <c r="E1299" i="41"/>
  <c r="G1299" i="41" s="1"/>
  <c r="G1262" i="41"/>
  <c r="E1263" i="41"/>
  <c r="G1263" i="41" s="1"/>
  <c r="L1251" i="41"/>
  <c r="L1275" i="41"/>
  <c r="G1251" i="41"/>
  <c r="G1238" i="41"/>
  <c r="E1239" i="41"/>
  <c r="G1239" i="41" s="1"/>
  <c r="L1286" i="41"/>
  <c r="J1287" i="41"/>
  <c r="L1287" i="41" s="1"/>
  <c r="L1262" i="41"/>
  <c r="J1263" i="41"/>
  <c r="L1263" i="41" s="1"/>
  <c r="L878" i="41"/>
  <c r="J879" i="41"/>
  <c r="L879" i="41" s="1"/>
  <c r="J915" i="41"/>
  <c r="L915" i="41" s="1"/>
  <c r="L890" i="41"/>
  <c r="G890" i="41"/>
  <c r="E891" i="41"/>
  <c r="G891" i="41" s="1"/>
  <c r="L867" i="41"/>
  <c r="E1215" i="41"/>
  <c r="G1215" i="41" s="1"/>
  <c r="E1191" i="41"/>
  <c r="G1191" i="41" s="1"/>
  <c r="E1167" i="41"/>
  <c r="G1167" i="41" s="1"/>
  <c r="E1143" i="41"/>
  <c r="G1143" i="41" s="1"/>
  <c r="E1119" i="41"/>
  <c r="G1119" i="41" s="1"/>
  <c r="E1095" i="41"/>
  <c r="G1095" i="41" s="1"/>
  <c r="E1071" i="41"/>
  <c r="G1071" i="41" s="1"/>
  <c r="E1047" i="41"/>
  <c r="G1047" i="41" s="1"/>
  <c r="E1023" i="41"/>
  <c r="G1023" i="41" s="1"/>
  <c r="E999" i="41"/>
  <c r="G999" i="41" s="1"/>
  <c r="E975" i="41"/>
  <c r="G975" i="41" s="1"/>
  <c r="E951" i="41"/>
  <c r="G951" i="41" s="1"/>
  <c r="E927" i="41"/>
  <c r="G927" i="41" s="1"/>
  <c r="L902" i="41"/>
  <c r="J903" i="41"/>
  <c r="L903" i="41" s="1"/>
  <c r="E879" i="41"/>
  <c r="G879" i="41" s="1"/>
  <c r="G866" i="41"/>
  <c r="E867" i="41"/>
  <c r="G867" i="41" s="1"/>
  <c r="L675" i="41"/>
  <c r="J1239" i="41"/>
  <c r="L1239" i="41" s="1"/>
  <c r="J1215" i="41"/>
  <c r="L1215" i="41" s="1"/>
  <c r="J1191" i="41"/>
  <c r="L1191" i="41" s="1"/>
  <c r="J1167" i="41"/>
  <c r="L1167" i="41" s="1"/>
  <c r="J1143" i="41"/>
  <c r="L1143" i="41" s="1"/>
  <c r="J1119" i="41"/>
  <c r="L1119" i="41" s="1"/>
  <c r="J1095" i="41"/>
  <c r="L1095" i="41" s="1"/>
  <c r="J1071" i="41"/>
  <c r="L1071" i="41" s="1"/>
  <c r="J1047" i="41"/>
  <c r="L1047" i="41" s="1"/>
  <c r="J1023" i="41"/>
  <c r="L1023" i="41" s="1"/>
  <c r="J999" i="41"/>
  <c r="L999" i="41" s="1"/>
  <c r="J975" i="41"/>
  <c r="L975" i="41" s="1"/>
  <c r="J951" i="41"/>
  <c r="L951" i="41" s="1"/>
  <c r="J927" i="41"/>
  <c r="L927" i="41" s="1"/>
  <c r="L891" i="41"/>
  <c r="L866" i="41"/>
  <c r="K867" i="41"/>
  <c r="K843" i="41"/>
  <c r="L843" i="41" s="1"/>
  <c r="E843" i="41"/>
  <c r="G843" i="41" s="1"/>
  <c r="K819" i="41"/>
  <c r="L819" i="41" s="1"/>
  <c r="E819" i="41"/>
  <c r="G819" i="41" s="1"/>
  <c r="K795" i="41"/>
  <c r="L795" i="41" s="1"/>
  <c r="E795" i="41"/>
  <c r="G795" i="41" s="1"/>
  <c r="K771" i="41"/>
  <c r="L771" i="41" s="1"/>
  <c r="E771" i="41"/>
  <c r="G771" i="41" s="1"/>
  <c r="K747" i="41"/>
  <c r="L747" i="41" s="1"/>
  <c r="E747" i="41"/>
  <c r="G747" i="41" s="1"/>
  <c r="K723" i="41"/>
  <c r="L723" i="41" s="1"/>
  <c r="E723" i="41"/>
  <c r="G723" i="41" s="1"/>
  <c r="K699" i="41"/>
  <c r="L699" i="41" s="1"/>
  <c r="E699" i="41"/>
  <c r="G699" i="41" s="1"/>
  <c r="K675" i="41"/>
  <c r="E675" i="41"/>
  <c r="G675" i="41" s="1"/>
  <c r="K651" i="41"/>
  <c r="L651" i="41" s="1"/>
  <c r="E651" i="41"/>
  <c r="G651" i="41" s="1"/>
  <c r="K627" i="41"/>
  <c r="L627" i="41" s="1"/>
  <c r="E627" i="41"/>
  <c r="G627" i="41" s="1"/>
  <c r="K603" i="41"/>
  <c r="L603" i="41" s="1"/>
  <c r="E603" i="41"/>
  <c r="G603" i="41" s="1"/>
  <c r="K579" i="41"/>
  <c r="L579" i="41" s="1"/>
  <c r="E579" i="41"/>
  <c r="G579" i="41" s="1"/>
  <c r="G554" i="41"/>
  <c r="E555" i="41"/>
  <c r="G555" i="41" s="1"/>
  <c r="G565" i="41"/>
  <c r="G543" i="41"/>
  <c r="J855" i="41"/>
  <c r="L855" i="41" s="1"/>
  <c r="J831" i="41"/>
  <c r="L831" i="41" s="1"/>
  <c r="J807" i="41"/>
  <c r="L807" i="41" s="1"/>
  <c r="J783" i="41"/>
  <c r="L783" i="41" s="1"/>
  <c r="J759" i="41"/>
  <c r="L759" i="41" s="1"/>
  <c r="J735" i="41"/>
  <c r="L735" i="41" s="1"/>
  <c r="J711" i="41"/>
  <c r="L711" i="41" s="1"/>
  <c r="J687" i="41"/>
  <c r="L687" i="41" s="1"/>
  <c r="J663" i="41"/>
  <c r="L663" i="41" s="1"/>
  <c r="J639" i="41"/>
  <c r="L639" i="41" s="1"/>
  <c r="J615" i="41"/>
  <c r="L615" i="41" s="1"/>
  <c r="J591" i="41"/>
  <c r="L591" i="41" s="1"/>
  <c r="K543" i="41"/>
  <c r="L542" i="41"/>
  <c r="J543" i="41"/>
  <c r="L543" i="41" s="1"/>
  <c r="G541" i="41"/>
  <c r="L459" i="41"/>
  <c r="L435" i="41"/>
  <c r="L411" i="41"/>
  <c r="L387" i="41"/>
  <c r="L363" i="41"/>
  <c r="L339" i="41"/>
  <c r="L315" i="41"/>
  <c r="L291" i="41"/>
  <c r="L267" i="41"/>
  <c r="J519" i="41"/>
  <c r="L519" i="41" s="1"/>
  <c r="J495" i="41"/>
  <c r="L495" i="41" s="1"/>
  <c r="J471" i="41"/>
  <c r="L471" i="41" s="1"/>
  <c r="J447" i="41"/>
  <c r="L447" i="41" s="1"/>
  <c r="J423" i="41"/>
  <c r="L423" i="41" s="1"/>
  <c r="J399" i="41"/>
  <c r="L399" i="41" s="1"/>
  <c r="J375" i="41"/>
  <c r="L375" i="41" s="1"/>
  <c r="J351" i="41"/>
  <c r="L351" i="41" s="1"/>
  <c r="J327" i="41"/>
  <c r="L327" i="41" s="1"/>
  <c r="J303" i="41"/>
  <c r="L303" i="41" s="1"/>
  <c r="J279" i="41"/>
  <c r="L279" i="41" s="1"/>
  <c r="J255" i="41"/>
  <c r="L255" i="41" s="1"/>
  <c r="J231" i="41"/>
  <c r="L231" i="41" s="1"/>
  <c r="J207" i="41"/>
  <c r="L207" i="41" s="1"/>
  <c r="J183" i="41"/>
  <c r="L183" i="41" s="1"/>
  <c r="J159" i="41"/>
  <c r="L159" i="41" s="1"/>
  <c r="E531" i="41"/>
  <c r="G531" i="41" s="1"/>
  <c r="K507" i="41"/>
  <c r="L507" i="41" s="1"/>
  <c r="E507" i="41"/>
  <c r="G507" i="41" s="1"/>
  <c r="K483" i="41"/>
  <c r="L483" i="41" s="1"/>
  <c r="E483" i="41"/>
  <c r="G483" i="41" s="1"/>
  <c r="E459" i="41"/>
  <c r="G459" i="41" s="1"/>
  <c r="E435" i="41"/>
  <c r="G435" i="41" s="1"/>
  <c r="E411" i="41"/>
  <c r="G411" i="41" s="1"/>
  <c r="E387" i="41"/>
  <c r="G387" i="41" s="1"/>
  <c r="E363" i="41"/>
  <c r="G363" i="41" s="1"/>
  <c r="E339" i="41"/>
  <c r="G339" i="41" s="1"/>
  <c r="E315" i="41"/>
  <c r="G315" i="41" s="1"/>
  <c r="E291" i="41"/>
  <c r="G291" i="41" s="1"/>
  <c r="E267" i="41"/>
  <c r="G267" i="41" s="1"/>
  <c r="E219" i="41"/>
  <c r="G219" i="41" s="1"/>
  <c r="E195" i="41"/>
  <c r="G195" i="41" s="1"/>
  <c r="E171" i="41"/>
  <c r="G171" i="41" s="1"/>
  <c r="D85" i="92"/>
  <c r="D84" i="92"/>
  <c r="E85" i="92"/>
  <c r="E84" i="92"/>
  <c r="E84" i="89"/>
  <c r="E83" i="89"/>
  <c r="E59" i="89"/>
  <c r="E60" i="89"/>
  <c r="D59" i="89"/>
  <c r="E84" i="86"/>
  <c r="D60" i="92"/>
  <c r="D61" i="92"/>
  <c r="E60" i="92"/>
  <c r="E61" i="92"/>
  <c r="E83" i="86"/>
  <c r="D83" i="89"/>
  <c r="D84" i="89"/>
  <c r="D83" i="80"/>
  <c r="D84" i="80"/>
  <c r="E83" i="80"/>
  <c r="E84" i="80"/>
  <c r="E84" i="83"/>
  <c r="D60" i="83"/>
  <c r="D60" i="89"/>
  <c r="D83" i="86"/>
  <c r="D84" i="86"/>
  <c r="D59" i="86"/>
  <c r="E83" i="83"/>
  <c r="D59" i="83"/>
  <c r="E61" i="57"/>
  <c r="E59" i="83"/>
  <c r="D60" i="80"/>
  <c r="D59" i="80"/>
  <c r="E60" i="86"/>
  <c r="E59" i="86"/>
  <c r="D60" i="86"/>
  <c r="D83" i="83"/>
  <c r="D84" i="83"/>
  <c r="E59" i="80"/>
  <c r="E60" i="80"/>
  <c r="E60" i="83"/>
  <c r="D86" i="57"/>
  <c r="D85" i="57"/>
  <c r="D61" i="57"/>
  <c r="D62" i="57"/>
  <c r="E85" i="57"/>
  <c r="E86" i="57"/>
  <c r="E62" i="57"/>
  <c r="L1275" i="42" l="1"/>
  <c r="E66" i="57"/>
  <c r="E73" i="57"/>
  <c r="E72" i="57"/>
  <c r="D66" i="57"/>
  <c r="E65" i="86"/>
  <c r="E72" i="86"/>
  <c r="D65" i="86"/>
  <c r="D65" i="80"/>
  <c r="E65" i="80"/>
  <c r="E72" i="80"/>
  <c r="D65" i="89"/>
  <c r="E65" i="89"/>
  <c r="E72" i="89"/>
  <c r="D88" i="89"/>
  <c r="E95" i="89"/>
  <c r="E88" i="89"/>
  <c r="E94" i="89"/>
  <c r="E66" i="92"/>
  <c r="E73" i="92"/>
  <c r="D66" i="92"/>
  <c r="E90" i="57"/>
  <c r="E96" i="57"/>
  <c r="E97" i="57"/>
  <c r="D90" i="57"/>
  <c r="D64" i="86"/>
  <c r="E71" i="86"/>
  <c r="E64" i="86"/>
  <c r="E70" i="86"/>
  <c r="E72" i="83"/>
  <c r="D65" i="83"/>
  <c r="E65" i="83"/>
  <c r="D89" i="80"/>
  <c r="E96" i="80"/>
  <c r="E89" i="80"/>
  <c r="E65" i="92"/>
  <c r="E71" i="92"/>
  <c r="D65" i="92"/>
  <c r="E72" i="92"/>
  <c r="D91" i="57"/>
  <c r="E91" i="57"/>
  <c r="E98" i="57"/>
  <c r="E89" i="83"/>
  <c r="D89" i="83"/>
  <c r="E96" i="83"/>
  <c r="D89" i="86"/>
  <c r="E89" i="86"/>
  <c r="E96" i="86"/>
  <c r="D88" i="80"/>
  <c r="E95" i="80"/>
  <c r="E88" i="80"/>
  <c r="E90" i="80" s="1"/>
  <c r="E94" i="80"/>
  <c r="E89" i="92"/>
  <c r="E95" i="92"/>
  <c r="D89" i="92"/>
  <c r="E96" i="92"/>
  <c r="E67" i="57"/>
  <c r="D67" i="57"/>
  <c r="E74" i="57"/>
  <c r="E94" i="83"/>
  <c r="D88" i="83"/>
  <c r="E88" i="83"/>
  <c r="E95" i="83"/>
  <c r="E64" i="80"/>
  <c r="E70" i="80"/>
  <c r="E71" i="80"/>
  <c r="D64" i="80"/>
  <c r="E71" i="83"/>
  <c r="D64" i="83"/>
  <c r="E64" i="83"/>
  <c r="E70" i="83"/>
  <c r="E88" i="86"/>
  <c r="E94" i="86"/>
  <c r="D88" i="86"/>
  <c r="E95" i="86"/>
  <c r="D89" i="89"/>
  <c r="E89" i="89"/>
  <c r="E96" i="89"/>
  <c r="E64" i="89"/>
  <c r="E70" i="89"/>
  <c r="D64" i="89"/>
  <c r="E71" i="89"/>
  <c r="D90" i="92"/>
  <c r="E90" i="92"/>
  <c r="E97" i="92"/>
  <c r="E97" i="86" l="1"/>
  <c r="E73" i="80"/>
  <c r="E91" i="92"/>
  <c r="E74" i="92"/>
  <c r="F89" i="80"/>
  <c r="E73" i="86"/>
  <c r="F66" i="92"/>
  <c r="F65" i="80"/>
  <c r="E90" i="83"/>
  <c r="E73" i="89"/>
  <c r="E90" i="86"/>
  <c r="E66" i="80"/>
  <c r="E97" i="83"/>
  <c r="E97" i="80"/>
  <c r="F89" i="83"/>
  <c r="E67" i="92"/>
  <c r="E66" i="86"/>
  <c r="F65" i="86"/>
  <c r="E75" i="57"/>
  <c r="F89" i="86"/>
  <c r="F90" i="57"/>
  <c r="D92" i="57"/>
  <c r="F64" i="89"/>
  <c r="D66" i="89"/>
  <c r="D66" i="83"/>
  <c r="F64" i="83"/>
  <c r="F65" i="89"/>
  <c r="F90" i="92"/>
  <c r="E66" i="89"/>
  <c r="E73" i="83"/>
  <c r="D66" i="80"/>
  <c r="F64" i="80"/>
  <c r="F89" i="92"/>
  <c r="D91" i="92"/>
  <c r="F65" i="83"/>
  <c r="E99" i="57"/>
  <c r="F88" i="89"/>
  <c r="D90" i="89"/>
  <c r="F88" i="83"/>
  <c r="D90" i="83"/>
  <c r="F88" i="80"/>
  <c r="D90" i="80"/>
  <c r="F90" i="80" s="1"/>
  <c r="E90" i="89"/>
  <c r="F66" i="57"/>
  <c r="D68" i="57"/>
  <c r="F89" i="89"/>
  <c r="F91" i="57"/>
  <c r="F88" i="86"/>
  <c r="D90" i="86"/>
  <c r="E66" i="83"/>
  <c r="F67" i="57"/>
  <c r="E98" i="92"/>
  <c r="F65" i="92"/>
  <c r="D67" i="92"/>
  <c r="F64" i="86"/>
  <c r="D66" i="86"/>
  <c r="E92" i="57"/>
  <c r="E97" i="89"/>
  <c r="E68" i="57"/>
  <c r="F67" i="92" l="1"/>
  <c r="F66" i="86"/>
  <c r="F90" i="86"/>
  <c r="F90" i="83"/>
  <c r="F91" i="92"/>
  <c r="F66" i="80"/>
  <c r="F66" i="89"/>
  <c r="F90" i="89"/>
  <c r="F92" i="57"/>
  <c r="F68" i="57"/>
  <c r="F66" i="83"/>
</calcChain>
</file>

<file path=xl/sharedStrings.xml><?xml version="1.0" encoding="utf-8"?>
<sst xmlns="http://schemas.openxmlformats.org/spreadsheetml/2006/main" count="7268" uniqueCount="775">
  <si>
    <t>DURATION</t>
  </si>
  <si>
    <t>HISTORY</t>
  </si>
  <si>
    <t>AMOUNT</t>
  </si>
  <si>
    <t>SAV_ACCT</t>
  </si>
  <si>
    <t>CHK_ACCT</t>
  </si>
  <si>
    <t>EMPLOYMENT</t>
  </si>
  <si>
    <t>INSTALL_RATE</t>
  </si>
  <si>
    <t>PRESENT_RESIDENT</t>
  </si>
  <si>
    <t>AGE</t>
  </si>
  <si>
    <t>NUM_CREDITS</t>
  </si>
  <si>
    <t>JOB</t>
  </si>
  <si>
    <t>NUM_DEPENDENTS</t>
  </si>
  <si>
    <t>TELEPHONE</t>
  </si>
  <si>
    <t>FOREIGN</t>
  </si>
  <si>
    <t>RESPONSE</t>
  </si>
  <si>
    <t>Variable Name</t>
  </si>
  <si>
    <t>Description</t>
  </si>
  <si>
    <t>Variable Type</t>
  </si>
  <si>
    <t>1.  </t>
  </si>
  <si>
    <t>Observation No.</t>
  </si>
  <si>
    <t>2.  </t>
  </si>
  <si>
    <t>Categorical</t>
  </si>
  <si>
    <t>3.  </t>
  </si>
  <si>
    <t>Duration of credit in months</t>
  </si>
  <si>
    <t>Numerical</t>
  </si>
  <si>
    <t>4.  </t>
  </si>
  <si>
    <t>Credit history</t>
  </si>
  <si>
    <t>5.  </t>
  </si>
  <si>
    <t>Purpose of credit</t>
  </si>
  <si>
    <t>Credit amount</t>
  </si>
  <si>
    <t>Present employment since</t>
  </si>
  <si>
    <t>Installment rate as % of disposable income</t>
  </si>
  <si>
    <t>Present resident since - years</t>
  </si>
  <si>
    <t>Age in years</t>
  </si>
  <si>
    <t>Number of existing credits at this bank</t>
  </si>
  <si>
    <t>Nature of job</t>
  </si>
  <si>
    <t>Foreign worker</t>
  </si>
  <si>
    <t>Code Description</t>
  </si>
  <si>
    <t xml:space="preserve">0: no credits taken                                                                                                                   </t>
  </si>
  <si>
    <t xml:space="preserve">4: critical account  </t>
  </si>
  <si>
    <t xml:space="preserve">2: existing credits paid back duly till now </t>
  </si>
  <si>
    <t>0 : unemployed</t>
  </si>
  <si>
    <t>1:  &lt; 1 year</t>
  </si>
  <si>
    <t>4 : &gt;= 7 years</t>
  </si>
  <si>
    <t>2 : =&gt; 200 DM</t>
  </si>
  <si>
    <t xml:space="preserve">1: all credits at this bank paid back duly </t>
  </si>
  <si>
    <t xml:space="preserve">3: delay in paying off in the past  </t>
  </si>
  <si>
    <t>4 :   unknown/ no savings account</t>
  </si>
  <si>
    <t>3 : =&gt;1000 DM</t>
  </si>
  <si>
    <t>0 : &lt;  100 DM</t>
  </si>
  <si>
    <t>0 : unemployed/ unskilled  - non-resident</t>
  </si>
  <si>
    <t>1 : unskilled - resident</t>
  </si>
  <si>
    <t>2 : skilled employee / official</t>
  </si>
  <si>
    <t>3 : management/ self-employed/highly qualified employee/ officer</t>
  </si>
  <si>
    <t>OBS#</t>
  </si>
  <si>
    <t>Checking account status</t>
  </si>
  <si>
    <t>0 : &lt; 0 DM</t>
  </si>
  <si>
    <t>1:  0 &lt; ...&lt; 200 DM</t>
  </si>
  <si>
    <t>Average balance in savings account</t>
  </si>
  <si>
    <t>1 : 100&lt;= ... &lt;  500 DM</t>
  </si>
  <si>
    <t>2 : 500&lt;= ... &lt; 1000 DM</t>
  </si>
  <si>
    <t xml:space="preserve">2 : 1 &lt;= ... &lt; 4 years  </t>
  </si>
  <si>
    <t>3 : 4 &lt;=... &lt; 7 years</t>
  </si>
  <si>
    <t>0: &lt;= 1 year</t>
  </si>
  <si>
    <t>1&lt;…&lt;=2 years</t>
  </si>
  <si>
    <t>2&lt;…&lt;=3 years</t>
  </si>
  <si>
    <t>3:&gt;4years</t>
  </si>
  <si>
    <t>Number of people for whom liable to provide maintenance</t>
  </si>
  <si>
    <t>NEW_CAR</t>
  </si>
  <si>
    <t>USED_CAR</t>
  </si>
  <si>
    <t>FURNITURE</t>
  </si>
  <si>
    <t>RADIO/TV</t>
  </si>
  <si>
    <t>RETRAINING</t>
  </si>
  <si>
    <t>CO-APPLICANT</t>
  </si>
  <si>
    <t>MALE_DIV</t>
  </si>
  <si>
    <t>MALE_SINGLE</t>
  </si>
  <si>
    <t>MALE_MAR_or_WID</t>
  </si>
  <si>
    <t>GUARANTOR</t>
  </si>
  <si>
    <t>REAL_ESTATE</t>
  </si>
  <si>
    <t>OTHER_INSTALL</t>
  </si>
  <si>
    <t>RENT</t>
  </si>
  <si>
    <t>EDUCATION</t>
  </si>
  <si>
    <t>PROP_UNKN_NONE</t>
  </si>
  <si>
    <t>OWN_RES</t>
  </si>
  <si>
    <t>3:  no checking account</t>
  </si>
  <si>
    <t>Binary</t>
  </si>
  <si>
    <t>6.</t>
  </si>
  <si>
    <t>7.</t>
  </si>
  <si>
    <t>8.</t>
  </si>
  <si>
    <t>9.</t>
  </si>
  <si>
    <t>10.</t>
  </si>
  <si>
    <t>11.</t>
  </si>
  <si>
    <t>12.</t>
  </si>
  <si>
    <t>13.</t>
  </si>
  <si>
    <t>14.</t>
  </si>
  <si>
    <t>15.</t>
  </si>
  <si>
    <t>Applicant is male and divorced</t>
  </si>
  <si>
    <t>16.</t>
  </si>
  <si>
    <t>Applicant is male and single</t>
  </si>
  <si>
    <t>17.</t>
  </si>
  <si>
    <t>MALE_MAR_WID</t>
  </si>
  <si>
    <t>Applicant is male and married or a widower</t>
  </si>
  <si>
    <t>18.</t>
  </si>
  <si>
    <t>Application has a co-applicant</t>
  </si>
  <si>
    <t>19.</t>
  </si>
  <si>
    <t>Applicant has a guarantor</t>
  </si>
  <si>
    <t>20.</t>
  </si>
  <si>
    <t>21.</t>
  </si>
  <si>
    <t>Applicant owns real estate</t>
  </si>
  <si>
    <t>22.</t>
  </si>
  <si>
    <t>Applicant owns no property (or unknown)</t>
  </si>
  <si>
    <t>23.</t>
  </si>
  <si>
    <t>24.</t>
  </si>
  <si>
    <t>Applicant has other installment plan credit</t>
  </si>
  <si>
    <t>25.</t>
  </si>
  <si>
    <t xml:space="preserve">Applicant rents </t>
  </si>
  <si>
    <t>26.</t>
  </si>
  <si>
    <t>Applicant owns residence</t>
  </si>
  <si>
    <t>27.</t>
  </si>
  <si>
    <t>28.</t>
  </si>
  <si>
    <t>29.</t>
  </si>
  <si>
    <t>30.</t>
  </si>
  <si>
    <t>Applicant has phone in his or her name</t>
  </si>
  <si>
    <t>31.</t>
  </si>
  <si>
    <t>32</t>
  </si>
  <si>
    <t>Codelist</t>
  </si>
  <si>
    <t>Var. #</t>
  </si>
  <si>
    <t>Credit rating is good</t>
  </si>
  <si>
    <t>car (new)   0: No, 1: Yes</t>
  </si>
  <si>
    <t>car (used)    0: No, 1: Yes</t>
  </si>
  <si>
    <t>furniture/equipment    0: No, 1: Yes</t>
  </si>
  <si>
    <t>radio/television    0: No, 1: Yes</t>
  </si>
  <si>
    <t>education    0: No, 1: Yes</t>
  </si>
  <si>
    <t>retraining    0: No, 1: Yes</t>
  </si>
  <si>
    <t xml:space="preserve"> 0: No, 1: Yes</t>
  </si>
  <si>
    <t>XLMiner : Dummy Categorical Variables</t>
  </si>
  <si>
    <t>Output Navigator</t>
  </si>
  <si>
    <t>Elapsed Times in Milliseconds</t>
  </si>
  <si>
    <t>Encoding Time</t>
  </si>
  <si>
    <t>Report Time</t>
  </si>
  <si>
    <t>Total</t>
  </si>
  <si>
    <t>Inputs</t>
  </si>
  <si>
    <t>Data</t>
  </si>
  <si>
    <t>Workbook</t>
  </si>
  <si>
    <t>GermanCredit.xls</t>
  </si>
  <si>
    <t>Worksheet</t>
  </si>
  <si>
    <t>Range</t>
  </si>
  <si>
    <t>$A$1:$AF$1001</t>
  </si>
  <si>
    <t>#Records in Input Data</t>
  </si>
  <si>
    <t>Method of Categorization</t>
  </si>
  <si>
    <t>Dummy</t>
  </si>
  <si>
    <t>Selected Variables</t>
  </si>
  <si>
    <t>CHK_ACCT_0</t>
  </si>
  <si>
    <t>CHK_ACCT_1</t>
  </si>
  <si>
    <t>CHK_ACCT_2</t>
  </si>
  <si>
    <t>CHK_ACCT_3</t>
  </si>
  <si>
    <t>HISTORY_0</t>
  </si>
  <si>
    <t>HISTORY_1</t>
  </si>
  <si>
    <t>HISTORY_2</t>
  </si>
  <si>
    <t>HISTORY_3</t>
  </si>
  <si>
    <t>HISTORY_4</t>
  </si>
  <si>
    <t>SAV_ACCT_0</t>
  </si>
  <si>
    <t>SAV_ACCT_1</t>
  </si>
  <si>
    <t>SAV_ACCT_2</t>
  </si>
  <si>
    <t>SAV_ACCT_3</t>
  </si>
  <si>
    <t>SAV_ACCT_4</t>
  </si>
  <si>
    <t>EMPLOYMENT_0</t>
  </si>
  <si>
    <t>EMPLOYMENT_1</t>
  </si>
  <si>
    <t>EMPLOYMENT_2</t>
  </si>
  <si>
    <t>EMPLOYMENT_3</t>
  </si>
  <si>
    <t>EMPLOYMENT_4</t>
  </si>
  <si>
    <t>PRESENT_RESIDENT_1</t>
  </si>
  <si>
    <t>PRESENT_RESIDENT_2</t>
  </si>
  <si>
    <t>PRESENT_RESIDENT_3</t>
  </si>
  <si>
    <t>PRESENT_RESIDENT_4</t>
  </si>
  <si>
    <t>Date: 14-Mar-2015 19:01:51</t>
  </si>
  <si>
    <t>JOB_0</t>
  </si>
  <si>
    <t>JOB_1</t>
  </si>
  <si>
    <t>JOB_2</t>
  </si>
  <si>
    <t>JOB_3</t>
  </si>
  <si>
    <t>XLMiner : Neural Network Classification</t>
  </si>
  <si>
    <t>Date: 14-Mar-2015 19:04:32</t>
  </si>
  <si>
    <t>Data Read Time</t>
  </si>
  <si>
    <t>NNC Time</t>
  </si>
  <si>
    <t>CreateDummies</t>
  </si>
  <si>
    <t># Records in the training data</t>
  </si>
  <si>
    <t># Records in the validation data</t>
  </si>
  <si>
    <t>Variables</t>
  </si>
  <si>
    <t># Input Variables</t>
  </si>
  <si>
    <t>Input variables</t>
  </si>
  <si>
    <t>Output variable</t>
  </si>
  <si>
    <t>Parameters/Options</t>
  </si>
  <si>
    <t>Input variables normalized</t>
  </si>
  <si>
    <t>Yes</t>
  </si>
  <si>
    <t>Network Architecture</t>
  </si>
  <si>
    <t>Automatic</t>
  </si>
  <si>
    <t>Seed: Initial Weights</t>
  </si>
  <si>
    <t>Maximum # Hidden Layers</t>
  </si>
  <si>
    <t>Maximum # Nodes in Hidden Layer 1</t>
  </si>
  <si>
    <t>Maximum # Nodes in Hidden Layer 2</t>
  </si>
  <si>
    <t># of Epochs</t>
  </si>
  <si>
    <t>Step size for gradient descent</t>
  </si>
  <si>
    <t>Weight change momentum</t>
  </si>
  <si>
    <t>Error tolerance</t>
  </si>
  <si>
    <t>Weight decay</t>
  </si>
  <si>
    <t>Cost function</t>
  </si>
  <si>
    <t>Sum of squares</t>
  </si>
  <si>
    <t>Hidden layer activation function</t>
  </si>
  <si>
    <t>Standard</t>
  </si>
  <si>
    <t>Output layer activation function</t>
  </si>
  <si>
    <t>Error Report</t>
  </si>
  <si>
    <t>Error Report. Training Partition.</t>
  </si>
  <si>
    <t>Error Report. Validation Partition.</t>
  </si>
  <si>
    <t>Net ID</t>
  </si>
  <si>
    <t># Layers</t>
  </si>
  <si>
    <t># Neurons
(Layer 1)</t>
  </si>
  <si>
    <t># Neurons
(Layer 2)</t>
  </si>
  <si>
    <t>T: # Errors</t>
  </si>
  <si>
    <t>T: % Errors</t>
  </si>
  <si>
    <t>T: % Sensitivity</t>
  </si>
  <si>
    <t>T: % Specificity</t>
  </si>
  <si>
    <t>V: # Errors</t>
  </si>
  <si>
    <t>V: % Errors</t>
  </si>
  <si>
    <t>V: % Sensitivity</t>
  </si>
  <si>
    <t>V: % Specificity</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</si>
  <si>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</si>
  <si>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</si>
  <si>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</si>
  <si>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[4],"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</si>
  <si>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[5],"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</si>
  <si>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[6],"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</si>
  <si>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[7],"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</si>
  <si>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[8],"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</si>
  <si>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[9],"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</si>
  <si>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[10],"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</si>
  <si>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</si>
  <si>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[12],"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</si>
  <si>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[13],"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</si>
  <si>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[14],"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</si>
  <si>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[15],"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</si>
  <si>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[16],"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</si>
  <si>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[17],"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</si>
  <si>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[18],"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</si>
  <si>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[19],"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</si>
  <si>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[20],"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</si>
  <si>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</si>
  <si>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[22],"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</si>
  <si>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[23],"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</si>
  <si>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[24],"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</si>
  <si>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[25],"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</si>
  <si>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[26],"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</si>
  <si>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[27],"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</si>
  <si>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[28],"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</si>
  <si>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[29],"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</si>
  <si>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[30],"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</si>
  <si>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networkArchCode":1,"neuronWeightSeed":12345,"normalizeInput":true,"numEpochs":30,"numHiddenLayers":1,"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</si>
  <si>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</si>
  <si>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[1,2],"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</si>
  <si>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[1,3],"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</si>
  <si>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[1,4],"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</si>
  <si>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[1,5],"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</si>
  <si>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[1,6],"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</si>
  <si>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[1,7],"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</si>
  <si>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[1,8],"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</si>
  <si>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[1,9],"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</si>
  <si>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[1,10],"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</si>
  <si>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[1,11],"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</si>
  <si>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[1,12],"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</si>
  <si>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[1,13],"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</si>
  <si>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[1,14],"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</si>
  <si>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[1,15],"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</si>
  <si>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[1,16],"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</si>
  <si>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[1,17],"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</si>
  <si>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[1,18],"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</si>
  <si>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[1,19],"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</si>
  <si>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[1,20],"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</si>
  <si>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[1,21],"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</si>
  <si>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[1,22],"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</si>
  <si>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</si>
  <si>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[2,2],"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</si>
  <si>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[2,3],"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</si>
  <si>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[2,4],"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</si>
  <si>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[2,5],"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</si>
  <si>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[2,6],"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</si>
  <si>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[2,7],"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</si>
  <si>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[2,8],"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</si>
  <si>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[2,9],"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</si>
  <si>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[2,10],"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</si>
  <si>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[2,11],"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</si>
  <si>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[2,12],"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</si>
  <si>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[2,13],"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</si>
  <si>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[2,14],"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</si>
  <si>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[2,15],"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</si>
  <si>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[2,16],"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</si>
  <si>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[2,17],"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</si>
  <si>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[2,18],"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</si>
  <si>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[2,19],"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</si>
  <si>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[2,20],"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</si>
  <si>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[2,21],"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</si>
  <si>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[2,22],"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</si>
  <si>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</si>
  <si>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[3,2],"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</si>
  <si>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[3,3],"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</si>
  <si>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[3,4],"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</si>
  <si>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[3,5],"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</si>
  <si>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[3,6],"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</si>
  <si>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[3,7],"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</si>
  <si>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[3,8],"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</si>
  <si>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[3,9],"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</si>
  <si>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[3,10],"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</si>
  <si>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[3,11],"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</si>
  <si>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[3,12],"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</si>
  <si>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[3,13],"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</si>
  <si>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[3,14],"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</si>
  <si>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[3,15],"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</si>
  <si>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[3,16],"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</si>
  <si>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[3,17],"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</si>
  <si>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[3,18],"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</si>
  <si>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[3,19],"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</si>
  <si>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[3,20],"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</si>
  <si>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[3,21],"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</si>
  <si>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[3,22],"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</si>
  <si>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[4,1],"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</si>
  <si>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[4,2],"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</si>
  <si>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[4,3],"networkArchCode":1,"neuronWeightSeed":12345,"normalizeInput":true,"numEpochs":30,"numHiddenLayers":2,"numOutputClasses":2,"outputLayerSigmoidCode":0,"output_var":{"varId":25,"varName":"RESPONSE"},"partitionData":true,"rows":1000,"seedValue":12345,"setSeed":true,"specifyPct":true,"successClass":"1","successCutoffProb":0.50,"testPct":0,"test_rows":0,"trainPct":50,"train_rows":500,"usePartitionVar":false,"useRandomRows":true,"useSuccessClass":true,"validationPct":50,"validation_rows":500,"weightChangeMomentum":0.60,"weightDecayTraining":0,"wkbk":"GermanCredit.xls","wksheet":"CreateDummies"}</t>
  </si>
  <si>
    <t>Classification Summary</t>
  </si>
  <si>
    <t>Training</t>
  </si>
  <si>
    <t>Validation</t>
  </si>
  <si>
    <t>Net1</t>
  </si>
  <si>
    <t>Confusion Matrix</t>
  </si>
  <si>
    <t>Predicted Class</t>
  </si>
  <si>
    <t>Actual Class</t>
  </si>
  <si>
    <t>Class</t>
  </si>
  <si>
    <t># Cases</t>
  </si>
  <si>
    <t># Errors</t>
  </si>
  <si>
    <t>% Error</t>
  </si>
  <si>
    <t>Overall</t>
  </si>
  <si>
    <t>Net2</t>
  </si>
  <si>
    <t>Net3</t>
  </si>
  <si>
    <t>Net4</t>
  </si>
  <si>
    <t>Net5</t>
  </si>
  <si>
    <t>Net6</t>
  </si>
  <si>
    <t>Net7</t>
  </si>
  <si>
    <t>Net8</t>
  </si>
  <si>
    <t>Net9</t>
  </si>
  <si>
    <t>Net10</t>
  </si>
  <si>
    <t>Net11</t>
  </si>
  <si>
    <t>Net12</t>
  </si>
  <si>
    <t>Net13</t>
  </si>
  <si>
    <t>Net14</t>
  </si>
  <si>
    <t>Net15</t>
  </si>
  <si>
    <t>Net16</t>
  </si>
  <si>
    <t>Net17</t>
  </si>
  <si>
    <t>Net18</t>
  </si>
  <si>
    <t>Net19</t>
  </si>
  <si>
    <t>Net20</t>
  </si>
  <si>
    <t>Net21</t>
  </si>
  <si>
    <t>Net22</t>
  </si>
  <si>
    <t>Net23</t>
  </si>
  <si>
    <t>Net24</t>
  </si>
  <si>
    <t>Net25</t>
  </si>
  <si>
    <t>Net26</t>
  </si>
  <si>
    <t>Net27</t>
  </si>
  <si>
    <t>Net28</t>
  </si>
  <si>
    <t>Net29</t>
  </si>
  <si>
    <t>Net30</t>
  </si>
  <si>
    <t>Net31</t>
  </si>
  <si>
    <t>Net32</t>
  </si>
  <si>
    <t>Net33</t>
  </si>
  <si>
    <t>Net34</t>
  </si>
  <si>
    <t>Net35</t>
  </si>
  <si>
    <t>Net36</t>
  </si>
  <si>
    <t>Net37</t>
  </si>
  <si>
    <t>Net38</t>
  </si>
  <si>
    <t>Net39</t>
  </si>
  <si>
    <t>Net40</t>
  </si>
  <si>
    <t>Net41</t>
  </si>
  <si>
    <t>Net42</t>
  </si>
  <si>
    <t>Net43</t>
  </si>
  <si>
    <t>Net44</t>
  </si>
  <si>
    <t>Net45</t>
  </si>
  <si>
    <t>Net46</t>
  </si>
  <si>
    <t>Net47</t>
  </si>
  <si>
    <t>Net48</t>
  </si>
  <si>
    <t>Net49</t>
  </si>
  <si>
    <t>Net50</t>
  </si>
  <si>
    <t>Net51</t>
  </si>
  <si>
    <t>Net52</t>
  </si>
  <si>
    <t>Net53</t>
  </si>
  <si>
    <t>Net54</t>
  </si>
  <si>
    <t>Net55</t>
  </si>
  <si>
    <t>Net56</t>
  </si>
  <si>
    <t>Net57</t>
  </si>
  <si>
    <t>Net58</t>
  </si>
  <si>
    <t>Net59</t>
  </si>
  <si>
    <t>Net60</t>
  </si>
  <si>
    <t>Net61</t>
  </si>
  <si>
    <t>Net62</t>
  </si>
  <si>
    <t>Net63</t>
  </si>
  <si>
    <t>Net64</t>
  </si>
  <si>
    <t>Net65</t>
  </si>
  <si>
    <t>Net66</t>
  </si>
  <si>
    <t>Net67</t>
  </si>
  <si>
    <t>Net68</t>
  </si>
  <si>
    <t>Net69</t>
  </si>
  <si>
    <t>Net70</t>
  </si>
  <si>
    <t>Net71</t>
  </si>
  <si>
    <t>Net72</t>
  </si>
  <si>
    <t>Net73</t>
  </si>
  <si>
    <t>Net74</t>
  </si>
  <si>
    <t>Net75</t>
  </si>
  <si>
    <t>Net76</t>
  </si>
  <si>
    <t>Net77</t>
  </si>
  <si>
    <t>Net78</t>
  </si>
  <si>
    <t>Net79</t>
  </si>
  <si>
    <t>Net80</t>
  </si>
  <si>
    <t>Net81</t>
  </si>
  <si>
    <t>Net82</t>
  </si>
  <si>
    <t>Net83</t>
  </si>
  <si>
    <t>Net84</t>
  </si>
  <si>
    <t>Net85</t>
  </si>
  <si>
    <t>Net86</t>
  </si>
  <si>
    <t>Net87</t>
  </si>
  <si>
    <t>Net88</t>
  </si>
  <si>
    <t>Net89</t>
  </si>
  <si>
    <t>Net90</t>
  </si>
  <si>
    <t>Net91</t>
  </si>
  <si>
    <t>Net92</t>
  </si>
  <si>
    <t>Net93</t>
  </si>
  <si>
    <t>Net94</t>
  </si>
  <si>
    <t>Net95</t>
  </si>
  <si>
    <t>Net96</t>
  </si>
  <si>
    <t>Net97</t>
  </si>
  <si>
    <t>Net98</t>
  </si>
  <si>
    <t>Net99</t>
  </si>
  <si>
    <t>Net100</t>
  </si>
  <si>
    <t>Net 1</t>
  </si>
  <si>
    <t>Net 2</t>
  </si>
  <si>
    <t>Net 3</t>
  </si>
  <si>
    <t>Net 4</t>
  </si>
  <si>
    <t>Net 5</t>
  </si>
  <si>
    <t>Net 6</t>
  </si>
  <si>
    <t>Net 7</t>
  </si>
  <si>
    <t>Net 8</t>
  </si>
  <si>
    <t>Net 9</t>
  </si>
  <si>
    <t>Net 10</t>
  </si>
  <si>
    <t>Net 11</t>
  </si>
  <si>
    <t>Net 12</t>
  </si>
  <si>
    <t>Net 13</t>
  </si>
  <si>
    <t>Net 14</t>
  </si>
  <si>
    <t>Net 15</t>
  </si>
  <si>
    <t>Net 16</t>
  </si>
  <si>
    <t>Net 17</t>
  </si>
  <si>
    <t>Net 18</t>
  </si>
  <si>
    <t>Net 19</t>
  </si>
  <si>
    <t>Net 20</t>
  </si>
  <si>
    <t>Net 21</t>
  </si>
  <si>
    <t>Net 22</t>
  </si>
  <si>
    <t>Net 23</t>
  </si>
  <si>
    <t>Net 24</t>
  </si>
  <si>
    <t>Net 25</t>
  </si>
  <si>
    <t>Net 26</t>
  </si>
  <si>
    <t>Net 27</t>
  </si>
  <si>
    <t>Net 28</t>
  </si>
  <si>
    <t>Net 29</t>
  </si>
  <si>
    <t>Net 30</t>
  </si>
  <si>
    <t>Net 31</t>
  </si>
  <si>
    <t>Net 32</t>
  </si>
  <si>
    <t>Net 33</t>
  </si>
  <si>
    <t>Net 34</t>
  </si>
  <si>
    <t>Net 35</t>
  </si>
  <si>
    <t>Net 36</t>
  </si>
  <si>
    <t>Net 37</t>
  </si>
  <si>
    <t>Net 38</t>
  </si>
  <si>
    <t>Net 39</t>
  </si>
  <si>
    <t>Net 40</t>
  </si>
  <si>
    <t>Net 41</t>
  </si>
  <si>
    <t>Net 42</t>
  </si>
  <si>
    <t>Net 43</t>
  </si>
  <si>
    <t>Net 44</t>
  </si>
  <si>
    <t>Net 45</t>
  </si>
  <si>
    <t>Net 46</t>
  </si>
  <si>
    <t>Net 47</t>
  </si>
  <si>
    <t>Net 48</t>
  </si>
  <si>
    <t>Net 49</t>
  </si>
  <si>
    <t>Net 50</t>
  </si>
  <si>
    <t>Net 51</t>
  </si>
  <si>
    <t>Net 52</t>
  </si>
  <si>
    <t>Net 53</t>
  </si>
  <si>
    <t>Net 54</t>
  </si>
  <si>
    <t>Net 55</t>
  </si>
  <si>
    <t>Net 56</t>
  </si>
  <si>
    <t>Net 57</t>
  </si>
  <si>
    <t>Net 58</t>
  </si>
  <si>
    <t>Net 59</t>
  </si>
  <si>
    <t>Net 60</t>
  </si>
  <si>
    <t>Net 61</t>
  </si>
  <si>
    <t>Net 62</t>
  </si>
  <si>
    <t>Net 63</t>
  </si>
  <si>
    <t>Net 64</t>
  </si>
  <si>
    <t>Net 65</t>
  </si>
  <si>
    <t>Net 66</t>
  </si>
  <si>
    <t>Net 67</t>
  </si>
  <si>
    <t>Net 68</t>
  </si>
  <si>
    <t>Net 69</t>
  </si>
  <si>
    <t>Net 70</t>
  </si>
  <si>
    <t>Net 71</t>
  </si>
  <si>
    <t>Net 72</t>
  </si>
  <si>
    <t>Net 73</t>
  </si>
  <si>
    <t>Net 74</t>
  </si>
  <si>
    <t>Net 75</t>
  </si>
  <si>
    <t>Net 76</t>
  </si>
  <si>
    <t>Net 77</t>
  </si>
  <si>
    <t>Net 78</t>
  </si>
  <si>
    <t>Net 79</t>
  </si>
  <si>
    <t>Net 80</t>
  </si>
  <si>
    <t>Net 81</t>
  </si>
  <si>
    <t>Net 82</t>
  </si>
  <si>
    <t>Net 83</t>
  </si>
  <si>
    <t>Net 84</t>
  </si>
  <si>
    <t>Net 85</t>
  </si>
  <si>
    <t>Net 86</t>
  </si>
  <si>
    <t>Net 87</t>
  </si>
  <si>
    <t>Net 88</t>
  </si>
  <si>
    <t>Net 89</t>
  </si>
  <si>
    <t>Net 90</t>
  </si>
  <si>
    <t>Net 91</t>
  </si>
  <si>
    <t>Net 92</t>
  </si>
  <si>
    <t>Net 93</t>
  </si>
  <si>
    <t>Net 94</t>
  </si>
  <si>
    <t>Net 95</t>
  </si>
  <si>
    <t>Net 96</t>
  </si>
  <si>
    <t>Net 97</t>
  </si>
  <si>
    <t>Net 98</t>
  </si>
  <si>
    <t>Net 99</t>
  </si>
  <si>
    <t>Net 100</t>
  </si>
  <si>
    <t>Date: 14-Mar-2015 19:06:17</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</si>
  <si>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</si>
  <si>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</si>
  <si>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</si>
  <si>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[4],"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</si>
  <si>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[5],"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</si>
  <si>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[6],"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</si>
  <si>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[7],"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</si>
  <si>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[8],"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</si>
  <si>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[9],"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</si>
  <si>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[10],"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</si>
  <si>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</si>
  <si>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[12],"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</si>
  <si>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[13],"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</si>
  <si>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[14],"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</si>
  <si>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[15],"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</si>
  <si>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[16],"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</si>
  <si>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[17],"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</si>
  <si>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[18],"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</si>
  <si>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[19],"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</si>
  <si>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[20],"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</si>
  <si>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</si>
  <si>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[22],"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</si>
  <si>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[23],"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</si>
  <si>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[24],"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</si>
  <si>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[25],"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</si>
  <si>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[26],"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</si>
  <si>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[27],"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</si>
  <si>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[28],"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</si>
  <si>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[29],"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</si>
  <si>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[30],"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</si>
  <si>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networkArchCode":1,"neuronWeightSeed":12345,"normalizeInput":true,"numEpochs":30,"numHiddenLayers":1,"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</si>
  <si>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</si>
  <si>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[1,2],"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</si>
  <si>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[1,3],"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</si>
  <si>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[1,4],"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</si>
  <si>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[1,5],"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</si>
  <si>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[1,6],"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</si>
  <si>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[1,7],"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</si>
  <si>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[1,8],"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</si>
  <si>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[1,9],"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</si>
  <si>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[1,10],"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</si>
  <si>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[1,11],"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</si>
  <si>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[1,12],"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</si>
  <si>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[1,13],"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</si>
  <si>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[1,14],"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</si>
  <si>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[1,15],"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</si>
  <si>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[1,16],"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</si>
  <si>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[1,17],"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</si>
  <si>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[1,18],"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</si>
  <si>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[1,19],"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</si>
  <si>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[1,20],"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</si>
  <si>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[1,21],"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</si>
  <si>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[1,22],"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</si>
  <si>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</si>
  <si>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[2,2],"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</si>
  <si>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[2,3],"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</si>
  <si>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[2,4],"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</si>
  <si>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[2,5],"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</si>
  <si>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[2,6],"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</si>
  <si>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[2,7],"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</si>
  <si>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[2,8],"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</si>
  <si>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[2,9],"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</si>
  <si>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[2,10],"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</si>
  <si>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[2,11],"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</si>
  <si>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[2,12],"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</si>
  <si>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[2,13],"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</si>
  <si>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[2,14],"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</si>
  <si>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[2,15],"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</si>
  <si>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[2,16],"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</si>
  <si>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[2,17],"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</si>
  <si>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[2,18],"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</si>
  <si>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[2,19],"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</si>
  <si>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[2,20],"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</si>
  <si>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[2,21],"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</si>
  <si>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[2,22],"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</si>
  <si>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</si>
  <si>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[3,2],"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</si>
  <si>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[3,3],"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</si>
  <si>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[3,4],"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</si>
  <si>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[3,5],"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</si>
  <si>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[3,6],"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</si>
  <si>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[3,7],"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</si>
  <si>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[3,8],"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</si>
  <si>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[3,9],"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</si>
  <si>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[3,10],"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</si>
  <si>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[3,11],"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</si>
  <si>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[3,12],"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</si>
  <si>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[3,13],"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</si>
  <si>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[3,14],"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</si>
  <si>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[3,15],"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</si>
  <si>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[3,16],"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</si>
  <si>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[3,17],"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</si>
  <si>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[3,18],"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</si>
  <si>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[3,19],"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</si>
  <si>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[3,20],"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</si>
  <si>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[3,21],"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</si>
  <si>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[3,22],"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</si>
  <si>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[4,1],"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</si>
  <si>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[4,2],"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</si>
  <si>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autoPct":false,"cat_cols":[],"data_range":"$B$20:$BB$1020","equalPct":false,"errorTolerance":0.010,"firstRow":20,"gradientDescentStepSize":0.10,"has_header":true,"hiddenLayerSigmoidCode":0,"input_cols":[{"varId":1,"varName":"DURATION"},{"varId":2,"varName":"NEW_CAR"},{"varId":3,"varName":"USED_CAR"},{"varId":4,"varName":"FURNITURE"},{"varId":5,"varName":"RADIO/TV"},{"varId":6,"varName":"EDUCATION"},{"varId":7,"varName":"RETRAINING"},{"varId":8,"varName":"AMOUNT"},{"varId":9,"varName":"INSTALL_RATE"},{"varId":10,"varName":"MALE_DIV"},{"varId":11,"varName":"MALE_SINGLE"},{"varId":12,"varName":"MALE_MAR_or_WID"},{"varId":13,"varName":"CO-APPLICANT"},{"varId":14,"varName":"GUARANTOR"},{"varId":15,"varName":"REAL_ESTATE"},{"varId":16,"varName":"PROP_UNKN_NONE"},{"varId":17,"varName":"AGE"},{"varId":18,"varName":"OTHER_INSTALL"},{"varId":19,"varName":"RENT"},{"varId":20,"varName":"OWN_RES"},{"varId":21,"varName":"NUM_CREDITS"},{"varId":22,"varName":"NUM_DEPENDENTS"},{"varId":23,"varName":"TELEPHONE"},{"varId":24,"varName":"FOREIGN"},{"varId":26,"varName":"CHK_ACCT_0"},{"varId":27,"varName":"CHK_ACCT_1"},{"varId":28,"varName":"CHK_ACCT_2"},{"varId":30,"varName":"HISTORY_0"},{"varId":31,"varName":"HISTORY_1"},{"varId":32,"varName":"HISTORY_2"},{"varId":33,"varName":"HISTORY_3"},{"varId":35,"varName":"SAV_ACCT_0"},{"varId":36,"varName":"SAV_ACCT_1"},{"varId":37,"varName":"SAV_ACCT_2"},{"varId":38,"varName":"SAV_ACCT_3"},{"varId":40,"varName":"EMPLOYMENT_0"},{"varId":41,"varName":"EMPLOYMENT_1"},{"varId":42,"varName":"EMPLOYMENT_2"},{"varId":43,"varName":"EMPLOYMENT_3"},{"varId":45,"varName":"PRESENT_RESIDENT_1"},{"varId":46,"varName":"PRESENT_RESIDENT_2"},{"varId":47,"varName":"PRESENT_RESIDENT_3"},{"varId":49,"varName":"JOB_0"},{"varId":50,"varName":"JOB_1"},{"varId":51,"varName":"JOB_2"}],"isPartitionSheet":false,"layerNodes":[4,3],"networkArchCode":1,"neuronWeightSeed":12345,"normalizeInput":true,"numEpochs":30,"numHiddenLayers":2,"numOutputClasses":2,"outputLayerSigmoidCode":0,"output_var":{"varId":25,"varName":"RESPONSE"},"partitionData":true,"rows":1000,"seedValue":12345,"setSeed":true,"specifyPct":true,"successClass":"1","successCutoffProb":0.50,"testPct":0,"test_rows":0,"trainPct":60,"train_rows":600,"usePartitionVar":false,"useRandomRows":true,"useSuccessClass":true,"validationPct":40,"validation_rows":400,"weightChangeMomentum":0.60,"weightDecayTraining":0,"wkbk":"GermanCredit.xls","wksheet":"CreateDummies"}</t>
  </si>
  <si>
    <t>Model</t>
  </si>
  <si>
    <t>Neural Network for Classification</t>
  </si>
  <si>
    <t># Selected Variables</t>
  </si>
  <si>
    <t>D4:AV4</t>
  </si>
  <si>
    <t>Variables Offsets</t>
  </si>
  <si>
    <t>D5:AW5</t>
  </si>
  <si>
    <t>Variable Role</t>
  </si>
  <si>
    <t>D6:AW6</t>
  </si>
  <si>
    <t>Input</t>
  </si>
  <si>
    <t>D7:AV7</t>
  </si>
  <si>
    <t>Scale</t>
  </si>
  <si>
    <t>Class Labels</t>
  </si>
  <si>
    <t>D8:E8</t>
  </si>
  <si>
    <t>Success Class Index</t>
  </si>
  <si>
    <t>Success Probability Threshold</t>
  </si>
  <si>
    <t># Hidden Layers</t>
  </si>
  <si>
    <t># Neurons in Hidden Layers</t>
  </si>
  <si>
    <t>D9:D9</t>
  </si>
  <si>
    <t>Hidden Layers Activation</t>
  </si>
  <si>
    <t>Logistic Sigmoid</t>
  </si>
  <si>
    <t>Output Layer Activation</t>
  </si>
  <si>
    <t>Neural Network Weights</t>
  </si>
  <si>
    <t>D15:AW27</t>
  </si>
  <si>
    <t>D30:Q31</t>
  </si>
  <si>
    <t>Normalize Inputs</t>
  </si>
  <si>
    <t>Feature Rescaling (Min/Mean)</t>
  </si>
  <si>
    <t>D10:AV10</t>
  </si>
  <si>
    <t>Feature Rescaling (Max/StdDev)</t>
  </si>
  <si>
    <t>D11:AV11</t>
  </si>
  <si>
    <t>Output</t>
  </si>
  <si>
    <t>XLMiner: Neural Network Classification - Validation Data Lift Chart</t>
  </si>
  <si>
    <t>Serial no.</t>
  </si>
  <si>
    <t>Predicted RESPONSE</t>
  </si>
  <si>
    <t>Actual RESPONSE</t>
  </si>
  <si>
    <t>Cumulative RESPONSE when sorted using predicted values</t>
  </si>
  <si>
    <t>Cumulative RESPONSE using average</t>
  </si>
  <si>
    <t>Deciles</t>
  </si>
  <si>
    <t>Decile mean / Global mean</t>
  </si>
  <si>
    <t>X</t>
  </si>
  <si>
    <t>Y0</t>
  </si>
  <si>
    <t>Y1</t>
  </si>
  <si>
    <t>Decile</t>
  </si>
  <si>
    <t>Mean</t>
  </si>
  <si>
    <t>Std.Dev.</t>
  </si>
  <si>
    <t>Min.</t>
  </si>
  <si>
    <t>Max.</t>
  </si>
  <si>
    <t>Prior Class Prob.</t>
  </si>
  <si>
    <t>Train. Score - Summary</t>
  </si>
  <si>
    <t>Valid. Score - Summary</t>
  </si>
  <si>
    <t>Weights</t>
  </si>
  <si>
    <t>Training Log</t>
  </si>
  <si>
    <t>Training Lift Chart</t>
  </si>
  <si>
    <t>Validation Lift Chart</t>
  </si>
  <si>
    <t>XLMiner: Neural Network Classification - Training Data Lift Chart</t>
  </si>
  <si>
    <t>XLMiner : Neural Network Classification - Training Log</t>
  </si>
  <si>
    <t>Epoch #</t>
  </si>
  <si>
    <t>Sum of Squares Error</t>
  </si>
  <si>
    <t>Misclassification Error</t>
  </si>
  <si>
    <t>Manual</t>
  </si>
  <si>
    <t># Nodes in Hidden Layer 1</t>
  </si>
  <si>
    <t>Output Options Chosen</t>
  </si>
  <si>
    <t>Summary report of scoring on training data</t>
  </si>
  <si>
    <t>Lift charts on training data</t>
  </si>
  <si>
    <t>Summary report of scoring on validation data</t>
  </si>
  <si>
    <t>Lift charts on validation data</t>
  </si>
  <si>
    <t>Prior Class Probabilities</t>
  </si>
  <si>
    <t>According to relative occurrences in training data</t>
  </si>
  <si>
    <t>Prob.</t>
  </si>
  <si>
    <t>Training Data Scoring - Summary Report</t>
  </si>
  <si>
    <t>Cutoff probability value for success (UPDATABLE)</t>
  </si>
  <si>
    <t>Updating the value here will NOT update value in detailed report</t>
  </si>
  <si>
    <t>Performance</t>
  </si>
  <si>
    <t>Success Class</t>
  </si>
  <si>
    <t>Precision</t>
  </si>
  <si>
    <t>Recall (Sensitivity)</t>
  </si>
  <si>
    <t>Specificity</t>
  </si>
  <si>
    <t>F1-Score</t>
  </si>
  <si>
    <t>Validation Data Scoring - Summary Report</t>
  </si>
  <si>
    <t>Inter-Layer Connections Weights</t>
  </si>
  <si>
    <t>Input Layer</t>
  </si>
  <si>
    <t>Hidden Layer 1</t>
  </si>
  <si>
    <t>Neuron 1</t>
  </si>
  <si>
    <t>Neuron 2</t>
  </si>
  <si>
    <t>Neuron 3</t>
  </si>
  <si>
    <t>Neuron 4</t>
  </si>
  <si>
    <t>Neuron 5</t>
  </si>
  <si>
    <t>Neuron 6</t>
  </si>
  <si>
    <t>Neuron 7</t>
  </si>
  <si>
    <t>Neuron 8</t>
  </si>
  <si>
    <t>Neuron 9</t>
  </si>
  <si>
    <t>Neuron 10</t>
  </si>
  <si>
    <t>Neuron 11</t>
  </si>
  <si>
    <t>Neuron 12</t>
  </si>
  <si>
    <t>Neuron 13</t>
  </si>
  <si>
    <t>Output Layer</t>
  </si>
  <si>
    <t>Bias</t>
  </si>
  <si>
    <t>Column1</t>
  </si>
  <si>
    <t>Date: 14-Mar-2015 20:06:27</t>
  </si>
  <si>
    <t>Date: 14-Mar-2015 20:06:28</t>
  </si>
  <si>
    <t>Neuron 14</t>
  </si>
  <si>
    <t>Neuron 15</t>
  </si>
  <si>
    <t>Neuron 16</t>
  </si>
  <si>
    <t>Neuron 17</t>
  </si>
  <si>
    <t>Neuron 18</t>
  </si>
  <si>
    <t>Neuron 19</t>
  </si>
  <si>
    <t>Neuron 20</t>
  </si>
  <si>
    <t>Neuron 21</t>
  </si>
  <si>
    <t>Neuron 22</t>
  </si>
  <si>
    <t>Neuron 23</t>
  </si>
  <si>
    <t>Neuron 24</t>
  </si>
  <si>
    <t>Neuron 25</t>
  </si>
  <si>
    <t>D9:E9</t>
  </si>
  <si>
    <t>D30:Q54</t>
  </si>
  <si>
    <t>D57:AC58</t>
  </si>
  <si>
    <t># Nodes in Hidden Layer 2</t>
  </si>
  <si>
    <t>Hidden Layer 2</t>
  </si>
  <si>
    <t>Date: 14-Mar-2015 20:47:15</t>
  </si>
  <si>
    <t>Date: 14-Mar-2015 20:47:16</t>
  </si>
  <si>
    <t>Date: 14-Mar-2015 20:57:40</t>
  </si>
  <si>
    <t>Date: 14-Mar-2015 21:07:28</t>
  </si>
  <si>
    <t>Date: 14-Mar-2015 21:12:11</t>
  </si>
  <si>
    <t>Date: 14-Mar-2015 21:12:12</t>
  </si>
  <si>
    <t>Date: 14-Mar-2015 21:15:38</t>
  </si>
  <si>
    <t>Profit</t>
  </si>
  <si>
    <t>Net profit if client gives credit to whoever approaches him</t>
  </si>
  <si>
    <t>=</t>
  </si>
  <si>
    <t>ie: a loss of 8000 DM</t>
  </si>
  <si>
    <t>Compatibility Report for GermanCredit.xls</t>
  </si>
  <si>
    <t>Run on 3/20/2015 0:26</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</si>
  <si>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</si>
  <si>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</si>
  <si>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</si>
  <si>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</si>
  <si>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A table style is applied to a table in this workbook. Table style formatting cannot be displayed in earlier versions of Excel.</t>
  </si>
  <si>
    <t>NNCAuto_Output6040'!C42:N142</t>
  </si>
  <si>
    <t>Excel 97-2003</t>
  </si>
  <si>
    <t>NNCAuto_Output5050'!C42:O142</t>
  </si>
  <si>
    <t>Some cells or styles in this workbook contain formatting that is not supported by the selected file format. These formats will be converted to the closest format available.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</si>
</sst>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16" x14ac:knownFonts="1">
    <font>
      <sz val="10"/>
      <name val="Arial"/>
    </font>
    <font>
      <sz val="10"/>
      <name val="Arial Unicode MS"/>
      <family val="2"/>
    </font>
    <font>
      <u/>
      <sz val="10"/>
      <color indexed="12"/>
      <name val="Arial"/>
      <family val="2"/>
    </font>
    <font>
      <b/>
      <sz val="10"/>
      <name val="Arial Narrow"/>
      <family val="2"/>
    </font>
    <font>
      <sz val="10"/>
      <name val="Arial Narrow"/>
      <family val="2"/>
    </font>
    <font>
      <sz val="10"/>
      <name val="Arial"/>
      <family val="2"/>
    </font>
    <font>
      <b/>
      <sz val="10"/>
      <name val="Arial"/>
      <family val="2"/>
    </font>
    <font>
      <sz val="10"/>
      <name val="Arial"/>
      <family val="2"/>
    </font>
    <font>
      <b/>
      <sz val="10"/>
      <name val="Calibri"/>
      <family val="2"/>
    </font>
    <font>
      <sz val="10"/>
      <name val="Calibri"/>
      <family val="2"/>
    </font>
    <font>
      <b/>
      <sz val="14"/>
      <name val="Calibri"/>
      <family val="2"/>
    </font>
    <font>
      <b/>
      <sz val="12"/>
      <name val="Calibri"/>
      <family val="2"/>
    </font>
    <font>
      <b/>
      <sz val="14"/>
      <color rgb="FF4169E1"/>
      <name val="Calibri"/>
      <family val="2"/>
    </font>
    <font>
      <b/>
      <sz val="10"/>
      <color rgb="FF4169E1"/>
      <name val="Calibri"/>
      <family val="2"/>
    </font>
    <font>
      <sz val="8"/>
      <color rgb="FFFFFFFF"/>
      <name val="Calibri"/>
      <family val="2"/>
    </font>
    <font>
      <sz val="8"/>
      <color rgb="FF000000"/>
      <name val="Calibri"/>
      <family val="2"/>
    </font>
  </fonts>
  <fills count="8">
    <fill>
      <patternFill patternType="none"/>
    </fill>
    <fill>
      <patternFill patternType="gray125"/>
    </fill>
    <fill>
      <patternFill patternType="solid">
        <fgColor indexed="42"/>
        <bgColor indexed="64"/>
      </patternFill>
    </fill>
    <fill>
      <patternFill patternType="solid">
        <fgColor indexed="43"/>
        <bgColor indexed="64"/>
      </patternFill>
    </fill>
    <fill>
      <patternFill patternType="solid">
        <fgColor rgb="FFEBEBFA"/>
        <bgColor indexed="64"/>
      </patternFill>
    </fill>
    <fill>
      <patternFill patternType="solid">
        <fgColor rgb="FFD3D3D3"/>
        <bgColor indexed="64"/>
      </patternFill>
    </fill>
    <fill>
      <patternFill patternType="solid">
        <fgColor rgb="FF538DD5"/>
        <bgColor indexed="64"/>
      </patternFill>
    </fill>
    <fill>
      <patternFill patternType="solid">
        <fgColor theme="8" tint="0.59999389629810485"/>
        <bgColor indexed="64"/>
      </patternFill>
    </fill>
  </fills>
  <borders count="17">
    <border>
      <left/>
      <right/>
      <top/>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style="thin">
        <color rgb="FF808080"/>
      </right>
      <top style="thin">
        <color rgb="FF808080"/>
      </top>
      <bottom style="thin">
        <color rgb="FF808080"/>
      </bottom>
      <diagonal/>
    </border>
    <border>
      <left/>
      <right/>
      <top/>
      <bottom style="thin">
        <color rgb="FF808080"/>
      </bottom>
      <diagonal/>
    </border>
    <border>
      <left style="medium">
        <color indexed="8"/>
      </left>
      <right/>
      <top/>
      <bottom/>
      <diagonal/>
    </border>
    <border>
      <left/>
      <right style="medium">
        <color indexed="8"/>
      </right>
      <top/>
      <bottom/>
      <diagonal/>
    </border>
    <border>
      <left/>
      <right/>
      <top style="medium">
        <color indexed="8"/>
      </top>
      <bottom/>
      <diagonal/>
    </border>
    <border>
      <left style="medium">
        <color indexed="8"/>
      </left>
      <right/>
      <top style="medium">
        <color indexed="8"/>
      </top>
      <bottom/>
      <diagonal/>
    </border>
    <border>
      <left/>
      <right style="medium">
        <color indexed="8"/>
      </right>
      <top style="medium">
        <color indexed="8"/>
      </top>
      <bottom/>
      <diagonal/>
    </border>
    <border>
      <left/>
      <right/>
      <top/>
      <bottom style="medium">
        <color indexed="8"/>
      </bottom>
      <diagonal/>
    </border>
    <border>
      <left style="medium">
        <color indexed="8"/>
      </left>
      <right/>
      <top/>
      <bottom style="medium">
        <color indexed="8"/>
      </bottom>
      <diagonal/>
    </border>
    <border>
      <left/>
      <right style="medium">
        <color indexed="8"/>
      </right>
      <top/>
      <bottom style="medium">
        <color indexed="8"/>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s>
  <cellStyleXfs count="2">
    <xf numFmtId="0" fontId="0" fillId="0" borderId="0"/>
    <xf numFmtId="0" fontId="2" fillId="0" borderId="0" applyNumberFormat="0" applyFill="0" applyBorder="0" applyAlignment="0" applyProtection="0">
      <alignment vertical="top"/>
      <protection locked="0"/>
    </xf>
  </cellStyleXfs>
  <cellXfs count="80">
    <xf numFmtId="0" fontId="0" fillId="0" borderId="0" xfId="0"/>
    <xf numFmtId="0" fontId="1" fillId="0" borderId="0" xfId="0" applyFont="1" applyAlignment="1">
      <alignment horizontal="left" indent="2"/>
    </xf>
    <xf numFmtId="0" fontId="0" fillId="0" borderId="0" xfId="0" applyAlignment="1">
      <alignment horizontal="center"/>
    </xf>
    <xf numFmtId="0" fontId="0" fillId="2" borderId="0" xfId="0" applyFill="1" applyAlignment="1">
      <alignment horizontal="center" vertical="top" textRotation="90" wrapText="1"/>
    </xf>
    <xf numFmtId="0" fontId="0" fillId="3" borderId="0" xfId="0" applyFill="1" applyAlignment="1">
      <alignment horizontal="center" vertical="top" textRotation="90" wrapText="1"/>
    </xf>
    <xf numFmtId="0" fontId="3" fillId="2" borderId="0" xfId="0" applyFont="1" applyFill="1" applyAlignment="1">
      <alignment vertical="top" wrapText="1"/>
    </xf>
    <xf numFmtId="0" fontId="4" fillId="2" borderId="0" xfId="0" applyFont="1" applyFill="1" applyAlignment="1">
      <alignment vertical="top" wrapText="1"/>
    </xf>
    <xf numFmtId="0" fontId="5" fillId="0" borderId="0" xfId="0" applyFont="1"/>
    <xf numFmtId="49" fontId="3" fillId="2" borderId="0" xfId="0" applyNumberFormat="1" applyFont="1" applyFill="1" applyBorder="1" applyAlignment="1">
      <alignment vertical="top" wrapText="1"/>
    </xf>
    <xf numFmtId="0" fontId="3" fillId="2" borderId="0" xfId="0" applyNumberFormat="1" applyFont="1" applyFill="1" applyBorder="1" applyAlignment="1">
      <alignment vertical="top" wrapText="1"/>
    </xf>
    <xf numFmtId="49" fontId="4"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4" fillId="0" borderId="0" xfId="0" applyFont="1" applyAlignment="1">
      <alignment horizontal="left" vertical="top" wrapText="1"/>
    </xf>
    <xf numFmtId="0" fontId="4" fillId="0" borderId="0" xfId="0" quotePrefix="1" applyNumberFormat="1" applyFont="1" applyFill="1" applyBorder="1" applyAlignment="1">
      <alignment vertical="top" wrapText="1"/>
    </xf>
    <xf numFmtId="49" fontId="4" fillId="0" borderId="0" xfId="0" applyNumberFormat="1" applyFont="1" applyFill="1" applyBorder="1" applyAlignment="1">
      <alignment horizontal="left" vertical="top" wrapText="1"/>
    </xf>
    <xf numFmtId="0" fontId="4" fillId="0" borderId="0" xfId="0" applyFont="1" applyAlignment="1">
      <alignment vertical="top" wrapText="1"/>
    </xf>
    <xf numFmtId="49" fontId="4" fillId="0" borderId="0" xfId="0" applyNumberFormat="1" applyFont="1" applyAlignment="1">
      <alignment vertical="top" wrapText="1"/>
    </xf>
    <xf numFmtId="49" fontId="5" fillId="0" borderId="0" xfId="0" applyNumberFormat="1" applyFont="1"/>
    <xf numFmtId="0" fontId="0" fillId="2" borderId="0" xfId="0" applyFill="1" applyAlignment="1">
      <alignment horizontal="right" vertical="top" textRotation="90" wrapText="1"/>
    </xf>
    <xf numFmtId="0" fontId="4" fillId="0" borderId="0" xfId="0" applyFont="1"/>
    <xf numFmtId="0" fontId="7" fillId="0" borderId="0" xfId="0" applyFont="1"/>
    <xf numFmtId="0" fontId="8" fillId="0" borderId="0" xfId="0" applyFont="1" applyAlignment="1">
      <alignment horizontal="left"/>
    </xf>
    <xf numFmtId="0" fontId="10" fillId="0" borderId="0" xfId="0" applyFont="1" applyAlignment="1">
      <alignment horizontal="left"/>
    </xf>
    <xf numFmtId="0" fontId="12" fillId="0" borderId="0" xfId="0" applyFont="1" applyAlignment="1">
      <alignment horizontal="left"/>
    </xf>
    <xf numFmtId="0" fontId="9" fillId="0" borderId="1" xfId="0" applyFont="1" applyFill="1" applyBorder="1"/>
    <xf numFmtId="0" fontId="13" fillId="4" borderId="1" xfId="0" applyFont="1" applyFill="1" applyBorder="1" applyAlignment="1">
      <alignment horizontal="left"/>
    </xf>
    <xf numFmtId="0" fontId="13" fillId="4" borderId="1" xfId="0" applyFont="1" applyFill="1" applyBorder="1" applyAlignment="1">
      <alignment horizontal="center"/>
    </xf>
    <xf numFmtId="0" fontId="7" fillId="0" borderId="0" xfId="0" applyFont="1" applyAlignment="1">
      <alignment wrapText="1"/>
    </xf>
    <xf numFmtId="0" fontId="6" fillId="5" borderId="0" xfId="0" applyFont="1" applyFill="1" applyAlignment="1">
      <alignment horizontal="center" vertical="center"/>
    </xf>
    <xf numFmtId="164" fontId="0" fillId="0" borderId="0" xfId="0" applyNumberFormat="1"/>
    <xf numFmtId="0" fontId="2" fillId="0" borderId="0" xfId="1" applyAlignment="1" applyProtection="1"/>
    <xf numFmtId="0" fontId="2" fillId="0" borderId="0" xfId="1" applyFill="1" applyBorder="1" applyAlignment="1" applyProtection="1"/>
    <xf numFmtId="0" fontId="0" fillId="4" borderId="0" xfId="0" applyFill="1"/>
    <xf numFmtId="0" fontId="0" fillId="5" borderId="0" xfId="0" applyFill="1"/>
    <xf numFmtId="0" fontId="9" fillId="0" borderId="1" xfId="0" applyFont="1" applyFill="1" applyBorder="1" applyAlignment="1">
      <alignment horizontal="right"/>
    </xf>
    <xf numFmtId="0" fontId="14" fillId="6" borderId="1" xfId="0" applyFont="1" applyFill="1" applyBorder="1" applyAlignment="1">
      <alignment horizontal="center" vertical="center"/>
    </xf>
    <xf numFmtId="0" fontId="6" fillId="5" borderId="0" xfId="0" applyFont="1" applyFill="1" applyAlignment="1">
      <alignment horizontal="left"/>
    </xf>
    <xf numFmtId="0" fontId="6" fillId="0" borderId="0" xfId="0" applyFont="1"/>
    <xf numFmtId="0" fontId="0" fillId="7" borderId="0" xfId="0" applyFont="1" applyFill="1" applyAlignment="1">
      <alignment horizontal="center" vertical="top" textRotation="90" wrapText="1"/>
    </xf>
    <xf numFmtId="0" fontId="6" fillId="0" borderId="0" xfId="0" applyNumberFormat="1" applyFont="1" applyAlignment="1">
      <alignment vertical="top" wrapText="1"/>
    </xf>
    <xf numFmtId="0" fontId="0" fillId="0" borderId="0" xfId="0" applyNumberFormat="1" applyAlignment="1">
      <alignment vertical="top" wrapText="1"/>
    </xf>
    <xf numFmtId="0" fontId="0" fillId="0" borderId="9" xfId="0" applyNumberFormat="1" applyBorder="1" applyAlignment="1">
      <alignment vertical="top" wrapText="1"/>
    </xf>
    <xf numFmtId="0" fontId="0" fillId="0" borderId="8" xfId="0" applyNumberFormat="1" applyBorder="1" applyAlignment="1">
      <alignment vertical="top" wrapText="1"/>
    </xf>
    <xf numFmtId="0" fontId="0" fillId="0" borderId="6" xfId="0" applyNumberFormat="1" applyBorder="1" applyAlignment="1">
      <alignment vertical="top" wrapText="1"/>
    </xf>
    <xf numFmtId="0" fontId="0" fillId="0" borderId="12" xfId="0" applyNumberFormat="1" applyBorder="1" applyAlignment="1">
      <alignment vertical="top" wrapText="1"/>
    </xf>
    <xf numFmtId="0" fontId="0" fillId="0" borderId="11" xfId="0" applyNumberFormat="1" applyBorder="1" applyAlignment="1">
      <alignment vertical="top" wrapText="1"/>
    </xf>
    <xf numFmtId="0" fontId="0" fillId="0" borderId="14" xfId="0" applyNumberFormat="1" applyBorder="1" applyAlignment="1">
      <alignment vertical="top" wrapText="1"/>
    </xf>
    <xf numFmtId="0" fontId="0" fillId="0" borderId="15" xfId="0" applyNumberFormat="1" applyBorder="1" applyAlignment="1">
      <alignment vertical="top" wrapText="1"/>
    </xf>
    <xf numFmtId="0" fontId="6"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8" xfId="0" applyNumberFormat="1" applyBorder="1" applyAlignment="1">
      <alignment horizontal="center" vertical="top" wrapText="1"/>
    </xf>
    <xf numFmtId="0" fontId="0" fillId="0" borderId="10" xfId="0" applyNumberFormat="1" applyBorder="1" applyAlignment="1">
      <alignment horizontal="center" vertical="top" wrapText="1"/>
    </xf>
    <xf numFmtId="0" fontId="2" fillId="0" borderId="0" xfId="1" quotePrefix="1" applyNumberFormat="1" applyAlignment="1" applyProtection="1">
      <alignment horizontal="center" vertical="top" wrapText="1"/>
    </xf>
    <xf numFmtId="0" fontId="0" fillId="0" borderId="7" xfId="0" applyNumberFormat="1" applyBorder="1" applyAlignment="1">
      <alignment horizontal="center" vertical="top" wrapText="1"/>
    </xf>
    <xf numFmtId="0" fontId="0" fillId="0" borderId="11" xfId="0" applyNumberFormat="1" applyBorder="1" applyAlignment="1">
      <alignment horizontal="center" vertical="top" wrapText="1"/>
    </xf>
    <xf numFmtId="0" fontId="2" fillId="0" borderId="11" xfId="1" quotePrefix="1" applyNumberFormat="1" applyBorder="1" applyAlignment="1" applyProtection="1">
      <alignment horizontal="center" vertical="top" wrapText="1"/>
    </xf>
    <xf numFmtId="0" fontId="0" fillId="0" borderId="13" xfId="0" applyNumberFormat="1" applyBorder="1" applyAlignment="1">
      <alignment horizontal="center" vertical="top" wrapText="1"/>
    </xf>
    <xf numFmtId="0" fontId="0" fillId="0" borderId="15" xfId="0" applyNumberFormat="1" applyBorder="1" applyAlignment="1">
      <alignment horizontal="center" vertical="top" wrapText="1"/>
    </xf>
    <xf numFmtId="0" fontId="0" fillId="0" borderId="16" xfId="0" applyNumberFormat="1" applyBorder="1" applyAlignment="1">
      <alignment horizontal="center" vertical="top" wrapText="1"/>
    </xf>
    <xf numFmtId="0" fontId="11" fillId="5" borderId="2" xfId="0" applyFont="1" applyFill="1" applyBorder="1" applyAlignment="1">
      <alignment horizontal="left"/>
    </xf>
    <xf numFmtId="0" fontId="11" fillId="5" borderId="3" xfId="0" applyFont="1" applyFill="1" applyBorder="1" applyAlignment="1">
      <alignment horizontal="left"/>
    </xf>
    <xf numFmtId="0" fontId="11" fillId="5" borderId="4" xfId="0" applyFont="1" applyFill="1" applyBorder="1" applyAlignment="1">
      <alignment horizontal="left"/>
    </xf>
    <xf numFmtId="0" fontId="13" fillId="4" borderId="2" xfId="0" applyFont="1" applyFill="1" applyBorder="1" applyAlignment="1">
      <alignment horizontal="left"/>
    </xf>
    <xf numFmtId="0" fontId="13" fillId="4" borderId="3" xfId="0" applyFont="1" applyFill="1" applyBorder="1" applyAlignment="1">
      <alignment horizontal="left"/>
    </xf>
    <xf numFmtId="0" fontId="13" fillId="4" borderId="4" xfId="0" applyFont="1" applyFill="1" applyBorder="1" applyAlignment="1">
      <alignment horizontal="left"/>
    </xf>
    <xf numFmtId="0" fontId="2" fillId="0" borderId="2" xfId="1" applyFill="1" applyBorder="1" applyAlignment="1" applyProtection="1"/>
    <xf numFmtId="0" fontId="9" fillId="0" borderId="4" xfId="0" applyFont="1" applyFill="1" applyBorder="1"/>
    <xf numFmtId="0" fontId="9" fillId="0" borderId="2" xfId="0" applyFont="1" applyFill="1" applyBorder="1"/>
    <xf numFmtId="0" fontId="9" fillId="0" borderId="3" xfId="0" applyFont="1" applyFill="1" applyBorder="1"/>
    <xf numFmtId="0" fontId="9" fillId="0" borderId="2" xfId="0" applyFont="1" applyFill="1" applyBorder="1" applyAlignment="1">
      <alignment horizontal="left"/>
    </xf>
    <xf numFmtId="0" fontId="9" fillId="0" borderId="3" xfId="0" applyFont="1" applyFill="1" applyBorder="1" applyAlignment="1">
      <alignment horizontal="left"/>
    </xf>
    <xf numFmtId="0" fontId="9" fillId="0" borderId="4" xfId="0" applyFont="1" applyFill="1" applyBorder="1" applyAlignment="1">
      <alignment horizontal="left"/>
    </xf>
    <xf numFmtId="0" fontId="15" fillId="4" borderId="2" xfId="0" applyFont="1" applyFill="1" applyBorder="1" applyAlignment="1">
      <alignment horizontal="center" vertical="center"/>
    </xf>
    <xf numFmtId="0" fontId="15" fillId="4" borderId="3" xfId="0" applyFont="1" applyFill="1" applyBorder="1" applyAlignment="1">
      <alignment horizontal="center" vertical="center"/>
    </xf>
    <xf numFmtId="0" fontId="15" fillId="4" borderId="4" xfId="0" applyFont="1" applyFill="1" applyBorder="1" applyAlignment="1">
      <alignment horizontal="center" vertical="center"/>
    </xf>
    <xf numFmtId="0" fontId="13" fillId="4" borderId="2" xfId="0" applyFont="1" applyFill="1" applyBorder="1" applyAlignment="1">
      <alignment horizontal="center"/>
    </xf>
    <xf numFmtId="0" fontId="13" fillId="4" borderId="4" xfId="0" applyFont="1" applyFill="1" applyBorder="1" applyAlignment="1">
      <alignment horizontal="center"/>
    </xf>
    <xf numFmtId="0" fontId="6" fillId="5" borderId="5" xfId="0" applyFont="1" applyFill="1" applyBorder="1" applyAlignment="1">
      <alignment horizontal="left"/>
    </xf>
    <xf numFmtId="0" fontId="6" fillId="5" borderId="0" xfId="0" applyFont="1" applyFill="1" applyAlignment="1">
      <alignment horizontal="center" vertical="center"/>
    </xf>
    <xf numFmtId="0" fontId="3" fillId="2" borderId="0" xfId="0" applyFont="1" applyFill="1" applyAlignment="1">
      <alignment horizontal="left" vertical="top" wrapText="1"/>
    </xf>
  </cellXfs>
  <cellStyles count="2">
    <cellStyle name="Hyperlink" xfId="1" builtinId="8"/>
    <cellStyle name="Normal" xfId="0" builtinId="0"/>
  </cellStyles>
  <dxfs count="5">
    <dxf>
      <numFmt numFmtId="0" formatCode="General"/>
    </dxf>
    <dxf>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scheme val="none"/>
      </font>
    </dxf>
    <dxf>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RESPONSE when sorted using predicted values</c:v>
          </c:tx>
          <c:spPr>
            <a:ln w="6350"/>
          </c:spPr>
          <c:marker>
            <c:symbol val="none"/>
          </c:marker>
          <c:xVal>
            <c:numRef>
              <c:f>NNC_TrainingLiftChart!$AZ$4:$AZ$603</c:f>
              <c:numCache>
                <c:formatCode>General</c:formatCode>
                <c:ptCount val="6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numCache>
            </c:numRef>
          </c:xVal>
          <c:yVal>
            <c:numRef>
              <c:f>NNC_TrainingLiftChart!$BC$4:$BC$603</c:f>
              <c:numCache>
                <c:formatCode>General</c:formatCode>
                <c:ptCount val="6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30</c:v>
                </c:pt>
                <c:pt idx="31">
                  <c:v>31</c:v>
                </c:pt>
                <c:pt idx="32">
                  <c:v>31</c:v>
                </c:pt>
                <c:pt idx="33">
                  <c:v>32</c:v>
                </c:pt>
                <c:pt idx="34">
                  <c:v>33</c:v>
                </c:pt>
                <c:pt idx="35">
                  <c:v>34</c:v>
                </c:pt>
                <c:pt idx="36">
                  <c:v>35</c:v>
                </c:pt>
                <c:pt idx="37">
                  <c:v>36</c:v>
                </c:pt>
                <c:pt idx="38">
                  <c:v>37</c:v>
                </c:pt>
                <c:pt idx="39">
                  <c:v>38</c:v>
                </c:pt>
                <c:pt idx="40">
                  <c:v>39</c:v>
                </c:pt>
                <c:pt idx="41">
                  <c:v>40</c:v>
                </c:pt>
                <c:pt idx="42">
                  <c:v>41</c:v>
                </c:pt>
                <c:pt idx="43">
                  <c:v>42</c:v>
                </c:pt>
                <c:pt idx="44">
                  <c:v>43</c:v>
                </c:pt>
                <c:pt idx="45">
                  <c:v>44</c:v>
                </c:pt>
                <c:pt idx="46">
                  <c:v>45</c:v>
                </c:pt>
                <c:pt idx="47">
                  <c:v>46</c:v>
                </c:pt>
                <c:pt idx="48">
                  <c:v>47</c:v>
                </c:pt>
                <c:pt idx="49">
                  <c:v>48</c:v>
                </c:pt>
                <c:pt idx="50">
                  <c:v>49</c:v>
                </c:pt>
                <c:pt idx="51">
                  <c:v>50</c:v>
                </c:pt>
                <c:pt idx="52">
                  <c:v>51</c:v>
                </c:pt>
                <c:pt idx="53">
                  <c:v>52</c:v>
                </c:pt>
                <c:pt idx="54">
                  <c:v>53</c:v>
                </c:pt>
                <c:pt idx="55">
                  <c:v>54</c:v>
                </c:pt>
                <c:pt idx="56">
                  <c:v>55</c:v>
                </c:pt>
                <c:pt idx="57">
                  <c:v>56</c:v>
                </c:pt>
                <c:pt idx="58">
                  <c:v>57</c:v>
                </c:pt>
                <c:pt idx="59">
                  <c:v>58</c:v>
                </c:pt>
                <c:pt idx="60">
                  <c:v>59</c:v>
                </c:pt>
                <c:pt idx="61">
                  <c:v>60</c:v>
                </c:pt>
                <c:pt idx="62">
                  <c:v>60</c:v>
                </c:pt>
                <c:pt idx="63">
                  <c:v>61</c:v>
                </c:pt>
                <c:pt idx="64">
                  <c:v>62</c:v>
                </c:pt>
                <c:pt idx="65">
                  <c:v>63</c:v>
                </c:pt>
                <c:pt idx="66">
                  <c:v>64</c:v>
                </c:pt>
                <c:pt idx="67">
                  <c:v>65</c:v>
                </c:pt>
                <c:pt idx="68">
                  <c:v>66</c:v>
                </c:pt>
                <c:pt idx="69">
                  <c:v>67</c:v>
                </c:pt>
                <c:pt idx="70">
                  <c:v>68</c:v>
                </c:pt>
                <c:pt idx="71">
                  <c:v>69</c:v>
                </c:pt>
                <c:pt idx="72">
                  <c:v>70</c:v>
                </c:pt>
                <c:pt idx="73">
                  <c:v>71</c:v>
                </c:pt>
                <c:pt idx="74">
                  <c:v>72</c:v>
                </c:pt>
                <c:pt idx="75">
                  <c:v>73</c:v>
                </c:pt>
                <c:pt idx="76">
                  <c:v>74</c:v>
                </c:pt>
                <c:pt idx="77">
                  <c:v>75</c:v>
                </c:pt>
                <c:pt idx="78">
                  <c:v>76</c:v>
                </c:pt>
                <c:pt idx="79">
                  <c:v>77</c:v>
                </c:pt>
                <c:pt idx="80">
                  <c:v>78</c:v>
                </c:pt>
                <c:pt idx="81">
                  <c:v>79</c:v>
                </c:pt>
                <c:pt idx="82">
                  <c:v>79</c:v>
                </c:pt>
                <c:pt idx="83">
                  <c:v>80</c:v>
                </c:pt>
                <c:pt idx="84">
                  <c:v>81</c:v>
                </c:pt>
                <c:pt idx="85">
                  <c:v>82</c:v>
                </c:pt>
                <c:pt idx="86">
                  <c:v>83</c:v>
                </c:pt>
                <c:pt idx="87">
                  <c:v>84</c:v>
                </c:pt>
                <c:pt idx="88">
                  <c:v>85</c:v>
                </c:pt>
                <c:pt idx="89">
                  <c:v>86</c:v>
                </c:pt>
                <c:pt idx="90">
                  <c:v>87</c:v>
                </c:pt>
                <c:pt idx="91">
                  <c:v>88</c:v>
                </c:pt>
                <c:pt idx="92">
                  <c:v>89</c:v>
                </c:pt>
                <c:pt idx="93">
                  <c:v>90</c:v>
                </c:pt>
                <c:pt idx="94">
                  <c:v>91</c:v>
                </c:pt>
                <c:pt idx="95">
                  <c:v>92</c:v>
                </c:pt>
                <c:pt idx="96">
                  <c:v>93</c:v>
                </c:pt>
                <c:pt idx="97">
                  <c:v>94</c:v>
                </c:pt>
                <c:pt idx="98">
                  <c:v>95</c:v>
                </c:pt>
                <c:pt idx="99">
                  <c:v>95</c:v>
                </c:pt>
                <c:pt idx="100">
                  <c:v>96</c:v>
                </c:pt>
                <c:pt idx="101">
                  <c:v>97</c:v>
                </c:pt>
                <c:pt idx="102">
                  <c:v>98</c:v>
                </c:pt>
                <c:pt idx="103">
                  <c:v>99</c:v>
                </c:pt>
                <c:pt idx="104">
                  <c:v>100</c:v>
                </c:pt>
                <c:pt idx="105">
                  <c:v>101</c:v>
                </c:pt>
                <c:pt idx="106">
                  <c:v>102</c:v>
                </c:pt>
                <c:pt idx="107">
                  <c:v>103</c:v>
                </c:pt>
                <c:pt idx="108">
                  <c:v>104</c:v>
                </c:pt>
                <c:pt idx="109">
                  <c:v>105</c:v>
                </c:pt>
                <c:pt idx="110">
                  <c:v>106</c:v>
                </c:pt>
                <c:pt idx="111">
                  <c:v>107</c:v>
                </c:pt>
                <c:pt idx="112">
                  <c:v>108</c:v>
                </c:pt>
                <c:pt idx="113">
                  <c:v>109</c:v>
                </c:pt>
                <c:pt idx="114">
                  <c:v>110</c:v>
                </c:pt>
                <c:pt idx="115">
                  <c:v>111</c:v>
                </c:pt>
                <c:pt idx="116">
                  <c:v>112</c:v>
                </c:pt>
                <c:pt idx="117">
                  <c:v>113</c:v>
                </c:pt>
                <c:pt idx="118">
                  <c:v>114</c:v>
                </c:pt>
                <c:pt idx="119">
                  <c:v>115</c:v>
                </c:pt>
                <c:pt idx="120">
                  <c:v>115</c:v>
                </c:pt>
                <c:pt idx="121">
                  <c:v>116</c:v>
                </c:pt>
                <c:pt idx="122">
                  <c:v>117</c:v>
                </c:pt>
                <c:pt idx="123">
                  <c:v>118</c:v>
                </c:pt>
                <c:pt idx="124">
                  <c:v>119</c:v>
                </c:pt>
                <c:pt idx="125">
                  <c:v>120</c:v>
                </c:pt>
                <c:pt idx="126">
                  <c:v>121</c:v>
                </c:pt>
                <c:pt idx="127">
                  <c:v>122</c:v>
                </c:pt>
                <c:pt idx="128">
                  <c:v>123</c:v>
                </c:pt>
                <c:pt idx="129">
                  <c:v>124</c:v>
                </c:pt>
                <c:pt idx="130">
                  <c:v>125</c:v>
                </c:pt>
                <c:pt idx="131">
                  <c:v>126</c:v>
                </c:pt>
                <c:pt idx="132">
                  <c:v>127</c:v>
                </c:pt>
                <c:pt idx="133">
                  <c:v>128</c:v>
                </c:pt>
                <c:pt idx="134">
                  <c:v>129</c:v>
                </c:pt>
                <c:pt idx="135">
                  <c:v>130</c:v>
                </c:pt>
                <c:pt idx="136">
                  <c:v>131</c:v>
                </c:pt>
                <c:pt idx="137">
                  <c:v>132</c:v>
                </c:pt>
                <c:pt idx="138">
                  <c:v>133</c:v>
                </c:pt>
                <c:pt idx="139">
                  <c:v>134</c:v>
                </c:pt>
                <c:pt idx="140">
                  <c:v>135</c:v>
                </c:pt>
                <c:pt idx="141">
                  <c:v>136</c:v>
                </c:pt>
                <c:pt idx="142">
                  <c:v>137</c:v>
                </c:pt>
                <c:pt idx="143">
                  <c:v>138</c:v>
                </c:pt>
                <c:pt idx="144">
                  <c:v>139</c:v>
                </c:pt>
                <c:pt idx="145">
                  <c:v>140</c:v>
                </c:pt>
                <c:pt idx="146">
                  <c:v>141</c:v>
                </c:pt>
                <c:pt idx="147">
                  <c:v>142</c:v>
                </c:pt>
                <c:pt idx="148">
                  <c:v>143</c:v>
                </c:pt>
                <c:pt idx="149">
                  <c:v>144</c:v>
                </c:pt>
                <c:pt idx="150">
                  <c:v>145</c:v>
                </c:pt>
                <c:pt idx="151">
                  <c:v>146</c:v>
                </c:pt>
                <c:pt idx="152">
                  <c:v>147</c:v>
                </c:pt>
                <c:pt idx="153">
                  <c:v>148</c:v>
                </c:pt>
                <c:pt idx="154">
                  <c:v>149</c:v>
                </c:pt>
                <c:pt idx="155">
                  <c:v>150</c:v>
                </c:pt>
                <c:pt idx="156">
                  <c:v>151</c:v>
                </c:pt>
                <c:pt idx="157">
                  <c:v>152</c:v>
                </c:pt>
                <c:pt idx="158">
                  <c:v>153</c:v>
                </c:pt>
                <c:pt idx="159">
                  <c:v>154</c:v>
                </c:pt>
                <c:pt idx="160">
                  <c:v>155</c:v>
                </c:pt>
                <c:pt idx="161">
                  <c:v>156</c:v>
                </c:pt>
                <c:pt idx="162">
                  <c:v>157</c:v>
                </c:pt>
                <c:pt idx="163">
                  <c:v>158</c:v>
                </c:pt>
                <c:pt idx="164">
                  <c:v>159</c:v>
                </c:pt>
                <c:pt idx="165">
                  <c:v>159</c:v>
                </c:pt>
                <c:pt idx="166">
                  <c:v>160</c:v>
                </c:pt>
                <c:pt idx="167">
                  <c:v>161</c:v>
                </c:pt>
                <c:pt idx="168">
                  <c:v>162</c:v>
                </c:pt>
                <c:pt idx="169">
                  <c:v>163</c:v>
                </c:pt>
                <c:pt idx="170">
                  <c:v>164</c:v>
                </c:pt>
                <c:pt idx="171">
                  <c:v>165</c:v>
                </c:pt>
                <c:pt idx="172">
                  <c:v>166</c:v>
                </c:pt>
                <c:pt idx="173">
                  <c:v>167</c:v>
                </c:pt>
                <c:pt idx="174">
                  <c:v>168</c:v>
                </c:pt>
                <c:pt idx="175">
                  <c:v>169</c:v>
                </c:pt>
                <c:pt idx="176">
                  <c:v>170</c:v>
                </c:pt>
                <c:pt idx="177">
                  <c:v>171</c:v>
                </c:pt>
                <c:pt idx="178">
                  <c:v>172</c:v>
                </c:pt>
                <c:pt idx="179">
                  <c:v>173</c:v>
                </c:pt>
                <c:pt idx="180">
                  <c:v>174</c:v>
                </c:pt>
                <c:pt idx="181">
                  <c:v>175</c:v>
                </c:pt>
                <c:pt idx="182">
                  <c:v>176</c:v>
                </c:pt>
                <c:pt idx="183">
                  <c:v>177</c:v>
                </c:pt>
                <c:pt idx="184">
                  <c:v>178</c:v>
                </c:pt>
                <c:pt idx="185">
                  <c:v>179</c:v>
                </c:pt>
                <c:pt idx="186">
                  <c:v>180</c:v>
                </c:pt>
                <c:pt idx="187">
                  <c:v>181</c:v>
                </c:pt>
                <c:pt idx="188">
                  <c:v>182</c:v>
                </c:pt>
                <c:pt idx="189">
                  <c:v>183</c:v>
                </c:pt>
                <c:pt idx="190">
                  <c:v>184</c:v>
                </c:pt>
                <c:pt idx="191">
                  <c:v>185</c:v>
                </c:pt>
                <c:pt idx="192">
                  <c:v>186</c:v>
                </c:pt>
                <c:pt idx="193">
                  <c:v>187</c:v>
                </c:pt>
                <c:pt idx="194">
                  <c:v>188</c:v>
                </c:pt>
                <c:pt idx="195">
                  <c:v>189</c:v>
                </c:pt>
                <c:pt idx="196">
                  <c:v>190</c:v>
                </c:pt>
                <c:pt idx="197">
                  <c:v>191</c:v>
                </c:pt>
                <c:pt idx="198">
                  <c:v>192</c:v>
                </c:pt>
                <c:pt idx="199">
                  <c:v>193</c:v>
                </c:pt>
                <c:pt idx="200">
                  <c:v>194</c:v>
                </c:pt>
                <c:pt idx="201">
                  <c:v>195</c:v>
                </c:pt>
                <c:pt idx="202">
                  <c:v>196</c:v>
                </c:pt>
                <c:pt idx="203">
                  <c:v>197</c:v>
                </c:pt>
                <c:pt idx="204">
                  <c:v>198</c:v>
                </c:pt>
                <c:pt idx="205">
                  <c:v>199</c:v>
                </c:pt>
                <c:pt idx="206">
                  <c:v>200</c:v>
                </c:pt>
                <c:pt idx="207">
                  <c:v>201</c:v>
                </c:pt>
                <c:pt idx="208">
                  <c:v>202</c:v>
                </c:pt>
                <c:pt idx="209">
                  <c:v>203</c:v>
                </c:pt>
                <c:pt idx="210">
                  <c:v>204</c:v>
                </c:pt>
                <c:pt idx="211">
                  <c:v>205</c:v>
                </c:pt>
                <c:pt idx="212">
                  <c:v>206</c:v>
                </c:pt>
                <c:pt idx="213">
                  <c:v>207</c:v>
                </c:pt>
                <c:pt idx="214">
                  <c:v>208</c:v>
                </c:pt>
                <c:pt idx="215">
                  <c:v>209</c:v>
                </c:pt>
                <c:pt idx="216">
                  <c:v>210</c:v>
                </c:pt>
                <c:pt idx="217">
                  <c:v>211</c:v>
                </c:pt>
                <c:pt idx="218">
                  <c:v>212</c:v>
                </c:pt>
                <c:pt idx="219">
                  <c:v>213</c:v>
                </c:pt>
                <c:pt idx="220">
                  <c:v>214</c:v>
                </c:pt>
                <c:pt idx="221">
                  <c:v>215</c:v>
                </c:pt>
                <c:pt idx="222">
                  <c:v>216</c:v>
                </c:pt>
                <c:pt idx="223">
                  <c:v>217</c:v>
                </c:pt>
                <c:pt idx="224">
                  <c:v>218</c:v>
                </c:pt>
                <c:pt idx="225">
                  <c:v>219</c:v>
                </c:pt>
                <c:pt idx="226">
                  <c:v>220</c:v>
                </c:pt>
                <c:pt idx="227">
                  <c:v>220</c:v>
                </c:pt>
                <c:pt idx="228">
                  <c:v>221</c:v>
                </c:pt>
                <c:pt idx="229">
                  <c:v>222</c:v>
                </c:pt>
                <c:pt idx="230">
                  <c:v>223</c:v>
                </c:pt>
                <c:pt idx="231">
                  <c:v>224</c:v>
                </c:pt>
                <c:pt idx="232">
                  <c:v>225</c:v>
                </c:pt>
                <c:pt idx="233">
                  <c:v>226</c:v>
                </c:pt>
                <c:pt idx="234">
                  <c:v>227</c:v>
                </c:pt>
                <c:pt idx="235">
                  <c:v>228</c:v>
                </c:pt>
                <c:pt idx="236">
                  <c:v>229</c:v>
                </c:pt>
                <c:pt idx="237">
                  <c:v>230</c:v>
                </c:pt>
                <c:pt idx="238">
                  <c:v>231</c:v>
                </c:pt>
                <c:pt idx="239">
                  <c:v>232</c:v>
                </c:pt>
                <c:pt idx="240">
                  <c:v>233</c:v>
                </c:pt>
                <c:pt idx="241">
                  <c:v>234</c:v>
                </c:pt>
                <c:pt idx="242">
                  <c:v>235</c:v>
                </c:pt>
                <c:pt idx="243">
                  <c:v>235</c:v>
                </c:pt>
                <c:pt idx="244">
                  <c:v>236</c:v>
                </c:pt>
                <c:pt idx="245">
                  <c:v>237</c:v>
                </c:pt>
                <c:pt idx="246">
                  <c:v>238</c:v>
                </c:pt>
                <c:pt idx="247">
                  <c:v>239</c:v>
                </c:pt>
                <c:pt idx="248">
                  <c:v>240</c:v>
                </c:pt>
                <c:pt idx="249">
                  <c:v>241</c:v>
                </c:pt>
                <c:pt idx="250">
                  <c:v>242</c:v>
                </c:pt>
                <c:pt idx="251">
                  <c:v>243</c:v>
                </c:pt>
                <c:pt idx="252">
                  <c:v>244</c:v>
                </c:pt>
                <c:pt idx="253">
                  <c:v>245</c:v>
                </c:pt>
                <c:pt idx="254">
                  <c:v>246</c:v>
                </c:pt>
                <c:pt idx="255">
                  <c:v>247</c:v>
                </c:pt>
                <c:pt idx="256">
                  <c:v>248</c:v>
                </c:pt>
                <c:pt idx="257">
                  <c:v>249</c:v>
                </c:pt>
                <c:pt idx="258">
                  <c:v>250</c:v>
                </c:pt>
                <c:pt idx="259">
                  <c:v>251</c:v>
                </c:pt>
                <c:pt idx="260">
                  <c:v>252</c:v>
                </c:pt>
                <c:pt idx="261">
                  <c:v>253</c:v>
                </c:pt>
                <c:pt idx="262">
                  <c:v>254</c:v>
                </c:pt>
                <c:pt idx="263">
                  <c:v>255</c:v>
                </c:pt>
                <c:pt idx="264">
                  <c:v>256</c:v>
                </c:pt>
                <c:pt idx="265">
                  <c:v>257</c:v>
                </c:pt>
                <c:pt idx="266">
                  <c:v>258</c:v>
                </c:pt>
                <c:pt idx="267">
                  <c:v>259</c:v>
                </c:pt>
                <c:pt idx="268">
                  <c:v>260</c:v>
                </c:pt>
                <c:pt idx="269">
                  <c:v>261</c:v>
                </c:pt>
                <c:pt idx="270">
                  <c:v>262</c:v>
                </c:pt>
                <c:pt idx="271">
                  <c:v>263</c:v>
                </c:pt>
                <c:pt idx="272">
                  <c:v>264</c:v>
                </c:pt>
                <c:pt idx="273">
                  <c:v>265</c:v>
                </c:pt>
                <c:pt idx="274">
                  <c:v>266</c:v>
                </c:pt>
                <c:pt idx="275">
                  <c:v>267</c:v>
                </c:pt>
                <c:pt idx="276">
                  <c:v>268</c:v>
                </c:pt>
                <c:pt idx="277">
                  <c:v>269</c:v>
                </c:pt>
                <c:pt idx="278">
                  <c:v>270</c:v>
                </c:pt>
                <c:pt idx="279">
                  <c:v>271</c:v>
                </c:pt>
                <c:pt idx="280">
                  <c:v>272</c:v>
                </c:pt>
                <c:pt idx="281">
                  <c:v>273</c:v>
                </c:pt>
                <c:pt idx="282">
                  <c:v>274</c:v>
                </c:pt>
                <c:pt idx="283">
                  <c:v>275</c:v>
                </c:pt>
                <c:pt idx="284">
                  <c:v>276</c:v>
                </c:pt>
                <c:pt idx="285">
                  <c:v>277</c:v>
                </c:pt>
                <c:pt idx="286">
                  <c:v>278</c:v>
                </c:pt>
                <c:pt idx="287">
                  <c:v>279</c:v>
                </c:pt>
                <c:pt idx="288">
                  <c:v>280</c:v>
                </c:pt>
                <c:pt idx="289">
                  <c:v>281</c:v>
                </c:pt>
                <c:pt idx="290">
                  <c:v>282</c:v>
                </c:pt>
                <c:pt idx="291">
                  <c:v>283</c:v>
                </c:pt>
                <c:pt idx="292">
                  <c:v>284</c:v>
                </c:pt>
                <c:pt idx="293">
                  <c:v>285</c:v>
                </c:pt>
                <c:pt idx="294">
                  <c:v>286</c:v>
                </c:pt>
                <c:pt idx="295">
                  <c:v>287</c:v>
                </c:pt>
                <c:pt idx="296">
                  <c:v>288</c:v>
                </c:pt>
                <c:pt idx="297">
                  <c:v>289</c:v>
                </c:pt>
                <c:pt idx="298">
                  <c:v>290</c:v>
                </c:pt>
                <c:pt idx="299">
                  <c:v>291</c:v>
                </c:pt>
                <c:pt idx="300">
                  <c:v>292</c:v>
                </c:pt>
                <c:pt idx="301">
                  <c:v>293</c:v>
                </c:pt>
                <c:pt idx="302">
                  <c:v>294</c:v>
                </c:pt>
                <c:pt idx="303">
                  <c:v>295</c:v>
                </c:pt>
                <c:pt idx="304">
                  <c:v>296</c:v>
                </c:pt>
                <c:pt idx="305">
                  <c:v>297</c:v>
                </c:pt>
                <c:pt idx="306">
                  <c:v>298</c:v>
                </c:pt>
                <c:pt idx="307">
                  <c:v>299</c:v>
                </c:pt>
                <c:pt idx="308">
                  <c:v>300</c:v>
                </c:pt>
                <c:pt idx="309">
                  <c:v>301</c:v>
                </c:pt>
                <c:pt idx="310">
                  <c:v>302</c:v>
                </c:pt>
                <c:pt idx="311">
                  <c:v>303</c:v>
                </c:pt>
                <c:pt idx="312">
                  <c:v>304</c:v>
                </c:pt>
                <c:pt idx="313">
                  <c:v>305</c:v>
                </c:pt>
                <c:pt idx="314">
                  <c:v>306</c:v>
                </c:pt>
                <c:pt idx="315">
                  <c:v>307</c:v>
                </c:pt>
                <c:pt idx="316">
                  <c:v>308</c:v>
                </c:pt>
                <c:pt idx="317">
                  <c:v>309</c:v>
                </c:pt>
                <c:pt idx="318">
                  <c:v>310</c:v>
                </c:pt>
                <c:pt idx="319">
                  <c:v>311</c:v>
                </c:pt>
                <c:pt idx="320">
                  <c:v>312</c:v>
                </c:pt>
                <c:pt idx="321">
                  <c:v>313</c:v>
                </c:pt>
                <c:pt idx="322">
                  <c:v>314</c:v>
                </c:pt>
                <c:pt idx="323">
                  <c:v>315</c:v>
                </c:pt>
                <c:pt idx="324">
                  <c:v>316</c:v>
                </c:pt>
                <c:pt idx="325">
                  <c:v>317</c:v>
                </c:pt>
                <c:pt idx="326">
                  <c:v>318</c:v>
                </c:pt>
                <c:pt idx="327">
                  <c:v>319</c:v>
                </c:pt>
                <c:pt idx="328">
                  <c:v>320</c:v>
                </c:pt>
                <c:pt idx="329">
                  <c:v>321</c:v>
                </c:pt>
                <c:pt idx="330">
                  <c:v>322</c:v>
                </c:pt>
                <c:pt idx="331">
                  <c:v>323</c:v>
                </c:pt>
                <c:pt idx="332">
                  <c:v>324</c:v>
                </c:pt>
                <c:pt idx="333">
                  <c:v>325</c:v>
                </c:pt>
                <c:pt idx="334">
                  <c:v>326</c:v>
                </c:pt>
                <c:pt idx="335">
                  <c:v>327</c:v>
                </c:pt>
                <c:pt idx="336">
                  <c:v>328</c:v>
                </c:pt>
                <c:pt idx="337">
                  <c:v>329</c:v>
                </c:pt>
                <c:pt idx="338">
                  <c:v>330</c:v>
                </c:pt>
                <c:pt idx="339">
                  <c:v>331</c:v>
                </c:pt>
                <c:pt idx="340">
                  <c:v>332</c:v>
                </c:pt>
                <c:pt idx="341">
                  <c:v>333</c:v>
                </c:pt>
                <c:pt idx="342">
                  <c:v>334</c:v>
                </c:pt>
                <c:pt idx="343">
                  <c:v>335</c:v>
                </c:pt>
                <c:pt idx="344">
                  <c:v>336</c:v>
                </c:pt>
                <c:pt idx="345">
                  <c:v>337</c:v>
                </c:pt>
                <c:pt idx="346">
                  <c:v>338</c:v>
                </c:pt>
                <c:pt idx="347">
                  <c:v>339</c:v>
                </c:pt>
                <c:pt idx="348">
                  <c:v>340</c:v>
                </c:pt>
                <c:pt idx="349">
                  <c:v>341</c:v>
                </c:pt>
                <c:pt idx="350">
                  <c:v>342</c:v>
                </c:pt>
                <c:pt idx="351">
                  <c:v>343</c:v>
                </c:pt>
                <c:pt idx="352">
                  <c:v>344</c:v>
                </c:pt>
                <c:pt idx="353">
                  <c:v>345</c:v>
                </c:pt>
                <c:pt idx="354">
                  <c:v>346</c:v>
                </c:pt>
                <c:pt idx="355">
                  <c:v>347</c:v>
                </c:pt>
                <c:pt idx="356">
                  <c:v>348</c:v>
                </c:pt>
                <c:pt idx="357">
                  <c:v>349</c:v>
                </c:pt>
                <c:pt idx="358">
                  <c:v>350</c:v>
                </c:pt>
                <c:pt idx="359">
                  <c:v>351</c:v>
                </c:pt>
                <c:pt idx="360">
                  <c:v>352</c:v>
                </c:pt>
                <c:pt idx="361">
                  <c:v>353</c:v>
                </c:pt>
                <c:pt idx="362">
                  <c:v>354</c:v>
                </c:pt>
                <c:pt idx="363">
                  <c:v>355</c:v>
                </c:pt>
                <c:pt idx="364">
                  <c:v>356</c:v>
                </c:pt>
                <c:pt idx="365">
                  <c:v>357</c:v>
                </c:pt>
                <c:pt idx="366">
                  <c:v>358</c:v>
                </c:pt>
                <c:pt idx="367">
                  <c:v>359</c:v>
                </c:pt>
                <c:pt idx="368">
                  <c:v>360</c:v>
                </c:pt>
                <c:pt idx="369">
                  <c:v>361</c:v>
                </c:pt>
                <c:pt idx="370">
                  <c:v>362</c:v>
                </c:pt>
                <c:pt idx="371">
                  <c:v>363</c:v>
                </c:pt>
                <c:pt idx="372">
                  <c:v>364</c:v>
                </c:pt>
                <c:pt idx="373">
                  <c:v>365</c:v>
                </c:pt>
                <c:pt idx="374">
                  <c:v>366</c:v>
                </c:pt>
                <c:pt idx="375">
                  <c:v>367</c:v>
                </c:pt>
                <c:pt idx="376">
                  <c:v>368</c:v>
                </c:pt>
                <c:pt idx="377">
                  <c:v>369</c:v>
                </c:pt>
                <c:pt idx="378">
                  <c:v>370</c:v>
                </c:pt>
                <c:pt idx="379">
                  <c:v>371</c:v>
                </c:pt>
                <c:pt idx="380">
                  <c:v>372</c:v>
                </c:pt>
                <c:pt idx="381">
                  <c:v>373</c:v>
                </c:pt>
                <c:pt idx="382">
                  <c:v>374</c:v>
                </c:pt>
                <c:pt idx="383">
                  <c:v>375</c:v>
                </c:pt>
                <c:pt idx="384">
                  <c:v>376</c:v>
                </c:pt>
                <c:pt idx="385">
                  <c:v>377</c:v>
                </c:pt>
                <c:pt idx="386">
                  <c:v>378</c:v>
                </c:pt>
                <c:pt idx="387">
                  <c:v>379</c:v>
                </c:pt>
                <c:pt idx="388">
                  <c:v>380</c:v>
                </c:pt>
                <c:pt idx="389">
                  <c:v>381</c:v>
                </c:pt>
                <c:pt idx="390">
                  <c:v>382</c:v>
                </c:pt>
                <c:pt idx="391">
                  <c:v>383</c:v>
                </c:pt>
                <c:pt idx="392">
                  <c:v>384</c:v>
                </c:pt>
                <c:pt idx="393">
                  <c:v>385</c:v>
                </c:pt>
                <c:pt idx="394">
                  <c:v>386</c:v>
                </c:pt>
                <c:pt idx="395">
                  <c:v>387</c:v>
                </c:pt>
                <c:pt idx="396">
                  <c:v>388</c:v>
                </c:pt>
                <c:pt idx="397">
                  <c:v>389</c:v>
                </c:pt>
                <c:pt idx="398">
                  <c:v>390</c:v>
                </c:pt>
                <c:pt idx="399">
                  <c:v>391</c:v>
                </c:pt>
                <c:pt idx="400">
                  <c:v>392</c:v>
                </c:pt>
                <c:pt idx="401">
                  <c:v>393</c:v>
                </c:pt>
                <c:pt idx="402">
                  <c:v>394</c:v>
                </c:pt>
                <c:pt idx="403">
                  <c:v>395</c:v>
                </c:pt>
                <c:pt idx="404">
                  <c:v>396</c:v>
                </c:pt>
                <c:pt idx="405">
                  <c:v>397</c:v>
                </c:pt>
                <c:pt idx="406">
                  <c:v>398</c:v>
                </c:pt>
                <c:pt idx="407">
                  <c:v>399</c:v>
                </c:pt>
                <c:pt idx="408">
                  <c:v>400</c:v>
                </c:pt>
                <c:pt idx="409">
                  <c:v>401</c:v>
                </c:pt>
                <c:pt idx="410">
                  <c:v>402</c:v>
                </c:pt>
                <c:pt idx="411">
                  <c:v>403</c:v>
                </c:pt>
                <c:pt idx="412">
                  <c:v>404</c:v>
                </c:pt>
                <c:pt idx="413">
                  <c:v>405</c:v>
                </c:pt>
                <c:pt idx="414">
                  <c:v>406</c:v>
                </c:pt>
                <c:pt idx="415">
                  <c:v>407</c:v>
                </c:pt>
                <c:pt idx="416">
                  <c:v>408</c:v>
                </c:pt>
                <c:pt idx="417">
                  <c:v>409</c:v>
                </c:pt>
                <c:pt idx="418">
                  <c:v>410</c:v>
                </c:pt>
                <c:pt idx="419">
                  <c:v>411</c:v>
                </c:pt>
                <c:pt idx="420">
                  <c:v>412</c:v>
                </c:pt>
                <c:pt idx="421">
                  <c:v>413</c:v>
                </c:pt>
                <c:pt idx="422">
                  <c:v>413</c:v>
                </c:pt>
                <c:pt idx="423">
                  <c:v>414</c:v>
                </c:pt>
                <c:pt idx="424">
                  <c:v>415</c:v>
                </c:pt>
                <c:pt idx="425">
                  <c:v>416</c:v>
                </c:pt>
                <c:pt idx="426">
                  <c:v>417</c:v>
                </c:pt>
                <c:pt idx="427">
                  <c:v>418</c:v>
                </c:pt>
                <c:pt idx="428">
                  <c:v>419</c:v>
                </c:pt>
                <c:pt idx="429">
                  <c:v>420</c:v>
                </c:pt>
                <c:pt idx="430">
                  <c:v>421</c:v>
                </c:pt>
                <c:pt idx="431">
                  <c:v>422</c:v>
                </c:pt>
                <c:pt idx="432">
                  <c:v>423</c:v>
                </c:pt>
                <c:pt idx="433">
                  <c:v>424</c:v>
                </c:pt>
                <c:pt idx="434">
                  <c:v>425</c:v>
                </c:pt>
                <c:pt idx="435">
                  <c:v>426</c:v>
                </c:pt>
                <c:pt idx="436">
                  <c:v>427</c:v>
                </c:pt>
                <c:pt idx="437">
                  <c:v>427</c:v>
                </c:pt>
                <c:pt idx="438">
                  <c:v>427</c:v>
                </c:pt>
                <c:pt idx="439">
                  <c:v>427</c:v>
                </c:pt>
                <c:pt idx="440">
                  <c:v>427</c:v>
                </c:pt>
                <c:pt idx="441">
                  <c:v>427</c:v>
                </c:pt>
                <c:pt idx="442">
                  <c:v>427</c:v>
                </c:pt>
                <c:pt idx="443">
                  <c:v>427</c:v>
                </c:pt>
                <c:pt idx="444">
                  <c:v>427</c:v>
                </c:pt>
                <c:pt idx="445">
                  <c:v>427</c:v>
                </c:pt>
                <c:pt idx="446">
                  <c:v>427</c:v>
                </c:pt>
                <c:pt idx="447">
                  <c:v>427</c:v>
                </c:pt>
                <c:pt idx="448">
                  <c:v>427</c:v>
                </c:pt>
                <c:pt idx="449">
                  <c:v>427</c:v>
                </c:pt>
                <c:pt idx="450">
                  <c:v>427</c:v>
                </c:pt>
                <c:pt idx="451">
                  <c:v>427</c:v>
                </c:pt>
                <c:pt idx="452">
                  <c:v>427</c:v>
                </c:pt>
                <c:pt idx="453">
                  <c:v>427</c:v>
                </c:pt>
                <c:pt idx="454">
                  <c:v>427</c:v>
                </c:pt>
                <c:pt idx="455">
                  <c:v>427</c:v>
                </c:pt>
                <c:pt idx="456">
                  <c:v>427</c:v>
                </c:pt>
                <c:pt idx="457">
                  <c:v>427</c:v>
                </c:pt>
                <c:pt idx="458">
                  <c:v>427</c:v>
                </c:pt>
                <c:pt idx="459">
                  <c:v>427</c:v>
                </c:pt>
                <c:pt idx="460">
                  <c:v>427</c:v>
                </c:pt>
                <c:pt idx="461">
                  <c:v>427</c:v>
                </c:pt>
                <c:pt idx="462">
                  <c:v>427</c:v>
                </c:pt>
                <c:pt idx="463">
                  <c:v>427</c:v>
                </c:pt>
                <c:pt idx="464">
                  <c:v>427</c:v>
                </c:pt>
                <c:pt idx="465">
                  <c:v>427</c:v>
                </c:pt>
                <c:pt idx="466">
                  <c:v>427</c:v>
                </c:pt>
                <c:pt idx="467">
                  <c:v>427</c:v>
                </c:pt>
                <c:pt idx="468">
                  <c:v>427</c:v>
                </c:pt>
                <c:pt idx="469">
                  <c:v>427</c:v>
                </c:pt>
                <c:pt idx="470">
                  <c:v>427</c:v>
                </c:pt>
                <c:pt idx="471">
                  <c:v>427</c:v>
                </c:pt>
                <c:pt idx="472">
                  <c:v>427</c:v>
                </c:pt>
                <c:pt idx="473">
                  <c:v>427</c:v>
                </c:pt>
                <c:pt idx="474">
                  <c:v>427</c:v>
                </c:pt>
                <c:pt idx="475">
                  <c:v>427</c:v>
                </c:pt>
                <c:pt idx="476">
                  <c:v>427</c:v>
                </c:pt>
                <c:pt idx="477">
                  <c:v>427</c:v>
                </c:pt>
                <c:pt idx="478">
                  <c:v>427</c:v>
                </c:pt>
                <c:pt idx="479">
                  <c:v>427</c:v>
                </c:pt>
                <c:pt idx="480">
                  <c:v>427</c:v>
                </c:pt>
                <c:pt idx="481">
                  <c:v>427</c:v>
                </c:pt>
                <c:pt idx="482">
                  <c:v>427</c:v>
                </c:pt>
                <c:pt idx="483">
                  <c:v>427</c:v>
                </c:pt>
                <c:pt idx="484">
                  <c:v>427</c:v>
                </c:pt>
                <c:pt idx="485">
                  <c:v>427</c:v>
                </c:pt>
                <c:pt idx="486">
                  <c:v>427</c:v>
                </c:pt>
                <c:pt idx="487">
                  <c:v>427</c:v>
                </c:pt>
                <c:pt idx="488">
                  <c:v>427</c:v>
                </c:pt>
                <c:pt idx="489">
                  <c:v>427</c:v>
                </c:pt>
                <c:pt idx="490">
                  <c:v>427</c:v>
                </c:pt>
                <c:pt idx="491">
                  <c:v>427</c:v>
                </c:pt>
                <c:pt idx="492">
                  <c:v>427</c:v>
                </c:pt>
                <c:pt idx="493">
                  <c:v>427</c:v>
                </c:pt>
                <c:pt idx="494">
                  <c:v>427</c:v>
                </c:pt>
                <c:pt idx="495">
                  <c:v>427</c:v>
                </c:pt>
                <c:pt idx="496">
                  <c:v>427</c:v>
                </c:pt>
                <c:pt idx="497">
                  <c:v>427</c:v>
                </c:pt>
                <c:pt idx="498">
                  <c:v>427</c:v>
                </c:pt>
                <c:pt idx="499">
                  <c:v>427</c:v>
                </c:pt>
                <c:pt idx="500">
                  <c:v>427</c:v>
                </c:pt>
                <c:pt idx="501">
                  <c:v>427</c:v>
                </c:pt>
                <c:pt idx="502">
                  <c:v>428</c:v>
                </c:pt>
                <c:pt idx="503">
                  <c:v>428</c:v>
                </c:pt>
                <c:pt idx="504">
                  <c:v>428</c:v>
                </c:pt>
                <c:pt idx="505">
                  <c:v>428</c:v>
                </c:pt>
                <c:pt idx="506">
                  <c:v>428</c:v>
                </c:pt>
                <c:pt idx="507">
                  <c:v>428</c:v>
                </c:pt>
                <c:pt idx="508">
                  <c:v>428</c:v>
                </c:pt>
                <c:pt idx="509">
                  <c:v>428</c:v>
                </c:pt>
                <c:pt idx="510">
                  <c:v>428</c:v>
                </c:pt>
                <c:pt idx="511">
                  <c:v>428</c:v>
                </c:pt>
                <c:pt idx="512">
                  <c:v>428</c:v>
                </c:pt>
                <c:pt idx="513">
                  <c:v>428</c:v>
                </c:pt>
                <c:pt idx="514">
                  <c:v>428</c:v>
                </c:pt>
                <c:pt idx="515">
                  <c:v>428</c:v>
                </c:pt>
                <c:pt idx="516">
                  <c:v>428</c:v>
                </c:pt>
                <c:pt idx="517">
                  <c:v>428</c:v>
                </c:pt>
                <c:pt idx="518">
                  <c:v>428</c:v>
                </c:pt>
                <c:pt idx="519">
                  <c:v>428</c:v>
                </c:pt>
                <c:pt idx="520">
                  <c:v>428</c:v>
                </c:pt>
                <c:pt idx="521">
                  <c:v>428</c:v>
                </c:pt>
                <c:pt idx="522">
                  <c:v>428</c:v>
                </c:pt>
                <c:pt idx="523">
                  <c:v>428</c:v>
                </c:pt>
                <c:pt idx="524">
                  <c:v>428</c:v>
                </c:pt>
                <c:pt idx="525">
                  <c:v>428</c:v>
                </c:pt>
                <c:pt idx="526">
                  <c:v>428</c:v>
                </c:pt>
                <c:pt idx="527">
                  <c:v>428</c:v>
                </c:pt>
                <c:pt idx="528">
                  <c:v>428</c:v>
                </c:pt>
                <c:pt idx="529">
                  <c:v>428</c:v>
                </c:pt>
                <c:pt idx="530">
                  <c:v>428</c:v>
                </c:pt>
                <c:pt idx="531">
                  <c:v>428</c:v>
                </c:pt>
                <c:pt idx="532">
                  <c:v>428</c:v>
                </c:pt>
                <c:pt idx="533">
                  <c:v>428</c:v>
                </c:pt>
                <c:pt idx="534">
                  <c:v>428</c:v>
                </c:pt>
                <c:pt idx="535">
                  <c:v>428</c:v>
                </c:pt>
                <c:pt idx="536">
                  <c:v>428</c:v>
                </c:pt>
                <c:pt idx="537">
                  <c:v>428</c:v>
                </c:pt>
                <c:pt idx="538">
                  <c:v>428</c:v>
                </c:pt>
                <c:pt idx="539">
                  <c:v>428</c:v>
                </c:pt>
                <c:pt idx="540">
                  <c:v>428</c:v>
                </c:pt>
                <c:pt idx="541">
                  <c:v>428</c:v>
                </c:pt>
                <c:pt idx="542">
                  <c:v>428</c:v>
                </c:pt>
                <c:pt idx="543">
                  <c:v>428</c:v>
                </c:pt>
                <c:pt idx="544">
                  <c:v>428</c:v>
                </c:pt>
                <c:pt idx="545">
                  <c:v>428</c:v>
                </c:pt>
                <c:pt idx="546">
                  <c:v>428</c:v>
                </c:pt>
                <c:pt idx="547">
                  <c:v>428</c:v>
                </c:pt>
                <c:pt idx="548">
                  <c:v>428</c:v>
                </c:pt>
                <c:pt idx="549">
                  <c:v>428</c:v>
                </c:pt>
                <c:pt idx="550">
                  <c:v>428</c:v>
                </c:pt>
                <c:pt idx="551">
                  <c:v>428</c:v>
                </c:pt>
                <c:pt idx="552">
                  <c:v>428</c:v>
                </c:pt>
                <c:pt idx="553">
                  <c:v>428</c:v>
                </c:pt>
                <c:pt idx="554">
                  <c:v>428</c:v>
                </c:pt>
                <c:pt idx="555">
                  <c:v>428</c:v>
                </c:pt>
                <c:pt idx="556">
                  <c:v>428</c:v>
                </c:pt>
                <c:pt idx="557">
                  <c:v>428</c:v>
                </c:pt>
                <c:pt idx="558">
                  <c:v>428</c:v>
                </c:pt>
                <c:pt idx="559">
                  <c:v>428</c:v>
                </c:pt>
                <c:pt idx="560">
                  <c:v>428</c:v>
                </c:pt>
                <c:pt idx="561">
                  <c:v>428</c:v>
                </c:pt>
                <c:pt idx="562">
                  <c:v>428</c:v>
                </c:pt>
                <c:pt idx="563">
                  <c:v>428</c:v>
                </c:pt>
                <c:pt idx="564">
                  <c:v>428</c:v>
                </c:pt>
                <c:pt idx="565">
                  <c:v>429</c:v>
                </c:pt>
                <c:pt idx="566">
                  <c:v>429</c:v>
                </c:pt>
                <c:pt idx="567">
                  <c:v>429</c:v>
                </c:pt>
                <c:pt idx="568">
                  <c:v>429</c:v>
                </c:pt>
                <c:pt idx="569">
                  <c:v>429</c:v>
                </c:pt>
                <c:pt idx="570">
                  <c:v>429</c:v>
                </c:pt>
                <c:pt idx="571">
                  <c:v>429</c:v>
                </c:pt>
                <c:pt idx="572">
                  <c:v>429</c:v>
                </c:pt>
                <c:pt idx="573">
                  <c:v>429</c:v>
                </c:pt>
                <c:pt idx="574">
                  <c:v>429</c:v>
                </c:pt>
                <c:pt idx="575">
                  <c:v>429</c:v>
                </c:pt>
                <c:pt idx="576">
                  <c:v>429</c:v>
                </c:pt>
                <c:pt idx="577">
                  <c:v>429</c:v>
                </c:pt>
                <c:pt idx="578">
                  <c:v>429</c:v>
                </c:pt>
                <c:pt idx="579">
                  <c:v>429</c:v>
                </c:pt>
                <c:pt idx="580">
                  <c:v>429</c:v>
                </c:pt>
                <c:pt idx="581">
                  <c:v>429</c:v>
                </c:pt>
                <c:pt idx="582">
                  <c:v>429</c:v>
                </c:pt>
                <c:pt idx="583">
                  <c:v>429</c:v>
                </c:pt>
                <c:pt idx="584">
                  <c:v>429</c:v>
                </c:pt>
                <c:pt idx="585">
                  <c:v>429</c:v>
                </c:pt>
                <c:pt idx="586">
                  <c:v>429</c:v>
                </c:pt>
                <c:pt idx="587">
                  <c:v>429</c:v>
                </c:pt>
                <c:pt idx="588">
                  <c:v>429</c:v>
                </c:pt>
                <c:pt idx="589">
                  <c:v>429</c:v>
                </c:pt>
                <c:pt idx="590">
                  <c:v>429</c:v>
                </c:pt>
                <c:pt idx="591">
                  <c:v>429</c:v>
                </c:pt>
                <c:pt idx="592">
                  <c:v>429</c:v>
                </c:pt>
                <c:pt idx="593">
                  <c:v>429</c:v>
                </c:pt>
                <c:pt idx="594">
                  <c:v>429</c:v>
                </c:pt>
                <c:pt idx="595">
                  <c:v>429</c:v>
                </c:pt>
                <c:pt idx="596">
                  <c:v>429</c:v>
                </c:pt>
                <c:pt idx="597">
                  <c:v>429</c:v>
                </c:pt>
                <c:pt idx="598">
                  <c:v>429</c:v>
                </c:pt>
                <c:pt idx="599">
                  <c:v>429</c:v>
                </c:pt>
              </c:numCache>
            </c:numRef>
          </c:yVal>
          <c:smooth val="1"/>
        </c:ser>
        <c:ser>
          <c:idx val="1"/>
          <c:order val="1"/>
          <c:tx>
            <c:v>Cumulative RESPONSE using average</c:v>
          </c:tx>
          <c:spPr>
            <a:ln w="6350"/>
          </c:spPr>
          <c:marker>
            <c:symbol val="none"/>
          </c:marker>
          <c:xVal>
            <c:numRef>
              <c:f>NNC_TrainingLiftChart!$AZ$4:$AZ$603</c:f>
              <c:numCache>
                <c:formatCode>General</c:formatCode>
                <c:ptCount val="6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numCache>
            </c:numRef>
          </c:xVal>
          <c:yVal>
            <c:numRef>
              <c:f>NNC_TrainingLiftChart!$BD$4:$BD$603</c:f>
              <c:numCache>
                <c:formatCode>General</c:formatCode>
                <c:ptCount val="600"/>
                <c:pt idx="0">
                  <c:v>0.71499999999999997</c:v>
                </c:pt>
                <c:pt idx="1">
                  <c:v>1.43</c:v>
                </c:pt>
                <c:pt idx="2">
                  <c:v>2.145</c:v>
                </c:pt>
                <c:pt idx="3">
                  <c:v>2.86</c:v>
                </c:pt>
                <c:pt idx="4">
                  <c:v>3.5749999999999997</c:v>
                </c:pt>
                <c:pt idx="5">
                  <c:v>4.29</c:v>
                </c:pt>
                <c:pt idx="6">
                  <c:v>5.0049999999999999</c:v>
                </c:pt>
                <c:pt idx="7">
                  <c:v>5.72</c:v>
                </c:pt>
                <c:pt idx="8">
                  <c:v>6.4349999999999996</c:v>
                </c:pt>
                <c:pt idx="9">
                  <c:v>7.1499999999999995</c:v>
                </c:pt>
                <c:pt idx="10">
                  <c:v>7.8649999999999993</c:v>
                </c:pt>
                <c:pt idx="11">
                  <c:v>8.58</c:v>
                </c:pt>
                <c:pt idx="12">
                  <c:v>9.2949999999999999</c:v>
                </c:pt>
                <c:pt idx="13">
                  <c:v>10.01</c:v>
                </c:pt>
                <c:pt idx="14">
                  <c:v>10.725</c:v>
                </c:pt>
                <c:pt idx="15">
                  <c:v>11.44</c:v>
                </c:pt>
                <c:pt idx="16">
                  <c:v>12.154999999999999</c:v>
                </c:pt>
                <c:pt idx="17">
                  <c:v>12.87</c:v>
                </c:pt>
                <c:pt idx="18">
                  <c:v>13.584999999999999</c:v>
                </c:pt>
                <c:pt idx="19">
                  <c:v>14.299999999999999</c:v>
                </c:pt>
                <c:pt idx="20">
                  <c:v>15.014999999999999</c:v>
                </c:pt>
                <c:pt idx="21">
                  <c:v>15.729999999999999</c:v>
                </c:pt>
                <c:pt idx="22">
                  <c:v>16.445</c:v>
                </c:pt>
                <c:pt idx="23">
                  <c:v>17.16</c:v>
                </c:pt>
                <c:pt idx="24">
                  <c:v>17.875</c:v>
                </c:pt>
                <c:pt idx="25">
                  <c:v>18.59</c:v>
                </c:pt>
                <c:pt idx="26">
                  <c:v>19.305</c:v>
                </c:pt>
                <c:pt idx="27">
                  <c:v>20.02</c:v>
                </c:pt>
                <c:pt idx="28">
                  <c:v>20.734999999999999</c:v>
                </c:pt>
                <c:pt idx="29">
                  <c:v>21.45</c:v>
                </c:pt>
                <c:pt idx="30">
                  <c:v>22.164999999999999</c:v>
                </c:pt>
                <c:pt idx="31">
                  <c:v>22.88</c:v>
                </c:pt>
                <c:pt idx="32">
                  <c:v>23.594999999999999</c:v>
                </c:pt>
                <c:pt idx="33">
                  <c:v>24.31</c:v>
                </c:pt>
                <c:pt idx="34">
                  <c:v>25.024999999999999</c:v>
                </c:pt>
                <c:pt idx="35">
                  <c:v>25.74</c:v>
                </c:pt>
                <c:pt idx="36">
                  <c:v>26.454999999999998</c:v>
                </c:pt>
                <c:pt idx="37">
                  <c:v>27.169999999999998</c:v>
                </c:pt>
                <c:pt idx="38">
                  <c:v>27.884999999999998</c:v>
                </c:pt>
                <c:pt idx="39">
                  <c:v>28.599999999999998</c:v>
                </c:pt>
                <c:pt idx="40">
                  <c:v>29.314999999999998</c:v>
                </c:pt>
                <c:pt idx="41">
                  <c:v>30.029999999999998</c:v>
                </c:pt>
                <c:pt idx="42">
                  <c:v>30.744999999999997</c:v>
                </c:pt>
                <c:pt idx="43">
                  <c:v>31.459999999999997</c:v>
                </c:pt>
                <c:pt idx="44">
                  <c:v>32.174999999999997</c:v>
                </c:pt>
                <c:pt idx="45">
                  <c:v>32.89</c:v>
                </c:pt>
                <c:pt idx="46">
                  <c:v>33.604999999999997</c:v>
                </c:pt>
                <c:pt idx="47">
                  <c:v>34.32</c:v>
                </c:pt>
                <c:pt idx="48">
                  <c:v>35.034999999999997</c:v>
                </c:pt>
                <c:pt idx="49">
                  <c:v>35.75</c:v>
                </c:pt>
                <c:pt idx="50">
                  <c:v>36.464999999999996</c:v>
                </c:pt>
                <c:pt idx="51">
                  <c:v>37.18</c:v>
                </c:pt>
                <c:pt idx="52">
                  <c:v>37.894999999999996</c:v>
                </c:pt>
                <c:pt idx="53">
                  <c:v>38.61</c:v>
                </c:pt>
                <c:pt idx="54">
                  <c:v>39.324999999999996</c:v>
                </c:pt>
                <c:pt idx="55">
                  <c:v>40.04</c:v>
                </c:pt>
                <c:pt idx="56">
                  <c:v>40.754999999999995</c:v>
                </c:pt>
                <c:pt idx="57">
                  <c:v>41.47</c:v>
                </c:pt>
                <c:pt idx="58">
                  <c:v>42.184999999999995</c:v>
                </c:pt>
                <c:pt idx="59">
                  <c:v>42.9</c:v>
                </c:pt>
                <c:pt idx="60">
                  <c:v>43.614999999999995</c:v>
                </c:pt>
                <c:pt idx="61">
                  <c:v>44.33</c:v>
                </c:pt>
                <c:pt idx="62">
                  <c:v>45.044999999999995</c:v>
                </c:pt>
                <c:pt idx="63">
                  <c:v>45.76</c:v>
                </c:pt>
                <c:pt idx="64">
                  <c:v>46.475000000000001</c:v>
                </c:pt>
                <c:pt idx="65">
                  <c:v>47.19</c:v>
                </c:pt>
                <c:pt idx="66">
                  <c:v>47.905000000000001</c:v>
                </c:pt>
                <c:pt idx="67">
                  <c:v>48.62</c:v>
                </c:pt>
                <c:pt idx="68">
                  <c:v>49.335000000000001</c:v>
                </c:pt>
                <c:pt idx="69">
                  <c:v>50.05</c:v>
                </c:pt>
                <c:pt idx="70">
                  <c:v>50.765000000000001</c:v>
                </c:pt>
                <c:pt idx="71">
                  <c:v>51.48</c:v>
                </c:pt>
                <c:pt idx="72">
                  <c:v>52.195</c:v>
                </c:pt>
                <c:pt idx="73">
                  <c:v>52.91</c:v>
                </c:pt>
                <c:pt idx="74">
                  <c:v>53.625</c:v>
                </c:pt>
                <c:pt idx="75">
                  <c:v>54.339999999999996</c:v>
                </c:pt>
                <c:pt idx="76">
                  <c:v>55.055</c:v>
                </c:pt>
                <c:pt idx="77">
                  <c:v>55.769999999999996</c:v>
                </c:pt>
                <c:pt idx="78">
                  <c:v>56.484999999999999</c:v>
                </c:pt>
                <c:pt idx="79">
                  <c:v>57.199999999999996</c:v>
                </c:pt>
                <c:pt idx="80">
                  <c:v>57.914999999999999</c:v>
                </c:pt>
                <c:pt idx="81">
                  <c:v>58.629999999999995</c:v>
                </c:pt>
                <c:pt idx="82">
                  <c:v>59.344999999999999</c:v>
                </c:pt>
                <c:pt idx="83">
                  <c:v>60.059999999999995</c:v>
                </c:pt>
                <c:pt idx="84">
                  <c:v>60.774999999999999</c:v>
                </c:pt>
                <c:pt idx="85">
                  <c:v>61.489999999999995</c:v>
                </c:pt>
                <c:pt idx="86">
                  <c:v>62.204999999999998</c:v>
                </c:pt>
                <c:pt idx="87">
                  <c:v>62.919999999999995</c:v>
                </c:pt>
                <c:pt idx="88">
                  <c:v>63.634999999999998</c:v>
                </c:pt>
                <c:pt idx="89">
                  <c:v>64.349999999999994</c:v>
                </c:pt>
                <c:pt idx="90">
                  <c:v>65.064999999999998</c:v>
                </c:pt>
                <c:pt idx="91">
                  <c:v>65.78</c:v>
                </c:pt>
                <c:pt idx="92">
                  <c:v>66.49499999999999</c:v>
                </c:pt>
                <c:pt idx="93">
                  <c:v>67.209999999999994</c:v>
                </c:pt>
                <c:pt idx="94">
                  <c:v>67.924999999999997</c:v>
                </c:pt>
                <c:pt idx="95">
                  <c:v>68.64</c:v>
                </c:pt>
                <c:pt idx="96">
                  <c:v>69.355000000000004</c:v>
                </c:pt>
                <c:pt idx="97">
                  <c:v>70.069999999999993</c:v>
                </c:pt>
                <c:pt idx="98">
                  <c:v>70.784999999999997</c:v>
                </c:pt>
                <c:pt idx="99">
                  <c:v>71.5</c:v>
                </c:pt>
                <c:pt idx="100">
                  <c:v>72.215000000000003</c:v>
                </c:pt>
                <c:pt idx="101">
                  <c:v>72.929999999999993</c:v>
                </c:pt>
                <c:pt idx="102">
                  <c:v>73.644999999999996</c:v>
                </c:pt>
                <c:pt idx="103">
                  <c:v>74.36</c:v>
                </c:pt>
                <c:pt idx="104">
                  <c:v>75.075000000000003</c:v>
                </c:pt>
                <c:pt idx="105">
                  <c:v>75.789999999999992</c:v>
                </c:pt>
                <c:pt idx="106">
                  <c:v>76.504999999999995</c:v>
                </c:pt>
                <c:pt idx="107">
                  <c:v>77.22</c:v>
                </c:pt>
                <c:pt idx="108">
                  <c:v>77.935000000000002</c:v>
                </c:pt>
                <c:pt idx="109">
                  <c:v>78.649999999999991</c:v>
                </c:pt>
                <c:pt idx="110">
                  <c:v>79.364999999999995</c:v>
                </c:pt>
                <c:pt idx="111">
                  <c:v>80.08</c:v>
                </c:pt>
                <c:pt idx="112">
                  <c:v>80.795000000000002</c:v>
                </c:pt>
                <c:pt idx="113">
                  <c:v>81.509999999999991</c:v>
                </c:pt>
                <c:pt idx="114">
                  <c:v>82.224999999999994</c:v>
                </c:pt>
                <c:pt idx="115">
                  <c:v>82.94</c:v>
                </c:pt>
                <c:pt idx="116">
                  <c:v>83.655000000000001</c:v>
                </c:pt>
                <c:pt idx="117">
                  <c:v>84.36999999999999</c:v>
                </c:pt>
                <c:pt idx="118">
                  <c:v>85.084999999999994</c:v>
                </c:pt>
                <c:pt idx="119">
                  <c:v>85.8</c:v>
                </c:pt>
                <c:pt idx="120">
                  <c:v>86.515000000000001</c:v>
                </c:pt>
                <c:pt idx="121">
                  <c:v>87.22999999999999</c:v>
                </c:pt>
                <c:pt idx="122">
                  <c:v>87.944999999999993</c:v>
                </c:pt>
                <c:pt idx="123">
                  <c:v>88.66</c:v>
                </c:pt>
                <c:pt idx="124">
                  <c:v>89.375</c:v>
                </c:pt>
                <c:pt idx="125">
                  <c:v>90.089999999999989</c:v>
                </c:pt>
                <c:pt idx="126">
                  <c:v>90.804999999999993</c:v>
                </c:pt>
                <c:pt idx="127">
                  <c:v>91.52</c:v>
                </c:pt>
                <c:pt idx="128">
                  <c:v>92.234999999999999</c:v>
                </c:pt>
                <c:pt idx="129">
                  <c:v>92.95</c:v>
                </c:pt>
                <c:pt idx="130">
                  <c:v>93.664999999999992</c:v>
                </c:pt>
                <c:pt idx="131">
                  <c:v>94.38</c:v>
                </c:pt>
                <c:pt idx="132">
                  <c:v>95.094999999999999</c:v>
                </c:pt>
                <c:pt idx="133">
                  <c:v>95.81</c:v>
                </c:pt>
                <c:pt idx="134">
                  <c:v>96.524999999999991</c:v>
                </c:pt>
                <c:pt idx="135">
                  <c:v>97.24</c:v>
                </c:pt>
                <c:pt idx="136">
                  <c:v>97.954999999999998</c:v>
                </c:pt>
                <c:pt idx="137">
                  <c:v>98.67</c:v>
                </c:pt>
                <c:pt idx="138">
                  <c:v>99.384999999999991</c:v>
                </c:pt>
                <c:pt idx="139">
                  <c:v>100.1</c:v>
                </c:pt>
                <c:pt idx="140">
                  <c:v>100.815</c:v>
                </c:pt>
                <c:pt idx="141">
                  <c:v>101.53</c:v>
                </c:pt>
                <c:pt idx="142">
                  <c:v>102.24499999999999</c:v>
                </c:pt>
                <c:pt idx="143">
                  <c:v>102.96</c:v>
                </c:pt>
                <c:pt idx="144">
                  <c:v>103.675</c:v>
                </c:pt>
                <c:pt idx="145">
                  <c:v>104.39</c:v>
                </c:pt>
                <c:pt idx="146">
                  <c:v>105.10499999999999</c:v>
                </c:pt>
                <c:pt idx="147">
                  <c:v>105.82</c:v>
                </c:pt>
                <c:pt idx="148">
                  <c:v>106.535</c:v>
                </c:pt>
                <c:pt idx="149">
                  <c:v>107.25</c:v>
                </c:pt>
                <c:pt idx="150">
                  <c:v>107.96499999999999</c:v>
                </c:pt>
                <c:pt idx="151">
                  <c:v>108.67999999999999</c:v>
                </c:pt>
                <c:pt idx="152">
                  <c:v>109.395</c:v>
                </c:pt>
                <c:pt idx="153">
                  <c:v>110.11</c:v>
                </c:pt>
                <c:pt idx="154">
                  <c:v>110.82499999999999</c:v>
                </c:pt>
                <c:pt idx="155">
                  <c:v>111.53999999999999</c:v>
                </c:pt>
                <c:pt idx="156">
                  <c:v>112.255</c:v>
                </c:pt>
                <c:pt idx="157">
                  <c:v>112.97</c:v>
                </c:pt>
                <c:pt idx="158">
                  <c:v>113.68499999999999</c:v>
                </c:pt>
                <c:pt idx="159">
                  <c:v>114.39999999999999</c:v>
                </c:pt>
                <c:pt idx="160">
                  <c:v>115.11499999999999</c:v>
                </c:pt>
                <c:pt idx="161">
                  <c:v>115.83</c:v>
                </c:pt>
                <c:pt idx="162">
                  <c:v>116.545</c:v>
                </c:pt>
                <c:pt idx="163">
                  <c:v>117.25999999999999</c:v>
                </c:pt>
                <c:pt idx="164">
                  <c:v>117.97499999999999</c:v>
                </c:pt>
                <c:pt idx="165">
                  <c:v>118.69</c:v>
                </c:pt>
                <c:pt idx="166">
                  <c:v>119.405</c:v>
                </c:pt>
                <c:pt idx="167">
                  <c:v>120.11999999999999</c:v>
                </c:pt>
                <c:pt idx="168">
                  <c:v>120.83499999999999</c:v>
                </c:pt>
                <c:pt idx="169">
                  <c:v>121.55</c:v>
                </c:pt>
                <c:pt idx="170">
                  <c:v>122.265</c:v>
                </c:pt>
                <c:pt idx="171">
                  <c:v>122.97999999999999</c:v>
                </c:pt>
                <c:pt idx="172">
                  <c:v>123.69499999999999</c:v>
                </c:pt>
                <c:pt idx="173">
                  <c:v>124.41</c:v>
                </c:pt>
                <c:pt idx="174">
                  <c:v>125.125</c:v>
                </c:pt>
                <c:pt idx="175">
                  <c:v>125.83999999999999</c:v>
                </c:pt>
                <c:pt idx="176">
                  <c:v>126.55499999999999</c:v>
                </c:pt>
                <c:pt idx="177">
                  <c:v>127.27</c:v>
                </c:pt>
                <c:pt idx="178">
                  <c:v>127.985</c:v>
                </c:pt>
                <c:pt idx="179">
                  <c:v>128.69999999999999</c:v>
                </c:pt>
                <c:pt idx="180">
                  <c:v>129.41499999999999</c:v>
                </c:pt>
                <c:pt idx="181">
                  <c:v>130.13</c:v>
                </c:pt>
                <c:pt idx="182">
                  <c:v>130.845</c:v>
                </c:pt>
                <c:pt idx="183">
                  <c:v>131.56</c:v>
                </c:pt>
                <c:pt idx="184">
                  <c:v>132.27500000000001</c:v>
                </c:pt>
                <c:pt idx="185">
                  <c:v>132.98999999999998</c:v>
                </c:pt>
                <c:pt idx="186">
                  <c:v>133.70499999999998</c:v>
                </c:pt>
                <c:pt idx="187">
                  <c:v>134.41999999999999</c:v>
                </c:pt>
                <c:pt idx="188">
                  <c:v>135.13499999999999</c:v>
                </c:pt>
                <c:pt idx="189">
                  <c:v>135.85</c:v>
                </c:pt>
                <c:pt idx="190">
                  <c:v>136.565</c:v>
                </c:pt>
                <c:pt idx="191">
                  <c:v>137.28</c:v>
                </c:pt>
                <c:pt idx="192">
                  <c:v>137.995</c:v>
                </c:pt>
                <c:pt idx="193">
                  <c:v>138.71</c:v>
                </c:pt>
                <c:pt idx="194">
                  <c:v>139.42499999999998</c:v>
                </c:pt>
                <c:pt idx="195">
                  <c:v>140.13999999999999</c:v>
                </c:pt>
                <c:pt idx="196">
                  <c:v>140.85499999999999</c:v>
                </c:pt>
                <c:pt idx="197">
                  <c:v>141.57</c:v>
                </c:pt>
                <c:pt idx="198">
                  <c:v>142.285</c:v>
                </c:pt>
                <c:pt idx="199">
                  <c:v>143</c:v>
                </c:pt>
                <c:pt idx="200">
                  <c:v>143.715</c:v>
                </c:pt>
                <c:pt idx="201">
                  <c:v>144.43</c:v>
                </c:pt>
                <c:pt idx="202">
                  <c:v>145.14499999999998</c:v>
                </c:pt>
                <c:pt idx="203">
                  <c:v>145.85999999999999</c:v>
                </c:pt>
                <c:pt idx="204">
                  <c:v>146.57499999999999</c:v>
                </c:pt>
                <c:pt idx="205">
                  <c:v>147.29</c:v>
                </c:pt>
                <c:pt idx="206">
                  <c:v>148.005</c:v>
                </c:pt>
                <c:pt idx="207">
                  <c:v>148.72</c:v>
                </c:pt>
                <c:pt idx="208">
                  <c:v>149.435</c:v>
                </c:pt>
                <c:pt idx="209">
                  <c:v>150.15</c:v>
                </c:pt>
                <c:pt idx="210">
                  <c:v>150.86499999999998</c:v>
                </c:pt>
                <c:pt idx="211">
                  <c:v>151.57999999999998</c:v>
                </c:pt>
                <c:pt idx="212">
                  <c:v>152.29499999999999</c:v>
                </c:pt>
                <c:pt idx="213">
                  <c:v>153.01</c:v>
                </c:pt>
                <c:pt idx="214">
                  <c:v>153.72499999999999</c:v>
                </c:pt>
                <c:pt idx="215">
                  <c:v>154.44</c:v>
                </c:pt>
                <c:pt idx="216">
                  <c:v>155.155</c:v>
                </c:pt>
                <c:pt idx="217">
                  <c:v>155.87</c:v>
                </c:pt>
                <c:pt idx="218">
                  <c:v>156.58499999999998</c:v>
                </c:pt>
                <c:pt idx="219">
                  <c:v>157.29999999999998</c:v>
                </c:pt>
                <c:pt idx="220">
                  <c:v>158.01499999999999</c:v>
                </c:pt>
                <c:pt idx="221">
                  <c:v>158.72999999999999</c:v>
                </c:pt>
                <c:pt idx="222">
                  <c:v>159.44499999999999</c:v>
                </c:pt>
                <c:pt idx="223">
                  <c:v>160.16</c:v>
                </c:pt>
                <c:pt idx="224">
                  <c:v>160.875</c:v>
                </c:pt>
                <c:pt idx="225">
                  <c:v>161.59</c:v>
                </c:pt>
                <c:pt idx="226">
                  <c:v>162.30500000000001</c:v>
                </c:pt>
                <c:pt idx="227">
                  <c:v>163.01999999999998</c:v>
                </c:pt>
                <c:pt idx="228">
                  <c:v>163.73499999999999</c:v>
                </c:pt>
                <c:pt idx="229">
                  <c:v>164.45</c:v>
                </c:pt>
                <c:pt idx="230">
                  <c:v>165.16499999999999</c:v>
                </c:pt>
                <c:pt idx="231">
                  <c:v>165.88</c:v>
                </c:pt>
                <c:pt idx="232">
                  <c:v>166.595</c:v>
                </c:pt>
                <c:pt idx="233">
                  <c:v>167.31</c:v>
                </c:pt>
                <c:pt idx="234">
                  <c:v>168.02500000000001</c:v>
                </c:pt>
                <c:pt idx="235">
                  <c:v>168.73999999999998</c:v>
                </c:pt>
                <c:pt idx="236">
                  <c:v>169.45499999999998</c:v>
                </c:pt>
                <c:pt idx="237">
                  <c:v>170.17</c:v>
                </c:pt>
                <c:pt idx="238">
                  <c:v>170.88499999999999</c:v>
                </c:pt>
                <c:pt idx="239">
                  <c:v>171.6</c:v>
                </c:pt>
                <c:pt idx="240">
                  <c:v>172.315</c:v>
                </c:pt>
                <c:pt idx="241">
                  <c:v>173.03</c:v>
                </c:pt>
                <c:pt idx="242">
                  <c:v>173.745</c:v>
                </c:pt>
                <c:pt idx="243">
                  <c:v>174.45999999999998</c:v>
                </c:pt>
                <c:pt idx="244">
                  <c:v>175.17499999999998</c:v>
                </c:pt>
                <c:pt idx="245">
                  <c:v>175.89</c:v>
                </c:pt>
                <c:pt idx="246">
                  <c:v>176.60499999999999</c:v>
                </c:pt>
                <c:pt idx="247">
                  <c:v>177.32</c:v>
                </c:pt>
                <c:pt idx="248">
                  <c:v>178.035</c:v>
                </c:pt>
                <c:pt idx="249">
                  <c:v>178.75</c:v>
                </c:pt>
                <c:pt idx="250">
                  <c:v>179.465</c:v>
                </c:pt>
                <c:pt idx="251">
                  <c:v>180.17999999999998</c:v>
                </c:pt>
                <c:pt idx="252">
                  <c:v>180.89499999999998</c:v>
                </c:pt>
                <c:pt idx="253">
                  <c:v>181.60999999999999</c:v>
                </c:pt>
                <c:pt idx="254">
                  <c:v>182.32499999999999</c:v>
                </c:pt>
                <c:pt idx="255">
                  <c:v>183.04</c:v>
                </c:pt>
                <c:pt idx="256">
                  <c:v>183.755</c:v>
                </c:pt>
                <c:pt idx="257">
                  <c:v>184.47</c:v>
                </c:pt>
                <c:pt idx="258">
                  <c:v>185.185</c:v>
                </c:pt>
                <c:pt idx="259">
                  <c:v>185.9</c:v>
                </c:pt>
                <c:pt idx="260">
                  <c:v>186.61499999999998</c:v>
                </c:pt>
                <c:pt idx="261">
                  <c:v>187.32999999999998</c:v>
                </c:pt>
                <c:pt idx="262">
                  <c:v>188.04499999999999</c:v>
                </c:pt>
                <c:pt idx="263">
                  <c:v>188.76</c:v>
                </c:pt>
                <c:pt idx="264">
                  <c:v>189.47499999999999</c:v>
                </c:pt>
                <c:pt idx="265">
                  <c:v>190.19</c:v>
                </c:pt>
                <c:pt idx="266">
                  <c:v>190.905</c:v>
                </c:pt>
                <c:pt idx="267">
                  <c:v>191.62</c:v>
                </c:pt>
                <c:pt idx="268">
                  <c:v>192.33499999999998</c:v>
                </c:pt>
                <c:pt idx="269">
                  <c:v>193.04999999999998</c:v>
                </c:pt>
                <c:pt idx="270">
                  <c:v>193.76499999999999</c:v>
                </c:pt>
                <c:pt idx="271">
                  <c:v>194.48</c:v>
                </c:pt>
                <c:pt idx="272">
                  <c:v>195.19499999999999</c:v>
                </c:pt>
                <c:pt idx="273">
                  <c:v>195.91</c:v>
                </c:pt>
                <c:pt idx="274">
                  <c:v>196.625</c:v>
                </c:pt>
                <c:pt idx="275">
                  <c:v>197.34</c:v>
                </c:pt>
                <c:pt idx="276">
                  <c:v>198.05499999999998</c:v>
                </c:pt>
                <c:pt idx="277">
                  <c:v>198.76999999999998</c:v>
                </c:pt>
                <c:pt idx="278">
                  <c:v>199.48499999999999</c:v>
                </c:pt>
                <c:pt idx="279">
                  <c:v>200.2</c:v>
                </c:pt>
                <c:pt idx="280">
                  <c:v>200.91499999999999</c:v>
                </c:pt>
                <c:pt idx="281">
                  <c:v>201.63</c:v>
                </c:pt>
                <c:pt idx="282">
                  <c:v>202.345</c:v>
                </c:pt>
                <c:pt idx="283">
                  <c:v>203.06</c:v>
                </c:pt>
                <c:pt idx="284">
                  <c:v>203.77499999999998</c:v>
                </c:pt>
                <c:pt idx="285">
                  <c:v>204.48999999999998</c:v>
                </c:pt>
                <c:pt idx="286">
                  <c:v>205.20499999999998</c:v>
                </c:pt>
                <c:pt idx="287">
                  <c:v>205.92</c:v>
                </c:pt>
                <c:pt idx="288">
                  <c:v>206.63499999999999</c:v>
                </c:pt>
                <c:pt idx="289">
                  <c:v>207.35</c:v>
                </c:pt>
                <c:pt idx="290">
                  <c:v>208.065</c:v>
                </c:pt>
                <c:pt idx="291">
                  <c:v>208.78</c:v>
                </c:pt>
                <c:pt idx="292">
                  <c:v>209.495</c:v>
                </c:pt>
                <c:pt idx="293">
                  <c:v>210.20999999999998</c:v>
                </c:pt>
                <c:pt idx="294">
                  <c:v>210.92499999999998</c:v>
                </c:pt>
                <c:pt idx="295">
                  <c:v>211.64</c:v>
                </c:pt>
                <c:pt idx="296">
                  <c:v>212.35499999999999</c:v>
                </c:pt>
                <c:pt idx="297">
                  <c:v>213.07</c:v>
                </c:pt>
                <c:pt idx="298">
                  <c:v>213.785</c:v>
                </c:pt>
                <c:pt idx="299">
                  <c:v>214.5</c:v>
                </c:pt>
                <c:pt idx="300">
                  <c:v>215.215</c:v>
                </c:pt>
                <c:pt idx="301">
                  <c:v>215.92999999999998</c:v>
                </c:pt>
                <c:pt idx="302">
                  <c:v>216.64499999999998</c:v>
                </c:pt>
                <c:pt idx="303">
                  <c:v>217.35999999999999</c:v>
                </c:pt>
                <c:pt idx="304">
                  <c:v>218.07499999999999</c:v>
                </c:pt>
                <c:pt idx="305">
                  <c:v>218.79</c:v>
                </c:pt>
                <c:pt idx="306">
                  <c:v>219.505</c:v>
                </c:pt>
                <c:pt idx="307">
                  <c:v>220.22</c:v>
                </c:pt>
                <c:pt idx="308">
                  <c:v>220.935</c:v>
                </c:pt>
                <c:pt idx="309">
                  <c:v>221.64999999999998</c:v>
                </c:pt>
                <c:pt idx="310">
                  <c:v>222.36499999999998</c:v>
                </c:pt>
                <c:pt idx="311">
                  <c:v>223.07999999999998</c:v>
                </c:pt>
                <c:pt idx="312">
                  <c:v>223.79499999999999</c:v>
                </c:pt>
                <c:pt idx="313">
                  <c:v>224.51</c:v>
                </c:pt>
                <c:pt idx="314">
                  <c:v>225.22499999999999</c:v>
                </c:pt>
                <c:pt idx="315">
                  <c:v>225.94</c:v>
                </c:pt>
                <c:pt idx="316">
                  <c:v>226.655</c:v>
                </c:pt>
                <c:pt idx="317">
                  <c:v>227.36999999999998</c:v>
                </c:pt>
                <c:pt idx="318">
                  <c:v>228.08499999999998</c:v>
                </c:pt>
                <c:pt idx="319">
                  <c:v>228.79999999999998</c:v>
                </c:pt>
                <c:pt idx="320">
                  <c:v>229.51499999999999</c:v>
                </c:pt>
                <c:pt idx="321">
                  <c:v>230.23</c:v>
                </c:pt>
                <c:pt idx="322">
                  <c:v>230.94499999999999</c:v>
                </c:pt>
                <c:pt idx="323">
                  <c:v>231.66</c:v>
                </c:pt>
                <c:pt idx="324">
                  <c:v>232.375</c:v>
                </c:pt>
                <c:pt idx="325">
                  <c:v>233.09</c:v>
                </c:pt>
                <c:pt idx="326">
                  <c:v>233.80499999999998</c:v>
                </c:pt>
                <c:pt idx="327">
                  <c:v>234.51999999999998</c:v>
                </c:pt>
                <c:pt idx="328">
                  <c:v>235.23499999999999</c:v>
                </c:pt>
                <c:pt idx="329">
                  <c:v>235.95</c:v>
                </c:pt>
                <c:pt idx="330">
                  <c:v>236.66499999999999</c:v>
                </c:pt>
                <c:pt idx="331">
                  <c:v>237.38</c:v>
                </c:pt>
                <c:pt idx="332">
                  <c:v>238.095</c:v>
                </c:pt>
                <c:pt idx="333">
                  <c:v>238.81</c:v>
                </c:pt>
                <c:pt idx="334">
                  <c:v>239.52499999999998</c:v>
                </c:pt>
                <c:pt idx="335">
                  <c:v>240.23999999999998</c:v>
                </c:pt>
                <c:pt idx="336">
                  <c:v>240.95499999999998</c:v>
                </c:pt>
                <c:pt idx="337">
                  <c:v>241.67</c:v>
                </c:pt>
                <c:pt idx="338">
                  <c:v>242.38499999999999</c:v>
                </c:pt>
                <c:pt idx="339">
                  <c:v>243.1</c:v>
                </c:pt>
                <c:pt idx="340">
                  <c:v>243.815</c:v>
                </c:pt>
                <c:pt idx="341">
                  <c:v>244.53</c:v>
                </c:pt>
                <c:pt idx="342">
                  <c:v>245.24499999999998</c:v>
                </c:pt>
                <c:pt idx="343">
                  <c:v>245.95999999999998</c:v>
                </c:pt>
                <c:pt idx="344">
                  <c:v>246.67499999999998</c:v>
                </c:pt>
                <c:pt idx="345">
                  <c:v>247.39</c:v>
                </c:pt>
                <c:pt idx="346">
                  <c:v>248.10499999999999</c:v>
                </c:pt>
                <c:pt idx="347">
                  <c:v>248.82</c:v>
                </c:pt>
                <c:pt idx="348">
                  <c:v>249.535</c:v>
                </c:pt>
                <c:pt idx="349">
                  <c:v>250.25</c:v>
                </c:pt>
                <c:pt idx="350">
                  <c:v>250.96499999999997</c:v>
                </c:pt>
                <c:pt idx="351">
                  <c:v>251.67999999999998</c:v>
                </c:pt>
                <c:pt idx="352">
                  <c:v>252.39499999999998</c:v>
                </c:pt>
                <c:pt idx="353">
                  <c:v>253.10999999999999</c:v>
                </c:pt>
                <c:pt idx="354">
                  <c:v>253.82499999999999</c:v>
                </c:pt>
                <c:pt idx="355">
                  <c:v>254.54</c:v>
                </c:pt>
                <c:pt idx="356">
                  <c:v>255.255</c:v>
                </c:pt>
                <c:pt idx="357">
                  <c:v>255.97</c:v>
                </c:pt>
                <c:pt idx="358">
                  <c:v>256.685</c:v>
                </c:pt>
                <c:pt idx="359">
                  <c:v>257.39999999999998</c:v>
                </c:pt>
                <c:pt idx="360">
                  <c:v>258.11500000000001</c:v>
                </c:pt>
                <c:pt idx="361">
                  <c:v>258.83</c:v>
                </c:pt>
                <c:pt idx="362">
                  <c:v>259.54500000000002</c:v>
                </c:pt>
                <c:pt idx="363">
                  <c:v>260.26</c:v>
                </c:pt>
                <c:pt idx="364">
                  <c:v>260.97499999999997</c:v>
                </c:pt>
                <c:pt idx="365">
                  <c:v>261.69</c:v>
                </c:pt>
                <c:pt idx="366">
                  <c:v>262.40499999999997</c:v>
                </c:pt>
                <c:pt idx="367">
                  <c:v>263.12</c:v>
                </c:pt>
                <c:pt idx="368">
                  <c:v>263.83499999999998</c:v>
                </c:pt>
                <c:pt idx="369">
                  <c:v>264.55</c:v>
                </c:pt>
                <c:pt idx="370">
                  <c:v>265.26499999999999</c:v>
                </c:pt>
                <c:pt idx="371">
                  <c:v>265.97999999999996</c:v>
                </c:pt>
                <c:pt idx="372">
                  <c:v>266.69499999999999</c:v>
                </c:pt>
                <c:pt idx="373">
                  <c:v>267.40999999999997</c:v>
                </c:pt>
                <c:pt idx="374">
                  <c:v>268.125</c:v>
                </c:pt>
                <c:pt idx="375">
                  <c:v>268.83999999999997</c:v>
                </c:pt>
                <c:pt idx="376">
                  <c:v>269.55500000000001</c:v>
                </c:pt>
                <c:pt idx="377">
                  <c:v>270.27</c:v>
                </c:pt>
                <c:pt idx="378">
                  <c:v>270.98500000000001</c:v>
                </c:pt>
                <c:pt idx="379">
                  <c:v>271.7</c:v>
                </c:pt>
                <c:pt idx="380">
                  <c:v>272.41499999999996</c:v>
                </c:pt>
                <c:pt idx="381">
                  <c:v>273.13</c:v>
                </c:pt>
                <c:pt idx="382">
                  <c:v>273.84499999999997</c:v>
                </c:pt>
                <c:pt idx="383">
                  <c:v>274.56</c:v>
                </c:pt>
                <c:pt idx="384">
                  <c:v>275.27499999999998</c:v>
                </c:pt>
                <c:pt idx="385">
                  <c:v>275.99</c:v>
                </c:pt>
                <c:pt idx="386">
                  <c:v>276.70499999999998</c:v>
                </c:pt>
                <c:pt idx="387">
                  <c:v>277.42</c:v>
                </c:pt>
                <c:pt idx="388">
                  <c:v>278.13499999999999</c:v>
                </c:pt>
                <c:pt idx="389">
                  <c:v>278.84999999999997</c:v>
                </c:pt>
                <c:pt idx="390">
                  <c:v>279.565</c:v>
                </c:pt>
                <c:pt idx="391">
                  <c:v>280.27999999999997</c:v>
                </c:pt>
                <c:pt idx="392">
                  <c:v>280.995</c:v>
                </c:pt>
                <c:pt idx="393">
                  <c:v>281.70999999999998</c:v>
                </c:pt>
                <c:pt idx="394">
                  <c:v>282.42500000000001</c:v>
                </c:pt>
                <c:pt idx="395">
                  <c:v>283.14</c:v>
                </c:pt>
                <c:pt idx="396">
                  <c:v>283.85499999999996</c:v>
                </c:pt>
                <c:pt idx="397">
                  <c:v>284.57</c:v>
                </c:pt>
                <c:pt idx="398">
                  <c:v>285.28499999999997</c:v>
                </c:pt>
                <c:pt idx="399">
                  <c:v>286</c:v>
                </c:pt>
                <c:pt idx="400">
                  <c:v>286.71499999999997</c:v>
                </c:pt>
                <c:pt idx="401">
                  <c:v>287.43</c:v>
                </c:pt>
                <c:pt idx="402">
                  <c:v>288.14499999999998</c:v>
                </c:pt>
                <c:pt idx="403">
                  <c:v>288.86</c:v>
                </c:pt>
                <c:pt idx="404">
                  <c:v>289.57499999999999</c:v>
                </c:pt>
                <c:pt idx="405">
                  <c:v>290.28999999999996</c:v>
                </c:pt>
                <c:pt idx="406">
                  <c:v>291.005</c:v>
                </c:pt>
                <c:pt idx="407">
                  <c:v>291.71999999999997</c:v>
                </c:pt>
                <c:pt idx="408">
                  <c:v>292.435</c:v>
                </c:pt>
                <c:pt idx="409">
                  <c:v>293.14999999999998</c:v>
                </c:pt>
                <c:pt idx="410">
                  <c:v>293.86500000000001</c:v>
                </c:pt>
                <c:pt idx="411">
                  <c:v>294.58</c:v>
                </c:pt>
                <c:pt idx="412">
                  <c:v>295.29499999999996</c:v>
                </c:pt>
                <c:pt idx="413">
                  <c:v>296.01</c:v>
                </c:pt>
                <c:pt idx="414">
                  <c:v>296.72499999999997</c:v>
                </c:pt>
                <c:pt idx="415">
                  <c:v>297.44</c:v>
                </c:pt>
                <c:pt idx="416">
                  <c:v>298.15499999999997</c:v>
                </c:pt>
                <c:pt idx="417">
                  <c:v>298.87</c:v>
                </c:pt>
                <c:pt idx="418">
                  <c:v>299.58499999999998</c:v>
                </c:pt>
                <c:pt idx="419">
                  <c:v>300.3</c:v>
                </c:pt>
                <c:pt idx="420">
                  <c:v>301.01499999999999</c:v>
                </c:pt>
                <c:pt idx="421">
                  <c:v>301.72999999999996</c:v>
                </c:pt>
                <c:pt idx="422">
                  <c:v>302.44499999999999</c:v>
                </c:pt>
                <c:pt idx="423">
                  <c:v>303.15999999999997</c:v>
                </c:pt>
                <c:pt idx="424">
                  <c:v>303.875</c:v>
                </c:pt>
                <c:pt idx="425">
                  <c:v>304.58999999999997</c:v>
                </c:pt>
                <c:pt idx="426">
                  <c:v>305.30500000000001</c:v>
                </c:pt>
                <c:pt idx="427">
                  <c:v>306.02</c:v>
                </c:pt>
                <c:pt idx="428">
                  <c:v>306.73500000000001</c:v>
                </c:pt>
                <c:pt idx="429">
                  <c:v>307.45</c:v>
                </c:pt>
                <c:pt idx="430">
                  <c:v>308.16499999999996</c:v>
                </c:pt>
                <c:pt idx="431">
                  <c:v>308.88</c:v>
                </c:pt>
                <c:pt idx="432">
                  <c:v>309.59499999999997</c:v>
                </c:pt>
                <c:pt idx="433">
                  <c:v>310.31</c:v>
                </c:pt>
                <c:pt idx="434">
                  <c:v>311.02499999999998</c:v>
                </c:pt>
                <c:pt idx="435">
                  <c:v>311.74</c:v>
                </c:pt>
                <c:pt idx="436">
                  <c:v>312.45499999999998</c:v>
                </c:pt>
                <c:pt idx="437">
                  <c:v>313.16999999999996</c:v>
                </c:pt>
                <c:pt idx="438">
                  <c:v>313.88499999999999</c:v>
                </c:pt>
                <c:pt idx="439">
                  <c:v>314.59999999999997</c:v>
                </c:pt>
                <c:pt idx="440">
                  <c:v>315.315</c:v>
                </c:pt>
                <c:pt idx="441">
                  <c:v>316.02999999999997</c:v>
                </c:pt>
                <c:pt idx="442">
                  <c:v>316.745</c:v>
                </c:pt>
                <c:pt idx="443">
                  <c:v>317.45999999999998</c:v>
                </c:pt>
                <c:pt idx="444">
                  <c:v>318.17500000000001</c:v>
                </c:pt>
                <c:pt idx="445">
                  <c:v>318.89</c:v>
                </c:pt>
                <c:pt idx="446">
                  <c:v>319.60499999999996</c:v>
                </c:pt>
                <c:pt idx="447">
                  <c:v>320.32</c:v>
                </c:pt>
                <c:pt idx="448">
                  <c:v>321.03499999999997</c:v>
                </c:pt>
                <c:pt idx="449">
                  <c:v>321.75</c:v>
                </c:pt>
                <c:pt idx="450">
                  <c:v>322.46499999999997</c:v>
                </c:pt>
                <c:pt idx="451">
                  <c:v>323.18</c:v>
                </c:pt>
                <c:pt idx="452">
                  <c:v>323.89499999999998</c:v>
                </c:pt>
                <c:pt idx="453">
                  <c:v>324.61</c:v>
                </c:pt>
                <c:pt idx="454">
                  <c:v>325.32499999999999</c:v>
                </c:pt>
                <c:pt idx="455">
                  <c:v>326.03999999999996</c:v>
                </c:pt>
                <c:pt idx="456">
                  <c:v>326.755</c:v>
                </c:pt>
                <c:pt idx="457">
                  <c:v>327.46999999999997</c:v>
                </c:pt>
                <c:pt idx="458">
                  <c:v>328.185</c:v>
                </c:pt>
                <c:pt idx="459">
                  <c:v>328.9</c:v>
                </c:pt>
                <c:pt idx="460">
                  <c:v>329.61500000000001</c:v>
                </c:pt>
                <c:pt idx="461">
                  <c:v>330.33</c:v>
                </c:pt>
                <c:pt idx="462">
                  <c:v>331.04499999999996</c:v>
                </c:pt>
                <c:pt idx="463">
                  <c:v>331.76</c:v>
                </c:pt>
                <c:pt idx="464">
                  <c:v>332.47499999999997</c:v>
                </c:pt>
                <c:pt idx="465">
                  <c:v>333.19</c:v>
                </c:pt>
                <c:pt idx="466">
                  <c:v>333.90499999999997</c:v>
                </c:pt>
                <c:pt idx="467">
                  <c:v>334.62</c:v>
                </c:pt>
                <c:pt idx="468">
                  <c:v>335.33499999999998</c:v>
                </c:pt>
                <c:pt idx="469">
                  <c:v>336.05</c:v>
                </c:pt>
                <c:pt idx="470">
                  <c:v>336.76499999999999</c:v>
                </c:pt>
                <c:pt idx="471">
                  <c:v>337.47999999999996</c:v>
                </c:pt>
                <c:pt idx="472">
                  <c:v>338.19499999999999</c:v>
                </c:pt>
                <c:pt idx="473">
                  <c:v>338.90999999999997</c:v>
                </c:pt>
                <c:pt idx="474">
                  <c:v>339.625</c:v>
                </c:pt>
                <c:pt idx="475">
                  <c:v>340.34</c:v>
                </c:pt>
                <c:pt idx="476">
                  <c:v>341.05500000000001</c:v>
                </c:pt>
                <c:pt idx="477">
                  <c:v>341.77</c:v>
                </c:pt>
                <c:pt idx="478">
                  <c:v>342.48499999999996</c:v>
                </c:pt>
                <c:pt idx="479">
                  <c:v>343.2</c:v>
                </c:pt>
                <c:pt idx="480">
                  <c:v>343.91499999999996</c:v>
                </c:pt>
                <c:pt idx="481">
                  <c:v>344.63</c:v>
                </c:pt>
                <c:pt idx="482">
                  <c:v>345.34499999999997</c:v>
                </c:pt>
                <c:pt idx="483">
                  <c:v>346.06</c:v>
                </c:pt>
                <c:pt idx="484">
                  <c:v>346.77499999999998</c:v>
                </c:pt>
                <c:pt idx="485">
                  <c:v>347.49</c:v>
                </c:pt>
                <c:pt idx="486">
                  <c:v>348.20499999999998</c:v>
                </c:pt>
                <c:pt idx="487">
                  <c:v>348.91999999999996</c:v>
                </c:pt>
                <c:pt idx="488">
                  <c:v>349.63499999999999</c:v>
                </c:pt>
                <c:pt idx="489">
                  <c:v>350.34999999999997</c:v>
                </c:pt>
                <c:pt idx="490">
                  <c:v>351.065</c:v>
                </c:pt>
                <c:pt idx="491">
                  <c:v>351.78</c:v>
                </c:pt>
                <c:pt idx="492">
                  <c:v>352.495</c:v>
                </c:pt>
                <c:pt idx="493">
                  <c:v>353.21</c:v>
                </c:pt>
                <c:pt idx="494">
                  <c:v>353.92500000000001</c:v>
                </c:pt>
                <c:pt idx="495">
                  <c:v>354.64</c:v>
                </c:pt>
                <c:pt idx="496">
                  <c:v>355.35499999999996</c:v>
                </c:pt>
                <c:pt idx="497">
                  <c:v>356.07</c:v>
                </c:pt>
                <c:pt idx="498">
                  <c:v>356.78499999999997</c:v>
                </c:pt>
                <c:pt idx="499">
                  <c:v>357.5</c:v>
                </c:pt>
                <c:pt idx="500">
                  <c:v>358.21499999999997</c:v>
                </c:pt>
                <c:pt idx="501">
                  <c:v>358.93</c:v>
                </c:pt>
                <c:pt idx="502">
                  <c:v>359.64499999999998</c:v>
                </c:pt>
                <c:pt idx="503">
                  <c:v>360.35999999999996</c:v>
                </c:pt>
                <c:pt idx="504">
                  <c:v>361.07499999999999</c:v>
                </c:pt>
                <c:pt idx="505">
                  <c:v>361.78999999999996</c:v>
                </c:pt>
                <c:pt idx="506">
                  <c:v>362.505</c:v>
                </c:pt>
                <c:pt idx="507">
                  <c:v>363.21999999999997</c:v>
                </c:pt>
                <c:pt idx="508">
                  <c:v>363.935</c:v>
                </c:pt>
                <c:pt idx="509">
                  <c:v>364.65</c:v>
                </c:pt>
                <c:pt idx="510">
                  <c:v>365.36500000000001</c:v>
                </c:pt>
                <c:pt idx="511">
                  <c:v>366.08</c:v>
                </c:pt>
                <c:pt idx="512">
                  <c:v>366.79499999999996</c:v>
                </c:pt>
                <c:pt idx="513">
                  <c:v>367.51</c:v>
                </c:pt>
                <c:pt idx="514">
                  <c:v>368.22499999999997</c:v>
                </c:pt>
                <c:pt idx="515">
                  <c:v>368.94</c:v>
                </c:pt>
                <c:pt idx="516">
                  <c:v>369.65499999999997</c:v>
                </c:pt>
                <c:pt idx="517">
                  <c:v>370.37</c:v>
                </c:pt>
                <c:pt idx="518">
                  <c:v>371.08499999999998</c:v>
                </c:pt>
                <c:pt idx="519">
                  <c:v>371.8</c:v>
                </c:pt>
                <c:pt idx="520">
                  <c:v>372.51499999999999</c:v>
                </c:pt>
                <c:pt idx="521">
                  <c:v>373.22999999999996</c:v>
                </c:pt>
                <c:pt idx="522">
                  <c:v>373.94499999999999</c:v>
                </c:pt>
                <c:pt idx="523">
                  <c:v>374.65999999999997</c:v>
                </c:pt>
                <c:pt idx="524">
                  <c:v>375.375</c:v>
                </c:pt>
                <c:pt idx="525">
                  <c:v>376.09</c:v>
                </c:pt>
                <c:pt idx="526">
                  <c:v>376.80500000000001</c:v>
                </c:pt>
                <c:pt idx="527">
                  <c:v>377.52</c:v>
                </c:pt>
                <c:pt idx="528">
                  <c:v>378.23499999999996</c:v>
                </c:pt>
                <c:pt idx="529">
                  <c:v>378.95</c:v>
                </c:pt>
                <c:pt idx="530">
                  <c:v>379.66499999999996</c:v>
                </c:pt>
                <c:pt idx="531">
                  <c:v>380.38</c:v>
                </c:pt>
                <c:pt idx="532">
                  <c:v>381.09499999999997</c:v>
                </c:pt>
                <c:pt idx="533">
                  <c:v>381.81</c:v>
                </c:pt>
                <c:pt idx="534">
                  <c:v>382.52499999999998</c:v>
                </c:pt>
                <c:pt idx="535">
                  <c:v>383.24</c:v>
                </c:pt>
                <c:pt idx="536">
                  <c:v>383.95499999999998</c:v>
                </c:pt>
                <c:pt idx="537">
                  <c:v>384.66999999999996</c:v>
                </c:pt>
                <c:pt idx="538">
                  <c:v>385.38499999999999</c:v>
                </c:pt>
                <c:pt idx="539">
                  <c:v>386.09999999999997</c:v>
                </c:pt>
                <c:pt idx="540">
                  <c:v>386.815</c:v>
                </c:pt>
                <c:pt idx="541">
                  <c:v>387.53</c:v>
                </c:pt>
                <c:pt idx="542">
                  <c:v>388.245</c:v>
                </c:pt>
                <c:pt idx="543">
                  <c:v>388.96</c:v>
                </c:pt>
                <c:pt idx="544">
                  <c:v>389.67500000000001</c:v>
                </c:pt>
                <c:pt idx="545">
                  <c:v>390.39</c:v>
                </c:pt>
                <c:pt idx="546">
                  <c:v>391.10499999999996</c:v>
                </c:pt>
                <c:pt idx="547">
                  <c:v>391.82</c:v>
                </c:pt>
                <c:pt idx="548">
                  <c:v>392.53499999999997</c:v>
                </c:pt>
                <c:pt idx="549">
                  <c:v>393.25</c:v>
                </c:pt>
                <c:pt idx="550">
                  <c:v>393.96499999999997</c:v>
                </c:pt>
                <c:pt idx="551">
                  <c:v>394.68</c:v>
                </c:pt>
                <c:pt idx="552">
                  <c:v>395.39499999999998</c:v>
                </c:pt>
                <c:pt idx="553">
                  <c:v>396.10999999999996</c:v>
                </c:pt>
                <c:pt idx="554">
                  <c:v>396.82499999999999</c:v>
                </c:pt>
                <c:pt idx="555">
                  <c:v>397.53999999999996</c:v>
                </c:pt>
                <c:pt idx="556">
                  <c:v>398.255</c:v>
                </c:pt>
                <c:pt idx="557">
                  <c:v>398.96999999999997</c:v>
                </c:pt>
                <c:pt idx="558">
                  <c:v>399.685</c:v>
                </c:pt>
                <c:pt idx="559">
                  <c:v>400.4</c:v>
                </c:pt>
                <c:pt idx="560">
                  <c:v>401.11500000000001</c:v>
                </c:pt>
                <c:pt idx="561">
                  <c:v>401.83</c:v>
                </c:pt>
                <c:pt idx="562">
                  <c:v>402.54499999999996</c:v>
                </c:pt>
                <c:pt idx="563">
                  <c:v>403.26</c:v>
                </c:pt>
                <c:pt idx="564">
                  <c:v>403.97499999999997</c:v>
                </c:pt>
                <c:pt idx="565">
                  <c:v>404.69</c:v>
                </c:pt>
                <c:pt idx="566">
                  <c:v>405.40499999999997</c:v>
                </c:pt>
                <c:pt idx="567">
                  <c:v>406.12</c:v>
                </c:pt>
                <c:pt idx="568">
                  <c:v>406.83499999999998</c:v>
                </c:pt>
                <c:pt idx="569">
                  <c:v>407.54999999999995</c:v>
                </c:pt>
                <c:pt idx="570">
                  <c:v>408.26499999999999</c:v>
                </c:pt>
                <c:pt idx="571">
                  <c:v>408.97999999999996</c:v>
                </c:pt>
                <c:pt idx="572">
                  <c:v>409.69499999999999</c:v>
                </c:pt>
                <c:pt idx="573">
                  <c:v>410.40999999999997</c:v>
                </c:pt>
                <c:pt idx="574">
                  <c:v>411.125</c:v>
                </c:pt>
                <c:pt idx="575">
                  <c:v>411.84</c:v>
                </c:pt>
                <c:pt idx="576">
                  <c:v>412.55500000000001</c:v>
                </c:pt>
                <c:pt idx="577">
                  <c:v>413.27</c:v>
                </c:pt>
                <c:pt idx="578">
                  <c:v>413.98499999999996</c:v>
                </c:pt>
                <c:pt idx="579">
                  <c:v>414.7</c:v>
                </c:pt>
                <c:pt idx="580">
                  <c:v>415.41499999999996</c:v>
                </c:pt>
                <c:pt idx="581">
                  <c:v>416.13</c:v>
                </c:pt>
                <c:pt idx="582">
                  <c:v>416.84499999999997</c:v>
                </c:pt>
                <c:pt idx="583">
                  <c:v>417.56</c:v>
                </c:pt>
                <c:pt idx="584">
                  <c:v>418.27499999999998</c:v>
                </c:pt>
                <c:pt idx="585">
                  <c:v>418.99</c:v>
                </c:pt>
                <c:pt idx="586">
                  <c:v>419.70499999999998</c:v>
                </c:pt>
                <c:pt idx="587">
                  <c:v>420.41999999999996</c:v>
                </c:pt>
                <c:pt idx="588">
                  <c:v>421.13499999999999</c:v>
                </c:pt>
                <c:pt idx="589">
                  <c:v>421.84999999999997</c:v>
                </c:pt>
                <c:pt idx="590">
                  <c:v>422.565</c:v>
                </c:pt>
                <c:pt idx="591">
                  <c:v>423.28</c:v>
                </c:pt>
                <c:pt idx="592">
                  <c:v>423.995</c:v>
                </c:pt>
                <c:pt idx="593">
                  <c:v>424.71</c:v>
                </c:pt>
                <c:pt idx="594">
                  <c:v>425.42499999999995</c:v>
                </c:pt>
                <c:pt idx="595">
                  <c:v>426.14</c:v>
                </c:pt>
                <c:pt idx="596">
                  <c:v>426.85499999999996</c:v>
                </c:pt>
                <c:pt idx="597">
                  <c:v>427.57</c:v>
                </c:pt>
                <c:pt idx="598">
                  <c:v>428.28499999999997</c:v>
                </c:pt>
                <c:pt idx="599">
                  <c:v>429</c:v>
                </c:pt>
              </c:numCache>
            </c:numRef>
          </c:yVal>
          <c:smooth val="1"/>
        </c:ser>
        <c:dLbls>
          <c:showLegendKey val="0"/>
          <c:showVal val="0"/>
          <c:showCatName val="0"/>
          <c:showSerName val="0"/>
          <c:showPercent val="0"/>
          <c:showBubbleSize val="0"/>
        </c:dLbls>
        <c:axId val="318877616"/>
        <c:axId val="318878160"/>
      </c:scatterChart>
      <c:valAx>
        <c:axId val="318877616"/>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18878160"/>
        <c:crosses val="autoZero"/>
        <c:crossBetween val="midCat"/>
      </c:valAx>
      <c:valAx>
        <c:axId val="318878160"/>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31887761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NNC_TrainingLiftChart!$BE$4:$BE$13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NNC_TrainingLiftChart!$BF$4:$BF$13</c:f>
              <c:numCache>
                <c:formatCode>General</c:formatCode>
                <c:ptCount val="10"/>
                <c:pt idx="0">
                  <c:v>1.3519813519813519</c:v>
                </c:pt>
                <c:pt idx="1">
                  <c:v>1.3286713286713288</c:v>
                </c:pt>
                <c:pt idx="2">
                  <c:v>1.3519813519813519</c:v>
                </c:pt>
                <c:pt idx="3">
                  <c:v>1.3752913752913754</c:v>
                </c:pt>
                <c:pt idx="4">
                  <c:v>1.3752913752913754</c:v>
                </c:pt>
                <c:pt idx="5">
                  <c:v>1.3986013986013985</c:v>
                </c:pt>
                <c:pt idx="6">
                  <c:v>1.3986013986013985</c:v>
                </c:pt>
                <c:pt idx="7">
                  <c:v>0.37296037296037299</c:v>
                </c:pt>
                <c:pt idx="8">
                  <c:v>2.3310023310023312E-2</c:v>
                </c:pt>
                <c:pt idx="9">
                  <c:v>2.3310023310023312E-2</c:v>
                </c:pt>
              </c:numCache>
            </c:numRef>
          </c:val>
        </c:ser>
        <c:dLbls>
          <c:showLegendKey val="0"/>
          <c:showVal val="0"/>
          <c:showCatName val="0"/>
          <c:showSerName val="0"/>
          <c:showPercent val="0"/>
          <c:showBubbleSize val="0"/>
        </c:dLbls>
        <c:gapWidth val="150"/>
        <c:axId val="318878704"/>
        <c:axId val="932183904"/>
      </c:barChart>
      <c:catAx>
        <c:axId val="318878704"/>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932183904"/>
        <c:crosses val="autoZero"/>
        <c:auto val="1"/>
        <c:lblAlgn val="ctr"/>
        <c:lblOffset val="100"/>
        <c:noMultiLvlLbl val="0"/>
      </c:catAx>
      <c:valAx>
        <c:axId val="932183904"/>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318878704"/>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 AUC = 0.958492</a:t>
            </a:r>
          </a:p>
        </c:rich>
      </c:tx>
      <c:overlay val="0"/>
    </c:title>
    <c:autoTitleDeleted val="0"/>
    <c:plotArea>
      <c:layout/>
      <c:scatterChart>
        <c:scatterStyle val="lineMarker"/>
        <c:varyColors val="0"/>
        <c:ser>
          <c:idx val="0"/>
          <c:order val="0"/>
          <c:tx>
            <c:v>NN Classifier</c:v>
          </c:tx>
          <c:spPr>
            <a:ln w="6350"/>
          </c:spPr>
          <c:marker>
            <c:symbol val="none"/>
          </c:marker>
          <c:xVal>
            <c:numRef>
              <c:f>NNC_TrainingLiftChart!$BZ$2:$BZ$602</c:f>
              <c:numCache>
                <c:formatCode>General</c:formatCode>
                <c:ptCount val="6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5.8479532163742687E-3</c:v>
                </c:pt>
                <c:pt idx="32">
                  <c:v>5.8479532163742687E-3</c:v>
                </c:pt>
                <c:pt idx="33">
                  <c:v>1.1695906432748537E-2</c:v>
                </c:pt>
                <c:pt idx="34">
                  <c:v>1.1695906432748537E-2</c:v>
                </c:pt>
                <c:pt idx="35">
                  <c:v>1.1695906432748537E-2</c:v>
                </c:pt>
                <c:pt idx="36">
                  <c:v>1.1695906432748537E-2</c:v>
                </c:pt>
                <c:pt idx="37">
                  <c:v>1.1695906432748537E-2</c:v>
                </c:pt>
                <c:pt idx="38">
                  <c:v>1.1695906432748537E-2</c:v>
                </c:pt>
                <c:pt idx="39">
                  <c:v>1.1695906432748537E-2</c:v>
                </c:pt>
                <c:pt idx="40">
                  <c:v>1.1695906432748537E-2</c:v>
                </c:pt>
                <c:pt idx="41">
                  <c:v>1.1695906432748537E-2</c:v>
                </c:pt>
                <c:pt idx="42">
                  <c:v>1.1695906432748537E-2</c:v>
                </c:pt>
                <c:pt idx="43">
                  <c:v>1.1695906432748537E-2</c:v>
                </c:pt>
                <c:pt idx="44">
                  <c:v>1.1695906432748537E-2</c:v>
                </c:pt>
                <c:pt idx="45">
                  <c:v>1.1695906432748537E-2</c:v>
                </c:pt>
                <c:pt idx="46">
                  <c:v>1.1695906432748537E-2</c:v>
                </c:pt>
                <c:pt idx="47">
                  <c:v>1.1695906432748537E-2</c:v>
                </c:pt>
                <c:pt idx="48">
                  <c:v>1.1695906432748537E-2</c:v>
                </c:pt>
                <c:pt idx="49">
                  <c:v>1.1695906432748537E-2</c:v>
                </c:pt>
                <c:pt idx="50">
                  <c:v>1.1695906432748537E-2</c:v>
                </c:pt>
                <c:pt idx="51">
                  <c:v>1.1695906432748537E-2</c:v>
                </c:pt>
                <c:pt idx="52">
                  <c:v>1.1695906432748537E-2</c:v>
                </c:pt>
                <c:pt idx="53">
                  <c:v>1.1695906432748537E-2</c:v>
                </c:pt>
                <c:pt idx="54">
                  <c:v>1.1695906432748537E-2</c:v>
                </c:pt>
                <c:pt idx="55">
                  <c:v>1.1695906432748537E-2</c:v>
                </c:pt>
                <c:pt idx="56">
                  <c:v>1.1695906432748537E-2</c:v>
                </c:pt>
                <c:pt idx="57">
                  <c:v>1.1695906432748537E-2</c:v>
                </c:pt>
                <c:pt idx="58">
                  <c:v>1.1695906432748537E-2</c:v>
                </c:pt>
                <c:pt idx="59">
                  <c:v>1.1695906432748537E-2</c:v>
                </c:pt>
                <c:pt idx="60">
                  <c:v>1.1695906432748537E-2</c:v>
                </c:pt>
                <c:pt idx="61">
                  <c:v>1.1695906432748537E-2</c:v>
                </c:pt>
                <c:pt idx="62">
                  <c:v>1.1695906432748537E-2</c:v>
                </c:pt>
                <c:pt idx="63">
                  <c:v>1.7543859649122806E-2</c:v>
                </c:pt>
                <c:pt idx="64">
                  <c:v>1.7543859649122806E-2</c:v>
                </c:pt>
                <c:pt idx="65">
                  <c:v>1.7543859649122806E-2</c:v>
                </c:pt>
                <c:pt idx="66">
                  <c:v>1.7543859649122806E-2</c:v>
                </c:pt>
                <c:pt idx="67">
                  <c:v>1.7543859649122806E-2</c:v>
                </c:pt>
                <c:pt idx="68">
                  <c:v>1.7543859649122806E-2</c:v>
                </c:pt>
                <c:pt idx="69">
                  <c:v>1.7543859649122806E-2</c:v>
                </c:pt>
                <c:pt idx="70">
                  <c:v>1.7543859649122806E-2</c:v>
                </c:pt>
                <c:pt idx="71">
                  <c:v>1.7543859649122806E-2</c:v>
                </c:pt>
                <c:pt idx="72">
                  <c:v>1.7543859649122806E-2</c:v>
                </c:pt>
                <c:pt idx="73">
                  <c:v>1.7543859649122806E-2</c:v>
                </c:pt>
                <c:pt idx="74">
                  <c:v>1.7543859649122806E-2</c:v>
                </c:pt>
                <c:pt idx="75">
                  <c:v>1.7543859649122806E-2</c:v>
                </c:pt>
                <c:pt idx="76">
                  <c:v>1.7543859649122806E-2</c:v>
                </c:pt>
                <c:pt idx="77">
                  <c:v>1.7543859649122806E-2</c:v>
                </c:pt>
                <c:pt idx="78">
                  <c:v>1.7543859649122806E-2</c:v>
                </c:pt>
                <c:pt idx="79">
                  <c:v>1.7543859649122806E-2</c:v>
                </c:pt>
                <c:pt idx="80">
                  <c:v>1.7543859649122806E-2</c:v>
                </c:pt>
                <c:pt idx="81">
                  <c:v>1.7543859649122806E-2</c:v>
                </c:pt>
                <c:pt idx="82">
                  <c:v>1.7543859649122806E-2</c:v>
                </c:pt>
                <c:pt idx="83">
                  <c:v>2.3391812865497075E-2</c:v>
                </c:pt>
                <c:pt idx="84">
                  <c:v>2.3391812865497075E-2</c:v>
                </c:pt>
                <c:pt idx="85">
                  <c:v>2.3391812865497075E-2</c:v>
                </c:pt>
                <c:pt idx="86">
                  <c:v>2.3391812865497075E-2</c:v>
                </c:pt>
                <c:pt idx="87">
                  <c:v>2.3391812865497075E-2</c:v>
                </c:pt>
                <c:pt idx="88">
                  <c:v>2.3391812865497075E-2</c:v>
                </c:pt>
                <c:pt idx="89">
                  <c:v>2.3391812865497075E-2</c:v>
                </c:pt>
                <c:pt idx="90">
                  <c:v>2.3391812865497075E-2</c:v>
                </c:pt>
                <c:pt idx="91">
                  <c:v>2.3391812865497075E-2</c:v>
                </c:pt>
                <c:pt idx="92">
                  <c:v>2.3391812865497075E-2</c:v>
                </c:pt>
                <c:pt idx="93">
                  <c:v>2.3391812865497075E-2</c:v>
                </c:pt>
                <c:pt idx="94">
                  <c:v>2.3391812865497075E-2</c:v>
                </c:pt>
                <c:pt idx="95">
                  <c:v>2.3391812865497075E-2</c:v>
                </c:pt>
                <c:pt idx="96">
                  <c:v>2.3391812865497075E-2</c:v>
                </c:pt>
                <c:pt idx="97">
                  <c:v>2.3391812865497075E-2</c:v>
                </c:pt>
                <c:pt idx="98">
                  <c:v>2.3391812865497075E-2</c:v>
                </c:pt>
                <c:pt idx="99">
                  <c:v>2.3391812865497075E-2</c:v>
                </c:pt>
                <c:pt idx="100">
                  <c:v>2.9239766081871343E-2</c:v>
                </c:pt>
                <c:pt idx="101">
                  <c:v>2.9239766081871343E-2</c:v>
                </c:pt>
                <c:pt idx="102">
                  <c:v>2.9239766081871343E-2</c:v>
                </c:pt>
                <c:pt idx="103">
                  <c:v>2.9239766081871343E-2</c:v>
                </c:pt>
                <c:pt idx="104">
                  <c:v>2.9239766081871343E-2</c:v>
                </c:pt>
                <c:pt idx="105">
                  <c:v>2.9239766081871343E-2</c:v>
                </c:pt>
                <c:pt idx="106">
                  <c:v>2.9239766081871343E-2</c:v>
                </c:pt>
                <c:pt idx="107">
                  <c:v>2.9239766081871343E-2</c:v>
                </c:pt>
                <c:pt idx="108">
                  <c:v>2.9239766081871343E-2</c:v>
                </c:pt>
                <c:pt idx="109">
                  <c:v>2.9239766081871343E-2</c:v>
                </c:pt>
                <c:pt idx="110">
                  <c:v>2.9239766081871343E-2</c:v>
                </c:pt>
                <c:pt idx="111">
                  <c:v>2.9239766081871343E-2</c:v>
                </c:pt>
                <c:pt idx="112">
                  <c:v>2.9239766081871343E-2</c:v>
                </c:pt>
                <c:pt idx="113">
                  <c:v>2.9239766081871343E-2</c:v>
                </c:pt>
                <c:pt idx="114">
                  <c:v>2.9239766081871343E-2</c:v>
                </c:pt>
                <c:pt idx="115">
                  <c:v>2.9239766081871343E-2</c:v>
                </c:pt>
                <c:pt idx="116">
                  <c:v>2.9239766081871343E-2</c:v>
                </c:pt>
                <c:pt idx="117">
                  <c:v>2.9239766081871343E-2</c:v>
                </c:pt>
                <c:pt idx="118">
                  <c:v>2.9239766081871343E-2</c:v>
                </c:pt>
                <c:pt idx="119">
                  <c:v>2.9239766081871343E-2</c:v>
                </c:pt>
                <c:pt idx="120">
                  <c:v>2.9239766081871343E-2</c:v>
                </c:pt>
                <c:pt idx="121">
                  <c:v>3.5087719298245612E-2</c:v>
                </c:pt>
                <c:pt idx="122">
                  <c:v>3.5087719298245612E-2</c:v>
                </c:pt>
                <c:pt idx="123">
                  <c:v>3.5087719298245612E-2</c:v>
                </c:pt>
                <c:pt idx="124">
                  <c:v>3.5087719298245612E-2</c:v>
                </c:pt>
                <c:pt idx="125">
                  <c:v>3.5087719298245612E-2</c:v>
                </c:pt>
                <c:pt idx="126">
                  <c:v>3.5087719298245612E-2</c:v>
                </c:pt>
                <c:pt idx="127">
                  <c:v>3.5087719298245612E-2</c:v>
                </c:pt>
                <c:pt idx="128">
                  <c:v>3.5087719298245612E-2</c:v>
                </c:pt>
                <c:pt idx="129">
                  <c:v>3.5087719298245612E-2</c:v>
                </c:pt>
                <c:pt idx="130">
                  <c:v>3.5087719298245612E-2</c:v>
                </c:pt>
                <c:pt idx="131">
                  <c:v>3.5087719298245612E-2</c:v>
                </c:pt>
                <c:pt idx="132">
                  <c:v>3.5087719298245612E-2</c:v>
                </c:pt>
                <c:pt idx="133">
                  <c:v>3.5087719298245612E-2</c:v>
                </c:pt>
                <c:pt idx="134">
                  <c:v>3.5087719298245612E-2</c:v>
                </c:pt>
                <c:pt idx="135">
                  <c:v>3.5087719298245612E-2</c:v>
                </c:pt>
                <c:pt idx="136">
                  <c:v>3.5087719298245612E-2</c:v>
                </c:pt>
                <c:pt idx="137">
                  <c:v>3.5087719298245612E-2</c:v>
                </c:pt>
                <c:pt idx="138">
                  <c:v>3.5087719298245612E-2</c:v>
                </c:pt>
                <c:pt idx="139">
                  <c:v>3.5087719298245612E-2</c:v>
                </c:pt>
                <c:pt idx="140">
                  <c:v>3.5087719298245612E-2</c:v>
                </c:pt>
                <c:pt idx="141">
                  <c:v>3.5087719298245612E-2</c:v>
                </c:pt>
                <c:pt idx="142">
                  <c:v>3.5087719298245612E-2</c:v>
                </c:pt>
                <c:pt idx="143">
                  <c:v>3.5087719298245612E-2</c:v>
                </c:pt>
                <c:pt idx="144">
                  <c:v>3.5087719298245612E-2</c:v>
                </c:pt>
                <c:pt idx="145">
                  <c:v>3.5087719298245612E-2</c:v>
                </c:pt>
                <c:pt idx="146">
                  <c:v>3.5087719298245612E-2</c:v>
                </c:pt>
                <c:pt idx="147">
                  <c:v>3.5087719298245612E-2</c:v>
                </c:pt>
                <c:pt idx="148">
                  <c:v>3.5087719298245612E-2</c:v>
                </c:pt>
                <c:pt idx="149">
                  <c:v>3.5087719298245612E-2</c:v>
                </c:pt>
                <c:pt idx="150">
                  <c:v>3.5087719298245612E-2</c:v>
                </c:pt>
                <c:pt idx="151">
                  <c:v>3.5087719298245612E-2</c:v>
                </c:pt>
                <c:pt idx="152">
                  <c:v>3.5087719298245612E-2</c:v>
                </c:pt>
                <c:pt idx="153">
                  <c:v>3.5087719298245612E-2</c:v>
                </c:pt>
                <c:pt idx="154">
                  <c:v>3.5087719298245612E-2</c:v>
                </c:pt>
                <c:pt idx="155">
                  <c:v>3.5087719298245612E-2</c:v>
                </c:pt>
                <c:pt idx="156">
                  <c:v>3.5087719298245612E-2</c:v>
                </c:pt>
                <c:pt idx="157">
                  <c:v>3.5087719298245612E-2</c:v>
                </c:pt>
                <c:pt idx="158">
                  <c:v>3.5087719298245612E-2</c:v>
                </c:pt>
                <c:pt idx="159">
                  <c:v>3.5087719298245612E-2</c:v>
                </c:pt>
                <c:pt idx="160">
                  <c:v>3.5087719298245612E-2</c:v>
                </c:pt>
                <c:pt idx="161">
                  <c:v>3.5087719298245612E-2</c:v>
                </c:pt>
                <c:pt idx="162">
                  <c:v>3.5087719298245612E-2</c:v>
                </c:pt>
                <c:pt idx="163">
                  <c:v>3.5087719298245612E-2</c:v>
                </c:pt>
                <c:pt idx="164">
                  <c:v>3.5087719298245612E-2</c:v>
                </c:pt>
                <c:pt idx="165">
                  <c:v>3.5087719298245612E-2</c:v>
                </c:pt>
                <c:pt idx="166">
                  <c:v>4.0935672514619881E-2</c:v>
                </c:pt>
                <c:pt idx="167">
                  <c:v>4.0935672514619881E-2</c:v>
                </c:pt>
                <c:pt idx="168">
                  <c:v>4.0935672514619881E-2</c:v>
                </c:pt>
                <c:pt idx="169">
                  <c:v>4.0935672514619881E-2</c:v>
                </c:pt>
                <c:pt idx="170">
                  <c:v>4.0935672514619881E-2</c:v>
                </c:pt>
                <c:pt idx="171">
                  <c:v>4.0935672514619881E-2</c:v>
                </c:pt>
                <c:pt idx="172">
                  <c:v>4.0935672514619881E-2</c:v>
                </c:pt>
                <c:pt idx="173">
                  <c:v>4.0935672514619881E-2</c:v>
                </c:pt>
                <c:pt idx="174">
                  <c:v>4.0935672514619881E-2</c:v>
                </c:pt>
                <c:pt idx="175">
                  <c:v>4.0935672514619881E-2</c:v>
                </c:pt>
                <c:pt idx="176">
                  <c:v>4.0935672514619881E-2</c:v>
                </c:pt>
                <c:pt idx="177">
                  <c:v>4.0935672514619881E-2</c:v>
                </c:pt>
                <c:pt idx="178">
                  <c:v>4.0935672514619881E-2</c:v>
                </c:pt>
                <c:pt idx="179">
                  <c:v>4.0935672514619881E-2</c:v>
                </c:pt>
                <c:pt idx="180">
                  <c:v>4.0935672514619881E-2</c:v>
                </c:pt>
                <c:pt idx="181">
                  <c:v>4.0935672514619881E-2</c:v>
                </c:pt>
                <c:pt idx="182">
                  <c:v>4.0935672514619881E-2</c:v>
                </c:pt>
                <c:pt idx="183">
                  <c:v>4.0935672514619881E-2</c:v>
                </c:pt>
                <c:pt idx="184">
                  <c:v>4.0935672514619881E-2</c:v>
                </c:pt>
                <c:pt idx="185">
                  <c:v>4.0935672514619881E-2</c:v>
                </c:pt>
                <c:pt idx="186">
                  <c:v>4.0935672514619881E-2</c:v>
                </c:pt>
                <c:pt idx="187">
                  <c:v>4.0935672514619881E-2</c:v>
                </c:pt>
                <c:pt idx="188">
                  <c:v>4.0935672514619881E-2</c:v>
                </c:pt>
                <c:pt idx="189">
                  <c:v>4.0935672514619881E-2</c:v>
                </c:pt>
                <c:pt idx="190">
                  <c:v>4.0935672514619881E-2</c:v>
                </c:pt>
                <c:pt idx="191">
                  <c:v>4.0935672514619881E-2</c:v>
                </c:pt>
                <c:pt idx="192">
                  <c:v>4.0935672514619881E-2</c:v>
                </c:pt>
                <c:pt idx="193">
                  <c:v>4.0935672514619881E-2</c:v>
                </c:pt>
                <c:pt idx="194">
                  <c:v>4.0935672514619881E-2</c:v>
                </c:pt>
                <c:pt idx="195">
                  <c:v>4.0935672514619881E-2</c:v>
                </c:pt>
                <c:pt idx="196">
                  <c:v>4.0935672514619881E-2</c:v>
                </c:pt>
                <c:pt idx="197">
                  <c:v>4.0935672514619881E-2</c:v>
                </c:pt>
                <c:pt idx="198">
                  <c:v>4.0935672514619881E-2</c:v>
                </c:pt>
                <c:pt idx="199">
                  <c:v>4.0935672514619881E-2</c:v>
                </c:pt>
                <c:pt idx="200">
                  <c:v>4.0935672514619881E-2</c:v>
                </c:pt>
                <c:pt idx="201">
                  <c:v>4.0935672514619881E-2</c:v>
                </c:pt>
                <c:pt idx="202">
                  <c:v>4.0935672514619881E-2</c:v>
                </c:pt>
                <c:pt idx="203">
                  <c:v>4.0935672514619881E-2</c:v>
                </c:pt>
                <c:pt idx="204">
                  <c:v>4.0935672514619881E-2</c:v>
                </c:pt>
                <c:pt idx="205">
                  <c:v>4.0935672514619881E-2</c:v>
                </c:pt>
                <c:pt idx="206">
                  <c:v>4.0935672514619881E-2</c:v>
                </c:pt>
                <c:pt idx="207">
                  <c:v>4.0935672514619881E-2</c:v>
                </c:pt>
                <c:pt idx="208">
                  <c:v>4.0935672514619881E-2</c:v>
                </c:pt>
                <c:pt idx="209">
                  <c:v>4.0935672514619881E-2</c:v>
                </c:pt>
                <c:pt idx="210">
                  <c:v>4.0935672514619881E-2</c:v>
                </c:pt>
                <c:pt idx="211">
                  <c:v>4.0935672514619881E-2</c:v>
                </c:pt>
                <c:pt idx="212">
                  <c:v>4.0935672514619881E-2</c:v>
                </c:pt>
                <c:pt idx="213">
                  <c:v>4.0935672514619881E-2</c:v>
                </c:pt>
                <c:pt idx="214">
                  <c:v>4.0935672514619881E-2</c:v>
                </c:pt>
                <c:pt idx="215">
                  <c:v>4.0935672514619881E-2</c:v>
                </c:pt>
                <c:pt idx="216">
                  <c:v>4.0935672514619881E-2</c:v>
                </c:pt>
                <c:pt idx="217">
                  <c:v>4.0935672514619881E-2</c:v>
                </c:pt>
                <c:pt idx="218">
                  <c:v>4.0935672514619881E-2</c:v>
                </c:pt>
                <c:pt idx="219">
                  <c:v>4.0935672514619881E-2</c:v>
                </c:pt>
                <c:pt idx="220">
                  <c:v>4.0935672514619881E-2</c:v>
                </c:pt>
                <c:pt idx="221">
                  <c:v>4.0935672514619881E-2</c:v>
                </c:pt>
                <c:pt idx="222">
                  <c:v>4.0935672514619881E-2</c:v>
                </c:pt>
                <c:pt idx="223">
                  <c:v>4.0935672514619881E-2</c:v>
                </c:pt>
                <c:pt idx="224">
                  <c:v>4.0935672514619881E-2</c:v>
                </c:pt>
                <c:pt idx="225">
                  <c:v>4.0935672514619881E-2</c:v>
                </c:pt>
                <c:pt idx="226">
                  <c:v>4.0935672514619881E-2</c:v>
                </c:pt>
                <c:pt idx="227">
                  <c:v>4.0935672514619881E-2</c:v>
                </c:pt>
                <c:pt idx="228">
                  <c:v>4.6783625730994149E-2</c:v>
                </c:pt>
                <c:pt idx="229">
                  <c:v>4.6783625730994149E-2</c:v>
                </c:pt>
                <c:pt idx="230">
                  <c:v>4.6783625730994149E-2</c:v>
                </c:pt>
                <c:pt idx="231">
                  <c:v>4.6783625730994149E-2</c:v>
                </c:pt>
                <c:pt idx="232">
                  <c:v>4.6783625730994149E-2</c:v>
                </c:pt>
                <c:pt idx="233">
                  <c:v>4.6783625730994149E-2</c:v>
                </c:pt>
                <c:pt idx="234">
                  <c:v>4.6783625730994149E-2</c:v>
                </c:pt>
                <c:pt idx="235">
                  <c:v>4.6783625730994149E-2</c:v>
                </c:pt>
                <c:pt idx="236">
                  <c:v>4.6783625730994149E-2</c:v>
                </c:pt>
                <c:pt idx="237">
                  <c:v>4.6783625730994149E-2</c:v>
                </c:pt>
                <c:pt idx="238">
                  <c:v>4.6783625730994149E-2</c:v>
                </c:pt>
                <c:pt idx="239">
                  <c:v>4.6783625730994149E-2</c:v>
                </c:pt>
                <c:pt idx="240">
                  <c:v>4.6783625730994149E-2</c:v>
                </c:pt>
                <c:pt idx="241">
                  <c:v>4.6783625730994149E-2</c:v>
                </c:pt>
                <c:pt idx="242">
                  <c:v>4.6783625730994149E-2</c:v>
                </c:pt>
                <c:pt idx="243">
                  <c:v>4.6783625730994149E-2</c:v>
                </c:pt>
                <c:pt idx="244">
                  <c:v>5.2631578947368418E-2</c:v>
                </c:pt>
                <c:pt idx="245">
                  <c:v>5.2631578947368418E-2</c:v>
                </c:pt>
                <c:pt idx="246">
                  <c:v>5.2631578947368418E-2</c:v>
                </c:pt>
                <c:pt idx="247">
                  <c:v>5.2631578947368418E-2</c:v>
                </c:pt>
                <c:pt idx="248">
                  <c:v>5.2631578947368418E-2</c:v>
                </c:pt>
                <c:pt idx="249">
                  <c:v>5.2631578947368418E-2</c:v>
                </c:pt>
                <c:pt idx="250">
                  <c:v>5.2631578947368418E-2</c:v>
                </c:pt>
                <c:pt idx="251">
                  <c:v>5.2631578947368418E-2</c:v>
                </c:pt>
                <c:pt idx="252">
                  <c:v>5.2631578947368418E-2</c:v>
                </c:pt>
                <c:pt idx="253">
                  <c:v>5.2631578947368418E-2</c:v>
                </c:pt>
                <c:pt idx="254">
                  <c:v>5.2631578947368418E-2</c:v>
                </c:pt>
                <c:pt idx="255">
                  <c:v>5.2631578947368418E-2</c:v>
                </c:pt>
                <c:pt idx="256">
                  <c:v>5.2631578947368418E-2</c:v>
                </c:pt>
                <c:pt idx="257">
                  <c:v>5.2631578947368418E-2</c:v>
                </c:pt>
                <c:pt idx="258">
                  <c:v>5.2631578947368418E-2</c:v>
                </c:pt>
                <c:pt idx="259">
                  <c:v>5.2631578947368418E-2</c:v>
                </c:pt>
                <c:pt idx="260">
                  <c:v>5.2631578947368418E-2</c:v>
                </c:pt>
                <c:pt idx="261">
                  <c:v>5.2631578947368418E-2</c:v>
                </c:pt>
                <c:pt idx="262">
                  <c:v>5.2631578947368418E-2</c:v>
                </c:pt>
                <c:pt idx="263">
                  <c:v>5.2631578947368418E-2</c:v>
                </c:pt>
                <c:pt idx="264">
                  <c:v>5.2631578947368418E-2</c:v>
                </c:pt>
                <c:pt idx="265">
                  <c:v>5.2631578947368418E-2</c:v>
                </c:pt>
                <c:pt idx="266">
                  <c:v>5.2631578947368418E-2</c:v>
                </c:pt>
                <c:pt idx="267">
                  <c:v>5.2631578947368418E-2</c:v>
                </c:pt>
                <c:pt idx="268">
                  <c:v>5.2631578947368418E-2</c:v>
                </c:pt>
                <c:pt idx="269">
                  <c:v>5.2631578947368418E-2</c:v>
                </c:pt>
                <c:pt idx="270">
                  <c:v>5.2631578947368418E-2</c:v>
                </c:pt>
                <c:pt idx="271">
                  <c:v>5.2631578947368418E-2</c:v>
                </c:pt>
                <c:pt idx="272">
                  <c:v>5.2631578947368418E-2</c:v>
                </c:pt>
                <c:pt idx="273">
                  <c:v>5.2631578947368418E-2</c:v>
                </c:pt>
                <c:pt idx="274">
                  <c:v>5.2631578947368418E-2</c:v>
                </c:pt>
                <c:pt idx="275">
                  <c:v>5.2631578947368418E-2</c:v>
                </c:pt>
                <c:pt idx="276">
                  <c:v>5.2631578947368418E-2</c:v>
                </c:pt>
                <c:pt idx="277">
                  <c:v>5.2631578947368418E-2</c:v>
                </c:pt>
                <c:pt idx="278">
                  <c:v>5.2631578947368418E-2</c:v>
                </c:pt>
                <c:pt idx="279">
                  <c:v>5.2631578947368418E-2</c:v>
                </c:pt>
                <c:pt idx="280">
                  <c:v>5.2631578947368418E-2</c:v>
                </c:pt>
                <c:pt idx="281">
                  <c:v>5.2631578947368418E-2</c:v>
                </c:pt>
                <c:pt idx="282">
                  <c:v>5.2631578947368418E-2</c:v>
                </c:pt>
                <c:pt idx="283">
                  <c:v>5.2631578947368418E-2</c:v>
                </c:pt>
                <c:pt idx="284">
                  <c:v>5.2631578947368418E-2</c:v>
                </c:pt>
                <c:pt idx="285">
                  <c:v>5.2631578947368418E-2</c:v>
                </c:pt>
                <c:pt idx="286">
                  <c:v>5.2631578947368418E-2</c:v>
                </c:pt>
                <c:pt idx="287">
                  <c:v>5.2631578947368418E-2</c:v>
                </c:pt>
                <c:pt idx="288">
                  <c:v>5.2631578947368418E-2</c:v>
                </c:pt>
                <c:pt idx="289">
                  <c:v>5.2631578947368418E-2</c:v>
                </c:pt>
                <c:pt idx="290">
                  <c:v>5.2631578947368418E-2</c:v>
                </c:pt>
                <c:pt idx="291">
                  <c:v>5.2631578947368418E-2</c:v>
                </c:pt>
                <c:pt idx="292">
                  <c:v>5.2631578947368418E-2</c:v>
                </c:pt>
                <c:pt idx="293">
                  <c:v>5.2631578947368418E-2</c:v>
                </c:pt>
                <c:pt idx="294">
                  <c:v>5.2631578947368418E-2</c:v>
                </c:pt>
                <c:pt idx="295">
                  <c:v>5.2631578947368418E-2</c:v>
                </c:pt>
                <c:pt idx="296">
                  <c:v>5.2631578947368418E-2</c:v>
                </c:pt>
                <c:pt idx="297">
                  <c:v>5.2631578947368418E-2</c:v>
                </c:pt>
                <c:pt idx="298">
                  <c:v>5.2631578947368418E-2</c:v>
                </c:pt>
                <c:pt idx="299">
                  <c:v>5.2631578947368418E-2</c:v>
                </c:pt>
                <c:pt idx="300">
                  <c:v>5.2631578947368418E-2</c:v>
                </c:pt>
                <c:pt idx="301">
                  <c:v>5.2631578947368418E-2</c:v>
                </c:pt>
                <c:pt idx="302">
                  <c:v>5.2631578947368418E-2</c:v>
                </c:pt>
                <c:pt idx="303">
                  <c:v>5.2631578947368418E-2</c:v>
                </c:pt>
                <c:pt idx="304">
                  <c:v>5.2631578947368418E-2</c:v>
                </c:pt>
                <c:pt idx="305">
                  <c:v>5.2631578947368418E-2</c:v>
                </c:pt>
                <c:pt idx="306">
                  <c:v>5.2631578947368418E-2</c:v>
                </c:pt>
                <c:pt idx="307">
                  <c:v>5.2631578947368418E-2</c:v>
                </c:pt>
                <c:pt idx="308">
                  <c:v>5.2631578947368418E-2</c:v>
                </c:pt>
                <c:pt idx="309">
                  <c:v>5.2631578947368418E-2</c:v>
                </c:pt>
                <c:pt idx="310">
                  <c:v>5.2631578947368418E-2</c:v>
                </c:pt>
                <c:pt idx="311">
                  <c:v>5.2631578947368418E-2</c:v>
                </c:pt>
                <c:pt idx="312">
                  <c:v>5.2631578947368418E-2</c:v>
                </c:pt>
                <c:pt idx="313">
                  <c:v>5.2631578947368418E-2</c:v>
                </c:pt>
                <c:pt idx="314">
                  <c:v>5.2631578947368418E-2</c:v>
                </c:pt>
                <c:pt idx="315">
                  <c:v>5.2631578947368418E-2</c:v>
                </c:pt>
                <c:pt idx="316">
                  <c:v>5.2631578947368418E-2</c:v>
                </c:pt>
                <c:pt idx="317">
                  <c:v>5.2631578947368418E-2</c:v>
                </c:pt>
                <c:pt idx="318">
                  <c:v>5.2631578947368418E-2</c:v>
                </c:pt>
                <c:pt idx="319">
                  <c:v>5.2631578947368418E-2</c:v>
                </c:pt>
                <c:pt idx="320">
                  <c:v>5.2631578947368418E-2</c:v>
                </c:pt>
                <c:pt idx="321">
                  <c:v>5.2631578947368418E-2</c:v>
                </c:pt>
                <c:pt idx="322">
                  <c:v>5.2631578947368418E-2</c:v>
                </c:pt>
                <c:pt idx="323">
                  <c:v>5.2631578947368418E-2</c:v>
                </c:pt>
                <c:pt idx="324">
                  <c:v>5.2631578947368418E-2</c:v>
                </c:pt>
                <c:pt idx="325">
                  <c:v>5.2631578947368418E-2</c:v>
                </c:pt>
                <c:pt idx="326">
                  <c:v>5.2631578947368418E-2</c:v>
                </c:pt>
                <c:pt idx="327">
                  <c:v>5.2631578947368418E-2</c:v>
                </c:pt>
                <c:pt idx="328">
                  <c:v>5.2631578947368418E-2</c:v>
                </c:pt>
                <c:pt idx="329">
                  <c:v>5.2631578947368418E-2</c:v>
                </c:pt>
                <c:pt idx="330">
                  <c:v>5.2631578947368418E-2</c:v>
                </c:pt>
                <c:pt idx="331">
                  <c:v>5.2631578947368418E-2</c:v>
                </c:pt>
                <c:pt idx="332">
                  <c:v>5.2631578947368418E-2</c:v>
                </c:pt>
                <c:pt idx="333">
                  <c:v>5.2631578947368418E-2</c:v>
                </c:pt>
                <c:pt idx="334">
                  <c:v>5.2631578947368418E-2</c:v>
                </c:pt>
                <c:pt idx="335">
                  <c:v>5.2631578947368418E-2</c:v>
                </c:pt>
                <c:pt idx="336">
                  <c:v>5.2631578947368418E-2</c:v>
                </c:pt>
                <c:pt idx="337">
                  <c:v>5.2631578947368418E-2</c:v>
                </c:pt>
                <c:pt idx="338">
                  <c:v>5.2631578947368418E-2</c:v>
                </c:pt>
                <c:pt idx="339">
                  <c:v>5.2631578947368418E-2</c:v>
                </c:pt>
                <c:pt idx="340">
                  <c:v>5.2631578947368418E-2</c:v>
                </c:pt>
                <c:pt idx="341">
                  <c:v>5.2631578947368418E-2</c:v>
                </c:pt>
                <c:pt idx="342">
                  <c:v>5.2631578947368418E-2</c:v>
                </c:pt>
                <c:pt idx="343">
                  <c:v>5.2631578947368418E-2</c:v>
                </c:pt>
                <c:pt idx="344">
                  <c:v>5.2631578947368418E-2</c:v>
                </c:pt>
                <c:pt idx="345">
                  <c:v>5.2631578947368418E-2</c:v>
                </c:pt>
                <c:pt idx="346">
                  <c:v>5.2631578947368418E-2</c:v>
                </c:pt>
                <c:pt idx="347">
                  <c:v>5.2631578947368418E-2</c:v>
                </c:pt>
                <c:pt idx="348">
                  <c:v>5.2631578947368418E-2</c:v>
                </c:pt>
                <c:pt idx="349">
                  <c:v>5.2631578947368418E-2</c:v>
                </c:pt>
                <c:pt idx="350">
                  <c:v>5.2631578947368418E-2</c:v>
                </c:pt>
                <c:pt idx="351">
                  <c:v>5.2631578947368418E-2</c:v>
                </c:pt>
                <c:pt idx="352">
                  <c:v>5.2631578947368418E-2</c:v>
                </c:pt>
                <c:pt idx="353">
                  <c:v>5.2631578947368418E-2</c:v>
                </c:pt>
                <c:pt idx="354">
                  <c:v>5.2631578947368418E-2</c:v>
                </c:pt>
                <c:pt idx="355">
                  <c:v>5.2631578947368418E-2</c:v>
                </c:pt>
                <c:pt idx="356">
                  <c:v>5.2631578947368418E-2</c:v>
                </c:pt>
                <c:pt idx="357">
                  <c:v>5.2631578947368418E-2</c:v>
                </c:pt>
                <c:pt idx="358">
                  <c:v>5.2631578947368418E-2</c:v>
                </c:pt>
                <c:pt idx="359">
                  <c:v>5.2631578947368418E-2</c:v>
                </c:pt>
                <c:pt idx="360">
                  <c:v>5.2631578947368418E-2</c:v>
                </c:pt>
                <c:pt idx="361">
                  <c:v>5.2631578947368418E-2</c:v>
                </c:pt>
                <c:pt idx="362">
                  <c:v>5.2631578947368418E-2</c:v>
                </c:pt>
                <c:pt idx="363">
                  <c:v>5.2631578947368418E-2</c:v>
                </c:pt>
                <c:pt idx="364">
                  <c:v>5.2631578947368418E-2</c:v>
                </c:pt>
                <c:pt idx="365">
                  <c:v>5.2631578947368418E-2</c:v>
                </c:pt>
                <c:pt idx="366">
                  <c:v>5.2631578947368418E-2</c:v>
                </c:pt>
                <c:pt idx="367">
                  <c:v>5.2631578947368418E-2</c:v>
                </c:pt>
                <c:pt idx="368">
                  <c:v>5.2631578947368418E-2</c:v>
                </c:pt>
                <c:pt idx="369">
                  <c:v>5.2631578947368418E-2</c:v>
                </c:pt>
                <c:pt idx="370">
                  <c:v>5.2631578947368418E-2</c:v>
                </c:pt>
                <c:pt idx="371">
                  <c:v>5.2631578947368418E-2</c:v>
                </c:pt>
                <c:pt idx="372">
                  <c:v>5.2631578947368418E-2</c:v>
                </c:pt>
                <c:pt idx="373">
                  <c:v>5.2631578947368418E-2</c:v>
                </c:pt>
                <c:pt idx="374">
                  <c:v>5.2631578947368418E-2</c:v>
                </c:pt>
                <c:pt idx="375">
                  <c:v>5.2631578947368418E-2</c:v>
                </c:pt>
                <c:pt idx="376">
                  <c:v>5.2631578947368418E-2</c:v>
                </c:pt>
                <c:pt idx="377">
                  <c:v>5.2631578947368418E-2</c:v>
                </c:pt>
                <c:pt idx="378">
                  <c:v>5.2631578947368418E-2</c:v>
                </c:pt>
                <c:pt idx="379">
                  <c:v>5.2631578947368418E-2</c:v>
                </c:pt>
                <c:pt idx="380">
                  <c:v>5.2631578947368418E-2</c:v>
                </c:pt>
                <c:pt idx="381">
                  <c:v>5.2631578947368418E-2</c:v>
                </c:pt>
                <c:pt idx="382">
                  <c:v>5.2631578947368418E-2</c:v>
                </c:pt>
                <c:pt idx="383">
                  <c:v>5.2631578947368418E-2</c:v>
                </c:pt>
                <c:pt idx="384">
                  <c:v>5.2631578947368418E-2</c:v>
                </c:pt>
                <c:pt idx="385">
                  <c:v>5.2631578947368418E-2</c:v>
                </c:pt>
                <c:pt idx="386">
                  <c:v>5.2631578947368418E-2</c:v>
                </c:pt>
                <c:pt idx="387">
                  <c:v>5.2631578947368418E-2</c:v>
                </c:pt>
                <c:pt idx="388">
                  <c:v>5.2631578947368418E-2</c:v>
                </c:pt>
                <c:pt idx="389">
                  <c:v>5.2631578947368418E-2</c:v>
                </c:pt>
                <c:pt idx="390">
                  <c:v>5.2631578947368418E-2</c:v>
                </c:pt>
                <c:pt idx="391">
                  <c:v>5.2631578947368418E-2</c:v>
                </c:pt>
                <c:pt idx="392">
                  <c:v>5.2631578947368418E-2</c:v>
                </c:pt>
                <c:pt idx="393">
                  <c:v>5.2631578947368418E-2</c:v>
                </c:pt>
                <c:pt idx="394">
                  <c:v>5.2631578947368418E-2</c:v>
                </c:pt>
                <c:pt idx="395">
                  <c:v>5.2631578947368418E-2</c:v>
                </c:pt>
                <c:pt idx="396">
                  <c:v>5.2631578947368418E-2</c:v>
                </c:pt>
                <c:pt idx="397">
                  <c:v>5.2631578947368418E-2</c:v>
                </c:pt>
                <c:pt idx="398">
                  <c:v>5.2631578947368418E-2</c:v>
                </c:pt>
                <c:pt idx="399">
                  <c:v>5.2631578947368418E-2</c:v>
                </c:pt>
                <c:pt idx="400">
                  <c:v>5.2631578947368418E-2</c:v>
                </c:pt>
                <c:pt idx="401">
                  <c:v>5.2631578947368418E-2</c:v>
                </c:pt>
                <c:pt idx="402">
                  <c:v>5.2631578947368418E-2</c:v>
                </c:pt>
                <c:pt idx="403">
                  <c:v>5.2631578947368418E-2</c:v>
                </c:pt>
                <c:pt idx="404">
                  <c:v>5.2631578947368418E-2</c:v>
                </c:pt>
                <c:pt idx="405">
                  <c:v>5.2631578947368418E-2</c:v>
                </c:pt>
                <c:pt idx="406">
                  <c:v>5.2631578947368418E-2</c:v>
                </c:pt>
                <c:pt idx="407">
                  <c:v>5.2631578947368418E-2</c:v>
                </c:pt>
                <c:pt idx="408">
                  <c:v>5.2631578947368418E-2</c:v>
                </c:pt>
                <c:pt idx="409">
                  <c:v>5.2631578947368418E-2</c:v>
                </c:pt>
                <c:pt idx="410">
                  <c:v>5.2631578947368418E-2</c:v>
                </c:pt>
                <c:pt idx="411">
                  <c:v>5.2631578947368418E-2</c:v>
                </c:pt>
                <c:pt idx="412">
                  <c:v>5.2631578947368418E-2</c:v>
                </c:pt>
                <c:pt idx="413">
                  <c:v>5.2631578947368418E-2</c:v>
                </c:pt>
                <c:pt idx="414">
                  <c:v>5.2631578947368418E-2</c:v>
                </c:pt>
                <c:pt idx="415">
                  <c:v>5.2631578947368418E-2</c:v>
                </c:pt>
                <c:pt idx="416">
                  <c:v>5.2631578947368418E-2</c:v>
                </c:pt>
                <c:pt idx="417">
                  <c:v>5.2631578947368418E-2</c:v>
                </c:pt>
                <c:pt idx="418">
                  <c:v>5.2631578947368418E-2</c:v>
                </c:pt>
                <c:pt idx="419">
                  <c:v>5.2631578947368418E-2</c:v>
                </c:pt>
                <c:pt idx="420">
                  <c:v>5.2631578947368418E-2</c:v>
                </c:pt>
                <c:pt idx="421">
                  <c:v>5.2631578947368418E-2</c:v>
                </c:pt>
                <c:pt idx="422">
                  <c:v>5.2631578947368418E-2</c:v>
                </c:pt>
                <c:pt idx="423">
                  <c:v>5.8479532163742687E-2</c:v>
                </c:pt>
                <c:pt idx="424">
                  <c:v>5.8479532163742687E-2</c:v>
                </c:pt>
                <c:pt idx="425">
                  <c:v>5.8479532163742687E-2</c:v>
                </c:pt>
                <c:pt idx="426">
                  <c:v>5.8479532163742687E-2</c:v>
                </c:pt>
                <c:pt idx="427">
                  <c:v>5.8479532163742687E-2</c:v>
                </c:pt>
                <c:pt idx="428">
                  <c:v>5.8479532163742687E-2</c:v>
                </c:pt>
                <c:pt idx="429">
                  <c:v>5.8479532163742687E-2</c:v>
                </c:pt>
                <c:pt idx="430">
                  <c:v>5.8479532163742687E-2</c:v>
                </c:pt>
                <c:pt idx="431">
                  <c:v>5.8479532163742687E-2</c:v>
                </c:pt>
                <c:pt idx="432">
                  <c:v>5.8479532163742687E-2</c:v>
                </c:pt>
                <c:pt idx="433">
                  <c:v>5.8479532163742687E-2</c:v>
                </c:pt>
                <c:pt idx="434">
                  <c:v>5.8479532163742687E-2</c:v>
                </c:pt>
                <c:pt idx="435">
                  <c:v>5.8479532163742687E-2</c:v>
                </c:pt>
                <c:pt idx="436">
                  <c:v>5.8479532163742687E-2</c:v>
                </c:pt>
                <c:pt idx="437">
                  <c:v>5.8479532163742687E-2</c:v>
                </c:pt>
                <c:pt idx="438">
                  <c:v>6.4327485380116955E-2</c:v>
                </c:pt>
                <c:pt idx="439">
                  <c:v>7.0175438596491224E-2</c:v>
                </c:pt>
                <c:pt idx="440">
                  <c:v>7.6023391812865493E-2</c:v>
                </c:pt>
                <c:pt idx="441">
                  <c:v>8.1871345029239762E-2</c:v>
                </c:pt>
                <c:pt idx="442">
                  <c:v>8.771929824561403E-2</c:v>
                </c:pt>
                <c:pt idx="443">
                  <c:v>9.3567251461988299E-2</c:v>
                </c:pt>
                <c:pt idx="444">
                  <c:v>9.9415204678362568E-2</c:v>
                </c:pt>
                <c:pt idx="445">
                  <c:v>0.10526315789473684</c:v>
                </c:pt>
                <c:pt idx="446">
                  <c:v>0.1111111111111111</c:v>
                </c:pt>
                <c:pt idx="447">
                  <c:v>0.11695906432748537</c:v>
                </c:pt>
                <c:pt idx="448">
                  <c:v>0.12280701754385964</c:v>
                </c:pt>
                <c:pt idx="449">
                  <c:v>0.12865497076023391</c:v>
                </c:pt>
                <c:pt idx="450">
                  <c:v>0.13450292397660818</c:v>
                </c:pt>
                <c:pt idx="451">
                  <c:v>0.14035087719298245</c:v>
                </c:pt>
                <c:pt idx="452">
                  <c:v>0.14619883040935672</c:v>
                </c:pt>
                <c:pt idx="453">
                  <c:v>0.15204678362573099</c:v>
                </c:pt>
                <c:pt idx="454">
                  <c:v>0.15789473684210525</c:v>
                </c:pt>
                <c:pt idx="455">
                  <c:v>0.16374269005847952</c:v>
                </c:pt>
                <c:pt idx="456">
                  <c:v>0.16959064327485379</c:v>
                </c:pt>
                <c:pt idx="457">
                  <c:v>0.17543859649122806</c:v>
                </c:pt>
                <c:pt idx="458">
                  <c:v>0.18128654970760233</c:v>
                </c:pt>
                <c:pt idx="459">
                  <c:v>0.1871345029239766</c:v>
                </c:pt>
                <c:pt idx="460">
                  <c:v>0.19298245614035087</c:v>
                </c:pt>
                <c:pt idx="461">
                  <c:v>0.19883040935672514</c:v>
                </c:pt>
                <c:pt idx="462">
                  <c:v>0.2046783625730994</c:v>
                </c:pt>
                <c:pt idx="463">
                  <c:v>0.21052631578947367</c:v>
                </c:pt>
                <c:pt idx="464">
                  <c:v>0.21637426900584794</c:v>
                </c:pt>
                <c:pt idx="465">
                  <c:v>0.22222222222222221</c:v>
                </c:pt>
                <c:pt idx="466">
                  <c:v>0.22807017543859648</c:v>
                </c:pt>
                <c:pt idx="467">
                  <c:v>0.23391812865497075</c:v>
                </c:pt>
                <c:pt idx="468">
                  <c:v>0.23976608187134502</c:v>
                </c:pt>
                <c:pt idx="469">
                  <c:v>0.24561403508771928</c:v>
                </c:pt>
                <c:pt idx="470">
                  <c:v>0.25146198830409355</c:v>
                </c:pt>
                <c:pt idx="471">
                  <c:v>0.25730994152046782</c:v>
                </c:pt>
                <c:pt idx="472">
                  <c:v>0.26315789473684209</c:v>
                </c:pt>
                <c:pt idx="473">
                  <c:v>0.26900584795321636</c:v>
                </c:pt>
                <c:pt idx="474">
                  <c:v>0.27485380116959063</c:v>
                </c:pt>
                <c:pt idx="475">
                  <c:v>0.2807017543859649</c:v>
                </c:pt>
                <c:pt idx="476">
                  <c:v>0.28654970760233917</c:v>
                </c:pt>
                <c:pt idx="477">
                  <c:v>0.29239766081871343</c:v>
                </c:pt>
                <c:pt idx="478">
                  <c:v>0.2982456140350877</c:v>
                </c:pt>
                <c:pt idx="479">
                  <c:v>0.30409356725146197</c:v>
                </c:pt>
                <c:pt idx="480">
                  <c:v>0.30994152046783624</c:v>
                </c:pt>
                <c:pt idx="481">
                  <c:v>0.31578947368421051</c:v>
                </c:pt>
                <c:pt idx="482">
                  <c:v>0.32163742690058478</c:v>
                </c:pt>
                <c:pt idx="483">
                  <c:v>0.32748538011695905</c:v>
                </c:pt>
                <c:pt idx="484">
                  <c:v>0.33333333333333331</c:v>
                </c:pt>
                <c:pt idx="485">
                  <c:v>0.33918128654970758</c:v>
                </c:pt>
                <c:pt idx="486">
                  <c:v>0.34502923976608185</c:v>
                </c:pt>
                <c:pt idx="487">
                  <c:v>0.35087719298245612</c:v>
                </c:pt>
                <c:pt idx="488">
                  <c:v>0.35672514619883039</c:v>
                </c:pt>
                <c:pt idx="489">
                  <c:v>0.36257309941520466</c:v>
                </c:pt>
                <c:pt idx="490">
                  <c:v>0.36842105263157893</c:v>
                </c:pt>
                <c:pt idx="491">
                  <c:v>0.3742690058479532</c:v>
                </c:pt>
                <c:pt idx="492">
                  <c:v>0.38011695906432746</c:v>
                </c:pt>
                <c:pt idx="493">
                  <c:v>0.38596491228070173</c:v>
                </c:pt>
                <c:pt idx="494">
                  <c:v>0.391812865497076</c:v>
                </c:pt>
                <c:pt idx="495">
                  <c:v>0.39766081871345027</c:v>
                </c:pt>
                <c:pt idx="496">
                  <c:v>0.40350877192982454</c:v>
                </c:pt>
                <c:pt idx="497">
                  <c:v>0.40935672514619881</c:v>
                </c:pt>
                <c:pt idx="498">
                  <c:v>0.41520467836257308</c:v>
                </c:pt>
                <c:pt idx="499">
                  <c:v>0.42105263157894735</c:v>
                </c:pt>
                <c:pt idx="500">
                  <c:v>0.42690058479532161</c:v>
                </c:pt>
                <c:pt idx="501">
                  <c:v>0.43274853801169588</c:v>
                </c:pt>
                <c:pt idx="502">
                  <c:v>0.43859649122807015</c:v>
                </c:pt>
                <c:pt idx="503">
                  <c:v>0.43859649122807015</c:v>
                </c:pt>
                <c:pt idx="504">
                  <c:v>0.44444444444444442</c:v>
                </c:pt>
                <c:pt idx="505">
                  <c:v>0.45029239766081869</c:v>
                </c:pt>
                <c:pt idx="506">
                  <c:v>0.45614035087719296</c:v>
                </c:pt>
                <c:pt idx="507">
                  <c:v>0.46198830409356723</c:v>
                </c:pt>
                <c:pt idx="508">
                  <c:v>0.46783625730994149</c:v>
                </c:pt>
                <c:pt idx="509">
                  <c:v>0.47368421052631576</c:v>
                </c:pt>
                <c:pt idx="510">
                  <c:v>0.47953216374269003</c:v>
                </c:pt>
                <c:pt idx="511">
                  <c:v>0.4853801169590643</c:v>
                </c:pt>
                <c:pt idx="512">
                  <c:v>0.49122807017543857</c:v>
                </c:pt>
                <c:pt idx="513">
                  <c:v>0.49707602339181284</c:v>
                </c:pt>
                <c:pt idx="514">
                  <c:v>0.50292397660818711</c:v>
                </c:pt>
                <c:pt idx="515">
                  <c:v>0.50877192982456143</c:v>
                </c:pt>
                <c:pt idx="516">
                  <c:v>0.51461988304093564</c:v>
                </c:pt>
                <c:pt idx="517">
                  <c:v>0.52046783625730997</c:v>
                </c:pt>
                <c:pt idx="518">
                  <c:v>0.52631578947368418</c:v>
                </c:pt>
                <c:pt idx="519">
                  <c:v>0.53216374269005851</c:v>
                </c:pt>
                <c:pt idx="520">
                  <c:v>0.53801169590643272</c:v>
                </c:pt>
                <c:pt idx="521">
                  <c:v>0.54385964912280704</c:v>
                </c:pt>
                <c:pt idx="522">
                  <c:v>0.54970760233918126</c:v>
                </c:pt>
                <c:pt idx="523">
                  <c:v>0.55555555555555558</c:v>
                </c:pt>
                <c:pt idx="524">
                  <c:v>0.56140350877192979</c:v>
                </c:pt>
                <c:pt idx="525">
                  <c:v>0.56725146198830412</c:v>
                </c:pt>
                <c:pt idx="526">
                  <c:v>0.57309941520467833</c:v>
                </c:pt>
                <c:pt idx="527">
                  <c:v>0.57894736842105265</c:v>
                </c:pt>
                <c:pt idx="528">
                  <c:v>0.58479532163742687</c:v>
                </c:pt>
                <c:pt idx="529">
                  <c:v>0.59064327485380119</c:v>
                </c:pt>
                <c:pt idx="530">
                  <c:v>0.59649122807017541</c:v>
                </c:pt>
                <c:pt idx="531">
                  <c:v>0.60233918128654973</c:v>
                </c:pt>
                <c:pt idx="532">
                  <c:v>0.60818713450292394</c:v>
                </c:pt>
                <c:pt idx="533">
                  <c:v>0.61403508771929827</c:v>
                </c:pt>
                <c:pt idx="534">
                  <c:v>0.61988304093567248</c:v>
                </c:pt>
                <c:pt idx="535">
                  <c:v>0.6257309941520468</c:v>
                </c:pt>
                <c:pt idx="536">
                  <c:v>0.63157894736842102</c:v>
                </c:pt>
                <c:pt idx="537">
                  <c:v>0.63742690058479534</c:v>
                </c:pt>
                <c:pt idx="538">
                  <c:v>0.64327485380116955</c:v>
                </c:pt>
                <c:pt idx="539">
                  <c:v>0.64912280701754388</c:v>
                </c:pt>
                <c:pt idx="540">
                  <c:v>0.65497076023391809</c:v>
                </c:pt>
                <c:pt idx="541">
                  <c:v>0.66081871345029242</c:v>
                </c:pt>
                <c:pt idx="542">
                  <c:v>0.66666666666666663</c:v>
                </c:pt>
                <c:pt idx="543">
                  <c:v>0.67251461988304095</c:v>
                </c:pt>
                <c:pt idx="544">
                  <c:v>0.67836257309941517</c:v>
                </c:pt>
                <c:pt idx="545">
                  <c:v>0.68421052631578949</c:v>
                </c:pt>
                <c:pt idx="546">
                  <c:v>0.6900584795321637</c:v>
                </c:pt>
                <c:pt idx="547">
                  <c:v>0.69590643274853803</c:v>
                </c:pt>
                <c:pt idx="548">
                  <c:v>0.70175438596491224</c:v>
                </c:pt>
                <c:pt idx="549">
                  <c:v>0.70760233918128657</c:v>
                </c:pt>
                <c:pt idx="550">
                  <c:v>0.71345029239766078</c:v>
                </c:pt>
                <c:pt idx="551">
                  <c:v>0.7192982456140351</c:v>
                </c:pt>
                <c:pt idx="552">
                  <c:v>0.72514619883040932</c:v>
                </c:pt>
                <c:pt idx="553">
                  <c:v>0.73099415204678364</c:v>
                </c:pt>
                <c:pt idx="554">
                  <c:v>0.73684210526315785</c:v>
                </c:pt>
                <c:pt idx="555">
                  <c:v>0.74269005847953218</c:v>
                </c:pt>
                <c:pt idx="556">
                  <c:v>0.74853801169590639</c:v>
                </c:pt>
                <c:pt idx="557">
                  <c:v>0.75438596491228072</c:v>
                </c:pt>
                <c:pt idx="558">
                  <c:v>0.76023391812865493</c:v>
                </c:pt>
                <c:pt idx="559">
                  <c:v>0.76608187134502925</c:v>
                </c:pt>
                <c:pt idx="560">
                  <c:v>0.77192982456140347</c:v>
                </c:pt>
                <c:pt idx="561">
                  <c:v>0.77777777777777779</c:v>
                </c:pt>
                <c:pt idx="562">
                  <c:v>0.783625730994152</c:v>
                </c:pt>
                <c:pt idx="563">
                  <c:v>0.78947368421052633</c:v>
                </c:pt>
                <c:pt idx="564">
                  <c:v>0.79532163742690054</c:v>
                </c:pt>
                <c:pt idx="565">
                  <c:v>0.80116959064327486</c:v>
                </c:pt>
                <c:pt idx="566">
                  <c:v>0.80116959064327486</c:v>
                </c:pt>
                <c:pt idx="567">
                  <c:v>0.80701754385964908</c:v>
                </c:pt>
                <c:pt idx="568">
                  <c:v>0.8128654970760234</c:v>
                </c:pt>
                <c:pt idx="569">
                  <c:v>0.81871345029239762</c:v>
                </c:pt>
                <c:pt idx="570">
                  <c:v>0.82456140350877194</c:v>
                </c:pt>
                <c:pt idx="571">
                  <c:v>0.83040935672514615</c:v>
                </c:pt>
                <c:pt idx="572">
                  <c:v>0.83625730994152048</c:v>
                </c:pt>
                <c:pt idx="573">
                  <c:v>0.84210526315789469</c:v>
                </c:pt>
                <c:pt idx="574">
                  <c:v>0.84795321637426901</c:v>
                </c:pt>
                <c:pt idx="575">
                  <c:v>0.85380116959064323</c:v>
                </c:pt>
                <c:pt idx="576">
                  <c:v>0.85964912280701755</c:v>
                </c:pt>
                <c:pt idx="577">
                  <c:v>0.86549707602339176</c:v>
                </c:pt>
                <c:pt idx="578">
                  <c:v>0.87134502923976609</c:v>
                </c:pt>
                <c:pt idx="579">
                  <c:v>0.8771929824561403</c:v>
                </c:pt>
                <c:pt idx="580">
                  <c:v>0.88304093567251463</c:v>
                </c:pt>
                <c:pt idx="581">
                  <c:v>0.88888888888888884</c:v>
                </c:pt>
                <c:pt idx="582">
                  <c:v>0.89473684210526316</c:v>
                </c:pt>
                <c:pt idx="583">
                  <c:v>0.90058479532163738</c:v>
                </c:pt>
                <c:pt idx="584">
                  <c:v>0.9064327485380117</c:v>
                </c:pt>
                <c:pt idx="585">
                  <c:v>0.91228070175438591</c:v>
                </c:pt>
                <c:pt idx="586">
                  <c:v>0.91812865497076024</c:v>
                </c:pt>
                <c:pt idx="587">
                  <c:v>0.92397660818713445</c:v>
                </c:pt>
                <c:pt idx="588">
                  <c:v>0.92982456140350878</c:v>
                </c:pt>
                <c:pt idx="589">
                  <c:v>0.93567251461988299</c:v>
                </c:pt>
                <c:pt idx="590">
                  <c:v>0.94152046783625731</c:v>
                </c:pt>
                <c:pt idx="591">
                  <c:v>0.94736842105263153</c:v>
                </c:pt>
                <c:pt idx="592">
                  <c:v>0.95321637426900585</c:v>
                </c:pt>
                <c:pt idx="593">
                  <c:v>0.95906432748538006</c:v>
                </c:pt>
                <c:pt idx="594">
                  <c:v>0.96491228070175439</c:v>
                </c:pt>
                <c:pt idx="595">
                  <c:v>0.9707602339181286</c:v>
                </c:pt>
                <c:pt idx="596">
                  <c:v>0.97660818713450293</c:v>
                </c:pt>
                <c:pt idx="597">
                  <c:v>0.98245614035087714</c:v>
                </c:pt>
                <c:pt idx="598">
                  <c:v>0.98830409356725146</c:v>
                </c:pt>
                <c:pt idx="599">
                  <c:v>0.99415204678362568</c:v>
                </c:pt>
                <c:pt idx="600">
                  <c:v>1</c:v>
                </c:pt>
              </c:numCache>
            </c:numRef>
          </c:xVal>
          <c:yVal>
            <c:numRef>
              <c:f>NNC_TrainingLiftChart!$CA$2:$CA$602</c:f>
              <c:numCache>
                <c:formatCode>General</c:formatCode>
                <c:ptCount val="601"/>
                <c:pt idx="0">
                  <c:v>0</c:v>
                </c:pt>
                <c:pt idx="1">
                  <c:v>2.331002331002331E-3</c:v>
                </c:pt>
                <c:pt idx="2">
                  <c:v>4.662004662004662E-3</c:v>
                </c:pt>
                <c:pt idx="3">
                  <c:v>6.993006993006993E-3</c:v>
                </c:pt>
                <c:pt idx="4">
                  <c:v>9.324009324009324E-3</c:v>
                </c:pt>
                <c:pt idx="5">
                  <c:v>1.1655011655011656E-2</c:v>
                </c:pt>
                <c:pt idx="6">
                  <c:v>1.3986013986013986E-2</c:v>
                </c:pt>
                <c:pt idx="7">
                  <c:v>1.6317016317016316E-2</c:v>
                </c:pt>
                <c:pt idx="8">
                  <c:v>1.8648018648018648E-2</c:v>
                </c:pt>
                <c:pt idx="9">
                  <c:v>2.097902097902098E-2</c:v>
                </c:pt>
                <c:pt idx="10">
                  <c:v>2.3310023310023312E-2</c:v>
                </c:pt>
                <c:pt idx="11">
                  <c:v>2.564102564102564E-2</c:v>
                </c:pt>
                <c:pt idx="12">
                  <c:v>2.7972027972027972E-2</c:v>
                </c:pt>
                <c:pt idx="13">
                  <c:v>3.0303030303030304E-2</c:v>
                </c:pt>
                <c:pt idx="14">
                  <c:v>3.2634032634032632E-2</c:v>
                </c:pt>
                <c:pt idx="15">
                  <c:v>3.4965034965034968E-2</c:v>
                </c:pt>
                <c:pt idx="16">
                  <c:v>3.7296037296037296E-2</c:v>
                </c:pt>
                <c:pt idx="17">
                  <c:v>3.9627039627039624E-2</c:v>
                </c:pt>
                <c:pt idx="18">
                  <c:v>4.195804195804196E-2</c:v>
                </c:pt>
                <c:pt idx="19">
                  <c:v>4.4289044289044288E-2</c:v>
                </c:pt>
                <c:pt idx="20">
                  <c:v>4.6620046620046623E-2</c:v>
                </c:pt>
                <c:pt idx="21">
                  <c:v>4.8951048951048952E-2</c:v>
                </c:pt>
                <c:pt idx="22">
                  <c:v>5.128205128205128E-2</c:v>
                </c:pt>
                <c:pt idx="23">
                  <c:v>5.3613053613053616E-2</c:v>
                </c:pt>
                <c:pt idx="24">
                  <c:v>5.5944055944055944E-2</c:v>
                </c:pt>
                <c:pt idx="25">
                  <c:v>5.8275058275058272E-2</c:v>
                </c:pt>
                <c:pt idx="26">
                  <c:v>6.0606060606060608E-2</c:v>
                </c:pt>
                <c:pt idx="27">
                  <c:v>6.2937062937062943E-2</c:v>
                </c:pt>
                <c:pt idx="28">
                  <c:v>6.5268065268065265E-2</c:v>
                </c:pt>
                <c:pt idx="29">
                  <c:v>6.75990675990676E-2</c:v>
                </c:pt>
                <c:pt idx="30">
                  <c:v>6.9930069930069935E-2</c:v>
                </c:pt>
                <c:pt idx="31">
                  <c:v>6.9930069930069935E-2</c:v>
                </c:pt>
                <c:pt idx="32">
                  <c:v>7.2261072261072257E-2</c:v>
                </c:pt>
                <c:pt idx="33">
                  <c:v>7.2261072261072257E-2</c:v>
                </c:pt>
                <c:pt idx="34">
                  <c:v>7.4592074592074592E-2</c:v>
                </c:pt>
                <c:pt idx="35">
                  <c:v>7.6923076923076927E-2</c:v>
                </c:pt>
                <c:pt idx="36">
                  <c:v>7.9254079254079249E-2</c:v>
                </c:pt>
                <c:pt idx="37">
                  <c:v>8.1585081585081584E-2</c:v>
                </c:pt>
                <c:pt idx="38">
                  <c:v>8.3916083916083919E-2</c:v>
                </c:pt>
                <c:pt idx="39">
                  <c:v>8.6247086247086241E-2</c:v>
                </c:pt>
                <c:pt idx="40">
                  <c:v>8.8578088578088576E-2</c:v>
                </c:pt>
                <c:pt idx="41">
                  <c:v>9.0909090909090912E-2</c:v>
                </c:pt>
                <c:pt idx="42">
                  <c:v>9.3240093240093247E-2</c:v>
                </c:pt>
                <c:pt idx="43">
                  <c:v>9.5571095571095568E-2</c:v>
                </c:pt>
                <c:pt idx="44">
                  <c:v>9.7902097902097904E-2</c:v>
                </c:pt>
                <c:pt idx="45">
                  <c:v>0.10023310023310024</c:v>
                </c:pt>
                <c:pt idx="46">
                  <c:v>0.10256410256410256</c:v>
                </c:pt>
                <c:pt idx="47">
                  <c:v>0.1048951048951049</c:v>
                </c:pt>
                <c:pt idx="48">
                  <c:v>0.10722610722610723</c:v>
                </c:pt>
                <c:pt idx="49">
                  <c:v>0.10955710955710955</c:v>
                </c:pt>
                <c:pt idx="50">
                  <c:v>0.11188811188811189</c:v>
                </c:pt>
                <c:pt idx="51">
                  <c:v>0.11421911421911422</c:v>
                </c:pt>
                <c:pt idx="52">
                  <c:v>0.11655011655011654</c:v>
                </c:pt>
                <c:pt idx="53">
                  <c:v>0.11888111888111888</c:v>
                </c:pt>
                <c:pt idx="54">
                  <c:v>0.12121212121212122</c:v>
                </c:pt>
                <c:pt idx="55">
                  <c:v>0.12354312354312354</c:v>
                </c:pt>
                <c:pt idx="56">
                  <c:v>0.12587412587412589</c:v>
                </c:pt>
                <c:pt idx="57">
                  <c:v>0.12820512820512819</c:v>
                </c:pt>
                <c:pt idx="58">
                  <c:v>0.13053613053613053</c:v>
                </c:pt>
                <c:pt idx="59">
                  <c:v>0.13286713286713286</c:v>
                </c:pt>
                <c:pt idx="60">
                  <c:v>0.1351981351981352</c:v>
                </c:pt>
                <c:pt idx="61">
                  <c:v>0.13752913752913754</c:v>
                </c:pt>
                <c:pt idx="62">
                  <c:v>0.13986013986013987</c:v>
                </c:pt>
                <c:pt idx="63">
                  <c:v>0.13986013986013987</c:v>
                </c:pt>
                <c:pt idx="64">
                  <c:v>0.14219114219114218</c:v>
                </c:pt>
                <c:pt idx="65">
                  <c:v>0.14452214452214451</c:v>
                </c:pt>
                <c:pt idx="66">
                  <c:v>0.14685314685314685</c:v>
                </c:pt>
                <c:pt idx="67">
                  <c:v>0.14918414918414918</c:v>
                </c:pt>
                <c:pt idx="68">
                  <c:v>0.15151515151515152</c:v>
                </c:pt>
                <c:pt idx="69">
                  <c:v>0.15384615384615385</c:v>
                </c:pt>
                <c:pt idx="70">
                  <c:v>0.15617715617715619</c:v>
                </c:pt>
                <c:pt idx="71">
                  <c:v>0.1585081585081585</c:v>
                </c:pt>
                <c:pt idx="72">
                  <c:v>0.16083916083916083</c:v>
                </c:pt>
                <c:pt idx="73">
                  <c:v>0.16317016317016317</c:v>
                </c:pt>
                <c:pt idx="74">
                  <c:v>0.1655011655011655</c:v>
                </c:pt>
                <c:pt idx="75">
                  <c:v>0.16783216783216784</c:v>
                </c:pt>
                <c:pt idx="76">
                  <c:v>0.17016317016317017</c:v>
                </c:pt>
                <c:pt idx="77">
                  <c:v>0.17249417249417248</c:v>
                </c:pt>
                <c:pt idx="78">
                  <c:v>0.17482517482517482</c:v>
                </c:pt>
                <c:pt idx="79">
                  <c:v>0.17715617715617715</c:v>
                </c:pt>
                <c:pt idx="80">
                  <c:v>0.17948717948717949</c:v>
                </c:pt>
                <c:pt idx="81">
                  <c:v>0.18181818181818182</c:v>
                </c:pt>
                <c:pt idx="82">
                  <c:v>0.18414918414918416</c:v>
                </c:pt>
                <c:pt idx="83">
                  <c:v>0.18414918414918416</c:v>
                </c:pt>
                <c:pt idx="84">
                  <c:v>0.18648018648018649</c:v>
                </c:pt>
                <c:pt idx="85">
                  <c:v>0.1888111888111888</c:v>
                </c:pt>
                <c:pt idx="86">
                  <c:v>0.19114219114219114</c:v>
                </c:pt>
                <c:pt idx="87">
                  <c:v>0.19347319347319347</c:v>
                </c:pt>
                <c:pt idx="88">
                  <c:v>0.19580419580419581</c:v>
                </c:pt>
                <c:pt idx="89">
                  <c:v>0.19813519813519814</c:v>
                </c:pt>
                <c:pt idx="90">
                  <c:v>0.20046620046620048</c:v>
                </c:pt>
                <c:pt idx="91">
                  <c:v>0.20279720279720279</c:v>
                </c:pt>
                <c:pt idx="92">
                  <c:v>0.20512820512820512</c:v>
                </c:pt>
                <c:pt idx="93">
                  <c:v>0.20745920745920746</c:v>
                </c:pt>
                <c:pt idx="94">
                  <c:v>0.20979020979020979</c:v>
                </c:pt>
                <c:pt idx="95">
                  <c:v>0.21212121212121213</c:v>
                </c:pt>
                <c:pt idx="96">
                  <c:v>0.21445221445221446</c:v>
                </c:pt>
                <c:pt idx="97">
                  <c:v>0.21678321678321677</c:v>
                </c:pt>
                <c:pt idx="98">
                  <c:v>0.21911421911421911</c:v>
                </c:pt>
                <c:pt idx="99">
                  <c:v>0.22144522144522144</c:v>
                </c:pt>
                <c:pt idx="100">
                  <c:v>0.22144522144522144</c:v>
                </c:pt>
                <c:pt idx="101">
                  <c:v>0.22377622377622378</c:v>
                </c:pt>
                <c:pt idx="102">
                  <c:v>0.22610722610722611</c:v>
                </c:pt>
                <c:pt idx="103">
                  <c:v>0.22843822843822845</c:v>
                </c:pt>
                <c:pt idx="104">
                  <c:v>0.23076923076923078</c:v>
                </c:pt>
                <c:pt idx="105">
                  <c:v>0.23310023310023309</c:v>
                </c:pt>
                <c:pt idx="106">
                  <c:v>0.23543123543123542</c:v>
                </c:pt>
                <c:pt idx="107">
                  <c:v>0.23776223776223776</c:v>
                </c:pt>
                <c:pt idx="108">
                  <c:v>0.2400932400932401</c:v>
                </c:pt>
                <c:pt idx="109">
                  <c:v>0.24242424242424243</c:v>
                </c:pt>
                <c:pt idx="110">
                  <c:v>0.24475524475524477</c:v>
                </c:pt>
                <c:pt idx="111">
                  <c:v>0.24708624708624707</c:v>
                </c:pt>
                <c:pt idx="112">
                  <c:v>0.24941724941724941</c:v>
                </c:pt>
                <c:pt idx="113">
                  <c:v>0.25174825174825177</c:v>
                </c:pt>
                <c:pt idx="114">
                  <c:v>0.25407925407925408</c:v>
                </c:pt>
                <c:pt idx="115">
                  <c:v>0.25641025641025639</c:v>
                </c:pt>
                <c:pt idx="116">
                  <c:v>0.25874125874125875</c:v>
                </c:pt>
                <c:pt idx="117">
                  <c:v>0.26107226107226106</c:v>
                </c:pt>
                <c:pt idx="118">
                  <c:v>0.26340326340326342</c:v>
                </c:pt>
                <c:pt idx="119">
                  <c:v>0.26573426573426573</c:v>
                </c:pt>
                <c:pt idx="120">
                  <c:v>0.26806526806526809</c:v>
                </c:pt>
                <c:pt idx="121">
                  <c:v>0.26806526806526809</c:v>
                </c:pt>
                <c:pt idx="122">
                  <c:v>0.2703962703962704</c:v>
                </c:pt>
                <c:pt idx="123">
                  <c:v>0.27272727272727271</c:v>
                </c:pt>
                <c:pt idx="124">
                  <c:v>0.27505827505827507</c:v>
                </c:pt>
                <c:pt idx="125">
                  <c:v>0.27738927738927738</c:v>
                </c:pt>
                <c:pt idx="126">
                  <c:v>0.27972027972027974</c:v>
                </c:pt>
                <c:pt idx="127">
                  <c:v>0.28205128205128205</c:v>
                </c:pt>
                <c:pt idx="128">
                  <c:v>0.28438228438228436</c:v>
                </c:pt>
                <c:pt idx="129">
                  <c:v>0.28671328671328672</c:v>
                </c:pt>
                <c:pt idx="130">
                  <c:v>0.28904428904428903</c:v>
                </c:pt>
                <c:pt idx="131">
                  <c:v>0.29137529137529139</c:v>
                </c:pt>
                <c:pt idx="132">
                  <c:v>0.2937062937062937</c:v>
                </c:pt>
                <c:pt idx="133">
                  <c:v>0.29603729603729606</c:v>
                </c:pt>
                <c:pt idx="134">
                  <c:v>0.29836829836829837</c:v>
                </c:pt>
                <c:pt idx="135">
                  <c:v>0.30069930069930068</c:v>
                </c:pt>
                <c:pt idx="136">
                  <c:v>0.30303030303030304</c:v>
                </c:pt>
                <c:pt idx="137">
                  <c:v>0.30536130536130535</c:v>
                </c:pt>
                <c:pt idx="138">
                  <c:v>0.30769230769230771</c:v>
                </c:pt>
                <c:pt idx="139">
                  <c:v>0.31002331002331002</c:v>
                </c:pt>
                <c:pt idx="140">
                  <c:v>0.31235431235431238</c:v>
                </c:pt>
                <c:pt idx="141">
                  <c:v>0.31468531468531469</c:v>
                </c:pt>
                <c:pt idx="142">
                  <c:v>0.317016317016317</c:v>
                </c:pt>
                <c:pt idx="143">
                  <c:v>0.31934731934731936</c:v>
                </c:pt>
                <c:pt idx="144">
                  <c:v>0.32167832167832167</c:v>
                </c:pt>
                <c:pt idx="145">
                  <c:v>0.32400932400932403</c:v>
                </c:pt>
                <c:pt idx="146">
                  <c:v>0.32634032634032634</c:v>
                </c:pt>
                <c:pt idx="147">
                  <c:v>0.32867132867132864</c:v>
                </c:pt>
                <c:pt idx="148">
                  <c:v>0.33100233100233101</c:v>
                </c:pt>
                <c:pt idx="149">
                  <c:v>0.33333333333333331</c:v>
                </c:pt>
                <c:pt idx="150">
                  <c:v>0.33566433566433568</c:v>
                </c:pt>
                <c:pt idx="151">
                  <c:v>0.33799533799533799</c:v>
                </c:pt>
                <c:pt idx="152">
                  <c:v>0.34032634032634035</c:v>
                </c:pt>
                <c:pt idx="153">
                  <c:v>0.34265734265734266</c:v>
                </c:pt>
                <c:pt idx="154">
                  <c:v>0.34498834498834496</c:v>
                </c:pt>
                <c:pt idx="155">
                  <c:v>0.34731934731934733</c:v>
                </c:pt>
                <c:pt idx="156">
                  <c:v>0.34965034965034963</c:v>
                </c:pt>
                <c:pt idx="157">
                  <c:v>0.351981351981352</c:v>
                </c:pt>
                <c:pt idx="158">
                  <c:v>0.35431235431235431</c:v>
                </c:pt>
                <c:pt idx="159">
                  <c:v>0.35664335664335667</c:v>
                </c:pt>
                <c:pt idx="160">
                  <c:v>0.35897435897435898</c:v>
                </c:pt>
                <c:pt idx="161">
                  <c:v>0.36130536130536128</c:v>
                </c:pt>
                <c:pt idx="162">
                  <c:v>0.36363636363636365</c:v>
                </c:pt>
                <c:pt idx="163">
                  <c:v>0.36596736596736595</c:v>
                </c:pt>
                <c:pt idx="164">
                  <c:v>0.36829836829836832</c:v>
                </c:pt>
                <c:pt idx="165">
                  <c:v>0.37062937062937062</c:v>
                </c:pt>
                <c:pt idx="166">
                  <c:v>0.37062937062937062</c:v>
                </c:pt>
                <c:pt idx="167">
                  <c:v>0.37296037296037299</c:v>
                </c:pt>
                <c:pt idx="168">
                  <c:v>0.3752913752913753</c:v>
                </c:pt>
                <c:pt idx="169">
                  <c:v>0.3776223776223776</c:v>
                </c:pt>
                <c:pt idx="170">
                  <c:v>0.37995337995337997</c:v>
                </c:pt>
                <c:pt idx="171">
                  <c:v>0.38228438228438227</c:v>
                </c:pt>
                <c:pt idx="172">
                  <c:v>0.38461538461538464</c:v>
                </c:pt>
                <c:pt idx="173">
                  <c:v>0.38694638694638694</c:v>
                </c:pt>
                <c:pt idx="174">
                  <c:v>0.38927738927738925</c:v>
                </c:pt>
                <c:pt idx="175">
                  <c:v>0.39160839160839161</c:v>
                </c:pt>
                <c:pt idx="176">
                  <c:v>0.39393939393939392</c:v>
                </c:pt>
                <c:pt idx="177">
                  <c:v>0.39627039627039629</c:v>
                </c:pt>
                <c:pt idx="178">
                  <c:v>0.39860139860139859</c:v>
                </c:pt>
                <c:pt idx="179">
                  <c:v>0.40093240093240096</c:v>
                </c:pt>
                <c:pt idx="180">
                  <c:v>0.40326340326340326</c:v>
                </c:pt>
                <c:pt idx="181">
                  <c:v>0.40559440559440557</c:v>
                </c:pt>
                <c:pt idx="182">
                  <c:v>0.40792540792540793</c:v>
                </c:pt>
                <c:pt idx="183">
                  <c:v>0.41025641025641024</c:v>
                </c:pt>
                <c:pt idx="184">
                  <c:v>0.41258741258741261</c:v>
                </c:pt>
                <c:pt idx="185">
                  <c:v>0.41491841491841491</c:v>
                </c:pt>
                <c:pt idx="186">
                  <c:v>0.41724941724941728</c:v>
                </c:pt>
                <c:pt idx="187">
                  <c:v>0.41958041958041958</c:v>
                </c:pt>
                <c:pt idx="188">
                  <c:v>0.42191142191142189</c:v>
                </c:pt>
                <c:pt idx="189">
                  <c:v>0.42424242424242425</c:v>
                </c:pt>
                <c:pt idx="190">
                  <c:v>0.42657342657342656</c:v>
                </c:pt>
                <c:pt idx="191">
                  <c:v>0.42890442890442892</c:v>
                </c:pt>
                <c:pt idx="192">
                  <c:v>0.43123543123543123</c:v>
                </c:pt>
                <c:pt idx="193">
                  <c:v>0.43356643356643354</c:v>
                </c:pt>
                <c:pt idx="194">
                  <c:v>0.4358974358974359</c:v>
                </c:pt>
                <c:pt idx="195">
                  <c:v>0.43822843822843821</c:v>
                </c:pt>
                <c:pt idx="196">
                  <c:v>0.44055944055944057</c:v>
                </c:pt>
                <c:pt idx="197">
                  <c:v>0.44289044289044288</c:v>
                </c:pt>
                <c:pt idx="198">
                  <c:v>0.44522144522144524</c:v>
                </c:pt>
                <c:pt idx="199">
                  <c:v>0.44755244755244755</c:v>
                </c:pt>
                <c:pt idx="200">
                  <c:v>0.44988344988344986</c:v>
                </c:pt>
                <c:pt idx="201">
                  <c:v>0.45221445221445222</c:v>
                </c:pt>
                <c:pt idx="202">
                  <c:v>0.45454545454545453</c:v>
                </c:pt>
                <c:pt idx="203">
                  <c:v>0.45687645687645689</c:v>
                </c:pt>
                <c:pt idx="204">
                  <c:v>0.4592074592074592</c:v>
                </c:pt>
                <c:pt idx="205">
                  <c:v>0.46153846153846156</c:v>
                </c:pt>
                <c:pt idx="206">
                  <c:v>0.46386946386946387</c:v>
                </c:pt>
                <c:pt idx="207">
                  <c:v>0.46620046620046618</c:v>
                </c:pt>
                <c:pt idx="208">
                  <c:v>0.46853146853146854</c:v>
                </c:pt>
                <c:pt idx="209">
                  <c:v>0.47086247086247085</c:v>
                </c:pt>
                <c:pt idx="210">
                  <c:v>0.47319347319347321</c:v>
                </c:pt>
                <c:pt idx="211">
                  <c:v>0.47552447552447552</c:v>
                </c:pt>
                <c:pt idx="212">
                  <c:v>0.47785547785547783</c:v>
                </c:pt>
                <c:pt idx="213">
                  <c:v>0.48018648018648019</c:v>
                </c:pt>
                <c:pt idx="214">
                  <c:v>0.4825174825174825</c:v>
                </c:pt>
                <c:pt idx="215">
                  <c:v>0.48484848484848486</c:v>
                </c:pt>
                <c:pt idx="216">
                  <c:v>0.48717948717948717</c:v>
                </c:pt>
                <c:pt idx="217">
                  <c:v>0.48951048951048953</c:v>
                </c:pt>
                <c:pt idx="218">
                  <c:v>0.49184149184149184</c:v>
                </c:pt>
                <c:pt idx="219">
                  <c:v>0.49417249417249415</c:v>
                </c:pt>
                <c:pt idx="220">
                  <c:v>0.49650349650349651</c:v>
                </c:pt>
                <c:pt idx="221">
                  <c:v>0.49883449883449882</c:v>
                </c:pt>
                <c:pt idx="222">
                  <c:v>0.50116550116550118</c:v>
                </c:pt>
                <c:pt idx="223">
                  <c:v>0.50349650349650354</c:v>
                </c:pt>
                <c:pt idx="224">
                  <c:v>0.5058275058275058</c:v>
                </c:pt>
                <c:pt idx="225">
                  <c:v>0.50815850815850816</c:v>
                </c:pt>
                <c:pt idx="226">
                  <c:v>0.51048951048951052</c:v>
                </c:pt>
                <c:pt idx="227">
                  <c:v>0.51282051282051277</c:v>
                </c:pt>
                <c:pt idx="228">
                  <c:v>0.51282051282051277</c:v>
                </c:pt>
                <c:pt idx="229">
                  <c:v>0.51515151515151514</c:v>
                </c:pt>
                <c:pt idx="230">
                  <c:v>0.5174825174825175</c:v>
                </c:pt>
                <c:pt idx="231">
                  <c:v>0.51981351981351986</c:v>
                </c:pt>
                <c:pt idx="232">
                  <c:v>0.52214452214452212</c:v>
                </c:pt>
                <c:pt idx="233">
                  <c:v>0.52447552447552448</c:v>
                </c:pt>
                <c:pt idx="234">
                  <c:v>0.52680652680652684</c:v>
                </c:pt>
                <c:pt idx="235">
                  <c:v>0.52913752913752909</c:v>
                </c:pt>
                <c:pt idx="236">
                  <c:v>0.53146853146853146</c:v>
                </c:pt>
                <c:pt idx="237">
                  <c:v>0.53379953379953382</c:v>
                </c:pt>
                <c:pt idx="238">
                  <c:v>0.53613053613053618</c:v>
                </c:pt>
                <c:pt idx="239">
                  <c:v>0.53846153846153844</c:v>
                </c:pt>
                <c:pt idx="240">
                  <c:v>0.5407925407925408</c:v>
                </c:pt>
                <c:pt idx="241">
                  <c:v>0.54312354312354316</c:v>
                </c:pt>
                <c:pt idx="242">
                  <c:v>0.54545454545454541</c:v>
                </c:pt>
                <c:pt idx="243">
                  <c:v>0.54778554778554778</c:v>
                </c:pt>
                <c:pt idx="244">
                  <c:v>0.54778554778554778</c:v>
                </c:pt>
                <c:pt idx="245">
                  <c:v>0.55011655011655014</c:v>
                </c:pt>
                <c:pt idx="246">
                  <c:v>0.55244755244755239</c:v>
                </c:pt>
                <c:pt idx="247">
                  <c:v>0.55477855477855476</c:v>
                </c:pt>
                <c:pt idx="248">
                  <c:v>0.55710955710955712</c:v>
                </c:pt>
                <c:pt idx="249">
                  <c:v>0.55944055944055948</c:v>
                </c:pt>
                <c:pt idx="250">
                  <c:v>0.56177156177156173</c:v>
                </c:pt>
                <c:pt idx="251">
                  <c:v>0.5641025641025641</c:v>
                </c:pt>
                <c:pt idx="252">
                  <c:v>0.56643356643356646</c:v>
                </c:pt>
                <c:pt idx="253">
                  <c:v>0.56876456876456871</c:v>
                </c:pt>
                <c:pt idx="254">
                  <c:v>0.57109557109557108</c:v>
                </c:pt>
                <c:pt idx="255">
                  <c:v>0.57342657342657344</c:v>
                </c:pt>
                <c:pt idx="256">
                  <c:v>0.5757575757575758</c:v>
                </c:pt>
                <c:pt idx="257">
                  <c:v>0.57808857808857805</c:v>
                </c:pt>
                <c:pt idx="258">
                  <c:v>0.58041958041958042</c:v>
                </c:pt>
                <c:pt idx="259">
                  <c:v>0.58275058275058278</c:v>
                </c:pt>
                <c:pt idx="260">
                  <c:v>0.58508158508158503</c:v>
                </c:pt>
                <c:pt idx="261">
                  <c:v>0.58741258741258739</c:v>
                </c:pt>
                <c:pt idx="262">
                  <c:v>0.58974358974358976</c:v>
                </c:pt>
                <c:pt idx="263">
                  <c:v>0.59207459207459212</c:v>
                </c:pt>
                <c:pt idx="264">
                  <c:v>0.59440559440559437</c:v>
                </c:pt>
                <c:pt idx="265">
                  <c:v>0.59673659673659674</c:v>
                </c:pt>
                <c:pt idx="266">
                  <c:v>0.5990675990675991</c:v>
                </c:pt>
                <c:pt idx="267">
                  <c:v>0.60139860139860135</c:v>
                </c:pt>
                <c:pt idx="268">
                  <c:v>0.60372960372960371</c:v>
                </c:pt>
                <c:pt idx="269">
                  <c:v>0.60606060606060608</c:v>
                </c:pt>
                <c:pt idx="270">
                  <c:v>0.60839160839160844</c:v>
                </c:pt>
                <c:pt idx="271">
                  <c:v>0.61072261072261069</c:v>
                </c:pt>
                <c:pt idx="272">
                  <c:v>0.61305361305361306</c:v>
                </c:pt>
                <c:pt idx="273">
                  <c:v>0.61538461538461542</c:v>
                </c:pt>
                <c:pt idx="274">
                  <c:v>0.61771561771561767</c:v>
                </c:pt>
                <c:pt idx="275">
                  <c:v>0.62004662004662003</c:v>
                </c:pt>
                <c:pt idx="276">
                  <c:v>0.6223776223776224</c:v>
                </c:pt>
                <c:pt idx="277">
                  <c:v>0.62470862470862476</c:v>
                </c:pt>
                <c:pt idx="278">
                  <c:v>0.62703962703962701</c:v>
                </c:pt>
                <c:pt idx="279">
                  <c:v>0.62937062937062938</c:v>
                </c:pt>
                <c:pt idx="280">
                  <c:v>0.63170163170163174</c:v>
                </c:pt>
                <c:pt idx="281">
                  <c:v>0.63403263403263399</c:v>
                </c:pt>
                <c:pt idx="282">
                  <c:v>0.63636363636363635</c:v>
                </c:pt>
                <c:pt idx="283">
                  <c:v>0.63869463869463872</c:v>
                </c:pt>
                <c:pt idx="284">
                  <c:v>0.64102564102564108</c:v>
                </c:pt>
                <c:pt idx="285">
                  <c:v>0.64335664335664333</c:v>
                </c:pt>
                <c:pt idx="286">
                  <c:v>0.64568764568764569</c:v>
                </c:pt>
                <c:pt idx="287">
                  <c:v>0.64801864801864806</c:v>
                </c:pt>
                <c:pt idx="288">
                  <c:v>0.65034965034965031</c:v>
                </c:pt>
                <c:pt idx="289">
                  <c:v>0.65268065268065267</c:v>
                </c:pt>
                <c:pt idx="290">
                  <c:v>0.65501165501165504</c:v>
                </c:pt>
                <c:pt idx="291">
                  <c:v>0.65734265734265729</c:v>
                </c:pt>
                <c:pt idx="292">
                  <c:v>0.65967365967365965</c:v>
                </c:pt>
                <c:pt idx="293">
                  <c:v>0.66200466200466201</c:v>
                </c:pt>
                <c:pt idx="294">
                  <c:v>0.66433566433566438</c:v>
                </c:pt>
                <c:pt idx="295">
                  <c:v>0.66666666666666663</c:v>
                </c:pt>
                <c:pt idx="296">
                  <c:v>0.66899766899766899</c:v>
                </c:pt>
                <c:pt idx="297">
                  <c:v>0.67132867132867136</c:v>
                </c:pt>
                <c:pt idx="298">
                  <c:v>0.67365967365967361</c:v>
                </c:pt>
                <c:pt idx="299">
                  <c:v>0.67599067599067597</c:v>
                </c:pt>
                <c:pt idx="300">
                  <c:v>0.67832167832167833</c:v>
                </c:pt>
                <c:pt idx="301">
                  <c:v>0.6806526806526807</c:v>
                </c:pt>
                <c:pt idx="302">
                  <c:v>0.68298368298368295</c:v>
                </c:pt>
                <c:pt idx="303">
                  <c:v>0.68531468531468531</c:v>
                </c:pt>
                <c:pt idx="304">
                  <c:v>0.68764568764568768</c:v>
                </c:pt>
                <c:pt idx="305">
                  <c:v>0.68997668997668993</c:v>
                </c:pt>
                <c:pt idx="306">
                  <c:v>0.69230769230769229</c:v>
                </c:pt>
                <c:pt idx="307">
                  <c:v>0.69463869463869465</c:v>
                </c:pt>
                <c:pt idx="308">
                  <c:v>0.69696969696969702</c:v>
                </c:pt>
                <c:pt idx="309">
                  <c:v>0.69930069930069927</c:v>
                </c:pt>
                <c:pt idx="310">
                  <c:v>0.70163170163170163</c:v>
                </c:pt>
                <c:pt idx="311">
                  <c:v>0.703962703962704</c:v>
                </c:pt>
                <c:pt idx="312">
                  <c:v>0.70629370629370625</c:v>
                </c:pt>
                <c:pt idx="313">
                  <c:v>0.70862470862470861</c:v>
                </c:pt>
                <c:pt idx="314">
                  <c:v>0.71095571095571097</c:v>
                </c:pt>
                <c:pt idx="315">
                  <c:v>0.71328671328671334</c:v>
                </c:pt>
                <c:pt idx="316">
                  <c:v>0.71561771561771559</c:v>
                </c:pt>
                <c:pt idx="317">
                  <c:v>0.71794871794871795</c:v>
                </c:pt>
                <c:pt idx="318">
                  <c:v>0.72027972027972031</c:v>
                </c:pt>
                <c:pt idx="319">
                  <c:v>0.72261072261072257</c:v>
                </c:pt>
                <c:pt idx="320">
                  <c:v>0.72494172494172493</c:v>
                </c:pt>
                <c:pt idx="321">
                  <c:v>0.72727272727272729</c:v>
                </c:pt>
                <c:pt idx="322">
                  <c:v>0.72960372960372966</c:v>
                </c:pt>
                <c:pt idx="323">
                  <c:v>0.73193473193473191</c:v>
                </c:pt>
                <c:pt idx="324">
                  <c:v>0.73426573426573427</c:v>
                </c:pt>
                <c:pt idx="325">
                  <c:v>0.73659673659673663</c:v>
                </c:pt>
                <c:pt idx="326">
                  <c:v>0.73892773892773889</c:v>
                </c:pt>
                <c:pt idx="327">
                  <c:v>0.74125874125874125</c:v>
                </c:pt>
                <c:pt idx="328">
                  <c:v>0.74358974358974361</c:v>
                </c:pt>
                <c:pt idx="329">
                  <c:v>0.74592074592074598</c:v>
                </c:pt>
                <c:pt idx="330">
                  <c:v>0.74825174825174823</c:v>
                </c:pt>
                <c:pt idx="331">
                  <c:v>0.75058275058275059</c:v>
                </c:pt>
                <c:pt idx="332">
                  <c:v>0.75291375291375295</c:v>
                </c:pt>
                <c:pt idx="333">
                  <c:v>0.75524475524475521</c:v>
                </c:pt>
                <c:pt idx="334">
                  <c:v>0.75757575757575757</c:v>
                </c:pt>
                <c:pt idx="335">
                  <c:v>0.75990675990675993</c:v>
                </c:pt>
                <c:pt idx="336">
                  <c:v>0.76223776223776218</c:v>
                </c:pt>
                <c:pt idx="337">
                  <c:v>0.76456876456876455</c:v>
                </c:pt>
                <c:pt idx="338">
                  <c:v>0.76689976689976691</c:v>
                </c:pt>
                <c:pt idx="339">
                  <c:v>0.76923076923076927</c:v>
                </c:pt>
                <c:pt idx="340">
                  <c:v>0.77156177156177153</c:v>
                </c:pt>
                <c:pt idx="341">
                  <c:v>0.77389277389277389</c:v>
                </c:pt>
                <c:pt idx="342">
                  <c:v>0.77622377622377625</c:v>
                </c:pt>
                <c:pt idx="343">
                  <c:v>0.7785547785547785</c:v>
                </c:pt>
                <c:pt idx="344">
                  <c:v>0.78088578088578087</c:v>
                </c:pt>
                <c:pt idx="345">
                  <c:v>0.78321678321678323</c:v>
                </c:pt>
                <c:pt idx="346">
                  <c:v>0.78554778554778559</c:v>
                </c:pt>
                <c:pt idx="347">
                  <c:v>0.78787878787878785</c:v>
                </c:pt>
                <c:pt idx="348">
                  <c:v>0.79020979020979021</c:v>
                </c:pt>
                <c:pt idx="349">
                  <c:v>0.79254079254079257</c:v>
                </c:pt>
                <c:pt idx="350">
                  <c:v>0.79487179487179482</c:v>
                </c:pt>
                <c:pt idx="351">
                  <c:v>0.79720279720279719</c:v>
                </c:pt>
                <c:pt idx="352">
                  <c:v>0.79953379953379955</c:v>
                </c:pt>
                <c:pt idx="353">
                  <c:v>0.80186480186480191</c:v>
                </c:pt>
                <c:pt idx="354">
                  <c:v>0.80419580419580416</c:v>
                </c:pt>
                <c:pt idx="355">
                  <c:v>0.80652680652680653</c:v>
                </c:pt>
                <c:pt idx="356">
                  <c:v>0.80885780885780889</c:v>
                </c:pt>
                <c:pt idx="357">
                  <c:v>0.81118881118881114</c:v>
                </c:pt>
                <c:pt idx="358">
                  <c:v>0.81351981351981351</c:v>
                </c:pt>
                <c:pt idx="359">
                  <c:v>0.81585081585081587</c:v>
                </c:pt>
                <c:pt idx="360">
                  <c:v>0.81818181818181823</c:v>
                </c:pt>
                <c:pt idx="361">
                  <c:v>0.82051282051282048</c:v>
                </c:pt>
                <c:pt idx="362">
                  <c:v>0.82284382284382285</c:v>
                </c:pt>
                <c:pt idx="363">
                  <c:v>0.82517482517482521</c:v>
                </c:pt>
                <c:pt idx="364">
                  <c:v>0.82750582750582746</c:v>
                </c:pt>
                <c:pt idx="365">
                  <c:v>0.82983682983682983</c:v>
                </c:pt>
                <c:pt idx="366">
                  <c:v>0.83216783216783219</c:v>
                </c:pt>
                <c:pt idx="367">
                  <c:v>0.83449883449883455</c:v>
                </c:pt>
                <c:pt idx="368">
                  <c:v>0.8368298368298368</c:v>
                </c:pt>
                <c:pt idx="369">
                  <c:v>0.83916083916083917</c:v>
                </c:pt>
                <c:pt idx="370">
                  <c:v>0.84149184149184153</c:v>
                </c:pt>
                <c:pt idx="371">
                  <c:v>0.84382284382284378</c:v>
                </c:pt>
                <c:pt idx="372">
                  <c:v>0.84615384615384615</c:v>
                </c:pt>
                <c:pt idx="373">
                  <c:v>0.84848484848484851</c:v>
                </c:pt>
                <c:pt idx="374">
                  <c:v>0.85081585081585076</c:v>
                </c:pt>
                <c:pt idx="375">
                  <c:v>0.85314685314685312</c:v>
                </c:pt>
                <c:pt idx="376">
                  <c:v>0.85547785547785549</c:v>
                </c:pt>
                <c:pt idx="377">
                  <c:v>0.85780885780885785</c:v>
                </c:pt>
                <c:pt idx="378">
                  <c:v>0.8601398601398601</c:v>
                </c:pt>
                <c:pt idx="379">
                  <c:v>0.86247086247086246</c:v>
                </c:pt>
                <c:pt idx="380">
                  <c:v>0.86480186480186483</c:v>
                </c:pt>
                <c:pt idx="381">
                  <c:v>0.86713286713286708</c:v>
                </c:pt>
                <c:pt idx="382">
                  <c:v>0.86946386946386944</c:v>
                </c:pt>
                <c:pt idx="383">
                  <c:v>0.87179487179487181</c:v>
                </c:pt>
                <c:pt idx="384">
                  <c:v>0.87412587412587417</c:v>
                </c:pt>
                <c:pt idx="385">
                  <c:v>0.87645687645687642</c:v>
                </c:pt>
                <c:pt idx="386">
                  <c:v>0.87878787878787878</c:v>
                </c:pt>
                <c:pt idx="387">
                  <c:v>0.88111888111888115</c:v>
                </c:pt>
                <c:pt idx="388">
                  <c:v>0.8834498834498834</c:v>
                </c:pt>
                <c:pt idx="389">
                  <c:v>0.88578088578088576</c:v>
                </c:pt>
                <c:pt idx="390">
                  <c:v>0.88811188811188813</c:v>
                </c:pt>
                <c:pt idx="391">
                  <c:v>0.89044289044289049</c:v>
                </c:pt>
                <c:pt idx="392">
                  <c:v>0.89277389277389274</c:v>
                </c:pt>
                <c:pt idx="393">
                  <c:v>0.8951048951048951</c:v>
                </c:pt>
                <c:pt idx="394">
                  <c:v>0.89743589743589747</c:v>
                </c:pt>
                <c:pt idx="395">
                  <c:v>0.89976689976689972</c:v>
                </c:pt>
                <c:pt idx="396">
                  <c:v>0.90209790209790208</c:v>
                </c:pt>
                <c:pt idx="397">
                  <c:v>0.90442890442890445</c:v>
                </c:pt>
                <c:pt idx="398">
                  <c:v>0.90675990675990681</c:v>
                </c:pt>
                <c:pt idx="399">
                  <c:v>0.90909090909090906</c:v>
                </c:pt>
                <c:pt idx="400">
                  <c:v>0.91142191142191142</c:v>
                </c:pt>
                <c:pt idx="401">
                  <c:v>0.91375291375291379</c:v>
                </c:pt>
                <c:pt idx="402">
                  <c:v>0.91608391608391604</c:v>
                </c:pt>
                <c:pt idx="403">
                  <c:v>0.9184149184149184</c:v>
                </c:pt>
                <c:pt idx="404">
                  <c:v>0.92074592074592077</c:v>
                </c:pt>
                <c:pt idx="405">
                  <c:v>0.92307692307692313</c:v>
                </c:pt>
                <c:pt idx="406">
                  <c:v>0.92540792540792538</c:v>
                </c:pt>
                <c:pt idx="407">
                  <c:v>0.92773892773892774</c:v>
                </c:pt>
                <c:pt idx="408">
                  <c:v>0.93006993006993011</c:v>
                </c:pt>
                <c:pt idx="409">
                  <c:v>0.93240093240093236</c:v>
                </c:pt>
                <c:pt idx="410">
                  <c:v>0.93473193473193472</c:v>
                </c:pt>
                <c:pt idx="411">
                  <c:v>0.93706293706293708</c:v>
                </c:pt>
                <c:pt idx="412">
                  <c:v>0.93939393939393945</c:v>
                </c:pt>
                <c:pt idx="413">
                  <c:v>0.9417249417249417</c:v>
                </c:pt>
                <c:pt idx="414">
                  <c:v>0.94405594405594406</c:v>
                </c:pt>
                <c:pt idx="415">
                  <c:v>0.94638694638694643</c:v>
                </c:pt>
                <c:pt idx="416">
                  <c:v>0.94871794871794868</c:v>
                </c:pt>
                <c:pt idx="417">
                  <c:v>0.95104895104895104</c:v>
                </c:pt>
                <c:pt idx="418">
                  <c:v>0.9533799533799534</c:v>
                </c:pt>
                <c:pt idx="419">
                  <c:v>0.95571095571095566</c:v>
                </c:pt>
                <c:pt idx="420">
                  <c:v>0.95804195804195802</c:v>
                </c:pt>
                <c:pt idx="421">
                  <c:v>0.96037296037296038</c:v>
                </c:pt>
                <c:pt idx="422">
                  <c:v>0.96270396270396275</c:v>
                </c:pt>
                <c:pt idx="423">
                  <c:v>0.96270396270396275</c:v>
                </c:pt>
                <c:pt idx="424">
                  <c:v>0.965034965034965</c:v>
                </c:pt>
                <c:pt idx="425">
                  <c:v>0.96736596736596736</c:v>
                </c:pt>
                <c:pt idx="426">
                  <c:v>0.96969696969696972</c:v>
                </c:pt>
                <c:pt idx="427">
                  <c:v>0.97202797202797198</c:v>
                </c:pt>
                <c:pt idx="428">
                  <c:v>0.97435897435897434</c:v>
                </c:pt>
                <c:pt idx="429">
                  <c:v>0.9766899766899767</c:v>
                </c:pt>
                <c:pt idx="430">
                  <c:v>0.97902097902097907</c:v>
                </c:pt>
                <c:pt idx="431">
                  <c:v>0.98135198135198132</c:v>
                </c:pt>
                <c:pt idx="432">
                  <c:v>0.98368298368298368</c:v>
                </c:pt>
                <c:pt idx="433">
                  <c:v>0.98601398601398604</c:v>
                </c:pt>
                <c:pt idx="434">
                  <c:v>0.9883449883449883</c:v>
                </c:pt>
                <c:pt idx="435">
                  <c:v>0.99067599067599066</c:v>
                </c:pt>
                <c:pt idx="436">
                  <c:v>0.99300699300699302</c:v>
                </c:pt>
                <c:pt idx="437">
                  <c:v>0.99533799533799538</c:v>
                </c:pt>
                <c:pt idx="438">
                  <c:v>0.99533799533799538</c:v>
                </c:pt>
                <c:pt idx="439">
                  <c:v>0.99533799533799538</c:v>
                </c:pt>
                <c:pt idx="440">
                  <c:v>0.99533799533799538</c:v>
                </c:pt>
                <c:pt idx="441">
                  <c:v>0.99533799533799538</c:v>
                </c:pt>
                <c:pt idx="442">
                  <c:v>0.99533799533799538</c:v>
                </c:pt>
                <c:pt idx="443">
                  <c:v>0.99533799533799538</c:v>
                </c:pt>
                <c:pt idx="444">
                  <c:v>0.99533799533799538</c:v>
                </c:pt>
                <c:pt idx="445">
                  <c:v>0.99533799533799538</c:v>
                </c:pt>
                <c:pt idx="446">
                  <c:v>0.99533799533799538</c:v>
                </c:pt>
                <c:pt idx="447">
                  <c:v>0.99533799533799538</c:v>
                </c:pt>
                <c:pt idx="448">
                  <c:v>0.99533799533799538</c:v>
                </c:pt>
                <c:pt idx="449">
                  <c:v>0.99533799533799538</c:v>
                </c:pt>
                <c:pt idx="450">
                  <c:v>0.99533799533799538</c:v>
                </c:pt>
                <c:pt idx="451">
                  <c:v>0.99533799533799538</c:v>
                </c:pt>
                <c:pt idx="452">
                  <c:v>0.99533799533799538</c:v>
                </c:pt>
                <c:pt idx="453">
                  <c:v>0.99533799533799538</c:v>
                </c:pt>
                <c:pt idx="454">
                  <c:v>0.99533799533799538</c:v>
                </c:pt>
                <c:pt idx="455">
                  <c:v>0.99533799533799538</c:v>
                </c:pt>
                <c:pt idx="456">
                  <c:v>0.99533799533799538</c:v>
                </c:pt>
                <c:pt idx="457">
                  <c:v>0.99533799533799538</c:v>
                </c:pt>
                <c:pt idx="458">
                  <c:v>0.99533799533799538</c:v>
                </c:pt>
                <c:pt idx="459">
                  <c:v>0.99533799533799538</c:v>
                </c:pt>
                <c:pt idx="460">
                  <c:v>0.99533799533799538</c:v>
                </c:pt>
                <c:pt idx="461">
                  <c:v>0.99533799533799538</c:v>
                </c:pt>
                <c:pt idx="462">
                  <c:v>0.99533799533799538</c:v>
                </c:pt>
                <c:pt idx="463">
                  <c:v>0.99533799533799538</c:v>
                </c:pt>
                <c:pt idx="464">
                  <c:v>0.99533799533799538</c:v>
                </c:pt>
                <c:pt idx="465">
                  <c:v>0.99533799533799538</c:v>
                </c:pt>
                <c:pt idx="466">
                  <c:v>0.99533799533799538</c:v>
                </c:pt>
                <c:pt idx="467">
                  <c:v>0.99533799533799538</c:v>
                </c:pt>
                <c:pt idx="468">
                  <c:v>0.99533799533799538</c:v>
                </c:pt>
                <c:pt idx="469">
                  <c:v>0.99533799533799538</c:v>
                </c:pt>
                <c:pt idx="470">
                  <c:v>0.99533799533799538</c:v>
                </c:pt>
                <c:pt idx="471">
                  <c:v>0.99533799533799538</c:v>
                </c:pt>
                <c:pt idx="472">
                  <c:v>0.99533799533799538</c:v>
                </c:pt>
                <c:pt idx="473">
                  <c:v>0.99533799533799538</c:v>
                </c:pt>
                <c:pt idx="474">
                  <c:v>0.99533799533799538</c:v>
                </c:pt>
                <c:pt idx="475">
                  <c:v>0.99533799533799538</c:v>
                </c:pt>
                <c:pt idx="476">
                  <c:v>0.99533799533799538</c:v>
                </c:pt>
                <c:pt idx="477">
                  <c:v>0.99533799533799538</c:v>
                </c:pt>
                <c:pt idx="478">
                  <c:v>0.99533799533799538</c:v>
                </c:pt>
                <c:pt idx="479">
                  <c:v>0.99533799533799538</c:v>
                </c:pt>
                <c:pt idx="480">
                  <c:v>0.99533799533799538</c:v>
                </c:pt>
                <c:pt idx="481">
                  <c:v>0.99533799533799538</c:v>
                </c:pt>
                <c:pt idx="482">
                  <c:v>0.99533799533799538</c:v>
                </c:pt>
                <c:pt idx="483">
                  <c:v>0.99533799533799538</c:v>
                </c:pt>
                <c:pt idx="484">
                  <c:v>0.99533799533799538</c:v>
                </c:pt>
                <c:pt idx="485">
                  <c:v>0.99533799533799538</c:v>
                </c:pt>
                <c:pt idx="486">
                  <c:v>0.99533799533799538</c:v>
                </c:pt>
                <c:pt idx="487">
                  <c:v>0.99533799533799538</c:v>
                </c:pt>
                <c:pt idx="488">
                  <c:v>0.99533799533799538</c:v>
                </c:pt>
                <c:pt idx="489">
                  <c:v>0.99533799533799538</c:v>
                </c:pt>
                <c:pt idx="490">
                  <c:v>0.99533799533799538</c:v>
                </c:pt>
                <c:pt idx="491">
                  <c:v>0.99533799533799538</c:v>
                </c:pt>
                <c:pt idx="492">
                  <c:v>0.99533799533799538</c:v>
                </c:pt>
                <c:pt idx="493">
                  <c:v>0.99533799533799538</c:v>
                </c:pt>
                <c:pt idx="494">
                  <c:v>0.99533799533799538</c:v>
                </c:pt>
                <c:pt idx="495">
                  <c:v>0.99533799533799538</c:v>
                </c:pt>
                <c:pt idx="496">
                  <c:v>0.99533799533799538</c:v>
                </c:pt>
                <c:pt idx="497">
                  <c:v>0.99533799533799538</c:v>
                </c:pt>
                <c:pt idx="498">
                  <c:v>0.99533799533799538</c:v>
                </c:pt>
                <c:pt idx="499">
                  <c:v>0.99533799533799538</c:v>
                </c:pt>
                <c:pt idx="500">
                  <c:v>0.99533799533799538</c:v>
                </c:pt>
                <c:pt idx="501">
                  <c:v>0.99533799533799538</c:v>
                </c:pt>
                <c:pt idx="502">
                  <c:v>0.99533799533799538</c:v>
                </c:pt>
                <c:pt idx="503">
                  <c:v>0.99766899766899764</c:v>
                </c:pt>
                <c:pt idx="504">
                  <c:v>0.99766899766899764</c:v>
                </c:pt>
                <c:pt idx="505">
                  <c:v>0.99766899766899764</c:v>
                </c:pt>
                <c:pt idx="506">
                  <c:v>0.99766899766899764</c:v>
                </c:pt>
                <c:pt idx="507">
                  <c:v>0.99766899766899764</c:v>
                </c:pt>
                <c:pt idx="508">
                  <c:v>0.99766899766899764</c:v>
                </c:pt>
                <c:pt idx="509">
                  <c:v>0.99766899766899764</c:v>
                </c:pt>
                <c:pt idx="510">
                  <c:v>0.99766899766899764</c:v>
                </c:pt>
                <c:pt idx="511">
                  <c:v>0.99766899766899764</c:v>
                </c:pt>
                <c:pt idx="512">
                  <c:v>0.99766899766899764</c:v>
                </c:pt>
                <c:pt idx="513">
                  <c:v>0.99766899766899764</c:v>
                </c:pt>
                <c:pt idx="514">
                  <c:v>0.99766899766899764</c:v>
                </c:pt>
                <c:pt idx="515">
                  <c:v>0.99766899766899764</c:v>
                </c:pt>
                <c:pt idx="516">
                  <c:v>0.99766899766899764</c:v>
                </c:pt>
                <c:pt idx="517">
                  <c:v>0.99766899766899764</c:v>
                </c:pt>
                <c:pt idx="518">
                  <c:v>0.99766899766899764</c:v>
                </c:pt>
                <c:pt idx="519">
                  <c:v>0.99766899766899764</c:v>
                </c:pt>
                <c:pt idx="520">
                  <c:v>0.99766899766899764</c:v>
                </c:pt>
                <c:pt idx="521">
                  <c:v>0.99766899766899764</c:v>
                </c:pt>
                <c:pt idx="522">
                  <c:v>0.99766899766899764</c:v>
                </c:pt>
                <c:pt idx="523">
                  <c:v>0.99766899766899764</c:v>
                </c:pt>
                <c:pt idx="524">
                  <c:v>0.99766899766899764</c:v>
                </c:pt>
                <c:pt idx="525">
                  <c:v>0.99766899766899764</c:v>
                </c:pt>
                <c:pt idx="526">
                  <c:v>0.99766899766899764</c:v>
                </c:pt>
                <c:pt idx="527">
                  <c:v>0.99766899766899764</c:v>
                </c:pt>
                <c:pt idx="528">
                  <c:v>0.99766899766899764</c:v>
                </c:pt>
                <c:pt idx="529">
                  <c:v>0.99766899766899764</c:v>
                </c:pt>
                <c:pt idx="530">
                  <c:v>0.99766899766899764</c:v>
                </c:pt>
                <c:pt idx="531">
                  <c:v>0.99766899766899764</c:v>
                </c:pt>
                <c:pt idx="532">
                  <c:v>0.99766899766899764</c:v>
                </c:pt>
                <c:pt idx="533">
                  <c:v>0.99766899766899764</c:v>
                </c:pt>
                <c:pt idx="534">
                  <c:v>0.99766899766899764</c:v>
                </c:pt>
                <c:pt idx="535">
                  <c:v>0.99766899766899764</c:v>
                </c:pt>
                <c:pt idx="536">
                  <c:v>0.99766899766899764</c:v>
                </c:pt>
                <c:pt idx="537">
                  <c:v>0.99766899766899764</c:v>
                </c:pt>
                <c:pt idx="538">
                  <c:v>0.99766899766899764</c:v>
                </c:pt>
                <c:pt idx="539">
                  <c:v>0.99766899766899764</c:v>
                </c:pt>
                <c:pt idx="540">
                  <c:v>0.99766899766899764</c:v>
                </c:pt>
                <c:pt idx="541">
                  <c:v>0.99766899766899764</c:v>
                </c:pt>
                <c:pt idx="542">
                  <c:v>0.99766899766899764</c:v>
                </c:pt>
                <c:pt idx="543">
                  <c:v>0.99766899766899764</c:v>
                </c:pt>
                <c:pt idx="544">
                  <c:v>0.99766899766899764</c:v>
                </c:pt>
                <c:pt idx="545">
                  <c:v>0.99766899766899764</c:v>
                </c:pt>
                <c:pt idx="546">
                  <c:v>0.99766899766899764</c:v>
                </c:pt>
                <c:pt idx="547">
                  <c:v>0.99766899766899764</c:v>
                </c:pt>
                <c:pt idx="548">
                  <c:v>0.99766899766899764</c:v>
                </c:pt>
                <c:pt idx="549">
                  <c:v>0.99766899766899764</c:v>
                </c:pt>
                <c:pt idx="550">
                  <c:v>0.99766899766899764</c:v>
                </c:pt>
                <c:pt idx="551">
                  <c:v>0.99766899766899764</c:v>
                </c:pt>
                <c:pt idx="552">
                  <c:v>0.99766899766899764</c:v>
                </c:pt>
                <c:pt idx="553">
                  <c:v>0.99766899766899764</c:v>
                </c:pt>
                <c:pt idx="554">
                  <c:v>0.99766899766899764</c:v>
                </c:pt>
                <c:pt idx="555">
                  <c:v>0.99766899766899764</c:v>
                </c:pt>
                <c:pt idx="556">
                  <c:v>0.99766899766899764</c:v>
                </c:pt>
                <c:pt idx="557">
                  <c:v>0.99766899766899764</c:v>
                </c:pt>
                <c:pt idx="558">
                  <c:v>0.99766899766899764</c:v>
                </c:pt>
                <c:pt idx="559">
                  <c:v>0.99766899766899764</c:v>
                </c:pt>
                <c:pt idx="560">
                  <c:v>0.99766899766899764</c:v>
                </c:pt>
                <c:pt idx="561">
                  <c:v>0.99766899766899764</c:v>
                </c:pt>
                <c:pt idx="562">
                  <c:v>0.99766899766899764</c:v>
                </c:pt>
                <c:pt idx="563">
                  <c:v>0.99766899766899764</c:v>
                </c:pt>
                <c:pt idx="564">
                  <c:v>0.99766899766899764</c:v>
                </c:pt>
                <c:pt idx="565">
                  <c:v>0.99766899766899764</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numCache>
            </c:numRef>
          </c:yVal>
          <c:smooth val="0"/>
        </c:ser>
        <c:ser>
          <c:idx val="1"/>
          <c:order val="1"/>
          <c:tx>
            <c:v>Random Classifier</c:v>
          </c:tx>
          <c:spPr>
            <a:ln w="6350"/>
          </c:spPr>
          <c:marker>
            <c:symbol val="none"/>
          </c:marker>
          <c:xVal>
            <c:numRef>
              <c:f>NNC_TrainingLiftChart!$BZ$2:$BZ$602</c:f>
              <c:numCache>
                <c:formatCode>General</c:formatCode>
                <c:ptCount val="6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5.8479532163742687E-3</c:v>
                </c:pt>
                <c:pt idx="32">
                  <c:v>5.8479532163742687E-3</c:v>
                </c:pt>
                <c:pt idx="33">
                  <c:v>1.1695906432748537E-2</c:v>
                </c:pt>
                <c:pt idx="34">
                  <c:v>1.1695906432748537E-2</c:v>
                </c:pt>
                <c:pt idx="35">
                  <c:v>1.1695906432748537E-2</c:v>
                </c:pt>
                <c:pt idx="36">
                  <c:v>1.1695906432748537E-2</c:v>
                </c:pt>
                <c:pt idx="37">
                  <c:v>1.1695906432748537E-2</c:v>
                </c:pt>
                <c:pt idx="38">
                  <c:v>1.1695906432748537E-2</c:v>
                </c:pt>
                <c:pt idx="39">
                  <c:v>1.1695906432748537E-2</c:v>
                </c:pt>
                <c:pt idx="40">
                  <c:v>1.1695906432748537E-2</c:v>
                </c:pt>
                <c:pt idx="41">
                  <c:v>1.1695906432748537E-2</c:v>
                </c:pt>
                <c:pt idx="42">
                  <c:v>1.1695906432748537E-2</c:v>
                </c:pt>
                <c:pt idx="43">
                  <c:v>1.1695906432748537E-2</c:v>
                </c:pt>
                <c:pt idx="44">
                  <c:v>1.1695906432748537E-2</c:v>
                </c:pt>
                <c:pt idx="45">
                  <c:v>1.1695906432748537E-2</c:v>
                </c:pt>
                <c:pt idx="46">
                  <c:v>1.1695906432748537E-2</c:v>
                </c:pt>
                <c:pt idx="47">
                  <c:v>1.1695906432748537E-2</c:v>
                </c:pt>
                <c:pt idx="48">
                  <c:v>1.1695906432748537E-2</c:v>
                </c:pt>
                <c:pt idx="49">
                  <c:v>1.1695906432748537E-2</c:v>
                </c:pt>
                <c:pt idx="50">
                  <c:v>1.1695906432748537E-2</c:v>
                </c:pt>
                <c:pt idx="51">
                  <c:v>1.1695906432748537E-2</c:v>
                </c:pt>
                <c:pt idx="52">
                  <c:v>1.1695906432748537E-2</c:v>
                </c:pt>
                <c:pt idx="53">
                  <c:v>1.1695906432748537E-2</c:v>
                </c:pt>
                <c:pt idx="54">
                  <c:v>1.1695906432748537E-2</c:v>
                </c:pt>
                <c:pt idx="55">
                  <c:v>1.1695906432748537E-2</c:v>
                </c:pt>
                <c:pt idx="56">
                  <c:v>1.1695906432748537E-2</c:v>
                </c:pt>
                <c:pt idx="57">
                  <c:v>1.1695906432748537E-2</c:v>
                </c:pt>
                <c:pt idx="58">
                  <c:v>1.1695906432748537E-2</c:v>
                </c:pt>
                <c:pt idx="59">
                  <c:v>1.1695906432748537E-2</c:v>
                </c:pt>
                <c:pt idx="60">
                  <c:v>1.1695906432748537E-2</c:v>
                </c:pt>
                <c:pt idx="61">
                  <c:v>1.1695906432748537E-2</c:v>
                </c:pt>
                <c:pt idx="62">
                  <c:v>1.1695906432748537E-2</c:v>
                </c:pt>
                <c:pt idx="63">
                  <c:v>1.7543859649122806E-2</c:v>
                </c:pt>
                <c:pt idx="64">
                  <c:v>1.7543859649122806E-2</c:v>
                </c:pt>
                <c:pt idx="65">
                  <c:v>1.7543859649122806E-2</c:v>
                </c:pt>
                <c:pt idx="66">
                  <c:v>1.7543859649122806E-2</c:v>
                </c:pt>
                <c:pt idx="67">
                  <c:v>1.7543859649122806E-2</c:v>
                </c:pt>
                <c:pt idx="68">
                  <c:v>1.7543859649122806E-2</c:v>
                </c:pt>
                <c:pt idx="69">
                  <c:v>1.7543859649122806E-2</c:v>
                </c:pt>
                <c:pt idx="70">
                  <c:v>1.7543859649122806E-2</c:v>
                </c:pt>
                <c:pt idx="71">
                  <c:v>1.7543859649122806E-2</c:v>
                </c:pt>
                <c:pt idx="72">
                  <c:v>1.7543859649122806E-2</c:v>
                </c:pt>
                <c:pt idx="73">
                  <c:v>1.7543859649122806E-2</c:v>
                </c:pt>
                <c:pt idx="74">
                  <c:v>1.7543859649122806E-2</c:v>
                </c:pt>
                <c:pt idx="75">
                  <c:v>1.7543859649122806E-2</c:v>
                </c:pt>
                <c:pt idx="76">
                  <c:v>1.7543859649122806E-2</c:v>
                </c:pt>
                <c:pt idx="77">
                  <c:v>1.7543859649122806E-2</c:v>
                </c:pt>
                <c:pt idx="78">
                  <c:v>1.7543859649122806E-2</c:v>
                </c:pt>
                <c:pt idx="79">
                  <c:v>1.7543859649122806E-2</c:v>
                </c:pt>
                <c:pt idx="80">
                  <c:v>1.7543859649122806E-2</c:v>
                </c:pt>
                <c:pt idx="81">
                  <c:v>1.7543859649122806E-2</c:v>
                </c:pt>
                <c:pt idx="82">
                  <c:v>1.7543859649122806E-2</c:v>
                </c:pt>
                <c:pt idx="83">
                  <c:v>2.3391812865497075E-2</c:v>
                </c:pt>
                <c:pt idx="84">
                  <c:v>2.3391812865497075E-2</c:v>
                </c:pt>
                <c:pt idx="85">
                  <c:v>2.3391812865497075E-2</c:v>
                </c:pt>
                <c:pt idx="86">
                  <c:v>2.3391812865497075E-2</c:v>
                </c:pt>
                <c:pt idx="87">
                  <c:v>2.3391812865497075E-2</c:v>
                </c:pt>
                <c:pt idx="88">
                  <c:v>2.3391812865497075E-2</c:v>
                </c:pt>
                <c:pt idx="89">
                  <c:v>2.3391812865497075E-2</c:v>
                </c:pt>
                <c:pt idx="90">
                  <c:v>2.3391812865497075E-2</c:v>
                </c:pt>
                <c:pt idx="91">
                  <c:v>2.3391812865497075E-2</c:v>
                </c:pt>
                <c:pt idx="92">
                  <c:v>2.3391812865497075E-2</c:v>
                </c:pt>
                <c:pt idx="93">
                  <c:v>2.3391812865497075E-2</c:v>
                </c:pt>
                <c:pt idx="94">
                  <c:v>2.3391812865497075E-2</c:v>
                </c:pt>
                <c:pt idx="95">
                  <c:v>2.3391812865497075E-2</c:v>
                </c:pt>
                <c:pt idx="96">
                  <c:v>2.3391812865497075E-2</c:v>
                </c:pt>
                <c:pt idx="97">
                  <c:v>2.3391812865497075E-2</c:v>
                </c:pt>
                <c:pt idx="98">
                  <c:v>2.3391812865497075E-2</c:v>
                </c:pt>
                <c:pt idx="99">
                  <c:v>2.3391812865497075E-2</c:v>
                </c:pt>
                <c:pt idx="100">
                  <c:v>2.9239766081871343E-2</c:v>
                </c:pt>
                <c:pt idx="101">
                  <c:v>2.9239766081871343E-2</c:v>
                </c:pt>
                <c:pt idx="102">
                  <c:v>2.9239766081871343E-2</c:v>
                </c:pt>
                <c:pt idx="103">
                  <c:v>2.9239766081871343E-2</c:v>
                </c:pt>
                <c:pt idx="104">
                  <c:v>2.9239766081871343E-2</c:v>
                </c:pt>
                <c:pt idx="105">
                  <c:v>2.9239766081871343E-2</c:v>
                </c:pt>
                <c:pt idx="106">
                  <c:v>2.9239766081871343E-2</c:v>
                </c:pt>
                <c:pt idx="107">
                  <c:v>2.9239766081871343E-2</c:v>
                </c:pt>
                <c:pt idx="108">
                  <c:v>2.9239766081871343E-2</c:v>
                </c:pt>
                <c:pt idx="109">
                  <c:v>2.9239766081871343E-2</c:v>
                </c:pt>
                <c:pt idx="110">
                  <c:v>2.9239766081871343E-2</c:v>
                </c:pt>
                <c:pt idx="111">
                  <c:v>2.9239766081871343E-2</c:v>
                </c:pt>
                <c:pt idx="112">
                  <c:v>2.9239766081871343E-2</c:v>
                </c:pt>
                <c:pt idx="113">
                  <c:v>2.9239766081871343E-2</c:v>
                </c:pt>
                <c:pt idx="114">
                  <c:v>2.9239766081871343E-2</c:v>
                </c:pt>
                <c:pt idx="115">
                  <c:v>2.9239766081871343E-2</c:v>
                </c:pt>
                <c:pt idx="116">
                  <c:v>2.9239766081871343E-2</c:v>
                </c:pt>
                <c:pt idx="117">
                  <c:v>2.9239766081871343E-2</c:v>
                </c:pt>
                <c:pt idx="118">
                  <c:v>2.9239766081871343E-2</c:v>
                </c:pt>
                <c:pt idx="119">
                  <c:v>2.9239766081871343E-2</c:v>
                </c:pt>
                <c:pt idx="120">
                  <c:v>2.9239766081871343E-2</c:v>
                </c:pt>
                <c:pt idx="121">
                  <c:v>3.5087719298245612E-2</c:v>
                </c:pt>
                <c:pt idx="122">
                  <c:v>3.5087719298245612E-2</c:v>
                </c:pt>
                <c:pt idx="123">
                  <c:v>3.5087719298245612E-2</c:v>
                </c:pt>
                <c:pt idx="124">
                  <c:v>3.5087719298245612E-2</c:v>
                </c:pt>
                <c:pt idx="125">
                  <c:v>3.5087719298245612E-2</c:v>
                </c:pt>
                <c:pt idx="126">
                  <c:v>3.5087719298245612E-2</c:v>
                </c:pt>
                <c:pt idx="127">
                  <c:v>3.5087719298245612E-2</c:v>
                </c:pt>
                <c:pt idx="128">
                  <c:v>3.5087719298245612E-2</c:v>
                </c:pt>
                <c:pt idx="129">
                  <c:v>3.5087719298245612E-2</c:v>
                </c:pt>
                <c:pt idx="130">
                  <c:v>3.5087719298245612E-2</c:v>
                </c:pt>
                <c:pt idx="131">
                  <c:v>3.5087719298245612E-2</c:v>
                </c:pt>
                <c:pt idx="132">
                  <c:v>3.5087719298245612E-2</c:v>
                </c:pt>
                <c:pt idx="133">
                  <c:v>3.5087719298245612E-2</c:v>
                </c:pt>
                <c:pt idx="134">
                  <c:v>3.5087719298245612E-2</c:v>
                </c:pt>
                <c:pt idx="135">
                  <c:v>3.5087719298245612E-2</c:v>
                </c:pt>
                <c:pt idx="136">
                  <c:v>3.5087719298245612E-2</c:v>
                </c:pt>
                <c:pt idx="137">
                  <c:v>3.5087719298245612E-2</c:v>
                </c:pt>
                <c:pt idx="138">
                  <c:v>3.5087719298245612E-2</c:v>
                </c:pt>
                <c:pt idx="139">
                  <c:v>3.5087719298245612E-2</c:v>
                </c:pt>
                <c:pt idx="140">
                  <c:v>3.5087719298245612E-2</c:v>
                </c:pt>
                <c:pt idx="141">
                  <c:v>3.5087719298245612E-2</c:v>
                </c:pt>
                <c:pt idx="142">
                  <c:v>3.5087719298245612E-2</c:v>
                </c:pt>
                <c:pt idx="143">
                  <c:v>3.5087719298245612E-2</c:v>
                </c:pt>
                <c:pt idx="144">
                  <c:v>3.5087719298245612E-2</c:v>
                </c:pt>
                <c:pt idx="145">
                  <c:v>3.5087719298245612E-2</c:v>
                </c:pt>
                <c:pt idx="146">
                  <c:v>3.5087719298245612E-2</c:v>
                </c:pt>
                <c:pt idx="147">
                  <c:v>3.5087719298245612E-2</c:v>
                </c:pt>
                <c:pt idx="148">
                  <c:v>3.5087719298245612E-2</c:v>
                </c:pt>
                <c:pt idx="149">
                  <c:v>3.5087719298245612E-2</c:v>
                </c:pt>
                <c:pt idx="150">
                  <c:v>3.5087719298245612E-2</c:v>
                </c:pt>
                <c:pt idx="151">
                  <c:v>3.5087719298245612E-2</c:v>
                </c:pt>
                <c:pt idx="152">
                  <c:v>3.5087719298245612E-2</c:v>
                </c:pt>
                <c:pt idx="153">
                  <c:v>3.5087719298245612E-2</c:v>
                </c:pt>
                <c:pt idx="154">
                  <c:v>3.5087719298245612E-2</c:v>
                </c:pt>
                <c:pt idx="155">
                  <c:v>3.5087719298245612E-2</c:v>
                </c:pt>
                <c:pt idx="156">
                  <c:v>3.5087719298245612E-2</c:v>
                </c:pt>
                <c:pt idx="157">
                  <c:v>3.5087719298245612E-2</c:v>
                </c:pt>
                <c:pt idx="158">
                  <c:v>3.5087719298245612E-2</c:v>
                </c:pt>
                <c:pt idx="159">
                  <c:v>3.5087719298245612E-2</c:v>
                </c:pt>
                <c:pt idx="160">
                  <c:v>3.5087719298245612E-2</c:v>
                </c:pt>
                <c:pt idx="161">
                  <c:v>3.5087719298245612E-2</c:v>
                </c:pt>
                <c:pt idx="162">
                  <c:v>3.5087719298245612E-2</c:v>
                </c:pt>
                <c:pt idx="163">
                  <c:v>3.5087719298245612E-2</c:v>
                </c:pt>
                <c:pt idx="164">
                  <c:v>3.5087719298245612E-2</c:v>
                </c:pt>
                <c:pt idx="165">
                  <c:v>3.5087719298245612E-2</c:v>
                </c:pt>
                <c:pt idx="166">
                  <c:v>4.0935672514619881E-2</c:v>
                </c:pt>
                <c:pt idx="167">
                  <c:v>4.0935672514619881E-2</c:v>
                </c:pt>
                <c:pt idx="168">
                  <c:v>4.0935672514619881E-2</c:v>
                </c:pt>
                <c:pt idx="169">
                  <c:v>4.0935672514619881E-2</c:v>
                </c:pt>
                <c:pt idx="170">
                  <c:v>4.0935672514619881E-2</c:v>
                </c:pt>
                <c:pt idx="171">
                  <c:v>4.0935672514619881E-2</c:v>
                </c:pt>
                <c:pt idx="172">
                  <c:v>4.0935672514619881E-2</c:v>
                </c:pt>
                <c:pt idx="173">
                  <c:v>4.0935672514619881E-2</c:v>
                </c:pt>
                <c:pt idx="174">
                  <c:v>4.0935672514619881E-2</c:v>
                </c:pt>
                <c:pt idx="175">
                  <c:v>4.0935672514619881E-2</c:v>
                </c:pt>
                <c:pt idx="176">
                  <c:v>4.0935672514619881E-2</c:v>
                </c:pt>
                <c:pt idx="177">
                  <c:v>4.0935672514619881E-2</c:v>
                </c:pt>
                <c:pt idx="178">
                  <c:v>4.0935672514619881E-2</c:v>
                </c:pt>
                <c:pt idx="179">
                  <c:v>4.0935672514619881E-2</c:v>
                </c:pt>
                <c:pt idx="180">
                  <c:v>4.0935672514619881E-2</c:v>
                </c:pt>
                <c:pt idx="181">
                  <c:v>4.0935672514619881E-2</c:v>
                </c:pt>
                <c:pt idx="182">
                  <c:v>4.0935672514619881E-2</c:v>
                </c:pt>
                <c:pt idx="183">
                  <c:v>4.0935672514619881E-2</c:v>
                </c:pt>
                <c:pt idx="184">
                  <c:v>4.0935672514619881E-2</c:v>
                </c:pt>
                <c:pt idx="185">
                  <c:v>4.0935672514619881E-2</c:v>
                </c:pt>
                <c:pt idx="186">
                  <c:v>4.0935672514619881E-2</c:v>
                </c:pt>
                <c:pt idx="187">
                  <c:v>4.0935672514619881E-2</c:v>
                </c:pt>
                <c:pt idx="188">
                  <c:v>4.0935672514619881E-2</c:v>
                </c:pt>
                <c:pt idx="189">
                  <c:v>4.0935672514619881E-2</c:v>
                </c:pt>
                <c:pt idx="190">
                  <c:v>4.0935672514619881E-2</c:v>
                </c:pt>
                <c:pt idx="191">
                  <c:v>4.0935672514619881E-2</c:v>
                </c:pt>
                <c:pt idx="192">
                  <c:v>4.0935672514619881E-2</c:v>
                </c:pt>
                <c:pt idx="193">
                  <c:v>4.0935672514619881E-2</c:v>
                </c:pt>
                <c:pt idx="194">
                  <c:v>4.0935672514619881E-2</c:v>
                </c:pt>
                <c:pt idx="195">
                  <c:v>4.0935672514619881E-2</c:v>
                </c:pt>
                <c:pt idx="196">
                  <c:v>4.0935672514619881E-2</c:v>
                </c:pt>
                <c:pt idx="197">
                  <c:v>4.0935672514619881E-2</c:v>
                </c:pt>
                <c:pt idx="198">
                  <c:v>4.0935672514619881E-2</c:v>
                </c:pt>
                <c:pt idx="199">
                  <c:v>4.0935672514619881E-2</c:v>
                </c:pt>
                <c:pt idx="200">
                  <c:v>4.0935672514619881E-2</c:v>
                </c:pt>
                <c:pt idx="201">
                  <c:v>4.0935672514619881E-2</c:v>
                </c:pt>
                <c:pt idx="202">
                  <c:v>4.0935672514619881E-2</c:v>
                </c:pt>
                <c:pt idx="203">
                  <c:v>4.0935672514619881E-2</c:v>
                </c:pt>
                <c:pt idx="204">
                  <c:v>4.0935672514619881E-2</c:v>
                </c:pt>
                <c:pt idx="205">
                  <c:v>4.0935672514619881E-2</c:v>
                </c:pt>
                <c:pt idx="206">
                  <c:v>4.0935672514619881E-2</c:v>
                </c:pt>
                <c:pt idx="207">
                  <c:v>4.0935672514619881E-2</c:v>
                </c:pt>
                <c:pt idx="208">
                  <c:v>4.0935672514619881E-2</c:v>
                </c:pt>
                <c:pt idx="209">
                  <c:v>4.0935672514619881E-2</c:v>
                </c:pt>
                <c:pt idx="210">
                  <c:v>4.0935672514619881E-2</c:v>
                </c:pt>
                <c:pt idx="211">
                  <c:v>4.0935672514619881E-2</c:v>
                </c:pt>
                <c:pt idx="212">
                  <c:v>4.0935672514619881E-2</c:v>
                </c:pt>
                <c:pt idx="213">
                  <c:v>4.0935672514619881E-2</c:v>
                </c:pt>
                <c:pt idx="214">
                  <c:v>4.0935672514619881E-2</c:v>
                </c:pt>
                <c:pt idx="215">
                  <c:v>4.0935672514619881E-2</c:v>
                </c:pt>
                <c:pt idx="216">
                  <c:v>4.0935672514619881E-2</c:v>
                </c:pt>
                <c:pt idx="217">
                  <c:v>4.0935672514619881E-2</c:v>
                </c:pt>
                <c:pt idx="218">
                  <c:v>4.0935672514619881E-2</c:v>
                </c:pt>
                <c:pt idx="219">
                  <c:v>4.0935672514619881E-2</c:v>
                </c:pt>
                <c:pt idx="220">
                  <c:v>4.0935672514619881E-2</c:v>
                </c:pt>
                <c:pt idx="221">
                  <c:v>4.0935672514619881E-2</c:v>
                </c:pt>
                <c:pt idx="222">
                  <c:v>4.0935672514619881E-2</c:v>
                </c:pt>
                <c:pt idx="223">
                  <c:v>4.0935672514619881E-2</c:v>
                </c:pt>
                <c:pt idx="224">
                  <c:v>4.0935672514619881E-2</c:v>
                </c:pt>
                <c:pt idx="225">
                  <c:v>4.0935672514619881E-2</c:v>
                </c:pt>
                <c:pt idx="226">
                  <c:v>4.0935672514619881E-2</c:v>
                </c:pt>
                <c:pt idx="227">
                  <c:v>4.0935672514619881E-2</c:v>
                </c:pt>
                <c:pt idx="228">
                  <c:v>4.6783625730994149E-2</c:v>
                </c:pt>
                <c:pt idx="229">
                  <c:v>4.6783625730994149E-2</c:v>
                </c:pt>
                <c:pt idx="230">
                  <c:v>4.6783625730994149E-2</c:v>
                </c:pt>
                <c:pt idx="231">
                  <c:v>4.6783625730994149E-2</c:v>
                </c:pt>
                <c:pt idx="232">
                  <c:v>4.6783625730994149E-2</c:v>
                </c:pt>
                <c:pt idx="233">
                  <c:v>4.6783625730994149E-2</c:v>
                </c:pt>
                <c:pt idx="234">
                  <c:v>4.6783625730994149E-2</c:v>
                </c:pt>
                <c:pt idx="235">
                  <c:v>4.6783625730994149E-2</c:v>
                </c:pt>
                <c:pt idx="236">
                  <c:v>4.6783625730994149E-2</c:v>
                </c:pt>
                <c:pt idx="237">
                  <c:v>4.6783625730994149E-2</c:v>
                </c:pt>
                <c:pt idx="238">
                  <c:v>4.6783625730994149E-2</c:v>
                </c:pt>
                <c:pt idx="239">
                  <c:v>4.6783625730994149E-2</c:v>
                </c:pt>
                <c:pt idx="240">
                  <c:v>4.6783625730994149E-2</c:v>
                </c:pt>
                <c:pt idx="241">
                  <c:v>4.6783625730994149E-2</c:v>
                </c:pt>
                <c:pt idx="242">
                  <c:v>4.6783625730994149E-2</c:v>
                </c:pt>
                <c:pt idx="243">
                  <c:v>4.6783625730994149E-2</c:v>
                </c:pt>
                <c:pt idx="244">
                  <c:v>5.2631578947368418E-2</c:v>
                </c:pt>
                <c:pt idx="245">
                  <c:v>5.2631578947368418E-2</c:v>
                </c:pt>
                <c:pt idx="246">
                  <c:v>5.2631578947368418E-2</c:v>
                </c:pt>
                <c:pt idx="247">
                  <c:v>5.2631578947368418E-2</c:v>
                </c:pt>
                <c:pt idx="248">
                  <c:v>5.2631578947368418E-2</c:v>
                </c:pt>
                <c:pt idx="249">
                  <c:v>5.2631578947368418E-2</c:v>
                </c:pt>
                <c:pt idx="250">
                  <c:v>5.2631578947368418E-2</c:v>
                </c:pt>
                <c:pt idx="251">
                  <c:v>5.2631578947368418E-2</c:v>
                </c:pt>
                <c:pt idx="252">
                  <c:v>5.2631578947368418E-2</c:v>
                </c:pt>
                <c:pt idx="253">
                  <c:v>5.2631578947368418E-2</c:v>
                </c:pt>
                <c:pt idx="254">
                  <c:v>5.2631578947368418E-2</c:v>
                </c:pt>
                <c:pt idx="255">
                  <c:v>5.2631578947368418E-2</c:v>
                </c:pt>
                <c:pt idx="256">
                  <c:v>5.2631578947368418E-2</c:v>
                </c:pt>
                <c:pt idx="257">
                  <c:v>5.2631578947368418E-2</c:v>
                </c:pt>
                <c:pt idx="258">
                  <c:v>5.2631578947368418E-2</c:v>
                </c:pt>
                <c:pt idx="259">
                  <c:v>5.2631578947368418E-2</c:v>
                </c:pt>
                <c:pt idx="260">
                  <c:v>5.2631578947368418E-2</c:v>
                </c:pt>
                <c:pt idx="261">
                  <c:v>5.2631578947368418E-2</c:v>
                </c:pt>
                <c:pt idx="262">
                  <c:v>5.2631578947368418E-2</c:v>
                </c:pt>
                <c:pt idx="263">
                  <c:v>5.2631578947368418E-2</c:v>
                </c:pt>
                <c:pt idx="264">
                  <c:v>5.2631578947368418E-2</c:v>
                </c:pt>
                <c:pt idx="265">
                  <c:v>5.2631578947368418E-2</c:v>
                </c:pt>
                <c:pt idx="266">
                  <c:v>5.2631578947368418E-2</c:v>
                </c:pt>
                <c:pt idx="267">
                  <c:v>5.2631578947368418E-2</c:v>
                </c:pt>
                <c:pt idx="268">
                  <c:v>5.2631578947368418E-2</c:v>
                </c:pt>
                <c:pt idx="269">
                  <c:v>5.2631578947368418E-2</c:v>
                </c:pt>
                <c:pt idx="270">
                  <c:v>5.2631578947368418E-2</c:v>
                </c:pt>
                <c:pt idx="271">
                  <c:v>5.2631578947368418E-2</c:v>
                </c:pt>
                <c:pt idx="272">
                  <c:v>5.2631578947368418E-2</c:v>
                </c:pt>
                <c:pt idx="273">
                  <c:v>5.2631578947368418E-2</c:v>
                </c:pt>
                <c:pt idx="274">
                  <c:v>5.2631578947368418E-2</c:v>
                </c:pt>
                <c:pt idx="275">
                  <c:v>5.2631578947368418E-2</c:v>
                </c:pt>
                <c:pt idx="276">
                  <c:v>5.2631578947368418E-2</c:v>
                </c:pt>
                <c:pt idx="277">
                  <c:v>5.2631578947368418E-2</c:v>
                </c:pt>
                <c:pt idx="278">
                  <c:v>5.2631578947368418E-2</c:v>
                </c:pt>
                <c:pt idx="279">
                  <c:v>5.2631578947368418E-2</c:v>
                </c:pt>
                <c:pt idx="280">
                  <c:v>5.2631578947368418E-2</c:v>
                </c:pt>
                <c:pt idx="281">
                  <c:v>5.2631578947368418E-2</c:v>
                </c:pt>
                <c:pt idx="282">
                  <c:v>5.2631578947368418E-2</c:v>
                </c:pt>
                <c:pt idx="283">
                  <c:v>5.2631578947368418E-2</c:v>
                </c:pt>
                <c:pt idx="284">
                  <c:v>5.2631578947368418E-2</c:v>
                </c:pt>
                <c:pt idx="285">
                  <c:v>5.2631578947368418E-2</c:v>
                </c:pt>
                <c:pt idx="286">
                  <c:v>5.2631578947368418E-2</c:v>
                </c:pt>
                <c:pt idx="287">
                  <c:v>5.2631578947368418E-2</c:v>
                </c:pt>
                <c:pt idx="288">
                  <c:v>5.2631578947368418E-2</c:v>
                </c:pt>
                <c:pt idx="289">
                  <c:v>5.2631578947368418E-2</c:v>
                </c:pt>
                <c:pt idx="290">
                  <c:v>5.2631578947368418E-2</c:v>
                </c:pt>
                <c:pt idx="291">
                  <c:v>5.2631578947368418E-2</c:v>
                </c:pt>
                <c:pt idx="292">
                  <c:v>5.2631578947368418E-2</c:v>
                </c:pt>
                <c:pt idx="293">
                  <c:v>5.2631578947368418E-2</c:v>
                </c:pt>
                <c:pt idx="294">
                  <c:v>5.2631578947368418E-2</c:v>
                </c:pt>
                <c:pt idx="295">
                  <c:v>5.2631578947368418E-2</c:v>
                </c:pt>
                <c:pt idx="296">
                  <c:v>5.2631578947368418E-2</c:v>
                </c:pt>
                <c:pt idx="297">
                  <c:v>5.2631578947368418E-2</c:v>
                </c:pt>
                <c:pt idx="298">
                  <c:v>5.2631578947368418E-2</c:v>
                </c:pt>
                <c:pt idx="299">
                  <c:v>5.2631578947368418E-2</c:v>
                </c:pt>
                <c:pt idx="300">
                  <c:v>5.2631578947368418E-2</c:v>
                </c:pt>
                <c:pt idx="301">
                  <c:v>5.2631578947368418E-2</c:v>
                </c:pt>
                <c:pt idx="302">
                  <c:v>5.2631578947368418E-2</c:v>
                </c:pt>
                <c:pt idx="303">
                  <c:v>5.2631578947368418E-2</c:v>
                </c:pt>
                <c:pt idx="304">
                  <c:v>5.2631578947368418E-2</c:v>
                </c:pt>
                <c:pt idx="305">
                  <c:v>5.2631578947368418E-2</c:v>
                </c:pt>
                <c:pt idx="306">
                  <c:v>5.2631578947368418E-2</c:v>
                </c:pt>
                <c:pt idx="307">
                  <c:v>5.2631578947368418E-2</c:v>
                </c:pt>
                <c:pt idx="308">
                  <c:v>5.2631578947368418E-2</c:v>
                </c:pt>
                <c:pt idx="309">
                  <c:v>5.2631578947368418E-2</c:v>
                </c:pt>
                <c:pt idx="310">
                  <c:v>5.2631578947368418E-2</c:v>
                </c:pt>
                <c:pt idx="311">
                  <c:v>5.2631578947368418E-2</c:v>
                </c:pt>
                <c:pt idx="312">
                  <c:v>5.2631578947368418E-2</c:v>
                </c:pt>
                <c:pt idx="313">
                  <c:v>5.2631578947368418E-2</c:v>
                </c:pt>
                <c:pt idx="314">
                  <c:v>5.2631578947368418E-2</c:v>
                </c:pt>
                <c:pt idx="315">
                  <c:v>5.2631578947368418E-2</c:v>
                </c:pt>
                <c:pt idx="316">
                  <c:v>5.2631578947368418E-2</c:v>
                </c:pt>
                <c:pt idx="317">
                  <c:v>5.2631578947368418E-2</c:v>
                </c:pt>
                <c:pt idx="318">
                  <c:v>5.2631578947368418E-2</c:v>
                </c:pt>
                <c:pt idx="319">
                  <c:v>5.2631578947368418E-2</c:v>
                </c:pt>
                <c:pt idx="320">
                  <c:v>5.2631578947368418E-2</c:v>
                </c:pt>
                <c:pt idx="321">
                  <c:v>5.2631578947368418E-2</c:v>
                </c:pt>
                <c:pt idx="322">
                  <c:v>5.2631578947368418E-2</c:v>
                </c:pt>
                <c:pt idx="323">
                  <c:v>5.2631578947368418E-2</c:v>
                </c:pt>
                <c:pt idx="324">
                  <c:v>5.2631578947368418E-2</c:v>
                </c:pt>
                <c:pt idx="325">
                  <c:v>5.2631578947368418E-2</c:v>
                </c:pt>
                <c:pt idx="326">
                  <c:v>5.2631578947368418E-2</c:v>
                </c:pt>
                <c:pt idx="327">
                  <c:v>5.2631578947368418E-2</c:v>
                </c:pt>
                <c:pt idx="328">
                  <c:v>5.2631578947368418E-2</c:v>
                </c:pt>
                <c:pt idx="329">
                  <c:v>5.2631578947368418E-2</c:v>
                </c:pt>
                <c:pt idx="330">
                  <c:v>5.2631578947368418E-2</c:v>
                </c:pt>
                <c:pt idx="331">
                  <c:v>5.2631578947368418E-2</c:v>
                </c:pt>
                <c:pt idx="332">
                  <c:v>5.2631578947368418E-2</c:v>
                </c:pt>
                <c:pt idx="333">
                  <c:v>5.2631578947368418E-2</c:v>
                </c:pt>
                <c:pt idx="334">
                  <c:v>5.2631578947368418E-2</c:v>
                </c:pt>
                <c:pt idx="335">
                  <c:v>5.2631578947368418E-2</c:v>
                </c:pt>
                <c:pt idx="336">
                  <c:v>5.2631578947368418E-2</c:v>
                </c:pt>
                <c:pt idx="337">
                  <c:v>5.2631578947368418E-2</c:v>
                </c:pt>
                <c:pt idx="338">
                  <c:v>5.2631578947368418E-2</c:v>
                </c:pt>
                <c:pt idx="339">
                  <c:v>5.2631578947368418E-2</c:v>
                </c:pt>
                <c:pt idx="340">
                  <c:v>5.2631578947368418E-2</c:v>
                </c:pt>
                <c:pt idx="341">
                  <c:v>5.2631578947368418E-2</c:v>
                </c:pt>
                <c:pt idx="342">
                  <c:v>5.2631578947368418E-2</c:v>
                </c:pt>
                <c:pt idx="343">
                  <c:v>5.2631578947368418E-2</c:v>
                </c:pt>
                <c:pt idx="344">
                  <c:v>5.2631578947368418E-2</c:v>
                </c:pt>
                <c:pt idx="345">
                  <c:v>5.2631578947368418E-2</c:v>
                </c:pt>
                <c:pt idx="346">
                  <c:v>5.2631578947368418E-2</c:v>
                </c:pt>
                <c:pt idx="347">
                  <c:v>5.2631578947368418E-2</c:v>
                </c:pt>
                <c:pt idx="348">
                  <c:v>5.2631578947368418E-2</c:v>
                </c:pt>
                <c:pt idx="349">
                  <c:v>5.2631578947368418E-2</c:v>
                </c:pt>
                <c:pt idx="350">
                  <c:v>5.2631578947368418E-2</c:v>
                </c:pt>
                <c:pt idx="351">
                  <c:v>5.2631578947368418E-2</c:v>
                </c:pt>
                <c:pt idx="352">
                  <c:v>5.2631578947368418E-2</c:v>
                </c:pt>
                <c:pt idx="353">
                  <c:v>5.2631578947368418E-2</c:v>
                </c:pt>
                <c:pt idx="354">
                  <c:v>5.2631578947368418E-2</c:v>
                </c:pt>
                <c:pt idx="355">
                  <c:v>5.2631578947368418E-2</c:v>
                </c:pt>
                <c:pt idx="356">
                  <c:v>5.2631578947368418E-2</c:v>
                </c:pt>
                <c:pt idx="357">
                  <c:v>5.2631578947368418E-2</c:v>
                </c:pt>
                <c:pt idx="358">
                  <c:v>5.2631578947368418E-2</c:v>
                </c:pt>
                <c:pt idx="359">
                  <c:v>5.2631578947368418E-2</c:v>
                </c:pt>
                <c:pt idx="360">
                  <c:v>5.2631578947368418E-2</c:v>
                </c:pt>
                <c:pt idx="361">
                  <c:v>5.2631578947368418E-2</c:v>
                </c:pt>
                <c:pt idx="362">
                  <c:v>5.2631578947368418E-2</c:v>
                </c:pt>
                <c:pt idx="363">
                  <c:v>5.2631578947368418E-2</c:v>
                </c:pt>
                <c:pt idx="364">
                  <c:v>5.2631578947368418E-2</c:v>
                </c:pt>
                <c:pt idx="365">
                  <c:v>5.2631578947368418E-2</c:v>
                </c:pt>
                <c:pt idx="366">
                  <c:v>5.2631578947368418E-2</c:v>
                </c:pt>
                <c:pt idx="367">
                  <c:v>5.2631578947368418E-2</c:v>
                </c:pt>
                <c:pt idx="368">
                  <c:v>5.2631578947368418E-2</c:v>
                </c:pt>
                <c:pt idx="369">
                  <c:v>5.2631578947368418E-2</c:v>
                </c:pt>
                <c:pt idx="370">
                  <c:v>5.2631578947368418E-2</c:v>
                </c:pt>
                <c:pt idx="371">
                  <c:v>5.2631578947368418E-2</c:v>
                </c:pt>
                <c:pt idx="372">
                  <c:v>5.2631578947368418E-2</c:v>
                </c:pt>
                <c:pt idx="373">
                  <c:v>5.2631578947368418E-2</c:v>
                </c:pt>
                <c:pt idx="374">
                  <c:v>5.2631578947368418E-2</c:v>
                </c:pt>
                <c:pt idx="375">
                  <c:v>5.2631578947368418E-2</c:v>
                </c:pt>
                <c:pt idx="376">
                  <c:v>5.2631578947368418E-2</c:v>
                </c:pt>
                <c:pt idx="377">
                  <c:v>5.2631578947368418E-2</c:v>
                </c:pt>
                <c:pt idx="378">
                  <c:v>5.2631578947368418E-2</c:v>
                </c:pt>
                <c:pt idx="379">
                  <c:v>5.2631578947368418E-2</c:v>
                </c:pt>
                <c:pt idx="380">
                  <c:v>5.2631578947368418E-2</c:v>
                </c:pt>
                <c:pt idx="381">
                  <c:v>5.2631578947368418E-2</c:v>
                </c:pt>
                <c:pt idx="382">
                  <c:v>5.2631578947368418E-2</c:v>
                </c:pt>
                <c:pt idx="383">
                  <c:v>5.2631578947368418E-2</c:v>
                </c:pt>
                <c:pt idx="384">
                  <c:v>5.2631578947368418E-2</c:v>
                </c:pt>
                <c:pt idx="385">
                  <c:v>5.2631578947368418E-2</c:v>
                </c:pt>
                <c:pt idx="386">
                  <c:v>5.2631578947368418E-2</c:v>
                </c:pt>
                <c:pt idx="387">
                  <c:v>5.2631578947368418E-2</c:v>
                </c:pt>
                <c:pt idx="388">
                  <c:v>5.2631578947368418E-2</c:v>
                </c:pt>
                <c:pt idx="389">
                  <c:v>5.2631578947368418E-2</c:v>
                </c:pt>
                <c:pt idx="390">
                  <c:v>5.2631578947368418E-2</c:v>
                </c:pt>
                <c:pt idx="391">
                  <c:v>5.2631578947368418E-2</c:v>
                </c:pt>
                <c:pt idx="392">
                  <c:v>5.2631578947368418E-2</c:v>
                </c:pt>
                <c:pt idx="393">
                  <c:v>5.2631578947368418E-2</c:v>
                </c:pt>
                <c:pt idx="394">
                  <c:v>5.2631578947368418E-2</c:v>
                </c:pt>
                <c:pt idx="395">
                  <c:v>5.2631578947368418E-2</c:v>
                </c:pt>
                <c:pt idx="396">
                  <c:v>5.2631578947368418E-2</c:v>
                </c:pt>
                <c:pt idx="397">
                  <c:v>5.2631578947368418E-2</c:v>
                </c:pt>
                <c:pt idx="398">
                  <c:v>5.2631578947368418E-2</c:v>
                </c:pt>
                <c:pt idx="399">
                  <c:v>5.2631578947368418E-2</c:v>
                </c:pt>
                <c:pt idx="400">
                  <c:v>5.2631578947368418E-2</c:v>
                </c:pt>
                <c:pt idx="401">
                  <c:v>5.2631578947368418E-2</c:v>
                </c:pt>
                <c:pt idx="402">
                  <c:v>5.2631578947368418E-2</c:v>
                </c:pt>
                <c:pt idx="403">
                  <c:v>5.2631578947368418E-2</c:v>
                </c:pt>
                <c:pt idx="404">
                  <c:v>5.2631578947368418E-2</c:v>
                </c:pt>
                <c:pt idx="405">
                  <c:v>5.2631578947368418E-2</c:v>
                </c:pt>
                <c:pt idx="406">
                  <c:v>5.2631578947368418E-2</c:v>
                </c:pt>
                <c:pt idx="407">
                  <c:v>5.2631578947368418E-2</c:v>
                </c:pt>
                <c:pt idx="408">
                  <c:v>5.2631578947368418E-2</c:v>
                </c:pt>
                <c:pt idx="409">
                  <c:v>5.2631578947368418E-2</c:v>
                </c:pt>
                <c:pt idx="410">
                  <c:v>5.2631578947368418E-2</c:v>
                </c:pt>
                <c:pt idx="411">
                  <c:v>5.2631578947368418E-2</c:v>
                </c:pt>
                <c:pt idx="412">
                  <c:v>5.2631578947368418E-2</c:v>
                </c:pt>
                <c:pt idx="413">
                  <c:v>5.2631578947368418E-2</c:v>
                </c:pt>
                <c:pt idx="414">
                  <c:v>5.2631578947368418E-2</c:v>
                </c:pt>
                <c:pt idx="415">
                  <c:v>5.2631578947368418E-2</c:v>
                </c:pt>
                <c:pt idx="416">
                  <c:v>5.2631578947368418E-2</c:v>
                </c:pt>
                <c:pt idx="417">
                  <c:v>5.2631578947368418E-2</c:v>
                </c:pt>
                <c:pt idx="418">
                  <c:v>5.2631578947368418E-2</c:v>
                </c:pt>
                <c:pt idx="419">
                  <c:v>5.2631578947368418E-2</c:v>
                </c:pt>
                <c:pt idx="420">
                  <c:v>5.2631578947368418E-2</c:v>
                </c:pt>
                <c:pt idx="421">
                  <c:v>5.2631578947368418E-2</c:v>
                </c:pt>
                <c:pt idx="422">
                  <c:v>5.2631578947368418E-2</c:v>
                </c:pt>
                <c:pt idx="423">
                  <c:v>5.8479532163742687E-2</c:v>
                </c:pt>
                <c:pt idx="424">
                  <c:v>5.8479532163742687E-2</c:v>
                </c:pt>
                <c:pt idx="425">
                  <c:v>5.8479532163742687E-2</c:v>
                </c:pt>
                <c:pt idx="426">
                  <c:v>5.8479532163742687E-2</c:v>
                </c:pt>
                <c:pt idx="427">
                  <c:v>5.8479532163742687E-2</c:v>
                </c:pt>
                <c:pt idx="428">
                  <c:v>5.8479532163742687E-2</c:v>
                </c:pt>
                <c:pt idx="429">
                  <c:v>5.8479532163742687E-2</c:v>
                </c:pt>
                <c:pt idx="430">
                  <c:v>5.8479532163742687E-2</c:v>
                </c:pt>
                <c:pt idx="431">
                  <c:v>5.8479532163742687E-2</c:v>
                </c:pt>
                <c:pt idx="432">
                  <c:v>5.8479532163742687E-2</c:v>
                </c:pt>
                <c:pt idx="433">
                  <c:v>5.8479532163742687E-2</c:v>
                </c:pt>
                <c:pt idx="434">
                  <c:v>5.8479532163742687E-2</c:v>
                </c:pt>
                <c:pt idx="435">
                  <c:v>5.8479532163742687E-2</c:v>
                </c:pt>
                <c:pt idx="436">
                  <c:v>5.8479532163742687E-2</c:v>
                </c:pt>
                <c:pt idx="437">
                  <c:v>5.8479532163742687E-2</c:v>
                </c:pt>
                <c:pt idx="438">
                  <c:v>6.4327485380116955E-2</c:v>
                </c:pt>
                <c:pt idx="439">
                  <c:v>7.0175438596491224E-2</c:v>
                </c:pt>
                <c:pt idx="440">
                  <c:v>7.6023391812865493E-2</c:v>
                </c:pt>
                <c:pt idx="441">
                  <c:v>8.1871345029239762E-2</c:v>
                </c:pt>
                <c:pt idx="442">
                  <c:v>8.771929824561403E-2</c:v>
                </c:pt>
                <c:pt idx="443">
                  <c:v>9.3567251461988299E-2</c:v>
                </c:pt>
                <c:pt idx="444">
                  <c:v>9.9415204678362568E-2</c:v>
                </c:pt>
                <c:pt idx="445">
                  <c:v>0.10526315789473684</c:v>
                </c:pt>
                <c:pt idx="446">
                  <c:v>0.1111111111111111</c:v>
                </c:pt>
                <c:pt idx="447">
                  <c:v>0.11695906432748537</c:v>
                </c:pt>
                <c:pt idx="448">
                  <c:v>0.12280701754385964</c:v>
                </c:pt>
                <c:pt idx="449">
                  <c:v>0.12865497076023391</c:v>
                </c:pt>
                <c:pt idx="450">
                  <c:v>0.13450292397660818</c:v>
                </c:pt>
                <c:pt idx="451">
                  <c:v>0.14035087719298245</c:v>
                </c:pt>
                <c:pt idx="452">
                  <c:v>0.14619883040935672</c:v>
                </c:pt>
                <c:pt idx="453">
                  <c:v>0.15204678362573099</c:v>
                </c:pt>
                <c:pt idx="454">
                  <c:v>0.15789473684210525</c:v>
                </c:pt>
                <c:pt idx="455">
                  <c:v>0.16374269005847952</c:v>
                </c:pt>
                <c:pt idx="456">
                  <c:v>0.16959064327485379</c:v>
                </c:pt>
                <c:pt idx="457">
                  <c:v>0.17543859649122806</c:v>
                </c:pt>
                <c:pt idx="458">
                  <c:v>0.18128654970760233</c:v>
                </c:pt>
                <c:pt idx="459">
                  <c:v>0.1871345029239766</c:v>
                </c:pt>
                <c:pt idx="460">
                  <c:v>0.19298245614035087</c:v>
                </c:pt>
                <c:pt idx="461">
                  <c:v>0.19883040935672514</c:v>
                </c:pt>
                <c:pt idx="462">
                  <c:v>0.2046783625730994</c:v>
                </c:pt>
                <c:pt idx="463">
                  <c:v>0.21052631578947367</c:v>
                </c:pt>
                <c:pt idx="464">
                  <c:v>0.21637426900584794</c:v>
                </c:pt>
                <c:pt idx="465">
                  <c:v>0.22222222222222221</c:v>
                </c:pt>
                <c:pt idx="466">
                  <c:v>0.22807017543859648</c:v>
                </c:pt>
                <c:pt idx="467">
                  <c:v>0.23391812865497075</c:v>
                </c:pt>
                <c:pt idx="468">
                  <c:v>0.23976608187134502</c:v>
                </c:pt>
                <c:pt idx="469">
                  <c:v>0.24561403508771928</c:v>
                </c:pt>
                <c:pt idx="470">
                  <c:v>0.25146198830409355</c:v>
                </c:pt>
                <c:pt idx="471">
                  <c:v>0.25730994152046782</c:v>
                </c:pt>
                <c:pt idx="472">
                  <c:v>0.26315789473684209</c:v>
                </c:pt>
                <c:pt idx="473">
                  <c:v>0.26900584795321636</c:v>
                </c:pt>
                <c:pt idx="474">
                  <c:v>0.27485380116959063</c:v>
                </c:pt>
                <c:pt idx="475">
                  <c:v>0.2807017543859649</c:v>
                </c:pt>
                <c:pt idx="476">
                  <c:v>0.28654970760233917</c:v>
                </c:pt>
                <c:pt idx="477">
                  <c:v>0.29239766081871343</c:v>
                </c:pt>
                <c:pt idx="478">
                  <c:v>0.2982456140350877</c:v>
                </c:pt>
                <c:pt idx="479">
                  <c:v>0.30409356725146197</c:v>
                </c:pt>
                <c:pt idx="480">
                  <c:v>0.30994152046783624</c:v>
                </c:pt>
                <c:pt idx="481">
                  <c:v>0.31578947368421051</c:v>
                </c:pt>
                <c:pt idx="482">
                  <c:v>0.32163742690058478</c:v>
                </c:pt>
                <c:pt idx="483">
                  <c:v>0.32748538011695905</c:v>
                </c:pt>
                <c:pt idx="484">
                  <c:v>0.33333333333333331</c:v>
                </c:pt>
                <c:pt idx="485">
                  <c:v>0.33918128654970758</c:v>
                </c:pt>
                <c:pt idx="486">
                  <c:v>0.34502923976608185</c:v>
                </c:pt>
                <c:pt idx="487">
                  <c:v>0.35087719298245612</c:v>
                </c:pt>
                <c:pt idx="488">
                  <c:v>0.35672514619883039</c:v>
                </c:pt>
                <c:pt idx="489">
                  <c:v>0.36257309941520466</c:v>
                </c:pt>
                <c:pt idx="490">
                  <c:v>0.36842105263157893</c:v>
                </c:pt>
                <c:pt idx="491">
                  <c:v>0.3742690058479532</c:v>
                </c:pt>
                <c:pt idx="492">
                  <c:v>0.38011695906432746</c:v>
                </c:pt>
                <c:pt idx="493">
                  <c:v>0.38596491228070173</c:v>
                </c:pt>
                <c:pt idx="494">
                  <c:v>0.391812865497076</c:v>
                </c:pt>
                <c:pt idx="495">
                  <c:v>0.39766081871345027</c:v>
                </c:pt>
                <c:pt idx="496">
                  <c:v>0.40350877192982454</c:v>
                </c:pt>
                <c:pt idx="497">
                  <c:v>0.40935672514619881</c:v>
                </c:pt>
                <c:pt idx="498">
                  <c:v>0.41520467836257308</c:v>
                </c:pt>
                <c:pt idx="499">
                  <c:v>0.42105263157894735</c:v>
                </c:pt>
                <c:pt idx="500">
                  <c:v>0.42690058479532161</c:v>
                </c:pt>
                <c:pt idx="501">
                  <c:v>0.43274853801169588</c:v>
                </c:pt>
                <c:pt idx="502">
                  <c:v>0.43859649122807015</c:v>
                </c:pt>
                <c:pt idx="503">
                  <c:v>0.43859649122807015</c:v>
                </c:pt>
                <c:pt idx="504">
                  <c:v>0.44444444444444442</c:v>
                </c:pt>
                <c:pt idx="505">
                  <c:v>0.45029239766081869</c:v>
                </c:pt>
                <c:pt idx="506">
                  <c:v>0.45614035087719296</c:v>
                </c:pt>
                <c:pt idx="507">
                  <c:v>0.46198830409356723</c:v>
                </c:pt>
                <c:pt idx="508">
                  <c:v>0.46783625730994149</c:v>
                </c:pt>
                <c:pt idx="509">
                  <c:v>0.47368421052631576</c:v>
                </c:pt>
                <c:pt idx="510">
                  <c:v>0.47953216374269003</c:v>
                </c:pt>
                <c:pt idx="511">
                  <c:v>0.4853801169590643</c:v>
                </c:pt>
                <c:pt idx="512">
                  <c:v>0.49122807017543857</c:v>
                </c:pt>
                <c:pt idx="513">
                  <c:v>0.49707602339181284</c:v>
                </c:pt>
                <c:pt idx="514">
                  <c:v>0.50292397660818711</c:v>
                </c:pt>
                <c:pt idx="515">
                  <c:v>0.50877192982456143</c:v>
                </c:pt>
                <c:pt idx="516">
                  <c:v>0.51461988304093564</c:v>
                </c:pt>
                <c:pt idx="517">
                  <c:v>0.52046783625730997</c:v>
                </c:pt>
                <c:pt idx="518">
                  <c:v>0.52631578947368418</c:v>
                </c:pt>
                <c:pt idx="519">
                  <c:v>0.53216374269005851</c:v>
                </c:pt>
                <c:pt idx="520">
                  <c:v>0.53801169590643272</c:v>
                </c:pt>
                <c:pt idx="521">
                  <c:v>0.54385964912280704</c:v>
                </c:pt>
                <c:pt idx="522">
                  <c:v>0.54970760233918126</c:v>
                </c:pt>
                <c:pt idx="523">
                  <c:v>0.55555555555555558</c:v>
                </c:pt>
                <c:pt idx="524">
                  <c:v>0.56140350877192979</c:v>
                </c:pt>
                <c:pt idx="525">
                  <c:v>0.56725146198830412</c:v>
                </c:pt>
                <c:pt idx="526">
                  <c:v>0.57309941520467833</c:v>
                </c:pt>
                <c:pt idx="527">
                  <c:v>0.57894736842105265</c:v>
                </c:pt>
                <c:pt idx="528">
                  <c:v>0.58479532163742687</c:v>
                </c:pt>
                <c:pt idx="529">
                  <c:v>0.59064327485380119</c:v>
                </c:pt>
                <c:pt idx="530">
                  <c:v>0.59649122807017541</c:v>
                </c:pt>
                <c:pt idx="531">
                  <c:v>0.60233918128654973</c:v>
                </c:pt>
                <c:pt idx="532">
                  <c:v>0.60818713450292394</c:v>
                </c:pt>
                <c:pt idx="533">
                  <c:v>0.61403508771929827</c:v>
                </c:pt>
                <c:pt idx="534">
                  <c:v>0.61988304093567248</c:v>
                </c:pt>
                <c:pt idx="535">
                  <c:v>0.6257309941520468</c:v>
                </c:pt>
                <c:pt idx="536">
                  <c:v>0.63157894736842102</c:v>
                </c:pt>
                <c:pt idx="537">
                  <c:v>0.63742690058479534</c:v>
                </c:pt>
                <c:pt idx="538">
                  <c:v>0.64327485380116955</c:v>
                </c:pt>
                <c:pt idx="539">
                  <c:v>0.64912280701754388</c:v>
                </c:pt>
                <c:pt idx="540">
                  <c:v>0.65497076023391809</c:v>
                </c:pt>
                <c:pt idx="541">
                  <c:v>0.66081871345029242</c:v>
                </c:pt>
                <c:pt idx="542">
                  <c:v>0.66666666666666663</c:v>
                </c:pt>
                <c:pt idx="543">
                  <c:v>0.67251461988304095</c:v>
                </c:pt>
                <c:pt idx="544">
                  <c:v>0.67836257309941517</c:v>
                </c:pt>
                <c:pt idx="545">
                  <c:v>0.68421052631578949</c:v>
                </c:pt>
                <c:pt idx="546">
                  <c:v>0.6900584795321637</c:v>
                </c:pt>
                <c:pt idx="547">
                  <c:v>0.69590643274853803</c:v>
                </c:pt>
                <c:pt idx="548">
                  <c:v>0.70175438596491224</c:v>
                </c:pt>
                <c:pt idx="549">
                  <c:v>0.70760233918128657</c:v>
                </c:pt>
                <c:pt idx="550">
                  <c:v>0.71345029239766078</c:v>
                </c:pt>
                <c:pt idx="551">
                  <c:v>0.7192982456140351</c:v>
                </c:pt>
                <c:pt idx="552">
                  <c:v>0.72514619883040932</c:v>
                </c:pt>
                <c:pt idx="553">
                  <c:v>0.73099415204678364</c:v>
                </c:pt>
                <c:pt idx="554">
                  <c:v>0.73684210526315785</c:v>
                </c:pt>
                <c:pt idx="555">
                  <c:v>0.74269005847953218</c:v>
                </c:pt>
                <c:pt idx="556">
                  <c:v>0.74853801169590639</c:v>
                </c:pt>
                <c:pt idx="557">
                  <c:v>0.75438596491228072</c:v>
                </c:pt>
                <c:pt idx="558">
                  <c:v>0.76023391812865493</c:v>
                </c:pt>
                <c:pt idx="559">
                  <c:v>0.76608187134502925</c:v>
                </c:pt>
                <c:pt idx="560">
                  <c:v>0.77192982456140347</c:v>
                </c:pt>
                <c:pt idx="561">
                  <c:v>0.77777777777777779</c:v>
                </c:pt>
                <c:pt idx="562">
                  <c:v>0.783625730994152</c:v>
                </c:pt>
                <c:pt idx="563">
                  <c:v>0.78947368421052633</c:v>
                </c:pt>
                <c:pt idx="564">
                  <c:v>0.79532163742690054</c:v>
                </c:pt>
                <c:pt idx="565">
                  <c:v>0.80116959064327486</c:v>
                </c:pt>
                <c:pt idx="566">
                  <c:v>0.80116959064327486</c:v>
                </c:pt>
                <c:pt idx="567">
                  <c:v>0.80701754385964908</c:v>
                </c:pt>
                <c:pt idx="568">
                  <c:v>0.8128654970760234</c:v>
                </c:pt>
                <c:pt idx="569">
                  <c:v>0.81871345029239762</c:v>
                </c:pt>
                <c:pt idx="570">
                  <c:v>0.82456140350877194</c:v>
                </c:pt>
                <c:pt idx="571">
                  <c:v>0.83040935672514615</c:v>
                </c:pt>
                <c:pt idx="572">
                  <c:v>0.83625730994152048</c:v>
                </c:pt>
                <c:pt idx="573">
                  <c:v>0.84210526315789469</c:v>
                </c:pt>
                <c:pt idx="574">
                  <c:v>0.84795321637426901</c:v>
                </c:pt>
                <c:pt idx="575">
                  <c:v>0.85380116959064323</c:v>
                </c:pt>
                <c:pt idx="576">
                  <c:v>0.85964912280701755</c:v>
                </c:pt>
                <c:pt idx="577">
                  <c:v>0.86549707602339176</c:v>
                </c:pt>
                <c:pt idx="578">
                  <c:v>0.87134502923976609</c:v>
                </c:pt>
                <c:pt idx="579">
                  <c:v>0.8771929824561403</c:v>
                </c:pt>
                <c:pt idx="580">
                  <c:v>0.88304093567251463</c:v>
                </c:pt>
                <c:pt idx="581">
                  <c:v>0.88888888888888884</c:v>
                </c:pt>
                <c:pt idx="582">
                  <c:v>0.89473684210526316</c:v>
                </c:pt>
                <c:pt idx="583">
                  <c:v>0.90058479532163738</c:v>
                </c:pt>
                <c:pt idx="584">
                  <c:v>0.9064327485380117</c:v>
                </c:pt>
                <c:pt idx="585">
                  <c:v>0.91228070175438591</c:v>
                </c:pt>
                <c:pt idx="586">
                  <c:v>0.91812865497076024</c:v>
                </c:pt>
                <c:pt idx="587">
                  <c:v>0.92397660818713445</c:v>
                </c:pt>
                <c:pt idx="588">
                  <c:v>0.92982456140350878</c:v>
                </c:pt>
                <c:pt idx="589">
                  <c:v>0.93567251461988299</c:v>
                </c:pt>
                <c:pt idx="590">
                  <c:v>0.94152046783625731</c:v>
                </c:pt>
                <c:pt idx="591">
                  <c:v>0.94736842105263153</c:v>
                </c:pt>
                <c:pt idx="592">
                  <c:v>0.95321637426900585</c:v>
                </c:pt>
                <c:pt idx="593">
                  <c:v>0.95906432748538006</c:v>
                </c:pt>
                <c:pt idx="594">
                  <c:v>0.96491228070175439</c:v>
                </c:pt>
                <c:pt idx="595">
                  <c:v>0.9707602339181286</c:v>
                </c:pt>
                <c:pt idx="596">
                  <c:v>0.97660818713450293</c:v>
                </c:pt>
                <c:pt idx="597">
                  <c:v>0.98245614035087714</c:v>
                </c:pt>
                <c:pt idx="598">
                  <c:v>0.98830409356725146</c:v>
                </c:pt>
                <c:pt idx="599">
                  <c:v>0.99415204678362568</c:v>
                </c:pt>
                <c:pt idx="600">
                  <c:v>1</c:v>
                </c:pt>
              </c:numCache>
            </c:numRef>
          </c:xVal>
          <c:yVal>
            <c:numRef>
              <c:f>NNC_TrainingLiftChart!$CB$2:$CB$602</c:f>
              <c:numCache>
                <c:formatCode>General</c:formatCode>
                <c:ptCount val="6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5.8479532163742687E-3</c:v>
                </c:pt>
                <c:pt idx="32">
                  <c:v>5.8479532163742687E-3</c:v>
                </c:pt>
                <c:pt idx="33">
                  <c:v>1.1695906432748537E-2</c:v>
                </c:pt>
                <c:pt idx="34">
                  <c:v>1.1695906432748537E-2</c:v>
                </c:pt>
                <c:pt idx="35">
                  <c:v>1.1695906432748537E-2</c:v>
                </c:pt>
                <c:pt idx="36">
                  <c:v>1.1695906432748537E-2</c:v>
                </c:pt>
                <c:pt idx="37">
                  <c:v>1.1695906432748537E-2</c:v>
                </c:pt>
                <c:pt idx="38">
                  <c:v>1.1695906432748537E-2</c:v>
                </c:pt>
                <c:pt idx="39">
                  <c:v>1.1695906432748537E-2</c:v>
                </c:pt>
                <c:pt idx="40">
                  <c:v>1.1695906432748537E-2</c:v>
                </c:pt>
                <c:pt idx="41">
                  <c:v>1.1695906432748537E-2</c:v>
                </c:pt>
                <c:pt idx="42">
                  <c:v>1.1695906432748537E-2</c:v>
                </c:pt>
                <c:pt idx="43">
                  <c:v>1.1695906432748537E-2</c:v>
                </c:pt>
                <c:pt idx="44">
                  <c:v>1.1695906432748537E-2</c:v>
                </c:pt>
                <c:pt idx="45">
                  <c:v>1.1695906432748537E-2</c:v>
                </c:pt>
                <c:pt idx="46">
                  <c:v>1.1695906432748537E-2</c:v>
                </c:pt>
                <c:pt idx="47">
                  <c:v>1.1695906432748537E-2</c:v>
                </c:pt>
                <c:pt idx="48">
                  <c:v>1.1695906432748537E-2</c:v>
                </c:pt>
                <c:pt idx="49">
                  <c:v>1.1695906432748537E-2</c:v>
                </c:pt>
                <c:pt idx="50">
                  <c:v>1.1695906432748537E-2</c:v>
                </c:pt>
                <c:pt idx="51">
                  <c:v>1.1695906432748537E-2</c:v>
                </c:pt>
                <c:pt idx="52">
                  <c:v>1.1695906432748537E-2</c:v>
                </c:pt>
                <c:pt idx="53">
                  <c:v>1.1695906432748537E-2</c:v>
                </c:pt>
                <c:pt idx="54">
                  <c:v>1.1695906432748537E-2</c:v>
                </c:pt>
                <c:pt idx="55">
                  <c:v>1.1695906432748537E-2</c:v>
                </c:pt>
                <c:pt idx="56">
                  <c:v>1.1695906432748537E-2</c:v>
                </c:pt>
                <c:pt idx="57">
                  <c:v>1.1695906432748537E-2</c:v>
                </c:pt>
                <c:pt idx="58">
                  <c:v>1.1695906432748537E-2</c:v>
                </c:pt>
                <c:pt idx="59">
                  <c:v>1.1695906432748537E-2</c:v>
                </c:pt>
                <c:pt idx="60">
                  <c:v>1.1695906432748537E-2</c:v>
                </c:pt>
                <c:pt idx="61">
                  <c:v>1.1695906432748537E-2</c:v>
                </c:pt>
                <c:pt idx="62">
                  <c:v>1.1695906432748537E-2</c:v>
                </c:pt>
                <c:pt idx="63">
                  <c:v>1.7543859649122806E-2</c:v>
                </c:pt>
                <c:pt idx="64">
                  <c:v>1.7543859649122806E-2</c:v>
                </c:pt>
                <c:pt idx="65">
                  <c:v>1.7543859649122806E-2</c:v>
                </c:pt>
                <c:pt idx="66">
                  <c:v>1.7543859649122806E-2</c:v>
                </c:pt>
                <c:pt idx="67">
                  <c:v>1.7543859649122806E-2</c:v>
                </c:pt>
                <c:pt idx="68">
                  <c:v>1.7543859649122806E-2</c:v>
                </c:pt>
                <c:pt idx="69">
                  <c:v>1.7543859649122806E-2</c:v>
                </c:pt>
                <c:pt idx="70">
                  <c:v>1.7543859649122806E-2</c:v>
                </c:pt>
                <c:pt idx="71">
                  <c:v>1.7543859649122806E-2</c:v>
                </c:pt>
                <c:pt idx="72">
                  <c:v>1.7543859649122806E-2</c:v>
                </c:pt>
                <c:pt idx="73">
                  <c:v>1.7543859649122806E-2</c:v>
                </c:pt>
                <c:pt idx="74">
                  <c:v>1.7543859649122806E-2</c:v>
                </c:pt>
                <c:pt idx="75">
                  <c:v>1.7543859649122806E-2</c:v>
                </c:pt>
                <c:pt idx="76">
                  <c:v>1.7543859649122806E-2</c:v>
                </c:pt>
                <c:pt idx="77">
                  <c:v>1.7543859649122806E-2</c:v>
                </c:pt>
                <c:pt idx="78">
                  <c:v>1.7543859649122806E-2</c:v>
                </c:pt>
                <c:pt idx="79">
                  <c:v>1.7543859649122806E-2</c:v>
                </c:pt>
                <c:pt idx="80">
                  <c:v>1.7543859649122806E-2</c:v>
                </c:pt>
                <c:pt idx="81">
                  <c:v>1.7543859649122806E-2</c:v>
                </c:pt>
                <c:pt idx="82">
                  <c:v>1.7543859649122806E-2</c:v>
                </c:pt>
                <c:pt idx="83">
                  <c:v>2.3391812865497075E-2</c:v>
                </c:pt>
                <c:pt idx="84">
                  <c:v>2.3391812865497075E-2</c:v>
                </c:pt>
                <c:pt idx="85">
                  <c:v>2.3391812865497075E-2</c:v>
                </c:pt>
                <c:pt idx="86">
                  <c:v>2.3391812865497075E-2</c:v>
                </c:pt>
                <c:pt idx="87">
                  <c:v>2.3391812865497075E-2</c:v>
                </c:pt>
                <c:pt idx="88">
                  <c:v>2.3391812865497075E-2</c:v>
                </c:pt>
                <c:pt idx="89">
                  <c:v>2.3391812865497075E-2</c:v>
                </c:pt>
                <c:pt idx="90">
                  <c:v>2.3391812865497075E-2</c:v>
                </c:pt>
                <c:pt idx="91">
                  <c:v>2.3391812865497075E-2</c:v>
                </c:pt>
                <c:pt idx="92">
                  <c:v>2.3391812865497075E-2</c:v>
                </c:pt>
                <c:pt idx="93">
                  <c:v>2.3391812865497075E-2</c:v>
                </c:pt>
                <c:pt idx="94">
                  <c:v>2.3391812865497075E-2</c:v>
                </c:pt>
                <c:pt idx="95">
                  <c:v>2.3391812865497075E-2</c:v>
                </c:pt>
                <c:pt idx="96">
                  <c:v>2.3391812865497075E-2</c:v>
                </c:pt>
                <c:pt idx="97">
                  <c:v>2.3391812865497075E-2</c:v>
                </c:pt>
                <c:pt idx="98">
                  <c:v>2.3391812865497075E-2</c:v>
                </c:pt>
                <c:pt idx="99">
                  <c:v>2.3391812865497075E-2</c:v>
                </c:pt>
                <c:pt idx="100">
                  <c:v>2.9239766081871343E-2</c:v>
                </c:pt>
                <c:pt idx="101">
                  <c:v>2.9239766081871343E-2</c:v>
                </c:pt>
                <c:pt idx="102">
                  <c:v>2.9239766081871343E-2</c:v>
                </c:pt>
                <c:pt idx="103">
                  <c:v>2.9239766081871343E-2</c:v>
                </c:pt>
                <c:pt idx="104">
                  <c:v>2.9239766081871343E-2</c:v>
                </c:pt>
                <c:pt idx="105">
                  <c:v>2.9239766081871343E-2</c:v>
                </c:pt>
                <c:pt idx="106">
                  <c:v>2.9239766081871343E-2</c:v>
                </c:pt>
                <c:pt idx="107">
                  <c:v>2.9239766081871343E-2</c:v>
                </c:pt>
                <c:pt idx="108">
                  <c:v>2.9239766081871343E-2</c:v>
                </c:pt>
                <c:pt idx="109">
                  <c:v>2.9239766081871343E-2</c:v>
                </c:pt>
                <c:pt idx="110">
                  <c:v>2.9239766081871343E-2</c:v>
                </c:pt>
                <c:pt idx="111">
                  <c:v>2.9239766081871343E-2</c:v>
                </c:pt>
                <c:pt idx="112">
                  <c:v>2.9239766081871343E-2</c:v>
                </c:pt>
                <c:pt idx="113">
                  <c:v>2.9239766081871343E-2</c:v>
                </c:pt>
                <c:pt idx="114">
                  <c:v>2.9239766081871343E-2</c:v>
                </c:pt>
                <c:pt idx="115">
                  <c:v>2.9239766081871343E-2</c:v>
                </c:pt>
                <c:pt idx="116">
                  <c:v>2.9239766081871343E-2</c:v>
                </c:pt>
                <c:pt idx="117">
                  <c:v>2.9239766081871343E-2</c:v>
                </c:pt>
                <c:pt idx="118">
                  <c:v>2.9239766081871343E-2</c:v>
                </c:pt>
                <c:pt idx="119">
                  <c:v>2.9239766081871343E-2</c:v>
                </c:pt>
                <c:pt idx="120">
                  <c:v>2.9239766081871343E-2</c:v>
                </c:pt>
                <c:pt idx="121">
                  <c:v>3.5087719298245612E-2</c:v>
                </c:pt>
                <c:pt idx="122">
                  <c:v>3.5087719298245612E-2</c:v>
                </c:pt>
                <c:pt idx="123">
                  <c:v>3.5087719298245612E-2</c:v>
                </c:pt>
                <c:pt idx="124">
                  <c:v>3.5087719298245612E-2</c:v>
                </c:pt>
                <c:pt idx="125">
                  <c:v>3.5087719298245612E-2</c:v>
                </c:pt>
                <c:pt idx="126">
                  <c:v>3.5087719298245612E-2</c:v>
                </c:pt>
                <c:pt idx="127">
                  <c:v>3.5087719298245612E-2</c:v>
                </c:pt>
                <c:pt idx="128">
                  <c:v>3.5087719298245612E-2</c:v>
                </c:pt>
                <c:pt idx="129">
                  <c:v>3.5087719298245612E-2</c:v>
                </c:pt>
                <c:pt idx="130">
                  <c:v>3.5087719298245612E-2</c:v>
                </c:pt>
                <c:pt idx="131">
                  <c:v>3.5087719298245612E-2</c:v>
                </c:pt>
                <c:pt idx="132">
                  <c:v>3.5087719298245612E-2</c:v>
                </c:pt>
                <c:pt idx="133">
                  <c:v>3.5087719298245612E-2</c:v>
                </c:pt>
                <c:pt idx="134">
                  <c:v>3.5087719298245612E-2</c:v>
                </c:pt>
                <c:pt idx="135">
                  <c:v>3.5087719298245612E-2</c:v>
                </c:pt>
                <c:pt idx="136">
                  <c:v>3.5087719298245612E-2</c:v>
                </c:pt>
                <c:pt idx="137">
                  <c:v>3.5087719298245612E-2</c:v>
                </c:pt>
                <c:pt idx="138">
                  <c:v>3.5087719298245612E-2</c:v>
                </c:pt>
                <c:pt idx="139">
                  <c:v>3.5087719298245612E-2</c:v>
                </c:pt>
                <c:pt idx="140">
                  <c:v>3.5087719298245612E-2</c:v>
                </c:pt>
                <c:pt idx="141">
                  <c:v>3.5087719298245612E-2</c:v>
                </c:pt>
                <c:pt idx="142">
                  <c:v>3.5087719298245612E-2</c:v>
                </c:pt>
                <c:pt idx="143">
                  <c:v>3.5087719298245612E-2</c:v>
                </c:pt>
                <c:pt idx="144">
                  <c:v>3.5087719298245612E-2</c:v>
                </c:pt>
                <c:pt idx="145">
                  <c:v>3.5087719298245612E-2</c:v>
                </c:pt>
                <c:pt idx="146">
                  <c:v>3.5087719298245612E-2</c:v>
                </c:pt>
                <c:pt idx="147">
                  <c:v>3.5087719298245612E-2</c:v>
                </c:pt>
                <c:pt idx="148">
                  <c:v>3.5087719298245612E-2</c:v>
                </c:pt>
                <c:pt idx="149">
                  <c:v>3.5087719298245612E-2</c:v>
                </c:pt>
                <c:pt idx="150">
                  <c:v>3.5087719298245612E-2</c:v>
                </c:pt>
                <c:pt idx="151">
                  <c:v>3.5087719298245612E-2</c:v>
                </c:pt>
                <c:pt idx="152">
                  <c:v>3.5087719298245612E-2</c:v>
                </c:pt>
                <c:pt idx="153">
                  <c:v>3.5087719298245612E-2</c:v>
                </c:pt>
                <c:pt idx="154">
                  <c:v>3.5087719298245612E-2</c:v>
                </c:pt>
                <c:pt idx="155">
                  <c:v>3.5087719298245612E-2</c:v>
                </c:pt>
                <c:pt idx="156">
                  <c:v>3.5087719298245612E-2</c:v>
                </c:pt>
                <c:pt idx="157">
                  <c:v>3.5087719298245612E-2</c:v>
                </c:pt>
                <c:pt idx="158">
                  <c:v>3.5087719298245612E-2</c:v>
                </c:pt>
                <c:pt idx="159">
                  <c:v>3.5087719298245612E-2</c:v>
                </c:pt>
                <c:pt idx="160">
                  <c:v>3.5087719298245612E-2</c:v>
                </c:pt>
                <c:pt idx="161">
                  <c:v>3.5087719298245612E-2</c:v>
                </c:pt>
                <c:pt idx="162">
                  <c:v>3.5087719298245612E-2</c:v>
                </c:pt>
                <c:pt idx="163">
                  <c:v>3.5087719298245612E-2</c:v>
                </c:pt>
                <c:pt idx="164">
                  <c:v>3.5087719298245612E-2</c:v>
                </c:pt>
                <c:pt idx="165">
                  <c:v>3.5087719298245612E-2</c:v>
                </c:pt>
                <c:pt idx="166">
                  <c:v>4.0935672514619881E-2</c:v>
                </c:pt>
                <c:pt idx="167">
                  <c:v>4.0935672514619881E-2</c:v>
                </c:pt>
                <c:pt idx="168">
                  <c:v>4.0935672514619881E-2</c:v>
                </c:pt>
                <c:pt idx="169">
                  <c:v>4.0935672514619881E-2</c:v>
                </c:pt>
                <c:pt idx="170">
                  <c:v>4.0935672514619881E-2</c:v>
                </c:pt>
                <c:pt idx="171">
                  <c:v>4.0935672514619881E-2</c:v>
                </c:pt>
                <c:pt idx="172">
                  <c:v>4.0935672514619881E-2</c:v>
                </c:pt>
                <c:pt idx="173">
                  <c:v>4.0935672514619881E-2</c:v>
                </c:pt>
                <c:pt idx="174">
                  <c:v>4.0935672514619881E-2</c:v>
                </c:pt>
                <c:pt idx="175">
                  <c:v>4.0935672514619881E-2</c:v>
                </c:pt>
                <c:pt idx="176">
                  <c:v>4.0935672514619881E-2</c:v>
                </c:pt>
                <c:pt idx="177">
                  <c:v>4.0935672514619881E-2</c:v>
                </c:pt>
                <c:pt idx="178">
                  <c:v>4.0935672514619881E-2</c:v>
                </c:pt>
                <c:pt idx="179">
                  <c:v>4.0935672514619881E-2</c:v>
                </c:pt>
                <c:pt idx="180">
                  <c:v>4.0935672514619881E-2</c:v>
                </c:pt>
                <c:pt idx="181">
                  <c:v>4.0935672514619881E-2</c:v>
                </c:pt>
                <c:pt idx="182">
                  <c:v>4.0935672514619881E-2</c:v>
                </c:pt>
                <c:pt idx="183">
                  <c:v>4.0935672514619881E-2</c:v>
                </c:pt>
                <c:pt idx="184">
                  <c:v>4.0935672514619881E-2</c:v>
                </c:pt>
                <c:pt idx="185">
                  <c:v>4.0935672514619881E-2</c:v>
                </c:pt>
                <c:pt idx="186">
                  <c:v>4.0935672514619881E-2</c:v>
                </c:pt>
                <c:pt idx="187">
                  <c:v>4.0935672514619881E-2</c:v>
                </c:pt>
                <c:pt idx="188">
                  <c:v>4.0935672514619881E-2</c:v>
                </c:pt>
                <c:pt idx="189">
                  <c:v>4.0935672514619881E-2</c:v>
                </c:pt>
                <c:pt idx="190">
                  <c:v>4.0935672514619881E-2</c:v>
                </c:pt>
                <c:pt idx="191">
                  <c:v>4.0935672514619881E-2</c:v>
                </c:pt>
                <c:pt idx="192">
                  <c:v>4.0935672514619881E-2</c:v>
                </c:pt>
                <c:pt idx="193">
                  <c:v>4.0935672514619881E-2</c:v>
                </c:pt>
                <c:pt idx="194">
                  <c:v>4.0935672514619881E-2</c:v>
                </c:pt>
                <c:pt idx="195">
                  <c:v>4.0935672514619881E-2</c:v>
                </c:pt>
                <c:pt idx="196">
                  <c:v>4.0935672514619881E-2</c:v>
                </c:pt>
                <c:pt idx="197">
                  <c:v>4.0935672514619881E-2</c:v>
                </c:pt>
                <c:pt idx="198">
                  <c:v>4.0935672514619881E-2</c:v>
                </c:pt>
                <c:pt idx="199">
                  <c:v>4.0935672514619881E-2</c:v>
                </c:pt>
                <c:pt idx="200">
                  <c:v>4.0935672514619881E-2</c:v>
                </c:pt>
                <c:pt idx="201">
                  <c:v>4.0935672514619881E-2</c:v>
                </c:pt>
                <c:pt idx="202">
                  <c:v>4.0935672514619881E-2</c:v>
                </c:pt>
                <c:pt idx="203">
                  <c:v>4.0935672514619881E-2</c:v>
                </c:pt>
                <c:pt idx="204">
                  <c:v>4.0935672514619881E-2</c:v>
                </c:pt>
                <c:pt idx="205">
                  <c:v>4.0935672514619881E-2</c:v>
                </c:pt>
                <c:pt idx="206">
                  <c:v>4.0935672514619881E-2</c:v>
                </c:pt>
                <c:pt idx="207">
                  <c:v>4.0935672514619881E-2</c:v>
                </c:pt>
                <c:pt idx="208">
                  <c:v>4.0935672514619881E-2</c:v>
                </c:pt>
                <c:pt idx="209">
                  <c:v>4.0935672514619881E-2</c:v>
                </c:pt>
                <c:pt idx="210">
                  <c:v>4.0935672514619881E-2</c:v>
                </c:pt>
                <c:pt idx="211">
                  <c:v>4.0935672514619881E-2</c:v>
                </c:pt>
                <c:pt idx="212">
                  <c:v>4.0935672514619881E-2</c:v>
                </c:pt>
                <c:pt idx="213">
                  <c:v>4.0935672514619881E-2</c:v>
                </c:pt>
                <c:pt idx="214">
                  <c:v>4.0935672514619881E-2</c:v>
                </c:pt>
                <c:pt idx="215">
                  <c:v>4.0935672514619881E-2</c:v>
                </c:pt>
                <c:pt idx="216">
                  <c:v>4.0935672514619881E-2</c:v>
                </c:pt>
                <c:pt idx="217">
                  <c:v>4.0935672514619881E-2</c:v>
                </c:pt>
                <c:pt idx="218">
                  <c:v>4.0935672514619881E-2</c:v>
                </c:pt>
                <c:pt idx="219">
                  <c:v>4.0935672514619881E-2</c:v>
                </c:pt>
                <c:pt idx="220">
                  <c:v>4.0935672514619881E-2</c:v>
                </c:pt>
                <c:pt idx="221">
                  <c:v>4.0935672514619881E-2</c:v>
                </c:pt>
                <c:pt idx="222">
                  <c:v>4.0935672514619881E-2</c:v>
                </c:pt>
                <c:pt idx="223">
                  <c:v>4.0935672514619881E-2</c:v>
                </c:pt>
                <c:pt idx="224">
                  <c:v>4.0935672514619881E-2</c:v>
                </c:pt>
                <c:pt idx="225">
                  <c:v>4.0935672514619881E-2</c:v>
                </c:pt>
                <c:pt idx="226">
                  <c:v>4.0935672514619881E-2</c:v>
                </c:pt>
                <c:pt idx="227">
                  <c:v>4.0935672514619881E-2</c:v>
                </c:pt>
                <c:pt idx="228">
                  <c:v>4.6783625730994149E-2</c:v>
                </c:pt>
                <c:pt idx="229">
                  <c:v>4.6783625730994149E-2</c:v>
                </c:pt>
                <c:pt idx="230">
                  <c:v>4.6783625730994149E-2</c:v>
                </c:pt>
                <c:pt idx="231">
                  <c:v>4.6783625730994149E-2</c:v>
                </c:pt>
                <c:pt idx="232">
                  <c:v>4.6783625730994149E-2</c:v>
                </c:pt>
                <c:pt idx="233">
                  <c:v>4.6783625730994149E-2</c:v>
                </c:pt>
                <c:pt idx="234">
                  <c:v>4.6783625730994149E-2</c:v>
                </c:pt>
                <c:pt idx="235">
                  <c:v>4.6783625730994149E-2</c:v>
                </c:pt>
                <c:pt idx="236">
                  <c:v>4.6783625730994149E-2</c:v>
                </c:pt>
                <c:pt idx="237">
                  <c:v>4.6783625730994149E-2</c:v>
                </c:pt>
                <c:pt idx="238">
                  <c:v>4.6783625730994149E-2</c:v>
                </c:pt>
                <c:pt idx="239">
                  <c:v>4.6783625730994149E-2</c:v>
                </c:pt>
                <c:pt idx="240">
                  <c:v>4.6783625730994149E-2</c:v>
                </c:pt>
                <c:pt idx="241">
                  <c:v>4.6783625730994149E-2</c:v>
                </c:pt>
                <c:pt idx="242">
                  <c:v>4.6783625730994149E-2</c:v>
                </c:pt>
                <c:pt idx="243">
                  <c:v>4.6783625730994149E-2</c:v>
                </c:pt>
                <c:pt idx="244">
                  <c:v>5.2631578947368418E-2</c:v>
                </c:pt>
                <c:pt idx="245">
                  <c:v>5.2631578947368418E-2</c:v>
                </c:pt>
                <c:pt idx="246">
                  <c:v>5.2631578947368418E-2</c:v>
                </c:pt>
                <c:pt idx="247">
                  <c:v>5.2631578947368418E-2</c:v>
                </c:pt>
                <c:pt idx="248">
                  <c:v>5.2631578947368418E-2</c:v>
                </c:pt>
                <c:pt idx="249">
                  <c:v>5.2631578947368418E-2</c:v>
                </c:pt>
                <c:pt idx="250">
                  <c:v>5.2631578947368418E-2</c:v>
                </c:pt>
                <c:pt idx="251">
                  <c:v>5.2631578947368418E-2</c:v>
                </c:pt>
                <c:pt idx="252">
                  <c:v>5.2631578947368418E-2</c:v>
                </c:pt>
                <c:pt idx="253">
                  <c:v>5.2631578947368418E-2</c:v>
                </c:pt>
                <c:pt idx="254">
                  <c:v>5.2631578947368418E-2</c:v>
                </c:pt>
                <c:pt idx="255">
                  <c:v>5.2631578947368418E-2</c:v>
                </c:pt>
                <c:pt idx="256">
                  <c:v>5.2631578947368418E-2</c:v>
                </c:pt>
                <c:pt idx="257">
                  <c:v>5.2631578947368418E-2</c:v>
                </c:pt>
                <c:pt idx="258">
                  <c:v>5.2631578947368418E-2</c:v>
                </c:pt>
                <c:pt idx="259">
                  <c:v>5.2631578947368418E-2</c:v>
                </c:pt>
                <c:pt idx="260">
                  <c:v>5.2631578947368418E-2</c:v>
                </c:pt>
                <c:pt idx="261">
                  <c:v>5.2631578947368418E-2</c:v>
                </c:pt>
                <c:pt idx="262">
                  <c:v>5.2631578947368418E-2</c:v>
                </c:pt>
                <c:pt idx="263">
                  <c:v>5.2631578947368418E-2</c:v>
                </c:pt>
                <c:pt idx="264">
                  <c:v>5.2631578947368418E-2</c:v>
                </c:pt>
                <c:pt idx="265">
                  <c:v>5.2631578947368418E-2</c:v>
                </c:pt>
                <c:pt idx="266">
                  <c:v>5.2631578947368418E-2</c:v>
                </c:pt>
                <c:pt idx="267">
                  <c:v>5.2631578947368418E-2</c:v>
                </c:pt>
                <c:pt idx="268">
                  <c:v>5.2631578947368418E-2</c:v>
                </c:pt>
                <c:pt idx="269">
                  <c:v>5.2631578947368418E-2</c:v>
                </c:pt>
                <c:pt idx="270">
                  <c:v>5.2631578947368418E-2</c:v>
                </c:pt>
                <c:pt idx="271">
                  <c:v>5.2631578947368418E-2</c:v>
                </c:pt>
                <c:pt idx="272">
                  <c:v>5.2631578947368418E-2</c:v>
                </c:pt>
                <c:pt idx="273">
                  <c:v>5.2631578947368418E-2</c:v>
                </c:pt>
                <c:pt idx="274">
                  <c:v>5.2631578947368418E-2</c:v>
                </c:pt>
                <c:pt idx="275">
                  <c:v>5.2631578947368418E-2</c:v>
                </c:pt>
                <c:pt idx="276">
                  <c:v>5.2631578947368418E-2</c:v>
                </c:pt>
                <c:pt idx="277">
                  <c:v>5.2631578947368418E-2</c:v>
                </c:pt>
                <c:pt idx="278">
                  <c:v>5.2631578947368418E-2</c:v>
                </c:pt>
                <c:pt idx="279">
                  <c:v>5.2631578947368418E-2</c:v>
                </c:pt>
                <c:pt idx="280">
                  <c:v>5.2631578947368418E-2</c:v>
                </c:pt>
                <c:pt idx="281">
                  <c:v>5.2631578947368418E-2</c:v>
                </c:pt>
                <c:pt idx="282">
                  <c:v>5.2631578947368418E-2</c:v>
                </c:pt>
                <c:pt idx="283">
                  <c:v>5.2631578947368418E-2</c:v>
                </c:pt>
                <c:pt idx="284">
                  <c:v>5.2631578947368418E-2</c:v>
                </c:pt>
                <c:pt idx="285">
                  <c:v>5.2631578947368418E-2</c:v>
                </c:pt>
                <c:pt idx="286">
                  <c:v>5.2631578947368418E-2</c:v>
                </c:pt>
                <c:pt idx="287">
                  <c:v>5.2631578947368418E-2</c:v>
                </c:pt>
                <c:pt idx="288">
                  <c:v>5.2631578947368418E-2</c:v>
                </c:pt>
                <c:pt idx="289">
                  <c:v>5.2631578947368418E-2</c:v>
                </c:pt>
                <c:pt idx="290">
                  <c:v>5.2631578947368418E-2</c:v>
                </c:pt>
                <c:pt idx="291">
                  <c:v>5.2631578947368418E-2</c:v>
                </c:pt>
                <c:pt idx="292">
                  <c:v>5.2631578947368418E-2</c:v>
                </c:pt>
                <c:pt idx="293">
                  <c:v>5.2631578947368418E-2</c:v>
                </c:pt>
                <c:pt idx="294">
                  <c:v>5.2631578947368418E-2</c:v>
                </c:pt>
                <c:pt idx="295">
                  <c:v>5.2631578947368418E-2</c:v>
                </c:pt>
                <c:pt idx="296">
                  <c:v>5.2631578947368418E-2</c:v>
                </c:pt>
                <c:pt idx="297">
                  <c:v>5.2631578947368418E-2</c:v>
                </c:pt>
                <c:pt idx="298">
                  <c:v>5.2631578947368418E-2</c:v>
                </c:pt>
                <c:pt idx="299">
                  <c:v>5.2631578947368418E-2</c:v>
                </c:pt>
                <c:pt idx="300">
                  <c:v>5.2631578947368418E-2</c:v>
                </c:pt>
                <c:pt idx="301">
                  <c:v>5.2631578947368418E-2</c:v>
                </c:pt>
                <c:pt idx="302">
                  <c:v>5.2631578947368418E-2</c:v>
                </c:pt>
                <c:pt idx="303">
                  <c:v>5.2631578947368418E-2</c:v>
                </c:pt>
                <c:pt idx="304">
                  <c:v>5.2631578947368418E-2</c:v>
                </c:pt>
                <c:pt idx="305">
                  <c:v>5.2631578947368418E-2</c:v>
                </c:pt>
                <c:pt idx="306">
                  <c:v>5.2631578947368418E-2</c:v>
                </c:pt>
                <c:pt idx="307">
                  <c:v>5.2631578947368418E-2</c:v>
                </c:pt>
                <c:pt idx="308">
                  <c:v>5.2631578947368418E-2</c:v>
                </c:pt>
                <c:pt idx="309">
                  <c:v>5.2631578947368418E-2</c:v>
                </c:pt>
                <c:pt idx="310">
                  <c:v>5.2631578947368418E-2</c:v>
                </c:pt>
                <c:pt idx="311">
                  <c:v>5.2631578947368418E-2</c:v>
                </c:pt>
                <c:pt idx="312">
                  <c:v>5.2631578947368418E-2</c:v>
                </c:pt>
                <c:pt idx="313">
                  <c:v>5.2631578947368418E-2</c:v>
                </c:pt>
                <c:pt idx="314">
                  <c:v>5.2631578947368418E-2</c:v>
                </c:pt>
                <c:pt idx="315">
                  <c:v>5.2631578947368418E-2</c:v>
                </c:pt>
                <c:pt idx="316">
                  <c:v>5.2631578947368418E-2</c:v>
                </c:pt>
                <c:pt idx="317">
                  <c:v>5.2631578947368418E-2</c:v>
                </c:pt>
                <c:pt idx="318">
                  <c:v>5.2631578947368418E-2</c:v>
                </c:pt>
                <c:pt idx="319">
                  <c:v>5.2631578947368418E-2</c:v>
                </c:pt>
                <c:pt idx="320">
                  <c:v>5.2631578947368418E-2</c:v>
                </c:pt>
                <c:pt idx="321">
                  <c:v>5.2631578947368418E-2</c:v>
                </c:pt>
                <c:pt idx="322">
                  <c:v>5.2631578947368418E-2</c:v>
                </c:pt>
                <c:pt idx="323">
                  <c:v>5.2631578947368418E-2</c:v>
                </c:pt>
                <c:pt idx="324">
                  <c:v>5.2631578947368418E-2</c:v>
                </c:pt>
                <c:pt idx="325">
                  <c:v>5.2631578947368418E-2</c:v>
                </c:pt>
                <c:pt idx="326">
                  <c:v>5.2631578947368418E-2</c:v>
                </c:pt>
                <c:pt idx="327">
                  <c:v>5.2631578947368418E-2</c:v>
                </c:pt>
                <c:pt idx="328">
                  <c:v>5.2631578947368418E-2</c:v>
                </c:pt>
                <c:pt idx="329">
                  <c:v>5.2631578947368418E-2</c:v>
                </c:pt>
                <c:pt idx="330">
                  <c:v>5.2631578947368418E-2</c:v>
                </c:pt>
                <c:pt idx="331">
                  <c:v>5.2631578947368418E-2</c:v>
                </c:pt>
                <c:pt idx="332">
                  <c:v>5.2631578947368418E-2</c:v>
                </c:pt>
                <c:pt idx="333">
                  <c:v>5.2631578947368418E-2</c:v>
                </c:pt>
                <c:pt idx="334">
                  <c:v>5.2631578947368418E-2</c:v>
                </c:pt>
                <c:pt idx="335">
                  <c:v>5.2631578947368418E-2</c:v>
                </c:pt>
                <c:pt idx="336">
                  <c:v>5.2631578947368418E-2</c:v>
                </c:pt>
                <c:pt idx="337">
                  <c:v>5.2631578947368418E-2</c:v>
                </c:pt>
                <c:pt idx="338">
                  <c:v>5.2631578947368418E-2</c:v>
                </c:pt>
                <c:pt idx="339">
                  <c:v>5.2631578947368418E-2</c:v>
                </c:pt>
                <c:pt idx="340">
                  <c:v>5.2631578947368418E-2</c:v>
                </c:pt>
                <c:pt idx="341">
                  <c:v>5.2631578947368418E-2</c:v>
                </c:pt>
                <c:pt idx="342">
                  <c:v>5.2631578947368418E-2</c:v>
                </c:pt>
                <c:pt idx="343">
                  <c:v>5.2631578947368418E-2</c:v>
                </c:pt>
                <c:pt idx="344">
                  <c:v>5.2631578947368418E-2</c:v>
                </c:pt>
                <c:pt idx="345">
                  <c:v>5.2631578947368418E-2</c:v>
                </c:pt>
                <c:pt idx="346">
                  <c:v>5.2631578947368418E-2</c:v>
                </c:pt>
                <c:pt idx="347">
                  <c:v>5.2631578947368418E-2</c:v>
                </c:pt>
                <c:pt idx="348">
                  <c:v>5.2631578947368418E-2</c:v>
                </c:pt>
                <c:pt idx="349">
                  <c:v>5.2631578947368418E-2</c:v>
                </c:pt>
                <c:pt idx="350">
                  <c:v>5.2631578947368418E-2</c:v>
                </c:pt>
                <c:pt idx="351">
                  <c:v>5.2631578947368418E-2</c:v>
                </c:pt>
                <c:pt idx="352">
                  <c:v>5.2631578947368418E-2</c:v>
                </c:pt>
                <c:pt idx="353">
                  <c:v>5.2631578947368418E-2</c:v>
                </c:pt>
                <c:pt idx="354">
                  <c:v>5.2631578947368418E-2</c:v>
                </c:pt>
                <c:pt idx="355">
                  <c:v>5.2631578947368418E-2</c:v>
                </c:pt>
                <c:pt idx="356">
                  <c:v>5.2631578947368418E-2</c:v>
                </c:pt>
                <c:pt idx="357">
                  <c:v>5.2631578947368418E-2</c:v>
                </c:pt>
                <c:pt idx="358">
                  <c:v>5.2631578947368418E-2</c:v>
                </c:pt>
                <c:pt idx="359">
                  <c:v>5.2631578947368418E-2</c:v>
                </c:pt>
                <c:pt idx="360">
                  <c:v>5.2631578947368418E-2</c:v>
                </c:pt>
                <c:pt idx="361">
                  <c:v>5.2631578947368418E-2</c:v>
                </c:pt>
                <c:pt idx="362">
                  <c:v>5.2631578947368418E-2</c:v>
                </c:pt>
                <c:pt idx="363">
                  <c:v>5.2631578947368418E-2</c:v>
                </c:pt>
                <c:pt idx="364">
                  <c:v>5.2631578947368418E-2</c:v>
                </c:pt>
                <c:pt idx="365">
                  <c:v>5.2631578947368418E-2</c:v>
                </c:pt>
                <c:pt idx="366">
                  <c:v>5.2631578947368418E-2</c:v>
                </c:pt>
                <c:pt idx="367">
                  <c:v>5.2631578947368418E-2</c:v>
                </c:pt>
                <c:pt idx="368">
                  <c:v>5.2631578947368418E-2</c:v>
                </c:pt>
                <c:pt idx="369">
                  <c:v>5.2631578947368418E-2</c:v>
                </c:pt>
                <c:pt idx="370">
                  <c:v>5.2631578947368418E-2</c:v>
                </c:pt>
                <c:pt idx="371">
                  <c:v>5.2631578947368418E-2</c:v>
                </c:pt>
                <c:pt idx="372">
                  <c:v>5.2631578947368418E-2</c:v>
                </c:pt>
                <c:pt idx="373">
                  <c:v>5.2631578947368418E-2</c:v>
                </c:pt>
                <c:pt idx="374">
                  <c:v>5.2631578947368418E-2</c:v>
                </c:pt>
                <c:pt idx="375">
                  <c:v>5.2631578947368418E-2</c:v>
                </c:pt>
                <c:pt idx="376">
                  <c:v>5.2631578947368418E-2</c:v>
                </c:pt>
                <c:pt idx="377">
                  <c:v>5.2631578947368418E-2</c:v>
                </c:pt>
                <c:pt idx="378">
                  <c:v>5.2631578947368418E-2</c:v>
                </c:pt>
                <c:pt idx="379">
                  <c:v>5.2631578947368418E-2</c:v>
                </c:pt>
                <c:pt idx="380">
                  <c:v>5.2631578947368418E-2</c:v>
                </c:pt>
                <c:pt idx="381">
                  <c:v>5.2631578947368418E-2</c:v>
                </c:pt>
                <c:pt idx="382">
                  <c:v>5.2631578947368418E-2</c:v>
                </c:pt>
                <c:pt idx="383">
                  <c:v>5.2631578947368418E-2</c:v>
                </c:pt>
                <c:pt idx="384">
                  <c:v>5.2631578947368418E-2</c:v>
                </c:pt>
                <c:pt idx="385">
                  <c:v>5.2631578947368418E-2</c:v>
                </c:pt>
                <c:pt idx="386">
                  <c:v>5.2631578947368418E-2</c:v>
                </c:pt>
                <c:pt idx="387">
                  <c:v>5.2631578947368418E-2</c:v>
                </c:pt>
                <c:pt idx="388">
                  <c:v>5.2631578947368418E-2</c:v>
                </c:pt>
                <c:pt idx="389">
                  <c:v>5.2631578947368418E-2</c:v>
                </c:pt>
                <c:pt idx="390">
                  <c:v>5.2631578947368418E-2</c:v>
                </c:pt>
                <c:pt idx="391">
                  <c:v>5.2631578947368418E-2</c:v>
                </c:pt>
                <c:pt idx="392">
                  <c:v>5.2631578947368418E-2</c:v>
                </c:pt>
                <c:pt idx="393">
                  <c:v>5.2631578947368418E-2</c:v>
                </c:pt>
                <c:pt idx="394">
                  <c:v>5.2631578947368418E-2</c:v>
                </c:pt>
                <c:pt idx="395">
                  <c:v>5.2631578947368418E-2</c:v>
                </c:pt>
                <c:pt idx="396">
                  <c:v>5.2631578947368418E-2</c:v>
                </c:pt>
                <c:pt idx="397">
                  <c:v>5.2631578947368418E-2</c:v>
                </c:pt>
                <c:pt idx="398">
                  <c:v>5.2631578947368418E-2</c:v>
                </c:pt>
                <c:pt idx="399">
                  <c:v>5.2631578947368418E-2</c:v>
                </c:pt>
                <c:pt idx="400">
                  <c:v>5.2631578947368418E-2</c:v>
                </c:pt>
                <c:pt idx="401">
                  <c:v>5.2631578947368418E-2</c:v>
                </c:pt>
                <c:pt idx="402">
                  <c:v>5.2631578947368418E-2</c:v>
                </c:pt>
                <c:pt idx="403">
                  <c:v>5.2631578947368418E-2</c:v>
                </c:pt>
                <c:pt idx="404">
                  <c:v>5.2631578947368418E-2</c:v>
                </c:pt>
                <c:pt idx="405">
                  <c:v>5.2631578947368418E-2</c:v>
                </c:pt>
                <c:pt idx="406">
                  <c:v>5.2631578947368418E-2</c:v>
                </c:pt>
                <c:pt idx="407">
                  <c:v>5.2631578947368418E-2</c:v>
                </c:pt>
                <c:pt idx="408">
                  <c:v>5.2631578947368418E-2</c:v>
                </c:pt>
                <c:pt idx="409">
                  <c:v>5.2631578947368418E-2</c:v>
                </c:pt>
                <c:pt idx="410">
                  <c:v>5.2631578947368418E-2</c:v>
                </c:pt>
                <c:pt idx="411">
                  <c:v>5.2631578947368418E-2</c:v>
                </c:pt>
                <c:pt idx="412">
                  <c:v>5.2631578947368418E-2</c:v>
                </c:pt>
                <c:pt idx="413">
                  <c:v>5.2631578947368418E-2</c:v>
                </c:pt>
                <c:pt idx="414">
                  <c:v>5.2631578947368418E-2</c:v>
                </c:pt>
                <c:pt idx="415">
                  <c:v>5.2631578947368418E-2</c:v>
                </c:pt>
                <c:pt idx="416">
                  <c:v>5.2631578947368418E-2</c:v>
                </c:pt>
                <c:pt idx="417">
                  <c:v>5.2631578947368418E-2</c:v>
                </c:pt>
                <c:pt idx="418">
                  <c:v>5.2631578947368418E-2</c:v>
                </c:pt>
                <c:pt idx="419">
                  <c:v>5.2631578947368418E-2</c:v>
                </c:pt>
                <c:pt idx="420">
                  <c:v>5.2631578947368418E-2</c:v>
                </c:pt>
                <c:pt idx="421">
                  <c:v>5.2631578947368418E-2</c:v>
                </c:pt>
                <c:pt idx="422">
                  <c:v>5.2631578947368418E-2</c:v>
                </c:pt>
                <c:pt idx="423">
                  <c:v>5.8479532163742687E-2</c:v>
                </c:pt>
                <c:pt idx="424">
                  <c:v>5.8479532163742687E-2</c:v>
                </c:pt>
                <c:pt idx="425">
                  <c:v>5.8479532163742687E-2</c:v>
                </c:pt>
                <c:pt idx="426">
                  <c:v>5.8479532163742687E-2</c:v>
                </c:pt>
                <c:pt idx="427">
                  <c:v>5.8479532163742687E-2</c:v>
                </c:pt>
                <c:pt idx="428">
                  <c:v>5.8479532163742687E-2</c:v>
                </c:pt>
                <c:pt idx="429">
                  <c:v>5.8479532163742687E-2</c:v>
                </c:pt>
                <c:pt idx="430">
                  <c:v>5.8479532163742687E-2</c:v>
                </c:pt>
                <c:pt idx="431">
                  <c:v>5.8479532163742687E-2</c:v>
                </c:pt>
                <c:pt idx="432">
                  <c:v>5.8479532163742687E-2</c:v>
                </c:pt>
                <c:pt idx="433">
                  <c:v>5.8479532163742687E-2</c:v>
                </c:pt>
                <c:pt idx="434">
                  <c:v>5.8479532163742687E-2</c:v>
                </c:pt>
                <c:pt idx="435">
                  <c:v>5.8479532163742687E-2</c:v>
                </c:pt>
                <c:pt idx="436">
                  <c:v>5.8479532163742687E-2</c:v>
                </c:pt>
                <c:pt idx="437">
                  <c:v>5.8479532163742687E-2</c:v>
                </c:pt>
                <c:pt idx="438">
                  <c:v>6.4327485380116955E-2</c:v>
                </c:pt>
                <c:pt idx="439">
                  <c:v>7.0175438596491224E-2</c:v>
                </c:pt>
                <c:pt idx="440">
                  <c:v>7.6023391812865493E-2</c:v>
                </c:pt>
                <c:pt idx="441">
                  <c:v>8.1871345029239762E-2</c:v>
                </c:pt>
                <c:pt idx="442">
                  <c:v>8.771929824561403E-2</c:v>
                </c:pt>
                <c:pt idx="443">
                  <c:v>9.3567251461988299E-2</c:v>
                </c:pt>
                <c:pt idx="444">
                  <c:v>9.9415204678362568E-2</c:v>
                </c:pt>
                <c:pt idx="445">
                  <c:v>0.10526315789473684</c:v>
                </c:pt>
                <c:pt idx="446">
                  <c:v>0.1111111111111111</c:v>
                </c:pt>
                <c:pt idx="447">
                  <c:v>0.11695906432748537</c:v>
                </c:pt>
                <c:pt idx="448">
                  <c:v>0.12280701754385964</c:v>
                </c:pt>
                <c:pt idx="449">
                  <c:v>0.12865497076023391</c:v>
                </c:pt>
                <c:pt idx="450">
                  <c:v>0.13450292397660818</c:v>
                </c:pt>
                <c:pt idx="451">
                  <c:v>0.14035087719298245</c:v>
                </c:pt>
                <c:pt idx="452">
                  <c:v>0.14619883040935672</c:v>
                </c:pt>
                <c:pt idx="453">
                  <c:v>0.15204678362573099</c:v>
                </c:pt>
                <c:pt idx="454">
                  <c:v>0.15789473684210525</c:v>
                </c:pt>
                <c:pt idx="455">
                  <c:v>0.16374269005847952</c:v>
                </c:pt>
                <c:pt idx="456">
                  <c:v>0.16959064327485379</c:v>
                </c:pt>
                <c:pt idx="457">
                  <c:v>0.17543859649122806</c:v>
                </c:pt>
                <c:pt idx="458">
                  <c:v>0.18128654970760233</c:v>
                </c:pt>
                <c:pt idx="459">
                  <c:v>0.1871345029239766</c:v>
                </c:pt>
                <c:pt idx="460">
                  <c:v>0.19298245614035087</c:v>
                </c:pt>
                <c:pt idx="461">
                  <c:v>0.19883040935672514</c:v>
                </c:pt>
                <c:pt idx="462">
                  <c:v>0.2046783625730994</c:v>
                </c:pt>
                <c:pt idx="463">
                  <c:v>0.21052631578947367</c:v>
                </c:pt>
                <c:pt idx="464">
                  <c:v>0.21637426900584794</c:v>
                </c:pt>
                <c:pt idx="465">
                  <c:v>0.22222222222222221</c:v>
                </c:pt>
                <c:pt idx="466">
                  <c:v>0.22807017543859648</c:v>
                </c:pt>
                <c:pt idx="467">
                  <c:v>0.23391812865497075</c:v>
                </c:pt>
                <c:pt idx="468">
                  <c:v>0.23976608187134502</c:v>
                </c:pt>
                <c:pt idx="469">
                  <c:v>0.24561403508771928</c:v>
                </c:pt>
                <c:pt idx="470">
                  <c:v>0.25146198830409355</c:v>
                </c:pt>
                <c:pt idx="471">
                  <c:v>0.25730994152046782</c:v>
                </c:pt>
                <c:pt idx="472">
                  <c:v>0.26315789473684209</c:v>
                </c:pt>
                <c:pt idx="473">
                  <c:v>0.26900584795321636</c:v>
                </c:pt>
                <c:pt idx="474">
                  <c:v>0.27485380116959063</c:v>
                </c:pt>
                <c:pt idx="475">
                  <c:v>0.2807017543859649</c:v>
                </c:pt>
                <c:pt idx="476">
                  <c:v>0.28654970760233917</c:v>
                </c:pt>
                <c:pt idx="477">
                  <c:v>0.29239766081871343</c:v>
                </c:pt>
                <c:pt idx="478">
                  <c:v>0.2982456140350877</c:v>
                </c:pt>
                <c:pt idx="479">
                  <c:v>0.30409356725146197</c:v>
                </c:pt>
                <c:pt idx="480">
                  <c:v>0.30994152046783624</c:v>
                </c:pt>
                <c:pt idx="481">
                  <c:v>0.31578947368421051</c:v>
                </c:pt>
                <c:pt idx="482">
                  <c:v>0.32163742690058478</c:v>
                </c:pt>
                <c:pt idx="483">
                  <c:v>0.32748538011695905</c:v>
                </c:pt>
                <c:pt idx="484">
                  <c:v>0.33333333333333331</c:v>
                </c:pt>
                <c:pt idx="485">
                  <c:v>0.33918128654970758</c:v>
                </c:pt>
                <c:pt idx="486">
                  <c:v>0.34502923976608185</c:v>
                </c:pt>
                <c:pt idx="487">
                  <c:v>0.35087719298245612</c:v>
                </c:pt>
                <c:pt idx="488">
                  <c:v>0.35672514619883039</c:v>
                </c:pt>
                <c:pt idx="489">
                  <c:v>0.36257309941520466</c:v>
                </c:pt>
                <c:pt idx="490">
                  <c:v>0.36842105263157893</c:v>
                </c:pt>
                <c:pt idx="491">
                  <c:v>0.3742690058479532</c:v>
                </c:pt>
                <c:pt idx="492">
                  <c:v>0.38011695906432746</c:v>
                </c:pt>
                <c:pt idx="493">
                  <c:v>0.38596491228070173</c:v>
                </c:pt>
                <c:pt idx="494">
                  <c:v>0.391812865497076</c:v>
                </c:pt>
                <c:pt idx="495">
                  <c:v>0.39766081871345027</c:v>
                </c:pt>
                <c:pt idx="496">
                  <c:v>0.40350877192982454</c:v>
                </c:pt>
                <c:pt idx="497">
                  <c:v>0.40935672514619881</c:v>
                </c:pt>
                <c:pt idx="498">
                  <c:v>0.41520467836257308</c:v>
                </c:pt>
                <c:pt idx="499">
                  <c:v>0.42105263157894735</c:v>
                </c:pt>
                <c:pt idx="500">
                  <c:v>0.42690058479532161</c:v>
                </c:pt>
                <c:pt idx="501">
                  <c:v>0.43274853801169588</c:v>
                </c:pt>
                <c:pt idx="502">
                  <c:v>0.43859649122807015</c:v>
                </c:pt>
                <c:pt idx="503">
                  <c:v>0.43859649122807015</c:v>
                </c:pt>
                <c:pt idx="504">
                  <c:v>0.44444444444444442</c:v>
                </c:pt>
                <c:pt idx="505">
                  <c:v>0.45029239766081869</c:v>
                </c:pt>
                <c:pt idx="506">
                  <c:v>0.45614035087719296</c:v>
                </c:pt>
                <c:pt idx="507">
                  <c:v>0.46198830409356723</c:v>
                </c:pt>
                <c:pt idx="508">
                  <c:v>0.46783625730994149</c:v>
                </c:pt>
                <c:pt idx="509">
                  <c:v>0.47368421052631576</c:v>
                </c:pt>
                <c:pt idx="510">
                  <c:v>0.47953216374269003</c:v>
                </c:pt>
                <c:pt idx="511">
                  <c:v>0.4853801169590643</c:v>
                </c:pt>
                <c:pt idx="512">
                  <c:v>0.49122807017543857</c:v>
                </c:pt>
                <c:pt idx="513">
                  <c:v>0.49707602339181284</c:v>
                </c:pt>
                <c:pt idx="514">
                  <c:v>0.50292397660818711</c:v>
                </c:pt>
                <c:pt idx="515">
                  <c:v>0.50877192982456143</c:v>
                </c:pt>
                <c:pt idx="516">
                  <c:v>0.51461988304093564</c:v>
                </c:pt>
                <c:pt idx="517">
                  <c:v>0.52046783625730997</c:v>
                </c:pt>
                <c:pt idx="518">
                  <c:v>0.52631578947368418</c:v>
                </c:pt>
                <c:pt idx="519">
                  <c:v>0.53216374269005851</c:v>
                </c:pt>
                <c:pt idx="520">
                  <c:v>0.53801169590643272</c:v>
                </c:pt>
                <c:pt idx="521">
                  <c:v>0.54385964912280704</c:v>
                </c:pt>
                <c:pt idx="522">
                  <c:v>0.54970760233918126</c:v>
                </c:pt>
                <c:pt idx="523">
                  <c:v>0.55555555555555558</c:v>
                </c:pt>
                <c:pt idx="524">
                  <c:v>0.56140350877192979</c:v>
                </c:pt>
                <c:pt idx="525">
                  <c:v>0.56725146198830412</c:v>
                </c:pt>
                <c:pt idx="526">
                  <c:v>0.57309941520467833</c:v>
                </c:pt>
                <c:pt idx="527">
                  <c:v>0.57894736842105265</c:v>
                </c:pt>
                <c:pt idx="528">
                  <c:v>0.58479532163742687</c:v>
                </c:pt>
                <c:pt idx="529">
                  <c:v>0.59064327485380119</c:v>
                </c:pt>
                <c:pt idx="530">
                  <c:v>0.59649122807017541</c:v>
                </c:pt>
                <c:pt idx="531">
                  <c:v>0.60233918128654973</c:v>
                </c:pt>
                <c:pt idx="532">
                  <c:v>0.60818713450292394</c:v>
                </c:pt>
                <c:pt idx="533">
                  <c:v>0.61403508771929827</c:v>
                </c:pt>
                <c:pt idx="534">
                  <c:v>0.61988304093567248</c:v>
                </c:pt>
                <c:pt idx="535">
                  <c:v>0.6257309941520468</c:v>
                </c:pt>
                <c:pt idx="536">
                  <c:v>0.63157894736842102</c:v>
                </c:pt>
                <c:pt idx="537">
                  <c:v>0.63742690058479534</c:v>
                </c:pt>
                <c:pt idx="538">
                  <c:v>0.64327485380116955</c:v>
                </c:pt>
                <c:pt idx="539">
                  <c:v>0.64912280701754388</c:v>
                </c:pt>
                <c:pt idx="540">
                  <c:v>0.65497076023391809</c:v>
                </c:pt>
                <c:pt idx="541">
                  <c:v>0.66081871345029242</c:v>
                </c:pt>
                <c:pt idx="542">
                  <c:v>0.66666666666666663</c:v>
                </c:pt>
                <c:pt idx="543">
                  <c:v>0.67251461988304095</c:v>
                </c:pt>
                <c:pt idx="544">
                  <c:v>0.67836257309941517</c:v>
                </c:pt>
                <c:pt idx="545">
                  <c:v>0.68421052631578949</c:v>
                </c:pt>
                <c:pt idx="546">
                  <c:v>0.6900584795321637</c:v>
                </c:pt>
                <c:pt idx="547">
                  <c:v>0.69590643274853803</c:v>
                </c:pt>
                <c:pt idx="548">
                  <c:v>0.70175438596491224</c:v>
                </c:pt>
                <c:pt idx="549">
                  <c:v>0.70760233918128657</c:v>
                </c:pt>
                <c:pt idx="550">
                  <c:v>0.71345029239766078</c:v>
                </c:pt>
                <c:pt idx="551">
                  <c:v>0.7192982456140351</c:v>
                </c:pt>
                <c:pt idx="552">
                  <c:v>0.72514619883040932</c:v>
                </c:pt>
                <c:pt idx="553">
                  <c:v>0.73099415204678364</c:v>
                </c:pt>
                <c:pt idx="554">
                  <c:v>0.73684210526315785</c:v>
                </c:pt>
                <c:pt idx="555">
                  <c:v>0.74269005847953218</c:v>
                </c:pt>
                <c:pt idx="556">
                  <c:v>0.74853801169590639</c:v>
                </c:pt>
                <c:pt idx="557">
                  <c:v>0.75438596491228072</c:v>
                </c:pt>
                <c:pt idx="558">
                  <c:v>0.76023391812865493</c:v>
                </c:pt>
                <c:pt idx="559">
                  <c:v>0.76608187134502925</c:v>
                </c:pt>
                <c:pt idx="560">
                  <c:v>0.77192982456140347</c:v>
                </c:pt>
                <c:pt idx="561">
                  <c:v>0.77777777777777779</c:v>
                </c:pt>
                <c:pt idx="562">
                  <c:v>0.783625730994152</c:v>
                </c:pt>
                <c:pt idx="563">
                  <c:v>0.78947368421052633</c:v>
                </c:pt>
                <c:pt idx="564">
                  <c:v>0.79532163742690054</c:v>
                </c:pt>
                <c:pt idx="565">
                  <c:v>0.80116959064327486</c:v>
                </c:pt>
                <c:pt idx="566">
                  <c:v>0.80116959064327486</c:v>
                </c:pt>
                <c:pt idx="567">
                  <c:v>0.80701754385964908</c:v>
                </c:pt>
                <c:pt idx="568">
                  <c:v>0.8128654970760234</c:v>
                </c:pt>
                <c:pt idx="569">
                  <c:v>0.81871345029239762</c:v>
                </c:pt>
                <c:pt idx="570">
                  <c:v>0.82456140350877194</c:v>
                </c:pt>
                <c:pt idx="571">
                  <c:v>0.83040935672514615</c:v>
                </c:pt>
                <c:pt idx="572">
                  <c:v>0.83625730994152048</c:v>
                </c:pt>
                <c:pt idx="573">
                  <c:v>0.84210526315789469</c:v>
                </c:pt>
                <c:pt idx="574">
                  <c:v>0.84795321637426901</c:v>
                </c:pt>
                <c:pt idx="575">
                  <c:v>0.85380116959064323</c:v>
                </c:pt>
                <c:pt idx="576">
                  <c:v>0.85964912280701755</c:v>
                </c:pt>
                <c:pt idx="577">
                  <c:v>0.86549707602339176</c:v>
                </c:pt>
                <c:pt idx="578">
                  <c:v>0.87134502923976609</c:v>
                </c:pt>
                <c:pt idx="579">
                  <c:v>0.8771929824561403</c:v>
                </c:pt>
                <c:pt idx="580">
                  <c:v>0.88304093567251463</c:v>
                </c:pt>
                <c:pt idx="581">
                  <c:v>0.88888888888888884</c:v>
                </c:pt>
                <c:pt idx="582">
                  <c:v>0.89473684210526316</c:v>
                </c:pt>
                <c:pt idx="583">
                  <c:v>0.90058479532163738</c:v>
                </c:pt>
                <c:pt idx="584">
                  <c:v>0.9064327485380117</c:v>
                </c:pt>
                <c:pt idx="585">
                  <c:v>0.91228070175438591</c:v>
                </c:pt>
                <c:pt idx="586">
                  <c:v>0.91812865497076024</c:v>
                </c:pt>
                <c:pt idx="587">
                  <c:v>0.92397660818713445</c:v>
                </c:pt>
                <c:pt idx="588">
                  <c:v>0.92982456140350878</c:v>
                </c:pt>
                <c:pt idx="589">
                  <c:v>0.93567251461988299</c:v>
                </c:pt>
                <c:pt idx="590">
                  <c:v>0.94152046783625731</c:v>
                </c:pt>
                <c:pt idx="591">
                  <c:v>0.94736842105263153</c:v>
                </c:pt>
                <c:pt idx="592">
                  <c:v>0.95321637426900585</c:v>
                </c:pt>
                <c:pt idx="593">
                  <c:v>0.95906432748538006</c:v>
                </c:pt>
                <c:pt idx="594">
                  <c:v>0.96491228070175439</c:v>
                </c:pt>
                <c:pt idx="595">
                  <c:v>0.9707602339181286</c:v>
                </c:pt>
                <c:pt idx="596">
                  <c:v>0.97660818713450293</c:v>
                </c:pt>
                <c:pt idx="597">
                  <c:v>0.98245614035087714</c:v>
                </c:pt>
                <c:pt idx="598">
                  <c:v>0.98830409356725146</c:v>
                </c:pt>
                <c:pt idx="599">
                  <c:v>0.99415204678362568</c:v>
                </c:pt>
                <c:pt idx="600">
                  <c:v>1</c:v>
                </c:pt>
              </c:numCache>
            </c:numRef>
          </c:yVal>
          <c:smooth val="0"/>
        </c:ser>
        <c:dLbls>
          <c:showLegendKey val="0"/>
          <c:showVal val="0"/>
          <c:showCatName val="0"/>
          <c:showSerName val="0"/>
          <c:showPercent val="0"/>
          <c:showBubbleSize val="0"/>
        </c:dLbls>
        <c:axId val="932187168"/>
        <c:axId val="932189888"/>
      </c:scatterChart>
      <c:valAx>
        <c:axId val="932187168"/>
        <c:scaling>
          <c:orientation val="minMax"/>
        </c:scaling>
        <c:delete val="0"/>
        <c:axPos val="b"/>
        <c:title>
          <c:tx>
            <c:rich>
              <a:bodyPr/>
              <a:lstStyle/>
              <a:p>
                <a:pPr>
                  <a:defRPr/>
                </a:pPr>
                <a:r>
                  <a:rPr lang="en-US"/>
                  <a:t>False Positive Rate</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32189888"/>
        <c:crosses val="autoZero"/>
        <c:crossBetween val="midCat"/>
      </c:valAx>
      <c:valAx>
        <c:axId val="932189888"/>
        <c:scaling>
          <c:orientation val="minMax"/>
        </c:scaling>
        <c:delete val="0"/>
        <c:axPos val="l"/>
        <c:majorGridlines/>
        <c:title>
          <c:tx>
            <c:rich>
              <a:bodyPr/>
              <a:lstStyle/>
              <a:p>
                <a:pPr>
                  <a:defRPr/>
                </a:pPr>
                <a:r>
                  <a:rPr lang="en-US"/>
                  <a:t>True Positive Rate</a:t>
                </a:r>
              </a:p>
            </c:rich>
          </c:tx>
          <c:overlay val="0"/>
        </c:title>
        <c:numFmt formatCode="General" sourceLinked="1"/>
        <c:majorTickMark val="out"/>
        <c:minorTickMark val="none"/>
        <c:tickLblPos val="nextTo"/>
        <c:crossAx val="93218716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RESPONSE when sorted using predicted values</c:v>
          </c:tx>
          <c:spPr>
            <a:ln w="6350"/>
          </c:spPr>
          <c:marker>
            <c:symbol val="none"/>
          </c:marker>
          <c:xVal>
            <c:numRef>
              <c:f>NNC_ValidationLiftChart!$AZ$4:$AZ$403</c:f>
              <c:numCache>
                <c:formatCode>General</c:formatCode>
                <c:ptCount val="4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numCache>
            </c:numRef>
          </c:xVal>
          <c:yVal>
            <c:numRef>
              <c:f>NNC_ValidationLiftChart!$BC$4:$BC$403</c:f>
              <c:numCache>
                <c:formatCode>General</c:formatCode>
                <c:ptCount val="400"/>
                <c:pt idx="0">
                  <c:v>1</c:v>
                </c:pt>
                <c:pt idx="1">
                  <c:v>2</c:v>
                </c:pt>
                <c:pt idx="2">
                  <c:v>3</c:v>
                </c:pt>
                <c:pt idx="3">
                  <c:v>4</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23</c:v>
                </c:pt>
                <c:pt idx="25">
                  <c:v>24</c:v>
                </c:pt>
                <c:pt idx="26">
                  <c:v>25</c:v>
                </c:pt>
                <c:pt idx="27">
                  <c:v>26</c:v>
                </c:pt>
                <c:pt idx="28">
                  <c:v>27</c:v>
                </c:pt>
                <c:pt idx="29">
                  <c:v>28</c:v>
                </c:pt>
                <c:pt idx="30">
                  <c:v>29</c:v>
                </c:pt>
                <c:pt idx="31">
                  <c:v>30</c:v>
                </c:pt>
                <c:pt idx="32">
                  <c:v>31</c:v>
                </c:pt>
                <c:pt idx="33">
                  <c:v>32</c:v>
                </c:pt>
                <c:pt idx="34">
                  <c:v>33</c:v>
                </c:pt>
                <c:pt idx="35">
                  <c:v>34</c:v>
                </c:pt>
                <c:pt idx="36">
                  <c:v>35</c:v>
                </c:pt>
                <c:pt idx="37">
                  <c:v>36</c:v>
                </c:pt>
                <c:pt idx="38">
                  <c:v>37</c:v>
                </c:pt>
                <c:pt idx="39">
                  <c:v>38</c:v>
                </c:pt>
                <c:pt idx="40">
                  <c:v>39</c:v>
                </c:pt>
                <c:pt idx="41">
                  <c:v>40</c:v>
                </c:pt>
                <c:pt idx="42">
                  <c:v>41</c:v>
                </c:pt>
                <c:pt idx="43">
                  <c:v>42</c:v>
                </c:pt>
                <c:pt idx="44">
                  <c:v>43</c:v>
                </c:pt>
                <c:pt idx="45">
                  <c:v>44</c:v>
                </c:pt>
                <c:pt idx="46">
                  <c:v>45</c:v>
                </c:pt>
                <c:pt idx="47">
                  <c:v>46</c:v>
                </c:pt>
                <c:pt idx="48">
                  <c:v>47</c:v>
                </c:pt>
                <c:pt idx="49">
                  <c:v>48</c:v>
                </c:pt>
                <c:pt idx="50">
                  <c:v>49</c:v>
                </c:pt>
                <c:pt idx="51">
                  <c:v>49</c:v>
                </c:pt>
                <c:pt idx="52">
                  <c:v>50</c:v>
                </c:pt>
                <c:pt idx="53">
                  <c:v>51</c:v>
                </c:pt>
                <c:pt idx="54">
                  <c:v>52</c:v>
                </c:pt>
                <c:pt idx="55">
                  <c:v>53</c:v>
                </c:pt>
                <c:pt idx="56">
                  <c:v>54</c:v>
                </c:pt>
                <c:pt idx="57">
                  <c:v>55</c:v>
                </c:pt>
                <c:pt idx="58">
                  <c:v>56</c:v>
                </c:pt>
                <c:pt idx="59">
                  <c:v>57</c:v>
                </c:pt>
                <c:pt idx="60">
                  <c:v>57</c:v>
                </c:pt>
                <c:pt idx="61">
                  <c:v>58</c:v>
                </c:pt>
                <c:pt idx="62">
                  <c:v>59</c:v>
                </c:pt>
                <c:pt idx="63">
                  <c:v>60</c:v>
                </c:pt>
                <c:pt idx="64">
                  <c:v>61</c:v>
                </c:pt>
                <c:pt idx="65">
                  <c:v>62</c:v>
                </c:pt>
                <c:pt idx="66">
                  <c:v>63</c:v>
                </c:pt>
                <c:pt idx="67">
                  <c:v>63</c:v>
                </c:pt>
                <c:pt idx="68">
                  <c:v>64</c:v>
                </c:pt>
                <c:pt idx="69">
                  <c:v>65</c:v>
                </c:pt>
                <c:pt idx="70">
                  <c:v>66</c:v>
                </c:pt>
                <c:pt idx="71">
                  <c:v>67</c:v>
                </c:pt>
                <c:pt idx="72">
                  <c:v>67</c:v>
                </c:pt>
                <c:pt idx="73">
                  <c:v>68</c:v>
                </c:pt>
                <c:pt idx="74">
                  <c:v>68</c:v>
                </c:pt>
                <c:pt idx="75">
                  <c:v>69</c:v>
                </c:pt>
                <c:pt idx="76">
                  <c:v>70</c:v>
                </c:pt>
                <c:pt idx="77">
                  <c:v>71</c:v>
                </c:pt>
                <c:pt idx="78">
                  <c:v>72</c:v>
                </c:pt>
                <c:pt idx="79">
                  <c:v>73</c:v>
                </c:pt>
                <c:pt idx="80">
                  <c:v>74</c:v>
                </c:pt>
                <c:pt idx="81">
                  <c:v>75</c:v>
                </c:pt>
                <c:pt idx="82">
                  <c:v>76</c:v>
                </c:pt>
                <c:pt idx="83">
                  <c:v>77</c:v>
                </c:pt>
                <c:pt idx="84">
                  <c:v>78</c:v>
                </c:pt>
                <c:pt idx="85">
                  <c:v>79</c:v>
                </c:pt>
                <c:pt idx="86">
                  <c:v>80</c:v>
                </c:pt>
                <c:pt idx="87">
                  <c:v>81</c:v>
                </c:pt>
                <c:pt idx="88">
                  <c:v>81</c:v>
                </c:pt>
                <c:pt idx="89">
                  <c:v>81</c:v>
                </c:pt>
                <c:pt idx="90">
                  <c:v>81</c:v>
                </c:pt>
                <c:pt idx="91">
                  <c:v>82</c:v>
                </c:pt>
                <c:pt idx="92">
                  <c:v>83</c:v>
                </c:pt>
                <c:pt idx="93">
                  <c:v>83</c:v>
                </c:pt>
                <c:pt idx="94">
                  <c:v>84</c:v>
                </c:pt>
                <c:pt idx="95">
                  <c:v>85</c:v>
                </c:pt>
                <c:pt idx="96">
                  <c:v>86</c:v>
                </c:pt>
                <c:pt idx="97">
                  <c:v>87</c:v>
                </c:pt>
                <c:pt idx="98">
                  <c:v>88</c:v>
                </c:pt>
                <c:pt idx="99">
                  <c:v>89</c:v>
                </c:pt>
                <c:pt idx="100">
                  <c:v>90</c:v>
                </c:pt>
                <c:pt idx="101">
                  <c:v>91</c:v>
                </c:pt>
                <c:pt idx="102">
                  <c:v>91</c:v>
                </c:pt>
                <c:pt idx="103">
                  <c:v>92</c:v>
                </c:pt>
                <c:pt idx="104">
                  <c:v>93</c:v>
                </c:pt>
                <c:pt idx="105">
                  <c:v>94</c:v>
                </c:pt>
                <c:pt idx="106">
                  <c:v>95</c:v>
                </c:pt>
                <c:pt idx="107">
                  <c:v>96</c:v>
                </c:pt>
                <c:pt idx="108">
                  <c:v>97</c:v>
                </c:pt>
                <c:pt idx="109">
                  <c:v>98</c:v>
                </c:pt>
                <c:pt idx="110">
                  <c:v>99</c:v>
                </c:pt>
                <c:pt idx="111">
                  <c:v>100</c:v>
                </c:pt>
                <c:pt idx="112">
                  <c:v>101</c:v>
                </c:pt>
                <c:pt idx="113">
                  <c:v>102</c:v>
                </c:pt>
                <c:pt idx="114">
                  <c:v>103</c:v>
                </c:pt>
                <c:pt idx="115">
                  <c:v>104</c:v>
                </c:pt>
                <c:pt idx="116">
                  <c:v>105</c:v>
                </c:pt>
                <c:pt idx="117">
                  <c:v>105</c:v>
                </c:pt>
                <c:pt idx="118">
                  <c:v>105</c:v>
                </c:pt>
                <c:pt idx="119">
                  <c:v>106</c:v>
                </c:pt>
                <c:pt idx="120">
                  <c:v>107</c:v>
                </c:pt>
                <c:pt idx="121">
                  <c:v>108</c:v>
                </c:pt>
                <c:pt idx="122">
                  <c:v>109</c:v>
                </c:pt>
                <c:pt idx="123">
                  <c:v>110</c:v>
                </c:pt>
                <c:pt idx="124">
                  <c:v>111</c:v>
                </c:pt>
                <c:pt idx="125">
                  <c:v>112</c:v>
                </c:pt>
                <c:pt idx="126">
                  <c:v>112</c:v>
                </c:pt>
                <c:pt idx="127">
                  <c:v>112</c:v>
                </c:pt>
                <c:pt idx="128">
                  <c:v>113</c:v>
                </c:pt>
                <c:pt idx="129">
                  <c:v>114</c:v>
                </c:pt>
                <c:pt idx="130">
                  <c:v>115</c:v>
                </c:pt>
                <c:pt idx="131">
                  <c:v>116</c:v>
                </c:pt>
                <c:pt idx="132">
                  <c:v>117</c:v>
                </c:pt>
                <c:pt idx="133">
                  <c:v>118</c:v>
                </c:pt>
                <c:pt idx="134">
                  <c:v>119</c:v>
                </c:pt>
                <c:pt idx="135">
                  <c:v>120</c:v>
                </c:pt>
                <c:pt idx="136">
                  <c:v>121</c:v>
                </c:pt>
                <c:pt idx="137">
                  <c:v>122</c:v>
                </c:pt>
                <c:pt idx="138">
                  <c:v>123</c:v>
                </c:pt>
                <c:pt idx="139">
                  <c:v>124</c:v>
                </c:pt>
                <c:pt idx="140">
                  <c:v>125</c:v>
                </c:pt>
                <c:pt idx="141">
                  <c:v>126</c:v>
                </c:pt>
                <c:pt idx="142">
                  <c:v>127</c:v>
                </c:pt>
                <c:pt idx="143">
                  <c:v>128</c:v>
                </c:pt>
                <c:pt idx="144">
                  <c:v>129</c:v>
                </c:pt>
                <c:pt idx="145">
                  <c:v>130</c:v>
                </c:pt>
                <c:pt idx="146">
                  <c:v>130</c:v>
                </c:pt>
                <c:pt idx="147">
                  <c:v>131</c:v>
                </c:pt>
                <c:pt idx="148">
                  <c:v>132</c:v>
                </c:pt>
                <c:pt idx="149">
                  <c:v>133</c:v>
                </c:pt>
                <c:pt idx="150">
                  <c:v>133</c:v>
                </c:pt>
                <c:pt idx="151">
                  <c:v>133</c:v>
                </c:pt>
                <c:pt idx="152">
                  <c:v>134</c:v>
                </c:pt>
                <c:pt idx="153">
                  <c:v>134</c:v>
                </c:pt>
                <c:pt idx="154">
                  <c:v>135</c:v>
                </c:pt>
                <c:pt idx="155">
                  <c:v>136</c:v>
                </c:pt>
                <c:pt idx="156">
                  <c:v>137</c:v>
                </c:pt>
                <c:pt idx="157">
                  <c:v>138</c:v>
                </c:pt>
                <c:pt idx="158">
                  <c:v>139</c:v>
                </c:pt>
                <c:pt idx="159">
                  <c:v>140</c:v>
                </c:pt>
                <c:pt idx="160">
                  <c:v>141</c:v>
                </c:pt>
                <c:pt idx="161">
                  <c:v>142</c:v>
                </c:pt>
                <c:pt idx="162">
                  <c:v>143</c:v>
                </c:pt>
                <c:pt idx="163">
                  <c:v>143</c:v>
                </c:pt>
                <c:pt idx="164">
                  <c:v>143</c:v>
                </c:pt>
                <c:pt idx="165">
                  <c:v>144</c:v>
                </c:pt>
                <c:pt idx="166">
                  <c:v>145</c:v>
                </c:pt>
                <c:pt idx="167">
                  <c:v>146</c:v>
                </c:pt>
                <c:pt idx="168">
                  <c:v>147</c:v>
                </c:pt>
                <c:pt idx="169">
                  <c:v>148</c:v>
                </c:pt>
                <c:pt idx="170">
                  <c:v>149</c:v>
                </c:pt>
                <c:pt idx="171">
                  <c:v>149</c:v>
                </c:pt>
                <c:pt idx="172">
                  <c:v>150</c:v>
                </c:pt>
                <c:pt idx="173">
                  <c:v>151</c:v>
                </c:pt>
                <c:pt idx="174">
                  <c:v>152</c:v>
                </c:pt>
                <c:pt idx="175">
                  <c:v>153</c:v>
                </c:pt>
                <c:pt idx="176">
                  <c:v>154</c:v>
                </c:pt>
                <c:pt idx="177">
                  <c:v>154</c:v>
                </c:pt>
                <c:pt idx="178">
                  <c:v>155</c:v>
                </c:pt>
                <c:pt idx="179">
                  <c:v>155</c:v>
                </c:pt>
                <c:pt idx="180">
                  <c:v>156</c:v>
                </c:pt>
                <c:pt idx="181">
                  <c:v>157</c:v>
                </c:pt>
                <c:pt idx="182">
                  <c:v>158</c:v>
                </c:pt>
                <c:pt idx="183">
                  <c:v>159</c:v>
                </c:pt>
                <c:pt idx="184">
                  <c:v>160</c:v>
                </c:pt>
                <c:pt idx="185">
                  <c:v>161</c:v>
                </c:pt>
                <c:pt idx="186">
                  <c:v>162</c:v>
                </c:pt>
                <c:pt idx="187">
                  <c:v>162</c:v>
                </c:pt>
                <c:pt idx="188">
                  <c:v>163</c:v>
                </c:pt>
                <c:pt idx="189">
                  <c:v>163</c:v>
                </c:pt>
                <c:pt idx="190">
                  <c:v>164</c:v>
                </c:pt>
                <c:pt idx="191">
                  <c:v>164</c:v>
                </c:pt>
                <c:pt idx="192">
                  <c:v>165</c:v>
                </c:pt>
                <c:pt idx="193">
                  <c:v>166</c:v>
                </c:pt>
                <c:pt idx="194">
                  <c:v>166</c:v>
                </c:pt>
                <c:pt idx="195">
                  <c:v>167</c:v>
                </c:pt>
                <c:pt idx="196">
                  <c:v>167</c:v>
                </c:pt>
                <c:pt idx="197">
                  <c:v>168</c:v>
                </c:pt>
                <c:pt idx="198">
                  <c:v>169</c:v>
                </c:pt>
                <c:pt idx="199">
                  <c:v>170</c:v>
                </c:pt>
                <c:pt idx="200">
                  <c:v>171</c:v>
                </c:pt>
                <c:pt idx="201">
                  <c:v>172</c:v>
                </c:pt>
                <c:pt idx="202">
                  <c:v>173</c:v>
                </c:pt>
                <c:pt idx="203">
                  <c:v>174</c:v>
                </c:pt>
                <c:pt idx="204">
                  <c:v>175</c:v>
                </c:pt>
                <c:pt idx="205">
                  <c:v>176</c:v>
                </c:pt>
                <c:pt idx="206">
                  <c:v>177</c:v>
                </c:pt>
                <c:pt idx="207">
                  <c:v>178</c:v>
                </c:pt>
                <c:pt idx="208">
                  <c:v>179</c:v>
                </c:pt>
                <c:pt idx="209">
                  <c:v>180</c:v>
                </c:pt>
                <c:pt idx="210">
                  <c:v>181</c:v>
                </c:pt>
                <c:pt idx="211">
                  <c:v>182</c:v>
                </c:pt>
                <c:pt idx="212">
                  <c:v>182</c:v>
                </c:pt>
                <c:pt idx="213">
                  <c:v>182</c:v>
                </c:pt>
                <c:pt idx="214">
                  <c:v>182</c:v>
                </c:pt>
                <c:pt idx="215">
                  <c:v>183</c:v>
                </c:pt>
                <c:pt idx="216">
                  <c:v>184</c:v>
                </c:pt>
                <c:pt idx="217">
                  <c:v>185</c:v>
                </c:pt>
                <c:pt idx="218">
                  <c:v>186</c:v>
                </c:pt>
                <c:pt idx="219">
                  <c:v>187</c:v>
                </c:pt>
                <c:pt idx="220">
                  <c:v>188</c:v>
                </c:pt>
                <c:pt idx="221">
                  <c:v>189</c:v>
                </c:pt>
                <c:pt idx="222">
                  <c:v>189</c:v>
                </c:pt>
                <c:pt idx="223">
                  <c:v>189</c:v>
                </c:pt>
                <c:pt idx="224">
                  <c:v>190</c:v>
                </c:pt>
                <c:pt idx="225">
                  <c:v>191</c:v>
                </c:pt>
                <c:pt idx="226">
                  <c:v>192</c:v>
                </c:pt>
                <c:pt idx="227">
                  <c:v>193</c:v>
                </c:pt>
                <c:pt idx="228">
                  <c:v>193</c:v>
                </c:pt>
                <c:pt idx="229">
                  <c:v>194</c:v>
                </c:pt>
                <c:pt idx="230">
                  <c:v>195</c:v>
                </c:pt>
                <c:pt idx="231">
                  <c:v>196</c:v>
                </c:pt>
                <c:pt idx="232">
                  <c:v>197</c:v>
                </c:pt>
                <c:pt idx="233">
                  <c:v>198</c:v>
                </c:pt>
                <c:pt idx="234">
                  <c:v>199</c:v>
                </c:pt>
                <c:pt idx="235">
                  <c:v>200</c:v>
                </c:pt>
                <c:pt idx="236">
                  <c:v>200</c:v>
                </c:pt>
                <c:pt idx="237">
                  <c:v>201</c:v>
                </c:pt>
                <c:pt idx="238">
                  <c:v>202</c:v>
                </c:pt>
                <c:pt idx="239">
                  <c:v>202</c:v>
                </c:pt>
                <c:pt idx="240">
                  <c:v>203</c:v>
                </c:pt>
                <c:pt idx="241">
                  <c:v>203</c:v>
                </c:pt>
                <c:pt idx="242">
                  <c:v>204</c:v>
                </c:pt>
                <c:pt idx="243">
                  <c:v>204</c:v>
                </c:pt>
                <c:pt idx="244">
                  <c:v>205</c:v>
                </c:pt>
                <c:pt idx="245">
                  <c:v>205</c:v>
                </c:pt>
                <c:pt idx="246">
                  <c:v>206</c:v>
                </c:pt>
                <c:pt idx="247">
                  <c:v>207</c:v>
                </c:pt>
                <c:pt idx="248">
                  <c:v>208</c:v>
                </c:pt>
                <c:pt idx="249">
                  <c:v>208</c:v>
                </c:pt>
                <c:pt idx="250">
                  <c:v>209</c:v>
                </c:pt>
                <c:pt idx="251">
                  <c:v>209</c:v>
                </c:pt>
                <c:pt idx="252">
                  <c:v>210</c:v>
                </c:pt>
                <c:pt idx="253">
                  <c:v>210</c:v>
                </c:pt>
                <c:pt idx="254">
                  <c:v>210</c:v>
                </c:pt>
                <c:pt idx="255">
                  <c:v>210</c:v>
                </c:pt>
                <c:pt idx="256">
                  <c:v>211</c:v>
                </c:pt>
                <c:pt idx="257">
                  <c:v>211</c:v>
                </c:pt>
                <c:pt idx="258">
                  <c:v>212</c:v>
                </c:pt>
                <c:pt idx="259">
                  <c:v>213</c:v>
                </c:pt>
                <c:pt idx="260">
                  <c:v>214</c:v>
                </c:pt>
                <c:pt idx="261">
                  <c:v>214</c:v>
                </c:pt>
                <c:pt idx="262">
                  <c:v>215</c:v>
                </c:pt>
                <c:pt idx="263">
                  <c:v>216</c:v>
                </c:pt>
                <c:pt idx="264">
                  <c:v>217</c:v>
                </c:pt>
                <c:pt idx="265">
                  <c:v>218</c:v>
                </c:pt>
                <c:pt idx="266">
                  <c:v>219</c:v>
                </c:pt>
                <c:pt idx="267">
                  <c:v>220</c:v>
                </c:pt>
                <c:pt idx="268">
                  <c:v>221</c:v>
                </c:pt>
                <c:pt idx="269">
                  <c:v>221</c:v>
                </c:pt>
                <c:pt idx="270">
                  <c:v>221</c:v>
                </c:pt>
                <c:pt idx="271">
                  <c:v>221</c:v>
                </c:pt>
                <c:pt idx="272">
                  <c:v>221</c:v>
                </c:pt>
                <c:pt idx="273">
                  <c:v>222</c:v>
                </c:pt>
                <c:pt idx="274">
                  <c:v>222</c:v>
                </c:pt>
                <c:pt idx="275">
                  <c:v>222</c:v>
                </c:pt>
                <c:pt idx="276">
                  <c:v>222</c:v>
                </c:pt>
                <c:pt idx="277">
                  <c:v>223</c:v>
                </c:pt>
                <c:pt idx="278">
                  <c:v>224</c:v>
                </c:pt>
                <c:pt idx="279">
                  <c:v>225</c:v>
                </c:pt>
                <c:pt idx="280">
                  <c:v>226</c:v>
                </c:pt>
                <c:pt idx="281">
                  <c:v>227</c:v>
                </c:pt>
                <c:pt idx="282">
                  <c:v>228</c:v>
                </c:pt>
                <c:pt idx="283">
                  <c:v>229</c:v>
                </c:pt>
                <c:pt idx="284">
                  <c:v>230</c:v>
                </c:pt>
                <c:pt idx="285">
                  <c:v>231</c:v>
                </c:pt>
                <c:pt idx="286">
                  <c:v>232</c:v>
                </c:pt>
                <c:pt idx="287">
                  <c:v>232</c:v>
                </c:pt>
                <c:pt idx="288">
                  <c:v>233</c:v>
                </c:pt>
                <c:pt idx="289">
                  <c:v>234</c:v>
                </c:pt>
                <c:pt idx="290">
                  <c:v>234</c:v>
                </c:pt>
                <c:pt idx="291">
                  <c:v>234</c:v>
                </c:pt>
                <c:pt idx="292">
                  <c:v>235</c:v>
                </c:pt>
                <c:pt idx="293">
                  <c:v>236</c:v>
                </c:pt>
                <c:pt idx="294">
                  <c:v>237</c:v>
                </c:pt>
                <c:pt idx="295">
                  <c:v>238</c:v>
                </c:pt>
                <c:pt idx="296">
                  <c:v>238</c:v>
                </c:pt>
                <c:pt idx="297">
                  <c:v>239</c:v>
                </c:pt>
                <c:pt idx="298">
                  <c:v>239</c:v>
                </c:pt>
                <c:pt idx="299">
                  <c:v>239</c:v>
                </c:pt>
                <c:pt idx="300">
                  <c:v>239</c:v>
                </c:pt>
                <c:pt idx="301">
                  <c:v>240</c:v>
                </c:pt>
                <c:pt idx="302">
                  <c:v>241</c:v>
                </c:pt>
                <c:pt idx="303">
                  <c:v>241</c:v>
                </c:pt>
                <c:pt idx="304">
                  <c:v>241</c:v>
                </c:pt>
                <c:pt idx="305">
                  <c:v>241</c:v>
                </c:pt>
                <c:pt idx="306">
                  <c:v>242</c:v>
                </c:pt>
                <c:pt idx="307">
                  <c:v>242</c:v>
                </c:pt>
                <c:pt idx="308">
                  <c:v>242</c:v>
                </c:pt>
                <c:pt idx="309">
                  <c:v>243</c:v>
                </c:pt>
                <c:pt idx="310">
                  <c:v>244</c:v>
                </c:pt>
                <c:pt idx="311">
                  <c:v>244</c:v>
                </c:pt>
                <c:pt idx="312">
                  <c:v>245</c:v>
                </c:pt>
                <c:pt idx="313">
                  <c:v>245</c:v>
                </c:pt>
                <c:pt idx="314">
                  <c:v>246</c:v>
                </c:pt>
                <c:pt idx="315">
                  <c:v>246</c:v>
                </c:pt>
                <c:pt idx="316">
                  <c:v>246</c:v>
                </c:pt>
                <c:pt idx="317">
                  <c:v>247</c:v>
                </c:pt>
                <c:pt idx="318">
                  <c:v>248</c:v>
                </c:pt>
                <c:pt idx="319">
                  <c:v>249</c:v>
                </c:pt>
                <c:pt idx="320">
                  <c:v>250</c:v>
                </c:pt>
                <c:pt idx="321">
                  <c:v>250</c:v>
                </c:pt>
                <c:pt idx="322">
                  <c:v>250</c:v>
                </c:pt>
                <c:pt idx="323">
                  <c:v>250</c:v>
                </c:pt>
                <c:pt idx="324">
                  <c:v>250</c:v>
                </c:pt>
                <c:pt idx="325">
                  <c:v>251</c:v>
                </c:pt>
                <c:pt idx="326">
                  <c:v>251</c:v>
                </c:pt>
                <c:pt idx="327">
                  <c:v>252</c:v>
                </c:pt>
                <c:pt idx="328">
                  <c:v>252</c:v>
                </c:pt>
                <c:pt idx="329">
                  <c:v>253</c:v>
                </c:pt>
                <c:pt idx="330">
                  <c:v>254</c:v>
                </c:pt>
                <c:pt idx="331">
                  <c:v>255</c:v>
                </c:pt>
                <c:pt idx="332">
                  <c:v>255</c:v>
                </c:pt>
                <c:pt idx="333">
                  <c:v>255</c:v>
                </c:pt>
                <c:pt idx="334">
                  <c:v>256</c:v>
                </c:pt>
                <c:pt idx="335">
                  <c:v>256</c:v>
                </c:pt>
                <c:pt idx="336">
                  <c:v>256</c:v>
                </c:pt>
                <c:pt idx="337">
                  <c:v>256</c:v>
                </c:pt>
                <c:pt idx="338">
                  <c:v>257</c:v>
                </c:pt>
                <c:pt idx="339">
                  <c:v>257</c:v>
                </c:pt>
                <c:pt idx="340">
                  <c:v>257</c:v>
                </c:pt>
                <c:pt idx="341">
                  <c:v>257</c:v>
                </c:pt>
                <c:pt idx="342">
                  <c:v>257</c:v>
                </c:pt>
                <c:pt idx="343">
                  <c:v>257</c:v>
                </c:pt>
                <c:pt idx="344">
                  <c:v>258</c:v>
                </c:pt>
                <c:pt idx="345">
                  <c:v>259</c:v>
                </c:pt>
                <c:pt idx="346">
                  <c:v>260</c:v>
                </c:pt>
                <c:pt idx="347">
                  <c:v>260</c:v>
                </c:pt>
                <c:pt idx="348">
                  <c:v>260</c:v>
                </c:pt>
                <c:pt idx="349">
                  <c:v>261</c:v>
                </c:pt>
                <c:pt idx="350">
                  <c:v>261</c:v>
                </c:pt>
                <c:pt idx="351">
                  <c:v>261</c:v>
                </c:pt>
                <c:pt idx="352">
                  <c:v>261</c:v>
                </c:pt>
                <c:pt idx="353">
                  <c:v>261</c:v>
                </c:pt>
                <c:pt idx="354">
                  <c:v>261</c:v>
                </c:pt>
                <c:pt idx="355">
                  <c:v>261</c:v>
                </c:pt>
                <c:pt idx="356">
                  <c:v>262</c:v>
                </c:pt>
                <c:pt idx="357">
                  <c:v>262</c:v>
                </c:pt>
                <c:pt idx="358">
                  <c:v>262</c:v>
                </c:pt>
                <c:pt idx="359">
                  <c:v>263</c:v>
                </c:pt>
                <c:pt idx="360">
                  <c:v>264</c:v>
                </c:pt>
                <c:pt idx="361">
                  <c:v>264</c:v>
                </c:pt>
                <c:pt idx="362">
                  <c:v>264</c:v>
                </c:pt>
                <c:pt idx="363">
                  <c:v>264</c:v>
                </c:pt>
                <c:pt idx="364">
                  <c:v>265</c:v>
                </c:pt>
                <c:pt idx="365">
                  <c:v>266</c:v>
                </c:pt>
                <c:pt idx="366">
                  <c:v>266</c:v>
                </c:pt>
                <c:pt idx="367">
                  <c:v>266</c:v>
                </c:pt>
                <c:pt idx="368">
                  <c:v>266</c:v>
                </c:pt>
                <c:pt idx="369">
                  <c:v>266</c:v>
                </c:pt>
                <c:pt idx="370">
                  <c:v>267</c:v>
                </c:pt>
                <c:pt idx="371">
                  <c:v>267</c:v>
                </c:pt>
                <c:pt idx="372">
                  <c:v>267</c:v>
                </c:pt>
                <c:pt idx="373">
                  <c:v>267</c:v>
                </c:pt>
                <c:pt idx="374">
                  <c:v>267</c:v>
                </c:pt>
                <c:pt idx="375">
                  <c:v>267</c:v>
                </c:pt>
                <c:pt idx="376">
                  <c:v>267</c:v>
                </c:pt>
                <c:pt idx="377">
                  <c:v>267</c:v>
                </c:pt>
                <c:pt idx="378">
                  <c:v>268</c:v>
                </c:pt>
                <c:pt idx="379">
                  <c:v>268</c:v>
                </c:pt>
                <c:pt idx="380">
                  <c:v>268</c:v>
                </c:pt>
                <c:pt idx="381">
                  <c:v>268</c:v>
                </c:pt>
                <c:pt idx="382">
                  <c:v>268</c:v>
                </c:pt>
                <c:pt idx="383">
                  <c:v>268</c:v>
                </c:pt>
                <c:pt idx="384">
                  <c:v>268</c:v>
                </c:pt>
                <c:pt idx="385">
                  <c:v>268</c:v>
                </c:pt>
                <c:pt idx="386">
                  <c:v>268</c:v>
                </c:pt>
                <c:pt idx="387">
                  <c:v>269</c:v>
                </c:pt>
                <c:pt idx="388">
                  <c:v>269</c:v>
                </c:pt>
                <c:pt idx="389">
                  <c:v>269</c:v>
                </c:pt>
                <c:pt idx="390">
                  <c:v>270</c:v>
                </c:pt>
                <c:pt idx="391">
                  <c:v>270</c:v>
                </c:pt>
                <c:pt idx="392">
                  <c:v>270</c:v>
                </c:pt>
                <c:pt idx="393">
                  <c:v>270</c:v>
                </c:pt>
                <c:pt idx="394">
                  <c:v>270</c:v>
                </c:pt>
                <c:pt idx="395">
                  <c:v>270</c:v>
                </c:pt>
                <c:pt idx="396">
                  <c:v>270</c:v>
                </c:pt>
                <c:pt idx="397">
                  <c:v>270</c:v>
                </c:pt>
                <c:pt idx="398">
                  <c:v>270</c:v>
                </c:pt>
                <c:pt idx="399">
                  <c:v>271</c:v>
                </c:pt>
              </c:numCache>
            </c:numRef>
          </c:yVal>
          <c:smooth val="1"/>
        </c:ser>
        <c:ser>
          <c:idx val="1"/>
          <c:order val="1"/>
          <c:tx>
            <c:v>Cumulative RESPONSE using average</c:v>
          </c:tx>
          <c:spPr>
            <a:ln w="6350"/>
          </c:spPr>
          <c:marker>
            <c:symbol val="none"/>
          </c:marker>
          <c:xVal>
            <c:numRef>
              <c:f>NNC_ValidationLiftChart!$AZ$4:$AZ$403</c:f>
              <c:numCache>
                <c:formatCode>General</c:formatCode>
                <c:ptCount val="4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numCache>
            </c:numRef>
          </c:xVal>
          <c:yVal>
            <c:numRef>
              <c:f>NNC_ValidationLiftChart!$BD$4:$BD$403</c:f>
              <c:numCache>
                <c:formatCode>General</c:formatCode>
                <c:ptCount val="400"/>
                <c:pt idx="0">
                  <c:v>0.67749999999999999</c:v>
                </c:pt>
                <c:pt idx="1">
                  <c:v>1.355</c:v>
                </c:pt>
                <c:pt idx="2">
                  <c:v>2.0324999999999998</c:v>
                </c:pt>
                <c:pt idx="3">
                  <c:v>2.71</c:v>
                </c:pt>
                <c:pt idx="4">
                  <c:v>3.3875000000000002</c:v>
                </c:pt>
                <c:pt idx="5">
                  <c:v>4.0649999999999995</c:v>
                </c:pt>
                <c:pt idx="6">
                  <c:v>4.7424999999999997</c:v>
                </c:pt>
                <c:pt idx="7">
                  <c:v>5.42</c:v>
                </c:pt>
                <c:pt idx="8">
                  <c:v>6.0975000000000001</c:v>
                </c:pt>
                <c:pt idx="9">
                  <c:v>6.7750000000000004</c:v>
                </c:pt>
                <c:pt idx="10">
                  <c:v>7.4524999999999997</c:v>
                </c:pt>
                <c:pt idx="11">
                  <c:v>8.129999999999999</c:v>
                </c:pt>
                <c:pt idx="12">
                  <c:v>8.8074999999999992</c:v>
                </c:pt>
                <c:pt idx="13">
                  <c:v>9.4849999999999994</c:v>
                </c:pt>
                <c:pt idx="14">
                  <c:v>10.1625</c:v>
                </c:pt>
                <c:pt idx="15">
                  <c:v>10.84</c:v>
                </c:pt>
                <c:pt idx="16">
                  <c:v>11.5175</c:v>
                </c:pt>
                <c:pt idx="17">
                  <c:v>12.195</c:v>
                </c:pt>
                <c:pt idx="18">
                  <c:v>12.8725</c:v>
                </c:pt>
                <c:pt idx="19">
                  <c:v>13.55</c:v>
                </c:pt>
                <c:pt idx="20">
                  <c:v>14.227499999999999</c:v>
                </c:pt>
                <c:pt idx="21">
                  <c:v>14.904999999999999</c:v>
                </c:pt>
                <c:pt idx="22">
                  <c:v>15.5825</c:v>
                </c:pt>
                <c:pt idx="23">
                  <c:v>16.259999999999998</c:v>
                </c:pt>
                <c:pt idx="24">
                  <c:v>16.9375</c:v>
                </c:pt>
                <c:pt idx="25">
                  <c:v>17.614999999999998</c:v>
                </c:pt>
                <c:pt idx="26">
                  <c:v>18.2925</c:v>
                </c:pt>
                <c:pt idx="27">
                  <c:v>18.97</c:v>
                </c:pt>
                <c:pt idx="28">
                  <c:v>19.647500000000001</c:v>
                </c:pt>
                <c:pt idx="29">
                  <c:v>20.324999999999999</c:v>
                </c:pt>
                <c:pt idx="30">
                  <c:v>21.002500000000001</c:v>
                </c:pt>
                <c:pt idx="31">
                  <c:v>21.68</c:v>
                </c:pt>
                <c:pt idx="32">
                  <c:v>22.357499999999998</c:v>
                </c:pt>
                <c:pt idx="33">
                  <c:v>23.035</c:v>
                </c:pt>
                <c:pt idx="34">
                  <c:v>23.712499999999999</c:v>
                </c:pt>
                <c:pt idx="35">
                  <c:v>24.39</c:v>
                </c:pt>
                <c:pt idx="36">
                  <c:v>25.067499999999999</c:v>
                </c:pt>
                <c:pt idx="37">
                  <c:v>25.745000000000001</c:v>
                </c:pt>
                <c:pt idx="38">
                  <c:v>26.422499999999999</c:v>
                </c:pt>
                <c:pt idx="39">
                  <c:v>27.1</c:v>
                </c:pt>
                <c:pt idx="40">
                  <c:v>27.7775</c:v>
                </c:pt>
                <c:pt idx="41">
                  <c:v>28.454999999999998</c:v>
                </c:pt>
                <c:pt idx="42">
                  <c:v>29.1325</c:v>
                </c:pt>
                <c:pt idx="43">
                  <c:v>29.81</c:v>
                </c:pt>
                <c:pt idx="44">
                  <c:v>30.487500000000001</c:v>
                </c:pt>
                <c:pt idx="45">
                  <c:v>31.164999999999999</c:v>
                </c:pt>
                <c:pt idx="46">
                  <c:v>31.842500000000001</c:v>
                </c:pt>
                <c:pt idx="47">
                  <c:v>32.519999999999996</c:v>
                </c:pt>
                <c:pt idx="48">
                  <c:v>33.197499999999998</c:v>
                </c:pt>
                <c:pt idx="49">
                  <c:v>33.875</c:v>
                </c:pt>
                <c:pt idx="50">
                  <c:v>34.552500000000002</c:v>
                </c:pt>
                <c:pt idx="51">
                  <c:v>35.229999999999997</c:v>
                </c:pt>
                <c:pt idx="52">
                  <c:v>35.907499999999999</c:v>
                </c:pt>
                <c:pt idx="53">
                  <c:v>36.585000000000001</c:v>
                </c:pt>
                <c:pt idx="54">
                  <c:v>37.262500000000003</c:v>
                </c:pt>
                <c:pt idx="55">
                  <c:v>37.94</c:v>
                </c:pt>
                <c:pt idx="56">
                  <c:v>38.6175</c:v>
                </c:pt>
                <c:pt idx="57">
                  <c:v>39.295000000000002</c:v>
                </c:pt>
                <c:pt idx="58">
                  <c:v>39.972499999999997</c:v>
                </c:pt>
                <c:pt idx="59">
                  <c:v>40.65</c:v>
                </c:pt>
                <c:pt idx="60">
                  <c:v>41.327500000000001</c:v>
                </c:pt>
                <c:pt idx="61">
                  <c:v>42.005000000000003</c:v>
                </c:pt>
                <c:pt idx="62">
                  <c:v>42.682499999999997</c:v>
                </c:pt>
                <c:pt idx="63">
                  <c:v>43.36</c:v>
                </c:pt>
                <c:pt idx="64">
                  <c:v>44.037500000000001</c:v>
                </c:pt>
                <c:pt idx="65">
                  <c:v>44.714999999999996</c:v>
                </c:pt>
                <c:pt idx="66">
                  <c:v>45.392499999999998</c:v>
                </c:pt>
                <c:pt idx="67">
                  <c:v>46.07</c:v>
                </c:pt>
                <c:pt idx="68">
                  <c:v>46.747500000000002</c:v>
                </c:pt>
                <c:pt idx="69">
                  <c:v>47.424999999999997</c:v>
                </c:pt>
                <c:pt idx="70">
                  <c:v>48.102499999999999</c:v>
                </c:pt>
                <c:pt idx="71">
                  <c:v>48.78</c:v>
                </c:pt>
                <c:pt idx="72">
                  <c:v>49.457499999999996</c:v>
                </c:pt>
                <c:pt idx="73">
                  <c:v>50.134999999999998</c:v>
                </c:pt>
                <c:pt idx="74">
                  <c:v>50.8125</c:v>
                </c:pt>
                <c:pt idx="75">
                  <c:v>51.49</c:v>
                </c:pt>
                <c:pt idx="76">
                  <c:v>52.167499999999997</c:v>
                </c:pt>
                <c:pt idx="77">
                  <c:v>52.844999999999999</c:v>
                </c:pt>
                <c:pt idx="78">
                  <c:v>53.522500000000001</c:v>
                </c:pt>
                <c:pt idx="79">
                  <c:v>54.2</c:v>
                </c:pt>
                <c:pt idx="80">
                  <c:v>54.877499999999998</c:v>
                </c:pt>
                <c:pt idx="81">
                  <c:v>55.555</c:v>
                </c:pt>
                <c:pt idx="82">
                  <c:v>56.232500000000002</c:v>
                </c:pt>
                <c:pt idx="83">
                  <c:v>56.91</c:v>
                </c:pt>
                <c:pt idx="84">
                  <c:v>57.587499999999999</c:v>
                </c:pt>
                <c:pt idx="85">
                  <c:v>58.265000000000001</c:v>
                </c:pt>
                <c:pt idx="86">
                  <c:v>58.942500000000003</c:v>
                </c:pt>
                <c:pt idx="87">
                  <c:v>59.62</c:v>
                </c:pt>
                <c:pt idx="88">
                  <c:v>60.297499999999999</c:v>
                </c:pt>
                <c:pt idx="89">
                  <c:v>60.975000000000001</c:v>
                </c:pt>
                <c:pt idx="90">
                  <c:v>61.652499999999996</c:v>
                </c:pt>
                <c:pt idx="91">
                  <c:v>62.33</c:v>
                </c:pt>
                <c:pt idx="92">
                  <c:v>63.0075</c:v>
                </c:pt>
                <c:pt idx="93">
                  <c:v>63.685000000000002</c:v>
                </c:pt>
                <c:pt idx="94">
                  <c:v>64.362499999999997</c:v>
                </c:pt>
                <c:pt idx="95">
                  <c:v>65.039999999999992</c:v>
                </c:pt>
                <c:pt idx="96">
                  <c:v>65.717500000000001</c:v>
                </c:pt>
                <c:pt idx="97">
                  <c:v>66.394999999999996</c:v>
                </c:pt>
                <c:pt idx="98">
                  <c:v>67.072500000000005</c:v>
                </c:pt>
                <c:pt idx="99">
                  <c:v>67.75</c:v>
                </c:pt>
                <c:pt idx="100">
                  <c:v>68.427499999999995</c:v>
                </c:pt>
                <c:pt idx="101">
                  <c:v>69.105000000000004</c:v>
                </c:pt>
                <c:pt idx="102">
                  <c:v>69.782499999999999</c:v>
                </c:pt>
                <c:pt idx="103">
                  <c:v>70.459999999999994</c:v>
                </c:pt>
                <c:pt idx="104">
                  <c:v>71.137500000000003</c:v>
                </c:pt>
                <c:pt idx="105">
                  <c:v>71.814999999999998</c:v>
                </c:pt>
                <c:pt idx="106">
                  <c:v>72.492499999999993</c:v>
                </c:pt>
                <c:pt idx="107">
                  <c:v>73.17</c:v>
                </c:pt>
                <c:pt idx="108">
                  <c:v>73.847499999999997</c:v>
                </c:pt>
                <c:pt idx="109">
                  <c:v>74.525000000000006</c:v>
                </c:pt>
                <c:pt idx="110">
                  <c:v>75.202500000000001</c:v>
                </c:pt>
                <c:pt idx="111">
                  <c:v>75.88</c:v>
                </c:pt>
                <c:pt idx="112">
                  <c:v>76.557500000000005</c:v>
                </c:pt>
                <c:pt idx="113">
                  <c:v>77.234999999999999</c:v>
                </c:pt>
                <c:pt idx="114">
                  <c:v>77.912499999999994</c:v>
                </c:pt>
                <c:pt idx="115">
                  <c:v>78.59</c:v>
                </c:pt>
                <c:pt idx="116">
                  <c:v>79.267499999999998</c:v>
                </c:pt>
                <c:pt idx="117">
                  <c:v>79.944999999999993</c:v>
                </c:pt>
                <c:pt idx="118">
                  <c:v>80.622500000000002</c:v>
                </c:pt>
                <c:pt idx="119">
                  <c:v>81.3</c:v>
                </c:pt>
                <c:pt idx="120">
                  <c:v>81.977499999999992</c:v>
                </c:pt>
                <c:pt idx="121">
                  <c:v>82.655000000000001</c:v>
                </c:pt>
                <c:pt idx="122">
                  <c:v>83.332499999999996</c:v>
                </c:pt>
                <c:pt idx="123">
                  <c:v>84.01</c:v>
                </c:pt>
                <c:pt idx="124">
                  <c:v>84.6875</c:v>
                </c:pt>
                <c:pt idx="125">
                  <c:v>85.364999999999995</c:v>
                </c:pt>
                <c:pt idx="126">
                  <c:v>86.042500000000004</c:v>
                </c:pt>
                <c:pt idx="127">
                  <c:v>86.72</c:v>
                </c:pt>
                <c:pt idx="128">
                  <c:v>87.397499999999994</c:v>
                </c:pt>
                <c:pt idx="129">
                  <c:v>88.075000000000003</c:v>
                </c:pt>
                <c:pt idx="130">
                  <c:v>88.752499999999998</c:v>
                </c:pt>
                <c:pt idx="131">
                  <c:v>89.429999999999993</c:v>
                </c:pt>
                <c:pt idx="132">
                  <c:v>90.107500000000002</c:v>
                </c:pt>
                <c:pt idx="133">
                  <c:v>90.784999999999997</c:v>
                </c:pt>
                <c:pt idx="134">
                  <c:v>91.462500000000006</c:v>
                </c:pt>
                <c:pt idx="135">
                  <c:v>92.14</c:v>
                </c:pt>
                <c:pt idx="136">
                  <c:v>92.817499999999995</c:v>
                </c:pt>
                <c:pt idx="137">
                  <c:v>93.495000000000005</c:v>
                </c:pt>
                <c:pt idx="138">
                  <c:v>94.172499999999999</c:v>
                </c:pt>
                <c:pt idx="139">
                  <c:v>94.85</c:v>
                </c:pt>
                <c:pt idx="140">
                  <c:v>95.527500000000003</c:v>
                </c:pt>
                <c:pt idx="141">
                  <c:v>96.204999999999998</c:v>
                </c:pt>
                <c:pt idx="142">
                  <c:v>96.882499999999993</c:v>
                </c:pt>
                <c:pt idx="143">
                  <c:v>97.56</c:v>
                </c:pt>
                <c:pt idx="144">
                  <c:v>98.237499999999997</c:v>
                </c:pt>
                <c:pt idx="145">
                  <c:v>98.914999999999992</c:v>
                </c:pt>
                <c:pt idx="146">
                  <c:v>99.592500000000001</c:v>
                </c:pt>
                <c:pt idx="147">
                  <c:v>100.27</c:v>
                </c:pt>
                <c:pt idx="148">
                  <c:v>100.94750000000001</c:v>
                </c:pt>
                <c:pt idx="149">
                  <c:v>101.625</c:v>
                </c:pt>
                <c:pt idx="150">
                  <c:v>102.30249999999999</c:v>
                </c:pt>
                <c:pt idx="151">
                  <c:v>102.98</c:v>
                </c:pt>
                <c:pt idx="152">
                  <c:v>103.6575</c:v>
                </c:pt>
                <c:pt idx="153">
                  <c:v>104.33499999999999</c:v>
                </c:pt>
                <c:pt idx="154">
                  <c:v>105.0125</c:v>
                </c:pt>
                <c:pt idx="155">
                  <c:v>105.69</c:v>
                </c:pt>
                <c:pt idx="156">
                  <c:v>106.36749999999999</c:v>
                </c:pt>
                <c:pt idx="157">
                  <c:v>107.045</c:v>
                </c:pt>
                <c:pt idx="158">
                  <c:v>107.7225</c:v>
                </c:pt>
                <c:pt idx="159">
                  <c:v>108.4</c:v>
                </c:pt>
                <c:pt idx="160">
                  <c:v>109.0775</c:v>
                </c:pt>
                <c:pt idx="161">
                  <c:v>109.755</c:v>
                </c:pt>
                <c:pt idx="162">
                  <c:v>110.4325</c:v>
                </c:pt>
                <c:pt idx="163">
                  <c:v>111.11</c:v>
                </c:pt>
                <c:pt idx="164">
                  <c:v>111.78749999999999</c:v>
                </c:pt>
                <c:pt idx="165">
                  <c:v>112.465</c:v>
                </c:pt>
                <c:pt idx="166">
                  <c:v>113.1425</c:v>
                </c:pt>
                <c:pt idx="167">
                  <c:v>113.82</c:v>
                </c:pt>
                <c:pt idx="168">
                  <c:v>114.4975</c:v>
                </c:pt>
                <c:pt idx="169">
                  <c:v>115.175</c:v>
                </c:pt>
                <c:pt idx="170">
                  <c:v>115.85249999999999</c:v>
                </c:pt>
                <c:pt idx="171">
                  <c:v>116.53</c:v>
                </c:pt>
                <c:pt idx="172">
                  <c:v>117.2075</c:v>
                </c:pt>
                <c:pt idx="173">
                  <c:v>117.88500000000001</c:v>
                </c:pt>
                <c:pt idx="174">
                  <c:v>118.5625</c:v>
                </c:pt>
                <c:pt idx="175">
                  <c:v>119.24</c:v>
                </c:pt>
                <c:pt idx="176">
                  <c:v>119.9175</c:v>
                </c:pt>
                <c:pt idx="177">
                  <c:v>120.595</c:v>
                </c:pt>
                <c:pt idx="178">
                  <c:v>121.27249999999999</c:v>
                </c:pt>
                <c:pt idx="179">
                  <c:v>121.95</c:v>
                </c:pt>
                <c:pt idx="180">
                  <c:v>122.6275</c:v>
                </c:pt>
                <c:pt idx="181">
                  <c:v>123.30499999999999</c:v>
                </c:pt>
                <c:pt idx="182">
                  <c:v>123.9825</c:v>
                </c:pt>
                <c:pt idx="183">
                  <c:v>124.66</c:v>
                </c:pt>
                <c:pt idx="184">
                  <c:v>125.33749999999999</c:v>
                </c:pt>
                <c:pt idx="185">
                  <c:v>126.015</c:v>
                </c:pt>
                <c:pt idx="186">
                  <c:v>126.6925</c:v>
                </c:pt>
                <c:pt idx="187">
                  <c:v>127.37</c:v>
                </c:pt>
                <c:pt idx="188">
                  <c:v>128.04749999999999</c:v>
                </c:pt>
                <c:pt idx="189">
                  <c:v>128.72499999999999</c:v>
                </c:pt>
                <c:pt idx="190">
                  <c:v>129.4025</c:v>
                </c:pt>
                <c:pt idx="191">
                  <c:v>130.07999999999998</c:v>
                </c:pt>
                <c:pt idx="192">
                  <c:v>130.75749999999999</c:v>
                </c:pt>
                <c:pt idx="193">
                  <c:v>131.435</c:v>
                </c:pt>
                <c:pt idx="194">
                  <c:v>132.11250000000001</c:v>
                </c:pt>
                <c:pt idx="195">
                  <c:v>132.79</c:v>
                </c:pt>
                <c:pt idx="196">
                  <c:v>133.4675</c:v>
                </c:pt>
                <c:pt idx="197">
                  <c:v>134.14500000000001</c:v>
                </c:pt>
                <c:pt idx="198">
                  <c:v>134.82249999999999</c:v>
                </c:pt>
                <c:pt idx="199">
                  <c:v>135.5</c:v>
                </c:pt>
                <c:pt idx="200">
                  <c:v>136.17750000000001</c:v>
                </c:pt>
                <c:pt idx="201">
                  <c:v>136.85499999999999</c:v>
                </c:pt>
                <c:pt idx="202">
                  <c:v>137.5325</c:v>
                </c:pt>
                <c:pt idx="203">
                  <c:v>138.21</c:v>
                </c:pt>
                <c:pt idx="204">
                  <c:v>138.88749999999999</c:v>
                </c:pt>
                <c:pt idx="205">
                  <c:v>139.565</c:v>
                </c:pt>
                <c:pt idx="206">
                  <c:v>140.24250000000001</c:v>
                </c:pt>
                <c:pt idx="207">
                  <c:v>140.91999999999999</c:v>
                </c:pt>
                <c:pt idx="208">
                  <c:v>141.5975</c:v>
                </c:pt>
                <c:pt idx="209">
                  <c:v>142.27500000000001</c:v>
                </c:pt>
                <c:pt idx="210">
                  <c:v>142.95249999999999</c:v>
                </c:pt>
                <c:pt idx="211">
                  <c:v>143.63</c:v>
                </c:pt>
                <c:pt idx="212">
                  <c:v>144.3075</c:v>
                </c:pt>
                <c:pt idx="213">
                  <c:v>144.98499999999999</c:v>
                </c:pt>
                <c:pt idx="214">
                  <c:v>145.66249999999999</c:v>
                </c:pt>
                <c:pt idx="215">
                  <c:v>146.34</c:v>
                </c:pt>
                <c:pt idx="216">
                  <c:v>147.01749999999998</c:v>
                </c:pt>
                <c:pt idx="217">
                  <c:v>147.69499999999999</c:v>
                </c:pt>
                <c:pt idx="218">
                  <c:v>148.3725</c:v>
                </c:pt>
                <c:pt idx="219">
                  <c:v>149.05000000000001</c:v>
                </c:pt>
                <c:pt idx="220">
                  <c:v>149.72749999999999</c:v>
                </c:pt>
                <c:pt idx="221">
                  <c:v>150.405</c:v>
                </c:pt>
                <c:pt idx="222">
                  <c:v>151.08250000000001</c:v>
                </c:pt>
                <c:pt idx="223">
                  <c:v>151.76</c:v>
                </c:pt>
                <c:pt idx="224">
                  <c:v>152.4375</c:v>
                </c:pt>
                <c:pt idx="225">
                  <c:v>153.11500000000001</c:v>
                </c:pt>
                <c:pt idx="226">
                  <c:v>153.79249999999999</c:v>
                </c:pt>
                <c:pt idx="227">
                  <c:v>154.47</c:v>
                </c:pt>
                <c:pt idx="228">
                  <c:v>155.14750000000001</c:v>
                </c:pt>
                <c:pt idx="229">
                  <c:v>155.82499999999999</c:v>
                </c:pt>
                <c:pt idx="230">
                  <c:v>156.5025</c:v>
                </c:pt>
                <c:pt idx="231">
                  <c:v>157.18</c:v>
                </c:pt>
                <c:pt idx="232">
                  <c:v>157.85749999999999</c:v>
                </c:pt>
                <c:pt idx="233">
                  <c:v>158.535</c:v>
                </c:pt>
                <c:pt idx="234">
                  <c:v>159.21250000000001</c:v>
                </c:pt>
                <c:pt idx="235">
                  <c:v>159.88999999999999</c:v>
                </c:pt>
                <c:pt idx="236">
                  <c:v>160.5675</c:v>
                </c:pt>
                <c:pt idx="237">
                  <c:v>161.245</c:v>
                </c:pt>
                <c:pt idx="238">
                  <c:v>161.92249999999999</c:v>
                </c:pt>
                <c:pt idx="239">
                  <c:v>162.6</c:v>
                </c:pt>
                <c:pt idx="240">
                  <c:v>163.2775</c:v>
                </c:pt>
                <c:pt idx="241">
                  <c:v>163.95499999999998</c:v>
                </c:pt>
                <c:pt idx="242">
                  <c:v>164.63249999999999</c:v>
                </c:pt>
                <c:pt idx="243">
                  <c:v>165.31</c:v>
                </c:pt>
                <c:pt idx="244">
                  <c:v>165.98750000000001</c:v>
                </c:pt>
                <c:pt idx="245">
                  <c:v>166.66499999999999</c:v>
                </c:pt>
                <c:pt idx="246">
                  <c:v>167.3425</c:v>
                </c:pt>
                <c:pt idx="247">
                  <c:v>168.02</c:v>
                </c:pt>
                <c:pt idx="248">
                  <c:v>168.69749999999999</c:v>
                </c:pt>
                <c:pt idx="249">
                  <c:v>169.375</c:v>
                </c:pt>
                <c:pt idx="250">
                  <c:v>170.05250000000001</c:v>
                </c:pt>
                <c:pt idx="251">
                  <c:v>170.73</c:v>
                </c:pt>
                <c:pt idx="252">
                  <c:v>171.4075</c:v>
                </c:pt>
                <c:pt idx="253">
                  <c:v>172.08500000000001</c:v>
                </c:pt>
                <c:pt idx="254">
                  <c:v>172.76249999999999</c:v>
                </c:pt>
                <c:pt idx="255">
                  <c:v>173.44</c:v>
                </c:pt>
                <c:pt idx="256">
                  <c:v>174.11750000000001</c:v>
                </c:pt>
                <c:pt idx="257">
                  <c:v>174.79499999999999</c:v>
                </c:pt>
                <c:pt idx="258">
                  <c:v>175.4725</c:v>
                </c:pt>
                <c:pt idx="259">
                  <c:v>176.15</c:v>
                </c:pt>
                <c:pt idx="260">
                  <c:v>176.82749999999999</c:v>
                </c:pt>
                <c:pt idx="261">
                  <c:v>177.505</c:v>
                </c:pt>
                <c:pt idx="262">
                  <c:v>178.1825</c:v>
                </c:pt>
                <c:pt idx="263">
                  <c:v>178.85999999999999</c:v>
                </c:pt>
                <c:pt idx="264">
                  <c:v>179.53749999999999</c:v>
                </c:pt>
                <c:pt idx="265">
                  <c:v>180.215</c:v>
                </c:pt>
                <c:pt idx="266">
                  <c:v>180.89249999999998</c:v>
                </c:pt>
                <c:pt idx="267">
                  <c:v>181.57</c:v>
                </c:pt>
                <c:pt idx="268">
                  <c:v>182.2475</c:v>
                </c:pt>
                <c:pt idx="269">
                  <c:v>182.92500000000001</c:v>
                </c:pt>
                <c:pt idx="270">
                  <c:v>183.60249999999999</c:v>
                </c:pt>
                <c:pt idx="271">
                  <c:v>184.28</c:v>
                </c:pt>
                <c:pt idx="272">
                  <c:v>184.95750000000001</c:v>
                </c:pt>
                <c:pt idx="273">
                  <c:v>185.63499999999999</c:v>
                </c:pt>
                <c:pt idx="274">
                  <c:v>186.3125</c:v>
                </c:pt>
                <c:pt idx="275">
                  <c:v>186.99</c:v>
                </c:pt>
                <c:pt idx="276">
                  <c:v>187.66749999999999</c:v>
                </c:pt>
                <c:pt idx="277">
                  <c:v>188.345</c:v>
                </c:pt>
                <c:pt idx="278">
                  <c:v>189.02250000000001</c:v>
                </c:pt>
                <c:pt idx="279">
                  <c:v>189.7</c:v>
                </c:pt>
                <c:pt idx="280">
                  <c:v>190.3775</c:v>
                </c:pt>
                <c:pt idx="281">
                  <c:v>191.05500000000001</c:v>
                </c:pt>
                <c:pt idx="282">
                  <c:v>191.73249999999999</c:v>
                </c:pt>
                <c:pt idx="283">
                  <c:v>192.41</c:v>
                </c:pt>
                <c:pt idx="284">
                  <c:v>193.08750000000001</c:v>
                </c:pt>
                <c:pt idx="285">
                  <c:v>193.76499999999999</c:v>
                </c:pt>
                <c:pt idx="286">
                  <c:v>194.4425</c:v>
                </c:pt>
                <c:pt idx="287">
                  <c:v>195.12</c:v>
                </c:pt>
                <c:pt idx="288">
                  <c:v>195.79749999999999</c:v>
                </c:pt>
                <c:pt idx="289">
                  <c:v>196.47499999999999</c:v>
                </c:pt>
                <c:pt idx="290">
                  <c:v>197.1525</c:v>
                </c:pt>
                <c:pt idx="291">
                  <c:v>197.82999999999998</c:v>
                </c:pt>
                <c:pt idx="292">
                  <c:v>198.50749999999999</c:v>
                </c:pt>
                <c:pt idx="293">
                  <c:v>199.185</c:v>
                </c:pt>
                <c:pt idx="294">
                  <c:v>199.86250000000001</c:v>
                </c:pt>
                <c:pt idx="295">
                  <c:v>200.54</c:v>
                </c:pt>
                <c:pt idx="296">
                  <c:v>201.2175</c:v>
                </c:pt>
                <c:pt idx="297">
                  <c:v>201.89500000000001</c:v>
                </c:pt>
                <c:pt idx="298">
                  <c:v>202.57249999999999</c:v>
                </c:pt>
                <c:pt idx="299">
                  <c:v>203.25</c:v>
                </c:pt>
                <c:pt idx="300">
                  <c:v>203.92750000000001</c:v>
                </c:pt>
                <c:pt idx="301">
                  <c:v>204.60499999999999</c:v>
                </c:pt>
                <c:pt idx="302">
                  <c:v>205.2825</c:v>
                </c:pt>
                <c:pt idx="303">
                  <c:v>205.96</c:v>
                </c:pt>
                <c:pt idx="304">
                  <c:v>206.63749999999999</c:v>
                </c:pt>
                <c:pt idx="305">
                  <c:v>207.315</c:v>
                </c:pt>
                <c:pt idx="306">
                  <c:v>207.99250000000001</c:v>
                </c:pt>
                <c:pt idx="307">
                  <c:v>208.67</c:v>
                </c:pt>
                <c:pt idx="308">
                  <c:v>209.3475</c:v>
                </c:pt>
                <c:pt idx="309">
                  <c:v>210.02500000000001</c:v>
                </c:pt>
                <c:pt idx="310">
                  <c:v>210.70249999999999</c:v>
                </c:pt>
                <c:pt idx="311">
                  <c:v>211.38</c:v>
                </c:pt>
                <c:pt idx="312">
                  <c:v>212.0575</c:v>
                </c:pt>
                <c:pt idx="313">
                  <c:v>212.73499999999999</c:v>
                </c:pt>
                <c:pt idx="314">
                  <c:v>213.41249999999999</c:v>
                </c:pt>
                <c:pt idx="315">
                  <c:v>214.09</c:v>
                </c:pt>
                <c:pt idx="316">
                  <c:v>214.76749999999998</c:v>
                </c:pt>
                <c:pt idx="317">
                  <c:v>215.44499999999999</c:v>
                </c:pt>
                <c:pt idx="318">
                  <c:v>216.1225</c:v>
                </c:pt>
                <c:pt idx="319">
                  <c:v>216.8</c:v>
                </c:pt>
                <c:pt idx="320">
                  <c:v>217.47749999999999</c:v>
                </c:pt>
                <c:pt idx="321">
                  <c:v>218.155</c:v>
                </c:pt>
                <c:pt idx="322">
                  <c:v>218.83250000000001</c:v>
                </c:pt>
                <c:pt idx="323">
                  <c:v>219.51</c:v>
                </c:pt>
                <c:pt idx="324">
                  <c:v>220.1875</c:v>
                </c:pt>
                <c:pt idx="325">
                  <c:v>220.86500000000001</c:v>
                </c:pt>
                <c:pt idx="326">
                  <c:v>221.54249999999999</c:v>
                </c:pt>
                <c:pt idx="327">
                  <c:v>222.22</c:v>
                </c:pt>
                <c:pt idx="328">
                  <c:v>222.89750000000001</c:v>
                </c:pt>
                <c:pt idx="329">
                  <c:v>223.57499999999999</c:v>
                </c:pt>
                <c:pt idx="330">
                  <c:v>224.2525</c:v>
                </c:pt>
                <c:pt idx="331">
                  <c:v>224.93</c:v>
                </c:pt>
                <c:pt idx="332">
                  <c:v>225.60749999999999</c:v>
                </c:pt>
                <c:pt idx="333">
                  <c:v>226.285</c:v>
                </c:pt>
                <c:pt idx="334">
                  <c:v>226.96250000000001</c:v>
                </c:pt>
                <c:pt idx="335">
                  <c:v>227.64</c:v>
                </c:pt>
                <c:pt idx="336">
                  <c:v>228.3175</c:v>
                </c:pt>
                <c:pt idx="337">
                  <c:v>228.995</c:v>
                </c:pt>
                <c:pt idx="338">
                  <c:v>229.67249999999999</c:v>
                </c:pt>
                <c:pt idx="339">
                  <c:v>230.35</c:v>
                </c:pt>
                <c:pt idx="340">
                  <c:v>231.0275</c:v>
                </c:pt>
                <c:pt idx="341">
                  <c:v>231.70499999999998</c:v>
                </c:pt>
                <c:pt idx="342">
                  <c:v>232.38249999999999</c:v>
                </c:pt>
                <c:pt idx="343">
                  <c:v>233.06</c:v>
                </c:pt>
                <c:pt idx="344">
                  <c:v>233.73749999999998</c:v>
                </c:pt>
                <c:pt idx="345">
                  <c:v>234.41499999999999</c:v>
                </c:pt>
                <c:pt idx="346">
                  <c:v>235.0925</c:v>
                </c:pt>
                <c:pt idx="347">
                  <c:v>235.77</c:v>
                </c:pt>
                <c:pt idx="348">
                  <c:v>236.44749999999999</c:v>
                </c:pt>
                <c:pt idx="349">
                  <c:v>237.125</c:v>
                </c:pt>
                <c:pt idx="350">
                  <c:v>237.80250000000001</c:v>
                </c:pt>
                <c:pt idx="351">
                  <c:v>238.48</c:v>
                </c:pt>
                <c:pt idx="352">
                  <c:v>239.1575</c:v>
                </c:pt>
                <c:pt idx="353">
                  <c:v>239.83500000000001</c:v>
                </c:pt>
                <c:pt idx="354">
                  <c:v>240.51249999999999</c:v>
                </c:pt>
                <c:pt idx="355">
                  <c:v>241.19</c:v>
                </c:pt>
                <c:pt idx="356">
                  <c:v>241.86750000000001</c:v>
                </c:pt>
                <c:pt idx="357">
                  <c:v>242.54499999999999</c:v>
                </c:pt>
                <c:pt idx="358">
                  <c:v>243.2225</c:v>
                </c:pt>
                <c:pt idx="359">
                  <c:v>243.9</c:v>
                </c:pt>
                <c:pt idx="360">
                  <c:v>244.57749999999999</c:v>
                </c:pt>
                <c:pt idx="361">
                  <c:v>245.255</c:v>
                </c:pt>
                <c:pt idx="362">
                  <c:v>245.9325</c:v>
                </c:pt>
                <c:pt idx="363">
                  <c:v>246.60999999999999</c:v>
                </c:pt>
                <c:pt idx="364">
                  <c:v>247.28749999999999</c:v>
                </c:pt>
                <c:pt idx="365">
                  <c:v>247.965</c:v>
                </c:pt>
                <c:pt idx="366">
                  <c:v>248.64249999999998</c:v>
                </c:pt>
                <c:pt idx="367">
                  <c:v>249.32</c:v>
                </c:pt>
                <c:pt idx="368">
                  <c:v>249.9975</c:v>
                </c:pt>
                <c:pt idx="369">
                  <c:v>250.67499999999998</c:v>
                </c:pt>
                <c:pt idx="370">
                  <c:v>251.35249999999999</c:v>
                </c:pt>
                <c:pt idx="371">
                  <c:v>252.03</c:v>
                </c:pt>
                <c:pt idx="372">
                  <c:v>252.70750000000001</c:v>
                </c:pt>
                <c:pt idx="373">
                  <c:v>253.38499999999999</c:v>
                </c:pt>
                <c:pt idx="374">
                  <c:v>254.0625</c:v>
                </c:pt>
                <c:pt idx="375">
                  <c:v>254.74</c:v>
                </c:pt>
                <c:pt idx="376">
                  <c:v>255.41749999999999</c:v>
                </c:pt>
                <c:pt idx="377">
                  <c:v>256.09499999999997</c:v>
                </c:pt>
                <c:pt idx="378">
                  <c:v>256.77249999999998</c:v>
                </c:pt>
                <c:pt idx="379">
                  <c:v>257.45</c:v>
                </c:pt>
                <c:pt idx="380">
                  <c:v>258.1275</c:v>
                </c:pt>
                <c:pt idx="381">
                  <c:v>258.80500000000001</c:v>
                </c:pt>
                <c:pt idx="382">
                  <c:v>259.48250000000002</c:v>
                </c:pt>
                <c:pt idx="383">
                  <c:v>260.15999999999997</c:v>
                </c:pt>
                <c:pt idx="384">
                  <c:v>260.83749999999998</c:v>
                </c:pt>
                <c:pt idx="385">
                  <c:v>261.51499999999999</c:v>
                </c:pt>
                <c:pt idx="386">
                  <c:v>262.1925</c:v>
                </c:pt>
                <c:pt idx="387">
                  <c:v>262.87</c:v>
                </c:pt>
                <c:pt idx="388">
                  <c:v>263.54750000000001</c:v>
                </c:pt>
                <c:pt idx="389">
                  <c:v>264.22500000000002</c:v>
                </c:pt>
                <c:pt idx="390">
                  <c:v>264.90249999999997</c:v>
                </c:pt>
                <c:pt idx="391">
                  <c:v>265.58</c:v>
                </c:pt>
                <c:pt idx="392">
                  <c:v>266.25749999999999</c:v>
                </c:pt>
                <c:pt idx="393">
                  <c:v>266.935</c:v>
                </c:pt>
                <c:pt idx="394">
                  <c:v>267.61250000000001</c:v>
                </c:pt>
                <c:pt idx="395">
                  <c:v>268.29000000000002</c:v>
                </c:pt>
                <c:pt idx="396">
                  <c:v>268.96749999999997</c:v>
                </c:pt>
                <c:pt idx="397">
                  <c:v>269.64499999999998</c:v>
                </c:pt>
                <c:pt idx="398">
                  <c:v>270.32249999999999</c:v>
                </c:pt>
                <c:pt idx="399">
                  <c:v>271</c:v>
                </c:pt>
              </c:numCache>
            </c:numRef>
          </c:yVal>
          <c:smooth val="1"/>
        </c:ser>
        <c:dLbls>
          <c:showLegendKey val="0"/>
          <c:showVal val="0"/>
          <c:showCatName val="0"/>
          <c:showSerName val="0"/>
          <c:showPercent val="0"/>
          <c:showBubbleSize val="0"/>
        </c:dLbls>
        <c:axId val="318736336"/>
        <c:axId val="318737968"/>
      </c:scatterChart>
      <c:valAx>
        <c:axId val="318736336"/>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18737968"/>
        <c:crosses val="autoZero"/>
        <c:crossBetween val="midCat"/>
      </c:valAx>
      <c:valAx>
        <c:axId val="318737968"/>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31873633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NNC_ValidationLiftChart!$BE$4:$BE$13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NNC_ValidationLiftChart!$BF$4:$BF$13</c:f>
              <c:numCache>
                <c:formatCode>General</c:formatCode>
                <c:ptCount val="10"/>
                <c:pt idx="0">
                  <c:v>1.4022140221402213</c:v>
                </c:pt>
                <c:pt idx="1">
                  <c:v>1.2915129151291511</c:v>
                </c:pt>
                <c:pt idx="2">
                  <c:v>1.2177121771217712</c:v>
                </c:pt>
                <c:pt idx="3">
                  <c:v>1.2546125461254611</c:v>
                </c:pt>
                <c:pt idx="4">
                  <c:v>1.107011070110701</c:v>
                </c:pt>
                <c:pt idx="5">
                  <c:v>1.1808118081180812</c:v>
                </c:pt>
                <c:pt idx="6">
                  <c:v>0.84870848708487079</c:v>
                </c:pt>
                <c:pt idx="7">
                  <c:v>0.88560885608856088</c:v>
                </c:pt>
                <c:pt idx="8">
                  <c:v>0.51660516605166051</c:v>
                </c:pt>
                <c:pt idx="9">
                  <c:v>0.29520295202952029</c:v>
                </c:pt>
              </c:numCache>
            </c:numRef>
          </c:val>
        </c:ser>
        <c:dLbls>
          <c:showLegendKey val="0"/>
          <c:showVal val="0"/>
          <c:showCatName val="0"/>
          <c:showSerName val="0"/>
          <c:showPercent val="0"/>
          <c:showBubbleSize val="0"/>
        </c:dLbls>
        <c:gapWidth val="150"/>
        <c:axId val="1491606144"/>
        <c:axId val="1491598528"/>
      </c:barChart>
      <c:catAx>
        <c:axId val="1491606144"/>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491598528"/>
        <c:crosses val="autoZero"/>
        <c:auto val="1"/>
        <c:lblAlgn val="ctr"/>
        <c:lblOffset val="100"/>
        <c:noMultiLvlLbl val="0"/>
      </c:catAx>
      <c:valAx>
        <c:axId val="1491598528"/>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491606144"/>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 AUC = 0.787122</a:t>
            </a:r>
          </a:p>
        </c:rich>
      </c:tx>
      <c:overlay val="0"/>
    </c:title>
    <c:autoTitleDeleted val="0"/>
    <c:plotArea>
      <c:layout/>
      <c:scatterChart>
        <c:scatterStyle val="lineMarker"/>
        <c:varyColors val="0"/>
        <c:ser>
          <c:idx val="0"/>
          <c:order val="0"/>
          <c:tx>
            <c:v>NN Classifier</c:v>
          </c:tx>
          <c:spPr>
            <a:ln w="6350"/>
          </c:spPr>
          <c:marker>
            <c:symbol val="none"/>
          </c:marker>
          <c:xVal>
            <c:numRef>
              <c:f>NNC_ValidationLiftChart!$BZ$2:$BZ$402</c:f>
              <c:numCache>
                <c:formatCode>General</c:formatCode>
                <c:ptCount val="401"/>
                <c:pt idx="0">
                  <c:v>0</c:v>
                </c:pt>
                <c:pt idx="1">
                  <c:v>0</c:v>
                </c:pt>
                <c:pt idx="2">
                  <c:v>0</c:v>
                </c:pt>
                <c:pt idx="3">
                  <c:v>0</c:v>
                </c:pt>
                <c:pt idx="4">
                  <c:v>0</c:v>
                </c:pt>
                <c:pt idx="5">
                  <c:v>7.7519379844961239E-3</c:v>
                </c:pt>
                <c:pt idx="6">
                  <c:v>7.7519379844961239E-3</c:v>
                </c:pt>
                <c:pt idx="7">
                  <c:v>7.7519379844961239E-3</c:v>
                </c:pt>
                <c:pt idx="8">
                  <c:v>7.7519379844961239E-3</c:v>
                </c:pt>
                <c:pt idx="9">
                  <c:v>7.7519379844961239E-3</c:v>
                </c:pt>
                <c:pt idx="10">
                  <c:v>7.7519379844961239E-3</c:v>
                </c:pt>
                <c:pt idx="11">
                  <c:v>7.7519379844961239E-3</c:v>
                </c:pt>
                <c:pt idx="12">
                  <c:v>7.7519379844961239E-3</c:v>
                </c:pt>
                <c:pt idx="13">
                  <c:v>7.7519379844961239E-3</c:v>
                </c:pt>
                <c:pt idx="14">
                  <c:v>7.7519379844961239E-3</c:v>
                </c:pt>
                <c:pt idx="15">
                  <c:v>7.7519379844961239E-3</c:v>
                </c:pt>
                <c:pt idx="16">
                  <c:v>7.7519379844961239E-3</c:v>
                </c:pt>
                <c:pt idx="17">
                  <c:v>7.7519379844961239E-3</c:v>
                </c:pt>
                <c:pt idx="18">
                  <c:v>7.7519379844961239E-3</c:v>
                </c:pt>
                <c:pt idx="19">
                  <c:v>7.7519379844961239E-3</c:v>
                </c:pt>
                <c:pt idx="20">
                  <c:v>7.7519379844961239E-3</c:v>
                </c:pt>
                <c:pt idx="21">
                  <c:v>7.7519379844961239E-3</c:v>
                </c:pt>
                <c:pt idx="22">
                  <c:v>7.7519379844961239E-3</c:v>
                </c:pt>
                <c:pt idx="23">
                  <c:v>7.7519379844961239E-3</c:v>
                </c:pt>
                <c:pt idx="24">
                  <c:v>7.7519379844961239E-3</c:v>
                </c:pt>
                <c:pt idx="25">
                  <c:v>1.5503875968992248E-2</c:v>
                </c:pt>
                <c:pt idx="26">
                  <c:v>1.5503875968992248E-2</c:v>
                </c:pt>
                <c:pt idx="27">
                  <c:v>1.5503875968992248E-2</c:v>
                </c:pt>
                <c:pt idx="28">
                  <c:v>1.5503875968992248E-2</c:v>
                </c:pt>
                <c:pt idx="29">
                  <c:v>1.5503875968992248E-2</c:v>
                </c:pt>
                <c:pt idx="30">
                  <c:v>1.5503875968992248E-2</c:v>
                </c:pt>
                <c:pt idx="31">
                  <c:v>1.5503875968992248E-2</c:v>
                </c:pt>
                <c:pt idx="32">
                  <c:v>1.5503875968992248E-2</c:v>
                </c:pt>
                <c:pt idx="33">
                  <c:v>1.5503875968992248E-2</c:v>
                </c:pt>
                <c:pt idx="34">
                  <c:v>1.5503875968992248E-2</c:v>
                </c:pt>
                <c:pt idx="35">
                  <c:v>1.5503875968992248E-2</c:v>
                </c:pt>
                <c:pt idx="36">
                  <c:v>1.5503875968992248E-2</c:v>
                </c:pt>
                <c:pt idx="37">
                  <c:v>1.5503875968992248E-2</c:v>
                </c:pt>
                <c:pt idx="38">
                  <c:v>1.5503875968992248E-2</c:v>
                </c:pt>
                <c:pt idx="39">
                  <c:v>1.5503875968992248E-2</c:v>
                </c:pt>
                <c:pt idx="40">
                  <c:v>1.5503875968992248E-2</c:v>
                </c:pt>
                <c:pt idx="41">
                  <c:v>1.5503875968992248E-2</c:v>
                </c:pt>
                <c:pt idx="42">
                  <c:v>1.5503875968992248E-2</c:v>
                </c:pt>
                <c:pt idx="43">
                  <c:v>1.5503875968992248E-2</c:v>
                </c:pt>
                <c:pt idx="44">
                  <c:v>1.5503875968992248E-2</c:v>
                </c:pt>
                <c:pt idx="45">
                  <c:v>1.5503875968992248E-2</c:v>
                </c:pt>
                <c:pt idx="46">
                  <c:v>1.5503875968992248E-2</c:v>
                </c:pt>
                <c:pt idx="47">
                  <c:v>1.5503875968992248E-2</c:v>
                </c:pt>
                <c:pt idx="48">
                  <c:v>1.5503875968992248E-2</c:v>
                </c:pt>
                <c:pt idx="49">
                  <c:v>1.5503875968992248E-2</c:v>
                </c:pt>
                <c:pt idx="50">
                  <c:v>1.5503875968992248E-2</c:v>
                </c:pt>
                <c:pt idx="51">
                  <c:v>1.5503875968992248E-2</c:v>
                </c:pt>
                <c:pt idx="52">
                  <c:v>2.3255813953488372E-2</c:v>
                </c:pt>
                <c:pt idx="53">
                  <c:v>2.3255813953488372E-2</c:v>
                </c:pt>
                <c:pt idx="54">
                  <c:v>2.3255813953488372E-2</c:v>
                </c:pt>
                <c:pt idx="55">
                  <c:v>2.3255813953488372E-2</c:v>
                </c:pt>
                <c:pt idx="56">
                  <c:v>2.3255813953488372E-2</c:v>
                </c:pt>
                <c:pt idx="57">
                  <c:v>2.3255813953488372E-2</c:v>
                </c:pt>
                <c:pt idx="58">
                  <c:v>2.3255813953488372E-2</c:v>
                </c:pt>
                <c:pt idx="59">
                  <c:v>2.3255813953488372E-2</c:v>
                </c:pt>
                <c:pt idx="60">
                  <c:v>2.3255813953488372E-2</c:v>
                </c:pt>
                <c:pt idx="61">
                  <c:v>3.1007751937984496E-2</c:v>
                </c:pt>
                <c:pt idx="62">
                  <c:v>3.1007751937984496E-2</c:v>
                </c:pt>
                <c:pt idx="63">
                  <c:v>3.1007751937984496E-2</c:v>
                </c:pt>
                <c:pt idx="64">
                  <c:v>3.1007751937984496E-2</c:v>
                </c:pt>
                <c:pt idx="65">
                  <c:v>3.1007751937984496E-2</c:v>
                </c:pt>
                <c:pt idx="66">
                  <c:v>3.1007751937984496E-2</c:v>
                </c:pt>
                <c:pt idx="67">
                  <c:v>3.1007751937984496E-2</c:v>
                </c:pt>
                <c:pt idx="68">
                  <c:v>3.875968992248062E-2</c:v>
                </c:pt>
                <c:pt idx="69">
                  <c:v>3.875968992248062E-2</c:v>
                </c:pt>
                <c:pt idx="70">
                  <c:v>3.875968992248062E-2</c:v>
                </c:pt>
                <c:pt idx="71">
                  <c:v>3.875968992248062E-2</c:v>
                </c:pt>
                <c:pt idx="72">
                  <c:v>3.875968992248062E-2</c:v>
                </c:pt>
                <c:pt idx="73">
                  <c:v>4.6511627906976744E-2</c:v>
                </c:pt>
                <c:pt idx="74">
                  <c:v>4.6511627906976744E-2</c:v>
                </c:pt>
                <c:pt idx="75">
                  <c:v>5.4263565891472867E-2</c:v>
                </c:pt>
                <c:pt idx="76">
                  <c:v>5.4263565891472867E-2</c:v>
                </c:pt>
                <c:pt idx="77">
                  <c:v>5.4263565891472867E-2</c:v>
                </c:pt>
                <c:pt idx="78">
                  <c:v>5.4263565891472867E-2</c:v>
                </c:pt>
                <c:pt idx="79">
                  <c:v>5.4263565891472867E-2</c:v>
                </c:pt>
                <c:pt idx="80">
                  <c:v>5.4263565891472867E-2</c:v>
                </c:pt>
                <c:pt idx="81">
                  <c:v>5.4263565891472867E-2</c:v>
                </c:pt>
                <c:pt idx="82">
                  <c:v>5.4263565891472867E-2</c:v>
                </c:pt>
                <c:pt idx="83">
                  <c:v>5.4263565891472867E-2</c:v>
                </c:pt>
                <c:pt idx="84">
                  <c:v>5.4263565891472867E-2</c:v>
                </c:pt>
                <c:pt idx="85">
                  <c:v>5.4263565891472867E-2</c:v>
                </c:pt>
                <c:pt idx="86">
                  <c:v>5.4263565891472867E-2</c:v>
                </c:pt>
                <c:pt idx="87">
                  <c:v>5.4263565891472867E-2</c:v>
                </c:pt>
                <c:pt idx="88">
                  <c:v>5.4263565891472867E-2</c:v>
                </c:pt>
                <c:pt idx="89">
                  <c:v>6.2015503875968991E-2</c:v>
                </c:pt>
                <c:pt idx="90">
                  <c:v>6.9767441860465115E-2</c:v>
                </c:pt>
                <c:pt idx="91">
                  <c:v>7.7519379844961239E-2</c:v>
                </c:pt>
                <c:pt idx="92">
                  <c:v>7.7519379844961239E-2</c:v>
                </c:pt>
                <c:pt idx="93">
                  <c:v>7.7519379844961239E-2</c:v>
                </c:pt>
                <c:pt idx="94">
                  <c:v>8.5271317829457363E-2</c:v>
                </c:pt>
                <c:pt idx="95">
                  <c:v>8.5271317829457363E-2</c:v>
                </c:pt>
                <c:pt idx="96">
                  <c:v>8.5271317829457363E-2</c:v>
                </c:pt>
                <c:pt idx="97">
                  <c:v>8.5271317829457363E-2</c:v>
                </c:pt>
                <c:pt idx="98">
                  <c:v>8.5271317829457363E-2</c:v>
                </c:pt>
                <c:pt idx="99">
                  <c:v>8.5271317829457363E-2</c:v>
                </c:pt>
                <c:pt idx="100">
                  <c:v>8.5271317829457363E-2</c:v>
                </c:pt>
                <c:pt idx="101">
                  <c:v>8.5271317829457363E-2</c:v>
                </c:pt>
                <c:pt idx="102">
                  <c:v>8.5271317829457363E-2</c:v>
                </c:pt>
                <c:pt idx="103">
                  <c:v>9.3023255813953487E-2</c:v>
                </c:pt>
                <c:pt idx="104">
                  <c:v>9.3023255813953487E-2</c:v>
                </c:pt>
                <c:pt idx="105">
                  <c:v>9.3023255813953487E-2</c:v>
                </c:pt>
                <c:pt idx="106">
                  <c:v>9.3023255813953487E-2</c:v>
                </c:pt>
                <c:pt idx="107">
                  <c:v>9.3023255813953487E-2</c:v>
                </c:pt>
                <c:pt idx="108">
                  <c:v>9.3023255813953487E-2</c:v>
                </c:pt>
                <c:pt idx="109">
                  <c:v>9.3023255813953487E-2</c:v>
                </c:pt>
                <c:pt idx="110">
                  <c:v>9.3023255813953487E-2</c:v>
                </c:pt>
                <c:pt idx="111">
                  <c:v>9.3023255813953487E-2</c:v>
                </c:pt>
                <c:pt idx="112">
                  <c:v>9.3023255813953487E-2</c:v>
                </c:pt>
                <c:pt idx="113">
                  <c:v>9.3023255813953487E-2</c:v>
                </c:pt>
                <c:pt idx="114">
                  <c:v>9.3023255813953487E-2</c:v>
                </c:pt>
                <c:pt idx="115">
                  <c:v>9.3023255813953487E-2</c:v>
                </c:pt>
                <c:pt idx="116">
                  <c:v>9.3023255813953487E-2</c:v>
                </c:pt>
                <c:pt idx="117">
                  <c:v>9.3023255813953487E-2</c:v>
                </c:pt>
                <c:pt idx="118">
                  <c:v>0.10077519379844961</c:v>
                </c:pt>
                <c:pt idx="119">
                  <c:v>0.10852713178294573</c:v>
                </c:pt>
                <c:pt idx="120">
                  <c:v>0.10852713178294573</c:v>
                </c:pt>
                <c:pt idx="121">
                  <c:v>0.10852713178294573</c:v>
                </c:pt>
                <c:pt idx="122">
                  <c:v>0.10852713178294573</c:v>
                </c:pt>
                <c:pt idx="123">
                  <c:v>0.10852713178294573</c:v>
                </c:pt>
                <c:pt idx="124">
                  <c:v>0.10852713178294573</c:v>
                </c:pt>
                <c:pt idx="125">
                  <c:v>0.10852713178294573</c:v>
                </c:pt>
                <c:pt idx="126">
                  <c:v>0.10852713178294573</c:v>
                </c:pt>
                <c:pt idx="127">
                  <c:v>0.11627906976744186</c:v>
                </c:pt>
                <c:pt idx="128">
                  <c:v>0.12403100775193798</c:v>
                </c:pt>
                <c:pt idx="129">
                  <c:v>0.12403100775193798</c:v>
                </c:pt>
                <c:pt idx="130">
                  <c:v>0.12403100775193798</c:v>
                </c:pt>
                <c:pt idx="131">
                  <c:v>0.12403100775193798</c:v>
                </c:pt>
                <c:pt idx="132">
                  <c:v>0.12403100775193798</c:v>
                </c:pt>
                <c:pt idx="133">
                  <c:v>0.12403100775193798</c:v>
                </c:pt>
                <c:pt idx="134">
                  <c:v>0.12403100775193798</c:v>
                </c:pt>
                <c:pt idx="135">
                  <c:v>0.12403100775193798</c:v>
                </c:pt>
                <c:pt idx="136">
                  <c:v>0.12403100775193798</c:v>
                </c:pt>
                <c:pt idx="137">
                  <c:v>0.12403100775193798</c:v>
                </c:pt>
                <c:pt idx="138">
                  <c:v>0.12403100775193798</c:v>
                </c:pt>
                <c:pt idx="139">
                  <c:v>0.12403100775193798</c:v>
                </c:pt>
                <c:pt idx="140">
                  <c:v>0.12403100775193798</c:v>
                </c:pt>
                <c:pt idx="141">
                  <c:v>0.12403100775193798</c:v>
                </c:pt>
                <c:pt idx="142">
                  <c:v>0.12403100775193798</c:v>
                </c:pt>
                <c:pt idx="143">
                  <c:v>0.12403100775193798</c:v>
                </c:pt>
                <c:pt idx="144">
                  <c:v>0.12403100775193798</c:v>
                </c:pt>
                <c:pt idx="145">
                  <c:v>0.12403100775193798</c:v>
                </c:pt>
                <c:pt idx="146">
                  <c:v>0.12403100775193798</c:v>
                </c:pt>
                <c:pt idx="147">
                  <c:v>0.13178294573643412</c:v>
                </c:pt>
                <c:pt idx="148">
                  <c:v>0.13178294573643412</c:v>
                </c:pt>
                <c:pt idx="149">
                  <c:v>0.13178294573643412</c:v>
                </c:pt>
                <c:pt idx="150">
                  <c:v>0.13178294573643412</c:v>
                </c:pt>
                <c:pt idx="151">
                  <c:v>0.13953488372093023</c:v>
                </c:pt>
                <c:pt idx="152">
                  <c:v>0.14728682170542637</c:v>
                </c:pt>
                <c:pt idx="153">
                  <c:v>0.14728682170542637</c:v>
                </c:pt>
                <c:pt idx="154">
                  <c:v>0.15503875968992248</c:v>
                </c:pt>
                <c:pt idx="155">
                  <c:v>0.15503875968992248</c:v>
                </c:pt>
                <c:pt idx="156">
                  <c:v>0.15503875968992248</c:v>
                </c:pt>
                <c:pt idx="157">
                  <c:v>0.15503875968992248</c:v>
                </c:pt>
                <c:pt idx="158">
                  <c:v>0.15503875968992248</c:v>
                </c:pt>
                <c:pt idx="159">
                  <c:v>0.15503875968992248</c:v>
                </c:pt>
                <c:pt idx="160">
                  <c:v>0.15503875968992248</c:v>
                </c:pt>
                <c:pt idx="161">
                  <c:v>0.15503875968992248</c:v>
                </c:pt>
                <c:pt idx="162">
                  <c:v>0.15503875968992248</c:v>
                </c:pt>
                <c:pt idx="163">
                  <c:v>0.15503875968992248</c:v>
                </c:pt>
                <c:pt idx="164">
                  <c:v>0.16279069767441862</c:v>
                </c:pt>
                <c:pt idx="165">
                  <c:v>0.17054263565891473</c:v>
                </c:pt>
                <c:pt idx="166">
                  <c:v>0.17054263565891473</c:v>
                </c:pt>
                <c:pt idx="167">
                  <c:v>0.17054263565891473</c:v>
                </c:pt>
                <c:pt idx="168">
                  <c:v>0.17054263565891473</c:v>
                </c:pt>
                <c:pt idx="169">
                  <c:v>0.17054263565891473</c:v>
                </c:pt>
                <c:pt idx="170">
                  <c:v>0.17054263565891473</c:v>
                </c:pt>
                <c:pt idx="171">
                  <c:v>0.17054263565891473</c:v>
                </c:pt>
                <c:pt idx="172">
                  <c:v>0.17829457364341086</c:v>
                </c:pt>
                <c:pt idx="173">
                  <c:v>0.17829457364341086</c:v>
                </c:pt>
                <c:pt idx="174">
                  <c:v>0.17829457364341086</c:v>
                </c:pt>
                <c:pt idx="175">
                  <c:v>0.17829457364341086</c:v>
                </c:pt>
                <c:pt idx="176">
                  <c:v>0.17829457364341086</c:v>
                </c:pt>
                <c:pt idx="177">
                  <c:v>0.17829457364341086</c:v>
                </c:pt>
                <c:pt idx="178">
                  <c:v>0.18604651162790697</c:v>
                </c:pt>
                <c:pt idx="179">
                  <c:v>0.18604651162790697</c:v>
                </c:pt>
                <c:pt idx="180">
                  <c:v>0.19379844961240311</c:v>
                </c:pt>
                <c:pt idx="181">
                  <c:v>0.19379844961240311</c:v>
                </c:pt>
                <c:pt idx="182">
                  <c:v>0.19379844961240311</c:v>
                </c:pt>
                <c:pt idx="183">
                  <c:v>0.19379844961240311</c:v>
                </c:pt>
                <c:pt idx="184">
                  <c:v>0.19379844961240311</c:v>
                </c:pt>
                <c:pt idx="185">
                  <c:v>0.19379844961240311</c:v>
                </c:pt>
                <c:pt idx="186">
                  <c:v>0.19379844961240311</c:v>
                </c:pt>
                <c:pt idx="187">
                  <c:v>0.19379844961240311</c:v>
                </c:pt>
                <c:pt idx="188">
                  <c:v>0.20155038759689922</c:v>
                </c:pt>
                <c:pt idx="189">
                  <c:v>0.20155038759689922</c:v>
                </c:pt>
                <c:pt idx="190">
                  <c:v>0.20930232558139536</c:v>
                </c:pt>
                <c:pt idx="191">
                  <c:v>0.20930232558139536</c:v>
                </c:pt>
                <c:pt idx="192">
                  <c:v>0.21705426356589147</c:v>
                </c:pt>
                <c:pt idx="193">
                  <c:v>0.21705426356589147</c:v>
                </c:pt>
                <c:pt idx="194">
                  <c:v>0.21705426356589147</c:v>
                </c:pt>
                <c:pt idx="195">
                  <c:v>0.22480620155038761</c:v>
                </c:pt>
                <c:pt idx="196">
                  <c:v>0.22480620155038761</c:v>
                </c:pt>
                <c:pt idx="197">
                  <c:v>0.23255813953488372</c:v>
                </c:pt>
                <c:pt idx="198">
                  <c:v>0.23255813953488372</c:v>
                </c:pt>
                <c:pt idx="199">
                  <c:v>0.23255813953488372</c:v>
                </c:pt>
                <c:pt idx="200">
                  <c:v>0.23255813953488372</c:v>
                </c:pt>
                <c:pt idx="201">
                  <c:v>0.23255813953488372</c:v>
                </c:pt>
                <c:pt idx="202">
                  <c:v>0.23255813953488372</c:v>
                </c:pt>
                <c:pt idx="203">
                  <c:v>0.23255813953488372</c:v>
                </c:pt>
                <c:pt idx="204">
                  <c:v>0.23255813953488372</c:v>
                </c:pt>
                <c:pt idx="205">
                  <c:v>0.23255813953488372</c:v>
                </c:pt>
                <c:pt idx="206">
                  <c:v>0.23255813953488372</c:v>
                </c:pt>
                <c:pt idx="207">
                  <c:v>0.23255813953488372</c:v>
                </c:pt>
                <c:pt idx="208">
                  <c:v>0.23255813953488372</c:v>
                </c:pt>
                <c:pt idx="209">
                  <c:v>0.23255813953488372</c:v>
                </c:pt>
                <c:pt idx="210">
                  <c:v>0.23255813953488372</c:v>
                </c:pt>
                <c:pt idx="211">
                  <c:v>0.23255813953488372</c:v>
                </c:pt>
                <c:pt idx="212">
                  <c:v>0.23255813953488372</c:v>
                </c:pt>
                <c:pt idx="213">
                  <c:v>0.24031007751937986</c:v>
                </c:pt>
                <c:pt idx="214">
                  <c:v>0.24806201550387597</c:v>
                </c:pt>
                <c:pt idx="215">
                  <c:v>0.2558139534883721</c:v>
                </c:pt>
                <c:pt idx="216">
                  <c:v>0.2558139534883721</c:v>
                </c:pt>
                <c:pt idx="217">
                  <c:v>0.2558139534883721</c:v>
                </c:pt>
                <c:pt idx="218">
                  <c:v>0.2558139534883721</c:v>
                </c:pt>
                <c:pt idx="219">
                  <c:v>0.2558139534883721</c:v>
                </c:pt>
                <c:pt idx="220">
                  <c:v>0.2558139534883721</c:v>
                </c:pt>
                <c:pt idx="221">
                  <c:v>0.2558139534883721</c:v>
                </c:pt>
                <c:pt idx="222">
                  <c:v>0.2558139534883721</c:v>
                </c:pt>
                <c:pt idx="223">
                  <c:v>0.26356589147286824</c:v>
                </c:pt>
                <c:pt idx="224">
                  <c:v>0.27131782945736432</c:v>
                </c:pt>
                <c:pt idx="225">
                  <c:v>0.27131782945736432</c:v>
                </c:pt>
                <c:pt idx="226">
                  <c:v>0.27131782945736432</c:v>
                </c:pt>
                <c:pt idx="227">
                  <c:v>0.27131782945736432</c:v>
                </c:pt>
                <c:pt idx="228">
                  <c:v>0.27131782945736432</c:v>
                </c:pt>
                <c:pt idx="229">
                  <c:v>0.27906976744186046</c:v>
                </c:pt>
                <c:pt idx="230">
                  <c:v>0.27906976744186046</c:v>
                </c:pt>
                <c:pt idx="231">
                  <c:v>0.27906976744186046</c:v>
                </c:pt>
                <c:pt idx="232">
                  <c:v>0.27906976744186046</c:v>
                </c:pt>
                <c:pt idx="233">
                  <c:v>0.27906976744186046</c:v>
                </c:pt>
                <c:pt idx="234">
                  <c:v>0.27906976744186046</c:v>
                </c:pt>
                <c:pt idx="235">
                  <c:v>0.27906976744186046</c:v>
                </c:pt>
                <c:pt idx="236">
                  <c:v>0.27906976744186046</c:v>
                </c:pt>
                <c:pt idx="237">
                  <c:v>0.2868217054263566</c:v>
                </c:pt>
                <c:pt idx="238">
                  <c:v>0.2868217054263566</c:v>
                </c:pt>
                <c:pt idx="239">
                  <c:v>0.2868217054263566</c:v>
                </c:pt>
                <c:pt idx="240">
                  <c:v>0.29457364341085274</c:v>
                </c:pt>
                <c:pt idx="241">
                  <c:v>0.29457364341085274</c:v>
                </c:pt>
                <c:pt idx="242">
                  <c:v>0.30232558139534882</c:v>
                </c:pt>
                <c:pt idx="243">
                  <c:v>0.30232558139534882</c:v>
                </c:pt>
                <c:pt idx="244">
                  <c:v>0.31007751937984496</c:v>
                </c:pt>
                <c:pt idx="245">
                  <c:v>0.31007751937984496</c:v>
                </c:pt>
                <c:pt idx="246">
                  <c:v>0.31782945736434109</c:v>
                </c:pt>
                <c:pt idx="247">
                  <c:v>0.31782945736434109</c:v>
                </c:pt>
                <c:pt idx="248">
                  <c:v>0.31782945736434109</c:v>
                </c:pt>
                <c:pt idx="249">
                  <c:v>0.31782945736434109</c:v>
                </c:pt>
                <c:pt idx="250">
                  <c:v>0.32558139534883723</c:v>
                </c:pt>
                <c:pt idx="251">
                  <c:v>0.32558139534883723</c:v>
                </c:pt>
                <c:pt idx="252">
                  <c:v>0.33333333333333331</c:v>
                </c:pt>
                <c:pt idx="253">
                  <c:v>0.33333333333333331</c:v>
                </c:pt>
                <c:pt idx="254">
                  <c:v>0.34108527131782945</c:v>
                </c:pt>
                <c:pt idx="255">
                  <c:v>0.34883720930232559</c:v>
                </c:pt>
                <c:pt idx="256">
                  <c:v>0.35658914728682173</c:v>
                </c:pt>
                <c:pt idx="257">
                  <c:v>0.35658914728682173</c:v>
                </c:pt>
                <c:pt idx="258">
                  <c:v>0.36434108527131781</c:v>
                </c:pt>
                <c:pt idx="259">
                  <c:v>0.36434108527131781</c:v>
                </c:pt>
                <c:pt idx="260">
                  <c:v>0.36434108527131781</c:v>
                </c:pt>
                <c:pt idx="261">
                  <c:v>0.36434108527131781</c:v>
                </c:pt>
                <c:pt idx="262">
                  <c:v>0.37209302325581395</c:v>
                </c:pt>
                <c:pt idx="263">
                  <c:v>0.37209302325581395</c:v>
                </c:pt>
                <c:pt idx="264">
                  <c:v>0.37209302325581395</c:v>
                </c:pt>
                <c:pt idx="265">
                  <c:v>0.37209302325581395</c:v>
                </c:pt>
                <c:pt idx="266">
                  <c:v>0.37209302325581395</c:v>
                </c:pt>
                <c:pt idx="267">
                  <c:v>0.37209302325581395</c:v>
                </c:pt>
                <c:pt idx="268">
                  <c:v>0.37209302325581395</c:v>
                </c:pt>
                <c:pt idx="269">
                  <c:v>0.37209302325581395</c:v>
                </c:pt>
                <c:pt idx="270">
                  <c:v>0.37984496124031009</c:v>
                </c:pt>
                <c:pt idx="271">
                  <c:v>0.38759689922480622</c:v>
                </c:pt>
                <c:pt idx="272">
                  <c:v>0.39534883720930231</c:v>
                </c:pt>
                <c:pt idx="273">
                  <c:v>0.40310077519379844</c:v>
                </c:pt>
                <c:pt idx="274">
                  <c:v>0.40310077519379844</c:v>
                </c:pt>
                <c:pt idx="275">
                  <c:v>0.41085271317829458</c:v>
                </c:pt>
                <c:pt idx="276">
                  <c:v>0.41860465116279072</c:v>
                </c:pt>
                <c:pt idx="277">
                  <c:v>0.4263565891472868</c:v>
                </c:pt>
                <c:pt idx="278">
                  <c:v>0.4263565891472868</c:v>
                </c:pt>
                <c:pt idx="279">
                  <c:v>0.4263565891472868</c:v>
                </c:pt>
                <c:pt idx="280">
                  <c:v>0.4263565891472868</c:v>
                </c:pt>
                <c:pt idx="281">
                  <c:v>0.4263565891472868</c:v>
                </c:pt>
                <c:pt idx="282">
                  <c:v>0.4263565891472868</c:v>
                </c:pt>
                <c:pt idx="283">
                  <c:v>0.4263565891472868</c:v>
                </c:pt>
                <c:pt idx="284">
                  <c:v>0.4263565891472868</c:v>
                </c:pt>
                <c:pt idx="285">
                  <c:v>0.4263565891472868</c:v>
                </c:pt>
                <c:pt idx="286">
                  <c:v>0.4263565891472868</c:v>
                </c:pt>
                <c:pt idx="287">
                  <c:v>0.4263565891472868</c:v>
                </c:pt>
                <c:pt idx="288">
                  <c:v>0.43410852713178294</c:v>
                </c:pt>
                <c:pt idx="289">
                  <c:v>0.43410852713178294</c:v>
                </c:pt>
                <c:pt idx="290">
                  <c:v>0.43410852713178294</c:v>
                </c:pt>
                <c:pt idx="291">
                  <c:v>0.44186046511627908</c:v>
                </c:pt>
                <c:pt idx="292">
                  <c:v>0.44961240310077522</c:v>
                </c:pt>
                <c:pt idx="293">
                  <c:v>0.44961240310077522</c:v>
                </c:pt>
                <c:pt idx="294">
                  <c:v>0.44961240310077522</c:v>
                </c:pt>
                <c:pt idx="295">
                  <c:v>0.44961240310077522</c:v>
                </c:pt>
                <c:pt idx="296">
                  <c:v>0.44961240310077522</c:v>
                </c:pt>
                <c:pt idx="297">
                  <c:v>0.4573643410852713</c:v>
                </c:pt>
                <c:pt idx="298">
                  <c:v>0.4573643410852713</c:v>
                </c:pt>
                <c:pt idx="299">
                  <c:v>0.46511627906976744</c:v>
                </c:pt>
                <c:pt idx="300">
                  <c:v>0.47286821705426357</c:v>
                </c:pt>
                <c:pt idx="301">
                  <c:v>0.48062015503875971</c:v>
                </c:pt>
                <c:pt idx="302">
                  <c:v>0.48062015503875971</c:v>
                </c:pt>
                <c:pt idx="303">
                  <c:v>0.48062015503875971</c:v>
                </c:pt>
                <c:pt idx="304">
                  <c:v>0.48837209302325579</c:v>
                </c:pt>
                <c:pt idx="305">
                  <c:v>0.49612403100775193</c:v>
                </c:pt>
                <c:pt idx="306">
                  <c:v>0.50387596899224807</c:v>
                </c:pt>
                <c:pt idx="307">
                  <c:v>0.50387596899224807</c:v>
                </c:pt>
                <c:pt idx="308">
                  <c:v>0.51162790697674421</c:v>
                </c:pt>
                <c:pt idx="309">
                  <c:v>0.51937984496124034</c:v>
                </c:pt>
                <c:pt idx="310">
                  <c:v>0.51937984496124034</c:v>
                </c:pt>
                <c:pt idx="311">
                  <c:v>0.51937984496124034</c:v>
                </c:pt>
                <c:pt idx="312">
                  <c:v>0.52713178294573648</c:v>
                </c:pt>
                <c:pt idx="313">
                  <c:v>0.52713178294573648</c:v>
                </c:pt>
                <c:pt idx="314">
                  <c:v>0.53488372093023251</c:v>
                </c:pt>
                <c:pt idx="315">
                  <c:v>0.53488372093023251</c:v>
                </c:pt>
                <c:pt idx="316">
                  <c:v>0.54263565891472865</c:v>
                </c:pt>
                <c:pt idx="317">
                  <c:v>0.55038759689922478</c:v>
                </c:pt>
                <c:pt idx="318">
                  <c:v>0.55038759689922478</c:v>
                </c:pt>
                <c:pt idx="319">
                  <c:v>0.55038759689922478</c:v>
                </c:pt>
                <c:pt idx="320">
                  <c:v>0.55038759689922478</c:v>
                </c:pt>
                <c:pt idx="321">
                  <c:v>0.55038759689922478</c:v>
                </c:pt>
                <c:pt idx="322">
                  <c:v>0.55813953488372092</c:v>
                </c:pt>
                <c:pt idx="323">
                  <c:v>0.56589147286821706</c:v>
                </c:pt>
                <c:pt idx="324">
                  <c:v>0.5736434108527132</c:v>
                </c:pt>
                <c:pt idx="325">
                  <c:v>0.58139534883720934</c:v>
                </c:pt>
                <c:pt idx="326">
                  <c:v>0.58139534883720934</c:v>
                </c:pt>
                <c:pt idx="327">
                  <c:v>0.58914728682170547</c:v>
                </c:pt>
                <c:pt idx="328">
                  <c:v>0.58914728682170547</c:v>
                </c:pt>
                <c:pt idx="329">
                  <c:v>0.5968992248062015</c:v>
                </c:pt>
                <c:pt idx="330">
                  <c:v>0.5968992248062015</c:v>
                </c:pt>
                <c:pt idx="331">
                  <c:v>0.5968992248062015</c:v>
                </c:pt>
                <c:pt idx="332">
                  <c:v>0.5968992248062015</c:v>
                </c:pt>
                <c:pt idx="333">
                  <c:v>0.60465116279069764</c:v>
                </c:pt>
                <c:pt idx="334">
                  <c:v>0.61240310077519378</c:v>
                </c:pt>
                <c:pt idx="335">
                  <c:v>0.61240310077519378</c:v>
                </c:pt>
                <c:pt idx="336">
                  <c:v>0.62015503875968991</c:v>
                </c:pt>
                <c:pt idx="337">
                  <c:v>0.62790697674418605</c:v>
                </c:pt>
                <c:pt idx="338">
                  <c:v>0.63565891472868219</c:v>
                </c:pt>
                <c:pt idx="339">
                  <c:v>0.63565891472868219</c:v>
                </c:pt>
                <c:pt idx="340">
                  <c:v>0.64341085271317833</c:v>
                </c:pt>
                <c:pt idx="341">
                  <c:v>0.65116279069767447</c:v>
                </c:pt>
                <c:pt idx="342">
                  <c:v>0.65891472868217049</c:v>
                </c:pt>
                <c:pt idx="343">
                  <c:v>0.66666666666666663</c:v>
                </c:pt>
                <c:pt idx="344">
                  <c:v>0.67441860465116277</c:v>
                </c:pt>
                <c:pt idx="345">
                  <c:v>0.67441860465116277</c:v>
                </c:pt>
                <c:pt idx="346">
                  <c:v>0.67441860465116277</c:v>
                </c:pt>
                <c:pt idx="347">
                  <c:v>0.67441860465116277</c:v>
                </c:pt>
                <c:pt idx="348">
                  <c:v>0.68217054263565891</c:v>
                </c:pt>
                <c:pt idx="349">
                  <c:v>0.68992248062015504</c:v>
                </c:pt>
                <c:pt idx="350">
                  <c:v>0.68992248062015504</c:v>
                </c:pt>
                <c:pt idx="351">
                  <c:v>0.69767441860465118</c:v>
                </c:pt>
                <c:pt idx="352">
                  <c:v>0.70542635658914732</c:v>
                </c:pt>
                <c:pt idx="353">
                  <c:v>0.71317829457364346</c:v>
                </c:pt>
                <c:pt idx="354">
                  <c:v>0.72093023255813948</c:v>
                </c:pt>
                <c:pt idx="355">
                  <c:v>0.72868217054263562</c:v>
                </c:pt>
                <c:pt idx="356">
                  <c:v>0.73643410852713176</c:v>
                </c:pt>
                <c:pt idx="357">
                  <c:v>0.73643410852713176</c:v>
                </c:pt>
                <c:pt idx="358">
                  <c:v>0.7441860465116279</c:v>
                </c:pt>
                <c:pt idx="359">
                  <c:v>0.75193798449612403</c:v>
                </c:pt>
                <c:pt idx="360">
                  <c:v>0.75193798449612403</c:v>
                </c:pt>
                <c:pt idx="361">
                  <c:v>0.75193798449612403</c:v>
                </c:pt>
                <c:pt idx="362">
                  <c:v>0.75968992248062017</c:v>
                </c:pt>
                <c:pt idx="363">
                  <c:v>0.76744186046511631</c:v>
                </c:pt>
                <c:pt idx="364">
                  <c:v>0.77519379844961245</c:v>
                </c:pt>
                <c:pt idx="365">
                  <c:v>0.77519379844961245</c:v>
                </c:pt>
                <c:pt idx="366">
                  <c:v>0.77519379844961245</c:v>
                </c:pt>
                <c:pt idx="367">
                  <c:v>0.78294573643410847</c:v>
                </c:pt>
                <c:pt idx="368">
                  <c:v>0.79069767441860461</c:v>
                </c:pt>
                <c:pt idx="369">
                  <c:v>0.79844961240310075</c:v>
                </c:pt>
                <c:pt idx="370">
                  <c:v>0.80620155038759689</c:v>
                </c:pt>
                <c:pt idx="371">
                  <c:v>0.80620155038759689</c:v>
                </c:pt>
                <c:pt idx="372">
                  <c:v>0.81395348837209303</c:v>
                </c:pt>
                <c:pt idx="373">
                  <c:v>0.82170542635658916</c:v>
                </c:pt>
                <c:pt idx="374">
                  <c:v>0.8294573643410853</c:v>
                </c:pt>
                <c:pt idx="375">
                  <c:v>0.83720930232558144</c:v>
                </c:pt>
                <c:pt idx="376">
                  <c:v>0.84496124031007747</c:v>
                </c:pt>
                <c:pt idx="377">
                  <c:v>0.8527131782945736</c:v>
                </c:pt>
                <c:pt idx="378">
                  <c:v>0.86046511627906974</c:v>
                </c:pt>
                <c:pt idx="379">
                  <c:v>0.86046511627906974</c:v>
                </c:pt>
                <c:pt idx="380">
                  <c:v>0.86821705426356588</c:v>
                </c:pt>
                <c:pt idx="381">
                  <c:v>0.87596899224806202</c:v>
                </c:pt>
                <c:pt idx="382">
                  <c:v>0.88372093023255816</c:v>
                </c:pt>
                <c:pt idx="383">
                  <c:v>0.89147286821705429</c:v>
                </c:pt>
                <c:pt idx="384">
                  <c:v>0.89922480620155043</c:v>
                </c:pt>
                <c:pt idx="385">
                  <c:v>0.90697674418604646</c:v>
                </c:pt>
                <c:pt idx="386">
                  <c:v>0.9147286821705426</c:v>
                </c:pt>
                <c:pt idx="387">
                  <c:v>0.92248062015503873</c:v>
                </c:pt>
                <c:pt idx="388">
                  <c:v>0.92248062015503873</c:v>
                </c:pt>
                <c:pt idx="389">
                  <c:v>0.93023255813953487</c:v>
                </c:pt>
                <c:pt idx="390">
                  <c:v>0.93798449612403101</c:v>
                </c:pt>
                <c:pt idx="391">
                  <c:v>0.93798449612403101</c:v>
                </c:pt>
                <c:pt idx="392">
                  <c:v>0.94573643410852715</c:v>
                </c:pt>
                <c:pt idx="393">
                  <c:v>0.95348837209302328</c:v>
                </c:pt>
                <c:pt idx="394">
                  <c:v>0.96124031007751942</c:v>
                </c:pt>
                <c:pt idx="395">
                  <c:v>0.96899224806201545</c:v>
                </c:pt>
                <c:pt idx="396">
                  <c:v>0.97674418604651159</c:v>
                </c:pt>
                <c:pt idx="397">
                  <c:v>0.98449612403100772</c:v>
                </c:pt>
                <c:pt idx="398">
                  <c:v>0.99224806201550386</c:v>
                </c:pt>
                <c:pt idx="399">
                  <c:v>1</c:v>
                </c:pt>
                <c:pt idx="400">
                  <c:v>1</c:v>
                </c:pt>
              </c:numCache>
            </c:numRef>
          </c:xVal>
          <c:yVal>
            <c:numRef>
              <c:f>NNC_ValidationLiftChart!$CA$2:$CA$402</c:f>
              <c:numCache>
                <c:formatCode>General</c:formatCode>
                <c:ptCount val="401"/>
                <c:pt idx="0">
                  <c:v>0</c:v>
                </c:pt>
                <c:pt idx="1">
                  <c:v>3.6900369003690036E-3</c:v>
                </c:pt>
                <c:pt idx="2">
                  <c:v>7.3800738007380072E-3</c:v>
                </c:pt>
                <c:pt idx="3">
                  <c:v>1.107011070110701E-2</c:v>
                </c:pt>
                <c:pt idx="4">
                  <c:v>1.4760147601476014E-2</c:v>
                </c:pt>
                <c:pt idx="5">
                  <c:v>1.4760147601476014E-2</c:v>
                </c:pt>
                <c:pt idx="6">
                  <c:v>1.8450184501845018E-2</c:v>
                </c:pt>
                <c:pt idx="7">
                  <c:v>2.2140221402214021E-2</c:v>
                </c:pt>
                <c:pt idx="8">
                  <c:v>2.5830258302583026E-2</c:v>
                </c:pt>
                <c:pt idx="9">
                  <c:v>2.9520295202952029E-2</c:v>
                </c:pt>
                <c:pt idx="10">
                  <c:v>3.3210332103321034E-2</c:v>
                </c:pt>
                <c:pt idx="11">
                  <c:v>3.6900369003690037E-2</c:v>
                </c:pt>
                <c:pt idx="12">
                  <c:v>4.0590405904059039E-2</c:v>
                </c:pt>
                <c:pt idx="13">
                  <c:v>4.4280442804428041E-2</c:v>
                </c:pt>
                <c:pt idx="14">
                  <c:v>4.797047970479705E-2</c:v>
                </c:pt>
                <c:pt idx="15">
                  <c:v>5.1660516605166053E-2</c:v>
                </c:pt>
                <c:pt idx="16">
                  <c:v>5.5350553505535055E-2</c:v>
                </c:pt>
                <c:pt idx="17">
                  <c:v>5.9040590405904057E-2</c:v>
                </c:pt>
                <c:pt idx="18">
                  <c:v>6.273062730627306E-2</c:v>
                </c:pt>
                <c:pt idx="19">
                  <c:v>6.6420664206642069E-2</c:v>
                </c:pt>
                <c:pt idx="20">
                  <c:v>7.0110701107011064E-2</c:v>
                </c:pt>
                <c:pt idx="21">
                  <c:v>7.3800738007380073E-2</c:v>
                </c:pt>
                <c:pt idx="22">
                  <c:v>7.7490774907749083E-2</c:v>
                </c:pt>
                <c:pt idx="23">
                  <c:v>8.1180811808118078E-2</c:v>
                </c:pt>
                <c:pt idx="24">
                  <c:v>8.4870848708487087E-2</c:v>
                </c:pt>
                <c:pt idx="25">
                  <c:v>8.4870848708487087E-2</c:v>
                </c:pt>
                <c:pt idx="26">
                  <c:v>8.8560885608856083E-2</c:v>
                </c:pt>
                <c:pt idx="27">
                  <c:v>9.2250922509225092E-2</c:v>
                </c:pt>
                <c:pt idx="28">
                  <c:v>9.5940959409594101E-2</c:v>
                </c:pt>
                <c:pt idx="29">
                  <c:v>9.9630996309963096E-2</c:v>
                </c:pt>
                <c:pt idx="30">
                  <c:v>0.10332103321033211</c:v>
                </c:pt>
                <c:pt idx="31">
                  <c:v>0.1070110701107011</c:v>
                </c:pt>
                <c:pt idx="32">
                  <c:v>0.11070110701107011</c:v>
                </c:pt>
                <c:pt idx="33">
                  <c:v>0.11439114391143912</c:v>
                </c:pt>
                <c:pt idx="34">
                  <c:v>0.11808118081180811</c:v>
                </c:pt>
                <c:pt idx="35">
                  <c:v>0.12177121771217712</c:v>
                </c:pt>
                <c:pt idx="36">
                  <c:v>0.12546125461254612</c:v>
                </c:pt>
                <c:pt idx="37">
                  <c:v>0.12915129151291513</c:v>
                </c:pt>
                <c:pt idx="38">
                  <c:v>0.13284132841328414</c:v>
                </c:pt>
                <c:pt idx="39">
                  <c:v>0.13653136531365315</c:v>
                </c:pt>
                <c:pt idx="40">
                  <c:v>0.14022140221402213</c:v>
                </c:pt>
                <c:pt idx="41">
                  <c:v>0.14391143911439114</c:v>
                </c:pt>
                <c:pt idx="42">
                  <c:v>0.14760147601476015</c:v>
                </c:pt>
                <c:pt idx="43">
                  <c:v>0.15129151291512916</c:v>
                </c:pt>
                <c:pt idx="44">
                  <c:v>0.15498154981549817</c:v>
                </c:pt>
                <c:pt idx="45">
                  <c:v>0.15867158671586715</c:v>
                </c:pt>
                <c:pt idx="46">
                  <c:v>0.16236162361623616</c:v>
                </c:pt>
                <c:pt idx="47">
                  <c:v>0.16605166051660517</c:v>
                </c:pt>
                <c:pt idx="48">
                  <c:v>0.16974169741697417</c:v>
                </c:pt>
                <c:pt idx="49">
                  <c:v>0.17343173431734318</c:v>
                </c:pt>
                <c:pt idx="50">
                  <c:v>0.17712177121771217</c:v>
                </c:pt>
                <c:pt idx="51">
                  <c:v>0.18081180811808117</c:v>
                </c:pt>
                <c:pt idx="52">
                  <c:v>0.18081180811808117</c:v>
                </c:pt>
                <c:pt idx="53">
                  <c:v>0.18450184501845018</c:v>
                </c:pt>
                <c:pt idx="54">
                  <c:v>0.18819188191881919</c:v>
                </c:pt>
                <c:pt idx="55">
                  <c:v>0.1918819188191882</c:v>
                </c:pt>
                <c:pt idx="56">
                  <c:v>0.19557195571955718</c:v>
                </c:pt>
                <c:pt idx="57">
                  <c:v>0.19926199261992619</c:v>
                </c:pt>
                <c:pt idx="58">
                  <c:v>0.2029520295202952</c:v>
                </c:pt>
                <c:pt idx="59">
                  <c:v>0.20664206642066421</c:v>
                </c:pt>
                <c:pt idx="60">
                  <c:v>0.21033210332103322</c:v>
                </c:pt>
                <c:pt idx="61">
                  <c:v>0.21033210332103322</c:v>
                </c:pt>
                <c:pt idx="62">
                  <c:v>0.2140221402214022</c:v>
                </c:pt>
                <c:pt idx="63">
                  <c:v>0.21771217712177121</c:v>
                </c:pt>
                <c:pt idx="64">
                  <c:v>0.22140221402214022</c:v>
                </c:pt>
                <c:pt idx="65">
                  <c:v>0.22509225092250923</c:v>
                </c:pt>
                <c:pt idx="66">
                  <c:v>0.22878228782287824</c:v>
                </c:pt>
                <c:pt idx="67">
                  <c:v>0.23247232472324722</c:v>
                </c:pt>
                <c:pt idx="68">
                  <c:v>0.23247232472324722</c:v>
                </c:pt>
                <c:pt idx="69">
                  <c:v>0.23616236162361623</c:v>
                </c:pt>
                <c:pt idx="70">
                  <c:v>0.23985239852398524</c:v>
                </c:pt>
                <c:pt idx="71">
                  <c:v>0.24354243542435425</c:v>
                </c:pt>
                <c:pt idx="72">
                  <c:v>0.24723247232472326</c:v>
                </c:pt>
                <c:pt idx="73">
                  <c:v>0.24723247232472326</c:v>
                </c:pt>
                <c:pt idx="74">
                  <c:v>0.25092250922509224</c:v>
                </c:pt>
                <c:pt idx="75">
                  <c:v>0.25092250922509224</c:v>
                </c:pt>
                <c:pt idx="76">
                  <c:v>0.25461254612546125</c:v>
                </c:pt>
                <c:pt idx="77">
                  <c:v>0.25830258302583026</c:v>
                </c:pt>
                <c:pt idx="78">
                  <c:v>0.26199261992619927</c:v>
                </c:pt>
                <c:pt idx="79">
                  <c:v>0.26568265682656828</c:v>
                </c:pt>
                <c:pt idx="80">
                  <c:v>0.26937269372693728</c:v>
                </c:pt>
                <c:pt idx="81">
                  <c:v>0.27306273062730629</c:v>
                </c:pt>
                <c:pt idx="82">
                  <c:v>0.2767527675276753</c:v>
                </c:pt>
                <c:pt idx="83">
                  <c:v>0.28044280442804426</c:v>
                </c:pt>
                <c:pt idx="84">
                  <c:v>0.28413284132841327</c:v>
                </c:pt>
                <c:pt idx="85">
                  <c:v>0.28782287822878228</c:v>
                </c:pt>
                <c:pt idx="86">
                  <c:v>0.29151291512915128</c:v>
                </c:pt>
                <c:pt idx="87">
                  <c:v>0.29520295202952029</c:v>
                </c:pt>
                <c:pt idx="88">
                  <c:v>0.2988929889298893</c:v>
                </c:pt>
                <c:pt idx="89">
                  <c:v>0.2988929889298893</c:v>
                </c:pt>
                <c:pt idx="90">
                  <c:v>0.2988929889298893</c:v>
                </c:pt>
                <c:pt idx="91">
                  <c:v>0.2988929889298893</c:v>
                </c:pt>
                <c:pt idx="92">
                  <c:v>0.30258302583025831</c:v>
                </c:pt>
                <c:pt idx="93">
                  <c:v>0.30627306273062732</c:v>
                </c:pt>
                <c:pt idx="94">
                  <c:v>0.30627306273062732</c:v>
                </c:pt>
                <c:pt idx="95">
                  <c:v>0.30996309963099633</c:v>
                </c:pt>
                <c:pt idx="96">
                  <c:v>0.31365313653136534</c:v>
                </c:pt>
                <c:pt idx="97">
                  <c:v>0.31734317343173429</c:v>
                </c:pt>
                <c:pt idx="98">
                  <c:v>0.3210332103321033</c:v>
                </c:pt>
                <c:pt idx="99">
                  <c:v>0.32472324723247231</c:v>
                </c:pt>
                <c:pt idx="100">
                  <c:v>0.32841328413284132</c:v>
                </c:pt>
                <c:pt idx="101">
                  <c:v>0.33210332103321033</c:v>
                </c:pt>
                <c:pt idx="102">
                  <c:v>0.33579335793357934</c:v>
                </c:pt>
                <c:pt idx="103">
                  <c:v>0.33579335793357934</c:v>
                </c:pt>
                <c:pt idx="104">
                  <c:v>0.33948339483394835</c:v>
                </c:pt>
                <c:pt idx="105">
                  <c:v>0.34317343173431736</c:v>
                </c:pt>
                <c:pt idx="106">
                  <c:v>0.34686346863468637</c:v>
                </c:pt>
                <c:pt idx="107">
                  <c:v>0.35055350553505538</c:v>
                </c:pt>
                <c:pt idx="108">
                  <c:v>0.35424354243542433</c:v>
                </c:pt>
                <c:pt idx="109">
                  <c:v>0.35793357933579334</c:v>
                </c:pt>
                <c:pt idx="110">
                  <c:v>0.36162361623616235</c:v>
                </c:pt>
                <c:pt idx="111">
                  <c:v>0.36531365313653136</c:v>
                </c:pt>
                <c:pt idx="112">
                  <c:v>0.36900369003690037</c:v>
                </c:pt>
                <c:pt idx="113">
                  <c:v>0.37269372693726938</c:v>
                </c:pt>
                <c:pt idx="114">
                  <c:v>0.37638376383763839</c:v>
                </c:pt>
                <c:pt idx="115">
                  <c:v>0.38007380073800739</c:v>
                </c:pt>
                <c:pt idx="116">
                  <c:v>0.3837638376383764</c:v>
                </c:pt>
                <c:pt idx="117">
                  <c:v>0.38745387453874541</c:v>
                </c:pt>
                <c:pt idx="118">
                  <c:v>0.38745387453874541</c:v>
                </c:pt>
                <c:pt idx="119">
                  <c:v>0.38745387453874541</c:v>
                </c:pt>
                <c:pt idx="120">
                  <c:v>0.39114391143911437</c:v>
                </c:pt>
                <c:pt idx="121">
                  <c:v>0.39483394833948338</c:v>
                </c:pt>
                <c:pt idx="122">
                  <c:v>0.39852398523985239</c:v>
                </c:pt>
                <c:pt idx="123">
                  <c:v>0.40221402214022139</c:v>
                </c:pt>
                <c:pt idx="124">
                  <c:v>0.4059040590405904</c:v>
                </c:pt>
                <c:pt idx="125">
                  <c:v>0.40959409594095941</c:v>
                </c:pt>
                <c:pt idx="126">
                  <c:v>0.41328413284132842</c:v>
                </c:pt>
                <c:pt idx="127">
                  <c:v>0.41328413284132842</c:v>
                </c:pt>
                <c:pt idx="128">
                  <c:v>0.41328413284132842</c:v>
                </c:pt>
                <c:pt idx="129">
                  <c:v>0.41697416974169743</c:v>
                </c:pt>
                <c:pt idx="130">
                  <c:v>0.42066420664206644</c:v>
                </c:pt>
                <c:pt idx="131">
                  <c:v>0.42435424354243545</c:v>
                </c:pt>
                <c:pt idx="132">
                  <c:v>0.4280442804428044</c:v>
                </c:pt>
                <c:pt idx="133">
                  <c:v>0.43173431734317341</c:v>
                </c:pt>
                <c:pt idx="134">
                  <c:v>0.43542435424354242</c:v>
                </c:pt>
                <c:pt idx="135">
                  <c:v>0.43911439114391143</c:v>
                </c:pt>
                <c:pt idx="136">
                  <c:v>0.44280442804428044</c:v>
                </c:pt>
                <c:pt idx="137">
                  <c:v>0.44649446494464945</c:v>
                </c:pt>
                <c:pt idx="138">
                  <c:v>0.45018450184501846</c:v>
                </c:pt>
                <c:pt idx="139">
                  <c:v>0.45387453874538747</c:v>
                </c:pt>
                <c:pt idx="140">
                  <c:v>0.45756457564575648</c:v>
                </c:pt>
                <c:pt idx="141">
                  <c:v>0.46125461254612549</c:v>
                </c:pt>
                <c:pt idx="142">
                  <c:v>0.46494464944649444</c:v>
                </c:pt>
                <c:pt idx="143">
                  <c:v>0.46863468634686345</c:v>
                </c:pt>
                <c:pt idx="144">
                  <c:v>0.47232472324723246</c:v>
                </c:pt>
                <c:pt idx="145">
                  <c:v>0.47601476014760147</c:v>
                </c:pt>
                <c:pt idx="146">
                  <c:v>0.47970479704797048</c:v>
                </c:pt>
                <c:pt idx="147">
                  <c:v>0.47970479704797048</c:v>
                </c:pt>
                <c:pt idx="148">
                  <c:v>0.48339483394833949</c:v>
                </c:pt>
                <c:pt idx="149">
                  <c:v>0.4870848708487085</c:v>
                </c:pt>
                <c:pt idx="150">
                  <c:v>0.4907749077490775</c:v>
                </c:pt>
                <c:pt idx="151">
                  <c:v>0.4907749077490775</c:v>
                </c:pt>
                <c:pt idx="152">
                  <c:v>0.4907749077490775</c:v>
                </c:pt>
                <c:pt idx="153">
                  <c:v>0.49446494464944651</c:v>
                </c:pt>
                <c:pt idx="154">
                  <c:v>0.49446494464944651</c:v>
                </c:pt>
                <c:pt idx="155">
                  <c:v>0.49815498154981552</c:v>
                </c:pt>
                <c:pt idx="156">
                  <c:v>0.50184501845018448</c:v>
                </c:pt>
                <c:pt idx="157">
                  <c:v>0.50553505535055354</c:v>
                </c:pt>
                <c:pt idx="158">
                  <c:v>0.5092250922509225</c:v>
                </c:pt>
                <c:pt idx="159">
                  <c:v>0.51291512915129156</c:v>
                </c:pt>
                <c:pt idx="160">
                  <c:v>0.51660516605166051</c:v>
                </c:pt>
                <c:pt idx="161">
                  <c:v>0.52029520295202947</c:v>
                </c:pt>
                <c:pt idx="162">
                  <c:v>0.52398523985239853</c:v>
                </c:pt>
                <c:pt idx="163">
                  <c:v>0.52767527675276749</c:v>
                </c:pt>
                <c:pt idx="164">
                  <c:v>0.52767527675276749</c:v>
                </c:pt>
                <c:pt idx="165">
                  <c:v>0.52767527675276749</c:v>
                </c:pt>
                <c:pt idx="166">
                  <c:v>0.53136531365313655</c:v>
                </c:pt>
                <c:pt idx="167">
                  <c:v>0.5350553505535055</c:v>
                </c:pt>
                <c:pt idx="168">
                  <c:v>0.53874538745387457</c:v>
                </c:pt>
                <c:pt idx="169">
                  <c:v>0.54243542435424352</c:v>
                </c:pt>
                <c:pt idx="170">
                  <c:v>0.54612546125461259</c:v>
                </c:pt>
                <c:pt idx="171">
                  <c:v>0.54981549815498154</c:v>
                </c:pt>
                <c:pt idx="172">
                  <c:v>0.54981549815498154</c:v>
                </c:pt>
                <c:pt idx="173">
                  <c:v>0.55350553505535061</c:v>
                </c:pt>
                <c:pt idx="174">
                  <c:v>0.55719557195571956</c:v>
                </c:pt>
                <c:pt idx="175">
                  <c:v>0.56088560885608851</c:v>
                </c:pt>
                <c:pt idx="176">
                  <c:v>0.56457564575645758</c:v>
                </c:pt>
                <c:pt idx="177">
                  <c:v>0.56826568265682653</c:v>
                </c:pt>
                <c:pt idx="178">
                  <c:v>0.56826568265682653</c:v>
                </c:pt>
                <c:pt idx="179">
                  <c:v>0.5719557195571956</c:v>
                </c:pt>
                <c:pt idx="180">
                  <c:v>0.5719557195571956</c:v>
                </c:pt>
                <c:pt idx="181">
                  <c:v>0.57564575645756455</c:v>
                </c:pt>
                <c:pt idx="182">
                  <c:v>0.57933579335793361</c:v>
                </c:pt>
                <c:pt idx="183">
                  <c:v>0.58302583025830257</c:v>
                </c:pt>
                <c:pt idx="184">
                  <c:v>0.58671586715867163</c:v>
                </c:pt>
                <c:pt idx="185">
                  <c:v>0.59040590405904059</c:v>
                </c:pt>
                <c:pt idx="186">
                  <c:v>0.59409594095940954</c:v>
                </c:pt>
                <c:pt idx="187">
                  <c:v>0.59778597785977861</c:v>
                </c:pt>
                <c:pt idx="188">
                  <c:v>0.59778597785977861</c:v>
                </c:pt>
                <c:pt idx="189">
                  <c:v>0.60147601476014756</c:v>
                </c:pt>
                <c:pt idx="190">
                  <c:v>0.60147601476014756</c:v>
                </c:pt>
                <c:pt idx="191">
                  <c:v>0.60516605166051662</c:v>
                </c:pt>
                <c:pt idx="192">
                  <c:v>0.60516605166051662</c:v>
                </c:pt>
                <c:pt idx="193">
                  <c:v>0.60885608856088558</c:v>
                </c:pt>
                <c:pt idx="194">
                  <c:v>0.61254612546125464</c:v>
                </c:pt>
                <c:pt idx="195">
                  <c:v>0.61254612546125464</c:v>
                </c:pt>
                <c:pt idx="196">
                  <c:v>0.6162361623616236</c:v>
                </c:pt>
                <c:pt idx="197">
                  <c:v>0.6162361623616236</c:v>
                </c:pt>
                <c:pt idx="198">
                  <c:v>0.61992619926199266</c:v>
                </c:pt>
                <c:pt idx="199">
                  <c:v>0.62361623616236161</c:v>
                </c:pt>
                <c:pt idx="200">
                  <c:v>0.62730627306273068</c:v>
                </c:pt>
                <c:pt idx="201">
                  <c:v>0.63099630996309963</c:v>
                </c:pt>
                <c:pt idx="202">
                  <c:v>0.63468634686346859</c:v>
                </c:pt>
                <c:pt idx="203">
                  <c:v>0.63837638376383765</c:v>
                </c:pt>
                <c:pt idx="204">
                  <c:v>0.64206642066420661</c:v>
                </c:pt>
                <c:pt idx="205">
                  <c:v>0.64575645756457567</c:v>
                </c:pt>
                <c:pt idx="206">
                  <c:v>0.64944649446494462</c:v>
                </c:pt>
                <c:pt idx="207">
                  <c:v>0.65313653136531369</c:v>
                </c:pt>
                <c:pt idx="208">
                  <c:v>0.65682656826568264</c:v>
                </c:pt>
                <c:pt idx="209">
                  <c:v>0.66051660516605171</c:v>
                </c:pt>
                <c:pt idx="210">
                  <c:v>0.66420664206642066</c:v>
                </c:pt>
                <c:pt idx="211">
                  <c:v>0.66789667896678961</c:v>
                </c:pt>
                <c:pt idx="212">
                  <c:v>0.67158671586715868</c:v>
                </c:pt>
                <c:pt idx="213">
                  <c:v>0.67158671586715868</c:v>
                </c:pt>
                <c:pt idx="214">
                  <c:v>0.67158671586715868</c:v>
                </c:pt>
                <c:pt idx="215">
                  <c:v>0.67158671586715868</c:v>
                </c:pt>
                <c:pt idx="216">
                  <c:v>0.67527675276752763</c:v>
                </c:pt>
                <c:pt idx="217">
                  <c:v>0.6789667896678967</c:v>
                </c:pt>
                <c:pt idx="218">
                  <c:v>0.68265682656826565</c:v>
                </c:pt>
                <c:pt idx="219">
                  <c:v>0.68634686346863472</c:v>
                </c:pt>
                <c:pt idx="220">
                  <c:v>0.69003690036900367</c:v>
                </c:pt>
                <c:pt idx="221">
                  <c:v>0.69372693726937273</c:v>
                </c:pt>
                <c:pt idx="222">
                  <c:v>0.69741697416974169</c:v>
                </c:pt>
                <c:pt idx="223">
                  <c:v>0.69741697416974169</c:v>
                </c:pt>
                <c:pt idx="224">
                  <c:v>0.69741697416974169</c:v>
                </c:pt>
                <c:pt idx="225">
                  <c:v>0.70110701107011075</c:v>
                </c:pt>
                <c:pt idx="226">
                  <c:v>0.70479704797047971</c:v>
                </c:pt>
                <c:pt idx="227">
                  <c:v>0.70848708487084866</c:v>
                </c:pt>
                <c:pt idx="228">
                  <c:v>0.71217712177121772</c:v>
                </c:pt>
                <c:pt idx="229">
                  <c:v>0.71217712177121772</c:v>
                </c:pt>
                <c:pt idx="230">
                  <c:v>0.71586715867158668</c:v>
                </c:pt>
                <c:pt idx="231">
                  <c:v>0.71955719557195574</c:v>
                </c:pt>
                <c:pt idx="232">
                  <c:v>0.7232472324723247</c:v>
                </c:pt>
                <c:pt idx="233">
                  <c:v>0.72693726937269376</c:v>
                </c:pt>
                <c:pt idx="234">
                  <c:v>0.73062730627306272</c:v>
                </c:pt>
                <c:pt idx="235">
                  <c:v>0.73431734317343178</c:v>
                </c:pt>
                <c:pt idx="236">
                  <c:v>0.73800738007380073</c:v>
                </c:pt>
                <c:pt idx="237">
                  <c:v>0.73800738007380073</c:v>
                </c:pt>
                <c:pt idx="238">
                  <c:v>0.74169741697416969</c:v>
                </c:pt>
                <c:pt idx="239">
                  <c:v>0.74538745387453875</c:v>
                </c:pt>
                <c:pt idx="240">
                  <c:v>0.74538745387453875</c:v>
                </c:pt>
                <c:pt idx="241">
                  <c:v>0.74907749077490771</c:v>
                </c:pt>
                <c:pt idx="242">
                  <c:v>0.74907749077490771</c:v>
                </c:pt>
                <c:pt idx="243">
                  <c:v>0.75276752767527677</c:v>
                </c:pt>
                <c:pt idx="244">
                  <c:v>0.75276752767527677</c:v>
                </c:pt>
                <c:pt idx="245">
                  <c:v>0.75645756457564572</c:v>
                </c:pt>
                <c:pt idx="246">
                  <c:v>0.75645756457564572</c:v>
                </c:pt>
                <c:pt idx="247">
                  <c:v>0.76014760147601479</c:v>
                </c:pt>
                <c:pt idx="248">
                  <c:v>0.76383763837638374</c:v>
                </c:pt>
                <c:pt idx="249">
                  <c:v>0.76752767527675281</c:v>
                </c:pt>
                <c:pt idx="250">
                  <c:v>0.76752767527675281</c:v>
                </c:pt>
                <c:pt idx="251">
                  <c:v>0.77121771217712176</c:v>
                </c:pt>
                <c:pt idx="252">
                  <c:v>0.77121771217712176</c:v>
                </c:pt>
                <c:pt idx="253">
                  <c:v>0.77490774907749083</c:v>
                </c:pt>
                <c:pt idx="254">
                  <c:v>0.77490774907749083</c:v>
                </c:pt>
                <c:pt idx="255">
                  <c:v>0.77490774907749083</c:v>
                </c:pt>
                <c:pt idx="256">
                  <c:v>0.77490774907749083</c:v>
                </c:pt>
                <c:pt idx="257">
                  <c:v>0.77859778597785978</c:v>
                </c:pt>
                <c:pt idx="258">
                  <c:v>0.77859778597785978</c:v>
                </c:pt>
                <c:pt idx="259">
                  <c:v>0.78228782287822873</c:v>
                </c:pt>
                <c:pt idx="260">
                  <c:v>0.7859778597785978</c:v>
                </c:pt>
                <c:pt idx="261">
                  <c:v>0.78966789667896675</c:v>
                </c:pt>
                <c:pt idx="262">
                  <c:v>0.78966789667896675</c:v>
                </c:pt>
                <c:pt idx="263">
                  <c:v>0.79335793357933582</c:v>
                </c:pt>
                <c:pt idx="264">
                  <c:v>0.79704797047970477</c:v>
                </c:pt>
                <c:pt idx="265">
                  <c:v>0.80073800738007384</c:v>
                </c:pt>
                <c:pt idx="266">
                  <c:v>0.80442804428044279</c:v>
                </c:pt>
                <c:pt idx="267">
                  <c:v>0.80811808118081185</c:v>
                </c:pt>
                <c:pt idx="268">
                  <c:v>0.81180811808118081</c:v>
                </c:pt>
                <c:pt idx="269">
                  <c:v>0.81549815498154976</c:v>
                </c:pt>
                <c:pt idx="270">
                  <c:v>0.81549815498154976</c:v>
                </c:pt>
                <c:pt idx="271">
                  <c:v>0.81549815498154976</c:v>
                </c:pt>
                <c:pt idx="272">
                  <c:v>0.81549815498154976</c:v>
                </c:pt>
                <c:pt idx="273">
                  <c:v>0.81549815498154976</c:v>
                </c:pt>
                <c:pt idx="274">
                  <c:v>0.81918819188191883</c:v>
                </c:pt>
                <c:pt idx="275">
                  <c:v>0.81918819188191883</c:v>
                </c:pt>
                <c:pt idx="276">
                  <c:v>0.81918819188191883</c:v>
                </c:pt>
                <c:pt idx="277">
                  <c:v>0.81918819188191883</c:v>
                </c:pt>
                <c:pt idx="278">
                  <c:v>0.82287822878228778</c:v>
                </c:pt>
                <c:pt idx="279">
                  <c:v>0.82656826568265684</c:v>
                </c:pt>
                <c:pt idx="280">
                  <c:v>0.8302583025830258</c:v>
                </c:pt>
                <c:pt idx="281">
                  <c:v>0.83394833948339486</c:v>
                </c:pt>
                <c:pt idx="282">
                  <c:v>0.83763837638376382</c:v>
                </c:pt>
                <c:pt idx="283">
                  <c:v>0.84132841328413288</c:v>
                </c:pt>
                <c:pt idx="284">
                  <c:v>0.84501845018450183</c:v>
                </c:pt>
                <c:pt idx="285">
                  <c:v>0.8487084870848709</c:v>
                </c:pt>
                <c:pt idx="286">
                  <c:v>0.85239852398523985</c:v>
                </c:pt>
                <c:pt idx="287">
                  <c:v>0.85608856088560881</c:v>
                </c:pt>
                <c:pt idx="288">
                  <c:v>0.85608856088560881</c:v>
                </c:pt>
                <c:pt idx="289">
                  <c:v>0.85977859778597787</c:v>
                </c:pt>
                <c:pt idx="290">
                  <c:v>0.86346863468634683</c:v>
                </c:pt>
                <c:pt idx="291">
                  <c:v>0.86346863468634683</c:v>
                </c:pt>
                <c:pt idx="292">
                  <c:v>0.86346863468634683</c:v>
                </c:pt>
                <c:pt idx="293">
                  <c:v>0.86715867158671589</c:v>
                </c:pt>
                <c:pt idx="294">
                  <c:v>0.87084870848708484</c:v>
                </c:pt>
                <c:pt idx="295">
                  <c:v>0.87453874538745391</c:v>
                </c:pt>
                <c:pt idx="296">
                  <c:v>0.87822878228782286</c:v>
                </c:pt>
                <c:pt idx="297">
                  <c:v>0.87822878228782286</c:v>
                </c:pt>
                <c:pt idx="298">
                  <c:v>0.88191881918819193</c:v>
                </c:pt>
                <c:pt idx="299">
                  <c:v>0.88191881918819193</c:v>
                </c:pt>
                <c:pt idx="300">
                  <c:v>0.88191881918819193</c:v>
                </c:pt>
                <c:pt idx="301">
                  <c:v>0.88191881918819193</c:v>
                </c:pt>
                <c:pt idx="302">
                  <c:v>0.88560885608856088</c:v>
                </c:pt>
                <c:pt idx="303">
                  <c:v>0.88929889298892983</c:v>
                </c:pt>
                <c:pt idx="304">
                  <c:v>0.88929889298892983</c:v>
                </c:pt>
                <c:pt idx="305">
                  <c:v>0.88929889298892983</c:v>
                </c:pt>
                <c:pt idx="306">
                  <c:v>0.88929889298892983</c:v>
                </c:pt>
                <c:pt idx="307">
                  <c:v>0.8929889298892989</c:v>
                </c:pt>
                <c:pt idx="308">
                  <c:v>0.8929889298892989</c:v>
                </c:pt>
                <c:pt idx="309">
                  <c:v>0.8929889298892989</c:v>
                </c:pt>
                <c:pt idx="310">
                  <c:v>0.89667896678966785</c:v>
                </c:pt>
                <c:pt idx="311">
                  <c:v>0.90036900369003692</c:v>
                </c:pt>
                <c:pt idx="312">
                  <c:v>0.90036900369003692</c:v>
                </c:pt>
                <c:pt idx="313">
                  <c:v>0.90405904059040587</c:v>
                </c:pt>
                <c:pt idx="314">
                  <c:v>0.90405904059040587</c:v>
                </c:pt>
                <c:pt idx="315">
                  <c:v>0.90774907749077494</c:v>
                </c:pt>
                <c:pt idx="316">
                  <c:v>0.90774907749077494</c:v>
                </c:pt>
                <c:pt idx="317">
                  <c:v>0.90774907749077494</c:v>
                </c:pt>
                <c:pt idx="318">
                  <c:v>0.91143911439114389</c:v>
                </c:pt>
                <c:pt idx="319">
                  <c:v>0.91512915129151295</c:v>
                </c:pt>
                <c:pt idx="320">
                  <c:v>0.91881918819188191</c:v>
                </c:pt>
                <c:pt idx="321">
                  <c:v>0.92250922509225097</c:v>
                </c:pt>
                <c:pt idx="322">
                  <c:v>0.92250922509225097</c:v>
                </c:pt>
                <c:pt idx="323">
                  <c:v>0.92250922509225097</c:v>
                </c:pt>
                <c:pt idx="324">
                  <c:v>0.92250922509225097</c:v>
                </c:pt>
                <c:pt idx="325">
                  <c:v>0.92250922509225097</c:v>
                </c:pt>
                <c:pt idx="326">
                  <c:v>0.92619926199261993</c:v>
                </c:pt>
                <c:pt idx="327">
                  <c:v>0.92619926199261993</c:v>
                </c:pt>
                <c:pt idx="328">
                  <c:v>0.92988929889298888</c:v>
                </c:pt>
                <c:pt idx="329">
                  <c:v>0.92988929889298888</c:v>
                </c:pt>
                <c:pt idx="330">
                  <c:v>0.93357933579335795</c:v>
                </c:pt>
                <c:pt idx="331">
                  <c:v>0.9372693726937269</c:v>
                </c:pt>
                <c:pt idx="332">
                  <c:v>0.94095940959409596</c:v>
                </c:pt>
                <c:pt idx="333">
                  <c:v>0.94095940959409596</c:v>
                </c:pt>
                <c:pt idx="334">
                  <c:v>0.94095940959409596</c:v>
                </c:pt>
                <c:pt idx="335">
                  <c:v>0.94464944649446492</c:v>
                </c:pt>
                <c:pt idx="336">
                  <c:v>0.94464944649446492</c:v>
                </c:pt>
                <c:pt idx="337">
                  <c:v>0.94464944649446492</c:v>
                </c:pt>
                <c:pt idx="338">
                  <c:v>0.94464944649446492</c:v>
                </c:pt>
                <c:pt idx="339">
                  <c:v>0.94833948339483398</c:v>
                </c:pt>
                <c:pt idx="340">
                  <c:v>0.94833948339483398</c:v>
                </c:pt>
                <c:pt idx="341">
                  <c:v>0.94833948339483398</c:v>
                </c:pt>
                <c:pt idx="342">
                  <c:v>0.94833948339483398</c:v>
                </c:pt>
                <c:pt idx="343">
                  <c:v>0.94833948339483398</c:v>
                </c:pt>
                <c:pt idx="344">
                  <c:v>0.94833948339483398</c:v>
                </c:pt>
                <c:pt idx="345">
                  <c:v>0.95202952029520294</c:v>
                </c:pt>
                <c:pt idx="346">
                  <c:v>0.955719557195572</c:v>
                </c:pt>
                <c:pt idx="347">
                  <c:v>0.95940959409594095</c:v>
                </c:pt>
                <c:pt idx="348">
                  <c:v>0.95940959409594095</c:v>
                </c:pt>
                <c:pt idx="349">
                  <c:v>0.95940959409594095</c:v>
                </c:pt>
                <c:pt idx="350">
                  <c:v>0.96309963099630991</c:v>
                </c:pt>
                <c:pt idx="351">
                  <c:v>0.96309963099630991</c:v>
                </c:pt>
                <c:pt idx="352">
                  <c:v>0.96309963099630991</c:v>
                </c:pt>
                <c:pt idx="353">
                  <c:v>0.96309963099630991</c:v>
                </c:pt>
                <c:pt idx="354">
                  <c:v>0.96309963099630991</c:v>
                </c:pt>
                <c:pt idx="355">
                  <c:v>0.96309963099630991</c:v>
                </c:pt>
                <c:pt idx="356">
                  <c:v>0.96309963099630991</c:v>
                </c:pt>
                <c:pt idx="357">
                  <c:v>0.96678966789667897</c:v>
                </c:pt>
                <c:pt idx="358">
                  <c:v>0.96678966789667897</c:v>
                </c:pt>
                <c:pt idx="359">
                  <c:v>0.96678966789667897</c:v>
                </c:pt>
                <c:pt idx="360">
                  <c:v>0.97047970479704793</c:v>
                </c:pt>
                <c:pt idx="361">
                  <c:v>0.97416974169741699</c:v>
                </c:pt>
                <c:pt idx="362">
                  <c:v>0.97416974169741699</c:v>
                </c:pt>
                <c:pt idx="363">
                  <c:v>0.97416974169741699</c:v>
                </c:pt>
                <c:pt idx="364">
                  <c:v>0.97416974169741699</c:v>
                </c:pt>
                <c:pt idx="365">
                  <c:v>0.97785977859778594</c:v>
                </c:pt>
                <c:pt idx="366">
                  <c:v>0.98154981549815501</c:v>
                </c:pt>
                <c:pt idx="367">
                  <c:v>0.98154981549815501</c:v>
                </c:pt>
                <c:pt idx="368">
                  <c:v>0.98154981549815501</c:v>
                </c:pt>
                <c:pt idx="369">
                  <c:v>0.98154981549815501</c:v>
                </c:pt>
                <c:pt idx="370">
                  <c:v>0.98154981549815501</c:v>
                </c:pt>
                <c:pt idx="371">
                  <c:v>0.98523985239852396</c:v>
                </c:pt>
                <c:pt idx="372">
                  <c:v>0.98523985239852396</c:v>
                </c:pt>
                <c:pt idx="373">
                  <c:v>0.98523985239852396</c:v>
                </c:pt>
                <c:pt idx="374">
                  <c:v>0.98523985239852396</c:v>
                </c:pt>
                <c:pt idx="375">
                  <c:v>0.98523985239852396</c:v>
                </c:pt>
                <c:pt idx="376">
                  <c:v>0.98523985239852396</c:v>
                </c:pt>
                <c:pt idx="377">
                  <c:v>0.98523985239852396</c:v>
                </c:pt>
                <c:pt idx="378">
                  <c:v>0.98523985239852396</c:v>
                </c:pt>
                <c:pt idx="379">
                  <c:v>0.98892988929889303</c:v>
                </c:pt>
                <c:pt idx="380">
                  <c:v>0.98892988929889303</c:v>
                </c:pt>
                <c:pt idx="381">
                  <c:v>0.98892988929889303</c:v>
                </c:pt>
                <c:pt idx="382">
                  <c:v>0.98892988929889303</c:v>
                </c:pt>
                <c:pt idx="383">
                  <c:v>0.98892988929889303</c:v>
                </c:pt>
                <c:pt idx="384">
                  <c:v>0.98892988929889303</c:v>
                </c:pt>
                <c:pt idx="385">
                  <c:v>0.98892988929889303</c:v>
                </c:pt>
                <c:pt idx="386">
                  <c:v>0.98892988929889303</c:v>
                </c:pt>
                <c:pt idx="387">
                  <c:v>0.98892988929889303</c:v>
                </c:pt>
                <c:pt idx="388">
                  <c:v>0.99261992619926198</c:v>
                </c:pt>
                <c:pt idx="389">
                  <c:v>0.99261992619926198</c:v>
                </c:pt>
                <c:pt idx="390">
                  <c:v>0.99261992619926198</c:v>
                </c:pt>
                <c:pt idx="391">
                  <c:v>0.99630996309963105</c:v>
                </c:pt>
                <c:pt idx="392">
                  <c:v>0.99630996309963105</c:v>
                </c:pt>
                <c:pt idx="393">
                  <c:v>0.99630996309963105</c:v>
                </c:pt>
                <c:pt idx="394">
                  <c:v>0.99630996309963105</c:v>
                </c:pt>
                <c:pt idx="395">
                  <c:v>0.99630996309963105</c:v>
                </c:pt>
                <c:pt idx="396">
                  <c:v>0.99630996309963105</c:v>
                </c:pt>
                <c:pt idx="397">
                  <c:v>0.99630996309963105</c:v>
                </c:pt>
                <c:pt idx="398">
                  <c:v>0.99630996309963105</c:v>
                </c:pt>
                <c:pt idx="399">
                  <c:v>0.99630996309963105</c:v>
                </c:pt>
                <c:pt idx="400">
                  <c:v>1</c:v>
                </c:pt>
              </c:numCache>
            </c:numRef>
          </c:yVal>
          <c:smooth val="0"/>
        </c:ser>
        <c:ser>
          <c:idx val="1"/>
          <c:order val="1"/>
          <c:tx>
            <c:v>Random Classifier</c:v>
          </c:tx>
          <c:spPr>
            <a:ln w="6350"/>
          </c:spPr>
          <c:marker>
            <c:symbol val="none"/>
          </c:marker>
          <c:xVal>
            <c:numRef>
              <c:f>NNC_ValidationLiftChart!$BZ$2:$BZ$402</c:f>
              <c:numCache>
                <c:formatCode>General</c:formatCode>
                <c:ptCount val="401"/>
                <c:pt idx="0">
                  <c:v>0</c:v>
                </c:pt>
                <c:pt idx="1">
                  <c:v>0</c:v>
                </c:pt>
                <c:pt idx="2">
                  <c:v>0</c:v>
                </c:pt>
                <c:pt idx="3">
                  <c:v>0</c:v>
                </c:pt>
                <c:pt idx="4">
                  <c:v>0</c:v>
                </c:pt>
                <c:pt idx="5">
                  <c:v>7.7519379844961239E-3</c:v>
                </c:pt>
                <c:pt idx="6">
                  <c:v>7.7519379844961239E-3</c:v>
                </c:pt>
                <c:pt idx="7">
                  <c:v>7.7519379844961239E-3</c:v>
                </c:pt>
                <c:pt idx="8">
                  <c:v>7.7519379844961239E-3</c:v>
                </c:pt>
                <c:pt idx="9">
                  <c:v>7.7519379844961239E-3</c:v>
                </c:pt>
                <c:pt idx="10">
                  <c:v>7.7519379844961239E-3</c:v>
                </c:pt>
                <c:pt idx="11">
                  <c:v>7.7519379844961239E-3</c:v>
                </c:pt>
                <c:pt idx="12">
                  <c:v>7.7519379844961239E-3</c:v>
                </c:pt>
                <c:pt idx="13">
                  <c:v>7.7519379844961239E-3</c:v>
                </c:pt>
                <c:pt idx="14">
                  <c:v>7.7519379844961239E-3</c:v>
                </c:pt>
                <c:pt idx="15">
                  <c:v>7.7519379844961239E-3</c:v>
                </c:pt>
                <c:pt idx="16">
                  <c:v>7.7519379844961239E-3</c:v>
                </c:pt>
                <c:pt idx="17">
                  <c:v>7.7519379844961239E-3</c:v>
                </c:pt>
                <c:pt idx="18">
                  <c:v>7.7519379844961239E-3</c:v>
                </c:pt>
                <c:pt idx="19">
                  <c:v>7.7519379844961239E-3</c:v>
                </c:pt>
                <c:pt idx="20">
                  <c:v>7.7519379844961239E-3</c:v>
                </c:pt>
                <c:pt idx="21">
                  <c:v>7.7519379844961239E-3</c:v>
                </c:pt>
                <c:pt idx="22">
                  <c:v>7.7519379844961239E-3</c:v>
                </c:pt>
                <c:pt idx="23">
                  <c:v>7.7519379844961239E-3</c:v>
                </c:pt>
                <c:pt idx="24">
                  <c:v>7.7519379844961239E-3</c:v>
                </c:pt>
                <c:pt idx="25">
                  <c:v>1.5503875968992248E-2</c:v>
                </c:pt>
                <c:pt idx="26">
                  <c:v>1.5503875968992248E-2</c:v>
                </c:pt>
                <c:pt idx="27">
                  <c:v>1.5503875968992248E-2</c:v>
                </c:pt>
                <c:pt idx="28">
                  <c:v>1.5503875968992248E-2</c:v>
                </c:pt>
                <c:pt idx="29">
                  <c:v>1.5503875968992248E-2</c:v>
                </c:pt>
                <c:pt idx="30">
                  <c:v>1.5503875968992248E-2</c:v>
                </c:pt>
                <c:pt idx="31">
                  <c:v>1.5503875968992248E-2</c:v>
                </c:pt>
                <c:pt idx="32">
                  <c:v>1.5503875968992248E-2</c:v>
                </c:pt>
                <c:pt idx="33">
                  <c:v>1.5503875968992248E-2</c:v>
                </c:pt>
                <c:pt idx="34">
                  <c:v>1.5503875968992248E-2</c:v>
                </c:pt>
                <c:pt idx="35">
                  <c:v>1.5503875968992248E-2</c:v>
                </c:pt>
                <c:pt idx="36">
                  <c:v>1.5503875968992248E-2</c:v>
                </c:pt>
                <c:pt idx="37">
                  <c:v>1.5503875968992248E-2</c:v>
                </c:pt>
                <c:pt idx="38">
                  <c:v>1.5503875968992248E-2</c:v>
                </c:pt>
                <c:pt idx="39">
                  <c:v>1.5503875968992248E-2</c:v>
                </c:pt>
                <c:pt idx="40">
                  <c:v>1.5503875968992248E-2</c:v>
                </c:pt>
                <c:pt idx="41">
                  <c:v>1.5503875968992248E-2</c:v>
                </c:pt>
                <c:pt idx="42">
                  <c:v>1.5503875968992248E-2</c:v>
                </c:pt>
                <c:pt idx="43">
                  <c:v>1.5503875968992248E-2</c:v>
                </c:pt>
                <c:pt idx="44">
                  <c:v>1.5503875968992248E-2</c:v>
                </c:pt>
                <c:pt idx="45">
                  <c:v>1.5503875968992248E-2</c:v>
                </c:pt>
                <c:pt idx="46">
                  <c:v>1.5503875968992248E-2</c:v>
                </c:pt>
                <c:pt idx="47">
                  <c:v>1.5503875968992248E-2</c:v>
                </c:pt>
                <c:pt idx="48">
                  <c:v>1.5503875968992248E-2</c:v>
                </c:pt>
                <c:pt idx="49">
                  <c:v>1.5503875968992248E-2</c:v>
                </c:pt>
                <c:pt idx="50">
                  <c:v>1.5503875968992248E-2</c:v>
                </c:pt>
                <c:pt idx="51">
                  <c:v>1.5503875968992248E-2</c:v>
                </c:pt>
                <c:pt idx="52">
                  <c:v>2.3255813953488372E-2</c:v>
                </c:pt>
                <c:pt idx="53">
                  <c:v>2.3255813953488372E-2</c:v>
                </c:pt>
                <c:pt idx="54">
                  <c:v>2.3255813953488372E-2</c:v>
                </c:pt>
                <c:pt idx="55">
                  <c:v>2.3255813953488372E-2</c:v>
                </c:pt>
                <c:pt idx="56">
                  <c:v>2.3255813953488372E-2</c:v>
                </c:pt>
                <c:pt idx="57">
                  <c:v>2.3255813953488372E-2</c:v>
                </c:pt>
                <c:pt idx="58">
                  <c:v>2.3255813953488372E-2</c:v>
                </c:pt>
                <c:pt idx="59">
                  <c:v>2.3255813953488372E-2</c:v>
                </c:pt>
                <c:pt idx="60">
                  <c:v>2.3255813953488372E-2</c:v>
                </c:pt>
                <c:pt idx="61">
                  <c:v>3.1007751937984496E-2</c:v>
                </c:pt>
                <c:pt idx="62">
                  <c:v>3.1007751937984496E-2</c:v>
                </c:pt>
                <c:pt idx="63">
                  <c:v>3.1007751937984496E-2</c:v>
                </c:pt>
                <c:pt idx="64">
                  <c:v>3.1007751937984496E-2</c:v>
                </c:pt>
                <c:pt idx="65">
                  <c:v>3.1007751937984496E-2</c:v>
                </c:pt>
                <c:pt idx="66">
                  <c:v>3.1007751937984496E-2</c:v>
                </c:pt>
                <c:pt idx="67">
                  <c:v>3.1007751937984496E-2</c:v>
                </c:pt>
                <c:pt idx="68">
                  <c:v>3.875968992248062E-2</c:v>
                </c:pt>
                <c:pt idx="69">
                  <c:v>3.875968992248062E-2</c:v>
                </c:pt>
                <c:pt idx="70">
                  <c:v>3.875968992248062E-2</c:v>
                </c:pt>
                <c:pt idx="71">
                  <c:v>3.875968992248062E-2</c:v>
                </c:pt>
                <c:pt idx="72">
                  <c:v>3.875968992248062E-2</c:v>
                </c:pt>
                <c:pt idx="73">
                  <c:v>4.6511627906976744E-2</c:v>
                </c:pt>
                <c:pt idx="74">
                  <c:v>4.6511627906976744E-2</c:v>
                </c:pt>
                <c:pt idx="75">
                  <c:v>5.4263565891472867E-2</c:v>
                </c:pt>
                <c:pt idx="76">
                  <c:v>5.4263565891472867E-2</c:v>
                </c:pt>
                <c:pt idx="77">
                  <c:v>5.4263565891472867E-2</c:v>
                </c:pt>
                <c:pt idx="78">
                  <c:v>5.4263565891472867E-2</c:v>
                </c:pt>
                <c:pt idx="79">
                  <c:v>5.4263565891472867E-2</c:v>
                </c:pt>
                <c:pt idx="80">
                  <c:v>5.4263565891472867E-2</c:v>
                </c:pt>
                <c:pt idx="81">
                  <c:v>5.4263565891472867E-2</c:v>
                </c:pt>
                <c:pt idx="82">
                  <c:v>5.4263565891472867E-2</c:v>
                </c:pt>
                <c:pt idx="83">
                  <c:v>5.4263565891472867E-2</c:v>
                </c:pt>
                <c:pt idx="84">
                  <c:v>5.4263565891472867E-2</c:v>
                </c:pt>
                <c:pt idx="85">
                  <c:v>5.4263565891472867E-2</c:v>
                </c:pt>
                <c:pt idx="86">
                  <c:v>5.4263565891472867E-2</c:v>
                </c:pt>
                <c:pt idx="87">
                  <c:v>5.4263565891472867E-2</c:v>
                </c:pt>
                <c:pt idx="88">
                  <c:v>5.4263565891472867E-2</c:v>
                </c:pt>
                <c:pt idx="89">
                  <c:v>6.2015503875968991E-2</c:v>
                </c:pt>
                <c:pt idx="90">
                  <c:v>6.9767441860465115E-2</c:v>
                </c:pt>
                <c:pt idx="91">
                  <c:v>7.7519379844961239E-2</c:v>
                </c:pt>
                <c:pt idx="92">
                  <c:v>7.7519379844961239E-2</c:v>
                </c:pt>
                <c:pt idx="93">
                  <c:v>7.7519379844961239E-2</c:v>
                </c:pt>
                <c:pt idx="94">
                  <c:v>8.5271317829457363E-2</c:v>
                </c:pt>
                <c:pt idx="95">
                  <c:v>8.5271317829457363E-2</c:v>
                </c:pt>
                <c:pt idx="96">
                  <c:v>8.5271317829457363E-2</c:v>
                </c:pt>
                <c:pt idx="97">
                  <c:v>8.5271317829457363E-2</c:v>
                </c:pt>
                <c:pt idx="98">
                  <c:v>8.5271317829457363E-2</c:v>
                </c:pt>
                <c:pt idx="99">
                  <c:v>8.5271317829457363E-2</c:v>
                </c:pt>
                <c:pt idx="100">
                  <c:v>8.5271317829457363E-2</c:v>
                </c:pt>
                <c:pt idx="101">
                  <c:v>8.5271317829457363E-2</c:v>
                </c:pt>
                <c:pt idx="102">
                  <c:v>8.5271317829457363E-2</c:v>
                </c:pt>
                <c:pt idx="103">
                  <c:v>9.3023255813953487E-2</c:v>
                </c:pt>
                <c:pt idx="104">
                  <c:v>9.3023255813953487E-2</c:v>
                </c:pt>
                <c:pt idx="105">
                  <c:v>9.3023255813953487E-2</c:v>
                </c:pt>
                <c:pt idx="106">
                  <c:v>9.3023255813953487E-2</c:v>
                </c:pt>
                <c:pt idx="107">
                  <c:v>9.3023255813953487E-2</c:v>
                </c:pt>
                <c:pt idx="108">
                  <c:v>9.3023255813953487E-2</c:v>
                </c:pt>
                <c:pt idx="109">
                  <c:v>9.3023255813953487E-2</c:v>
                </c:pt>
                <c:pt idx="110">
                  <c:v>9.3023255813953487E-2</c:v>
                </c:pt>
                <c:pt idx="111">
                  <c:v>9.3023255813953487E-2</c:v>
                </c:pt>
                <c:pt idx="112">
                  <c:v>9.3023255813953487E-2</c:v>
                </c:pt>
                <c:pt idx="113">
                  <c:v>9.3023255813953487E-2</c:v>
                </c:pt>
                <c:pt idx="114">
                  <c:v>9.3023255813953487E-2</c:v>
                </c:pt>
                <c:pt idx="115">
                  <c:v>9.3023255813953487E-2</c:v>
                </c:pt>
                <c:pt idx="116">
                  <c:v>9.3023255813953487E-2</c:v>
                </c:pt>
                <c:pt idx="117">
                  <c:v>9.3023255813953487E-2</c:v>
                </c:pt>
                <c:pt idx="118">
                  <c:v>0.10077519379844961</c:v>
                </c:pt>
                <c:pt idx="119">
                  <c:v>0.10852713178294573</c:v>
                </c:pt>
                <c:pt idx="120">
                  <c:v>0.10852713178294573</c:v>
                </c:pt>
                <c:pt idx="121">
                  <c:v>0.10852713178294573</c:v>
                </c:pt>
                <c:pt idx="122">
                  <c:v>0.10852713178294573</c:v>
                </c:pt>
                <c:pt idx="123">
                  <c:v>0.10852713178294573</c:v>
                </c:pt>
                <c:pt idx="124">
                  <c:v>0.10852713178294573</c:v>
                </c:pt>
                <c:pt idx="125">
                  <c:v>0.10852713178294573</c:v>
                </c:pt>
                <c:pt idx="126">
                  <c:v>0.10852713178294573</c:v>
                </c:pt>
                <c:pt idx="127">
                  <c:v>0.11627906976744186</c:v>
                </c:pt>
                <c:pt idx="128">
                  <c:v>0.12403100775193798</c:v>
                </c:pt>
                <c:pt idx="129">
                  <c:v>0.12403100775193798</c:v>
                </c:pt>
                <c:pt idx="130">
                  <c:v>0.12403100775193798</c:v>
                </c:pt>
                <c:pt idx="131">
                  <c:v>0.12403100775193798</c:v>
                </c:pt>
                <c:pt idx="132">
                  <c:v>0.12403100775193798</c:v>
                </c:pt>
                <c:pt idx="133">
                  <c:v>0.12403100775193798</c:v>
                </c:pt>
                <c:pt idx="134">
                  <c:v>0.12403100775193798</c:v>
                </c:pt>
                <c:pt idx="135">
                  <c:v>0.12403100775193798</c:v>
                </c:pt>
                <c:pt idx="136">
                  <c:v>0.12403100775193798</c:v>
                </c:pt>
                <c:pt idx="137">
                  <c:v>0.12403100775193798</c:v>
                </c:pt>
                <c:pt idx="138">
                  <c:v>0.12403100775193798</c:v>
                </c:pt>
                <c:pt idx="139">
                  <c:v>0.12403100775193798</c:v>
                </c:pt>
                <c:pt idx="140">
                  <c:v>0.12403100775193798</c:v>
                </c:pt>
                <c:pt idx="141">
                  <c:v>0.12403100775193798</c:v>
                </c:pt>
                <c:pt idx="142">
                  <c:v>0.12403100775193798</c:v>
                </c:pt>
                <c:pt idx="143">
                  <c:v>0.12403100775193798</c:v>
                </c:pt>
                <c:pt idx="144">
                  <c:v>0.12403100775193798</c:v>
                </c:pt>
                <c:pt idx="145">
                  <c:v>0.12403100775193798</c:v>
                </c:pt>
                <c:pt idx="146">
                  <c:v>0.12403100775193798</c:v>
                </c:pt>
                <c:pt idx="147">
                  <c:v>0.13178294573643412</c:v>
                </c:pt>
                <c:pt idx="148">
                  <c:v>0.13178294573643412</c:v>
                </c:pt>
                <c:pt idx="149">
                  <c:v>0.13178294573643412</c:v>
                </c:pt>
                <c:pt idx="150">
                  <c:v>0.13178294573643412</c:v>
                </c:pt>
                <c:pt idx="151">
                  <c:v>0.13953488372093023</c:v>
                </c:pt>
                <c:pt idx="152">
                  <c:v>0.14728682170542637</c:v>
                </c:pt>
                <c:pt idx="153">
                  <c:v>0.14728682170542637</c:v>
                </c:pt>
                <c:pt idx="154">
                  <c:v>0.15503875968992248</c:v>
                </c:pt>
                <c:pt idx="155">
                  <c:v>0.15503875968992248</c:v>
                </c:pt>
                <c:pt idx="156">
                  <c:v>0.15503875968992248</c:v>
                </c:pt>
                <c:pt idx="157">
                  <c:v>0.15503875968992248</c:v>
                </c:pt>
                <c:pt idx="158">
                  <c:v>0.15503875968992248</c:v>
                </c:pt>
                <c:pt idx="159">
                  <c:v>0.15503875968992248</c:v>
                </c:pt>
                <c:pt idx="160">
                  <c:v>0.15503875968992248</c:v>
                </c:pt>
                <c:pt idx="161">
                  <c:v>0.15503875968992248</c:v>
                </c:pt>
                <c:pt idx="162">
                  <c:v>0.15503875968992248</c:v>
                </c:pt>
                <c:pt idx="163">
                  <c:v>0.15503875968992248</c:v>
                </c:pt>
                <c:pt idx="164">
                  <c:v>0.16279069767441862</c:v>
                </c:pt>
                <c:pt idx="165">
                  <c:v>0.17054263565891473</c:v>
                </c:pt>
                <c:pt idx="166">
                  <c:v>0.17054263565891473</c:v>
                </c:pt>
                <c:pt idx="167">
                  <c:v>0.17054263565891473</c:v>
                </c:pt>
                <c:pt idx="168">
                  <c:v>0.17054263565891473</c:v>
                </c:pt>
                <c:pt idx="169">
                  <c:v>0.17054263565891473</c:v>
                </c:pt>
                <c:pt idx="170">
                  <c:v>0.17054263565891473</c:v>
                </c:pt>
                <c:pt idx="171">
                  <c:v>0.17054263565891473</c:v>
                </c:pt>
                <c:pt idx="172">
                  <c:v>0.17829457364341086</c:v>
                </c:pt>
                <c:pt idx="173">
                  <c:v>0.17829457364341086</c:v>
                </c:pt>
                <c:pt idx="174">
                  <c:v>0.17829457364341086</c:v>
                </c:pt>
                <c:pt idx="175">
                  <c:v>0.17829457364341086</c:v>
                </c:pt>
                <c:pt idx="176">
                  <c:v>0.17829457364341086</c:v>
                </c:pt>
                <c:pt idx="177">
                  <c:v>0.17829457364341086</c:v>
                </c:pt>
                <c:pt idx="178">
                  <c:v>0.18604651162790697</c:v>
                </c:pt>
                <c:pt idx="179">
                  <c:v>0.18604651162790697</c:v>
                </c:pt>
                <c:pt idx="180">
                  <c:v>0.19379844961240311</c:v>
                </c:pt>
                <c:pt idx="181">
                  <c:v>0.19379844961240311</c:v>
                </c:pt>
                <c:pt idx="182">
                  <c:v>0.19379844961240311</c:v>
                </c:pt>
                <c:pt idx="183">
                  <c:v>0.19379844961240311</c:v>
                </c:pt>
                <c:pt idx="184">
                  <c:v>0.19379844961240311</c:v>
                </c:pt>
                <c:pt idx="185">
                  <c:v>0.19379844961240311</c:v>
                </c:pt>
                <c:pt idx="186">
                  <c:v>0.19379844961240311</c:v>
                </c:pt>
                <c:pt idx="187">
                  <c:v>0.19379844961240311</c:v>
                </c:pt>
                <c:pt idx="188">
                  <c:v>0.20155038759689922</c:v>
                </c:pt>
                <c:pt idx="189">
                  <c:v>0.20155038759689922</c:v>
                </c:pt>
                <c:pt idx="190">
                  <c:v>0.20930232558139536</c:v>
                </c:pt>
                <c:pt idx="191">
                  <c:v>0.20930232558139536</c:v>
                </c:pt>
                <c:pt idx="192">
                  <c:v>0.21705426356589147</c:v>
                </c:pt>
                <c:pt idx="193">
                  <c:v>0.21705426356589147</c:v>
                </c:pt>
                <c:pt idx="194">
                  <c:v>0.21705426356589147</c:v>
                </c:pt>
                <c:pt idx="195">
                  <c:v>0.22480620155038761</c:v>
                </c:pt>
                <c:pt idx="196">
                  <c:v>0.22480620155038761</c:v>
                </c:pt>
                <c:pt idx="197">
                  <c:v>0.23255813953488372</c:v>
                </c:pt>
                <c:pt idx="198">
                  <c:v>0.23255813953488372</c:v>
                </c:pt>
                <c:pt idx="199">
                  <c:v>0.23255813953488372</c:v>
                </c:pt>
                <c:pt idx="200">
                  <c:v>0.23255813953488372</c:v>
                </c:pt>
                <c:pt idx="201">
                  <c:v>0.23255813953488372</c:v>
                </c:pt>
                <c:pt idx="202">
                  <c:v>0.23255813953488372</c:v>
                </c:pt>
                <c:pt idx="203">
                  <c:v>0.23255813953488372</c:v>
                </c:pt>
                <c:pt idx="204">
                  <c:v>0.23255813953488372</c:v>
                </c:pt>
                <c:pt idx="205">
                  <c:v>0.23255813953488372</c:v>
                </c:pt>
                <c:pt idx="206">
                  <c:v>0.23255813953488372</c:v>
                </c:pt>
                <c:pt idx="207">
                  <c:v>0.23255813953488372</c:v>
                </c:pt>
                <c:pt idx="208">
                  <c:v>0.23255813953488372</c:v>
                </c:pt>
                <c:pt idx="209">
                  <c:v>0.23255813953488372</c:v>
                </c:pt>
                <c:pt idx="210">
                  <c:v>0.23255813953488372</c:v>
                </c:pt>
                <c:pt idx="211">
                  <c:v>0.23255813953488372</c:v>
                </c:pt>
                <c:pt idx="212">
                  <c:v>0.23255813953488372</c:v>
                </c:pt>
                <c:pt idx="213">
                  <c:v>0.24031007751937986</c:v>
                </c:pt>
                <c:pt idx="214">
                  <c:v>0.24806201550387597</c:v>
                </c:pt>
                <c:pt idx="215">
                  <c:v>0.2558139534883721</c:v>
                </c:pt>
                <c:pt idx="216">
                  <c:v>0.2558139534883721</c:v>
                </c:pt>
                <c:pt idx="217">
                  <c:v>0.2558139534883721</c:v>
                </c:pt>
                <c:pt idx="218">
                  <c:v>0.2558139534883721</c:v>
                </c:pt>
                <c:pt idx="219">
                  <c:v>0.2558139534883721</c:v>
                </c:pt>
                <c:pt idx="220">
                  <c:v>0.2558139534883721</c:v>
                </c:pt>
                <c:pt idx="221">
                  <c:v>0.2558139534883721</c:v>
                </c:pt>
                <c:pt idx="222">
                  <c:v>0.2558139534883721</c:v>
                </c:pt>
                <c:pt idx="223">
                  <c:v>0.26356589147286824</c:v>
                </c:pt>
                <c:pt idx="224">
                  <c:v>0.27131782945736432</c:v>
                </c:pt>
                <c:pt idx="225">
                  <c:v>0.27131782945736432</c:v>
                </c:pt>
                <c:pt idx="226">
                  <c:v>0.27131782945736432</c:v>
                </c:pt>
                <c:pt idx="227">
                  <c:v>0.27131782945736432</c:v>
                </c:pt>
                <c:pt idx="228">
                  <c:v>0.27131782945736432</c:v>
                </c:pt>
                <c:pt idx="229">
                  <c:v>0.27906976744186046</c:v>
                </c:pt>
                <c:pt idx="230">
                  <c:v>0.27906976744186046</c:v>
                </c:pt>
                <c:pt idx="231">
                  <c:v>0.27906976744186046</c:v>
                </c:pt>
                <c:pt idx="232">
                  <c:v>0.27906976744186046</c:v>
                </c:pt>
                <c:pt idx="233">
                  <c:v>0.27906976744186046</c:v>
                </c:pt>
                <c:pt idx="234">
                  <c:v>0.27906976744186046</c:v>
                </c:pt>
                <c:pt idx="235">
                  <c:v>0.27906976744186046</c:v>
                </c:pt>
                <c:pt idx="236">
                  <c:v>0.27906976744186046</c:v>
                </c:pt>
                <c:pt idx="237">
                  <c:v>0.2868217054263566</c:v>
                </c:pt>
                <c:pt idx="238">
                  <c:v>0.2868217054263566</c:v>
                </c:pt>
                <c:pt idx="239">
                  <c:v>0.2868217054263566</c:v>
                </c:pt>
                <c:pt idx="240">
                  <c:v>0.29457364341085274</c:v>
                </c:pt>
                <c:pt idx="241">
                  <c:v>0.29457364341085274</c:v>
                </c:pt>
                <c:pt idx="242">
                  <c:v>0.30232558139534882</c:v>
                </c:pt>
                <c:pt idx="243">
                  <c:v>0.30232558139534882</c:v>
                </c:pt>
                <c:pt idx="244">
                  <c:v>0.31007751937984496</c:v>
                </c:pt>
                <c:pt idx="245">
                  <c:v>0.31007751937984496</c:v>
                </c:pt>
                <c:pt idx="246">
                  <c:v>0.31782945736434109</c:v>
                </c:pt>
                <c:pt idx="247">
                  <c:v>0.31782945736434109</c:v>
                </c:pt>
                <c:pt idx="248">
                  <c:v>0.31782945736434109</c:v>
                </c:pt>
                <c:pt idx="249">
                  <c:v>0.31782945736434109</c:v>
                </c:pt>
                <c:pt idx="250">
                  <c:v>0.32558139534883723</c:v>
                </c:pt>
                <c:pt idx="251">
                  <c:v>0.32558139534883723</c:v>
                </c:pt>
                <c:pt idx="252">
                  <c:v>0.33333333333333331</c:v>
                </c:pt>
                <c:pt idx="253">
                  <c:v>0.33333333333333331</c:v>
                </c:pt>
                <c:pt idx="254">
                  <c:v>0.34108527131782945</c:v>
                </c:pt>
                <c:pt idx="255">
                  <c:v>0.34883720930232559</c:v>
                </c:pt>
                <c:pt idx="256">
                  <c:v>0.35658914728682173</c:v>
                </c:pt>
                <c:pt idx="257">
                  <c:v>0.35658914728682173</c:v>
                </c:pt>
                <c:pt idx="258">
                  <c:v>0.36434108527131781</c:v>
                </c:pt>
                <c:pt idx="259">
                  <c:v>0.36434108527131781</c:v>
                </c:pt>
                <c:pt idx="260">
                  <c:v>0.36434108527131781</c:v>
                </c:pt>
                <c:pt idx="261">
                  <c:v>0.36434108527131781</c:v>
                </c:pt>
                <c:pt idx="262">
                  <c:v>0.37209302325581395</c:v>
                </c:pt>
                <c:pt idx="263">
                  <c:v>0.37209302325581395</c:v>
                </c:pt>
                <c:pt idx="264">
                  <c:v>0.37209302325581395</c:v>
                </c:pt>
                <c:pt idx="265">
                  <c:v>0.37209302325581395</c:v>
                </c:pt>
                <c:pt idx="266">
                  <c:v>0.37209302325581395</c:v>
                </c:pt>
                <c:pt idx="267">
                  <c:v>0.37209302325581395</c:v>
                </c:pt>
                <c:pt idx="268">
                  <c:v>0.37209302325581395</c:v>
                </c:pt>
                <c:pt idx="269">
                  <c:v>0.37209302325581395</c:v>
                </c:pt>
                <c:pt idx="270">
                  <c:v>0.37984496124031009</c:v>
                </c:pt>
                <c:pt idx="271">
                  <c:v>0.38759689922480622</c:v>
                </c:pt>
                <c:pt idx="272">
                  <c:v>0.39534883720930231</c:v>
                </c:pt>
                <c:pt idx="273">
                  <c:v>0.40310077519379844</c:v>
                </c:pt>
                <c:pt idx="274">
                  <c:v>0.40310077519379844</c:v>
                </c:pt>
                <c:pt idx="275">
                  <c:v>0.41085271317829458</c:v>
                </c:pt>
                <c:pt idx="276">
                  <c:v>0.41860465116279072</c:v>
                </c:pt>
                <c:pt idx="277">
                  <c:v>0.4263565891472868</c:v>
                </c:pt>
                <c:pt idx="278">
                  <c:v>0.4263565891472868</c:v>
                </c:pt>
                <c:pt idx="279">
                  <c:v>0.4263565891472868</c:v>
                </c:pt>
                <c:pt idx="280">
                  <c:v>0.4263565891472868</c:v>
                </c:pt>
                <c:pt idx="281">
                  <c:v>0.4263565891472868</c:v>
                </c:pt>
                <c:pt idx="282">
                  <c:v>0.4263565891472868</c:v>
                </c:pt>
                <c:pt idx="283">
                  <c:v>0.4263565891472868</c:v>
                </c:pt>
                <c:pt idx="284">
                  <c:v>0.4263565891472868</c:v>
                </c:pt>
                <c:pt idx="285">
                  <c:v>0.4263565891472868</c:v>
                </c:pt>
                <c:pt idx="286">
                  <c:v>0.4263565891472868</c:v>
                </c:pt>
                <c:pt idx="287">
                  <c:v>0.4263565891472868</c:v>
                </c:pt>
                <c:pt idx="288">
                  <c:v>0.43410852713178294</c:v>
                </c:pt>
                <c:pt idx="289">
                  <c:v>0.43410852713178294</c:v>
                </c:pt>
                <c:pt idx="290">
                  <c:v>0.43410852713178294</c:v>
                </c:pt>
                <c:pt idx="291">
                  <c:v>0.44186046511627908</c:v>
                </c:pt>
                <c:pt idx="292">
                  <c:v>0.44961240310077522</c:v>
                </c:pt>
                <c:pt idx="293">
                  <c:v>0.44961240310077522</c:v>
                </c:pt>
                <c:pt idx="294">
                  <c:v>0.44961240310077522</c:v>
                </c:pt>
                <c:pt idx="295">
                  <c:v>0.44961240310077522</c:v>
                </c:pt>
                <c:pt idx="296">
                  <c:v>0.44961240310077522</c:v>
                </c:pt>
                <c:pt idx="297">
                  <c:v>0.4573643410852713</c:v>
                </c:pt>
                <c:pt idx="298">
                  <c:v>0.4573643410852713</c:v>
                </c:pt>
                <c:pt idx="299">
                  <c:v>0.46511627906976744</c:v>
                </c:pt>
                <c:pt idx="300">
                  <c:v>0.47286821705426357</c:v>
                </c:pt>
                <c:pt idx="301">
                  <c:v>0.48062015503875971</c:v>
                </c:pt>
                <c:pt idx="302">
                  <c:v>0.48062015503875971</c:v>
                </c:pt>
                <c:pt idx="303">
                  <c:v>0.48062015503875971</c:v>
                </c:pt>
                <c:pt idx="304">
                  <c:v>0.48837209302325579</c:v>
                </c:pt>
                <c:pt idx="305">
                  <c:v>0.49612403100775193</c:v>
                </c:pt>
                <c:pt idx="306">
                  <c:v>0.50387596899224807</c:v>
                </c:pt>
                <c:pt idx="307">
                  <c:v>0.50387596899224807</c:v>
                </c:pt>
                <c:pt idx="308">
                  <c:v>0.51162790697674421</c:v>
                </c:pt>
                <c:pt idx="309">
                  <c:v>0.51937984496124034</c:v>
                </c:pt>
                <c:pt idx="310">
                  <c:v>0.51937984496124034</c:v>
                </c:pt>
                <c:pt idx="311">
                  <c:v>0.51937984496124034</c:v>
                </c:pt>
                <c:pt idx="312">
                  <c:v>0.52713178294573648</c:v>
                </c:pt>
                <c:pt idx="313">
                  <c:v>0.52713178294573648</c:v>
                </c:pt>
                <c:pt idx="314">
                  <c:v>0.53488372093023251</c:v>
                </c:pt>
                <c:pt idx="315">
                  <c:v>0.53488372093023251</c:v>
                </c:pt>
                <c:pt idx="316">
                  <c:v>0.54263565891472865</c:v>
                </c:pt>
                <c:pt idx="317">
                  <c:v>0.55038759689922478</c:v>
                </c:pt>
                <c:pt idx="318">
                  <c:v>0.55038759689922478</c:v>
                </c:pt>
                <c:pt idx="319">
                  <c:v>0.55038759689922478</c:v>
                </c:pt>
                <c:pt idx="320">
                  <c:v>0.55038759689922478</c:v>
                </c:pt>
                <c:pt idx="321">
                  <c:v>0.55038759689922478</c:v>
                </c:pt>
                <c:pt idx="322">
                  <c:v>0.55813953488372092</c:v>
                </c:pt>
                <c:pt idx="323">
                  <c:v>0.56589147286821706</c:v>
                </c:pt>
                <c:pt idx="324">
                  <c:v>0.5736434108527132</c:v>
                </c:pt>
                <c:pt idx="325">
                  <c:v>0.58139534883720934</c:v>
                </c:pt>
                <c:pt idx="326">
                  <c:v>0.58139534883720934</c:v>
                </c:pt>
                <c:pt idx="327">
                  <c:v>0.58914728682170547</c:v>
                </c:pt>
                <c:pt idx="328">
                  <c:v>0.58914728682170547</c:v>
                </c:pt>
                <c:pt idx="329">
                  <c:v>0.5968992248062015</c:v>
                </c:pt>
                <c:pt idx="330">
                  <c:v>0.5968992248062015</c:v>
                </c:pt>
                <c:pt idx="331">
                  <c:v>0.5968992248062015</c:v>
                </c:pt>
                <c:pt idx="332">
                  <c:v>0.5968992248062015</c:v>
                </c:pt>
                <c:pt idx="333">
                  <c:v>0.60465116279069764</c:v>
                </c:pt>
                <c:pt idx="334">
                  <c:v>0.61240310077519378</c:v>
                </c:pt>
                <c:pt idx="335">
                  <c:v>0.61240310077519378</c:v>
                </c:pt>
                <c:pt idx="336">
                  <c:v>0.62015503875968991</c:v>
                </c:pt>
                <c:pt idx="337">
                  <c:v>0.62790697674418605</c:v>
                </c:pt>
                <c:pt idx="338">
                  <c:v>0.63565891472868219</c:v>
                </c:pt>
                <c:pt idx="339">
                  <c:v>0.63565891472868219</c:v>
                </c:pt>
                <c:pt idx="340">
                  <c:v>0.64341085271317833</c:v>
                </c:pt>
                <c:pt idx="341">
                  <c:v>0.65116279069767447</c:v>
                </c:pt>
                <c:pt idx="342">
                  <c:v>0.65891472868217049</c:v>
                </c:pt>
                <c:pt idx="343">
                  <c:v>0.66666666666666663</c:v>
                </c:pt>
                <c:pt idx="344">
                  <c:v>0.67441860465116277</c:v>
                </c:pt>
                <c:pt idx="345">
                  <c:v>0.67441860465116277</c:v>
                </c:pt>
                <c:pt idx="346">
                  <c:v>0.67441860465116277</c:v>
                </c:pt>
                <c:pt idx="347">
                  <c:v>0.67441860465116277</c:v>
                </c:pt>
                <c:pt idx="348">
                  <c:v>0.68217054263565891</c:v>
                </c:pt>
                <c:pt idx="349">
                  <c:v>0.68992248062015504</c:v>
                </c:pt>
                <c:pt idx="350">
                  <c:v>0.68992248062015504</c:v>
                </c:pt>
                <c:pt idx="351">
                  <c:v>0.69767441860465118</c:v>
                </c:pt>
                <c:pt idx="352">
                  <c:v>0.70542635658914732</c:v>
                </c:pt>
                <c:pt idx="353">
                  <c:v>0.71317829457364346</c:v>
                </c:pt>
                <c:pt idx="354">
                  <c:v>0.72093023255813948</c:v>
                </c:pt>
                <c:pt idx="355">
                  <c:v>0.72868217054263562</c:v>
                </c:pt>
                <c:pt idx="356">
                  <c:v>0.73643410852713176</c:v>
                </c:pt>
                <c:pt idx="357">
                  <c:v>0.73643410852713176</c:v>
                </c:pt>
                <c:pt idx="358">
                  <c:v>0.7441860465116279</c:v>
                </c:pt>
                <c:pt idx="359">
                  <c:v>0.75193798449612403</c:v>
                </c:pt>
                <c:pt idx="360">
                  <c:v>0.75193798449612403</c:v>
                </c:pt>
                <c:pt idx="361">
                  <c:v>0.75193798449612403</c:v>
                </c:pt>
                <c:pt idx="362">
                  <c:v>0.75968992248062017</c:v>
                </c:pt>
                <c:pt idx="363">
                  <c:v>0.76744186046511631</c:v>
                </c:pt>
                <c:pt idx="364">
                  <c:v>0.77519379844961245</c:v>
                </c:pt>
                <c:pt idx="365">
                  <c:v>0.77519379844961245</c:v>
                </c:pt>
                <c:pt idx="366">
                  <c:v>0.77519379844961245</c:v>
                </c:pt>
                <c:pt idx="367">
                  <c:v>0.78294573643410847</c:v>
                </c:pt>
                <c:pt idx="368">
                  <c:v>0.79069767441860461</c:v>
                </c:pt>
                <c:pt idx="369">
                  <c:v>0.79844961240310075</c:v>
                </c:pt>
                <c:pt idx="370">
                  <c:v>0.80620155038759689</c:v>
                </c:pt>
                <c:pt idx="371">
                  <c:v>0.80620155038759689</c:v>
                </c:pt>
                <c:pt idx="372">
                  <c:v>0.81395348837209303</c:v>
                </c:pt>
                <c:pt idx="373">
                  <c:v>0.82170542635658916</c:v>
                </c:pt>
                <c:pt idx="374">
                  <c:v>0.8294573643410853</c:v>
                </c:pt>
                <c:pt idx="375">
                  <c:v>0.83720930232558144</c:v>
                </c:pt>
                <c:pt idx="376">
                  <c:v>0.84496124031007747</c:v>
                </c:pt>
                <c:pt idx="377">
                  <c:v>0.8527131782945736</c:v>
                </c:pt>
                <c:pt idx="378">
                  <c:v>0.86046511627906974</c:v>
                </c:pt>
                <c:pt idx="379">
                  <c:v>0.86046511627906974</c:v>
                </c:pt>
                <c:pt idx="380">
                  <c:v>0.86821705426356588</c:v>
                </c:pt>
                <c:pt idx="381">
                  <c:v>0.87596899224806202</c:v>
                </c:pt>
                <c:pt idx="382">
                  <c:v>0.88372093023255816</c:v>
                </c:pt>
                <c:pt idx="383">
                  <c:v>0.89147286821705429</c:v>
                </c:pt>
                <c:pt idx="384">
                  <c:v>0.89922480620155043</c:v>
                </c:pt>
                <c:pt idx="385">
                  <c:v>0.90697674418604646</c:v>
                </c:pt>
                <c:pt idx="386">
                  <c:v>0.9147286821705426</c:v>
                </c:pt>
                <c:pt idx="387">
                  <c:v>0.92248062015503873</c:v>
                </c:pt>
                <c:pt idx="388">
                  <c:v>0.92248062015503873</c:v>
                </c:pt>
                <c:pt idx="389">
                  <c:v>0.93023255813953487</c:v>
                </c:pt>
                <c:pt idx="390">
                  <c:v>0.93798449612403101</c:v>
                </c:pt>
                <c:pt idx="391">
                  <c:v>0.93798449612403101</c:v>
                </c:pt>
                <c:pt idx="392">
                  <c:v>0.94573643410852715</c:v>
                </c:pt>
                <c:pt idx="393">
                  <c:v>0.95348837209302328</c:v>
                </c:pt>
                <c:pt idx="394">
                  <c:v>0.96124031007751942</c:v>
                </c:pt>
                <c:pt idx="395">
                  <c:v>0.96899224806201545</c:v>
                </c:pt>
                <c:pt idx="396">
                  <c:v>0.97674418604651159</c:v>
                </c:pt>
                <c:pt idx="397">
                  <c:v>0.98449612403100772</c:v>
                </c:pt>
                <c:pt idx="398">
                  <c:v>0.99224806201550386</c:v>
                </c:pt>
                <c:pt idx="399">
                  <c:v>1</c:v>
                </c:pt>
                <c:pt idx="400">
                  <c:v>1</c:v>
                </c:pt>
              </c:numCache>
            </c:numRef>
          </c:xVal>
          <c:yVal>
            <c:numRef>
              <c:f>NNC_ValidationLiftChart!$CB$2:$CB$402</c:f>
              <c:numCache>
                <c:formatCode>General</c:formatCode>
                <c:ptCount val="401"/>
                <c:pt idx="0">
                  <c:v>0</c:v>
                </c:pt>
                <c:pt idx="1">
                  <c:v>0</c:v>
                </c:pt>
                <c:pt idx="2">
                  <c:v>0</c:v>
                </c:pt>
                <c:pt idx="3">
                  <c:v>0</c:v>
                </c:pt>
                <c:pt idx="4">
                  <c:v>0</c:v>
                </c:pt>
                <c:pt idx="5">
                  <c:v>7.7519379844961239E-3</c:v>
                </c:pt>
                <c:pt idx="6">
                  <c:v>7.7519379844961239E-3</c:v>
                </c:pt>
                <c:pt idx="7">
                  <c:v>7.7519379844961239E-3</c:v>
                </c:pt>
                <c:pt idx="8">
                  <c:v>7.7519379844961239E-3</c:v>
                </c:pt>
                <c:pt idx="9">
                  <c:v>7.7519379844961239E-3</c:v>
                </c:pt>
                <c:pt idx="10">
                  <c:v>7.7519379844961239E-3</c:v>
                </c:pt>
                <c:pt idx="11">
                  <c:v>7.7519379844961239E-3</c:v>
                </c:pt>
                <c:pt idx="12">
                  <c:v>7.7519379844961239E-3</c:v>
                </c:pt>
                <c:pt idx="13">
                  <c:v>7.7519379844961239E-3</c:v>
                </c:pt>
                <c:pt idx="14">
                  <c:v>7.7519379844961239E-3</c:v>
                </c:pt>
                <c:pt idx="15">
                  <c:v>7.7519379844961239E-3</c:v>
                </c:pt>
                <c:pt idx="16">
                  <c:v>7.7519379844961239E-3</c:v>
                </c:pt>
                <c:pt idx="17">
                  <c:v>7.7519379844961239E-3</c:v>
                </c:pt>
                <c:pt idx="18">
                  <c:v>7.7519379844961239E-3</c:v>
                </c:pt>
                <c:pt idx="19">
                  <c:v>7.7519379844961239E-3</c:v>
                </c:pt>
                <c:pt idx="20">
                  <c:v>7.7519379844961239E-3</c:v>
                </c:pt>
                <c:pt idx="21">
                  <c:v>7.7519379844961239E-3</c:v>
                </c:pt>
                <c:pt idx="22">
                  <c:v>7.7519379844961239E-3</c:v>
                </c:pt>
                <c:pt idx="23">
                  <c:v>7.7519379844961239E-3</c:v>
                </c:pt>
                <c:pt idx="24">
                  <c:v>7.7519379844961239E-3</c:v>
                </c:pt>
                <c:pt idx="25">
                  <c:v>1.5503875968992248E-2</c:v>
                </c:pt>
                <c:pt idx="26">
                  <c:v>1.5503875968992248E-2</c:v>
                </c:pt>
                <c:pt idx="27">
                  <c:v>1.5503875968992248E-2</c:v>
                </c:pt>
                <c:pt idx="28">
                  <c:v>1.5503875968992248E-2</c:v>
                </c:pt>
                <c:pt idx="29">
                  <c:v>1.5503875968992248E-2</c:v>
                </c:pt>
                <c:pt idx="30">
                  <c:v>1.5503875968992248E-2</c:v>
                </c:pt>
                <c:pt idx="31">
                  <c:v>1.5503875968992248E-2</c:v>
                </c:pt>
                <c:pt idx="32">
                  <c:v>1.5503875968992248E-2</c:v>
                </c:pt>
                <c:pt idx="33">
                  <c:v>1.5503875968992248E-2</c:v>
                </c:pt>
                <c:pt idx="34">
                  <c:v>1.5503875968992248E-2</c:v>
                </c:pt>
                <c:pt idx="35">
                  <c:v>1.5503875968992248E-2</c:v>
                </c:pt>
                <c:pt idx="36">
                  <c:v>1.5503875968992248E-2</c:v>
                </c:pt>
                <c:pt idx="37">
                  <c:v>1.5503875968992248E-2</c:v>
                </c:pt>
                <c:pt idx="38">
                  <c:v>1.5503875968992248E-2</c:v>
                </c:pt>
                <c:pt idx="39">
                  <c:v>1.5503875968992248E-2</c:v>
                </c:pt>
                <c:pt idx="40">
                  <c:v>1.5503875968992248E-2</c:v>
                </c:pt>
                <c:pt idx="41">
                  <c:v>1.5503875968992248E-2</c:v>
                </c:pt>
                <c:pt idx="42">
                  <c:v>1.5503875968992248E-2</c:v>
                </c:pt>
                <c:pt idx="43">
                  <c:v>1.5503875968992248E-2</c:v>
                </c:pt>
                <c:pt idx="44">
                  <c:v>1.5503875968992248E-2</c:v>
                </c:pt>
                <c:pt idx="45">
                  <c:v>1.5503875968992248E-2</c:v>
                </c:pt>
                <c:pt idx="46">
                  <c:v>1.5503875968992248E-2</c:v>
                </c:pt>
                <c:pt idx="47">
                  <c:v>1.5503875968992248E-2</c:v>
                </c:pt>
                <c:pt idx="48">
                  <c:v>1.5503875968992248E-2</c:v>
                </c:pt>
                <c:pt idx="49">
                  <c:v>1.5503875968992248E-2</c:v>
                </c:pt>
                <c:pt idx="50">
                  <c:v>1.5503875968992248E-2</c:v>
                </c:pt>
                <c:pt idx="51">
                  <c:v>1.5503875968992248E-2</c:v>
                </c:pt>
                <c:pt idx="52">
                  <c:v>2.3255813953488372E-2</c:v>
                </c:pt>
                <c:pt idx="53">
                  <c:v>2.3255813953488372E-2</c:v>
                </c:pt>
                <c:pt idx="54">
                  <c:v>2.3255813953488372E-2</c:v>
                </c:pt>
                <c:pt idx="55">
                  <c:v>2.3255813953488372E-2</c:v>
                </c:pt>
                <c:pt idx="56">
                  <c:v>2.3255813953488372E-2</c:v>
                </c:pt>
                <c:pt idx="57">
                  <c:v>2.3255813953488372E-2</c:v>
                </c:pt>
                <c:pt idx="58">
                  <c:v>2.3255813953488372E-2</c:v>
                </c:pt>
                <c:pt idx="59">
                  <c:v>2.3255813953488372E-2</c:v>
                </c:pt>
                <c:pt idx="60">
                  <c:v>2.3255813953488372E-2</c:v>
                </c:pt>
                <c:pt idx="61">
                  <c:v>3.1007751937984496E-2</c:v>
                </c:pt>
                <c:pt idx="62">
                  <c:v>3.1007751937984496E-2</c:v>
                </c:pt>
                <c:pt idx="63">
                  <c:v>3.1007751937984496E-2</c:v>
                </c:pt>
                <c:pt idx="64">
                  <c:v>3.1007751937984496E-2</c:v>
                </c:pt>
                <c:pt idx="65">
                  <c:v>3.1007751937984496E-2</c:v>
                </c:pt>
                <c:pt idx="66">
                  <c:v>3.1007751937984496E-2</c:v>
                </c:pt>
                <c:pt idx="67">
                  <c:v>3.1007751937984496E-2</c:v>
                </c:pt>
                <c:pt idx="68">
                  <c:v>3.875968992248062E-2</c:v>
                </c:pt>
                <c:pt idx="69">
                  <c:v>3.875968992248062E-2</c:v>
                </c:pt>
                <c:pt idx="70">
                  <c:v>3.875968992248062E-2</c:v>
                </c:pt>
                <c:pt idx="71">
                  <c:v>3.875968992248062E-2</c:v>
                </c:pt>
                <c:pt idx="72">
                  <c:v>3.875968992248062E-2</c:v>
                </c:pt>
                <c:pt idx="73">
                  <c:v>4.6511627906976744E-2</c:v>
                </c:pt>
                <c:pt idx="74">
                  <c:v>4.6511627906976744E-2</c:v>
                </c:pt>
                <c:pt idx="75">
                  <c:v>5.4263565891472867E-2</c:v>
                </c:pt>
                <c:pt idx="76">
                  <c:v>5.4263565891472867E-2</c:v>
                </c:pt>
                <c:pt idx="77">
                  <c:v>5.4263565891472867E-2</c:v>
                </c:pt>
                <c:pt idx="78">
                  <c:v>5.4263565891472867E-2</c:v>
                </c:pt>
                <c:pt idx="79">
                  <c:v>5.4263565891472867E-2</c:v>
                </c:pt>
                <c:pt idx="80">
                  <c:v>5.4263565891472867E-2</c:v>
                </c:pt>
                <c:pt idx="81">
                  <c:v>5.4263565891472867E-2</c:v>
                </c:pt>
                <c:pt idx="82">
                  <c:v>5.4263565891472867E-2</c:v>
                </c:pt>
                <c:pt idx="83">
                  <c:v>5.4263565891472867E-2</c:v>
                </c:pt>
                <c:pt idx="84">
                  <c:v>5.4263565891472867E-2</c:v>
                </c:pt>
                <c:pt idx="85">
                  <c:v>5.4263565891472867E-2</c:v>
                </c:pt>
                <c:pt idx="86">
                  <c:v>5.4263565891472867E-2</c:v>
                </c:pt>
                <c:pt idx="87">
                  <c:v>5.4263565891472867E-2</c:v>
                </c:pt>
                <c:pt idx="88">
                  <c:v>5.4263565891472867E-2</c:v>
                </c:pt>
                <c:pt idx="89">
                  <c:v>6.2015503875968991E-2</c:v>
                </c:pt>
                <c:pt idx="90">
                  <c:v>6.9767441860465115E-2</c:v>
                </c:pt>
                <c:pt idx="91">
                  <c:v>7.7519379844961239E-2</c:v>
                </c:pt>
                <c:pt idx="92">
                  <c:v>7.7519379844961239E-2</c:v>
                </c:pt>
                <c:pt idx="93">
                  <c:v>7.7519379844961239E-2</c:v>
                </c:pt>
                <c:pt idx="94">
                  <c:v>8.5271317829457363E-2</c:v>
                </c:pt>
                <c:pt idx="95">
                  <c:v>8.5271317829457363E-2</c:v>
                </c:pt>
                <c:pt idx="96">
                  <c:v>8.5271317829457363E-2</c:v>
                </c:pt>
                <c:pt idx="97">
                  <c:v>8.5271317829457363E-2</c:v>
                </c:pt>
                <c:pt idx="98">
                  <c:v>8.5271317829457363E-2</c:v>
                </c:pt>
                <c:pt idx="99">
                  <c:v>8.5271317829457363E-2</c:v>
                </c:pt>
                <c:pt idx="100">
                  <c:v>8.5271317829457363E-2</c:v>
                </c:pt>
                <c:pt idx="101">
                  <c:v>8.5271317829457363E-2</c:v>
                </c:pt>
                <c:pt idx="102">
                  <c:v>8.5271317829457363E-2</c:v>
                </c:pt>
                <c:pt idx="103">
                  <c:v>9.3023255813953487E-2</c:v>
                </c:pt>
                <c:pt idx="104">
                  <c:v>9.3023255813953487E-2</c:v>
                </c:pt>
                <c:pt idx="105">
                  <c:v>9.3023255813953487E-2</c:v>
                </c:pt>
                <c:pt idx="106">
                  <c:v>9.3023255813953487E-2</c:v>
                </c:pt>
                <c:pt idx="107">
                  <c:v>9.3023255813953487E-2</c:v>
                </c:pt>
                <c:pt idx="108">
                  <c:v>9.3023255813953487E-2</c:v>
                </c:pt>
                <c:pt idx="109">
                  <c:v>9.3023255813953487E-2</c:v>
                </c:pt>
                <c:pt idx="110">
                  <c:v>9.3023255813953487E-2</c:v>
                </c:pt>
                <c:pt idx="111">
                  <c:v>9.3023255813953487E-2</c:v>
                </c:pt>
                <c:pt idx="112">
                  <c:v>9.3023255813953487E-2</c:v>
                </c:pt>
                <c:pt idx="113">
                  <c:v>9.3023255813953487E-2</c:v>
                </c:pt>
                <c:pt idx="114">
                  <c:v>9.3023255813953487E-2</c:v>
                </c:pt>
                <c:pt idx="115">
                  <c:v>9.3023255813953487E-2</c:v>
                </c:pt>
                <c:pt idx="116">
                  <c:v>9.3023255813953487E-2</c:v>
                </c:pt>
                <c:pt idx="117">
                  <c:v>9.3023255813953487E-2</c:v>
                </c:pt>
                <c:pt idx="118">
                  <c:v>0.10077519379844961</c:v>
                </c:pt>
                <c:pt idx="119">
                  <c:v>0.10852713178294573</c:v>
                </c:pt>
                <c:pt idx="120">
                  <c:v>0.10852713178294573</c:v>
                </c:pt>
                <c:pt idx="121">
                  <c:v>0.10852713178294573</c:v>
                </c:pt>
                <c:pt idx="122">
                  <c:v>0.10852713178294573</c:v>
                </c:pt>
                <c:pt idx="123">
                  <c:v>0.10852713178294573</c:v>
                </c:pt>
                <c:pt idx="124">
                  <c:v>0.10852713178294573</c:v>
                </c:pt>
                <c:pt idx="125">
                  <c:v>0.10852713178294573</c:v>
                </c:pt>
                <c:pt idx="126">
                  <c:v>0.10852713178294573</c:v>
                </c:pt>
                <c:pt idx="127">
                  <c:v>0.11627906976744186</c:v>
                </c:pt>
                <c:pt idx="128">
                  <c:v>0.12403100775193798</c:v>
                </c:pt>
                <c:pt idx="129">
                  <c:v>0.12403100775193798</c:v>
                </c:pt>
                <c:pt idx="130">
                  <c:v>0.12403100775193798</c:v>
                </c:pt>
                <c:pt idx="131">
                  <c:v>0.12403100775193798</c:v>
                </c:pt>
                <c:pt idx="132">
                  <c:v>0.12403100775193798</c:v>
                </c:pt>
                <c:pt idx="133">
                  <c:v>0.12403100775193798</c:v>
                </c:pt>
                <c:pt idx="134">
                  <c:v>0.12403100775193798</c:v>
                </c:pt>
                <c:pt idx="135">
                  <c:v>0.12403100775193798</c:v>
                </c:pt>
                <c:pt idx="136">
                  <c:v>0.12403100775193798</c:v>
                </c:pt>
                <c:pt idx="137">
                  <c:v>0.12403100775193798</c:v>
                </c:pt>
                <c:pt idx="138">
                  <c:v>0.12403100775193798</c:v>
                </c:pt>
                <c:pt idx="139">
                  <c:v>0.12403100775193798</c:v>
                </c:pt>
                <c:pt idx="140">
                  <c:v>0.12403100775193798</c:v>
                </c:pt>
                <c:pt idx="141">
                  <c:v>0.12403100775193798</c:v>
                </c:pt>
                <c:pt idx="142">
                  <c:v>0.12403100775193798</c:v>
                </c:pt>
                <c:pt idx="143">
                  <c:v>0.12403100775193798</c:v>
                </c:pt>
                <c:pt idx="144">
                  <c:v>0.12403100775193798</c:v>
                </c:pt>
                <c:pt idx="145">
                  <c:v>0.12403100775193798</c:v>
                </c:pt>
                <c:pt idx="146">
                  <c:v>0.12403100775193798</c:v>
                </c:pt>
                <c:pt idx="147">
                  <c:v>0.13178294573643412</c:v>
                </c:pt>
                <c:pt idx="148">
                  <c:v>0.13178294573643412</c:v>
                </c:pt>
                <c:pt idx="149">
                  <c:v>0.13178294573643412</c:v>
                </c:pt>
                <c:pt idx="150">
                  <c:v>0.13178294573643412</c:v>
                </c:pt>
                <c:pt idx="151">
                  <c:v>0.13953488372093023</c:v>
                </c:pt>
                <c:pt idx="152">
                  <c:v>0.14728682170542637</c:v>
                </c:pt>
                <c:pt idx="153">
                  <c:v>0.14728682170542637</c:v>
                </c:pt>
                <c:pt idx="154">
                  <c:v>0.15503875968992248</c:v>
                </c:pt>
                <c:pt idx="155">
                  <c:v>0.15503875968992248</c:v>
                </c:pt>
                <c:pt idx="156">
                  <c:v>0.15503875968992248</c:v>
                </c:pt>
                <c:pt idx="157">
                  <c:v>0.15503875968992248</c:v>
                </c:pt>
                <c:pt idx="158">
                  <c:v>0.15503875968992248</c:v>
                </c:pt>
                <c:pt idx="159">
                  <c:v>0.15503875968992248</c:v>
                </c:pt>
                <c:pt idx="160">
                  <c:v>0.15503875968992248</c:v>
                </c:pt>
                <c:pt idx="161">
                  <c:v>0.15503875968992248</c:v>
                </c:pt>
                <c:pt idx="162">
                  <c:v>0.15503875968992248</c:v>
                </c:pt>
                <c:pt idx="163">
                  <c:v>0.15503875968992248</c:v>
                </c:pt>
                <c:pt idx="164">
                  <c:v>0.16279069767441862</c:v>
                </c:pt>
                <c:pt idx="165">
                  <c:v>0.17054263565891473</c:v>
                </c:pt>
                <c:pt idx="166">
                  <c:v>0.17054263565891473</c:v>
                </c:pt>
                <c:pt idx="167">
                  <c:v>0.17054263565891473</c:v>
                </c:pt>
                <c:pt idx="168">
                  <c:v>0.17054263565891473</c:v>
                </c:pt>
                <c:pt idx="169">
                  <c:v>0.17054263565891473</c:v>
                </c:pt>
                <c:pt idx="170">
                  <c:v>0.17054263565891473</c:v>
                </c:pt>
                <c:pt idx="171">
                  <c:v>0.17054263565891473</c:v>
                </c:pt>
                <c:pt idx="172">
                  <c:v>0.17829457364341086</c:v>
                </c:pt>
                <c:pt idx="173">
                  <c:v>0.17829457364341086</c:v>
                </c:pt>
                <c:pt idx="174">
                  <c:v>0.17829457364341086</c:v>
                </c:pt>
                <c:pt idx="175">
                  <c:v>0.17829457364341086</c:v>
                </c:pt>
                <c:pt idx="176">
                  <c:v>0.17829457364341086</c:v>
                </c:pt>
                <c:pt idx="177">
                  <c:v>0.17829457364341086</c:v>
                </c:pt>
                <c:pt idx="178">
                  <c:v>0.18604651162790697</c:v>
                </c:pt>
                <c:pt idx="179">
                  <c:v>0.18604651162790697</c:v>
                </c:pt>
                <c:pt idx="180">
                  <c:v>0.19379844961240311</c:v>
                </c:pt>
                <c:pt idx="181">
                  <c:v>0.19379844961240311</c:v>
                </c:pt>
                <c:pt idx="182">
                  <c:v>0.19379844961240311</c:v>
                </c:pt>
                <c:pt idx="183">
                  <c:v>0.19379844961240311</c:v>
                </c:pt>
                <c:pt idx="184">
                  <c:v>0.19379844961240311</c:v>
                </c:pt>
                <c:pt idx="185">
                  <c:v>0.19379844961240311</c:v>
                </c:pt>
                <c:pt idx="186">
                  <c:v>0.19379844961240311</c:v>
                </c:pt>
                <c:pt idx="187">
                  <c:v>0.19379844961240311</c:v>
                </c:pt>
                <c:pt idx="188">
                  <c:v>0.20155038759689922</c:v>
                </c:pt>
                <c:pt idx="189">
                  <c:v>0.20155038759689922</c:v>
                </c:pt>
                <c:pt idx="190">
                  <c:v>0.20930232558139536</c:v>
                </c:pt>
                <c:pt idx="191">
                  <c:v>0.20930232558139536</c:v>
                </c:pt>
                <c:pt idx="192">
                  <c:v>0.21705426356589147</c:v>
                </c:pt>
                <c:pt idx="193">
                  <c:v>0.21705426356589147</c:v>
                </c:pt>
                <c:pt idx="194">
                  <c:v>0.21705426356589147</c:v>
                </c:pt>
                <c:pt idx="195">
                  <c:v>0.22480620155038761</c:v>
                </c:pt>
                <c:pt idx="196">
                  <c:v>0.22480620155038761</c:v>
                </c:pt>
                <c:pt idx="197">
                  <c:v>0.23255813953488372</c:v>
                </c:pt>
                <c:pt idx="198">
                  <c:v>0.23255813953488372</c:v>
                </c:pt>
                <c:pt idx="199">
                  <c:v>0.23255813953488372</c:v>
                </c:pt>
                <c:pt idx="200">
                  <c:v>0.23255813953488372</c:v>
                </c:pt>
                <c:pt idx="201">
                  <c:v>0.23255813953488372</c:v>
                </c:pt>
                <c:pt idx="202">
                  <c:v>0.23255813953488372</c:v>
                </c:pt>
                <c:pt idx="203">
                  <c:v>0.23255813953488372</c:v>
                </c:pt>
                <c:pt idx="204">
                  <c:v>0.23255813953488372</c:v>
                </c:pt>
                <c:pt idx="205">
                  <c:v>0.23255813953488372</c:v>
                </c:pt>
                <c:pt idx="206">
                  <c:v>0.23255813953488372</c:v>
                </c:pt>
                <c:pt idx="207">
                  <c:v>0.23255813953488372</c:v>
                </c:pt>
                <c:pt idx="208">
                  <c:v>0.23255813953488372</c:v>
                </c:pt>
                <c:pt idx="209">
                  <c:v>0.23255813953488372</c:v>
                </c:pt>
                <c:pt idx="210">
                  <c:v>0.23255813953488372</c:v>
                </c:pt>
                <c:pt idx="211">
                  <c:v>0.23255813953488372</c:v>
                </c:pt>
                <c:pt idx="212">
                  <c:v>0.23255813953488372</c:v>
                </c:pt>
                <c:pt idx="213">
                  <c:v>0.24031007751937986</c:v>
                </c:pt>
                <c:pt idx="214">
                  <c:v>0.24806201550387597</c:v>
                </c:pt>
                <c:pt idx="215">
                  <c:v>0.2558139534883721</c:v>
                </c:pt>
                <c:pt idx="216">
                  <c:v>0.2558139534883721</c:v>
                </c:pt>
                <c:pt idx="217">
                  <c:v>0.2558139534883721</c:v>
                </c:pt>
                <c:pt idx="218">
                  <c:v>0.2558139534883721</c:v>
                </c:pt>
                <c:pt idx="219">
                  <c:v>0.2558139534883721</c:v>
                </c:pt>
                <c:pt idx="220">
                  <c:v>0.2558139534883721</c:v>
                </c:pt>
                <c:pt idx="221">
                  <c:v>0.2558139534883721</c:v>
                </c:pt>
                <c:pt idx="222">
                  <c:v>0.2558139534883721</c:v>
                </c:pt>
                <c:pt idx="223">
                  <c:v>0.26356589147286824</c:v>
                </c:pt>
                <c:pt idx="224">
                  <c:v>0.27131782945736432</c:v>
                </c:pt>
                <c:pt idx="225">
                  <c:v>0.27131782945736432</c:v>
                </c:pt>
                <c:pt idx="226">
                  <c:v>0.27131782945736432</c:v>
                </c:pt>
                <c:pt idx="227">
                  <c:v>0.27131782945736432</c:v>
                </c:pt>
                <c:pt idx="228">
                  <c:v>0.27131782945736432</c:v>
                </c:pt>
                <c:pt idx="229">
                  <c:v>0.27906976744186046</c:v>
                </c:pt>
                <c:pt idx="230">
                  <c:v>0.27906976744186046</c:v>
                </c:pt>
                <c:pt idx="231">
                  <c:v>0.27906976744186046</c:v>
                </c:pt>
                <c:pt idx="232">
                  <c:v>0.27906976744186046</c:v>
                </c:pt>
                <c:pt idx="233">
                  <c:v>0.27906976744186046</c:v>
                </c:pt>
                <c:pt idx="234">
                  <c:v>0.27906976744186046</c:v>
                </c:pt>
                <c:pt idx="235">
                  <c:v>0.27906976744186046</c:v>
                </c:pt>
                <c:pt idx="236">
                  <c:v>0.27906976744186046</c:v>
                </c:pt>
                <c:pt idx="237">
                  <c:v>0.2868217054263566</c:v>
                </c:pt>
                <c:pt idx="238">
                  <c:v>0.2868217054263566</c:v>
                </c:pt>
                <c:pt idx="239">
                  <c:v>0.2868217054263566</c:v>
                </c:pt>
                <c:pt idx="240">
                  <c:v>0.29457364341085274</c:v>
                </c:pt>
                <c:pt idx="241">
                  <c:v>0.29457364341085274</c:v>
                </c:pt>
                <c:pt idx="242">
                  <c:v>0.30232558139534882</c:v>
                </c:pt>
                <c:pt idx="243">
                  <c:v>0.30232558139534882</c:v>
                </c:pt>
                <c:pt idx="244">
                  <c:v>0.31007751937984496</c:v>
                </c:pt>
                <c:pt idx="245">
                  <c:v>0.31007751937984496</c:v>
                </c:pt>
                <c:pt idx="246">
                  <c:v>0.31782945736434109</c:v>
                </c:pt>
                <c:pt idx="247">
                  <c:v>0.31782945736434109</c:v>
                </c:pt>
                <c:pt idx="248">
                  <c:v>0.31782945736434109</c:v>
                </c:pt>
                <c:pt idx="249">
                  <c:v>0.31782945736434109</c:v>
                </c:pt>
                <c:pt idx="250">
                  <c:v>0.32558139534883723</c:v>
                </c:pt>
                <c:pt idx="251">
                  <c:v>0.32558139534883723</c:v>
                </c:pt>
                <c:pt idx="252">
                  <c:v>0.33333333333333331</c:v>
                </c:pt>
                <c:pt idx="253">
                  <c:v>0.33333333333333331</c:v>
                </c:pt>
                <c:pt idx="254">
                  <c:v>0.34108527131782945</c:v>
                </c:pt>
                <c:pt idx="255">
                  <c:v>0.34883720930232559</c:v>
                </c:pt>
                <c:pt idx="256">
                  <c:v>0.35658914728682173</c:v>
                </c:pt>
                <c:pt idx="257">
                  <c:v>0.35658914728682173</c:v>
                </c:pt>
                <c:pt idx="258">
                  <c:v>0.36434108527131781</c:v>
                </c:pt>
                <c:pt idx="259">
                  <c:v>0.36434108527131781</c:v>
                </c:pt>
                <c:pt idx="260">
                  <c:v>0.36434108527131781</c:v>
                </c:pt>
                <c:pt idx="261">
                  <c:v>0.36434108527131781</c:v>
                </c:pt>
                <c:pt idx="262">
                  <c:v>0.37209302325581395</c:v>
                </c:pt>
                <c:pt idx="263">
                  <c:v>0.37209302325581395</c:v>
                </c:pt>
                <c:pt idx="264">
                  <c:v>0.37209302325581395</c:v>
                </c:pt>
                <c:pt idx="265">
                  <c:v>0.37209302325581395</c:v>
                </c:pt>
                <c:pt idx="266">
                  <c:v>0.37209302325581395</c:v>
                </c:pt>
                <c:pt idx="267">
                  <c:v>0.37209302325581395</c:v>
                </c:pt>
                <c:pt idx="268">
                  <c:v>0.37209302325581395</c:v>
                </c:pt>
                <c:pt idx="269">
                  <c:v>0.37209302325581395</c:v>
                </c:pt>
                <c:pt idx="270">
                  <c:v>0.37984496124031009</c:v>
                </c:pt>
                <c:pt idx="271">
                  <c:v>0.38759689922480622</c:v>
                </c:pt>
                <c:pt idx="272">
                  <c:v>0.39534883720930231</c:v>
                </c:pt>
                <c:pt idx="273">
                  <c:v>0.40310077519379844</c:v>
                </c:pt>
                <c:pt idx="274">
                  <c:v>0.40310077519379844</c:v>
                </c:pt>
                <c:pt idx="275">
                  <c:v>0.41085271317829458</c:v>
                </c:pt>
                <c:pt idx="276">
                  <c:v>0.41860465116279072</c:v>
                </c:pt>
                <c:pt idx="277">
                  <c:v>0.4263565891472868</c:v>
                </c:pt>
                <c:pt idx="278">
                  <c:v>0.4263565891472868</c:v>
                </c:pt>
                <c:pt idx="279">
                  <c:v>0.4263565891472868</c:v>
                </c:pt>
                <c:pt idx="280">
                  <c:v>0.4263565891472868</c:v>
                </c:pt>
                <c:pt idx="281">
                  <c:v>0.4263565891472868</c:v>
                </c:pt>
                <c:pt idx="282">
                  <c:v>0.4263565891472868</c:v>
                </c:pt>
                <c:pt idx="283">
                  <c:v>0.4263565891472868</c:v>
                </c:pt>
                <c:pt idx="284">
                  <c:v>0.4263565891472868</c:v>
                </c:pt>
                <c:pt idx="285">
                  <c:v>0.4263565891472868</c:v>
                </c:pt>
                <c:pt idx="286">
                  <c:v>0.4263565891472868</c:v>
                </c:pt>
                <c:pt idx="287">
                  <c:v>0.4263565891472868</c:v>
                </c:pt>
                <c:pt idx="288">
                  <c:v>0.43410852713178294</c:v>
                </c:pt>
                <c:pt idx="289">
                  <c:v>0.43410852713178294</c:v>
                </c:pt>
                <c:pt idx="290">
                  <c:v>0.43410852713178294</c:v>
                </c:pt>
                <c:pt idx="291">
                  <c:v>0.44186046511627908</c:v>
                </c:pt>
                <c:pt idx="292">
                  <c:v>0.44961240310077522</c:v>
                </c:pt>
                <c:pt idx="293">
                  <c:v>0.44961240310077522</c:v>
                </c:pt>
                <c:pt idx="294">
                  <c:v>0.44961240310077522</c:v>
                </c:pt>
                <c:pt idx="295">
                  <c:v>0.44961240310077522</c:v>
                </c:pt>
                <c:pt idx="296">
                  <c:v>0.44961240310077522</c:v>
                </c:pt>
                <c:pt idx="297">
                  <c:v>0.4573643410852713</c:v>
                </c:pt>
                <c:pt idx="298">
                  <c:v>0.4573643410852713</c:v>
                </c:pt>
                <c:pt idx="299">
                  <c:v>0.46511627906976744</c:v>
                </c:pt>
                <c:pt idx="300">
                  <c:v>0.47286821705426357</c:v>
                </c:pt>
                <c:pt idx="301">
                  <c:v>0.48062015503875971</c:v>
                </c:pt>
                <c:pt idx="302">
                  <c:v>0.48062015503875971</c:v>
                </c:pt>
                <c:pt idx="303">
                  <c:v>0.48062015503875971</c:v>
                </c:pt>
                <c:pt idx="304">
                  <c:v>0.48837209302325579</c:v>
                </c:pt>
                <c:pt idx="305">
                  <c:v>0.49612403100775193</c:v>
                </c:pt>
                <c:pt idx="306">
                  <c:v>0.50387596899224807</c:v>
                </c:pt>
                <c:pt idx="307">
                  <c:v>0.50387596899224807</c:v>
                </c:pt>
                <c:pt idx="308">
                  <c:v>0.51162790697674421</c:v>
                </c:pt>
                <c:pt idx="309">
                  <c:v>0.51937984496124034</c:v>
                </c:pt>
                <c:pt idx="310">
                  <c:v>0.51937984496124034</c:v>
                </c:pt>
                <c:pt idx="311">
                  <c:v>0.51937984496124034</c:v>
                </c:pt>
                <c:pt idx="312">
                  <c:v>0.52713178294573648</c:v>
                </c:pt>
                <c:pt idx="313">
                  <c:v>0.52713178294573648</c:v>
                </c:pt>
                <c:pt idx="314">
                  <c:v>0.53488372093023251</c:v>
                </c:pt>
                <c:pt idx="315">
                  <c:v>0.53488372093023251</c:v>
                </c:pt>
                <c:pt idx="316">
                  <c:v>0.54263565891472865</c:v>
                </c:pt>
                <c:pt idx="317">
                  <c:v>0.55038759689922478</c:v>
                </c:pt>
                <c:pt idx="318">
                  <c:v>0.55038759689922478</c:v>
                </c:pt>
                <c:pt idx="319">
                  <c:v>0.55038759689922478</c:v>
                </c:pt>
                <c:pt idx="320">
                  <c:v>0.55038759689922478</c:v>
                </c:pt>
                <c:pt idx="321">
                  <c:v>0.55038759689922478</c:v>
                </c:pt>
                <c:pt idx="322">
                  <c:v>0.55813953488372092</c:v>
                </c:pt>
                <c:pt idx="323">
                  <c:v>0.56589147286821706</c:v>
                </c:pt>
                <c:pt idx="324">
                  <c:v>0.5736434108527132</c:v>
                </c:pt>
                <c:pt idx="325">
                  <c:v>0.58139534883720934</c:v>
                </c:pt>
                <c:pt idx="326">
                  <c:v>0.58139534883720934</c:v>
                </c:pt>
                <c:pt idx="327">
                  <c:v>0.58914728682170547</c:v>
                </c:pt>
                <c:pt idx="328">
                  <c:v>0.58914728682170547</c:v>
                </c:pt>
                <c:pt idx="329">
                  <c:v>0.5968992248062015</c:v>
                </c:pt>
                <c:pt idx="330">
                  <c:v>0.5968992248062015</c:v>
                </c:pt>
                <c:pt idx="331">
                  <c:v>0.5968992248062015</c:v>
                </c:pt>
                <c:pt idx="332">
                  <c:v>0.5968992248062015</c:v>
                </c:pt>
                <c:pt idx="333">
                  <c:v>0.60465116279069764</c:v>
                </c:pt>
                <c:pt idx="334">
                  <c:v>0.61240310077519378</c:v>
                </c:pt>
                <c:pt idx="335">
                  <c:v>0.61240310077519378</c:v>
                </c:pt>
                <c:pt idx="336">
                  <c:v>0.62015503875968991</c:v>
                </c:pt>
                <c:pt idx="337">
                  <c:v>0.62790697674418605</c:v>
                </c:pt>
                <c:pt idx="338">
                  <c:v>0.63565891472868219</c:v>
                </c:pt>
                <c:pt idx="339">
                  <c:v>0.63565891472868219</c:v>
                </c:pt>
                <c:pt idx="340">
                  <c:v>0.64341085271317833</c:v>
                </c:pt>
                <c:pt idx="341">
                  <c:v>0.65116279069767447</c:v>
                </c:pt>
                <c:pt idx="342">
                  <c:v>0.65891472868217049</c:v>
                </c:pt>
                <c:pt idx="343">
                  <c:v>0.66666666666666663</c:v>
                </c:pt>
                <c:pt idx="344">
                  <c:v>0.67441860465116277</c:v>
                </c:pt>
                <c:pt idx="345">
                  <c:v>0.67441860465116277</c:v>
                </c:pt>
                <c:pt idx="346">
                  <c:v>0.67441860465116277</c:v>
                </c:pt>
                <c:pt idx="347">
                  <c:v>0.67441860465116277</c:v>
                </c:pt>
                <c:pt idx="348">
                  <c:v>0.68217054263565891</c:v>
                </c:pt>
                <c:pt idx="349">
                  <c:v>0.68992248062015504</c:v>
                </c:pt>
                <c:pt idx="350">
                  <c:v>0.68992248062015504</c:v>
                </c:pt>
                <c:pt idx="351">
                  <c:v>0.69767441860465118</c:v>
                </c:pt>
                <c:pt idx="352">
                  <c:v>0.70542635658914732</c:v>
                </c:pt>
                <c:pt idx="353">
                  <c:v>0.71317829457364346</c:v>
                </c:pt>
                <c:pt idx="354">
                  <c:v>0.72093023255813948</c:v>
                </c:pt>
                <c:pt idx="355">
                  <c:v>0.72868217054263562</c:v>
                </c:pt>
                <c:pt idx="356">
                  <c:v>0.73643410852713176</c:v>
                </c:pt>
                <c:pt idx="357">
                  <c:v>0.73643410852713176</c:v>
                </c:pt>
                <c:pt idx="358">
                  <c:v>0.7441860465116279</c:v>
                </c:pt>
                <c:pt idx="359">
                  <c:v>0.75193798449612403</c:v>
                </c:pt>
                <c:pt idx="360">
                  <c:v>0.75193798449612403</c:v>
                </c:pt>
                <c:pt idx="361">
                  <c:v>0.75193798449612403</c:v>
                </c:pt>
                <c:pt idx="362">
                  <c:v>0.75968992248062017</c:v>
                </c:pt>
                <c:pt idx="363">
                  <c:v>0.76744186046511631</c:v>
                </c:pt>
                <c:pt idx="364">
                  <c:v>0.77519379844961245</c:v>
                </c:pt>
                <c:pt idx="365">
                  <c:v>0.77519379844961245</c:v>
                </c:pt>
                <c:pt idx="366">
                  <c:v>0.77519379844961245</c:v>
                </c:pt>
                <c:pt idx="367">
                  <c:v>0.78294573643410847</c:v>
                </c:pt>
                <c:pt idx="368">
                  <c:v>0.79069767441860461</c:v>
                </c:pt>
                <c:pt idx="369">
                  <c:v>0.79844961240310075</c:v>
                </c:pt>
                <c:pt idx="370">
                  <c:v>0.80620155038759689</c:v>
                </c:pt>
                <c:pt idx="371">
                  <c:v>0.80620155038759689</c:v>
                </c:pt>
                <c:pt idx="372">
                  <c:v>0.81395348837209303</c:v>
                </c:pt>
                <c:pt idx="373">
                  <c:v>0.82170542635658916</c:v>
                </c:pt>
                <c:pt idx="374">
                  <c:v>0.8294573643410853</c:v>
                </c:pt>
                <c:pt idx="375">
                  <c:v>0.83720930232558144</c:v>
                </c:pt>
                <c:pt idx="376">
                  <c:v>0.84496124031007747</c:v>
                </c:pt>
                <c:pt idx="377">
                  <c:v>0.8527131782945736</c:v>
                </c:pt>
                <c:pt idx="378">
                  <c:v>0.86046511627906974</c:v>
                </c:pt>
                <c:pt idx="379">
                  <c:v>0.86046511627906974</c:v>
                </c:pt>
                <c:pt idx="380">
                  <c:v>0.86821705426356588</c:v>
                </c:pt>
                <c:pt idx="381">
                  <c:v>0.87596899224806202</c:v>
                </c:pt>
                <c:pt idx="382">
                  <c:v>0.88372093023255816</c:v>
                </c:pt>
                <c:pt idx="383">
                  <c:v>0.89147286821705429</c:v>
                </c:pt>
                <c:pt idx="384">
                  <c:v>0.89922480620155043</c:v>
                </c:pt>
                <c:pt idx="385">
                  <c:v>0.90697674418604646</c:v>
                </c:pt>
                <c:pt idx="386">
                  <c:v>0.9147286821705426</c:v>
                </c:pt>
                <c:pt idx="387">
                  <c:v>0.92248062015503873</c:v>
                </c:pt>
                <c:pt idx="388">
                  <c:v>0.92248062015503873</c:v>
                </c:pt>
                <c:pt idx="389">
                  <c:v>0.93023255813953487</c:v>
                </c:pt>
                <c:pt idx="390">
                  <c:v>0.93798449612403101</c:v>
                </c:pt>
                <c:pt idx="391">
                  <c:v>0.93798449612403101</c:v>
                </c:pt>
                <c:pt idx="392">
                  <c:v>0.94573643410852715</c:v>
                </c:pt>
                <c:pt idx="393">
                  <c:v>0.95348837209302328</c:v>
                </c:pt>
                <c:pt idx="394">
                  <c:v>0.96124031007751942</c:v>
                </c:pt>
                <c:pt idx="395">
                  <c:v>0.96899224806201545</c:v>
                </c:pt>
                <c:pt idx="396">
                  <c:v>0.97674418604651159</c:v>
                </c:pt>
                <c:pt idx="397">
                  <c:v>0.98449612403100772</c:v>
                </c:pt>
                <c:pt idx="398">
                  <c:v>0.99224806201550386</c:v>
                </c:pt>
                <c:pt idx="399">
                  <c:v>1</c:v>
                </c:pt>
                <c:pt idx="400">
                  <c:v>1</c:v>
                </c:pt>
              </c:numCache>
            </c:numRef>
          </c:yVal>
          <c:smooth val="0"/>
        </c:ser>
        <c:dLbls>
          <c:showLegendKey val="0"/>
          <c:showVal val="0"/>
          <c:showCatName val="0"/>
          <c:showSerName val="0"/>
          <c:showPercent val="0"/>
          <c:showBubbleSize val="0"/>
        </c:dLbls>
        <c:axId val="755329568"/>
        <c:axId val="750132976"/>
      </c:scatterChart>
      <c:valAx>
        <c:axId val="755329568"/>
        <c:scaling>
          <c:orientation val="minMax"/>
        </c:scaling>
        <c:delete val="0"/>
        <c:axPos val="b"/>
        <c:title>
          <c:tx>
            <c:rich>
              <a:bodyPr/>
              <a:lstStyle/>
              <a:p>
                <a:pPr>
                  <a:defRPr/>
                </a:pPr>
                <a:r>
                  <a:rPr lang="en-US"/>
                  <a:t>False Positive Rate</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50132976"/>
        <c:crosses val="autoZero"/>
        <c:crossBetween val="midCat"/>
      </c:valAx>
      <c:valAx>
        <c:axId val="750132976"/>
        <c:scaling>
          <c:orientation val="minMax"/>
        </c:scaling>
        <c:delete val="0"/>
        <c:axPos val="l"/>
        <c:majorGridlines/>
        <c:title>
          <c:tx>
            <c:rich>
              <a:bodyPr/>
              <a:lstStyle/>
              <a:p>
                <a:pPr>
                  <a:defRPr/>
                </a:pPr>
                <a:r>
                  <a:rPr lang="en-US"/>
                  <a:t>True Positive Rate</a:t>
                </a:r>
              </a:p>
            </c:rich>
          </c:tx>
          <c:overlay val="0"/>
        </c:title>
        <c:numFmt formatCode="General" sourceLinked="1"/>
        <c:majorTickMark val="out"/>
        <c:minorTickMark val="none"/>
        <c:tickLblPos val="nextTo"/>
        <c:crossAx val="75532956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129540</xdr:colOff>
      <xdr:row>9</xdr:row>
      <xdr:rowOff>60960</xdr:rowOff>
    </xdr:from>
    <xdr:to>
      <xdr:col>7</xdr:col>
      <xdr:colOff>304800</xdr:colOff>
      <xdr:row>28</xdr:row>
      <xdr:rowOff>53340</xdr:rowOff>
    </xdr:to>
    <xdr:graphicFrame macro="">
      <xdr:nvGraphicFramePr>
        <xdr:cNvPr id="13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434340</xdr:colOff>
      <xdr:row>9</xdr:row>
      <xdr:rowOff>60960</xdr:rowOff>
    </xdr:from>
    <xdr:to>
      <xdr:col>14</xdr:col>
      <xdr:colOff>289560</xdr:colOff>
      <xdr:row>28</xdr:row>
      <xdr:rowOff>53340</xdr:rowOff>
    </xdr:to>
    <xdr:graphicFrame macro="">
      <xdr:nvGraphicFramePr>
        <xdr:cNvPr id="13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129540</xdr:colOff>
      <xdr:row>29</xdr:row>
      <xdr:rowOff>60960</xdr:rowOff>
    </xdr:from>
    <xdr:to>
      <xdr:col>7</xdr:col>
      <xdr:colOff>304800</xdr:colOff>
      <xdr:row>47</xdr:row>
      <xdr:rowOff>144780</xdr:rowOff>
    </xdr:to>
    <xdr:graphicFrame macro="">
      <xdr:nvGraphicFramePr>
        <xdr:cNvPr id="1334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129540</xdr:colOff>
      <xdr:row>9</xdr:row>
      <xdr:rowOff>60960</xdr:rowOff>
    </xdr:from>
    <xdr:to>
      <xdr:col>7</xdr:col>
      <xdr:colOff>304800</xdr:colOff>
      <xdr:row>28</xdr:row>
      <xdr:rowOff>53340</xdr:rowOff>
    </xdr:to>
    <xdr:graphicFrame macro="">
      <xdr:nvGraphicFramePr>
        <xdr:cNvPr id="1231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434340</xdr:colOff>
      <xdr:row>9</xdr:row>
      <xdr:rowOff>60960</xdr:rowOff>
    </xdr:from>
    <xdr:to>
      <xdr:col>14</xdr:col>
      <xdr:colOff>289560</xdr:colOff>
      <xdr:row>28</xdr:row>
      <xdr:rowOff>53340</xdr:rowOff>
    </xdr:to>
    <xdr:graphicFrame macro="">
      <xdr:nvGraphicFramePr>
        <xdr:cNvPr id="12320"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129540</xdr:colOff>
      <xdr:row>29</xdr:row>
      <xdr:rowOff>60960</xdr:rowOff>
    </xdr:from>
    <xdr:to>
      <xdr:col>7</xdr:col>
      <xdr:colOff>304800</xdr:colOff>
      <xdr:row>47</xdr:row>
      <xdr:rowOff>144780</xdr:rowOff>
    </xdr:to>
    <xdr:graphicFrame macro="">
      <xdr:nvGraphicFramePr>
        <xdr:cNvPr id="12321"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id="2" name="AutoNNCTable" displayName="AutoNNCTable_1" ref="C42:N142" totalsRowShown="0" headerRowDxfId="4">
  <autoFilter ref="C42:N142"/>
  <sortState ref="C43:N142">
    <sortCondition ref="L42:L142"/>
  </sortState>
  <tableColumns count="12">
    <tableColumn id="1" name="Net ID" dataDxfId="3" dataCellStyle="Hyperlink"/>
    <tableColumn id="2" name="# Layers"/>
    <tableColumn id="3" name="# Neurons_x000a_(Layer 1)"/>
    <tableColumn id="4" name="# Neurons_x000a_(Layer 2)"/>
    <tableColumn id="5" name="T: # Errors"/>
    <tableColumn id="6" name="T: % Errors"/>
    <tableColumn id="7" name="T: % Sensitivity"/>
    <tableColumn id="8" name="T: % Specificity"/>
    <tableColumn id="9" name="V: # Errors"/>
    <tableColumn id="10" name="V: % Errors"/>
    <tableColumn id="11" name="V: % Sensitivity"/>
    <tableColumn id="12" name="V: % Specificity"/>
  </tableColumns>
  <tableStyleInfo name="TableStyleMedium9" showFirstColumn="0" showLastColumn="0" showRowStripes="1" showColumnStripes="0"/>
</table>
</file>

<file path=xl/tables/table2.xml><?xml version="1.0" encoding="utf-8"?>
<table xmlns="http://schemas.openxmlformats.org/spreadsheetml/2006/main" id="1" name="AutoNNCTable" displayName="AutoNNCTable" ref="C42:O142" totalsRowShown="0" headerRowDxfId="2">
  <autoFilter ref="C42:O142"/>
  <sortState ref="C43:O142">
    <sortCondition ref="L42:L142"/>
  </sortState>
  <tableColumns count="13">
    <tableColumn id="1" name="Net ID" dataDxfId="1" dataCellStyle="Hyperlink"/>
    <tableColumn id="2" name="# Layers"/>
    <tableColumn id="3" name="# Neurons_x000a_(Layer 1)"/>
    <tableColumn id="4" name="# Neurons_x000a_(Layer 2)"/>
    <tableColumn id="5" name="T: # Errors"/>
    <tableColumn id="6" name="T: % Errors"/>
    <tableColumn id="7" name="T: % Sensitivity"/>
    <tableColumn id="8" name="T: % Specificity"/>
    <tableColumn id="9" name="V: # Errors"/>
    <tableColumn id="10" name="V: % Errors"/>
    <tableColumn id="11" name="V: % Sensitivity"/>
    <tableColumn id="12" name="V: % Specificity"/>
    <tableColumn id="13" name="Column1" dataDxfId="0">
      <calculatedColumnFormula>SUM(L43,-H43)</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1"/>
  <sheetViews>
    <sheetView workbookViewId="0">
      <selection sqref="A1:AF1001"/>
    </sheetView>
  </sheetViews>
  <sheetFormatPr defaultRowHeight="13.2" x14ac:dyDescent="0.25"/>
  <cols>
    <col min="1" max="32" width="5.6640625" customWidth="1"/>
  </cols>
  <sheetData>
    <row r="1" spans="1:32" ht="111.75" customHeight="1" x14ac:dyDescent="0.25">
      <c r="A1" s="18" t="s">
        <v>54</v>
      </c>
      <c r="B1" s="3" t="s">
        <v>4</v>
      </c>
      <c r="C1" s="3" t="s">
        <v>0</v>
      </c>
      <c r="D1" s="3" t="s">
        <v>1</v>
      </c>
      <c r="E1" s="3" t="s">
        <v>68</v>
      </c>
      <c r="F1" s="3" t="s">
        <v>69</v>
      </c>
      <c r="G1" s="3" t="s">
        <v>70</v>
      </c>
      <c r="H1" s="3" t="s">
        <v>71</v>
      </c>
      <c r="I1" s="3" t="s">
        <v>81</v>
      </c>
      <c r="J1" s="3" t="s">
        <v>72</v>
      </c>
      <c r="K1" s="3" t="s">
        <v>2</v>
      </c>
      <c r="L1" s="3" t="s">
        <v>3</v>
      </c>
      <c r="M1" s="3" t="s">
        <v>5</v>
      </c>
      <c r="N1" s="3" t="s">
        <v>6</v>
      </c>
      <c r="O1" s="3" t="s">
        <v>74</v>
      </c>
      <c r="P1" s="3" t="s">
        <v>75</v>
      </c>
      <c r="Q1" s="3" t="s">
        <v>76</v>
      </c>
      <c r="R1" s="3" t="s">
        <v>73</v>
      </c>
      <c r="S1" s="3" t="s">
        <v>77</v>
      </c>
      <c r="T1" s="3" t="s">
        <v>7</v>
      </c>
      <c r="U1" s="3" t="s">
        <v>78</v>
      </c>
      <c r="V1" s="3" t="s">
        <v>82</v>
      </c>
      <c r="W1" s="3" t="s">
        <v>8</v>
      </c>
      <c r="X1" s="3" t="s">
        <v>79</v>
      </c>
      <c r="Y1" s="3" t="s">
        <v>80</v>
      </c>
      <c r="Z1" s="3" t="s">
        <v>83</v>
      </c>
      <c r="AA1" s="3" t="s">
        <v>9</v>
      </c>
      <c r="AB1" s="3" t="s">
        <v>10</v>
      </c>
      <c r="AC1" s="3" t="s">
        <v>11</v>
      </c>
      <c r="AD1" s="3" t="s">
        <v>12</v>
      </c>
      <c r="AE1" s="3" t="s">
        <v>13</v>
      </c>
      <c r="AF1" s="4" t="s">
        <v>14</v>
      </c>
    </row>
    <row r="2" spans="1:32" x14ac:dyDescent="0.25">
      <c r="A2">
        <v>1</v>
      </c>
      <c r="B2" s="2">
        <v>0</v>
      </c>
      <c r="C2" s="2">
        <v>6</v>
      </c>
      <c r="D2" s="2">
        <v>4</v>
      </c>
      <c r="E2" s="2">
        <v>0</v>
      </c>
      <c r="F2" s="2">
        <v>0</v>
      </c>
      <c r="G2" s="2">
        <v>0</v>
      </c>
      <c r="H2" s="2">
        <v>1</v>
      </c>
      <c r="I2" s="2">
        <v>0</v>
      </c>
      <c r="J2" s="2">
        <v>0</v>
      </c>
      <c r="K2" s="2">
        <v>1169</v>
      </c>
      <c r="L2" s="2">
        <v>4</v>
      </c>
      <c r="M2" s="2">
        <v>4</v>
      </c>
      <c r="N2" s="2">
        <v>4</v>
      </c>
      <c r="O2" s="2">
        <v>0</v>
      </c>
      <c r="P2" s="2">
        <v>1</v>
      </c>
      <c r="Q2" s="2">
        <v>0</v>
      </c>
      <c r="R2" s="2">
        <v>0</v>
      </c>
      <c r="S2" s="2">
        <v>0</v>
      </c>
      <c r="T2" s="2">
        <v>4</v>
      </c>
      <c r="U2" s="2">
        <v>1</v>
      </c>
      <c r="V2" s="2">
        <v>0</v>
      </c>
      <c r="W2" s="2">
        <v>67</v>
      </c>
      <c r="X2" s="2">
        <v>0</v>
      </c>
      <c r="Y2" s="2">
        <v>0</v>
      </c>
      <c r="Z2" s="2">
        <v>1</v>
      </c>
      <c r="AA2" s="2">
        <v>2</v>
      </c>
      <c r="AB2" s="2">
        <v>2</v>
      </c>
      <c r="AC2" s="2">
        <v>1</v>
      </c>
      <c r="AD2" s="2">
        <v>1</v>
      </c>
      <c r="AE2" s="2">
        <v>0</v>
      </c>
      <c r="AF2" s="2">
        <v>1</v>
      </c>
    </row>
    <row r="3" spans="1:32" x14ac:dyDescent="0.25">
      <c r="A3">
        <v>2</v>
      </c>
      <c r="B3" s="2">
        <v>1</v>
      </c>
      <c r="C3" s="2">
        <v>48</v>
      </c>
      <c r="D3" s="2">
        <v>2</v>
      </c>
      <c r="E3" s="2">
        <v>0</v>
      </c>
      <c r="F3" s="2">
        <v>0</v>
      </c>
      <c r="G3" s="2">
        <v>0</v>
      </c>
      <c r="H3" s="2">
        <v>1</v>
      </c>
      <c r="I3" s="2">
        <v>0</v>
      </c>
      <c r="J3" s="2">
        <v>0</v>
      </c>
      <c r="K3" s="2">
        <v>5951</v>
      </c>
      <c r="L3" s="2">
        <v>0</v>
      </c>
      <c r="M3" s="2">
        <v>2</v>
      </c>
      <c r="N3" s="2">
        <v>2</v>
      </c>
      <c r="O3" s="2">
        <v>0</v>
      </c>
      <c r="P3" s="2">
        <v>0</v>
      </c>
      <c r="Q3" s="2">
        <v>0</v>
      </c>
      <c r="R3" s="2">
        <v>0</v>
      </c>
      <c r="S3" s="2">
        <v>0</v>
      </c>
      <c r="T3" s="2">
        <v>2</v>
      </c>
      <c r="U3" s="2">
        <v>1</v>
      </c>
      <c r="V3" s="2">
        <v>0</v>
      </c>
      <c r="W3" s="2">
        <v>22</v>
      </c>
      <c r="X3" s="2">
        <v>0</v>
      </c>
      <c r="Y3" s="2">
        <v>0</v>
      </c>
      <c r="Z3" s="2">
        <v>1</v>
      </c>
      <c r="AA3" s="2">
        <v>1</v>
      </c>
      <c r="AB3" s="2">
        <v>2</v>
      </c>
      <c r="AC3" s="2">
        <v>1</v>
      </c>
      <c r="AD3" s="2">
        <v>0</v>
      </c>
      <c r="AE3" s="2">
        <v>0</v>
      </c>
      <c r="AF3" s="2">
        <v>0</v>
      </c>
    </row>
    <row r="4" spans="1:32" x14ac:dyDescent="0.25">
      <c r="A4">
        <v>3</v>
      </c>
      <c r="B4" s="2">
        <v>3</v>
      </c>
      <c r="C4" s="2">
        <v>12</v>
      </c>
      <c r="D4" s="2">
        <v>4</v>
      </c>
      <c r="E4" s="2">
        <v>0</v>
      </c>
      <c r="F4" s="2">
        <v>0</v>
      </c>
      <c r="G4" s="2">
        <v>0</v>
      </c>
      <c r="H4" s="2">
        <v>0</v>
      </c>
      <c r="I4" s="2">
        <v>1</v>
      </c>
      <c r="J4" s="2">
        <v>0</v>
      </c>
      <c r="K4" s="2">
        <v>2096</v>
      </c>
      <c r="L4" s="2">
        <v>0</v>
      </c>
      <c r="M4" s="2">
        <v>3</v>
      </c>
      <c r="N4" s="2">
        <v>2</v>
      </c>
      <c r="O4" s="2">
        <v>0</v>
      </c>
      <c r="P4" s="2">
        <v>1</v>
      </c>
      <c r="Q4" s="2">
        <v>0</v>
      </c>
      <c r="R4" s="2">
        <v>0</v>
      </c>
      <c r="S4" s="2">
        <v>0</v>
      </c>
      <c r="T4" s="2">
        <v>3</v>
      </c>
      <c r="U4" s="2">
        <v>1</v>
      </c>
      <c r="V4" s="2">
        <v>0</v>
      </c>
      <c r="W4" s="2">
        <v>49</v>
      </c>
      <c r="X4" s="2">
        <v>0</v>
      </c>
      <c r="Y4" s="2">
        <v>0</v>
      </c>
      <c r="Z4" s="2">
        <v>1</v>
      </c>
      <c r="AA4" s="2">
        <v>1</v>
      </c>
      <c r="AB4" s="2">
        <v>1</v>
      </c>
      <c r="AC4" s="2">
        <v>2</v>
      </c>
      <c r="AD4" s="2">
        <v>0</v>
      </c>
      <c r="AE4" s="2">
        <v>0</v>
      </c>
      <c r="AF4" s="2">
        <v>1</v>
      </c>
    </row>
    <row r="5" spans="1:32" x14ac:dyDescent="0.25">
      <c r="A5">
        <v>4</v>
      </c>
      <c r="B5" s="2">
        <v>0</v>
      </c>
      <c r="C5" s="2">
        <v>42</v>
      </c>
      <c r="D5" s="2">
        <v>2</v>
      </c>
      <c r="E5" s="2">
        <v>0</v>
      </c>
      <c r="F5" s="2">
        <v>0</v>
      </c>
      <c r="G5" s="2">
        <v>1</v>
      </c>
      <c r="H5" s="2">
        <v>0</v>
      </c>
      <c r="I5" s="2">
        <v>0</v>
      </c>
      <c r="J5" s="2">
        <v>0</v>
      </c>
      <c r="K5" s="2">
        <v>7882</v>
      </c>
      <c r="L5" s="2">
        <v>0</v>
      </c>
      <c r="M5" s="2">
        <v>3</v>
      </c>
      <c r="N5" s="2">
        <v>2</v>
      </c>
      <c r="O5" s="2">
        <v>0</v>
      </c>
      <c r="P5" s="2">
        <v>1</v>
      </c>
      <c r="Q5" s="2">
        <v>0</v>
      </c>
      <c r="R5" s="2">
        <v>0</v>
      </c>
      <c r="S5" s="2">
        <v>1</v>
      </c>
      <c r="T5" s="2">
        <v>4</v>
      </c>
      <c r="U5" s="2">
        <v>0</v>
      </c>
      <c r="V5" s="2">
        <v>0</v>
      </c>
      <c r="W5" s="2">
        <v>45</v>
      </c>
      <c r="X5" s="2">
        <v>0</v>
      </c>
      <c r="Y5" s="2">
        <v>0</v>
      </c>
      <c r="Z5" s="2">
        <v>0</v>
      </c>
      <c r="AA5" s="2">
        <v>1</v>
      </c>
      <c r="AB5" s="2">
        <v>2</v>
      </c>
      <c r="AC5" s="2">
        <v>2</v>
      </c>
      <c r="AD5" s="2">
        <v>0</v>
      </c>
      <c r="AE5" s="2">
        <v>0</v>
      </c>
      <c r="AF5" s="2">
        <v>1</v>
      </c>
    </row>
    <row r="6" spans="1:32" x14ac:dyDescent="0.25">
      <c r="A6">
        <v>5</v>
      </c>
      <c r="B6" s="2">
        <v>0</v>
      </c>
      <c r="C6" s="2">
        <v>24</v>
      </c>
      <c r="D6" s="2">
        <v>3</v>
      </c>
      <c r="E6" s="2">
        <v>1</v>
      </c>
      <c r="F6" s="2">
        <v>0</v>
      </c>
      <c r="G6" s="2">
        <v>0</v>
      </c>
      <c r="H6" s="2">
        <v>0</v>
      </c>
      <c r="I6" s="2">
        <v>0</v>
      </c>
      <c r="J6" s="2">
        <v>0</v>
      </c>
      <c r="K6" s="2">
        <v>4870</v>
      </c>
      <c r="L6" s="2">
        <v>0</v>
      </c>
      <c r="M6" s="2">
        <v>2</v>
      </c>
      <c r="N6" s="2">
        <v>3</v>
      </c>
      <c r="O6" s="2">
        <v>0</v>
      </c>
      <c r="P6" s="2">
        <v>1</v>
      </c>
      <c r="Q6" s="2">
        <v>0</v>
      </c>
      <c r="R6" s="2">
        <v>0</v>
      </c>
      <c r="S6" s="2">
        <v>0</v>
      </c>
      <c r="T6" s="2">
        <v>4</v>
      </c>
      <c r="U6" s="2">
        <v>0</v>
      </c>
      <c r="V6" s="2">
        <v>1</v>
      </c>
      <c r="W6" s="2">
        <v>53</v>
      </c>
      <c r="X6" s="2">
        <v>0</v>
      </c>
      <c r="Y6" s="2">
        <v>0</v>
      </c>
      <c r="Z6" s="2">
        <v>0</v>
      </c>
      <c r="AA6" s="2">
        <v>2</v>
      </c>
      <c r="AB6" s="2">
        <v>2</v>
      </c>
      <c r="AC6" s="2">
        <v>2</v>
      </c>
      <c r="AD6" s="2">
        <v>0</v>
      </c>
      <c r="AE6" s="2">
        <v>0</v>
      </c>
      <c r="AF6" s="2">
        <v>0</v>
      </c>
    </row>
    <row r="7" spans="1:32" x14ac:dyDescent="0.25">
      <c r="A7">
        <v>6</v>
      </c>
      <c r="B7" s="2">
        <v>3</v>
      </c>
      <c r="C7" s="2">
        <v>36</v>
      </c>
      <c r="D7" s="2">
        <v>2</v>
      </c>
      <c r="E7" s="2">
        <v>0</v>
      </c>
      <c r="F7" s="2">
        <v>0</v>
      </c>
      <c r="G7" s="2">
        <v>0</v>
      </c>
      <c r="H7" s="2">
        <v>0</v>
      </c>
      <c r="I7" s="2">
        <v>1</v>
      </c>
      <c r="J7" s="2">
        <v>0</v>
      </c>
      <c r="K7" s="2">
        <v>9055</v>
      </c>
      <c r="L7" s="2">
        <v>4</v>
      </c>
      <c r="M7" s="2">
        <v>2</v>
      </c>
      <c r="N7" s="2">
        <v>2</v>
      </c>
      <c r="O7" s="2">
        <v>0</v>
      </c>
      <c r="P7" s="2">
        <v>1</v>
      </c>
      <c r="Q7" s="2">
        <v>0</v>
      </c>
      <c r="R7" s="2">
        <v>0</v>
      </c>
      <c r="S7" s="2">
        <v>0</v>
      </c>
      <c r="T7" s="2">
        <v>4</v>
      </c>
      <c r="U7" s="2">
        <v>0</v>
      </c>
      <c r="V7" s="2">
        <v>1</v>
      </c>
      <c r="W7" s="2">
        <v>35</v>
      </c>
      <c r="X7" s="2">
        <v>0</v>
      </c>
      <c r="Y7" s="2">
        <v>0</v>
      </c>
      <c r="Z7" s="2">
        <v>0</v>
      </c>
      <c r="AA7" s="2">
        <v>1</v>
      </c>
      <c r="AB7" s="2">
        <v>1</v>
      </c>
      <c r="AC7" s="2">
        <v>2</v>
      </c>
      <c r="AD7" s="2">
        <v>1</v>
      </c>
      <c r="AE7" s="2">
        <v>0</v>
      </c>
      <c r="AF7" s="2">
        <v>1</v>
      </c>
    </row>
    <row r="8" spans="1:32" x14ac:dyDescent="0.25">
      <c r="A8">
        <v>7</v>
      </c>
      <c r="B8" s="2">
        <v>3</v>
      </c>
      <c r="C8" s="2">
        <v>24</v>
      </c>
      <c r="D8" s="2">
        <v>2</v>
      </c>
      <c r="E8" s="2">
        <v>0</v>
      </c>
      <c r="F8" s="2">
        <v>0</v>
      </c>
      <c r="G8" s="2">
        <v>1</v>
      </c>
      <c r="H8" s="2">
        <v>0</v>
      </c>
      <c r="I8" s="2">
        <v>0</v>
      </c>
      <c r="J8" s="2">
        <v>0</v>
      </c>
      <c r="K8" s="2">
        <v>2835</v>
      </c>
      <c r="L8" s="2">
        <v>2</v>
      </c>
      <c r="M8" s="2">
        <v>4</v>
      </c>
      <c r="N8" s="2">
        <v>3</v>
      </c>
      <c r="O8" s="2">
        <v>0</v>
      </c>
      <c r="P8" s="2">
        <v>1</v>
      </c>
      <c r="Q8" s="2">
        <v>0</v>
      </c>
      <c r="R8" s="2">
        <v>0</v>
      </c>
      <c r="S8" s="2">
        <v>0</v>
      </c>
      <c r="T8" s="2">
        <v>4</v>
      </c>
      <c r="U8" s="2">
        <v>0</v>
      </c>
      <c r="V8" s="2">
        <v>0</v>
      </c>
      <c r="W8" s="2">
        <v>53</v>
      </c>
      <c r="X8" s="2">
        <v>0</v>
      </c>
      <c r="Y8" s="2">
        <v>0</v>
      </c>
      <c r="Z8" s="2">
        <v>1</v>
      </c>
      <c r="AA8" s="2">
        <v>1</v>
      </c>
      <c r="AB8" s="2">
        <v>2</v>
      </c>
      <c r="AC8" s="2">
        <v>1</v>
      </c>
      <c r="AD8" s="2">
        <v>0</v>
      </c>
      <c r="AE8" s="2">
        <v>0</v>
      </c>
      <c r="AF8" s="2">
        <v>1</v>
      </c>
    </row>
    <row r="9" spans="1:32" x14ac:dyDescent="0.25">
      <c r="A9">
        <v>8</v>
      </c>
      <c r="B9" s="2">
        <v>1</v>
      </c>
      <c r="C9" s="2">
        <v>36</v>
      </c>
      <c r="D9" s="2">
        <v>2</v>
      </c>
      <c r="E9" s="2">
        <v>0</v>
      </c>
      <c r="F9" s="2">
        <v>1</v>
      </c>
      <c r="G9" s="2">
        <v>0</v>
      </c>
      <c r="H9" s="2">
        <v>0</v>
      </c>
      <c r="I9" s="2">
        <v>0</v>
      </c>
      <c r="J9" s="2">
        <v>0</v>
      </c>
      <c r="K9" s="2">
        <v>6948</v>
      </c>
      <c r="L9" s="2">
        <v>0</v>
      </c>
      <c r="M9" s="2">
        <v>2</v>
      </c>
      <c r="N9" s="2">
        <v>2</v>
      </c>
      <c r="O9" s="2">
        <v>0</v>
      </c>
      <c r="P9" s="2">
        <v>1</v>
      </c>
      <c r="Q9" s="2">
        <v>0</v>
      </c>
      <c r="R9" s="2">
        <v>0</v>
      </c>
      <c r="S9" s="2">
        <v>0</v>
      </c>
      <c r="T9" s="2">
        <v>2</v>
      </c>
      <c r="U9" s="2">
        <v>0</v>
      </c>
      <c r="V9" s="2">
        <v>0</v>
      </c>
      <c r="W9" s="2">
        <v>35</v>
      </c>
      <c r="X9" s="2">
        <v>0</v>
      </c>
      <c r="Y9" s="2">
        <v>1</v>
      </c>
      <c r="Z9" s="2">
        <v>0</v>
      </c>
      <c r="AA9" s="2">
        <v>1</v>
      </c>
      <c r="AB9" s="2">
        <v>3</v>
      </c>
      <c r="AC9" s="2">
        <v>1</v>
      </c>
      <c r="AD9" s="2">
        <v>1</v>
      </c>
      <c r="AE9" s="2">
        <v>0</v>
      </c>
      <c r="AF9" s="2">
        <v>1</v>
      </c>
    </row>
    <row r="10" spans="1:32" x14ac:dyDescent="0.25">
      <c r="A10">
        <v>9</v>
      </c>
      <c r="B10" s="2">
        <v>3</v>
      </c>
      <c r="C10" s="2">
        <v>12</v>
      </c>
      <c r="D10" s="2">
        <v>2</v>
      </c>
      <c r="E10" s="2">
        <v>0</v>
      </c>
      <c r="F10" s="2">
        <v>0</v>
      </c>
      <c r="G10" s="2">
        <v>0</v>
      </c>
      <c r="H10" s="2">
        <v>1</v>
      </c>
      <c r="I10" s="2">
        <v>0</v>
      </c>
      <c r="J10" s="2">
        <v>0</v>
      </c>
      <c r="K10" s="2">
        <v>3059</v>
      </c>
      <c r="L10" s="2">
        <v>3</v>
      </c>
      <c r="M10" s="2">
        <v>3</v>
      </c>
      <c r="N10" s="2">
        <v>2</v>
      </c>
      <c r="O10" s="2">
        <v>1</v>
      </c>
      <c r="P10" s="2">
        <v>0</v>
      </c>
      <c r="Q10" s="2">
        <v>0</v>
      </c>
      <c r="R10" s="2">
        <v>0</v>
      </c>
      <c r="S10" s="2">
        <v>0</v>
      </c>
      <c r="T10" s="2">
        <v>4</v>
      </c>
      <c r="U10" s="2">
        <v>1</v>
      </c>
      <c r="V10" s="2">
        <v>0</v>
      </c>
      <c r="W10" s="2">
        <v>61</v>
      </c>
      <c r="X10" s="2">
        <v>0</v>
      </c>
      <c r="Y10" s="2">
        <v>0</v>
      </c>
      <c r="Z10" s="2">
        <v>1</v>
      </c>
      <c r="AA10" s="2">
        <v>1</v>
      </c>
      <c r="AB10" s="2">
        <v>1</v>
      </c>
      <c r="AC10" s="2">
        <v>1</v>
      </c>
      <c r="AD10" s="2">
        <v>0</v>
      </c>
      <c r="AE10" s="2">
        <v>0</v>
      </c>
      <c r="AF10" s="2">
        <v>1</v>
      </c>
    </row>
    <row r="11" spans="1:32" x14ac:dyDescent="0.25">
      <c r="A11">
        <v>10</v>
      </c>
      <c r="B11" s="2">
        <v>1</v>
      </c>
      <c r="C11" s="2">
        <v>30</v>
      </c>
      <c r="D11" s="2">
        <v>4</v>
      </c>
      <c r="E11" s="2">
        <v>1</v>
      </c>
      <c r="F11" s="2">
        <v>0</v>
      </c>
      <c r="G11" s="2">
        <v>0</v>
      </c>
      <c r="H11" s="2">
        <v>0</v>
      </c>
      <c r="I11" s="2">
        <v>0</v>
      </c>
      <c r="J11" s="2">
        <v>0</v>
      </c>
      <c r="K11" s="2">
        <v>5234</v>
      </c>
      <c r="L11" s="2">
        <v>0</v>
      </c>
      <c r="M11" s="2">
        <v>0</v>
      </c>
      <c r="N11" s="2">
        <v>4</v>
      </c>
      <c r="O11" s="2">
        <v>0</v>
      </c>
      <c r="P11" s="2">
        <v>0</v>
      </c>
      <c r="Q11" s="2">
        <v>1</v>
      </c>
      <c r="R11" s="2">
        <v>0</v>
      </c>
      <c r="S11" s="2">
        <v>0</v>
      </c>
      <c r="T11" s="2">
        <v>2</v>
      </c>
      <c r="U11" s="2">
        <v>0</v>
      </c>
      <c r="V11" s="2">
        <v>0</v>
      </c>
      <c r="W11" s="2">
        <v>28</v>
      </c>
      <c r="X11" s="2">
        <v>0</v>
      </c>
      <c r="Y11" s="2">
        <v>0</v>
      </c>
      <c r="Z11" s="2">
        <v>1</v>
      </c>
      <c r="AA11" s="2">
        <v>2</v>
      </c>
      <c r="AB11" s="2">
        <v>3</v>
      </c>
      <c r="AC11" s="2">
        <v>1</v>
      </c>
      <c r="AD11" s="2">
        <v>0</v>
      </c>
      <c r="AE11" s="2">
        <v>0</v>
      </c>
      <c r="AF11" s="2">
        <v>0</v>
      </c>
    </row>
    <row r="12" spans="1:32" x14ac:dyDescent="0.25">
      <c r="A12">
        <v>11</v>
      </c>
      <c r="B12" s="2">
        <v>1</v>
      </c>
      <c r="C12" s="2">
        <v>12</v>
      </c>
      <c r="D12" s="2">
        <v>2</v>
      </c>
      <c r="E12" s="2">
        <v>1</v>
      </c>
      <c r="F12" s="2">
        <v>0</v>
      </c>
      <c r="G12" s="2">
        <v>0</v>
      </c>
      <c r="H12" s="2">
        <v>0</v>
      </c>
      <c r="I12" s="2">
        <v>0</v>
      </c>
      <c r="J12" s="2">
        <v>0</v>
      </c>
      <c r="K12" s="2">
        <v>1295</v>
      </c>
      <c r="L12" s="2">
        <v>0</v>
      </c>
      <c r="M12" s="2">
        <v>1</v>
      </c>
      <c r="N12" s="2">
        <v>3</v>
      </c>
      <c r="O12" s="2">
        <v>0</v>
      </c>
      <c r="P12" s="2">
        <v>0</v>
      </c>
      <c r="Q12" s="2">
        <v>0</v>
      </c>
      <c r="R12" s="2">
        <v>0</v>
      </c>
      <c r="S12" s="2">
        <v>0</v>
      </c>
      <c r="T12" s="2">
        <v>1</v>
      </c>
      <c r="U12" s="2">
        <v>0</v>
      </c>
      <c r="V12" s="2">
        <v>0</v>
      </c>
      <c r="W12" s="2">
        <v>25</v>
      </c>
      <c r="X12" s="2">
        <v>0</v>
      </c>
      <c r="Y12" s="2">
        <v>1</v>
      </c>
      <c r="Z12" s="2">
        <v>0</v>
      </c>
      <c r="AA12" s="2">
        <v>1</v>
      </c>
      <c r="AB12" s="2">
        <v>2</v>
      </c>
      <c r="AC12" s="2">
        <v>1</v>
      </c>
      <c r="AD12" s="2">
        <v>0</v>
      </c>
      <c r="AE12" s="2">
        <v>0</v>
      </c>
      <c r="AF12" s="2">
        <v>0</v>
      </c>
    </row>
    <row r="13" spans="1:32" x14ac:dyDescent="0.25">
      <c r="A13">
        <v>12</v>
      </c>
      <c r="B13" s="2">
        <v>0</v>
      </c>
      <c r="C13" s="2">
        <v>48</v>
      </c>
      <c r="D13" s="2">
        <v>2</v>
      </c>
      <c r="E13" s="2">
        <v>0</v>
      </c>
      <c r="F13" s="2">
        <v>0</v>
      </c>
      <c r="G13" s="2">
        <v>0</v>
      </c>
      <c r="H13" s="2">
        <v>0</v>
      </c>
      <c r="I13" s="2">
        <v>0</v>
      </c>
      <c r="J13" s="2">
        <v>1</v>
      </c>
      <c r="K13" s="2">
        <v>4308</v>
      </c>
      <c r="L13" s="2">
        <v>0</v>
      </c>
      <c r="M13" s="2">
        <v>1</v>
      </c>
      <c r="N13" s="2">
        <v>3</v>
      </c>
      <c r="O13" s="2">
        <v>0</v>
      </c>
      <c r="P13" s="2">
        <v>0</v>
      </c>
      <c r="Q13" s="2">
        <v>0</v>
      </c>
      <c r="R13" s="2">
        <v>0</v>
      </c>
      <c r="S13" s="2">
        <v>0</v>
      </c>
      <c r="T13" s="2">
        <v>4</v>
      </c>
      <c r="U13" s="2">
        <v>0</v>
      </c>
      <c r="V13" s="2">
        <v>0</v>
      </c>
      <c r="W13" s="2">
        <v>24</v>
      </c>
      <c r="X13" s="2">
        <v>0</v>
      </c>
      <c r="Y13" s="2">
        <v>1</v>
      </c>
      <c r="Z13" s="2">
        <v>0</v>
      </c>
      <c r="AA13" s="2">
        <v>1</v>
      </c>
      <c r="AB13" s="2">
        <v>2</v>
      </c>
      <c r="AC13" s="2">
        <v>1</v>
      </c>
      <c r="AD13" s="2">
        <v>0</v>
      </c>
      <c r="AE13" s="2">
        <v>0</v>
      </c>
      <c r="AF13" s="2">
        <v>0</v>
      </c>
    </row>
    <row r="14" spans="1:32" x14ac:dyDescent="0.25">
      <c r="A14">
        <v>13</v>
      </c>
      <c r="B14" s="2">
        <v>1</v>
      </c>
      <c r="C14" s="2">
        <v>12</v>
      </c>
      <c r="D14" s="2">
        <v>2</v>
      </c>
      <c r="E14" s="2">
        <v>0</v>
      </c>
      <c r="F14" s="2">
        <v>0</v>
      </c>
      <c r="G14" s="2">
        <v>0</v>
      </c>
      <c r="H14" s="2">
        <v>1</v>
      </c>
      <c r="I14" s="2">
        <v>0</v>
      </c>
      <c r="J14" s="2">
        <v>0</v>
      </c>
      <c r="K14" s="2">
        <v>1567</v>
      </c>
      <c r="L14" s="2">
        <v>0</v>
      </c>
      <c r="M14" s="2">
        <v>2</v>
      </c>
      <c r="N14" s="2">
        <v>1</v>
      </c>
      <c r="O14" s="2">
        <v>0</v>
      </c>
      <c r="P14" s="2">
        <v>0</v>
      </c>
      <c r="Q14" s="2">
        <v>0</v>
      </c>
      <c r="R14" s="2">
        <v>0</v>
      </c>
      <c r="S14" s="2">
        <v>0</v>
      </c>
      <c r="T14" s="2">
        <v>1</v>
      </c>
      <c r="U14" s="2">
        <v>0</v>
      </c>
      <c r="V14" s="2">
        <v>0</v>
      </c>
      <c r="W14" s="2">
        <v>22</v>
      </c>
      <c r="X14" s="2">
        <v>0</v>
      </c>
      <c r="Y14" s="2">
        <v>0</v>
      </c>
      <c r="Z14" s="2">
        <v>1</v>
      </c>
      <c r="AA14" s="2">
        <v>1</v>
      </c>
      <c r="AB14" s="2">
        <v>2</v>
      </c>
      <c r="AC14" s="2">
        <v>1</v>
      </c>
      <c r="AD14" s="2">
        <v>1</v>
      </c>
      <c r="AE14" s="2">
        <v>0</v>
      </c>
      <c r="AF14" s="2">
        <v>1</v>
      </c>
    </row>
    <row r="15" spans="1:32" x14ac:dyDescent="0.25">
      <c r="A15">
        <v>14</v>
      </c>
      <c r="B15" s="2">
        <v>0</v>
      </c>
      <c r="C15" s="2">
        <v>24</v>
      </c>
      <c r="D15" s="2">
        <v>4</v>
      </c>
      <c r="E15" s="2">
        <v>1</v>
      </c>
      <c r="F15" s="2">
        <v>0</v>
      </c>
      <c r="G15" s="2">
        <v>0</v>
      </c>
      <c r="H15" s="2">
        <v>0</v>
      </c>
      <c r="I15" s="2">
        <v>0</v>
      </c>
      <c r="J15" s="2">
        <v>0</v>
      </c>
      <c r="K15" s="2">
        <v>1199</v>
      </c>
      <c r="L15" s="2">
        <v>0</v>
      </c>
      <c r="M15" s="2">
        <v>4</v>
      </c>
      <c r="N15" s="2">
        <v>4</v>
      </c>
      <c r="O15" s="2">
        <v>0</v>
      </c>
      <c r="P15" s="2">
        <v>1</v>
      </c>
      <c r="Q15" s="2">
        <v>0</v>
      </c>
      <c r="R15" s="2">
        <v>0</v>
      </c>
      <c r="S15" s="2">
        <v>0</v>
      </c>
      <c r="T15" s="2">
        <v>4</v>
      </c>
      <c r="U15" s="2">
        <v>0</v>
      </c>
      <c r="V15" s="2">
        <v>0</v>
      </c>
      <c r="W15" s="2">
        <v>60</v>
      </c>
      <c r="X15" s="2">
        <v>0</v>
      </c>
      <c r="Y15" s="2">
        <v>0</v>
      </c>
      <c r="Z15" s="2">
        <v>1</v>
      </c>
      <c r="AA15" s="2">
        <v>2</v>
      </c>
      <c r="AB15" s="2">
        <v>1</v>
      </c>
      <c r="AC15" s="2">
        <v>1</v>
      </c>
      <c r="AD15" s="2">
        <v>0</v>
      </c>
      <c r="AE15" s="2">
        <v>0</v>
      </c>
      <c r="AF15" s="2">
        <v>0</v>
      </c>
    </row>
    <row r="16" spans="1:32" x14ac:dyDescent="0.25">
      <c r="A16">
        <v>15</v>
      </c>
      <c r="B16" s="2">
        <v>0</v>
      </c>
      <c r="C16" s="2">
        <v>15</v>
      </c>
      <c r="D16" s="2">
        <v>2</v>
      </c>
      <c r="E16" s="2">
        <v>1</v>
      </c>
      <c r="F16" s="2">
        <v>0</v>
      </c>
      <c r="G16" s="2">
        <v>0</v>
      </c>
      <c r="H16" s="2">
        <v>0</v>
      </c>
      <c r="I16" s="2">
        <v>0</v>
      </c>
      <c r="J16" s="2">
        <v>0</v>
      </c>
      <c r="K16" s="2">
        <v>1403</v>
      </c>
      <c r="L16" s="2">
        <v>0</v>
      </c>
      <c r="M16" s="2">
        <v>2</v>
      </c>
      <c r="N16" s="2">
        <v>2</v>
      </c>
      <c r="O16" s="2">
        <v>0</v>
      </c>
      <c r="P16" s="2">
        <v>0</v>
      </c>
      <c r="Q16" s="2">
        <v>0</v>
      </c>
      <c r="R16" s="2">
        <v>0</v>
      </c>
      <c r="S16" s="2">
        <v>0</v>
      </c>
      <c r="T16" s="2">
        <v>4</v>
      </c>
      <c r="U16" s="2">
        <v>0</v>
      </c>
      <c r="V16" s="2">
        <v>0</v>
      </c>
      <c r="W16" s="2">
        <v>28</v>
      </c>
      <c r="X16" s="2">
        <v>0</v>
      </c>
      <c r="Y16" s="2">
        <v>1</v>
      </c>
      <c r="Z16" s="2">
        <v>0</v>
      </c>
      <c r="AA16" s="2">
        <v>1</v>
      </c>
      <c r="AB16" s="2">
        <v>2</v>
      </c>
      <c r="AC16" s="2">
        <v>1</v>
      </c>
      <c r="AD16" s="2">
        <v>0</v>
      </c>
      <c r="AE16" s="2">
        <v>0</v>
      </c>
      <c r="AF16" s="2">
        <v>1</v>
      </c>
    </row>
    <row r="17" spans="1:32" x14ac:dyDescent="0.25">
      <c r="A17">
        <v>16</v>
      </c>
      <c r="B17" s="2">
        <v>0</v>
      </c>
      <c r="C17" s="2">
        <v>24</v>
      </c>
      <c r="D17" s="2">
        <v>2</v>
      </c>
      <c r="E17" s="2">
        <v>0</v>
      </c>
      <c r="F17" s="2">
        <v>0</v>
      </c>
      <c r="G17" s="2">
        <v>0</v>
      </c>
      <c r="H17" s="2">
        <v>1</v>
      </c>
      <c r="I17" s="2">
        <v>0</v>
      </c>
      <c r="J17" s="2">
        <v>0</v>
      </c>
      <c r="K17" s="2">
        <v>1282</v>
      </c>
      <c r="L17" s="2">
        <v>1</v>
      </c>
      <c r="M17" s="2">
        <v>2</v>
      </c>
      <c r="N17" s="2">
        <v>4</v>
      </c>
      <c r="O17" s="2">
        <v>0</v>
      </c>
      <c r="P17" s="2">
        <v>0</v>
      </c>
      <c r="Q17" s="2">
        <v>0</v>
      </c>
      <c r="R17" s="2">
        <v>0</v>
      </c>
      <c r="S17" s="2">
        <v>0</v>
      </c>
      <c r="T17" s="2">
        <v>2</v>
      </c>
      <c r="U17" s="2">
        <v>0</v>
      </c>
      <c r="V17" s="2">
        <v>0</v>
      </c>
      <c r="W17" s="2">
        <v>32</v>
      </c>
      <c r="X17" s="2">
        <v>0</v>
      </c>
      <c r="Y17" s="2">
        <v>0</v>
      </c>
      <c r="Z17" s="2">
        <v>1</v>
      </c>
      <c r="AA17" s="2">
        <v>1</v>
      </c>
      <c r="AB17" s="2">
        <v>1</v>
      </c>
      <c r="AC17" s="2">
        <v>1</v>
      </c>
      <c r="AD17" s="2">
        <v>0</v>
      </c>
      <c r="AE17" s="2">
        <v>0</v>
      </c>
      <c r="AF17" s="2">
        <v>0</v>
      </c>
    </row>
    <row r="18" spans="1:32" x14ac:dyDescent="0.25">
      <c r="A18">
        <v>17</v>
      </c>
      <c r="B18" s="2">
        <v>3</v>
      </c>
      <c r="C18" s="2">
        <v>24</v>
      </c>
      <c r="D18" s="2">
        <v>4</v>
      </c>
      <c r="E18" s="2">
        <v>0</v>
      </c>
      <c r="F18" s="2">
        <v>0</v>
      </c>
      <c r="G18" s="2">
        <v>0</v>
      </c>
      <c r="H18" s="2">
        <v>1</v>
      </c>
      <c r="I18" s="2">
        <v>0</v>
      </c>
      <c r="J18" s="2">
        <v>0</v>
      </c>
      <c r="K18" s="2">
        <v>2424</v>
      </c>
      <c r="L18" s="2">
        <v>4</v>
      </c>
      <c r="M18" s="2">
        <v>4</v>
      </c>
      <c r="N18" s="2">
        <v>4</v>
      </c>
      <c r="O18" s="2">
        <v>0</v>
      </c>
      <c r="P18" s="2">
        <v>1</v>
      </c>
      <c r="Q18" s="2">
        <v>0</v>
      </c>
      <c r="R18" s="2">
        <v>0</v>
      </c>
      <c r="S18" s="2">
        <v>0</v>
      </c>
      <c r="T18" s="2">
        <v>4</v>
      </c>
      <c r="U18" s="2">
        <v>0</v>
      </c>
      <c r="V18" s="2">
        <v>0</v>
      </c>
      <c r="W18" s="2">
        <v>53</v>
      </c>
      <c r="X18" s="2">
        <v>0</v>
      </c>
      <c r="Y18" s="2">
        <v>0</v>
      </c>
      <c r="Z18" s="2">
        <v>1</v>
      </c>
      <c r="AA18" s="2">
        <v>2</v>
      </c>
      <c r="AB18" s="2">
        <v>2</v>
      </c>
      <c r="AC18" s="2">
        <v>1</v>
      </c>
      <c r="AD18" s="2">
        <v>0</v>
      </c>
      <c r="AE18" s="2">
        <v>0</v>
      </c>
      <c r="AF18" s="2">
        <v>1</v>
      </c>
    </row>
    <row r="19" spans="1:32" x14ac:dyDescent="0.25">
      <c r="A19">
        <v>18</v>
      </c>
      <c r="B19" s="2">
        <v>0</v>
      </c>
      <c r="C19" s="2">
        <v>30</v>
      </c>
      <c r="D19" s="2">
        <v>0</v>
      </c>
      <c r="E19" s="2">
        <v>0</v>
      </c>
      <c r="F19" s="2">
        <v>0</v>
      </c>
      <c r="G19" s="2">
        <v>0</v>
      </c>
      <c r="H19" s="2">
        <v>0</v>
      </c>
      <c r="I19" s="2">
        <v>0</v>
      </c>
      <c r="J19" s="2">
        <v>1</v>
      </c>
      <c r="K19" s="2">
        <v>8072</v>
      </c>
      <c r="L19" s="2">
        <v>4</v>
      </c>
      <c r="M19" s="2">
        <v>1</v>
      </c>
      <c r="N19" s="2">
        <v>2</v>
      </c>
      <c r="O19" s="2">
        <v>0</v>
      </c>
      <c r="P19" s="2">
        <v>1</v>
      </c>
      <c r="Q19" s="2">
        <v>0</v>
      </c>
      <c r="R19" s="2">
        <v>0</v>
      </c>
      <c r="S19" s="2">
        <v>0</v>
      </c>
      <c r="T19" s="2">
        <v>3</v>
      </c>
      <c r="U19" s="2">
        <v>0</v>
      </c>
      <c r="V19" s="2">
        <v>0</v>
      </c>
      <c r="W19" s="2">
        <v>25</v>
      </c>
      <c r="X19" s="2">
        <v>1</v>
      </c>
      <c r="Y19" s="2">
        <v>0</v>
      </c>
      <c r="Z19" s="2">
        <v>1</v>
      </c>
      <c r="AA19" s="2">
        <v>3</v>
      </c>
      <c r="AB19" s="2">
        <v>2</v>
      </c>
      <c r="AC19" s="2">
        <v>1</v>
      </c>
      <c r="AD19" s="2">
        <v>0</v>
      </c>
      <c r="AE19" s="2">
        <v>0</v>
      </c>
      <c r="AF19" s="2">
        <v>1</v>
      </c>
    </row>
    <row r="20" spans="1:32" x14ac:dyDescent="0.25">
      <c r="A20">
        <v>19</v>
      </c>
      <c r="B20" s="2">
        <v>1</v>
      </c>
      <c r="C20" s="2">
        <v>24</v>
      </c>
      <c r="D20" s="2">
        <v>2</v>
      </c>
      <c r="E20" s="2">
        <v>0</v>
      </c>
      <c r="F20" s="2">
        <v>1</v>
      </c>
      <c r="G20" s="2">
        <v>0</v>
      </c>
      <c r="H20" s="2">
        <v>0</v>
      </c>
      <c r="I20" s="2">
        <v>0</v>
      </c>
      <c r="J20" s="2">
        <v>0</v>
      </c>
      <c r="K20" s="2">
        <v>12579</v>
      </c>
      <c r="L20" s="2">
        <v>0</v>
      </c>
      <c r="M20" s="2">
        <v>4</v>
      </c>
      <c r="N20" s="2">
        <v>4</v>
      </c>
      <c r="O20" s="2">
        <v>0</v>
      </c>
      <c r="P20" s="2">
        <v>0</v>
      </c>
      <c r="Q20" s="2">
        <v>0</v>
      </c>
      <c r="R20" s="2">
        <v>0</v>
      </c>
      <c r="S20" s="2">
        <v>0</v>
      </c>
      <c r="T20" s="2">
        <v>2</v>
      </c>
      <c r="U20" s="2">
        <v>0</v>
      </c>
      <c r="V20" s="2">
        <v>1</v>
      </c>
      <c r="W20" s="2">
        <v>44</v>
      </c>
      <c r="X20" s="2">
        <v>0</v>
      </c>
      <c r="Y20" s="2">
        <v>0</v>
      </c>
      <c r="Z20" s="2">
        <v>0</v>
      </c>
      <c r="AA20" s="2">
        <v>1</v>
      </c>
      <c r="AB20" s="2">
        <v>3</v>
      </c>
      <c r="AC20" s="2">
        <v>1</v>
      </c>
      <c r="AD20" s="2">
        <v>1</v>
      </c>
      <c r="AE20" s="2">
        <v>0</v>
      </c>
      <c r="AF20" s="2">
        <v>0</v>
      </c>
    </row>
    <row r="21" spans="1:32" x14ac:dyDescent="0.25">
      <c r="A21">
        <v>20</v>
      </c>
      <c r="B21" s="2">
        <v>3</v>
      </c>
      <c r="C21" s="2">
        <v>24</v>
      </c>
      <c r="D21" s="2">
        <v>2</v>
      </c>
      <c r="E21" s="2">
        <v>0</v>
      </c>
      <c r="F21" s="2">
        <v>0</v>
      </c>
      <c r="G21" s="2">
        <v>0</v>
      </c>
      <c r="H21" s="2">
        <v>1</v>
      </c>
      <c r="I21" s="2">
        <v>0</v>
      </c>
      <c r="J21" s="2">
        <v>0</v>
      </c>
      <c r="K21" s="2">
        <v>3430</v>
      </c>
      <c r="L21" s="2">
        <v>2</v>
      </c>
      <c r="M21" s="2">
        <v>4</v>
      </c>
      <c r="N21" s="2">
        <v>3</v>
      </c>
      <c r="O21" s="2">
        <v>0</v>
      </c>
      <c r="P21" s="2">
        <v>1</v>
      </c>
      <c r="Q21" s="2">
        <v>0</v>
      </c>
      <c r="R21" s="2">
        <v>0</v>
      </c>
      <c r="S21" s="2">
        <v>0</v>
      </c>
      <c r="T21" s="2">
        <v>2</v>
      </c>
      <c r="U21" s="2">
        <v>0</v>
      </c>
      <c r="V21" s="2">
        <v>0</v>
      </c>
      <c r="W21" s="2">
        <v>31</v>
      </c>
      <c r="X21" s="2">
        <v>0</v>
      </c>
      <c r="Y21" s="2">
        <v>0</v>
      </c>
      <c r="Z21" s="2">
        <v>1</v>
      </c>
      <c r="AA21" s="2">
        <v>1</v>
      </c>
      <c r="AB21" s="2">
        <v>2</v>
      </c>
      <c r="AC21" s="2">
        <v>2</v>
      </c>
      <c r="AD21" s="2">
        <v>1</v>
      </c>
      <c r="AE21" s="2">
        <v>0</v>
      </c>
      <c r="AF21" s="2">
        <v>1</v>
      </c>
    </row>
    <row r="22" spans="1:32" x14ac:dyDescent="0.25">
      <c r="A22">
        <v>21</v>
      </c>
      <c r="B22" s="2">
        <v>3</v>
      </c>
      <c r="C22" s="2">
        <v>9</v>
      </c>
      <c r="D22" s="2">
        <v>4</v>
      </c>
      <c r="E22" s="2">
        <v>1</v>
      </c>
      <c r="F22" s="2">
        <v>0</v>
      </c>
      <c r="G22" s="2">
        <v>0</v>
      </c>
      <c r="H22" s="2">
        <v>0</v>
      </c>
      <c r="I22" s="2">
        <v>0</v>
      </c>
      <c r="J22" s="2">
        <v>0</v>
      </c>
      <c r="K22" s="2">
        <v>2134</v>
      </c>
      <c r="L22" s="2">
        <v>0</v>
      </c>
      <c r="M22" s="2">
        <v>2</v>
      </c>
      <c r="N22" s="2">
        <v>4</v>
      </c>
      <c r="O22" s="2">
        <v>0</v>
      </c>
      <c r="P22" s="2">
        <v>1</v>
      </c>
      <c r="Q22" s="2">
        <v>0</v>
      </c>
      <c r="R22" s="2">
        <v>0</v>
      </c>
      <c r="S22" s="2">
        <v>0</v>
      </c>
      <c r="T22" s="2">
        <v>4</v>
      </c>
      <c r="U22" s="2">
        <v>0</v>
      </c>
      <c r="V22" s="2">
        <v>0</v>
      </c>
      <c r="W22" s="2">
        <v>48</v>
      </c>
      <c r="X22" s="2">
        <v>0</v>
      </c>
      <c r="Y22" s="2">
        <v>0</v>
      </c>
      <c r="Z22" s="2">
        <v>1</v>
      </c>
      <c r="AA22" s="2">
        <v>3</v>
      </c>
      <c r="AB22" s="2">
        <v>2</v>
      </c>
      <c r="AC22" s="2">
        <v>1</v>
      </c>
      <c r="AD22" s="2">
        <v>1</v>
      </c>
      <c r="AE22" s="2">
        <v>0</v>
      </c>
      <c r="AF22" s="2">
        <v>1</v>
      </c>
    </row>
    <row r="23" spans="1:32" x14ac:dyDescent="0.25">
      <c r="A23">
        <v>22</v>
      </c>
      <c r="B23" s="2">
        <v>0</v>
      </c>
      <c r="C23" s="2">
        <v>6</v>
      </c>
      <c r="D23" s="2">
        <v>2</v>
      </c>
      <c r="E23" s="2">
        <v>0</v>
      </c>
      <c r="F23" s="2">
        <v>0</v>
      </c>
      <c r="G23" s="2">
        <v>0</v>
      </c>
      <c r="H23" s="2">
        <v>1</v>
      </c>
      <c r="I23" s="2">
        <v>0</v>
      </c>
      <c r="J23" s="2">
        <v>0</v>
      </c>
      <c r="K23" s="2">
        <v>2647</v>
      </c>
      <c r="L23" s="2">
        <v>2</v>
      </c>
      <c r="M23" s="2">
        <v>2</v>
      </c>
      <c r="N23" s="2">
        <v>2</v>
      </c>
      <c r="O23" s="2">
        <v>0</v>
      </c>
      <c r="P23" s="2">
        <v>1</v>
      </c>
      <c r="Q23" s="2">
        <v>0</v>
      </c>
      <c r="R23" s="2">
        <v>0</v>
      </c>
      <c r="S23" s="2">
        <v>0</v>
      </c>
      <c r="T23" s="2">
        <v>3</v>
      </c>
      <c r="U23" s="2">
        <v>1</v>
      </c>
      <c r="V23" s="2">
        <v>0</v>
      </c>
      <c r="W23" s="2">
        <v>44</v>
      </c>
      <c r="X23" s="2">
        <v>0</v>
      </c>
      <c r="Y23" s="2">
        <v>1</v>
      </c>
      <c r="Z23" s="2">
        <v>0</v>
      </c>
      <c r="AA23" s="2">
        <v>1</v>
      </c>
      <c r="AB23" s="2">
        <v>2</v>
      </c>
      <c r="AC23" s="2">
        <v>2</v>
      </c>
      <c r="AD23" s="2">
        <v>0</v>
      </c>
      <c r="AE23" s="2">
        <v>0</v>
      </c>
      <c r="AF23" s="2">
        <v>1</v>
      </c>
    </row>
    <row r="24" spans="1:32" x14ac:dyDescent="0.25">
      <c r="A24">
        <v>23</v>
      </c>
      <c r="B24" s="2">
        <v>0</v>
      </c>
      <c r="C24" s="2">
        <v>10</v>
      </c>
      <c r="D24" s="2">
        <v>4</v>
      </c>
      <c r="E24" s="2">
        <v>1</v>
      </c>
      <c r="F24" s="2">
        <v>0</v>
      </c>
      <c r="G24" s="2">
        <v>0</v>
      </c>
      <c r="H24" s="2">
        <v>0</v>
      </c>
      <c r="I24" s="2">
        <v>0</v>
      </c>
      <c r="J24" s="2">
        <v>0</v>
      </c>
      <c r="K24" s="2">
        <v>2241</v>
      </c>
      <c r="L24" s="2">
        <v>0</v>
      </c>
      <c r="M24" s="2">
        <v>1</v>
      </c>
      <c r="N24" s="2">
        <v>1</v>
      </c>
      <c r="O24" s="2">
        <v>0</v>
      </c>
      <c r="P24" s="2">
        <v>1</v>
      </c>
      <c r="Q24" s="2">
        <v>0</v>
      </c>
      <c r="R24" s="2">
        <v>0</v>
      </c>
      <c r="S24" s="2">
        <v>0</v>
      </c>
      <c r="T24" s="2">
        <v>3</v>
      </c>
      <c r="U24" s="2">
        <v>1</v>
      </c>
      <c r="V24" s="2">
        <v>0</v>
      </c>
      <c r="W24" s="2">
        <v>48</v>
      </c>
      <c r="X24" s="2">
        <v>0</v>
      </c>
      <c r="Y24" s="2">
        <v>1</v>
      </c>
      <c r="Z24" s="2">
        <v>0</v>
      </c>
      <c r="AA24" s="2">
        <v>2</v>
      </c>
      <c r="AB24" s="2">
        <v>1</v>
      </c>
      <c r="AC24" s="2">
        <v>2</v>
      </c>
      <c r="AD24" s="2">
        <v>0</v>
      </c>
      <c r="AE24" s="2">
        <v>1</v>
      </c>
      <c r="AF24" s="2">
        <v>1</v>
      </c>
    </row>
    <row r="25" spans="1:32" x14ac:dyDescent="0.25">
      <c r="A25">
        <v>24</v>
      </c>
      <c r="B25" s="2">
        <v>1</v>
      </c>
      <c r="C25" s="2">
        <v>12</v>
      </c>
      <c r="D25" s="2">
        <v>4</v>
      </c>
      <c r="E25" s="2">
        <v>0</v>
      </c>
      <c r="F25" s="2">
        <v>1</v>
      </c>
      <c r="G25" s="2">
        <v>0</v>
      </c>
      <c r="H25" s="2">
        <v>0</v>
      </c>
      <c r="I25" s="2">
        <v>0</v>
      </c>
      <c r="J25" s="2">
        <v>0</v>
      </c>
      <c r="K25" s="2">
        <v>1804</v>
      </c>
      <c r="L25" s="2">
        <v>1</v>
      </c>
      <c r="M25" s="2">
        <v>1</v>
      </c>
      <c r="N25" s="2">
        <v>3</v>
      </c>
      <c r="O25" s="2">
        <v>0</v>
      </c>
      <c r="P25" s="2">
        <v>1</v>
      </c>
      <c r="Q25" s="2">
        <v>0</v>
      </c>
      <c r="R25" s="2">
        <v>0</v>
      </c>
      <c r="S25" s="2">
        <v>0</v>
      </c>
      <c r="T25" s="2">
        <v>4</v>
      </c>
      <c r="U25" s="2">
        <v>0</v>
      </c>
      <c r="V25" s="2">
        <v>0</v>
      </c>
      <c r="W25" s="2">
        <v>44</v>
      </c>
      <c r="X25" s="2">
        <v>0</v>
      </c>
      <c r="Y25" s="2">
        <v>0</v>
      </c>
      <c r="Z25" s="2">
        <v>1</v>
      </c>
      <c r="AA25" s="2">
        <v>1</v>
      </c>
      <c r="AB25" s="2">
        <v>2</v>
      </c>
      <c r="AC25" s="2">
        <v>1</v>
      </c>
      <c r="AD25" s="2">
        <v>0</v>
      </c>
      <c r="AE25" s="2">
        <v>0</v>
      </c>
      <c r="AF25" s="2">
        <v>1</v>
      </c>
    </row>
    <row r="26" spans="1:32" x14ac:dyDescent="0.25">
      <c r="A26">
        <v>25</v>
      </c>
      <c r="B26" s="2">
        <v>3</v>
      </c>
      <c r="C26" s="2">
        <v>10</v>
      </c>
      <c r="D26" s="2">
        <v>4</v>
      </c>
      <c r="E26" s="2">
        <v>0</v>
      </c>
      <c r="F26" s="2">
        <v>0</v>
      </c>
      <c r="G26" s="2">
        <v>1</v>
      </c>
      <c r="H26" s="2">
        <v>0</v>
      </c>
      <c r="I26" s="2">
        <v>0</v>
      </c>
      <c r="J26" s="2">
        <v>0</v>
      </c>
      <c r="K26" s="2">
        <v>2069</v>
      </c>
      <c r="L26" s="2">
        <v>4</v>
      </c>
      <c r="M26" s="2">
        <v>2</v>
      </c>
      <c r="N26" s="2">
        <v>2</v>
      </c>
      <c r="O26" s="2">
        <v>0</v>
      </c>
      <c r="P26" s="2">
        <v>0</v>
      </c>
      <c r="Q26" s="2">
        <v>1</v>
      </c>
      <c r="R26" s="2">
        <v>0</v>
      </c>
      <c r="S26" s="2">
        <v>0</v>
      </c>
      <c r="T26" s="2">
        <v>1</v>
      </c>
      <c r="U26" s="2">
        <v>0</v>
      </c>
      <c r="V26" s="2">
        <v>0</v>
      </c>
      <c r="W26" s="2">
        <v>26</v>
      </c>
      <c r="X26" s="2">
        <v>0</v>
      </c>
      <c r="Y26" s="2">
        <v>0</v>
      </c>
      <c r="Z26" s="2">
        <v>1</v>
      </c>
      <c r="AA26" s="2">
        <v>2</v>
      </c>
      <c r="AB26" s="2">
        <v>2</v>
      </c>
      <c r="AC26" s="2">
        <v>1</v>
      </c>
      <c r="AD26" s="2">
        <v>0</v>
      </c>
      <c r="AE26" s="2">
        <v>1</v>
      </c>
      <c r="AF26" s="2">
        <v>1</v>
      </c>
    </row>
    <row r="27" spans="1:32" x14ac:dyDescent="0.25">
      <c r="A27">
        <v>26</v>
      </c>
      <c r="B27" s="2">
        <v>0</v>
      </c>
      <c r="C27" s="2">
        <v>6</v>
      </c>
      <c r="D27" s="2">
        <v>2</v>
      </c>
      <c r="E27" s="2">
        <v>0</v>
      </c>
      <c r="F27" s="2">
        <v>0</v>
      </c>
      <c r="G27" s="2">
        <v>1</v>
      </c>
      <c r="H27" s="2">
        <v>0</v>
      </c>
      <c r="I27" s="2">
        <v>0</v>
      </c>
      <c r="J27" s="2">
        <v>0</v>
      </c>
      <c r="K27" s="2">
        <v>1374</v>
      </c>
      <c r="L27" s="2">
        <v>0</v>
      </c>
      <c r="M27" s="2">
        <v>2</v>
      </c>
      <c r="N27" s="2">
        <v>1</v>
      </c>
      <c r="O27" s="2">
        <v>0</v>
      </c>
      <c r="P27" s="2">
        <v>1</v>
      </c>
      <c r="Q27" s="2">
        <v>0</v>
      </c>
      <c r="R27" s="2">
        <v>0</v>
      </c>
      <c r="S27" s="2">
        <v>0</v>
      </c>
      <c r="T27" s="2">
        <v>2</v>
      </c>
      <c r="U27" s="2">
        <v>1</v>
      </c>
      <c r="V27" s="2">
        <v>0</v>
      </c>
      <c r="W27" s="2">
        <v>36</v>
      </c>
      <c r="X27" s="2">
        <v>1</v>
      </c>
      <c r="Y27" s="2">
        <v>0</v>
      </c>
      <c r="Z27" s="2">
        <v>1</v>
      </c>
      <c r="AA27" s="2">
        <v>1</v>
      </c>
      <c r="AB27" s="2">
        <v>1</v>
      </c>
      <c r="AC27" s="2">
        <v>1</v>
      </c>
      <c r="AD27" s="2">
        <v>1</v>
      </c>
      <c r="AE27" s="2">
        <v>0</v>
      </c>
      <c r="AF27" s="2">
        <v>1</v>
      </c>
    </row>
    <row r="28" spans="1:32" x14ac:dyDescent="0.25">
      <c r="A28">
        <v>27</v>
      </c>
      <c r="B28" s="2">
        <v>3</v>
      </c>
      <c r="C28" s="2">
        <v>6</v>
      </c>
      <c r="D28" s="2">
        <v>0</v>
      </c>
      <c r="E28" s="2">
        <v>0</v>
      </c>
      <c r="F28" s="2">
        <v>0</v>
      </c>
      <c r="G28" s="2">
        <v>0</v>
      </c>
      <c r="H28" s="2">
        <v>1</v>
      </c>
      <c r="I28" s="2">
        <v>0</v>
      </c>
      <c r="J28" s="2">
        <v>0</v>
      </c>
      <c r="K28" s="2">
        <v>426</v>
      </c>
      <c r="L28" s="2">
        <v>0</v>
      </c>
      <c r="M28" s="2">
        <v>4</v>
      </c>
      <c r="N28" s="2">
        <v>4</v>
      </c>
      <c r="O28" s="2">
        <v>0</v>
      </c>
      <c r="P28" s="2">
        <v>0</v>
      </c>
      <c r="Q28" s="2">
        <v>1</v>
      </c>
      <c r="R28" s="2">
        <v>0</v>
      </c>
      <c r="S28" s="2">
        <v>0</v>
      </c>
      <c r="T28" s="2">
        <v>4</v>
      </c>
      <c r="U28" s="2">
        <v>0</v>
      </c>
      <c r="V28" s="2">
        <v>0</v>
      </c>
      <c r="W28" s="2">
        <v>39</v>
      </c>
      <c r="X28" s="2">
        <v>0</v>
      </c>
      <c r="Y28" s="2">
        <v>0</v>
      </c>
      <c r="Z28" s="2">
        <v>1</v>
      </c>
      <c r="AA28" s="2">
        <v>1</v>
      </c>
      <c r="AB28" s="2">
        <v>1</v>
      </c>
      <c r="AC28" s="2">
        <v>1</v>
      </c>
      <c r="AD28" s="2">
        <v>0</v>
      </c>
      <c r="AE28" s="2">
        <v>0</v>
      </c>
      <c r="AF28" s="2">
        <v>1</v>
      </c>
    </row>
    <row r="29" spans="1:32" x14ac:dyDescent="0.25">
      <c r="A29">
        <v>28</v>
      </c>
      <c r="B29" s="2">
        <v>2</v>
      </c>
      <c r="C29" s="2">
        <v>12</v>
      </c>
      <c r="D29" s="2">
        <v>1</v>
      </c>
      <c r="E29" s="2">
        <v>0</v>
      </c>
      <c r="F29" s="2">
        <v>0</v>
      </c>
      <c r="G29" s="2">
        <v>0</v>
      </c>
      <c r="H29" s="2">
        <v>1</v>
      </c>
      <c r="I29" s="2">
        <v>0</v>
      </c>
      <c r="J29" s="2">
        <v>0</v>
      </c>
      <c r="K29" s="2">
        <v>409</v>
      </c>
      <c r="L29" s="2">
        <v>3</v>
      </c>
      <c r="M29" s="2">
        <v>2</v>
      </c>
      <c r="N29" s="2">
        <v>3</v>
      </c>
      <c r="O29" s="2">
        <v>0</v>
      </c>
      <c r="P29" s="2">
        <v>0</v>
      </c>
      <c r="Q29" s="2">
        <v>0</v>
      </c>
      <c r="R29" s="2">
        <v>0</v>
      </c>
      <c r="S29" s="2">
        <v>0</v>
      </c>
      <c r="T29" s="2">
        <v>3</v>
      </c>
      <c r="U29" s="2">
        <v>1</v>
      </c>
      <c r="V29" s="2">
        <v>0</v>
      </c>
      <c r="W29" s="2">
        <v>42</v>
      </c>
      <c r="X29" s="2">
        <v>0</v>
      </c>
      <c r="Y29" s="2">
        <v>1</v>
      </c>
      <c r="Z29" s="2">
        <v>0</v>
      </c>
      <c r="AA29" s="2">
        <v>2</v>
      </c>
      <c r="AB29" s="2">
        <v>2</v>
      </c>
      <c r="AC29" s="2">
        <v>1</v>
      </c>
      <c r="AD29" s="2">
        <v>0</v>
      </c>
      <c r="AE29" s="2">
        <v>0</v>
      </c>
      <c r="AF29" s="2">
        <v>1</v>
      </c>
    </row>
    <row r="30" spans="1:32" x14ac:dyDescent="0.25">
      <c r="A30">
        <v>29</v>
      </c>
      <c r="B30" s="2">
        <v>1</v>
      </c>
      <c r="C30" s="2">
        <v>7</v>
      </c>
      <c r="D30" s="2">
        <v>2</v>
      </c>
      <c r="E30" s="2">
        <v>0</v>
      </c>
      <c r="F30" s="2">
        <v>0</v>
      </c>
      <c r="G30" s="2">
        <v>0</v>
      </c>
      <c r="H30" s="2">
        <v>1</v>
      </c>
      <c r="I30" s="2">
        <v>0</v>
      </c>
      <c r="J30" s="2">
        <v>0</v>
      </c>
      <c r="K30" s="2">
        <v>2415</v>
      </c>
      <c r="L30" s="2">
        <v>0</v>
      </c>
      <c r="M30" s="2">
        <v>2</v>
      </c>
      <c r="N30" s="2">
        <v>3</v>
      </c>
      <c r="O30" s="2">
        <v>0</v>
      </c>
      <c r="P30" s="2">
        <v>1</v>
      </c>
      <c r="Q30" s="2">
        <v>0</v>
      </c>
      <c r="R30" s="2">
        <v>0</v>
      </c>
      <c r="S30" s="2">
        <v>1</v>
      </c>
      <c r="T30" s="2">
        <v>2</v>
      </c>
      <c r="U30" s="2">
        <v>1</v>
      </c>
      <c r="V30" s="2">
        <v>0</v>
      </c>
      <c r="W30" s="2">
        <v>34</v>
      </c>
      <c r="X30" s="2">
        <v>0</v>
      </c>
      <c r="Y30" s="2">
        <v>0</v>
      </c>
      <c r="Z30" s="2">
        <v>1</v>
      </c>
      <c r="AA30" s="2">
        <v>1</v>
      </c>
      <c r="AB30" s="2">
        <v>2</v>
      </c>
      <c r="AC30" s="2">
        <v>1</v>
      </c>
      <c r="AD30" s="2">
        <v>0</v>
      </c>
      <c r="AE30" s="2">
        <v>0</v>
      </c>
      <c r="AF30" s="2">
        <v>1</v>
      </c>
    </row>
    <row r="31" spans="1:32" x14ac:dyDescent="0.25">
      <c r="A31">
        <v>30</v>
      </c>
      <c r="B31" s="2">
        <v>0</v>
      </c>
      <c r="C31" s="2">
        <v>60</v>
      </c>
      <c r="D31" s="2">
        <v>3</v>
      </c>
      <c r="E31" s="2">
        <v>0</v>
      </c>
      <c r="F31" s="2">
        <v>0</v>
      </c>
      <c r="G31" s="2">
        <v>0</v>
      </c>
      <c r="H31" s="2">
        <v>0</v>
      </c>
      <c r="I31" s="2">
        <v>0</v>
      </c>
      <c r="J31" s="2">
        <v>1</v>
      </c>
      <c r="K31" s="2">
        <v>6836</v>
      </c>
      <c r="L31" s="2">
        <v>0</v>
      </c>
      <c r="M31" s="2">
        <v>4</v>
      </c>
      <c r="N31" s="2">
        <v>3</v>
      </c>
      <c r="O31" s="2">
        <v>0</v>
      </c>
      <c r="P31" s="2">
        <v>1</v>
      </c>
      <c r="Q31" s="2">
        <v>0</v>
      </c>
      <c r="R31" s="2">
        <v>0</v>
      </c>
      <c r="S31" s="2">
        <v>0</v>
      </c>
      <c r="T31" s="2">
        <v>4</v>
      </c>
      <c r="U31" s="2">
        <v>0</v>
      </c>
      <c r="V31" s="2">
        <v>1</v>
      </c>
      <c r="W31" s="2">
        <v>63</v>
      </c>
      <c r="X31" s="2">
        <v>0</v>
      </c>
      <c r="Y31" s="2">
        <v>0</v>
      </c>
      <c r="Z31" s="2">
        <v>1</v>
      </c>
      <c r="AA31" s="2">
        <v>2</v>
      </c>
      <c r="AB31" s="2">
        <v>2</v>
      </c>
      <c r="AC31" s="2">
        <v>1</v>
      </c>
      <c r="AD31" s="2">
        <v>1</v>
      </c>
      <c r="AE31" s="2">
        <v>0</v>
      </c>
      <c r="AF31" s="2">
        <v>0</v>
      </c>
    </row>
    <row r="32" spans="1:32" x14ac:dyDescent="0.25">
      <c r="A32">
        <v>31</v>
      </c>
      <c r="B32" s="2">
        <v>1</v>
      </c>
      <c r="C32" s="2">
        <v>18</v>
      </c>
      <c r="D32" s="2">
        <v>2</v>
      </c>
      <c r="E32" s="2">
        <v>0</v>
      </c>
      <c r="F32" s="2">
        <v>0</v>
      </c>
      <c r="G32" s="2">
        <v>0</v>
      </c>
      <c r="H32" s="2">
        <v>0</v>
      </c>
      <c r="I32" s="2">
        <v>0</v>
      </c>
      <c r="J32" s="2">
        <v>1</v>
      </c>
      <c r="K32" s="2">
        <v>1913</v>
      </c>
      <c r="L32" s="2">
        <v>3</v>
      </c>
      <c r="M32" s="2">
        <v>1</v>
      </c>
      <c r="N32" s="2">
        <v>3</v>
      </c>
      <c r="O32" s="2">
        <v>0</v>
      </c>
      <c r="P32" s="2">
        <v>0</v>
      </c>
      <c r="Q32" s="2">
        <v>1</v>
      </c>
      <c r="R32" s="2">
        <v>0</v>
      </c>
      <c r="S32" s="2">
        <v>0</v>
      </c>
      <c r="T32" s="2">
        <v>3</v>
      </c>
      <c r="U32" s="2">
        <v>1</v>
      </c>
      <c r="V32" s="2">
        <v>0</v>
      </c>
      <c r="W32" s="2">
        <v>36</v>
      </c>
      <c r="X32" s="2">
        <v>1</v>
      </c>
      <c r="Y32" s="2">
        <v>0</v>
      </c>
      <c r="Z32" s="2">
        <v>1</v>
      </c>
      <c r="AA32" s="2">
        <v>1</v>
      </c>
      <c r="AB32" s="2">
        <v>2</v>
      </c>
      <c r="AC32" s="2">
        <v>1</v>
      </c>
      <c r="AD32" s="2">
        <v>1</v>
      </c>
      <c r="AE32" s="2">
        <v>0</v>
      </c>
      <c r="AF32" s="2">
        <v>1</v>
      </c>
    </row>
    <row r="33" spans="1:32" x14ac:dyDescent="0.25">
      <c r="A33">
        <v>32</v>
      </c>
      <c r="B33" s="2">
        <v>0</v>
      </c>
      <c r="C33" s="2">
        <v>24</v>
      </c>
      <c r="D33" s="2">
        <v>2</v>
      </c>
      <c r="E33" s="2">
        <v>0</v>
      </c>
      <c r="F33" s="2">
        <v>0</v>
      </c>
      <c r="G33" s="2">
        <v>1</v>
      </c>
      <c r="H33" s="2">
        <v>0</v>
      </c>
      <c r="I33" s="2">
        <v>0</v>
      </c>
      <c r="J33" s="2">
        <v>0</v>
      </c>
      <c r="K33" s="2">
        <v>4020</v>
      </c>
      <c r="L33" s="2">
        <v>0</v>
      </c>
      <c r="M33" s="2">
        <v>2</v>
      </c>
      <c r="N33" s="2">
        <v>2</v>
      </c>
      <c r="O33" s="2">
        <v>0</v>
      </c>
      <c r="P33" s="2">
        <v>1</v>
      </c>
      <c r="Q33" s="2">
        <v>0</v>
      </c>
      <c r="R33" s="2">
        <v>0</v>
      </c>
      <c r="S33" s="2">
        <v>0</v>
      </c>
      <c r="T33" s="2">
        <v>2</v>
      </c>
      <c r="U33" s="2">
        <v>0</v>
      </c>
      <c r="V33" s="2">
        <v>0</v>
      </c>
      <c r="W33" s="2">
        <v>27</v>
      </c>
      <c r="X33" s="2">
        <v>1</v>
      </c>
      <c r="Y33" s="2">
        <v>0</v>
      </c>
      <c r="Z33" s="2">
        <v>1</v>
      </c>
      <c r="AA33" s="2">
        <v>1</v>
      </c>
      <c r="AB33" s="2">
        <v>2</v>
      </c>
      <c r="AC33" s="2">
        <v>1</v>
      </c>
      <c r="AD33" s="2">
        <v>0</v>
      </c>
      <c r="AE33" s="2">
        <v>0</v>
      </c>
      <c r="AF33" s="2">
        <v>1</v>
      </c>
    </row>
    <row r="34" spans="1:32" x14ac:dyDescent="0.25">
      <c r="A34">
        <v>33</v>
      </c>
      <c r="B34" s="2">
        <v>1</v>
      </c>
      <c r="C34" s="2">
        <v>18</v>
      </c>
      <c r="D34" s="2">
        <v>2</v>
      </c>
      <c r="E34" s="2">
        <v>1</v>
      </c>
      <c r="F34" s="2">
        <v>0</v>
      </c>
      <c r="G34" s="2">
        <v>0</v>
      </c>
      <c r="H34" s="2">
        <v>0</v>
      </c>
      <c r="I34" s="2">
        <v>0</v>
      </c>
      <c r="J34" s="2">
        <v>0</v>
      </c>
      <c r="K34" s="2">
        <v>5866</v>
      </c>
      <c r="L34" s="2">
        <v>1</v>
      </c>
      <c r="M34" s="2">
        <v>2</v>
      </c>
      <c r="N34" s="2">
        <v>2</v>
      </c>
      <c r="O34" s="2">
        <v>0</v>
      </c>
      <c r="P34" s="2">
        <v>1</v>
      </c>
      <c r="Q34" s="2">
        <v>0</v>
      </c>
      <c r="R34" s="2">
        <v>0</v>
      </c>
      <c r="S34" s="2">
        <v>0</v>
      </c>
      <c r="T34" s="2">
        <v>2</v>
      </c>
      <c r="U34" s="2">
        <v>0</v>
      </c>
      <c r="V34" s="2">
        <v>0</v>
      </c>
      <c r="W34" s="2">
        <v>30</v>
      </c>
      <c r="X34" s="2">
        <v>0</v>
      </c>
      <c r="Y34" s="2">
        <v>0</v>
      </c>
      <c r="Z34" s="2">
        <v>1</v>
      </c>
      <c r="AA34" s="2">
        <v>2</v>
      </c>
      <c r="AB34" s="2">
        <v>2</v>
      </c>
      <c r="AC34" s="2">
        <v>1</v>
      </c>
      <c r="AD34" s="2">
        <v>1</v>
      </c>
      <c r="AE34" s="2">
        <v>0</v>
      </c>
      <c r="AF34" s="2">
        <v>1</v>
      </c>
    </row>
    <row r="35" spans="1:32" x14ac:dyDescent="0.25">
      <c r="A35">
        <v>34</v>
      </c>
      <c r="B35" s="2">
        <v>3</v>
      </c>
      <c r="C35" s="2">
        <v>12</v>
      </c>
      <c r="D35" s="2">
        <v>4</v>
      </c>
      <c r="E35" s="2">
        <v>0</v>
      </c>
      <c r="F35" s="2">
        <v>0</v>
      </c>
      <c r="G35" s="2">
        <v>0</v>
      </c>
      <c r="H35" s="2">
        <v>0</v>
      </c>
      <c r="I35" s="2">
        <v>0</v>
      </c>
      <c r="J35" s="2">
        <v>1</v>
      </c>
      <c r="K35" s="2">
        <v>1264</v>
      </c>
      <c r="L35" s="2">
        <v>4</v>
      </c>
      <c r="M35" s="2">
        <v>4</v>
      </c>
      <c r="N35" s="2">
        <v>4</v>
      </c>
      <c r="O35" s="2">
        <v>0</v>
      </c>
      <c r="P35" s="2">
        <v>1</v>
      </c>
      <c r="Q35" s="2">
        <v>0</v>
      </c>
      <c r="R35" s="2">
        <v>0</v>
      </c>
      <c r="S35" s="2">
        <v>0</v>
      </c>
      <c r="T35" s="2">
        <v>4</v>
      </c>
      <c r="U35" s="2">
        <v>0</v>
      </c>
      <c r="V35" s="2">
        <v>1</v>
      </c>
      <c r="W35" s="2">
        <v>57</v>
      </c>
      <c r="X35" s="2">
        <v>0</v>
      </c>
      <c r="Y35" s="2">
        <v>1</v>
      </c>
      <c r="Z35" s="2">
        <v>0</v>
      </c>
      <c r="AA35" s="2">
        <v>1</v>
      </c>
      <c r="AB35" s="2">
        <v>1</v>
      </c>
      <c r="AC35" s="2">
        <v>1</v>
      </c>
      <c r="AD35" s="2">
        <v>0</v>
      </c>
      <c r="AE35" s="2">
        <v>0</v>
      </c>
      <c r="AF35" s="2">
        <v>1</v>
      </c>
    </row>
    <row r="36" spans="1:32" x14ac:dyDescent="0.25">
      <c r="A36">
        <v>35</v>
      </c>
      <c r="B36" s="2">
        <v>2</v>
      </c>
      <c r="C36" s="2">
        <v>12</v>
      </c>
      <c r="D36" s="2">
        <v>2</v>
      </c>
      <c r="E36" s="2">
        <v>0</v>
      </c>
      <c r="F36" s="2">
        <v>0</v>
      </c>
      <c r="G36" s="2">
        <v>1</v>
      </c>
      <c r="H36" s="2">
        <v>0</v>
      </c>
      <c r="I36" s="2">
        <v>0</v>
      </c>
      <c r="J36" s="2">
        <v>0</v>
      </c>
      <c r="K36" s="2">
        <v>1474</v>
      </c>
      <c r="L36" s="2">
        <v>0</v>
      </c>
      <c r="M36" s="2">
        <v>1</v>
      </c>
      <c r="N36" s="2">
        <v>4</v>
      </c>
      <c r="O36" s="2">
        <v>0</v>
      </c>
      <c r="P36" s="2">
        <v>0</v>
      </c>
      <c r="Q36" s="2">
        <v>0</v>
      </c>
      <c r="R36" s="2">
        <v>0</v>
      </c>
      <c r="S36" s="2">
        <v>0</v>
      </c>
      <c r="T36" s="2">
        <v>1</v>
      </c>
      <c r="U36" s="2">
        <v>0</v>
      </c>
      <c r="V36" s="2">
        <v>0</v>
      </c>
      <c r="W36" s="2">
        <v>33</v>
      </c>
      <c r="X36" s="2">
        <v>1</v>
      </c>
      <c r="Y36" s="2">
        <v>0</v>
      </c>
      <c r="Z36" s="2">
        <v>1</v>
      </c>
      <c r="AA36" s="2">
        <v>1</v>
      </c>
      <c r="AB36" s="2">
        <v>3</v>
      </c>
      <c r="AC36" s="2">
        <v>1</v>
      </c>
      <c r="AD36" s="2">
        <v>1</v>
      </c>
      <c r="AE36" s="2">
        <v>0</v>
      </c>
      <c r="AF36" s="2">
        <v>1</v>
      </c>
    </row>
    <row r="37" spans="1:32" x14ac:dyDescent="0.25">
      <c r="A37">
        <v>36</v>
      </c>
      <c r="B37" s="2">
        <v>1</v>
      </c>
      <c r="C37" s="2">
        <v>45</v>
      </c>
      <c r="D37" s="2">
        <v>4</v>
      </c>
      <c r="E37" s="2">
        <v>0</v>
      </c>
      <c r="F37" s="2">
        <v>0</v>
      </c>
      <c r="G37" s="2">
        <v>0</v>
      </c>
      <c r="H37" s="2">
        <v>1</v>
      </c>
      <c r="I37" s="2">
        <v>0</v>
      </c>
      <c r="J37" s="2">
        <v>0</v>
      </c>
      <c r="K37" s="2">
        <v>4746</v>
      </c>
      <c r="L37" s="2">
        <v>0</v>
      </c>
      <c r="M37" s="2">
        <v>1</v>
      </c>
      <c r="N37" s="2">
        <v>4</v>
      </c>
      <c r="O37" s="2">
        <v>0</v>
      </c>
      <c r="P37" s="2">
        <v>1</v>
      </c>
      <c r="Q37" s="2">
        <v>0</v>
      </c>
      <c r="R37" s="2">
        <v>0</v>
      </c>
      <c r="S37" s="2">
        <v>0</v>
      </c>
      <c r="T37" s="2">
        <v>2</v>
      </c>
      <c r="U37" s="2">
        <v>0</v>
      </c>
      <c r="V37" s="2">
        <v>0</v>
      </c>
      <c r="W37" s="2">
        <v>25</v>
      </c>
      <c r="X37" s="2">
        <v>0</v>
      </c>
      <c r="Y37" s="2">
        <v>0</v>
      </c>
      <c r="Z37" s="2">
        <v>1</v>
      </c>
      <c r="AA37" s="2">
        <v>2</v>
      </c>
      <c r="AB37" s="2">
        <v>1</v>
      </c>
      <c r="AC37" s="2">
        <v>1</v>
      </c>
      <c r="AD37" s="2">
        <v>0</v>
      </c>
      <c r="AE37" s="2">
        <v>0</v>
      </c>
      <c r="AF37" s="2">
        <v>0</v>
      </c>
    </row>
    <row r="38" spans="1:32" x14ac:dyDescent="0.25">
      <c r="A38">
        <v>37</v>
      </c>
      <c r="B38" s="2">
        <v>3</v>
      </c>
      <c r="C38" s="2">
        <v>48</v>
      </c>
      <c r="D38" s="2">
        <v>4</v>
      </c>
      <c r="E38" s="2">
        <v>0</v>
      </c>
      <c r="F38" s="2">
        <v>0</v>
      </c>
      <c r="G38" s="2">
        <v>0</v>
      </c>
      <c r="H38" s="2">
        <v>0</v>
      </c>
      <c r="I38" s="2">
        <v>1</v>
      </c>
      <c r="J38" s="2">
        <v>0</v>
      </c>
      <c r="K38" s="2">
        <v>6110</v>
      </c>
      <c r="L38" s="2">
        <v>0</v>
      </c>
      <c r="M38" s="2">
        <v>2</v>
      </c>
      <c r="N38" s="2">
        <v>1</v>
      </c>
      <c r="O38" s="2">
        <v>0</v>
      </c>
      <c r="P38" s="2">
        <v>1</v>
      </c>
      <c r="Q38" s="2">
        <v>0</v>
      </c>
      <c r="R38" s="2">
        <v>0</v>
      </c>
      <c r="S38" s="2">
        <v>0</v>
      </c>
      <c r="T38" s="2">
        <v>3</v>
      </c>
      <c r="U38" s="2">
        <v>0</v>
      </c>
      <c r="V38" s="2">
        <v>1</v>
      </c>
      <c r="W38" s="2">
        <v>31</v>
      </c>
      <c r="X38" s="2">
        <v>1</v>
      </c>
      <c r="Y38" s="2">
        <v>0</v>
      </c>
      <c r="Z38" s="2">
        <v>0</v>
      </c>
      <c r="AA38" s="2">
        <v>1</v>
      </c>
      <c r="AB38" s="2">
        <v>2</v>
      </c>
      <c r="AC38" s="2">
        <v>1</v>
      </c>
      <c r="AD38" s="2">
        <v>1</v>
      </c>
      <c r="AE38" s="2">
        <v>0</v>
      </c>
      <c r="AF38" s="2">
        <v>1</v>
      </c>
    </row>
    <row r="39" spans="1:32" x14ac:dyDescent="0.25">
      <c r="A39">
        <v>38</v>
      </c>
      <c r="B39" s="2">
        <v>2</v>
      </c>
      <c r="C39" s="2">
        <v>18</v>
      </c>
      <c r="D39" s="2">
        <v>2</v>
      </c>
      <c r="E39" s="2">
        <v>0</v>
      </c>
      <c r="F39" s="2">
        <v>0</v>
      </c>
      <c r="G39" s="2">
        <v>0</v>
      </c>
      <c r="H39" s="2">
        <v>1</v>
      </c>
      <c r="I39" s="2">
        <v>0</v>
      </c>
      <c r="J39" s="2">
        <v>0</v>
      </c>
      <c r="K39" s="2">
        <v>2100</v>
      </c>
      <c r="L39" s="2">
        <v>0</v>
      </c>
      <c r="M39" s="2">
        <v>2</v>
      </c>
      <c r="N39" s="2">
        <v>4</v>
      </c>
      <c r="O39" s="2">
        <v>0</v>
      </c>
      <c r="P39" s="2">
        <v>1</v>
      </c>
      <c r="Q39" s="2">
        <v>0</v>
      </c>
      <c r="R39" s="2">
        <v>1</v>
      </c>
      <c r="S39" s="2">
        <v>0</v>
      </c>
      <c r="T39" s="2">
        <v>2</v>
      </c>
      <c r="U39" s="2">
        <v>1</v>
      </c>
      <c r="V39" s="2">
        <v>0</v>
      </c>
      <c r="W39" s="2">
        <v>37</v>
      </c>
      <c r="X39" s="2">
        <v>1</v>
      </c>
      <c r="Y39" s="2">
        <v>0</v>
      </c>
      <c r="Z39" s="2">
        <v>1</v>
      </c>
      <c r="AA39" s="2">
        <v>1</v>
      </c>
      <c r="AB39" s="2">
        <v>2</v>
      </c>
      <c r="AC39" s="2">
        <v>1</v>
      </c>
      <c r="AD39" s="2">
        <v>0</v>
      </c>
      <c r="AE39" s="2">
        <v>0</v>
      </c>
      <c r="AF39" s="2">
        <v>0</v>
      </c>
    </row>
    <row r="40" spans="1:32" x14ac:dyDescent="0.25">
      <c r="A40">
        <v>39</v>
      </c>
      <c r="B40" s="2">
        <v>2</v>
      </c>
      <c r="C40" s="2">
        <v>10</v>
      </c>
      <c r="D40" s="2">
        <v>2</v>
      </c>
      <c r="E40" s="2">
        <v>0</v>
      </c>
      <c r="F40" s="2">
        <v>0</v>
      </c>
      <c r="G40" s="2">
        <v>0</v>
      </c>
      <c r="H40" s="2">
        <v>0</v>
      </c>
      <c r="I40" s="2">
        <v>0</v>
      </c>
      <c r="J40" s="2">
        <v>0</v>
      </c>
      <c r="K40" s="2">
        <v>1225</v>
      </c>
      <c r="L40" s="2">
        <v>0</v>
      </c>
      <c r="M40" s="2">
        <v>2</v>
      </c>
      <c r="N40" s="2">
        <v>2</v>
      </c>
      <c r="O40" s="2">
        <v>0</v>
      </c>
      <c r="P40" s="2">
        <v>1</v>
      </c>
      <c r="Q40" s="2">
        <v>0</v>
      </c>
      <c r="R40" s="2">
        <v>0</v>
      </c>
      <c r="S40" s="2">
        <v>0</v>
      </c>
      <c r="T40" s="2">
        <v>2</v>
      </c>
      <c r="U40" s="2">
        <v>0</v>
      </c>
      <c r="V40" s="2">
        <v>0</v>
      </c>
      <c r="W40" s="2">
        <v>37</v>
      </c>
      <c r="X40" s="2">
        <v>0</v>
      </c>
      <c r="Y40" s="2">
        <v>0</v>
      </c>
      <c r="Z40" s="2">
        <v>1</v>
      </c>
      <c r="AA40" s="2">
        <v>1</v>
      </c>
      <c r="AB40" s="2">
        <v>2</v>
      </c>
      <c r="AC40" s="2">
        <v>1</v>
      </c>
      <c r="AD40" s="2">
        <v>1</v>
      </c>
      <c r="AE40" s="2">
        <v>0</v>
      </c>
      <c r="AF40" s="2">
        <v>1</v>
      </c>
    </row>
    <row r="41" spans="1:32" x14ac:dyDescent="0.25">
      <c r="A41">
        <v>40</v>
      </c>
      <c r="B41" s="2">
        <v>1</v>
      </c>
      <c r="C41" s="2">
        <v>9</v>
      </c>
      <c r="D41" s="2">
        <v>2</v>
      </c>
      <c r="E41" s="2">
        <v>0</v>
      </c>
      <c r="F41" s="2">
        <v>0</v>
      </c>
      <c r="G41" s="2">
        <v>0</v>
      </c>
      <c r="H41" s="2">
        <v>1</v>
      </c>
      <c r="I41" s="2">
        <v>0</v>
      </c>
      <c r="J41" s="2">
        <v>0</v>
      </c>
      <c r="K41" s="2">
        <v>458</v>
      </c>
      <c r="L41" s="2">
        <v>0</v>
      </c>
      <c r="M41" s="2">
        <v>2</v>
      </c>
      <c r="N41" s="2">
        <v>4</v>
      </c>
      <c r="O41" s="2">
        <v>0</v>
      </c>
      <c r="P41" s="2">
        <v>1</v>
      </c>
      <c r="Q41" s="2">
        <v>0</v>
      </c>
      <c r="R41" s="2">
        <v>0</v>
      </c>
      <c r="S41" s="2">
        <v>0</v>
      </c>
      <c r="T41" s="2">
        <v>3</v>
      </c>
      <c r="U41" s="2">
        <v>1</v>
      </c>
      <c r="V41" s="2">
        <v>0</v>
      </c>
      <c r="W41" s="2">
        <v>24</v>
      </c>
      <c r="X41" s="2">
        <v>0</v>
      </c>
      <c r="Y41" s="2">
        <v>0</v>
      </c>
      <c r="Z41" s="2">
        <v>1</v>
      </c>
      <c r="AA41" s="2">
        <v>1</v>
      </c>
      <c r="AB41" s="2">
        <v>2</v>
      </c>
      <c r="AC41" s="2">
        <v>1</v>
      </c>
      <c r="AD41" s="2">
        <v>0</v>
      </c>
      <c r="AE41" s="2">
        <v>0</v>
      </c>
      <c r="AF41" s="2">
        <v>1</v>
      </c>
    </row>
    <row r="42" spans="1:32" x14ac:dyDescent="0.25">
      <c r="A42">
        <v>41</v>
      </c>
      <c r="B42" s="2">
        <v>3</v>
      </c>
      <c r="C42" s="2">
        <v>30</v>
      </c>
      <c r="D42" s="2">
        <v>2</v>
      </c>
      <c r="E42" s="2">
        <v>0</v>
      </c>
      <c r="F42" s="2">
        <v>0</v>
      </c>
      <c r="G42" s="2">
        <v>0</v>
      </c>
      <c r="H42" s="2">
        <v>1</v>
      </c>
      <c r="I42" s="2">
        <v>0</v>
      </c>
      <c r="J42" s="2">
        <v>0</v>
      </c>
      <c r="K42" s="2">
        <v>2333</v>
      </c>
      <c r="L42" s="2">
        <v>2</v>
      </c>
      <c r="M42" s="2">
        <v>4</v>
      </c>
      <c r="N42" s="2">
        <v>4</v>
      </c>
      <c r="O42" s="2">
        <v>0</v>
      </c>
      <c r="P42" s="2">
        <v>1</v>
      </c>
      <c r="Q42" s="2">
        <v>0</v>
      </c>
      <c r="R42" s="2">
        <v>0</v>
      </c>
      <c r="S42" s="2">
        <v>0</v>
      </c>
      <c r="T42" s="2">
        <v>2</v>
      </c>
      <c r="U42" s="2">
        <v>0</v>
      </c>
      <c r="V42" s="2">
        <v>0</v>
      </c>
      <c r="W42" s="2">
        <v>30</v>
      </c>
      <c r="X42" s="2">
        <v>1</v>
      </c>
      <c r="Y42" s="2">
        <v>0</v>
      </c>
      <c r="Z42" s="2">
        <v>1</v>
      </c>
      <c r="AA42" s="2">
        <v>1</v>
      </c>
      <c r="AB42" s="2">
        <v>3</v>
      </c>
      <c r="AC42" s="2">
        <v>1</v>
      </c>
      <c r="AD42" s="2">
        <v>0</v>
      </c>
      <c r="AE42" s="2">
        <v>0</v>
      </c>
      <c r="AF42" s="2">
        <v>1</v>
      </c>
    </row>
    <row r="43" spans="1:32" x14ac:dyDescent="0.25">
      <c r="A43">
        <v>42</v>
      </c>
      <c r="B43" s="2">
        <v>1</v>
      </c>
      <c r="C43" s="2">
        <v>12</v>
      </c>
      <c r="D43" s="2">
        <v>2</v>
      </c>
      <c r="E43" s="2">
        <v>0</v>
      </c>
      <c r="F43" s="2">
        <v>0</v>
      </c>
      <c r="G43" s="2">
        <v>0</v>
      </c>
      <c r="H43" s="2">
        <v>1</v>
      </c>
      <c r="I43" s="2">
        <v>0</v>
      </c>
      <c r="J43" s="2">
        <v>0</v>
      </c>
      <c r="K43" s="2">
        <v>1158</v>
      </c>
      <c r="L43" s="2">
        <v>2</v>
      </c>
      <c r="M43" s="2">
        <v>2</v>
      </c>
      <c r="N43" s="2">
        <v>3</v>
      </c>
      <c r="O43" s="2">
        <v>1</v>
      </c>
      <c r="P43" s="2">
        <v>0</v>
      </c>
      <c r="Q43" s="2">
        <v>0</v>
      </c>
      <c r="R43" s="2">
        <v>0</v>
      </c>
      <c r="S43" s="2">
        <v>0</v>
      </c>
      <c r="T43" s="2">
        <v>1</v>
      </c>
      <c r="U43" s="2">
        <v>0</v>
      </c>
      <c r="V43" s="2">
        <v>0</v>
      </c>
      <c r="W43" s="2">
        <v>26</v>
      </c>
      <c r="X43" s="2">
        <v>0</v>
      </c>
      <c r="Y43" s="2">
        <v>0</v>
      </c>
      <c r="Z43" s="2">
        <v>1</v>
      </c>
      <c r="AA43" s="2">
        <v>1</v>
      </c>
      <c r="AB43" s="2">
        <v>2</v>
      </c>
      <c r="AC43" s="2">
        <v>1</v>
      </c>
      <c r="AD43" s="2">
        <v>1</v>
      </c>
      <c r="AE43" s="2">
        <v>0</v>
      </c>
      <c r="AF43" s="2">
        <v>1</v>
      </c>
    </row>
    <row r="44" spans="1:32" x14ac:dyDescent="0.25">
      <c r="A44">
        <v>43</v>
      </c>
      <c r="B44" s="2">
        <v>1</v>
      </c>
      <c r="C44" s="2">
        <v>18</v>
      </c>
      <c r="D44" s="2">
        <v>3</v>
      </c>
      <c r="E44" s="2">
        <v>0</v>
      </c>
      <c r="F44" s="2">
        <v>0</v>
      </c>
      <c r="G44" s="2">
        <v>0</v>
      </c>
      <c r="H44" s="2">
        <v>0</v>
      </c>
      <c r="I44" s="2">
        <v>0</v>
      </c>
      <c r="J44" s="2">
        <v>0</v>
      </c>
      <c r="K44" s="2">
        <v>6204</v>
      </c>
      <c r="L44" s="2">
        <v>0</v>
      </c>
      <c r="M44" s="2">
        <v>2</v>
      </c>
      <c r="N44" s="2">
        <v>2</v>
      </c>
      <c r="O44" s="2">
        <v>0</v>
      </c>
      <c r="P44" s="2">
        <v>1</v>
      </c>
      <c r="Q44" s="2">
        <v>0</v>
      </c>
      <c r="R44" s="2">
        <v>0</v>
      </c>
      <c r="S44" s="2">
        <v>0</v>
      </c>
      <c r="T44" s="2">
        <v>4</v>
      </c>
      <c r="U44" s="2">
        <v>1</v>
      </c>
      <c r="V44" s="2">
        <v>0</v>
      </c>
      <c r="W44" s="2">
        <v>44</v>
      </c>
      <c r="X44" s="2">
        <v>0</v>
      </c>
      <c r="Y44" s="2">
        <v>0</v>
      </c>
      <c r="Z44" s="2">
        <v>1</v>
      </c>
      <c r="AA44" s="2">
        <v>1</v>
      </c>
      <c r="AB44" s="2">
        <v>1</v>
      </c>
      <c r="AC44" s="2">
        <v>2</v>
      </c>
      <c r="AD44" s="2">
        <v>1</v>
      </c>
      <c r="AE44" s="2">
        <v>0</v>
      </c>
      <c r="AF44" s="2">
        <v>1</v>
      </c>
    </row>
    <row r="45" spans="1:32" x14ac:dyDescent="0.25">
      <c r="A45">
        <v>44</v>
      </c>
      <c r="B45" s="2">
        <v>0</v>
      </c>
      <c r="C45" s="2">
        <v>30</v>
      </c>
      <c r="D45" s="2">
        <v>4</v>
      </c>
      <c r="E45" s="2">
        <v>0</v>
      </c>
      <c r="F45" s="2">
        <v>1</v>
      </c>
      <c r="G45" s="2">
        <v>0</v>
      </c>
      <c r="H45" s="2">
        <v>0</v>
      </c>
      <c r="I45" s="2">
        <v>0</v>
      </c>
      <c r="J45" s="2">
        <v>0</v>
      </c>
      <c r="K45" s="2">
        <v>6187</v>
      </c>
      <c r="L45" s="2">
        <v>1</v>
      </c>
      <c r="M45" s="2">
        <v>3</v>
      </c>
      <c r="N45" s="2">
        <v>1</v>
      </c>
      <c r="O45" s="2">
        <v>0</v>
      </c>
      <c r="P45" s="2">
        <v>0</v>
      </c>
      <c r="Q45" s="2">
        <v>1</v>
      </c>
      <c r="R45" s="2">
        <v>0</v>
      </c>
      <c r="S45" s="2">
        <v>0</v>
      </c>
      <c r="T45" s="2">
        <v>4</v>
      </c>
      <c r="U45" s="2">
        <v>0</v>
      </c>
      <c r="V45" s="2">
        <v>0</v>
      </c>
      <c r="W45" s="2">
        <v>24</v>
      </c>
      <c r="X45" s="2">
        <v>0</v>
      </c>
      <c r="Y45" s="2">
        <v>1</v>
      </c>
      <c r="Z45" s="2">
        <v>0</v>
      </c>
      <c r="AA45" s="2">
        <v>2</v>
      </c>
      <c r="AB45" s="2">
        <v>2</v>
      </c>
      <c r="AC45" s="2">
        <v>1</v>
      </c>
      <c r="AD45" s="2">
        <v>0</v>
      </c>
      <c r="AE45" s="2">
        <v>0</v>
      </c>
      <c r="AF45" s="2">
        <v>1</v>
      </c>
    </row>
    <row r="46" spans="1:32" x14ac:dyDescent="0.25">
      <c r="A46">
        <v>45</v>
      </c>
      <c r="B46" s="2">
        <v>0</v>
      </c>
      <c r="C46" s="2">
        <v>48</v>
      </c>
      <c r="D46" s="2">
        <v>4</v>
      </c>
      <c r="E46" s="2">
        <v>0</v>
      </c>
      <c r="F46" s="2">
        <v>1</v>
      </c>
      <c r="G46" s="2">
        <v>0</v>
      </c>
      <c r="H46" s="2">
        <v>0</v>
      </c>
      <c r="I46" s="2">
        <v>0</v>
      </c>
      <c r="J46" s="2">
        <v>0</v>
      </c>
      <c r="K46" s="2">
        <v>6143</v>
      </c>
      <c r="L46" s="2">
        <v>0</v>
      </c>
      <c r="M46" s="2">
        <v>4</v>
      </c>
      <c r="N46" s="2">
        <v>4</v>
      </c>
      <c r="O46" s="2">
        <v>0</v>
      </c>
      <c r="P46" s="2">
        <v>0</v>
      </c>
      <c r="Q46" s="2">
        <v>0</v>
      </c>
      <c r="R46" s="2">
        <v>0</v>
      </c>
      <c r="S46" s="2">
        <v>0</v>
      </c>
      <c r="T46" s="2">
        <v>4</v>
      </c>
      <c r="U46" s="2">
        <v>0</v>
      </c>
      <c r="V46" s="2">
        <v>1</v>
      </c>
      <c r="W46" s="2">
        <v>58</v>
      </c>
      <c r="X46" s="2">
        <v>1</v>
      </c>
      <c r="Y46" s="2">
        <v>0</v>
      </c>
      <c r="Z46" s="2">
        <v>0</v>
      </c>
      <c r="AA46" s="2">
        <v>2</v>
      </c>
      <c r="AB46" s="2">
        <v>1</v>
      </c>
      <c r="AC46" s="2">
        <v>1</v>
      </c>
      <c r="AD46" s="2">
        <v>0</v>
      </c>
      <c r="AE46" s="2">
        <v>0</v>
      </c>
      <c r="AF46" s="2">
        <v>0</v>
      </c>
    </row>
    <row r="47" spans="1:32" x14ac:dyDescent="0.25">
      <c r="A47">
        <v>46</v>
      </c>
      <c r="B47" s="2">
        <v>3</v>
      </c>
      <c r="C47" s="2">
        <v>11</v>
      </c>
      <c r="D47" s="2">
        <v>4</v>
      </c>
      <c r="E47" s="2">
        <v>1</v>
      </c>
      <c r="F47" s="2">
        <v>0</v>
      </c>
      <c r="G47" s="2">
        <v>0</v>
      </c>
      <c r="H47" s="2">
        <v>0</v>
      </c>
      <c r="I47" s="2">
        <v>0</v>
      </c>
      <c r="J47" s="2">
        <v>0</v>
      </c>
      <c r="K47" s="2">
        <v>1393</v>
      </c>
      <c r="L47" s="2">
        <v>0</v>
      </c>
      <c r="M47" s="2">
        <v>1</v>
      </c>
      <c r="N47" s="2">
        <v>4</v>
      </c>
      <c r="O47" s="2">
        <v>0</v>
      </c>
      <c r="P47" s="2">
        <v>0</v>
      </c>
      <c r="Q47" s="2">
        <v>0</v>
      </c>
      <c r="R47" s="2">
        <v>0</v>
      </c>
      <c r="S47" s="2">
        <v>0</v>
      </c>
      <c r="T47" s="2">
        <v>4</v>
      </c>
      <c r="U47" s="2">
        <v>0</v>
      </c>
      <c r="V47" s="2">
        <v>0</v>
      </c>
      <c r="W47" s="2">
        <v>35</v>
      </c>
      <c r="X47" s="2">
        <v>0</v>
      </c>
      <c r="Y47" s="2">
        <v>0</v>
      </c>
      <c r="Z47" s="2">
        <v>1</v>
      </c>
      <c r="AA47" s="2">
        <v>2</v>
      </c>
      <c r="AB47" s="2">
        <v>3</v>
      </c>
      <c r="AC47" s="2">
        <v>1</v>
      </c>
      <c r="AD47" s="2">
        <v>0</v>
      </c>
      <c r="AE47" s="2">
        <v>0</v>
      </c>
      <c r="AF47" s="2">
        <v>1</v>
      </c>
    </row>
    <row r="48" spans="1:32" x14ac:dyDescent="0.25">
      <c r="A48">
        <v>47</v>
      </c>
      <c r="B48" s="2">
        <v>3</v>
      </c>
      <c r="C48" s="2">
        <v>36</v>
      </c>
      <c r="D48" s="2">
        <v>2</v>
      </c>
      <c r="E48" s="2">
        <v>0</v>
      </c>
      <c r="F48" s="2">
        <v>0</v>
      </c>
      <c r="G48" s="2">
        <v>0</v>
      </c>
      <c r="H48" s="2">
        <v>1</v>
      </c>
      <c r="I48" s="2">
        <v>0</v>
      </c>
      <c r="J48" s="2">
        <v>0</v>
      </c>
      <c r="K48" s="2">
        <v>2299</v>
      </c>
      <c r="L48" s="2">
        <v>2</v>
      </c>
      <c r="M48" s="2">
        <v>4</v>
      </c>
      <c r="N48" s="2">
        <v>4</v>
      </c>
      <c r="O48" s="2">
        <v>0</v>
      </c>
      <c r="P48" s="2">
        <v>1</v>
      </c>
      <c r="Q48" s="2">
        <v>0</v>
      </c>
      <c r="R48" s="2">
        <v>0</v>
      </c>
      <c r="S48" s="2">
        <v>0</v>
      </c>
      <c r="T48" s="2">
        <v>4</v>
      </c>
      <c r="U48" s="2">
        <v>0</v>
      </c>
      <c r="V48" s="2">
        <v>0</v>
      </c>
      <c r="W48" s="2">
        <v>39</v>
      </c>
      <c r="X48" s="2">
        <v>0</v>
      </c>
      <c r="Y48" s="2">
        <v>0</v>
      </c>
      <c r="Z48" s="2">
        <v>1</v>
      </c>
      <c r="AA48" s="2">
        <v>1</v>
      </c>
      <c r="AB48" s="2">
        <v>2</v>
      </c>
      <c r="AC48" s="2">
        <v>1</v>
      </c>
      <c r="AD48" s="2">
        <v>0</v>
      </c>
      <c r="AE48" s="2">
        <v>0</v>
      </c>
      <c r="AF48" s="2">
        <v>1</v>
      </c>
    </row>
    <row r="49" spans="1:32" x14ac:dyDescent="0.25">
      <c r="A49">
        <v>48</v>
      </c>
      <c r="B49" s="2">
        <v>0</v>
      </c>
      <c r="C49" s="2">
        <v>6</v>
      </c>
      <c r="D49" s="2">
        <v>2</v>
      </c>
      <c r="E49" s="2">
        <v>0</v>
      </c>
      <c r="F49" s="2">
        <v>1</v>
      </c>
      <c r="G49" s="2">
        <v>0</v>
      </c>
      <c r="H49" s="2">
        <v>0</v>
      </c>
      <c r="I49" s="2">
        <v>0</v>
      </c>
      <c r="J49" s="2">
        <v>0</v>
      </c>
      <c r="K49" s="2">
        <v>1352</v>
      </c>
      <c r="L49" s="2">
        <v>2</v>
      </c>
      <c r="M49" s="2">
        <v>0</v>
      </c>
      <c r="N49" s="2">
        <v>1</v>
      </c>
      <c r="O49" s="2">
        <v>0</v>
      </c>
      <c r="P49" s="2">
        <v>0</v>
      </c>
      <c r="Q49" s="2">
        <v>0</v>
      </c>
      <c r="R49" s="2">
        <v>0</v>
      </c>
      <c r="S49" s="2">
        <v>0</v>
      </c>
      <c r="T49" s="2">
        <v>2</v>
      </c>
      <c r="U49" s="2">
        <v>0</v>
      </c>
      <c r="V49" s="2">
        <v>0</v>
      </c>
      <c r="W49" s="2">
        <v>23</v>
      </c>
      <c r="X49" s="2">
        <v>0</v>
      </c>
      <c r="Y49" s="2">
        <v>1</v>
      </c>
      <c r="Z49" s="2">
        <v>0</v>
      </c>
      <c r="AA49" s="2">
        <v>1</v>
      </c>
      <c r="AB49" s="2">
        <v>0</v>
      </c>
      <c r="AC49" s="2">
        <v>1</v>
      </c>
      <c r="AD49" s="2">
        <v>1</v>
      </c>
      <c r="AE49" s="2">
        <v>0</v>
      </c>
      <c r="AF49" s="2">
        <v>1</v>
      </c>
    </row>
    <row r="50" spans="1:32" x14ac:dyDescent="0.25">
      <c r="A50">
        <v>49</v>
      </c>
      <c r="B50" s="2">
        <v>3</v>
      </c>
      <c r="C50" s="2">
        <v>11</v>
      </c>
      <c r="D50" s="2">
        <v>4</v>
      </c>
      <c r="E50" s="2">
        <v>1</v>
      </c>
      <c r="F50" s="2">
        <v>0</v>
      </c>
      <c r="G50" s="2">
        <v>0</v>
      </c>
      <c r="H50" s="2">
        <v>0</v>
      </c>
      <c r="I50" s="2">
        <v>0</v>
      </c>
      <c r="J50" s="2">
        <v>0</v>
      </c>
      <c r="K50" s="2">
        <v>7228</v>
      </c>
      <c r="L50" s="2">
        <v>0</v>
      </c>
      <c r="M50" s="2">
        <v>2</v>
      </c>
      <c r="N50" s="2">
        <v>1</v>
      </c>
      <c r="O50" s="2">
        <v>0</v>
      </c>
      <c r="P50" s="2">
        <v>1</v>
      </c>
      <c r="Q50" s="2">
        <v>0</v>
      </c>
      <c r="R50" s="2">
        <v>0</v>
      </c>
      <c r="S50" s="2">
        <v>0</v>
      </c>
      <c r="T50" s="2">
        <v>4</v>
      </c>
      <c r="U50" s="2">
        <v>0</v>
      </c>
      <c r="V50" s="2">
        <v>0</v>
      </c>
      <c r="W50" s="2">
        <v>39</v>
      </c>
      <c r="X50" s="2">
        <v>0</v>
      </c>
      <c r="Y50" s="2">
        <v>0</v>
      </c>
      <c r="Z50" s="2">
        <v>1</v>
      </c>
      <c r="AA50" s="2">
        <v>2</v>
      </c>
      <c r="AB50" s="2">
        <v>1</v>
      </c>
      <c r="AC50" s="2">
        <v>1</v>
      </c>
      <c r="AD50" s="2">
        <v>0</v>
      </c>
      <c r="AE50" s="2">
        <v>0</v>
      </c>
      <c r="AF50" s="2">
        <v>1</v>
      </c>
    </row>
    <row r="51" spans="1:32" x14ac:dyDescent="0.25">
      <c r="A51">
        <v>50</v>
      </c>
      <c r="B51" s="2">
        <v>3</v>
      </c>
      <c r="C51" s="2">
        <v>12</v>
      </c>
      <c r="D51" s="2">
        <v>2</v>
      </c>
      <c r="E51" s="2">
        <v>0</v>
      </c>
      <c r="F51" s="2">
        <v>0</v>
      </c>
      <c r="G51" s="2">
        <v>0</v>
      </c>
      <c r="H51" s="2">
        <v>1</v>
      </c>
      <c r="I51" s="2">
        <v>0</v>
      </c>
      <c r="J51" s="2">
        <v>0</v>
      </c>
      <c r="K51" s="2">
        <v>2073</v>
      </c>
      <c r="L51" s="2">
        <v>1</v>
      </c>
      <c r="M51" s="2">
        <v>2</v>
      </c>
      <c r="N51" s="2">
        <v>4</v>
      </c>
      <c r="O51" s="2">
        <v>0</v>
      </c>
      <c r="P51" s="2">
        <v>0</v>
      </c>
      <c r="Q51" s="2">
        <v>0</v>
      </c>
      <c r="R51" s="2">
        <v>1</v>
      </c>
      <c r="S51" s="2">
        <v>0</v>
      </c>
      <c r="T51" s="2">
        <v>2</v>
      </c>
      <c r="U51" s="2">
        <v>1</v>
      </c>
      <c r="V51" s="2">
        <v>0</v>
      </c>
      <c r="W51" s="2">
        <v>28</v>
      </c>
      <c r="X51" s="2">
        <v>0</v>
      </c>
      <c r="Y51" s="2">
        <v>0</v>
      </c>
      <c r="Z51" s="2">
        <v>1</v>
      </c>
      <c r="AA51" s="2">
        <v>1</v>
      </c>
      <c r="AB51" s="2">
        <v>2</v>
      </c>
      <c r="AC51" s="2">
        <v>1</v>
      </c>
      <c r="AD51" s="2">
        <v>0</v>
      </c>
      <c r="AE51" s="2">
        <v>0</v>
      </c>
      <c r="AF51" s="2">
        <v>1</v>
      </c>
    </row>
    <row r="52" spans="1:32" x14ac:dyDescent="0.25">
      <c r="A52">
        <v>51</v>
      </c>
      <c r="B52" s="2">
        <v>1</v>
      </c>
      <c r="C52" s="2">
        <v>24</v>
      </c>
      <c r="D52" s="2">
        <v>3</v>
      </c>
      <c r="E52" s="2">
        <v>0</v>
      </c>
      <c r="F52" s="2">
        <v>0</v>
      </c>
      <c r="G52" s="2">
        <v>1</v>
      </c>
      <c r="H52" s="2">
        <v>0</v>
      </c>
      <c r="I52" s="2">
        <v>0</v>
      </c>
      <c r="J52" s="2">
        <v>0</v>
      </c>
      <c r="K52" s="2">
        <v>2333</v>
      </c>
      <c r="L52" s="2">
        <v>4</v>
      </c>
      <c r="M52" s="2">
        <v>1</v>
      </c>
      <c r="N52" s="2">
        <v>4</v>
      </c>
      <c r="O52" s="2">
        <v>0</v>
      </c>
      <c r="P52" s="2">
        <v>1</v>
      </c>
      <c r="Q52" s="2">
        <v>0</v>
      </c>
      <c r="R52" s="2">
        <v>0</v>
      </c>
      <c r="S52" s="2">
        <v>0</v>
      </c>
      <c r="T52" s="2">
        <v>2</v>
      </c>
      <c r="U52" s="2">
        <v>0</v>
      </c>
      <c r="V52" s="2">
        <v>0</v>
      </c>
      <c r="W52" s="2">
        <v>29</v>
      </c>
      <c r="X52" s="2">
        <v>1</v>
      </c>
      <c r="Y52" s="2">
        <v>0</v>
      </c>
      <c r="Z52" s="2">
        <v>1</v>
      </c>
      <c r="AA52" s="2">
        <v>1</v>
      </c>
      <c r="AB52" s="2">
        <v>1</v>
      </c>
      <c r="AC52" s="2">
        <v>1</v>
      </c>
      <c r="AD52" s="2">
        <v>0</v>
      </c>
      <c r="AE52" s="2">
        <v>0</v>
      </c>
      <c r="AF52" s="2">
        <v>1</v>
      </c>
    </row>
    <row r="53" spans="1:32" x14ac:dyDescent="0.25">
      <c r="A53">
        <v>52</v>
      </c>
      <c r="B53" s="2">
        <v>1</v>
      </c>
      <c r="C53" s="2">
        <v>27</v>
      </c>
      <c r="D53" s="2">
        <v>3</v>
      </c>
      <c r="E53" s="2">
        <v>0</v>
      </c>
      <c r="F53" s="2">
        <v>1</v>
      </c>
      <c r="G53" s="2">
        <v>0</v>
      </c>
      <c r="H53" s="2">
        <v>0</v>
      </c>
      <c r="I53" s="2">
        <v>0</v>
      </c>
      <c r="J53" s="2">
        <v>0</v>
      </c>
      <c r="K53" s="2">
        <v>5965</v>
      </c>
      <c r="L53" s="2">
        <v>0</v>
      </c>
      <c r="M53" s="2">
        <v>4</v>
      </c>
      <c r="N53" s="2">
        <v>1</v>
      </c>
      <c r="O53" s="2">
        <v>0</v>
      </c>
      <c r="P53" s="2">
        <v>1</v>
      </c>
      <c r="Q53" s="2">
        <v>0</v>
      </c>
      <c r="R53" s="2">
        <v>0</v>
      </c>
      <c r="S53" s="2">
        <v>0</v>
      </c>
      <c r="T53" s="2">
        <v>2</v>
      </c>
      <c r="U53" s="2">
        <v>0</v>
      </c>
      <c r="V53" s="2">
        <v>0</v>
      </c>
      <c r="W53" s="2">
        <v>30</v>
      </c>
      <c r="X53" s="2">
        <v>0</v>
      </c>
      <c r="Y53" s="2">
        <v>0</v>
      </c>
      <c r="Z53" s="2">
        <v>1</v>
      </c>
      <c r="AA53" s="2">
        <v>2</v>
      </c>
      <c r="AB53" s="2">
        <v>3</v>
      </c>
      <c r="AC53" s="2">
        <v>1</v>
      </c>
      <c r="AD53" s="2">
        <v>1</v>
      </c>
      <c r="AE53" s="2">
        <v>0</v>
      </c>
      <c r="AF53" s="2">
        <v>1</v>
      </c>
    </row>
    <row r="54" spans="1:32" x14ac:dyDescent="0.25">
      <c r="A54">
        <v>53</v>
      </c>
      <c r="B54" s="2">
        <v>3</v>
      </c>
      <c r="C54" s="2">
        <v>12</v>
      </c>
      <c r="D54" s="2">
        <v>2</v>
      </c>
      <c r="E54" s="2">
        <v>0</v>
      </c>
      <c r="F54" s="2">
        <v>0</v>
      </c>
      <c r="G54" s="2">
        <v>0</v>
      </c>
      <c r="H54" s="2">
        <v>1</v>
      </c>
      <c r="I54" s="2">
        <v>0</v>
      </c>
      <c r="J54" s="2">
        <v>0</v>
      </c>
      <c r="K54" s="2">
        <v>1262</v>
      </c>
      <c r="L54" s="2">
        <v>0</v>
      </c>
      <c r="M54" s="2">
        <v>2</v>
      </c>
      <c r="N54" s="2">
        <v>3</v>
      </c>
      <c r="O54" s="2">
        <v>0</v>
      </c>
      <c r="P54" s="2">
        <v>1</v>
      </c>
      <c r="Q54" s="2">
        <v>0</v>
      </c>
      <c r="R54" s="2">
        <v>0</v>
      </c>
      <c r="S54" s="2">
        <v>0</v>
      </c>
      <c r="T54" s="2">
        <v>2</v>
      </c>
      <c r="U54" s="2">
        <v>0</v>
      </c>
      <c r="V54" s="2">
        <v>0</v>
      </c>
      <c r="W54" s="2">
        <v>25</v>
      </c>
      <c r="X54" s="2">
        <v>0</v>
      </c>
      <c r="Y54" s="2">
        <v>0</v>
      </c>
      <c r="Z54" s="2">
        <v>1</v>
      </c>
      <c r="AA54" s="2">
        <v>1</v>
      </c>
      <c r="AB54" s="2">
        <v>2</v>
      </c>
      <c r="AC54" s="2">
        <v>1</v>
      </c>
      <c r="AD54" s="2">
        <v>0</v>
      </c>
      <c r="AE54" s="2">
        <v>0</v>
      </c>
      <c r="AF54" s="2">
        <v>1</v>
      </c>
    </row>
    <row r="55" spans="1:32" x14ac:dyDescent="0.25">
      <c r="A55">
        <v>54</v>
      </c>
      <c r="B55" s="2">
        <v>3</v>
      </c>
      <c r="C55" s="2">
        <v>18</v>
      </c>
      <c r="D55" s="2">
        <v>2</v>
      </c>
      <c r="E55" s="2">
        <v>0</v>
      </c>
      <c r="F55" s="2">
        <v>1</v>
      </c>
      <c r="G55" s="2">
        <v>0</v>
      </c>
      <c r="H55" s="2">
        <v>0</v>
      </c>
      <c r="I55" s="2">
        <v>0</v>
      </c>
      <c r="J55" s="2">
        <v>0</v>
      </c>
      <c r="K55" s="2">
        <v>3378</v>
      </c>
      <c r="L55" s="2">
        <v>4</v>
      </c>
      <c r="M55" s="2">
        <v>2</v>
      </c>
      <c r="N55" s="2">
        <v>2</v>
      </c>
      <c r="O55" s="2">
        <v>0</v>
      </c>
      <c r="P55" s="2">
        <v>1</v>
      </c>
      <c r="Q55" s="2">
        <v>0</v>
      </c>
      <c r="R55" s="2">
        <v>0</v>
      </c>
      <c r="S55" s="2">
        <v>0</v>
      </c>
      <c r="T55" s="2">
        <v>1</v>
      </c>
      <c r="U55" s="2">
        <v>0</v>
      </c>
      <c r="V55" s="2">
        <v>0</v>
      </c>
      <c r="W55" s="2">
        <v>31</v>
      </c>
      <c r="X55" s="2">
        <v>0</v>
      </c>
      <c r="Y55" s="2">
        <v>0</v>
      </c>
      <c r="Z55" s="2">
        <v>1</v>
      </c>
      <c r="AA55" s="2">
        <v>1</v>
      </c>
      <c r="AB55" s="2">
        <v>2</v>
      </c>
      <c r="AC55" s="2">
        <v>1</v>
      </c>
      <c r="AD55" s="2">
        <v>1</v>
      </c>
      <c r="AE55" s="2">
        <v>0</v>
      </c>
      <c r="AF55" s="2">
        <v>1</v>
      </c>
    </row>
    <row r="56" spans="1:32" x14ac:dyDescent="0.25">
      <c r="A56">
        <v>55</v>
      </c>
      <c r="B56" s="2">
        <v>1</v>
      </c>
      <c r="C56" s="2">
        <v>36</v>
      </c>
      <c r="D56" s="2">
        <v>3</v>
      </c>
      <c r="E56" s="2">
        <v>1</v>
      </c>
      <c r="F56" s="2">
        <v>0</v>
      </c>
      <c r="G56" s="2">
        <v>0</v>
      </c>
      <c r="H56" s="2">
        <v>0</v>
      </c>
      <c r="I56" s="2">
        <v>0</v>
      </c>
      <c r="J56" s="2">
        <v>0</v>
      </c>
      <c r="K56" s="2">
        <v>2225</v>
      </c>
      <c r="L56" s="2">
        <v>0</v>
      </c>
      <c r="M56" s="2">
        <v>4</v>
      </c>
      <c r="N56" s="2">
        <v>4</v>
      </c>
      <c r="O56" s="2">
        <v>0</v>
      </c>
      <c r="P56" s="2">
        <v>1</v>
      </c>
      <c r="Q56" s="2">
        <v>0</v>
      </c>
      <c r="R56" s="2">
        <v>0</v>
      </c>
      <c r="S56" s="2">
        <v>0</v>
      </c>
      <c r="T56" s="2">
        <v>4</v>
      </c>
      <c r="U56" s="2">
        <v>0</v>
      </c>
      <c r="V56" s="2">
        <v>1</v>
      </c>
      <c r="W56" s="2">
        <v>57</v>
      </c>
      <c r="X56" s="2">
        <v>1</v>
      </c>
      <c r="Y56" s="2">
        <v>0</v>
      </c>
      <c r="Z56" s="2">
        <v>0</v>
      </c>
      <c r="AA56" s="2">
        <v>2</v>
      </c>
      <c r="AB56" s="2">
        <v>2</v>
      </c>
      <c r="AC56" s="2">
        <v>1</v>
      </c>
      <c r="AD56" s="2">
        <v>1</v>
      </c>
      <c r="AE56" s="2">
        <v>0</v>
      </c>
      <c r="AF56" s="2">
        <v>0</v>
      </c>
    </row>
    <row r="57" spans="1:32" x14ac:dyDescent="0.25">
      <c r="A57">
        <v>56</v>
      </c>
      <c r="B57" s="2">
        <v>3</v>
      </c>
      <c r="C57" s="2">
        <v>6</v>
      </c>
      <c r="D57" s="2">
        <v>1</v>
      </c>
      <c r="E57" s="2">
        <v>1</v>
      </c>
      <c r="F57" s="2">
        <v>0</v>
      </c>
      <c r="G57" s="2">
        <v>0</v>
      </c>
      <c r="H57" s="2">
        <v>0</v>
      </c>
      <c r="I57" s="2">
        <v>0</v>
      </c>
      <c r="J57" s="2">
        <v>0</v>
      </c>
      <c r="K57" s="2">
        <v>783</v>
      </c>
      <c r="L57" s="2">
        <v>4</v>
      </c>
      <c r="M57" s="2">
        <v>2</v>
      </c>
      <c r="N57" s="2">
        <v>1</v>
      </c>
      <c r="O57" s="2">
        <v>0</v>
      </c>
      <c r="P57" s="2">
        <v>1</v>
      </c>
      <c r="Q57" s="2">
        <v>0</v>
      </c>
      <c r="R57" s="2">
        <v>0</v>
      </c>
      <c r="S57" s="2">
        <v>1</v>
      </c>
      <c r="T57" s="2">
        <v>2</v>
      </c>
      <c r="U57" s="2">
        <v>1</v>
      </c>
      <c r="V57" s="2">
        <v>0</v>
      </c>
      <c r="W57" s="2">
        <v>26</v>
      </c>
      <c r="X57" s="2">
        <v>1</v>
      </c>
      <c r="Y57" s="2">
        <v>0</v>
      </c>
      <c r="Z57" s="2">
        <v>1</v>
      </c>
      <c r="AA57" s="2">
        <v>1</v>
      </c>
      <c r="AB57" s="2">
        <v>1</v>
      </c>
      <c r="AC57" s="2">
        <v>2</v>
      </c>
      <c r="AD57" s="2">
        <v>0</v>
      </c>
      <c r="AE57" s="2">
        <v>0</v>
      </c>
      <c r="AF57" s="2">
        <v>1</v>
      </c>
    </row>
    <row r="58" spans="1:32" x14ac:dyDescent="0.25">
      <c r="A58">
        <v>57</v>
      </c>
      <c r="B58" s="2">
        <v>1</v>
      </c>
      <c r="C58" s="2">
        <v>12</v>
      </c>
      <c r="D58" s="2">
        <v>2</v>
      </c>
      <c r="E58" s="2">
        <v>0</v>
      </c>
      <c r="F58" s="2">
        <v>0</v>
      </c>
      <c r="G58" s="2">
        <v>0</v>
      </c>
      <c r="H58" s="2">
        <v>1</v>
      </c>
      <c r="I58" s="2">
        <v>0</v>
      </c>
      <c r="J58" s="2">
        <v>0</v>
      </c>
      <c r="K58" s="2">
        <v>6468</v>
      </c>
      <c r="L58" s="2">
        <v>4</v>
      </c>
      <c r="M58" s="2">
        <v>0</v>
      </c>
      <c r="N58" s="2">
        <v>2</v>
      </c>
      <c r="O58" s="2">
        <v>0</v>
      </c>
      <c r="P58" s="2">
        <v>1</v>
      </c>
      <c r="Q58" s="2">
        <v>0</v>
      </c>
      <c r="R58" s="2">
        <v>0</v>
      </c>
      <c r="S58" s="2">
        <v>0</v>
      </c>
      <c r="T58" s="2">
        <v>1</v>
      </c>
      <c r="U58" s="2">
        <v>0</v>
      </c>
      <c r="V58" s="2">
        <v>1</v>
      </c>
      <c r="W58" s="2">
        <v>52</v>
      </c>
      <c r="X58" s="2">
        <v>0</v>
      </c>
      <c r="Y58" s="2">
        <v>0</v>
      </c>
      <c r="Z58" s="2">
        <v>1</v>
      </c>
      <c r="AA58" s="2">
        <v>1</v>
      </c>
      <c r="AB58" s="2">
        <v>3</v>
      </c>
      <c r="AC58" s="2">
        <v>1</v>
      </c>
      <c r="AD58" s="2">
        <v>1</v>
      </c>
      <c r="AE58" s="2">
        <v>0</v>
      </c>
      <c r="AF58" s="2">
        <v>0</v>
      </c>
    </row>
    <row r="59" spans="1:32" x14ac:dyDescent="0.25">
      <c r="A59">
        <v>58</v>
      </c>
      <c r="B59" s="2">
        <v>3</v>
      </c>
      <c r="C59" s="2">
        <v>36</v>
      </c>
      <c r="D59" s="2">
        <v>4</v>
      </c>
      <c r="E59" s="2">
        <v>0</v>
      </c>
      <c r="F59" s="2">
        <v>0</v>
      </c>
      <c r="G59" s="2">
        <v>0</v>
      </c>
      <c r="H59" s="2">
        <v>1</v>
      </c>
      <c r="I59" s="2">
        <v>0</v>
      </c>
      <c r="J59" s="2">
        <v>0</v>
      </c>
      <c r="K59" s="2">
        <v>9566</v>
      </c>
      <c r="L59" s="2">
        <v>0</v>
      </c>
      <c r="M59" s="2">
        <v>2</v>
      </c>
      <c r="N59" s="2">
        <v>2</v>
      </c>
      <c r="O59" s="2">
        <v>0</v>
      </c>
      <c r="P59" s="2">
        <v>0</v>
      </c>
      <c r="Q59" s="2">
        <v>0</v>
      </c>
      <c r="R59" s="2">
        <v>0</v>
      </c>
      <c r="S59" s="2">
        <v>0</v>
      </c>
      <c r="T59" s="2">
        <v>2</v>
      </c>
      <c r="U59" s="2">
        <v>0</v>
      </c>
      <c r="V59" s="2">
        <v>0</v>
      </c>
      <c r="W59" s="2">
        <v>31</v>
      </c>
      <c r="X59" s="2">
        <v>1</v>
      </c>
      <c r="Y59" s="2">
        <v>0</v>
      </c>
      <c r="Z59" s="2">
        <v>1</v>
      </c>
      <c r="AA59" s="2">
        <v>2</v>
      </c>
      <c r="AB59" s="2">
        <v>2</v>
      </c>
      <c r="AC59" s="2">
        <v>1</v>
      </c>
      <c r="AD59" s="2">
        <v>0</v>
      </c>
      <c r="AE59" s="2">
        <v>0</v>
      </c>
      <c r="AF59" s="2">
        <v>1</v>
      </c>
    </row>
    <row r="60" spans="1:32" x14ac:dyDescent="0.25">
      <c r="A60">
        <v>59</v>
      </c>
      <c r="B60" s="2">
        <v>2</v>
      </c>
      <c r="C60" s="2">
        <v>18</v>
      </c>
      <c r="D60" s="2">
        <v>2</v>
      </c>
      <c r="E60" s="2">
        <v>1</v>
      </c>
      <c r="F60" s="2">
        <v>0</v>
      </c>
      <c r="G60" s="2">
        <v>0</v>
      </c>
      <c r="H60" s="2">
        <v>0</v>
      </c>
      <c r="I60" s="2">
        <v>0</v>
      </c>
      <c r="J60" s="2">
        <v>0</v>
      </c>
      <c r="K60" s="2">
        <v>1961</v>
      </c>
      <c r="L60" s="2">
        <v>0</v>
      </c>
      <c r="M60" s="2">
        <v>4</v>
      </c>
      <c r="N60" s="2">
        <v>3</v>
      </c>
      <c r="O60" s="2">
        <v>0</v>
      </c>
      <c r="P60" s="2">
        <v>0</v>
      </c>
      <c r="Q60" s="2">
        <v>0</v>
      </c>
      <c r="R60" s="2">
        <v>0</v>
      </c>
      <c r="S60" s="2">
        <v>0</v>
      </c>
      <c r="T60" s="2">
        <v>2</v>
      </c>
      <c r="U60" s="2">
        <v>0</v>
      </c>
      <c r="V60" s="2">
        <v>0</v>
      </c>
      <c r="W60" s="2">
        <v>23</v>
      </c>
      <c r="X60" s="2">
        <v>0</v>
      </c>
      <c r="Y60" s="2">
        <v>0</v>
      </c>
      <c r="Z60" s="2">
        <v>1</v>
      </c>
      <c r="AA60" s="2">
        <v>1</v>
      </c>
      <c r="AB60" s="2">
        <v>3</v>
      </c>
      <c r="AC60" s="2">
        <v>1</v>
      </c>
      <c r="AD60" s="2">
        <v>0</v>
      </c>
      <c r="AE60" s="2">
        <v>0</v>
      </c>
      <c r="AF60" s="2">
        <v>1</v>
      </c>
    </row>
    <row r="61" spans="1:32" x14ac:dyDescent="0.25">
      <c r="A61">
        <v>60</v>
      </c>
      <c r="B61" s="2">
        <v>0</v>
      </c>
      <c r="C61" s="2">
        <v>36</v>
      </c>
      <c r="D61" s="2">
        <v>4</v>
      </c>
      <c r="E61" s="2">
        <v>0</v>
      </c>
      <c r="F61" s="2">
        <v>0</v>
      </c>
      <c r="G61" s="2">
        <v>1</v>
      </c>
      <c r="H61" s="2">
        <v>0</v>
      </c>
      <c r="I61" s="2">
        <v>0</v>
      </c>
      <c r="J61" s="2">
        <v>0</v>
      </c>
      <c r="K61" s="2">
        <v>6229</v>
      </c>
      <c r="L61" s="2">
        <v>0</v>
      </c>
      <c r="M61" s="2">
        <v>1</v>
      </c>
      <c r="N61" s="2">
        <v>4</v>
      </c>
      <c r="O61" s="2">
        <v>0</v>
      </c>
      <c r="P61" s="2">
        <v>0</v>
      </c>
      <c r="Q61" s="2">
        <v>0</v>
      </c>
      <c r="R61" s="2">
        <v>1</v>
      </c>
      <c r="S61" s="2">
        <v>0</v>
      </c>
      <c r="T61" s="2">
        <v>4</v>
      </c>
      <c r="U61" s="2">
        <v>0</v>
      </c>
      <c r="V61" s="2">
        <v>1</v>
      </c>
      <c r="W61" s="2">
        <v>23</v>
      </c>
      <c r="X61" s="2">
        <v>0</v>
      </c>
      <c r="Y61" s="2">
        <v>1</v>
      </c>
      <c r="Z61" s="2">
        <v>0</v>
      </c>
      <c r="AA61" s="2">
        <v>2</v>
      </c>
      <c r="AB61" s="2">
        <v>1</v>
      </c>
      <c r="AC61" s="2">
        <v>1</v>
      </c>
      <c r="AD61" s="2">
        <v>1</v>
      </c>
      <c r="AE61" s="2">
        <v>0</v>
      </c>
      <c r="AF61" s="2">
        <v>0</v>
      </c>
    </row>
    <row r="62" spans="1:32" x14ac:dyDescent="0.25">
      <c r="A62">
        <v>61</v>
      </c>
      <c r="B62" s="2">
        <v>1</v>
      </c>
      <c r="C62" s="2">
        <v>9</v>
      </c>
      <c r="D62" s="2">
        <v>2</v>
      </c>
      <c r="E62" s="2">
        <v>0</v>
      </c>
      <c r="F62" s="2">
        <v>0</v>
      </c>
      <c r="G62" s="2">
        <v>0</v>
      </c>
      <c r="H62" s="2">
        <v>0</v>
      </c>
      <c r="I62" s="2">
        <v>0</v>
      </c>
      <c r="J62" s="2">
        <v>1</v>
      </c>
      <c r="K62" s="2">
        <v>1391</v>
      </c>
      <c r="L62" s="2">
        <v>0</v>
      </c>
      <c r="M62" s="2">
        <v>2</v>
      </c>
      <c r="N62" s="2">
        <v>2</v>
      </c>
      <c r="O62" s="2">
        <v>0</v>
      </c>
      <c r="P62" s="2">
        <v>0</v>
      </c>
      <c r="Q62" s="2">
        <v>1</v>
      </c>
      <c r="R62" s="2">
        <v>0</v>
      </c>
      <c r="S62" s="2">
        <v>0</v>
      </c>
      <c r="T62" s="2">
        <v>1</v>
      </c>
      <c r="U62" s="2">
        <v>1</v>
      </c>
      <c r="V62" s="2">
        <v>0</v>
      </c>
      <c r="W62" s="2">
        <v>27</v>
      </c>
      <c r="X62" s="2">
        <v>1</v>
      </c>
      <c r="Y62" s="2">
        <v>0</v>
      </c>
      <c r="Z62" s="2">
        <v>1</v>
      </c>
      <c r="AA62" s="2">
        <v>1</v>
      </c>
      <c r="AB62" s="2">
        <v>2</v>
      </c>
      <c r="AC62" s="2">
        <v>1</v>
      </c>
      <c r="AD62" s="2">
        <v>1</v>
      </c>
      <c r="AE62" s="2">
        <v>0</v>
      </c>
      <c r="AF62" s="2">
        <v>1</v>
      </c>
    </row>
    <row r="63" spans="1:32" x14ac:dyDescent="0.25">
      <c r="A63">
        <v>62</v>
      </c>
      <c r="B63" s="2">
        <v>1</v>
      </c>
      <c r="C63" s="2">
        <v>15</v>
      </c>
      <c r="D63" s="2">
        <v>4</v>
      </c>
      <c r="E63" s="2">
        <v>0</v>
      </c>
      <c r="F63" s="2">
        <v>0</v>
      </c>
      <c r="G63" s="2">
        <v>0</v>
      </c>
      <c r="H63" s="2">
        <v>1</v>
      </c>
      <c r="I63" s="2">
        <v>0</v>
      </c>
      <c r="J63" s="2">
        <v>0</v>
      </c>
      <c r="K63" s="2">
        <v>1537</v>
      </c>
      <c r="L63" s="2">
        <v>4</v>
      </c>
      <c r="M63" s="2">
        <v>4</v>
      </c>
      <c r="N63" s="2">
        <v>4</v>
      </c>
      <c r="O63" s="2">
        <v>0</v>
      </c>
      <c r="P63" s="2">
        <v>1</v>
      </c>
      <c r="Q63" s="2">
        <v>0</v>
      </c>
      <c r="R63" s="2">
        <v>0</v>
      </c>
      <c r="S63" s="2">
        <v>1</v>
      </c>
      <c r="T63" s="2">
        <v>4</v>
      </c>
      <c r="U63" s="2">
        <v>1</v>
      </c>
      <c r="V63" s="2">
        <v>0</v>
      </c>
      <c r="W63" s="2">
        <v>50</v>
      </c>
      <c r="X63" s="2">
        <v>0</v>
      </c>
      <c r="Y63" s="2">
        <v>0</v>
      </c>
      <c r="Z63" s="2">
        <v>1</v>
      </c>
      <c r="AA63" s="2">
        <v>2</v>
      </c>
      <c r="AB63" s="2">
        <v>2</v>
      </c>
      <c r="AC63" s="2">
        <v>1</v>
      </c>
      <c r="AD63" s="2">
        <v>1</v>
      </c>
      <c r="AE63" s="2">
        <v>0</v>
      </c>
      <c r="AF63" s="2">
        <v>1</v>
      </c>
    </row>
    <row r="64" spans="1:32" x14ac:dyDescent="0.25">
      <c r="A64">
        <v>63</v>
      </c>
      <c r="B64" s="2">
        <v>1</v>
      </c>
      <c r="C64" s="2">
        <v>36</v>
      </c>
      <c r="D64" s="2">
        <v>0</v>
      </c>
      <c r="E64" s="2">
        <v>0</v>
      </c>
      <c r="F64" s="2">
        <v>0</v>
      </c>
      <c r="G64" s="2">
        <v>0</v>
      </c>
      <c r="H64" s="2">
        <v>0</v>
      </c>
      <c r="I64" s="2">
        <v>0</v>
      </c>
      <c r="J64" s="2">
        <v>1</v>
      </c>
      <c r="K64" s="2">
        <v>1953</v>
      </c>
      <c r="L64" s="2">
        <v>0</v>
      </c>
      <c r="M64" s="2">
        <v>4</v>
      </c>
      <c r="N64" s="2">
        <v>4</v>
      </c>
      <c r="O64" s="2">
        <v>0</v>
      </c>
      <c r="P64" s="2">
        <v>1</v>
      </c>
      <c r="Q64" s="2">
        <v>0</v>
      </c>
      <c r="R64" s="2">
        <v>0</v>
      </c>
      <c r="S64" s="2">
        <v>0</v>
      </c>
      <c r="T64" s="2">
        <v>4</v>
      </c>
      <c r="U64" s="2">
        <v>0</v>
      </c>
      <c r="V64" s="2">
        <v>1</v>
      </c>
      <c r="W64" s="2">
        <v>61</v>
      </c>
      <c r="X64" s="2">
        <v>0</v>
      </c>
      <c r="Y64" s="2">
        <v>0</v>
      </c>
      <c r="Z64" s="2">
        <v>0</v>
      </c>
      <c r="AA64" s="2">
        <v>1</v>
      </c>
      <c r="AB64" s="2">
        <v>3</v>
      </c>
      <c r="AC64" s="2">
        <v>1</v>
      </c>
      <c r="AD64" s="2">
        <v>1</v>
      </c>
      <c r="AE64" s="2">
        <v>0</v>
      </c>
      <c r="AF64" s="2">
        <v>0</v>
      </c>
    </row>
    <row r="65" spans="1:32" x14ac:dyDescent="0.25">
      <c r="A65">
        <v>64</v>
      </c>
      <c r="B65" s="2">
        <v>1</v>
      </c>
      <c r="C65" s="2">
        <v>48</v>
      </c>
      <c r="D65" s="2">
        <v>0</v>
      </c>
      <c r="E65" s="2">
        <v>0</v>
      </c>
      <c r="F65" s="2">
        <v>0</v>
      </c>
      <c r="G65" s="2">
        <v>0</v>
      </c>
      <c r="H65" s="2">
        <v>0</v>
      </c>
      <c r="I65" s="2">
        <v>0</v>
      </c>
      <c r="J65" s="2">
        <v>1</v>
      </c>
      <c r="K65" s="2">
        <v>14421</v>
      </c>
      <c r="L65" s="2">
        <v>0</v>
      </c>
      <c r="M65" s="2">
        <v>2</v>
      </c>
      <c r="N65" s="2">
        <v>2</v>
      </c>
      <c r="O65" s="2">
        <v>0</v>
      </c>
      <c r="P65" s="2">
        <v>1</v>
      </c>
      <c r="Q65" s="2">
        <v>0</v>
      </c>
      <c r="R65" s="2">
        <v>0</v>
      </c>
      <c r="S65" s="2">
        <v>0</v>
      </c>
      <c r="T65" s="2">
        <v>2</v>
      </c>
      <c r="U65" s="2">
        <v>0</v>
      </c>
      <c r="V65" s="2">
        <v>0</v>
      </c>
      <c r="W65" s="2">
        <v>25</v>
      </c>
      <c r="X65" s="2">
        <v>0</v>
      </c>
      <c r="Y65" s="2">
        <v>0</v>
      </c>
      <c r="Z65" s="2">
        <v>1</v>
      </c>
      <c r="AA65" s="2">
        <v>1</v>
      </c>
      <c r="AB65" s="2">
        <v>2</v>
      </c>
      <c r="AC65" s="2">
        <v>1</v>
      </c>
      <c r="AD65" s="2">
        <v>1</v>
      </c>
      <c r="AE65" s="2">
        <v>0</v>
      </c>
      <c r="AF65" s="2">
        <v>0</v>
      </c>
    </row>
    <row r="66" spans="1:32" x14ac:dyDescent="0.25">
      <c r="A66">
        <v>65</v>
      </c>
      <c r="B66" s="2">
        <v>3</v>
      </c>
      <c r="C66" s="2">
        <v>24</v>
      </c>
      <c r="D66" s="2">
        <v>2</v>
      </c>
      <c r="E66" s="2">
        <v>0</v>
      </c>
      <c r="F66" s="2">
        <v>0</v>
      </c>
      <c r="G66" s="2">
        <v>0</v>
      </c>
      <c r="H66" s="2">
        <v>1</v>
      </c>
      <c r="I66" s="2">
        <v>0</v>
      </c>
      <c r="J66" s="2">
        <v>0</v>
      </c>
      <c r="K66" s="2">
        <v>3181</v>
      </c>
      <c r="L66" s="2">
        <v>0</v>
      </c>
      <c r="M66" s="2">
        <v>1</v>
      </c>
      <c r="N66" s="2">
        <v>4</v>
      </c>
      <c r="O66" s="2">
        <v>0</v>
      </c>
      <c r="P66" s="2">
        <v>0</v>
      </c>
      <c r="Q66" s="2">
        <v>0</v>
      </c>
      <c r="R66" s="2">
        <v>0</v>
      </c>
      <c r="S66" s="2">
        <v>0</v>
      </c>
      <c r="T66" s="2">
        <v>4</v>
      </c>
      <c r="U66" s="2">
        <v>0</v>
      </c>
      <c r="V66" s="2">
        <v>0</v>
      </c>
      <c r="W66" s="2">
        <v>26</v>
      </c>
      <c r="X66" s="2">
        <v>0</v>
      </c>
      <c r="Y66" s="2">
        <v>0</v>
      </c>
      <c r="Z66" s="2">
        <v>1</v>
      </c>
      <c r="AA66" s="2">
        <v>1</v>
      </c>
      <c r="AB66" s="2">
        <v>2</v>
      </c>
      <c r="AC66" s="2">
        <v>1</v>
      </c>
      <c r="AD66" s="2">
        <v>1</v>
      </c>
      <c r="AE66" s="2">
        <v>0</v>
      </c>
      <c r="AF66" s="2">
        <v>1</v>
      </c>
    </row>
    <row r="67" spans="1:32" x14ac:dyDescent="0.25">
      <c r="A67">
        <v>66</v>
      </c>
      <c r="B67" s="2">
        <v>3</v>
      </c>
      <c r="C67" s="2">
        <v>27</v>
      </c>
      <c r="D67" s="2">
        <v>2</v>
      </c>
      <c r="E67" s="2">
        <v>0</v>
      </c>
      <c r="F67" s="2">
        <v>0</v>
      </c>
      <c r="G67" s="2">
        <v>0</v>
      </c>
      <c r="H67" s="2">
        <v>0</v>
      </c>
      <c r="I67" s="2">
        <v>0</v>
      </c>
      <c r="J67" s="2">
        <v>0</v>
      </c>
      <c r="K67" s="2">
        <v>5190</v>
      </c>
      <c r="L67" s="2">
        <v>4</v>
      </c>
      <c r="M67" s="2">
        <v>4</v>
      </c>
      <c r="N67" s="2">
        <v>4</v>
      </c>
      <c r="O67" s="2">
        <v>0</v>
      </c>
      <c r="P67" s="2">
        <v>1</v>
      </c>
      <c r="Q67" s="2">
        <v>0</v>
      </c>
      <c r="R67" s="2">
        <v>0</v>
      </c>
      <c r="S67" s="2">
        <v>0</v>
      </c>
      <c r="T67" s="2">
        <v>4</v>
      </c>
      <c r="U67" s="2">
        <v>0</v>
      </c>
      <c r="V67" s="2">
        <v>0</v>
      </c>
      <c r="W67" s="2">
        <v>48</v>
      </c>
      <c r="X67" s="2">
        <v>0</v>
      </c>
      <c r="Y67" s="2">
        <v>0</v>
      </c>
      <c r="Z67" s="2">
        <v>1</v>
      </c>
      <c r="AA67" s="2">
        <v>4</v>
      </c>
      <c r="AB67" s="2">
        <v>2</v>
      </c>
      <c r="AC67" s="2">
        <v>2</v>
      </c>
      <c r="AD67" s="2">
        <v>1</v>
      </c>
      <c r="AE67" s="2">
        <v>0</v>
      </c>
      <c r="AF67" s="2">
        <v>1</v>
      </c>
    </row>
    <row r="68" spans="1:32" x14ac:dyDescent="0.25">
      <c r="A68">
        <v>67</v>
      </c>
      <c r="B68" s="2">
        <v>3</v>
      </c>
      <c r="C68" s="2">
        <v>12</v>
      </c>
      <c r="D68" s="2">
        <v>2</v>
      </c>
      <c r="E68" s="2">
        <v>0</v>
      </c>
      <c r="F68" s="2">
        <v>0</v>
      </c>
      <c r="G68" s="2">
        <v>0</v>
      </c>
      <c r="H68" s="2">
        <v>1</v>
      </c>
      <c r="I68" s="2">
        <v>0</v>
      </c>
      <c r="J68" s="2">
        <v>0</v>
      </c>
      <c r="K68" s="2">
        <v>2171</v>
      </c>
      <c r="L68" s="2">
        <v>0</v>
      </c>
      <c r="M68" s="2">
        <v>1</v>
      </c>
      <c r="N68" s="2">
        <v>2</v>
      </c>
      <c r="O68" s="2">
        <v>0</v>
      </c>
      <c r="P68" s="2">
        <v>0</v>
      </c>
      <c r="Q68" s="2">
        <v>0</v>
      </c>
      <c r="R68" s="2">
        <v>0</v>
      </c>
      <c r="S68" s="2">
        <v>0</v>
      </c>
      <c r="T68" s="2">
        <v>2</v>
      </c>
      <c r="U68" s="2">
        <v>0</v>
      </c>
      <c r="V68" s="2">
        <v>0</v>
      </c>
      <c r="W68" s="2">
        <v>29</v>
      </c>
      <c r="X68" s="2">
        <v>1</v>
      </c>
      <c r="Y68" s="2">
        <v>0</v>
      </c>
      <c r="Z68" s="2">
        <v>1</v>
      </c>
      <c r="AA68" s="2">
        <v>1</v>
      </c>
      <c r="AB68" s="2">
        <v>2</v>
      </c>
      <c r="AC68" s="2">
        <v>1</v>
      </c>
      <c r="AD68" s="2">
        <v>0</v>
      </c>
      <c r="AE68" s="2">
        <v>0</v>
      </c>
      <c r="AF68" s="2">
        <v>1</v>
      </c>
    </row>
    <row r="69" spans="1:32" x14ac:dyDescent="0.25">
      <c r="A69">
        <v>68</v>
      </c>
      <c r="B69" s="2">
        <v>1</v>
      </c>
      <c r="C69" s="2">
        <v>12</v>
      </c>
      <c r="D69" s="2">
        <v>2</v>
      </c>
      <c r="E69" s="2">
        <v>1</v>
      </c>
      <c r="F69" s="2">
        <v>0</v>
      </c>
      <c r="G69" s="2">
        <v>0</v>
      </c>
      <c r="H69" s="2">
        <v>0</v>
      </c>
      <c r="I69" s="2">
        <v>0</v>
      </c>
      <c r="J69" s="2">
        <v>0</v>
      </c>
      <c r="K69" s="2">
        <v>1007</v>
      </c>
      <c r="L69" s="2">
        <v>3</v>
      </c>
      <c r="M69" s="2">
        <v>2</v>
      </c>
      <c r="N69" s="2">
        <v>4</v>
      </c>
      <c r="O69" s="2">
        <v>0</v>
      </c>
      <c r="P69" s="2">
        <v>0</v>
      </c>
      <c r="Q69" s="2">
        <v>1</v>
      </c>
      <c r="R69" s="2">
        <v>0</v>
      </c>
      <c r="S69" s="2">
        <v>0</v>
      </c>
      <c r="T69" s="2">
        <v>1</v>
      </c>
      <c r="U69" s="2">
        <v>1</v>
      </c>
      <c r="V69" s="2">
        <v>0</v>
      </c>
      <c r="W69" s="2">
        <v>22</v>
      </c>
      <c r="X69" s="2">
        <v>0</v>
      </c>
      <c r="Y69" s="2">
        <v>0</v>
      </c>
      <c r="Z69" s="2">
        <v>1</v>
      </c>
      <c r="AA69" s="2">
        <v>1</v>
      </c>
      <c r="AB69" s="2">
        <v>2</v>
      </c>
      <c r="AC69" s="2">
        <v>1</v>
      </c>
      <c r="AD69" s="2">
        <v>0</v>
      </c>
      <c r="AE69" s="2">
        <v>0</v>
      </c>
      <c r="AF69" s="2">
        <v>1</v>
      </c>
    </row>
    <row r="70" spans="1:32" x14ac:dyDescent="0.25">
      <c r="A70">
        <v>69</v>
      </c>
      <c r="B70" s="2">
        <v>3</v>
      </c>
      <c r="C70" s="2">
        <v>36</v>
      </c>
      <c r="D70" s="2">
        <v>2</v>
      </c>
      <c r="E70" s="2">
        <v>0</v>
      </c>
      <c r="F70" s="2">
        <v>0</v>
      </c>
      <c r="G70" s="2">
        <v>0</v>
      </c>
      <c r="H70" s="2">
        <v>0</v>
      </c>
      <c r="I70" s="2">
        <v>1</v>
      </c>
      <c r="J70" s="2">
        <v>0</v>
      </c>
      <c r="K70" s="2">
        <v>1819</v>
      </c>
      <c r="L70" s="2">
        <v>0</v>
      </c>
      <c r="M70" s="2">
        <v>2</v>
      </c>
      <c r="N70" s="2">
        <v>4</v>
      </c>
      <c r="O70" s="2">
        <v>0</v>
      </c>
      <c r="P70" s="2">
        <v>1</v>
      </c>
      <c r="Q70" s="2">
        <v>0</v>
      </c>
      <c r="R70" s="2">
        <v>0</v>
      </c>
      <c r="S70" s="2">
        <v>0</v>
      </c>
      <c r="T70" s="2">
        <v>4</v>
      </c>
      <c r="U70" s="2">
        <v>0</v>
      </c>
      <c r="V70" s="2">
        <v>1</v>
      </c>
      <c r="W70" s="2">
        <v>37</v>
      </c>
      <c r="X70" s="2">
        <v>1</v>
      </c>
      <c r="Y70" s="2">
        <v>0</v>
      </c>
      <c r="Z70" s="2">
        <v>0</v>
      </c>
      <c r="AA70" s="2">
        <v>1</v>
      </c>
      <c r="AB70" s="2">
        <v>2</v>
      </c>
      <c r="AC70" s="2">
        <v>1</v>
      </c>
      <c r="AD70" s="2">
        <v>1</v>
      </c>
      <c r="AE70" s="2">
        <v>0</v>
      </c>
      <c r="AF70" s="2">
        <v>0</v>
      </c>
    </row>
    <row r="71" spans="1:32" x14ac:dyDescent="0.25">
      <c r="A71">
        <v>70</v>
      </c>
      <c r="B71" s="2">
        <v>3</v>
      </c>
      <c r="C71" s="2">
        <v>36</v>
      </c>
      <c r="D71" s="2">
        <v>2</v>
      </c>
      <c r="E71" s="2">
        <v>0</v>
      </c>
      <c r="F71" s="2">
        <v>0</v>
      </c>
      <c r="G71" s="2">
        <v>0</v>
      </c>
      <c r="H71" s="2">
        <v>1</v>
      </c>
      <c r="I71" s="2">
        <v>0</v>
      </c>
      <c r="J71" s="2">
        <v>0</v>
      </c>
      <c r="K71" s="2">
        <v>2394</v>
      </c>
      <c r="L71" s="2">
        <v>4</v>
      </c>
      <c r="M71" s="2">
        <v>2</v>
      </c>
      <c r="N71" s="2">
        <v>4</v>
      </c>
      <c r="O71" s="2">
        <v>0</v>
      </c>
      <c r="P71" s="2">
        <v>0</v>
      </c>
      <c r="Q71" s="2">
        <v>0</v>
      </c>
      <c r="R71" s="2">
        <v>0</v>
      </c>
      <c r="S71" s="2">
        <v>0</v>
      </c>
      <c r="T71" s="2">
        <v>4</v>
      </c>
      <c r="U71" s="2">
        <v>0</v>
      </c>
      <c r="V71" s="2">
        <v>0</v>
      </c>
      <c r="W71" s="2">
        <v>25</v>
      </c>
      <c r="X71" s="2">
        <v>0</v>
      </c>
      <c r="Y71" s="2">
        <v>0</v>
      </c>
      <c r="Z71" s="2">
        <v>1</v>
      </c>
      <c r="AA71" s="2">
        <v>1</v>
      </c>
      <c r="AB71" s="2">
        <v>2</v>
      </c>
      <c r="AC71" s="2">
        <v>1</v>
      </c>
      <c r="AD71" s="2">
        <v>0</v>
      </c>
      <c r="AE71" s="2">
        <v>0</v>
      </c>
      <c r="AF71" s="2">
        <v>1</v>
      </c>
    </row>
    <row r="72" spans="1:32" x14ac:dyDescent="0.25">
      <c r="A72">
        <v>71</v>
      </c>
      <c r="B72" s="2">
        <v>3</v>
      </c>
      <c r="C72" s="2">
        <v>36</v>
      </c>
      <c r="D72" s="2">
        <v>2</v>
      </c>
      <c r="E72" s="2">
        <v>0</v>
      </c>
      <c r="F72" s="2">
        <v>1</v>
      </c>
      <c r="G72" s="2">
        <v>0</v>
      </c>
      <c r="H72" s="2">
        <v>0</v>
      </c>
      <c r="I72" s="2">
        <v>0</v>
      </c>
      <c r="J72" s="2">
        <v>0</v>
      </c>
      <c r="K72" s="2">
        <v>8133</v>
      </c>
      <c r="L72" s="2">
        <v>0</v>
      </c>
      <c r="M72" s="2">
        <v>2</v>
      </c>
      <c r="N72" s="2">
        <v>1</v>
      </c>
      <c r="O72" s="2">
        <v>0</v>
      </c>
      <c r="P72" s="2">
        <v>0</v>
      </c>
      <c r="Q72" s="2">
        <v>0</v>
      </c>
      <c r="R72" s="2">
        <v>0</v>
      </c>
      <c r="S72" s="2">
        <v>0</v>
      </c>
      <c r="T72" s="2">
        <v>2</v>
      </c>
      <c r="U72" s="2">
        <v>0</v>
      </c>
      <c r="V72" s="2">
        <v>0</v>
      </c>
      <c r="W72" s="2">
        <v>30</v>
      </c>
      <c r="X72" s="2">
        <v>1</v>
      </c>
      <c r="Y72" s="2">
        <v>0</v>
      </c>
      <c r="Z72" s="2">
        <v>1</v>
      </c>
      <c r="AA72" s="2">
        <v>1</v>
      </c>
      <c r="AB72" s="2">
        <v>2</v>
      </c>
      <c r="AC72" s="2">
        <v>1</v>
      </c>
      <c r="AD72" s="2">
        <v>0</v>
      </c>
      <c r="AE72" s="2">
        <v>0</v>
      </c>
      <c r="AF72" s="2">
        <v>1</v>
      </c>
    </row>
    <row r="73" spans="1:32" x14ac:dyDescent="0.25">
      <c r="A73">
        <v>72</v>
      </c>
      <c r="B73" s="2">
        <v>3</v>
      </c>
      <c r="C73" s="2">
        <v>7</v>
      </c>
      <c r="D73" s="2">
        <v>4</v>
      </c>
      <c r="E73" s="2">
        <v>0</v>
      </c>
      <c r="F73" s="2">
        <v>0</v>
      </c>
      <c r="G73" s="2">
        <v>0</v>
      </c>
      <c r="H73" s="2">
        <v>1</v>
      </c>
      <c r="I73" s="2">
        <v>0</v>
      </c>
      <c r="J73" s="2">
        <v>0</v>
      </c>
      <c r="K73" s="2">
        <v>730</v>
      </c>
      <c r="L73" s="2">
        <v>4</v>
      </c>
      <c r="M73" s="2">
        <v>4</v>
      </c>
      <c r="N73" s="2">
        <v>4</v>
      </c>
      <c r="O73" s="2">
        <v>0</v>
      </c>
      <c r="P73" s="2">
        <v>1</v>
      </c>
      <c r="Q73" s="2">
        <v>0</v>
      </c>
      <c r="R73" s="2">
        <v>0</v>
      </c>
      <c r="S73" s="2">
        <v>0</v>
      </c>
      <c r="T73" s="2">
        <v>2</v>
      </c>
      <c r="U73" s="2">
        <v>0</v>
      </c>
      <c r="V73" s="2">
        <v>0</v>
      </c>
      <c r="W73" s="2">
        <v>46</v>
      </c>
      <c r="X73" s="2">
        <v>0</v>
      </c>
      <c r="Y73" s="2">
        <v>1</v>
      </c>
      <c r="Z73" s="2">
        <v>0</v>
      </c>
      <c r="AA73" s="2">
        <v>2</v>
      </c>
      <c r="AB73" s="2">
        <v>1</v>
      </c>
      <c r="AC73" s="2">
        <v>1</v>
      </c>
      <c r="AD73" s="2">
        <v>1</v>
      </c>
      <c r="AE73" s="2">
        <v>0</v>
      </c>
      <c r="AF73" s="2">
        <v>1</v>
      </c>
    </row>
    <row r="74" spans="1:32" x14ac:dyDescent="0.25">
      <c r="A74">
        <v>73</v>
      </c>
      <c r="B74" s="2">
        <v>0</v>
      </c>
      <c r="C74" s="2">
        <v>8</v>
      </c>
      <c r="D74" s="2">
        <v>4</v>
      </c>
      <c r="E74" s="2">
        <v>0</v>
      </c>
      <c r="F74" s="2">
        <v>0</v>
      </c>
      <c r="G74" s="2">
        <v>0</v>
      </c>
      <c r="H74" s="2">
        <v>0</v>
      </c>
      <c r="I74" s="2">
        <v>0</v>
      </c>
      <c r="J74" s="2">
        <v>0</v>
      </c>
      <c r="K74" s="2">
        <v>1164</v>
      </c>
      <c r="L74" s="2">
        <v>0</v>
      </c>
      <c r="M74" s="2">
        <v>4</v>
      </c>
      <c r="N74" s="2">
        <v>3</v>
      </c>
      <c r="O74" s="2">
        <v>0</v>
      </c>
      <c r="P74" s="2">
        <v>1</v>
      </c>
      <c r="Q74" s="2">
        <v>0</v>
      </c>
      <c r="R74" s="2">
        <v>0</v>
      </c>
      <c r="S74" s="2">
        <v>0</v>
      </c>
      <c r="T74" s="2">
        <v>4</v>
      </c>
      <c r="U74" s="2">
        <v>0</v>
      </c>
      <c r="V74" s="2">
        <v>1</v>
      </c>
      <c r="W74" s="2">
        <v>51</v>
      </c>
      <c r="X74" s="2">
        <v>1</v>
      </c>
      <c r="Y74" s="2">
        <v>0</v>
      </c>
      <c r="Z74" s="2">
        <v>0</v>
      </c>
      <c r="AA74" s="2">
        <v>2</v>
      </c>
      <c r="AB74" s="2">
        <v>3</v>
      </c>
      <c r="AC74" s="2">
        <v>2</v>
      </c>
      <c r="AD74" s="2">
        <v>1</v>
      </c>
      <c r="AE74" s="2">
        <v>0</v>
      </c>
      <c r="AF74" s="2">
        <v>1</v>
      </c>
    </row>
    <row r="75" spans="1:32" x14ac:dyDescent="0.25">
      <c r="A75">
        <v>74</v>
      </c>
      <c r="B75" s="2">
        <v>1</v>
      </c>
      <c r="C75" s="2">
        <v>42</v>
      </c>
      <c r="D75" s="2">
        <v>4</v>
      </c>
      <c r="E75" s="2">
        <v>0</v>
      </c>
      <c r="F75" s="2">
        <v>0</v>
      </c>
      <c r="G75" s="2">
        <v>0</v>
      </c>
      <c r="H75" s="2">
        <v>0</v>
      </c>
      <c r="I75" s="2">
        <v>0</v>
      </c>
      <c r="J75" s="2">
        <v>1</v>
      </c>
      <c r="K75" s="2">
        <v>5954</v>
      </c>
      <c r="L75" s="2">
        <v>0</v>
      </c>
      <c r="M75" s="2">
        <v>3</v>
      </c>
      <c r="N75" s="2">
        <v>2</v>
      </c>
      <c r="O75" s="2">
        <v>0</v>
      </c>
      <c r="P75" s="2">
        <v>0</v>
      </c>
      <c r="Q75" s="2">
        <v>0</v>
      </c>
      <c r="R75" s="2">
        <v>0</v>
      </c>
      <c r="S75" s="2">
        <v>0</v>
      </c>
      <c r="T75" s="2">
        <v>1</v>
      </c>
      <c r="U75" s="2">
        <v>1</v>
      </c>
      <c r="V75" s="2">
        <v>0</v>
      </c>
      <c r="W75" s="2">
        <v>41</v>
      </c>
      <c r="X75" s="2">
        <v>1</v>
      </c>
      <c r="Y75" s="2">
        <v>0</v>
      </c>
      <c r="Z75" s="2">
        <v>1</v>
      </c>
      <c r="AA75" s="2">
        <v>2</v>
      </c>
      <c r="AB75" s="2">
        <v>1</v>
      </c>
      <c r="AC75" s="2">
        <v>1</v>
      </c>
      <c r="AD75" s="2">
        <v>0</v>
      </c>
      <c r="AE75" s="2">
        <v>0</v>
      </c>
      <c r="AF75" s="2">
        <v>1</v>
      </c>
    </row>
    <row r="76" spans="1:32" x14ac:dyDescent="0.25">
      <c r="A76">
        <v>75</v>
      </c>
      <c r="B76" s="2">
        <v>0</v>
      </c>
      <c r="C76" s="2">
        <v>36</v>
      </c>
      <c r="D76" s="2">
        <v>2</v>
      </c>
      <c r="E76" s="2">
        <v>0</v>
      </c>
      <c r="F76" s="2">
        <v>0</v>
      </c>
      <c r="G76" s="2">
        <v>0</v>
      </c>
      <c r="H76" s="2">
        <v>0</v>
      </c>
      <c r="I76" s="2">
        <v>1</v>
      </c>
      <c r="J76" s="2">
        <v>0</v>
      </c>
      <c r="K76" s="2">
        <v>1977</v>
      </c>
      <c r="L76" s="2">
        <v>4</v>
      </c>
      <c r="M76" s="2">
        <v>4</v>
      </c>
      <c r="N76" s="2">
        <v>4</v>
      </c>
      <c r="O76" s="2">
        <v>0</v>
      </c>
      <c r="P76" s="2">
        <v>1</v>
      </c>
      <c r="Q76" s="2">
        <v>0</v>
      </c>
      <c r="R76" s="2">
        <v>0</v>
      </c>
      <c r="S76" s="2">
        <v>0</v>
      </c>
      <c r="T76" s="2">
        <v>4</v>
      </c>
      <c r="U76" s="2">
        <v>0</v>
      </c>
      <c r="V76" s="2">
        <v>1</v>
      </c>
      <c r="W76" s="2">
        <v>40</v>
      </c>
      <c r="X76" s="2">
        <v>0</v>
      </c>
      <c r="Y76" s="2">
        <v>0</v>
      </c>
      <c r="Z76" s="2">
        <v>1</v>
      </c>
      <c r="AA76" s="2">
        <v>1</v>
      </c>
      <c r="AB76" s="2">
        <v>3</v>
      </c>
      <c r="AC76" s="2">
        <v>1</v>
      </c>
      <c r="AD76" s="2">
        <v>1</v>
      </c>
      <c r="AE76" s="2">
        <v>0</v>
      </c>
      <c r="AF76" s="2">
        <v>0</v>
      </c>
    </row>
    <row r="77" spans="1:32" x14ac:dyDescent="0.25">
      <c r="A77">
        <v>76</v>
      </c>
      <c r="B77" s="2">
        <v>0</v>
      </c>
      <c r="C77" s="2">
        <v>12</v>
      </c>
      <c r="D77" s="2">
        <v>4</v>
      </c>
      <c r="E77" s="2">
        <v>0</v>
      </c>
      <c r="F77" s="2">
        <v>1</v>
      </c>
      <c r="G77" s="2">
        <v>0</v>
      </c>
      <c r="H77" s="2">
        <v>0</v>
      </c>
      <c r="I77" s="2">
        <v>0</v>
      </c>
      <c r="J77" s="2">
        <v>0</v>
      </c>
      <c r="K77" s="2">
        <v>1526</v>
      </c>
      <c r="L77" s="2">
        <v>0</v>
      </c>
      <c r="M77" s="2">
        <v>4</v>
      </c>
      <c r="N77" s="2">
        <v>4</v>
      </c>
      <c r="O77" s="2">
        <v>0</v>
      </c>
      <c r="P77" s="2">
        <v>1</v>
      </c>
      <c r="Q77" s="2">
        <v>0</v>
      </c>
      <c r="R77" s="2">
        <v>0</v>
      </c>
      <c r="S77" s="2">
        <v>0</v>
      </c>
      <c r="T77" s="2">
        <v>4</v>
      </c>
      <c r="U77" s="2">
        <v>0</v>
      </c>
      <c r="V77" s="2">
        <v>1</v>
      </c>
      <c r="W77" s="2">
        <v>66</v>
      </c>
      <c r="X77" s="2">
        <v>0</v>
      </c>
      <c r="Y77" s="2">
        <v>0</v>
      </c>
      <c r="Z77" s="2">
        <v>0</v>
      </c>
      <c r="AA77" s="2">
        <v>2</v>
      </c>
      <c r="AB77" s="2">
        <v>3</v>
      </c>
      <c r="AC77" s="2">
        <v>1</v>
      </c>
      <c r="AD77" s="2">
        <v>0</v>
      </c>
      <c r="AE77" s="2">
        <v>0</v>
      </c>
      <c r="AF77" s="2">
        <v>1</v>
      </c>
    </row>
    <row r="78" spans="1:32" x14ac:dyDescent="0.25">
      <c r="A78">
        <v>77</v>
      </c>
      <c r="B78" s="2">
        <v>0</v>
      </c>
      <c r="C78" s="2">
        <v>42</v>
      </c>
      <c r="D78" s="2">
        <v>2</v>
      </c>
      <c r="E78" s="2">
        <v>0</v>
      </c>
      <c r="F78" s="2">
        <v>0</v>
      </c>
      <c r="G78" s="2">
        <v>0</v>
      </c>
      <c r="H78" s="2">
        <v>1</v>
      </c>
      <c r="I78" s="2">
        <v>0</v>
      </c>
      <c r="J78" s="2">
        <v>0</v>
      </c>
      <c r="K78" s="2">
        <v>3965</v>
      </c>
      <c r="L78" s="2">
        <v>0</v>
      </c>
      <c r="M78" s="2">
        <v>1</v>
      </c>
      <c r="N78" s="2">
        <v>4</v>
      </c>
      <c r="O78" s="2">
        <v>0</v>
      </c>
      <c r="P78" s="2">
        <v>1</v>
      </c>
      <c r="Q78" s="2">
        <v>0</v>
      </c>
      <c r="R78" s="2">
        <v>0</v>
      </c>
      <c r="S78" s="2">
        <v>0</v>
      </c>
      <c r="T78" s="2">
        <v>3</v>
      </c>
      <c r="U78" s="2">
        <v>0</v>
      </c>
      <c r="V78" s="2">
        <v>0</v>
      </c>
      <c r="W78" s="2">
        <v>34</v>
      </c>
      <c r="X78" s="2">
        <v>0</v>
      </c>
      <c r="Y78" s="2">
        <v>0</v>
      </c>
      <c r="Z78" s="2">
        <v>1</v>
      </c>
      <c r="AA78" s="2">
        <v>1</v>
      </c>
      <c r="AB78" s="2">
        <v>2</v>
      </c>
      <c r="AC78" s="2">
        <v>1</v>
      </c>
      <c r="AD78" s="2">
        <v>0</v>
      </c>
      <c r="AE78" s="2">
        <v>0</v>
      </c>
      <c r="AF78" s="2">
        <v>0</v>
      </c>
    </row>
    <row r="79" spans="1:32" x14ac:dyDescent="0.25">
      <c r="A79">
        <v>78</v>
      </c>
      <c r="B79" s="2">
        <v>1</v>
      </c>
      <c r="C79" s="2">
        <v>11</v>
      </c>
      <c r="D79" s="2">
        <v>3</v>
      </c>
      <c r="E79" s="2">
        <v>0</v>
      </c>
      <c r="F79" s="2">
        <v>0</v>
      </c>
      <c r="G79" s="2">
        <v>0</v>
      </c>
      <c r="H79" s="2">
        <v>1</v>
      </c>
      <c r="I79" s="2">
        <v>0</v>
      </c>
      <c r="J79" s="2">
        <v>0</v>
      </c>
      <c r="K79" s="2">
        <v>4771</v>
      </c>
      <c r="L79" s="2">
        <v>0</v>
      </c>
      <c r="M79" s="2">
        <v>3</v>
      </c>
      <c r="N79" s="2">
        <v>2</v>
      </c>
      <c r="O79" s="2">
        <v>0</v>
      </c>
      <c r="P79" s="2">
        <v>1</v>
      </c>
      <c r="Q79" s="2">
        <v>0</v>
      </c>
      <c r="R79" s="2">
        <v>0</v>
      </c>
      <c r="S79" s="2">
        <v>0</v>
      </c>
      <c r="T79" s="2">
        <v>4</v>
      </c>
      <c r="U79" s="2">
        <v>0</v>
      </c>
      <c r="V79" s="2">
        <v>0</v>
      </c>
      <c r="W79" s="2">
        <v>51</v>
      </c>
      <c r="X79" s="2">
        <v>0</v>
      </c>
      <c r="Y79" s="2">
        <v>0</v>
      </c>
      <c r="Z79" s="2">
        <v>1</v>
      </c>
      <c r="AA79" s="2">
        <v>1</v>
      </c>
      <c r="AB79" s="2">
        <v>2</v>
      </c>
      <c r="AC79" s="2">
        <v>1</v>
      </c>
      <c r="AD79" s="2">
        <v>0</v>
      </c>
      <c r="AE79" s="2">
        <v>0</v>
      </c>
      <c r="AF79" s="2">
        <v>1</v>
      </c>
    </row>
    <row r="80" spans="1:32" x14ac:dyDescent="0.25">
      <c r="A80">
        <v>79</v>
      </c>
      <c r="B80" s="2">
        <v>3</v>
      </c>
      <c r="C80" s="2">
        <v>54</v>
      </c>
      <c r="D80" s="2">
        <v>0</v>
      </c>
      <c r="E80" s="2">
        <v>0</v>
      </c>
      <c r="F80" s="2">
        <v>1</v>
      </c>
      <c r="G80" s="2">
        <v>0</v>
      </c>
      <c r="H80" s="2">
        <v>0</v>
      </c>
      <c r="I80" s="2">
        <v>0</v>
      </c>
      <c r="J80" s="2">
        <v>0</v>
      </c>
      <c r="K80" s="2">
        <v>9436</v>
      </c>
      <c r="L80" s="2">
        <v>4</v>
      </c>
      <c r="M80" s="2">
        <v>2</v>
      </c>
      <c r="N80" s="2">
        <v>2</v>
      </c>
      <c r="O80" s="2">
        <v>0</v>
      </c>
      <c r="P80" s="2">
        <v>1</v>
      </c>
      <c r="Q80" s="2">
        <v>0</v>
      </c>
      <c r="R80" s="2">
        <v>0</v>
      </c>
      <c r="S80" s="2">
        <v>0</v>
      </c>
      <c r="T80" s="2">
        <v>2</v>
      </c>
      <c r="U80" s="2">
        <v>0</v>
      </c>
      <c r="V80" s="2">
        <v>0</v>
      </c>
      <c r="W80" s="2">
        <v>39</v>
      </c>
      <c r="X80" s="2">
        <v>0</v>
      </c>
      <c r="Y80" s="2">
        <v>0</v>
      </c>
      <c r="Z80" s="2">
        <v>1</v>
      </c>
      <c r="AA80" s="2">
        <v>1</v>
      </c>
      <c r="AB80" s="2">
        <v>1</v>
      </c>
      <c r="AC80" s="2">
        <v>2</v>
      </c>
      <c r="AD80" s="2">
        <v>0</v>
      </c>
      <c r="AE80" s="2">
        <v>0</v>
      </c>
      <c r="AF80" s="2">
        <v>1</v>
      </c>
    </row>
    <row r="81" spans="1:32" x14ac:dyDescent="0.25">
      <c r="A81">
        <v>80</v>
      </c>
      <c r="B81" s="2">
        <v>1</v>
      </c>
      <c r="C81" s="2">
        <v>30</v>
      </c>
      <c r="D81" s="2">
        <v>2</v>
      </c>
      <c r="E81" s="2">
        <v>0</v>
      </c>
      <c r="F81" s="2">
        <v>0</v>
      </c>
      <c r="G81" s="2">
        <v>1</v>
      </c>
      <c r="H81" s="2">
        <v>0</v>
      </c>
      <c r="I81" s="2">
        <v>0</v>
      </c>
      <c r="J81" s="2">
        <v>0</v>
      </c>
      <c r="K81" s="2">
        <v>3832</v>
      </c>
      <c r="L81" s="2">
        <v>0</v>
      </c>
      <c r="M81" s="2">
        <v>1</v>
      </c>
      <c r="N81" s="2">
        <v>2</v>
      </c>
      <c r="O81" s="2">
        <v>0</v>
      </c>
      <c r="P81" s="2">
        <v>0</v>
      </c>
      <c r="Q81" s="2">
        <v>1</v>
      </c>
      <c r="R81" s="2">
        <v>0</v>
      </c>
      <c r="S81" s="2">
        <v>0</v>
      </c>
      <c r="T81" s="2">
        <v>1</v>
      </c>
      <c r="U81" s="2">
        <v>0</v>
      </c>
      <c r="V81" s="2">
        <v>0</v>
      </c>
      <c r="W81" s="2">
        <v>22</v>
      </c>
      <c r="X81" s="2">
        <v>0</v>
      </c>
      <c r="Y81" s="2">
        <v>0</v>
      </c>
      <c r="Z81" s="2">
        <v>1</v>
      </c>
      <c r="AA81" s="2">
        <v>1</v>
      </c>
      <c r="AB81" s="2">
        <v>2</v>
      </c>
      <c r="AC81" s="2">
        <v>1</v>
      </c>
      <c r="AD81" s="2">
        <v>0</v>
      </c>
      <c r="AE81" s="2">
        <v>0</v>
      </c>
      <c r="AF81" s="2">
        <v>1</v>
      </c>
    </row>
    <row r="82" spans="1:32" x14ac:dyDescent="0.25">
      <c r="A82">
        <v>81</v>
      </c>
      <c r="B82" s="2">
        <v>3</v>
      </c>
      <c r="C82" s="2">
        <v>24</v>
      </c>
      <c r="D82" s="2">
        <v>2</v>
      </c>
      <c r="E82" s="2">
        <v>0</v>
      </c>
      <c r="F82" s="2">
        <v>0</v>
      </c>
      <c r="G82" s="2">
        <v>0</v>
      </c>
      <c r="H82" s="2">
        <v>1</v>
      </c>
      <c r="I82" s="2">
        <v>0</v>
      </c>
      <c r="J82" s="2">
        <v>0</v>
      </c>
      <c r="K82" s="2">
        <v>5943</v>
      </c>
      <c r="L82" s="2">
        <v>4</v>
      </c>
      <c r="M82" s="2">
        <v>1</v>
      </c>
      <c r="N82" s="2">
        <v>1</v>
      </c>
      <c r="O82" s="2">
        <v>0</v>
      </c>
      <c r="P82" s="2">
        <v>0</v>
      </c>
      <c r="Q82" s="2">
        <v>0</v>
      </c>
      <c r="R82" s="2">
        <v>0</v>
      </c>
      <c r="S82" s="2">
        <v>0</v>
      </c>
      <c r="T82" s="2">
        <v>1</v>
      </c>
      <c r="U82" s="2">
        <v>0</v>
      </c>
      <c r="V82" s="2">
        <v>0</v>
      </c>
      <c r="W82" s="2">
        <v>44</v>
      </c>
      <c r="X82" s="2">
        <v>0</v>
      </c>
      <c r="Y82" s="2">
        <v>0</v>
      </c>
      <c r="Z82" s="2">
        <v>1</v>
      </c>
      <c r="AA82" s="2">
        <v>2</v>
      </c>
      <c r="AB82" s="2">
        <v>2</v>
      </c>
      <c r="AC82" s="2">
        <v>1</v>
      </c>
      <c r="AD82" s="2">
        <v>1</v>
      </c>
      <c r="AE82" s="2">
        <v>0</v>
      </c>
      <c r="AF82" s="2">
        <v>0</v>
      </c>
    </row>
    <row r="83" spans="1:32" x14ac:dyDescent="0.25">
      <c r="A83">
        <v>82</v>
      </c>
      <c r="B83" s="2">
        <v>3</v>
      </c>
      <c r="C83" s="2">
        <v>15</v>
      </c>
      <c r="D83" s="2">
        <v>2</v>
      </c>
      <c r="E83" s="2">
        <v>0</v>
      </c>
      <c r="F83" s="2">
        <v>0</v>
      </c>
      <c r="G83" s="2">
        <v>0</v>
      </c>
      <c r="H83" s="2">
        <v>1</v>
      </c>
      <c r="I83" s="2">
        <v>0</v>
      </c>
      <c r="J83" s="2">
        <v>0</v>
      </c>
      <c r="K83" s="2">
        <v>1213</v>
      </c>
      <c r="L83" s="2">
        <v>2</v>
      </c>
      <c r="M83" s="2">
        <v>4</v>
      </c>
      <c r="N83" s="2">
        <v>4</v>
      </c>
      <c r="O83" s="2">
        <v>0</v>
      </c>
      <c r="P83" s="2">
        <v>1</v>
      </c>
      <c r="Q83" s="2">
        <v>0</v>
      </c>
      <c r="R83" s="2">
        <v>0</v>
      </c>
      <c r="S83" s="2">
        <v>0</v>
      </c>
      <c r="T83" s="2">
        <v>3</v>
      </c>
      <c r="U83" s="2">
        <v>0</v>
      </c>
      <c r="V83" s="2">
        <v>0</v>
      </c>
      <c r="W83" s="2">
        <v>47</v>
      </c>
      <c r="X83" s="2">
        <v>1</v>
      </c>
      <c r="Y83" s="2">
        <v>0</v>
      </c>
      <c r="Z83" s="2">
        <v>1</v>
      </c>
      <c r="AA83" s="2">
        <v>1</v>
      </c>
      <c r="AB83" s="2">
        <v>2</v>
      </c>
      <c r="AC83" s="2">
        <v>1</v>
      </c>
      <c r="AD83" s="2">
        <v>1</v>
      </c>
      <c r="AE83" s="2">
        <v>0</v>
      </c>
      <c r="AF83" s="2">
        <v>1</v>
      </c>
    </row>
    <row r="84" spans="1:32" x14ac:dyDescent="0.25">
      <c r="A84">
        <v>83</v>
      </c>
      <c r="B84" s="2">
        <v>3</v>
      </c>
      <c r="C84" s="2">
        <v>18</v>
      </c>
      <c r="D84" s="2">
        <v>2</v>
      </c>
      <c r="E84" s="2">
        <v>0</v>
      </c>
      <c r="F84" s="2">
        <v>0</v>
      </c>
      <c r="G84" s="2">
        <v>0</v>
      </c>
      <c r="H84" s="2">
        <v>0</v>
      </c>
      <c r="I84" s="2">
        <v>0</v>
      </c>
      <c r="J84" s="2">
        <v>1</v>
      </c>
      <c r="K84" s="2">
        <v>1568</v>
      </c>
      <c r="L84" s="2">
        <v>1</v>
      </c>
      <c r="M84" s="2">
        <v>2</v>
      </c>
      <c r="N84" s="2">
        <v>3</v>
      </c>
      <c r="O84" s="2">
        <v>0</v>
      </c>
      <c r="P84" s="2">
        <v>0</v>
      </c>
      <c r="Q84" s="2">
        <v>0</v>
      </c>
      <c r="R84" s="2">
        <v>0</v>
      </c>
      <c r="S84" s="2">
        <v>0</v>
      </c>
      <c r="T84" s="2">
        <v>4</v>
      </c>
      <c r="U84" s="2">
        <v>0</v>
      </c>
      <c r="V84" s="2">
        <v>0</v>
      </c>
      <c r="W84" s="2">
        <v>24</v>
      </c>
      <c r="X84" s="2">
        <v>0</v>
      </c>
      <c r="Y84" s="2">
        <v>1</v>
      </c>
      <c r="Z84" s="2">
        <v>0</v>
      </c>
      <c r="AA84" s="2">
        <v>1</v>
      </c>
      <c r="AB84" s="2">
        <v>1</v>
      </c>
      <c r="AC84" s="2">
        <v>1</v>
      </c>
      <c r="AD84" s="2">
        <v>0</v>
      </c>
      <c r="AE84" s="2">
        <v>0</v>
      </c>
      <c r="AF84" s="2">
        <v>1</v>
      </c>
    </row>
    <row r="85" spans="1:32" x14ac:dyDescent="0.25">
      <c r="A85">
        <v>84</v>
      </c>
      <c r="B85" s="2">
        <v>0</v>
      </c>
      <c r="C85" s="2">
        <v>24</v>
      </c>
      <c r="D85" s="2">
        <v>2</v>
      </c>
      <c r="E85" s="2">
        <v>0</v>
      </c>
      <c r="F85" s="2">
        <v>0</v>
      </c>
      <c r="G85" s="2">
        <v>0</v>
      </c>
      <c r="H85" s="2">
        <v>0</v>
      </c>
      <c r="I85" s="2">
        <v>0</v>
      </c>
      <c r="J85" s="2">
        <v>0</v>
      </c>
      <c r="K85" s="2">
        <v>1755</v>
      </c>
      <c r="L85" s="2">
        <v>0</v>
      </c>
      <c r="M85" s="2">
        <v>4</v>
      </c>
      <c r="N85" s="2">
        <v>4</v>
      </c>
      <c r="O85" s="2">
        <v>0</v>
      </c>
      <c r="P85" s="2">
        <v>0</v>
      </c>
      <c r="Q85" s="2">
        <v>0</v>
      </c>
      <c r="R85" s="2">
        <v>0</v>
      </c>
      <c r="S85" s="2">
        <v>1</v>
      </c>
      <c r="T85" s="2">
        <v>4</v>
      </c>
      <c r="U85" s="2">
        <v>1</v>
      </c>
      <c r="V85" s="2">
        <v>0</v>
      </c>
      <c r="W85" s="2">
        <v>58</v>
      </c>
      <c r="X85" s="2">
        <v>0</v>
      </c>
      <c r="Y85" s="2">
        <v>0</v>
      </c>
      <c r="Z85" s="2">
        <v>1</v>
      </c>
      <c r="AA85" s="2">
        <v>1</v>
      </c>
      <c r="AB85" s="2">
        <v>1</v>
      </c>
      <c r="AC85" s="2">
        <v>1</v>
      </c>
      <c r="AD85" s="2">
        <v>1</v>
      </c>
      <c r="AE85" s="2">
        <v>0</v>
      </c>
      <c r="AF85" s="2">
        <v>1</v>
      </c>
    </row>
    <row r="86" spans="1:32" x14ac:dyDescent="0.25">
      <c r="A86">
        <v>85</v>
      </c>
      <c r="B86" s="2">
        <v>0</v>
      </c>
      <c r="C86" s="2">
        <v>10</v>
      </c>
      <c r="D86" s="2">
        <v>2</v>
      </c>
      <c r="E86" s="2">
        <v>0</v>
      </c>
      <c r="F86" s="2">
        <v>0</v>
      </c>
      <c r="G86" s="2">
        <v>0</v>
      </c>
      <c r="H86" s="2">
        <v>1</v>
      </c>
      <c r="I86" s="2">
        <v>0</v>
      </c>
      <c r="J86" s="2">
        <v>0</v>
      </c>
      <c r="K86" s="2">
        <v>2315</v>
      </c>
      <c r="L86" s="2">
        <v>0</v>
      </c>
      <c r="M86" s="2">
        <v>4</v>
      </c>
      <c r="N86" s="2">
        <v>3</v>
      </c>
      <c r="O86" s="2">
        <v>0</v>
      </c>
      <c r="P86" s="2">
        <v>1</v>
      </c>
      <c r="Q86" s="2">
        <v>0</v>
      </c>
      <c r="R86" s="2">
        <v>0</v>
      </c>
      <c r="S86" s="2">
        <v>0</v>
      </c>
      <c r="T86" s="2">
        <v>4</v>
      </c>
      <c r="U86" s="2">
        <v>1</v>
      </c>
      <c r="V86" s="2">
        <v>0</v>
      </c>
      <c r="W86" s="2">
        <v>52</v>
      </c>
      <c r="X86" s="2">
        <v>0</v>
      </c>
      <c r="Y86" s="2">
        <v>0</v>
      </c>
      <c r="Z86" s="2">
        <v>1</v>
      </c>
      <c r="AA86" s="2">
        <v>1</v>
      </c>
      <c r="AB86" s="2">
        <v>1</v>
      </c>
      <c r="AC86" s="2">
        <v>1</v>
      </c>
      <c r="AD86" s="2">
        <v>0</v>
      </c>
      <c r="AE86" s="2">
        <v>0</v>
      </c>
      <c r="AF86" s="2">
        <v>1</v>
      </c>
    </row>
    <row r="87" spans="1:32" x14ac:dyDescent="0.25">
      <c r="A87">
        <v>86</v>
      </c>
      <c r="B87" s="2">
        <v>3</v>
      </c>
      <c r="C87" s="2">
        <v>12</v>
      </c>
      <c r="D87" s="2">
        <v>4</v>
      </c>
      <c r="E87" s="2">
        <v>0</v>
      </c>
      <c r="F87" s="2">
        <v>0</v>
      </c>
      <c r="G87" s="2">
        <v>0</v>
      </c>
      <c r="H87" s="2">
        <v>0</v>
      </c>
      <c r="I87" s="2">
        <v>0</v>
      </c>
      <c r="J87" s="2">
        <v>1</v>
      </c>
      <c r="K87" s="2">
        <v>1412</v>
      </c>
      <c r="L87" s="2">
        <v>0</v>
      </c>
      <c r="M87" s="2">
        <v>2</v>
      </c>
      <c r="N87" s="2">
        <v>4</v>
      </c>
      <c r="O87" s="2">
        <v>0</v>
      </c>
      <c r="P87" s="2">
        <v>0</v>
      </c>
      <c r="Q87" s="2">
        <v>0</v>
      </c>
      <c r="R87" s="2">
        <v>0</v>
      </c>
      <c r="S87" s="2">
        <v>1</v>
      </c>
      <c r="T87" s="2">
        <v>2</v>
      </c>
      <c r="U87" s="2">
        <v>1</v>
      </c>
      <c r="V87" s="2">
        <v>0</v>
      </c>
      <c r="W87" s="2">
        <v>29</v>
      </c>
      <c r="X87" s="2">
        <v>0</v>
      </c>
      <c r="Y87" s="2">
        <v>0</v>
      </c>
      <c r="Z87" s="2">
        <v>1</v>
      </c>
      <c r="AA87" s="2">
        <v>2</v>
      </c>
      <c r="AB87" s="2">
        <v>3</v>
      </c>
      <c r="AC87" s="2">
        <v>1</v>
      </c>
      <c r="AD87" s="2">
        <v>1</v>
      </c>
      <c r="AE87" s="2">
        <v>0</v>
      </c>
      <c r="AF87" s="2">
        <v>1</v>
      </c>
    </row>
    <row r="88" spans="1:32" x14ac:dyDescent="0.25">
      <c r="A88">
        <v>87</v>
      </c>
      <c r="B88" s="2">
        <v>1</v>
      </c>
      <c r="C88" s="2">
        <v>18</v>
      </c>
      <c r="D88" s="2">
        <v>4</v>
      </c>
      <c r="E88" s="2">
        <v>0</v>
      </c>
      <c r="F88" s="2">
        <v>0</v>
      </c>
      <c r="G88" s="2">
        <v>1</v>
      </c>
      <c r="H88" s="2">
        <v>0</v>
      </c>
      <c r="I88" s="2">
        <v>0</v>
      </c>
      <c r="J88" s="2">
        <v>0</v>
      </c>
      <c r="K88" s="2">
        <v>1295</v>
      </c>
      <c r="L88" s="2">
        <v>0</v>
      </c>
      <c r="M88" s="2">
        <v>1</v>
      </c>
      <c r="N88" s="2">
        <v>4</v>
      </c>
      <c r="O88" s="2">
        <v>0</v>
      </c>
      <c r="P88" s="2">
        <v>0</v>
      </c>
      <c r="Q88" s="2">
        <v>0</v>
      </c>
      <c r="R88" s="2">
        <v>0</v>
      </c>
      <c r="S88" s="2">
        <v>0</v>
      </c>
      <c r="T88" s="2">
        <v>1</v>
      </c>
      <c r="U88" s="2">
        <v>0</v>
      </c>
      <c r="V88" s="2">
        <v>0</v>
      </c>
      <c r="W88" s="2">
        <v>27</v>
      </c>
      <c r="X88" s="2">
        <v>0</v>
      </c>
      <c r="Y88" s="2">
        <v>0</v>
      </c>
      <c r="Z88" s="2">
        <v>1</v>
      </c>
      <c r="AA88" s="2">
        <v>2</v>
      </c>
      <c r="AB88" s="2">
        <v>2</v>
      </c>
      <c r="AC88" s="2">
        <v>1</v>
      </c>
      <c r="AD88" s="2">
        <v>0</v>
      </c>
      <c r="AE88" s="2">
        <v>0</v>
      </c>
      <c r="AF88" s="2">
        <v>1</v>
      </c>
    </row>
    <row r="89" spans="1:32" x14ac:dyDescent="0.25">
      <c r="A89">
        <v>88</v>
      </c>
      <c r="B89" s="2">
        <v>1</v>
      </c>
      <c r="C89" s="2">
        <v>36</v>
      </c>
      <c r="D89" s="2">
        <v>2</v>
      </c>
      <c r="E89" s="2">
        <v>0</v>
      </c>
      <c r="F89" s="2">
        <v>0</v>
      </c>
      <c r="G89" s="2">
        <v>0</v>
      </c>
      <c r="H89" s="2">
        <v>0</v>
      </c>
      <c r="I89" s="2">
        <v>1</v>
      </c>
      <c r="J89" s="2">
        <v>0</v>
      </c>
      <c r="K89" s="2">
        <v>12612</v>
      </c>
      <c r="L89" s="2">
        <v>1</v>
      </c>
      <c r="M89" s="2">
        <v>2</v>
      </c>
      <c r="N89" s="2">
        <v>1</v>
      </c>
      <c r="O89" s="2">
        <v>0</v>
      </c>
      <c r="P89" s="2">
        <v>1</v>
      </c>
      <c r="Q89" s="2">
        <v>0</v>
      </c>
      <c r="R89" s="2">
        <v>0</v>
      </c>
      <c r="S89" s="2">
        <v>0</v>
      </c>
      <c r="T89" s="2">
        <v>4</v>
      </c>
      <c r="U89" s="2">
        <v>0</v>
      </c>
      <c r="V89" s="2">
        <v>1</v>
      </c>
      <c r="W89" s="2">
        <v>47</v>
      </c>
      <c r="X89" s="2">
        <v>0</v>
      </c>
      <c r="Y89" s="2">
        <v>0</v>
      </c>
      <c r="Z89" s="2">
        <v>0</v>
      </c>
      <c r="AA89" s="2">
        <v>1</v>
      </c>
      <c r="AB89" s="2">
        <v>2</v>
      </c>
      <c r="AC89" s="2">
        <v>2</v>
      </c>
      <c r="AD89" s="2">
        <v>1</v>
      </c>
      <c r="AE89" s="2">
        <v>0</v>
      </c>
      <c r="AF89" s="2">
        <v>0</v>
      </c>
    </row>
    <row r="90" spans="1:32" x14ac:dyDescent="0.25">
      <c r="A90">
        <v>89</v>
      </c>
      <c r="B90" s="2">
        <v>0</v>
      </c>
      <c r="C90" s="2">
        <v>18</v>
      </c>
      <c r="D90" s="2">
        <v>2</v>
      </c>
      <c r="E90" s="2">
        <v>1</v>
      </c>
      <c r="F90" s="2">
        <v>0</v>
      </c>
      <c r="G90" s="2">
        <v>0</v>
      </c>
      <c r="H90" s="2">
        <v>0</v>
      </c>
      <c r="I90" s="2">
        <v>0</v>
      </c>
      <c r="J90" s="2">
        <v>0</v>
      </c>
      <c r="K90" s="2">
        <v>2249</v>
      </c>
      <c r="L90" s="2">
        <v>1</v>
      </c>
      <c r="M90" s="2">
        <v>3</v>
      </c>
      <c r="N90" s="2">
        <v>4</v>
      </c>
      <c r="O90" s="2">
        <v>0</v>
      </c>
      <c r="P90" s="2">
        <v>1</v>
      </c>
      <c r="Q90" s="2">
        <v>0</v>
      </c>
      <c r="R90" s="2">
        <v>0</v>
      </c>
      <c r="S90" s="2">
        <v>0</v>
      </c>
      <c r="T90" s="2">
        <v>3</v>
      </c>
      <c r="U90" s="2">
        <v>0</v>
      </c>
      <c r="V90" s="2">
        <v>0</v>
      </c>
      <c r="W90" s="2">
        <v>30</v>
      </c>
      <c r="X90" s="2">
        <v>0</v>
      </c>
      <c r="Y90" s="2">
        <v>0</v>
      </c>
      <c r="Z90" s="2">
        <v>1</v>
      </c>
      <c r="AA90" s="2">
        <v>1</v>
      </c>
      <c r="AB90" s="2">
        <v>3</v>
      </c>
      <c r="AC90" s="2">
        <v>2</v>
      </c>
      <c r="AD90" s="2">
        <v>1</v>
      </c>
      <c r="AE90" s="2">
        <v>0</v>
      </c>
      <c r="AF90" s="2">
        <v>1</v>
      </c>
    </row>
    <row r="91" spans="1:32" x14ac:dyDescent="0.25">
      <c r="A91">
        <v>90</v>
      </c>
      <c r="B91" s="2">
        <v>0</v>
      </c>
      <c r="C91" s="2">
        <v>12</v>
      </c>
      <c r="D91" s="2">
        <v>0</v>
      </c>
      <c r="E91" s="2">
        <v>0</v>
      </c>
      <c r="F91" s="2">
        <v>0</v>
      </c>
      <c r="G91" s="2">
        <v>0</v>
      </c>
      <c r="H91" s="2">
        <v>0</v>
      </c>
      <c r="I91" s="2">
        <v>0</v>
      </c>
      <c r="J91" s="2">
        <v>0</v>
      </c>
      <c r="K91" s="2">
        <v>1108</v>
      </c>
      <c r="L91" s="2">
        <v>0</v>
      </c>
      <c r="M91" s="2">
        <v>3</v>
      </c>
      <c r="N91" s="2">
        <v>4</v>
      </c>
      <c r="O91" s="2">
        <v>0</v>
      </c>
      <c r="P91" s="2">
        <v>1</v>
      </c>
      <c r="Q91" s="2">
        <v>0</v>
      </c>
      <c r="R91" s="2">
        <v>0</v>
      </c>
      <c r="S91" s="2">
        <v>0</v>
      </c>
      <c r="T91" s="2">
        <v>3</v>
      </c>
      <c r="U91" s="2">
        <v>1</v>
      </c>
      <c r="V91" s="2">
        <v>0</v>
      </c>
      <c r="W91" s="2">
        <v>28</v>
      </c>
      <c r="X91" s="2">
        <v>0</v>
      </c>
      <c r="Y91" s="2">
        <v>0</v>
      </c>
      <c r="Z91" s="2">
        <v>1</v>
      </c>
      <c r="AA91" s="2">
        <v>2</v>
      </c>
      <c r="AB91" s="2">
        <v>2</v>
      </c>
      <c r="AC91" s="2">
        <v>1</v>
      </c>
      <c r="AD91" s="2">
        <v>0</v>
      </c>
      <c r="AE91" s="2">
        <v>0</v>
      </c>
      <c r="AF91" s="2">
        <v>0</v>
      </c>
    </row>
    <row r="92" spans="1:32" x14ac:dyDescent="0.25">
      <c r="A92">
        <v>91</v>
      </c>
      <c r="B92" s="2">
        <v>3</v>
      </c>
      <c r="C92" s="2">
        <v>12</v>
      </c>
      <c r="D92" s="2">
        <v>4</v>
      </c>
      <c r="E92" s="2">
        <v>0</v>
      </c>
      <c r="F92" s="2">
        <v>0</v>
      </c>
      <c r="G92" s="2">
        <v>0</v>
      </c>
      <c r="H92" s="2">
        <v>1</v>
      </c>
      <c r="I92" s="2">
        <v>0</v>
      </c>
      <c r="J92" s="2">
        <v>0</v>
      </c>
      <c r="K92" s="2">
        <v>618</v>
      </c>
      <c r="L92" s="2">
        <v>0</v>
      </c>
      <c r="M92" s="2">
        <v>4</v>
      </c>
      <c r="N92" s="2">
        <v>4</v>
      </c>
      <c r="O92" s="2">
        <v>0</v>
      </c>
      <c r="P92" s="2">
        <v>1</v>
      </c>
      <c r="Q92" s="2">
        <v>0</v>
      </c>
      <c r="R92" s="2">
        <v>0</v>
      </c>
      <c r="S92" s="2">
        <v>0</v>
      </c>
      <c r="T92" s="2">
        <v>4</v>
      </c>
      <c r="U92" s="2">
        <v>1</v>
      </c>
      <c r="V92" s="2">
        <v>0</v>
      </c>
      <c r="W92" s="2">
        <v>56</v>
      </c>
      <c r="X92" s="2">
        <v>0</v>
      </c>
      <c r="Y92" s="2">
        <v>0</v>
      </c>
      <c r="Z92" s="2">
        <v>1</v>
      </c>
      <c r="AA92" s="2">
        <v>1</v>
      </c>
      <c r="AB92" s="2">
        <v>2</v>
      </c>
      <c r="AC92" s="2">
        <v>1</v>
      </c>
      <c r="AD92" s="2">
        <v>0</v>
      </c>
      <c r="AE92" s="2">
        <v>0</v>
      </c>
      <c r="AF92" s="2">
        <v>1</v>
      </c>
    </row>
    <row r="93" spans="1:32" x14ac:dyDescent="0.25">
      <c r="A93">
        <v>92</v>
      </c>
      <c r="B93" s="2">
        <v>0</v>
      </c>
      <c r="C93" s="2">
        <v>12</v>
      </c>
      <c r="D93" s="2">
        <v>4</v>
      </c>
      <c r="E93" s="2">
        <v>0</v>
      </c>
      <c r="F93" s="2">
        <v>1</v>
      </c>
      <c r="G93" s="2">
        <v>0</v>
      </c>
      <c r="H93" s="2">
        <v>0</v>
      </c>
      <c r="I93" s="2">
        <v>0</v>
      </c>
      <c r="J93" s="2">
        <v>0</v>
      </c>
      <c r="K93" s="2">
        <v>1409</v>
      </c>
      <c r="L93" s="2">
        <v>0</v>
      </c>
      <c r="M93" s="2">
        <v>4</v>
      </c>
      <c r="N93" s="2">
        <v>4</v>
      </c>
      <c r="O93" s="2">
        <v>0</v>
      </c>
      <c r="P93" s="2">
        <v>1</v>
      </c>
      <c r="Q93" s="2">
        <v>0</v>
      </c>
      <c r="R93" s="2">
        <v>0</v>
      </c>
      <c r="S93" s="2">
        <v>0</v>
      </c>
      <c r="T93" s="2">
        <v>3</v>
      </c>
      <c r="U93" s="2">
        <v>1</v>
      </c>
      <c r="V93" s="2">
        <v>0</v>
      </c>
      <c r="W93" s="2">
        <v>54</v>
      </c>
      <c r="X93" s="2">
        <v>0</v>
      </c>
      <c r="Y93" s="2">
        <v>0</v>
      </c>
      <c r="Z93" s="2">
        <v>1</v>
      </c>
      <c r="AA93" s="2">
        <v>1</v>
      </c>
      <c r="AB93" s="2">
        <v>2</v>
      </c>
      <c r="AC93" s="2">
        <v>1</v>
      </c>
      <c r="AD93" s="2">
        <v>0</v>
      </c>
      <c r="AE93" s="2">
        <v>0</v>
      </c>
      <c r="AF93" s="2">
        <v>1</v>
      </c>
    </row>
    <row r="94" spans="1:32" x14ac:dyDescent="0.25">
      <c r="A94">
        <v>93</v>
      </c>
      <c r="B94" s="2">
        <v>3</v>
      </c>
      <c r="C94" s="2">
        <v>12</v>
      </c>
      <c r="D94" s="2">
        <v>4</v>
      </c>
      <c r="E94" s="2">
        <v>0</v>
      </c>
      <c r="F94" s="2">
        <v>0</v>
      </c>
      <c r="G94" s="2">
        <v>0</v>
      </c>
      <c r="H94" s="2">
        <v>1</v>
      </c>
      <c r="I94" s="2">
        <v>0</v>
      </c>
      <c r="J94" s="2">
        <v>0</v>
      </c>
      <c r="K94" s="2">
        <v>797</v>
      </c>
      <c r="L94" s="2">
        <v>4</v>
      </c>
      <c r="M94" s="2">
        <v>4</v>
      </c>
      <c r="N94" s="2">
        <v>4</v>
      </c>
      <c r="O94" s="2">
        <v>0</v>
      </c>
      <c r="P94" s="2">
        <v>0</v>
      </c>
      <c r="Q94" s="2">
        <v>0</v>
      </c>
      <c r="R94" s="2">
        <v>0</v>
      </c>
      <c r="S94" s="2">
        <v>0</v>
      </c>
      <c r="T94" s="2">
        <v>3</v>
      </c>
      <c r="U94" s="2">
        <v>0</v>
      </c>
      <c r="V94" s="2">
        <v>0</v>
      </c>
      <c r="W94" s="2">
        <v>33</v>
      </c>
      <c r="X94" s="2">
        <v>1</v>
      </c>
      <c r="Y94" s="2">
        <v>0</v>
      </c>
      <c r="Z94" s="2">
        <v>1</v>
      </c>
      <c r="AA94" s="2">
        <v>1</v>
      </c>
      <c r="AB94" s="2">
        <v>1</v>
      </c>
      <c r="AC94" s="2">
        <v>2</v>
      </c>
      <c r="AD94" s="2">
        <v>0</v>
      </c>
      <c r="AE94" s="2">
        <v>0</v>
      </c>
      <c r="AF94" s="2">
        <v>0</v>
      </c>
    </row>
    <row r="95" spans="1:32" x14ac:dyDescent="0.25">
      <c r="A95">
        <v>94</v>
      </c>
      <c r="B95" s="2">
        <v>2</v>
      </c>
      <c r="C95" s="2">
        <v>24</v>
      </c>
      <c r="D95" s="2">
        <v>4</v>
      </c>
      <c r="E95" s="2">
        <v>0</v>
      </c>
      <c r="F95" s="2">
        <v>0</v>
      </c>
      <c r="G95" s="2">
        <v>1</v>
      </c>
      <c r="H95" s="2">
        <v>0</v>
      </c>
      <c r="I95" s="2">
        <v>0</v>
      </c>
      <c r="J95" s="2">
        <v>0</v>
      </c>
      <c r="K95" s="2">
        <v>3617</v>
      </c>
      <c r="L95" s="2">
        <v>4</v>
      </c>
      <c r="M95" s="2">
        <v>4</v>
      </c>
      <c r="N95" s="2">
        <v>4</v>
      </c>
      <c r="O95" s="2">
        <v>0</v>
      </c>
      <c r="P95" s="2">
        <v>1</v>
      </c>
      <c r="Q95" s="2">
        <v>0</v>
      </c>
      <c r="R95" s="2">
        <v>1</v>
      </c>
      <c r="S95" s="2">
        <v>0</v>
      </c>
      <c r="T95" s="2">
        <v>4</v>
      </c>
      <c r="U95" s="2">
        <v>0</v>
      </c>
      <c r="V95" s="2">
        <v>1</v>
      </c>
      <c r="W95" s="2">
        <v>20</v>
      </c>
      <c r="X95" s="2">
        <v>0</v>
      </c>
      <c r="Y95" s="2">
        <v>1</v>
      </c>
      <c r="Z95" s="2">
        <v>0</v>
      </c>
      <c r="AA95" s="2">
        <v>2</v>
      </c>
      <c r="AB95" s="2">
        <v>2</v>
      </c>
      <c r="AC95" s="2">
        <v>1</v>
      </c>
      <c r="AD95" s="2">
        <v>0</v>
      </c>
      <c r="AE95" s="2">
        <v>0</v>
      </c>
      <c r="AF95" s="2">
        <v>1</v>
      </c>
    </row>
    <row r="96" spans="1:32" x14ac:dyDescent="0.25">
      <c r="A96">
        <v>95</v>
      </c>
      <c r="B96" s="2">
        <v>1</v>
      </c>
      <c r="C96" s="2">
        <v>12</v>
      </c>
      <c r="D96" s="2">
        <v>2</v>
      </c>
      <c r="E96" s="2">
        <v>1</v>
      </c>
      <c r="F96" s="2">
        <v>0</v>
      </c>
      <c r="G96" s="2">
        <v>0</v>
      </c>
      <c r="H96" s="2">
        <v>0</v>
      </c>
      <c r="I96" s="2">
        <v>0</v>
      </c>
      <c r="J96" s="2">
        <v>0</v>
      </c>
      <c r="K96" s="2">
        <v>1318</v>
      </c>
      <c r="L96" s="2">
        <v>3</v>
      </c>
      <c r="M96" s="2">
        <v>4</v>
      </c>
      <c r="N96" s="2">
        <v>4</v>
      </c>
      <c r="O96" s="2">
        <v>0</v>
      </c>
      <c r="P96" s="2">
        <v>1</v>
      </c>
      <c r="Q96" s="2">
        <v>0</v>
      </c>
      <c r="R96" s="2">
        <v>0</v>
      </c>
      <c r="S96" s="2">
        <v>0</v>
      </c>
      <c r="T96" s="2">
        <v>4</v>
      </c>
      <c r="U96" s="2">
        <v>1</v>
      </c>
      <c r="V96" s="2">
        <v>0</v>
      </c>
      <c r="W96" s="2">
        <v>54</v>
      </c>
      <c r="X96" s="2">
        <v>0</v>
      </c>
      <c r="Y96" s="2">
        <v>0</v>
      </c>
      <c r="Z96" s="2">
        <v>1</v>
      </c>
      <c r="AA96" s="2">
        <v>1</v>
      </c>
      <c r="AB96" s="2">
        <v>2</v>
      </c>
      <c r="AC96" s="2">
        <v>1</v>
      </c>
      <c r="AD96" s="2">
        <v>1</v>
      </c>
      <c r="AE96" s="2">
        <v>0</v>
      </c>
      <c r="AF96" s="2">
        <v>1</v>
      </c>
    </row>
    <row r="97" spans="1:32" x14ac:dyDescent="0.25">
      <c r="A97">
        <v>96</v>
      </c>
      <c r="B97" s="2">
        <v>1</v>
      </c>
      <c r="C97" s="2">
        <v>54</v>
      </c>
      <c r="D97" s="2">
        <v>0</v>
      </c>
      <c r="E97" s="2">
        <v>0</v>
      </c>
      <c r="F97" s="2">
        <v>0</v>
      </c>
      <c r="G97" s="2">
        <v>0</v>
      </c>
      <c r="H97" s="2">
        <v>0</v>
      </c>
      <c r="I97" s="2">
        <v>0</v>
      </c>
      <c r="J97" s="2">
        <v>1</v>
      </c>
      <c r="K97" s="2">
        <v>15945</v>
      </c>
      <c r="L97" s="2">
        <v>0</v>
      </c>
      <c r="M97" s="2">
        <v>1</v>
      </c>
      <c r="N97" s="2">
        <v>3</v>
      </c>
      <c r="O97" s="2">
        <v>0</v>
      </c>
      <c r="P97" s="2">
        <v>1</v>
      </c>
      <c r="Q97" s="2">
        <v>0</v>
      </c>
      <c r="R97" s="2">
        <v>0</v>
      </c>
      <c r="S97" s="2">
        <v>0</v>
      </c>
      <c r="T97" s="2">
        <v>4</v>
      </c>
      <c r="U97" s="2">
        <v>0</v>
      </c>
      <c r="V97" s="2">
        <v>1</v>
      </c>
      <c r="W97" s="2">
        <v>58</v>
      </c>
      <c r="X97" s="2">
        <v>0</v>
      </c>
      <c r="Y97" s="2">
        <v>1</v>
      </c>
      <c r="Z97" s="2">
        <v>0</v>
      </c>
      <c r="AA97" s="2">
        <v>1</v>
      </c>
      <c r="AB97" s="2">
        <v>2</v>
      </c>
      <c r="AC97" s="2">
        <v>1</v>
      </c>
      <c r="AD97" s="2">
        <v>1</v>
      </c>
      <c r="AE97" s="2">
        <v>0</v>
      </c>
      <c r="AF97" s="2">
        <v>0</v>
      </c>
    </row>
    <row r="98" spans="1:32" x14ac:dyDescent="0.25">
      <c r="A98">
        <v>97</v>
      </c>
      <c r="B98" s="2">
        <v>3</v>
      </c>
      <c r="C98" s="2">
        <v>12</v>
      </c>
      <c r="D98" s="2">
        <v>4</v>
      </c>
      <c r="E98" s="2">
        <v>0</v>
      </c>
      <c r="F98" s="2">
        <v>0</v>
      </c>
      <c r="G98" s="2">
        <v>0</v>
      </c>
      <c r="H98" s="2">
        <v>0</v>
      </c>
      <c r="I98" s="2">
        <v>1</v>
      </c>
      <c r="J98" s="2">
        <v>0</v>
      </c>
      <c r="K98" s="2">
        <v>2012</v>
      </c>
      <c r="L98" s="2">
        <v>4</v>
      </c>
      <c r="M98" s="2">
        <v>3</v>
      </c>
      <c r="N98" s="2">
        <v>4</v>
      </c>
      <c r="O98" s="2">
        <v>0</v>
      </c>
      <c r="P98" s="2">
        <v>0</v>
      </c>
      <c r="Q98" s="2">
        <v>0</v>
      </c>
      <c r="R98" s="2">
        <v>0</v>
      </c>
      <c r="S98" s="2">
        <v>0</v>
      </c>
      <c r="T98" s="2">
        <v>2</v>
      </c>
      <c r="U98" s="2">
        <v>0</v>
      </c>
      <c r="V98" s="2">
        <v>0</v>
      </c>
      <c r="W98" s="2">
        <v>61</v>
      </c>
      <c r="X98" s="2">
        <v>0</v>
      </c>
      <c r="Y98" s="2">
        <v>0</v>
      </c>
      <c r="Z98" s="2">
        <v>1</v>
      </c>
      <c r="AA98" s="2">
        <v>1</v>
      </c>
      <c r="AB98" s="2">
        <v>2</v>
      </c>
      <c r="AC98" s="2">
        <v>1</v>
      </c>
      <c r="AD98" s="2">
        <v>0</v>
      </c>
      <c r="AE98" s="2">
        <v>0</v>
      </c>
      <c r="AF98" s="2">
        <v>1</v>
      </c>
    </row>
    <row r="99" spans="1:32" x14ac:dyDescent="0.25">
      <c r="A99">
        <v>98</v>
      </c>
      <c r="B99" s="2">
        <v>1</v>
      </c>
      <c r="C99" s="2">
        <v>18</v>
      </c>
      <c r="D99" s="2">
        <v>2</v>
      </c>
      <c r="E99" s="2">
        <v>0</v>
      </c>
      <c r="F99" s="2">
        <v>0</v>
      </c>
      <c r="G99" s="2">
        <v>0</v>
      </c>
      <c r="H99" s="2">
        <v>0</v>
      </c>
      <c r="I99" s="2">
        <v>0</v>
      </c>
      <c r="J99" s="2">
        <v>1</v>
      </c>
      <c r="K99" s="2">
        <v>2622</v>
      </c>
      <c r="L99" s="2">
        <v>1</v>
      </c>
      <c r="M99" s="2">
        <v>2</v>
      </c>
      <c r="N99" s="2">
        <v>4</v>
      </c>
      <c r="O99" s="2">
        <v>0</v>
      </c>
      <c r="P99" s="2">
        <v>1</v>
      </c>
      <c r="Q99" s="2">
        <v>0</v>
      </c>
      <c r="R99" s="2">
        <v>0</v>
      </c>
      <c r="S99" s="2">
        <v>0</v>
      </c>
      <c r="T99" s="2">
        <v>4</v>
      </c>
      <c r="U99" s="2">
        <v>0</v>
      </c>
      <c r="V99" s="2">
        <v>0</v>
      </c>
      <c r="W99" s="2">
        <v>34</v>
      </c>
      <c r="X99" s="2">
        <v>0</v>
      </c>
      <c r="Y99" s="2">
        <v>0</v>
      </c>
      <c r="Z99" s="2">
        <v>1</v>
      </c>
      <c r="AA99" s="2">
        <v>1</v>
      </c>
      <c r="AB99" s="2">
        <v>2</v>
      </c>
      <c r="AC99" s="2">
        <v>1</v>
      </c>
      <c r="AD99" s="2">
        <v>0</v>
      </c>
      <c r="AE99" s="2">
        <v>0</v>
      </c>
      <c r="AF99" s="2">
        <v>1</v>
      </c>
    </row>
    <row r="100" spans="1:32" x14ac:dyDescent="0.25">
      <c r="A100">
        <v>99</v>
      </c>
      <c r="B100" s="2">
        <v>1</v>
      </c>
      <c r="C100" s="2">
        <v>36</v>
      </c>
      <c r="D100" s="2">
        <v>4</v>
      </c>
      <c r="E100" s="2">
        <v>0</v>
      </c>
      <c r="F100" s="2">
        <v>0</v>
      </c>
      <c r="G100" s="2">
        <v>0</v>
      </c>
      <c r="H100" s="2">
        <v>1</v>
      </c>
      <c r="I100" s="2">
        <v>0</v>
      </c>
      <c r="J100" s="2">
        <v>0</v>
      </c>
      <c r="K100" s="2">
        <v>2337</v>
      </c>
      <c r="L100" s="2">
        <v>0</v>
      </c>
      <c r="M100" s="2">
        <v>4</v>
      </c>
      <c r="N100" s="2">
        <v>4</v>
      </c>
      <c r="O100" s="2">
        <v>0</v>
      </c>
      <c r="P100" s="2">
        <v>1</v>
      </c>
      <c r="Q100" s="2">
        <v>0</v>
      </c>
      <c r="R100" s="2">
        <v>0</v>
      </c>
      <c r="S100" s="2">
        <v>0</v>
      </c>
      <c r="T100" s="2">
        <v>4</v>
      </c>
      <c r="U100" s="2">
        <v>1</v>
      </c>
      <c r="V100" s="2">
        <v>0</v>
      </c>
      <c r="W100" s="2">
        <v>36</v>
      </c>
      <c r="X100" s="2">
        <v>0</v>
      </c>
      <c r="Y100" s="2">
        <v>0</v>
      </c>
      <c r="Z100" s="2">
        <v>1</v>
      </c>
      <c r="AA100" s="2">
        <v>1</v>
      </c>
      <c r="AB100" s="2">
        <v>2</v>
      </c>
      <c r="AC100" s="2">
        <v>1</v>
      </c>
      <c r="AD100" s="2">
        <v>0</v>
      </c>
      <c r="AE100" s="2">
        <v>0</v>
      </c>
      <c r="AF100" s="2">
        <v>1</v>
      </c>
    </row>
    <row r="101" spans="1:32" x14ac:dyDescent="0.25">
      <c r="A101">
        <v>100</v>
      </c>
      <c r="B101" s="2">
        <v>1</v>
      </c>
      <c r="C101" s="2">
        <v>20</v>
      </c>
      <c r="D101" s="2">
        <v>3</v>
      </c>
      <c r="E101" s="2">
        <v>0</v>
      </c>
      <c r="F101" s="2">
        <v>1</v>
      </c>
      <c r="G101" s="2">
        <v>0</v>
      </c>
      <c r="H101" s="2">
        <v>0</v>
      </c>
      <c r="I101" s="2">
        <v>0</v>
      </c>
      <c r="J101" s="2">
        <v>0</v>
      </c>
      <c r="K101" s="2">
        <v>7057</v>
      </c>
      <c r="L101" s="2">
        <v>4</v>
      </c>
      <c r="M101" s="2">
        <v>3</v>
      </c>
      <c r="N101" s="2">
        <v>3</v>
      </c>
      <c r="O101" s="2">
        <v>0</v>
      </c>
      <c r="P101" s="2">
        <v>1</v>
      </c>
      <c r="Q101" s="2">
        <v>0</v>
      </c>
      <c r="R101" s="2">
        <v>0</v>
      </c>
      <c r="S101" s="2">
        <v>0</v>
      </c>
      <c r="T101" s="2">
        <v>4</v>
      </c>
      <c r="U101" s="2">
        <v>0</v>
      </c>
      <c r="V101" s="2">
        <v>0</v>
      </c>
      <c r="W101" s="2">
        <v>36</v>
      </c>
      <c r="X101" s="2">
        <v>1</v>
      </c>
      <c r="Y101" s="2">
        <v>1</v>
      </c>
      <c r="Z101" s="2">
        <v>0</v>
      </c>
      <c r="AA101" s="2">
        <v>2</v>
      </c>
      <c r="AB101" s="2">
        <v>3</v>
      </c>
      <c r="AC101" s="2">
        <v>2</v>
      </c>
      <c r="AD101" s="2">
        <v>1</v>
      </c>
      <c r="AE101" s="2">
        <v>0</v>
      </c>
      <c r="AF101" s="2">
        <v>1</v>
      </c>
    </row>
    <row r="102" spans="1:32" x14ac:dyDescent="0.25">
      <c r="A102">
        <v>101</v>
      </c>
      <c r="B102" s="2">
        <v>3</v>
      </c>
      <c r="C102" s="2">
        <v>24</v>
      </c>
      <c r="D102" s="2">
        <v>2</v>
      </c>
      <c r="E102" s="2">
        <v>1</v>
      </c>
      <c r="F102" s="2">
        <v>0</v>
      </c>
      <c r="G102" s="2">
        <v>0</v>
      </c>
      <c r="H102" s="2">
        <v>0</v>
      </c>
      <c r="I102" s="2">
        <v>0</v>
      </c>
      <c r="J102" s="2">
        <v>0</v>
      </c>
      <c r="K102" s="2">
        <v>1469</v>
      </c>
      <c r="L102" s="2">
        <v>1</v>
      </c>
      <c r="M102" s="2">
        <v>4</v>
      </c>
      <c r="N102" s="2">
        <v>4</v>
      </c>
      <c r="O102" s="2">
        <v>0</v>
      </c>
      <c r="P102" s="2">
        <v>0</v>
      </c>
      <c r="Q102" s="2">
        <v>1</v>
      </c>
      <c r="R102" s="2">
        <v>0</v>
      </c>
      <c r="S102" s="2">
        <v>0</v>
      </c>
      <c r="T102" s="2">
        <v>4</v>
      </c>
      <c r="U102" s="2">
        <v>1</v>
      </c>
      <c r="V102" s="2">
        <v>0</v>
      </c>
      <c r="W102" s="2">
        <v>41</v>
      </c>
      <c r="X102" s="2">
        <v>0</v>
      </c>
      <c r="Y102" s="2">
        <v>1</v>
      </c>
      <c r="Z102" s="2">
        <v>0</v>
      </c>
      <c r="AA102" s="2">
        <v>1</v>
      </c>
      <c r="AB102" s="2">
        <v>1</v>
      </c>
      <c r="AC102" s="2">
        <v>1</v>
      </c>
      <c r="AD102" s="2">
        <v>0</v>
      </c>
      <c r="AE102" s="2">
        <v>0</v>
      </c>
      <c r="AF102" s="2">
        <v>1</v>
      </c>
    </row>
    <row r="103" spans="1:32" x14ac:dyDescent="0.25">
      <c r="A103">
        <v>102</v>
      </c>
      <c r="B103" s="2">
        <v>1</v>
      </c>
      <c r="C103" s="2">
        <v>36</v>
      </c>
      <c r="D103" s="2">
        <v>2</v>
      </c>
      <c r="E103" s="2">
        <v>0</v>
      </c>
      <c r="F103" s="2">
        <v>0</v>
      </c>
      <c r="G103" s="2">
        <v>0</v>
      </c>
      <c r="H103" s="2">
        <v>1</v>
      </c>
      <c r="I103" s="2">
        <v>0</v>
      </c>
      <c r="J103" s="2">
        <v>0</v>
      </c>
      <c r="K103" s="2">
        <v>2323</v>
      </c>
      <c r="L103" s="2">
        <v>0</v>
      </c>
      <c r="M103" s="2">
        <v>3</v>
      </c>
      <c r="N103" s="2">
        <v>4</v>
      </c>
      <c r="O103" s="2">
        <v>0</v>
      </c>
      <c r="P103" s="2">
        <v>1</v>
      </c>
      <c r="Q103" s="2">
        <v>0</v>
      </c>
      <c r="R103" s="2">
        <v>0</v>
      </c>
      <c r="S103" s="2">
        <v>0</v>
      </c>
      <c r="T103" s="2">
        <v>4</v>
      </c>
      <c r="U103" s="2">
        <v>0</v>
      </c>
      <c r="V103" s="2">
        <v>0</v>
      </c>
      <c r="W103" s="2">
        <v>24</v>
      </c>
      <c r="X103" s="2">
        <v>0</v>
      </c>
      <c r="Y103" s="2">
        <v>1</v>
      </c>
      <c r="Z103" s="2">
        <v>0</v>
      </c>
      <c r="AA103" s="2">
        <v>1</v>
      </c>
      <c r="AB103" s="2">
        <v>2</v>
      </c>
      <c r="AC103" s="2">
        <v>1</v>
      </c>
      <c r="AD103" s="2">
        <v>0</v>
      </c>
      <c r="AE103" s="2">
        <v>0</v>
      </c>
      <c r="AF103" s="2">
        <v>1</v>
      </c>
    </row>
    <row r="104" spans="1:32" x14ac:dyDescent="0.25">
      <c r="A104">
        <v>103</v>
      </c>
      <c r="B104" s="2">
        <v>3</v>
      </c>
      <c r="C104" s="2">
        <v>6</v>
      </c>
      <c r="D104" s="2">
        <v>3</v>
      </c>
      <c r="E104" s="2">
        <v>0</v>
      </c>
      <c r="F104" s="2">
        <v>0</v>
      </c>
      <c r="G104" s="2">
        <v>0</v>
      </c>
      <c r="H104" s="2">
        <v>1</v>
      </c>
      <c r="I104" s="2">
        <v>0</v>
      </c>
      <c r="J104" s="2">
        <v>0</v>
      </c>
      <c r="K104" s="2">
        <v>932</v>
      </c>
      <c r="L104" s="2">
        <v>0</v>
      </c>
      <c r="M104" s="2">
        <v>2</v>
      </c>
      <c r="N104" s="2">
        <v>3</v>
      </c>
      <c r="O104" s="2">
        <v>0</v>
      </c>
      <c r="P104" s="2">
        <v>0</v>
      </c>
      <c r="Q104" s="2">
        <v>0</v>
      </c>
      <c r="R104" s="2">
        <v>0</v>
      </c>
      <c r="S104" s="2">
        <v>0</v>
      </c>
      <c r="T104" s="2">
        <v>2</v>
      </c>
      <c r="U104" s="2">
        <v>1</v>
      </c>
      <c r="V104" s="2">
        <v>0</v>
      </c>
      <c r="W104" s="2">
        <v>24</v>
      </c>
      <c r="X104" s="2">
        <v>0</v>
      </c>
      <c r="Y104" s="2">
        <v>0</v>
      </c>
      <c r="Z104" s="2">
        <v>1</v>
      </c>
      <c r="AA104" s="2">
        <v>1</v>
      </c>
      <c r="AB104" s="2">
        <v>2</v>
      </c>
      <c r="AC104" s="2">
        <v>1</v>
      </c>
      <c r="AD104" s="2">
        <v>0</v>
      </c>
      <c r="AE104" s="2">
        <v>0</v>
      </c>
      <c r="AF104" s="2">
        <v>1</v>
      </c>
    </row>
    <row r="105" spans="1:32" x14ac:dyDescent="0.25">
      <c r="A105">
        <v>104</v>
      </c>
      <c r="B105" s="2">
        <v>1</v>
      </c>
      <c r="C105" s="2">
        <v>9</v>
      </c>
      <c r="D105" s="2">
        <v>4</v>
      </c>
      <c r="E105" s="2">
        <v>0</v>
      </c>
      <c r="F105" s="2">
        <v>0</v>
      </c>
      <c r="G105" s="2">
        <v>1</v>
      </c>
      <c r="H105" s="2">
        <v>0</v>
      </c>
      <c r="I105" s="2">
        <v>0</v>
      </c>
      <c r="J105" s="2">
        <v>0</v>
      </c>
      <c r="K105" s="2">
        <v>1919</v>
      </c>
      <c r="L105" s="2">
        <v>0</v>
      </c>
      <c r="M105" s="2">
        <v>3</v>
      </c>
      <c r="N105" s="2">
        <v>4</v>
      </c>
      <c r="O105" s="2">
        <v>0</v>
      </c>
      <c r="P105" s="2">
        <v>1</v>
      </c>
      <c r="Q105" s="2">
        <v>0</v>
      </c>
      <c r="R105" s="2">
        <v>0</v>
      </c>
      <c r="S105" s="2">
        <v>0</v>
      </c>
      <c r="T105" s="2">
        <v>3</v>
      </c>
      <c r="U105" s="2">
        <v>0</v>
      </c>
      <c r="V105" s="2">
        <v>0</v>
      </c>
      <c r="W105" s="2">
        <v>35</v>
      </c>
      <c r="X105" s="2">
        <v>0</v>
      </c>
      <c r="Y105" s="2">
        <v>1</v>
      </c>
      <c r="Z105" s="2">
        <v>0</v>
      </c>
      <c r="AA105" s="2">
        <v>1</v>
      </c>
      <c r="AB105" s="2">
        <v>2</v>
      </c>
      <c r="AC105" s="2">
        <v>1</v>
      </c>
      <c r="AD105" s="2">
        <v>1</v>
      </c>
      <c r="AE105" s="2">
        <v>0</v>
      </c>
      <c r="AF105" s="2">
        <v>1</v>
      </c>
    </row>
    <row r="106" spans="1:32" x14ac:dyDescent="0.25">
      <c r="A106">
        <v>105</v>
      </c>
      <c r="B106" s="2">
        <v>3</v>
      </c>
      <c r="C106" s="2">
        <v>12</v>
      </c>
      <c r="D106" s="2">
        <v>2</v>
      </c>
      <c r="E106" s="2">
        <v>0</v>
      </c>
      <c r="F106" s="2">
        <v>1</v>
      </c>
      <c r="G106" s="2">
        <v>0</v>
      </c>
      <c r="H106" s="2">
        <v>0</v>
      </c>
      <c r="I106" s="2">
        <v>0</v>
      </c>
      <c r="J106" s="2">
        <v>0</v>
      </c>
      <c r="K106" s="2">
        <v>2445</v>
      </c>
      <c r="L106" s="2">
        <v>4</v>
      </c>
      <c r="M106" s="2">
        <v>1</v>
      </c>
      <c r="N106" s="2">
        <v>2</v>
      </c>
      <c r="O106" s="2">
        <v>0</v>
      </c>
      <c r="P106" s="2">
        <v>0</v>
      </c>
      <c r="Q106" s="2">
        <v>1</v>
      </c>
      <c r="R106" s="2">
        <v>0</v>
      </c>
      <c r="S106" s="2">
        <v>0</v>
      </c>
      <c r="T106" s="2">
        <v>4</v>
      </c>
      <c r="U106" s="2">
        <v>0</v>
      </c>
      <c r="V106" s="2">
        <v>0</v>
      </c>
      <c r="W106" s="2">
        <v>26</v>
      </c>
      <c r="X106" s="2">
        <v>0</v>
      </c>
      <c r="Y106" s="2">
        <v>1</v>
      </c>
      <c r="Z106" s="2">
        <v>0</v>
      </c>
      <c r="AA106" s="2">
        <v>1</v>
      </c>
      <c r="AB106" s="2">
        <v>2</v>
      </c>
      <c r="AC106" s="2">
        <v>1</v>
      </c>
      <c r="AD106" s="2">
        <v>1</v>
      </c>
      <c r="AE106" s="2">
        <v>0</v>
      </c>
      <c r="AF106" s="2">
        <v>1</v>
      </c>
    </row>
    <row r="107" spans="1:32" x14ac:dyDescent="0.25">
      <c r="A107">
        <v>106</v>
      </c>
      <c r="B107" s="2">
        <v>1</v>
      </c>
      <c r="C107" s="2">
        <v>24</v>
      </c>
      <c r="D107" s="2">
        <v>4</v>
      </c>
      <c r="E107" s="2">
        <v>0</v>
      </c>
      <c r="F107" s="2">
        <v>0</v>
      </c>
      <c r="G107" s="2">
        <v>0</v>
      </c>
      <c r="H107" s="2">
        <v>0</v>
      </c>
      <c r="I107" s="2">
        <v>0</v>
      </c>
      <c r="J107" s="2">
        <v>0</v>
      </c>
      <c r="K107" s="2">
        <v>11938</v>
      </c>
      <c r="L107" s="2">
        <v>0</v>
      </c>
      <c r="M107" s="2">
        <v>2</v>
      </c>
      <c r="N107" s="2">
        <v>2</v>
      </c>
      <c r="O107" s="2">
        <v>0</v>
      </c>
      <c r="P107" s="2">
        <v>1</v>
      </c>
      <c r="Q107" s="2">
        <v>0</v>
      </c>
      <c r="R107" s="2">
        <v>1</v>
      </c>
      <c r="S107" s="2">
        <v>0</v>
      </c>
      <c r="T107" s="2">
        <v>3</v>
      </c>
      <c r="U107" s="2">
        <v>0</v>
      </c>
      <c r="V107" s="2">
        <v>0</v>
      </c>
      <c r="W107" s="2">
        <v>39</v>
      </c>
      <c r="X107" s="2">
        <v>0</v>
      </c>
      <c r="Y107" s="2">
        <v>0</v>
      </c>
      <c r="Z107" s="2">
        <v>1</v>
      </c>
      <c r="AA107" s="2">
        <v>2</v>
      </c>
      <c r="AB107" s="2">
        <v>3</v>
      </c>
      <c r="AC107" s="2">
        <v>2</v>
      </c>
      <c r="AD107" s="2">
        <v>1</v>
      </c>
      <c r="AE107" s="2">
        <v>0</v>
      </c>
      <c r="AF107" s="2">
        <v>0</v>
      </c>
    </row>
    <row r="108" spans="1:32" x14ac:dyDescent="0.25">
      <c r="A108">
        <v>107</v>
      </c>
      <c r="B108" s="2">
        <v>3</v>
      </c>
      <c r="C108" s="2">
        <v>18</v>
      </c>
      <c r="D108" s="2">
        <v>1</v>
      </c>
      <c r="E108" s="2">
        <v>1</v>
      </c>
      <c r="F108" s="2">
        <v>0</v>
      </c>
      <c r="G108" s="2">
        <v>0</v>
      </c>
      <c r="H108" s="2">
        <v>0</v>
      </c>
      <c r="I108" s="2">
        <v>0</v>
      </c>
      <c r="J108" s="2">
        <v>0</v>
      </c>
      <c r="K108" s="2">
        <v>6458</v>
      </c>
      <c r="L108" s="2">
        <v>0</v>
      </c>
      <c r="M108" s="2">
        <v>4</v>
      </c>
      <c r="N108" s="2">
        <v>2</v>
      </c>
      <c r="O108" s="2">
        <v>0</v>
      </c>
      <c r="P108" s="2">
        <v>1</v>
      </c>
      <c r="Q108" s="2">
        <v>0</v>
      </c>
      <c r="R108" s="2">
        <v>0</v>
      </c>
      <c r="S108" s="2">
        <v>0</v>
      </c>
      <c r="T108" s="2">
        <v>4</v>
      </c>
      <c r="U108" s="2">
        <v>0</v>
      </c>
      <c r="V108" s="2">
        <v>1</v>
      </c>
      <c r="W108" s="2">
        <v>39</v>
      </c>
      <c r="X108" s="2">
        <v>1</v>
      </c>
      <c r="Y108" s="2">
        <v>0</v>
      </c>
      <c r="Z108" s="2">
        <v>1</v>
      </c>
      <c r="AA108" s="2">
        <v>2</v>
      </c>
      <c r="AB108" s="2">
        <v>3</v>
      </c>
      <c r="AC108" s="2">
        <v>2</v>
      </c>
      <c r="AD108" s="2">
        <v>1</v>
      </c>
      <c r="AE108" s="2">
        <v>0</v>
      </c>
      <c r="AF108" s="2">
        <v>0</v>
      </c>
    </row>
    <row r="109" spans="1:32" x14ac:dyDescent="0.25">
      <c r="A109">
        <v>108</v>
      </c>
      <c r="B109" s="2">
        <v>1</v>
      </c>
      <c r="C109" s="2">
        <v>12</v>
      </c>
      <c r="D109" s="2">
        <v>2</v>
      </c>
      <c r="E109" s="2">
        <v>1</v>
      </c>
      <c r="F109" s="2">
        <v>0</v>
      </c>
      <c r="G109" s="2">
        <v>0</v>
      </c>
      <c r="H109" s="2">
        <v>0</v>
      </c>
      <c r="I109" s="2">
        <v>0</v>
      </c>
      <c r="J109" s="2">
        <v>0</v>
      </c>
      <c r="K109" s="2">
        <v>6078</v>
      </c>
      <c r="L109" s="2">
        <v>0</v>
      </c>
      <c r="M109" s="2">
        <v>3</v>
      </c>
      <c r="N109" s="2">
        <v>2</v>
      </c>
      <c r="O109" s="2">
        <v>0</v>
      </c>
      <c r="P109" s="2">
        <v>1</v>
      </c>
      <c r="Q109" s="2">
        <v>0</v>
      </c>
      <c r="R109" s="2">
        <v>0</v>
      </c>
      <c r="S109" s="2">
        <v>0</v>
      </c>
      <c r="T109" s="2">
        <v>2</v>
      </c>
      <c r="U109" s="2">
        <v>0</v>
      </c>
      <c r="V109" s="2">
        <v>0</v>
      </c>
      <c r="W109" s="2">
        <v>32</v>
      </c>
      <c r="X109" s="2">
        <v>0</v>
      </c>
      <c r="Y109" s="2">
        <v>0</v>
      </c>
      <c r="Z109" s="2">
        <v>1</v>
      </c>
      <c r="AA109" s="2">
        <v>1</v>
      </c>
      <c r="AB109" s="2">
        <v>2</v>
      </c>
      <c r="AC109" s="2">
        <v>1</v>
      </c>
      <c r="AD109" s="2">
        <v>0</v>
      </c>
      <c r="AE109" s="2">
        <v>0</v>
      </c>
      <c r="AF109" s="2">
        <v>1</v>
      </c>
    </row>
    <row r="110" spans="1:32" x14ac:dyDescent="0.25">
      <c r="A110">
        <v>109</v>
      </c>
      <c r="B110" s="2">
        <v>0</v>
      </c>
      <c r="C110" s="2">
        <v>24</v>
      </c>
      <c r="D110" s="2">
        <v>2</v>
      </c>
      <c r="E110" s="2">
        <v>0</v>
      </c>
      <c r="F110" s="2">
        <v>0</v>
      </c>
      <c r="G110" s="2">
        <v>1</v>
      </c>
      <c r="H110" s="2">
        <v>0</v>
      </c>
      <c r="I110" s="2">
        <v>0</v>
      </c>
      <c r="J110" s="2">
        <v>0</v>
      </c>
      <c r="K110" s="2">
        <v>7721</v>
      </c>
      <c r="L110" s="2">
        <v>4</v>
      </c>
      <c r="M110" s="2">
        <v>1</v>
      </c>
      <c r="N110" s="2">
        <v>1</v>
      </c>
      <c r="O110" s="2">
        <v>0</v>
      </c>
      <c r="P110" s="2">
        <v>0</v>
      </c>
      <c r="Q110" s="2">
        <v>0</v>
      </c>
      <c r="R110" s="2">
        <v>0</v>
      </c>
      <c r="S110" s="2">
        <v>0</v>
      </c>
      <c r="T110" s="2">
        <v>2</v>
      </c>
      <c r="U110" s="2">
        <v>0</v>
      </c>
      <c r="V110" s="2">
        <v>0</v>
      </c>
      <c r="W110" s="2">
        <v>30</v>
      </c>
      <c r="X110" s="2">
        <v>0</v>
      </c>
      <c r="Y110" s="2">
        <v>0</v>
      </c>
      <c r="Z110" s="2">
        <v>1</v>
      </c>
      <c r="AA110" s="2">
        <v>1</v>
      </c>
      <c r="AB110" s="2">
        <v>2</v>
      </c>
      <c r="AC110" s="2">
        <v>1</v>
      </c>
      <c r="AD110" s="2">
        <v>1</v>
      </c>
      <c r="AE110" s="2">
        <v>1</v>
      </c>
      <c r="AF110" s="2">
        <v>1</v>
      </c>
    </row>
    <row r="111" spans="1:32" x14ac:dyDescent="0.25">
      <c r="A111">
        <v>110</v>
      </c>
      <c r="B111" s="2">
        <v>1</v>
      </c>
      <c r="C111" s="2">
        <v>14</v>
      </c>
      <c r="D111" s="2">
        <v>2</v>
      </c>
      <c r="E111" s="2">
        <v>0</v>
      </c>
      <c r="F111" s="2">
        <v>0</v>
      </c>
      <c r="G111" s="2">
        <v>0</v>
      </c>
      <c r="H111" s="2">
        <v>0</v>
      </c>
      <c r="I111" s="2">
        <v>0</v>
      </c>
      <c r="J111" s="2">
        <v>1</v>
      </c>
      <c r="K111" s="2">
        <v>1410</v>
      </c>
      <c r="L111" s="2">
        <v>2</v>
      </c>
      <c r="M111" s="2">
        <v>4</v>
      </c>
      <c r="N111" s="2">
        <v>1</v>
      </c>
      <c r="O111" s="2">
        <v>0</v>
      </c>
      <c r="P111" s="2">
        <v>0</v>
      </c>
      <c r="Q111" s="2">
        <v>1</v>
      </c>
      <c r="R111" s="2">
        <v>0</v>
      </c>
      <c r="S111" s="2">
        <v>0</v>
      </c>
      <c r="T111" s="2">
        <v>2</v>
      </c>
      <c r="U111" s="2">
        <v>1</v>
      </c>
      <c r="V111" s="2">
        <v>0</v>
      </c>
      <c r="W111" s="2">
        <v>35</v>
      </c>
      <c r="X111" s="2">
        <v>0</v>
      </c>
      <c r="Y111" s="2">
        <v>0</v>
      </c>
      <c r="Z111" s="2">
        <v>1</v>
      </c>
      <c r="AA111" s="2">
        <v>1</v>
      </c>
      <c r="AB111" s="2">
        <v>2</v>
      </c>
      <c r="AC111" s="2">
        <v>1</v>
      </c>
      <c r="AD111" s="2">
        <v>1</v>
      </c>
      <c r="AE111" s="2">
        <v>0</v>
      </c>
      <c r="AF111" s="2">
        <v>1</v>
      </c>
    </row>
    <row r="112" spans="1:32" x14ac:dyDescent="0.25">
      <c r="A112">
        <v>111</v>
      </c>
      <c r="B112" s="2">
        <v>1</v>
      </c>
      <c r="C112" s="2">
        <v>6</v>
      </c>
      <c r="D112" s="2">
        <v>3</v>
      </c>
      <c r="E112" s="2">
        <v>0</v>
      </c>
      <c r="F112" s="2">
        <v>0</v>
      </c>
      <c r="G112" s="2">
        <v>0</v>
      </c>
      <c r="H112" s="2">
        <v>0</v>
      </c>
      <c r="I112" s="2">
        <v>0</v>
      </c>
      <c r="J112" s="2">
        <v>1</v>
      </c>
      <c r="K112" s="2">
        <v>1449</v>
      </c>
      <c r="L112" s="2">
        <v>1</v>
      </c>
      <c r="M112" s="2">
        <v>4</v>
      </c>
      <c r="N112" s="2">
        <v>1</v>
      </c>
      <c r="O112" s="2">
        <v>1</v>
      </c>
      <c r="P112" s="2">
        <v>0</v>
      </c>
      <c r="Q112" s="2">
        <v>0</v>
      </c>
      <c r="R112" s="2">
        <v>0</v>
      </c>
      <c r="S112" s="2">
        <v>0</v>
      </c>
      <c r="T112" s="2">
        <v>2</v>
      </c>
      <c r="U112" s="2">
        <v>0</v>
      </c>
      <c r="V112" s="2">
        <v>0</v>
      </c>
      <c r="W112" s="2">
        <v>31</v>
      </c>
      <c r="X112" s="2">
        <v>1</v>
      </c>
      <c r="Y112" s="2">
        <v>0</v>
      </c>
      <c r="Z112" s="2">
        <v>1</v>
      </c>
      <c r="AA112" s="2">
        <v>2</v>
      </c>
      <c r="AB112" s="2">
        <v>2</v>
      </c>
      <c r="AC112" s="2">
        <v>2</v>
      </c>
      <c r="AD112" s="2">
        <v>0</v>
      </c>
      <c r="AE112" s="2">
        <v>0</v>
      </c>
      <c r="AF112" s="2">
        <v>1</v>
      </c>
    </row>
    <row r="113" spans="1:32" x14ac:dyDescent="0.25">
      <c r="A113">
        <v>112</v>
      </c>
      <c r="B113" s="2">
        <v>2</v>
      </c>
      <c r="C113" s="2">
        <v>15</v>
      </c>
      <c r="D113" s="2">
        <v>2</v>
      </c>
      <c r="E113" s="2">
        <v>0</v>
      </c>
      <c r="F113" s="2">
        <v>0</v>
      </c>
      <c r="G113" s="2">
        <v>0</v>
      </c>
      <c r="H113" s="2">
        <v>0</v>
      </c>
      <c r="I113" s="2">
        <v>1</v>
      </c>
      <c r="J113" s="2">
        <v>0</v>
      </c>
      <c r="K113" s="2">
        <v>392</v>
      </c>
      <c r="L113" s="2">
        <v>0</v>
      </c>
      <c r="M113" s="2">
        <v>1</v>
      </c>
      <c r="N113" s="2">
        <v>4</v>
      </c>
      <c r="O113" s="2">
        <v>0</v>
      </c>
      <c r="P113" s="2">
        <v>0</v>
      </c>
      <c r="Q113" s="2">
        <v>0</v>
      </c>
      <c r="R113" s="2">
        <v>0</v>
      </c>
      <c r="S113" s="2">
        <v>0</v>
      </c>
      <c r="T113" s="2">
        <v>4</v>
      </c>
      <c r="U113" s="2">
        <v>0</v>
      </c>
      <c r="V113" s="2">
        <v>0</v>
      </c>
      <c r="W113" s="2">
        <v>23</v>
      </c>
      <c r="X113" s="2">
        <v>0</v>
      </c>
      <c r="Y113" s="2">
        <v>1</v>
      </c>
      <c r="Z113" s="2">
        <v>0</v>
      </c>
      <c r="AA113" s="2">
        <v>1</v>
      </c>
      <c r="AB113" s="2">
        <v>2</v>
      </c>
      <c r="AC113" s="2">
        <v>1</v>
      </c>
      <c r="AD113" s="2">
        <v>1</v>
      </c>
      <c r="AE113" s="2">
        <v>0</v>
      </c>
      <c r="AF113" s="2">
        <v>1</v>
      </c>
    </row>
    <row r="114" spans="1:32" x14ac:dyDescent="0.25">
      <c r="A114">
        <v>113</v>
      </c>
      <c r="B114" s="2">
        <v>1</v>
      </c>
      <c r="C114" s="2">
        <v>18</v>
      </c>
      <c r="D114" s="2">
        <v>2</v>
      </c>
      <c r="E114" s="2">
        <v>1</v>
      </c>
      <c r="F114" s="2">
        <v>0</v>
      </c>
      <c r="G114" s="2">
        <v>0</v>
      </c>
      <c r="H114" s="2">
        <v>0</v>
      </c>
      <c r="I114" s="2">
        <v>0</v>
      </c>
      <c r="J114" s="2">
        <v>0</v>
      </c>
      <c r="K114" s="2">
        <v>6260</v>
      </c>
      <c r="L114" s="2">
        <v>0</v>
      </c>
      <c r="M114" s="2">
        <v>3</v>
      </c>
      <c r="N114" s="2">
        <v>3</v>
      </c>
      <c r="O114" s="2">
        <v>0</v>
      </c>
      <c r="P114" s="2">
        <v>1</v>
      </c>
      <c r="Q114" s="2">
        <v>0</v>
      </c>
      <c r="R114" s="2">
        <v>0</v>
      </c>
      <c r="S114" s="2">
        <v>0</v>
      </c>
      <c r="T114" s="2">
        <v>3</v>
      </c>
      <c r="U114" s="2">
        <v>1</v>
      </c>
      <c r="V114" s="2">
        <v>0</v>
      </c>
      <c r="W114" s="2">
        <v>28</v>
      </c>
      <c r="X114" s="2">
        <v>0</v>
      </c>
      <c r="Y114" s="2">
        <v>1</v>
      </c>
      <c r="Z114" s="2">
        <v>0</v>
      </c>
      <c r="AA114" s="2">
        <v>1</v>
      </c>
      <c r="AB114" s="2">
        <v>1</v>
      </c>
      <c r="AC114" s="2">
        <v>1</v>
      </c>
      <c r="AD114" s="2">
        <v>0</v>
      </c>
      <c r="AE114" s="2">
        <v>0</v>
      </c>
      <c r="AF114" s="2">
        <v>1</v>
      </c>
    </row>
    <row r="115" spans="1:32" x14ac:dyDescent="0.25">
      <c r="A115">
        <v>114</v>
      </c>
      <c r="B115" s="2">
        <v>3</v>
      </c>
      <c r="C115" s="2">
        <v>36</v>
      </c>
      <c r="D115" s="2">
        <v>4</v>
      </c>
      <c r="E115" s="2">
        <v>1</v>
      </c>
      <c r="F115" s="2">
        <v>0</v>
      </c>
      <c r="G115" s="2">
        <v>0</v>
      </c>
      <c r="H115" s="2">
        <v>0</v>
      </c>
      <c r="I115" s="2">
        <v>0</v>
      </c>
      <c r="J115" s="2">
        <v>0</v>
      </c>
      <c r="K115" s="2">
        <v>7855</v>
      </c>
      <c r="L115" s="2">
        <v>0</v>
      </c>
      <c r="M115" s="2">
        <v>2</v>
      </c>
      <c r="N115" s="2">
        <v>4</v>
      </c>
      <c r="O115" s="2">
        <v>0</v>
      </c>
      <c r="P115" s="2">
        <v>0</v>
      </c>
      <c r="Q115" s="2">
        <v>0</v>
      </c>
      <c r="R115" s="2">
        <v>0</v>
      </c>
      <c r="S115" s="2">
        <v>0</v>
      </c>
      <c r="T115" s="2">
        <v>2</v>
      </c>
      <c r="U115" s="2">
        <v>1</v>
      </c>
      <c r="V115" s="2">
        <v>0</v>
      </c>
      <c r="W115" s="2">
        <v>25</v>
      </c>
      <c r="X115" s="2">
        <v>1</v>
      </c>
      <c r="Y115" s="2">
        <v>0</v>
      </c>
      <c r="Z115" s="2">
        <v>1</v>
      </c>
      <c r="AA115" s="2">
        <v>2</v>
      </c>
      <c r="AB115" s="2">
        <v>2</v>
      </c>
      <c r="AC115" s="2">
        <v>1</v>
      </c>
      <c r="AD115" s="2">
        <v>1</v>
      </c>
      <c r="AE115" s="2">
        <v>0</v>
      </c>
      <c r="AF115" s="2">
        <v>0</v>
      </c>
    </row>
    <row r="116" spans="1:32" x14ac:dyDescent="0.25">
      <c r="A116">
        <v>115</v>
      </c>
      <c r="B116" s="2">
        <v>0</v>
      </c>
      <c r="C116" s="2">
        <v>12</v>
      </c>
      <c r="D116" s="2">
        <v>2</v>
      </c>
      <c r="E116" s="2">
        <v>0</v>
      </c>
      <c r="F116" s="2">
        <v>0</v>
      </c>
      <c r="G116" s="2">
        <v>0</v>
      </c>
      <c r="H116" s="2">
        <v>1</v>
      </c>
      <c r="I116" s="2">
        <v>0</v>
      </c>
      <c r="J116" s="2">
        <v>0</v>
      </c>
      <c r="K116" s="2">
        <v>1680</v>
      </c>
      <c r="L116" s="2">
        <v>2</v>
      </c>
      <c r="M116" s="2">
        <v>4</v>
      </c>
      <c r="N116" s="2">
        <v>3</v>
      </c>
      <c r="O116" s="2">
        <v>0</v>
      </c>
      <c r="P116" s="2">
        <v>0</v>
      </c>
      <c r="Q116" s="2">
        <v>1</v>
      </c>
      <c r="R116" s="2">
        <v>0</v>
      </c>
      <c r="S116" s="2">
        <v>0</v>
      </c>
      <c r="T116" s="2">
        <v>1</v>
      </c>
      <c r="U116" s="2">
        <v>1</v>
      </c>
      <c r="V116" s="2">
        <v>0</v>
      </c>
      <c r="W116" s="2">
        <v>35</v>
      </c>
      <c r="X116" s="2">
        <v>0</v>
      </c>
      <c r="Y116" s="2">
        <v>0</v>
      </c>
      <c r="Z116" s="2">
        <v>1</v>
      </c>
      <c r="AA116" s="2">
        <v>1</v>
      </c>
      <c r="AB116" s="2">
        <v>2</v>
      </c>
      <c r="AC116" s="2">
        <v>1</v>
      </c>
      <c r="AD116" s="2">
        <v>0</v>
      </c>
      <c r="AE116" s="2">
        <v>0</v>
      </c>
      <c r="AF116" s="2">
        <v>1</v>
      </c>
    </row>
    <row r="117" spans="1:32" x14ac:dyDescent="0.25">
      <c r="A117">
        <v>116</v>
      </c>
      <c r="B117" s="2">
        <v>3</v>
      </c>
      <c r="C117" s="2">
        <v>48</v>
      </c>
      <c r="D117" s="2">
        <v>4</v>
      </c>
      <c r="E117" s="2">
        <v>0</v>
      </c>
      <c r="F117" s="2">
        <v>0</v>
      </c>
      <c r="G117" s="2">
        <v>0</v>
      </c>
      <c r="H117" s="2">
        <v>1</v>
      </c>
      <c r="I117" s="2">
        <v>0</v>
      </c>
      <c r="J117" s="2">
        <v>0</v>
      </c>
      <c r="K117" s="2">
        <v>3578</v>
      </c>
      <c r="L117" s="2">
        <v>4</v>
      </c>
      <c r="M117" s="2">
        <v>4</v>
      </c>
      <c r="N117" s="2">
        <v>4</v>
      </c>
      <c r="O117" s="2">
        <v>0</v>
      </c>
      <c r="P117" s="2">
        <v>1</v>
      </c>
      <c r="Q117" s="2">
        <v>0</v>
      </c>
      <c r="R117" s="2">
        <v>0</v>
      </c>
      <c r="S117" s="2">
        <v>0</v>
      </c>
      <c r="T117" s="2">
        <v>1</v>
      </c>
      <c r="U117" s="2">
        <v>1</v>
      </c>
      <c r="V117" s="2">
        <v>0</v>
      </c>
      <c r="W117" s="2">
        <v>47</v>
      </c>
      <c r="X117" s="2">
        <v>0</v>
      </c>
      <c r="Y117" s="2">
        <v>0</v>
      </c>
      <c r="Z117" s="2">
        <v>1</v>
      </c>
      <c r="AA117" s="2">
        <v>1</v>
      </c>
      <c r="AB117" s="2">
        <v>2</v>
      </c>
      <c r="AC117" s="2">
        <v>1</v>
      </c>
      <c r="AD117" s="2">
        <v>1</v>
      </c>
      <c r="AE117" s="2">
        <v>0</v>
      </c>
      <c r="AF117" s="2">
        <v>1</v>
      </c>
    </row>
    <row r="118" spans="1:32" x14ac:dyDescent="0.25">
      <c r="A118">
        <v>117</v>
      </c>
      <c r="B118" s="2">
        <v>0</v>
      </c>
      <c r="C118" s="2">
        <v>42</v>
      </c>
      <c r="D118" s="2">
        <v>2</v>
      </c>
      <c r="E118" s="2">
        <v>0</v>
      </c>
      <c r="F118" s="2">
        <v>0</v>
      </c>
      <c r="G118" s="2">
        <v>0</v>
      </c>
      <c r="H118" s="2">
        <v>1</v>
      </c>
      <c r="I118" s="2">
        <v>0</v>
      </c>
      <c r="J118" s="2">
        <v>0</v>
      </c>
      <c r="K118" s="2">
        <v>7174</v>
      </c>
      <c r="L118" s="2">
        <v>4</v>
      </c>
      <c r="M118" s="2">
        <v>3</v>
      </c>
      <c r="N118" s="2">
        <v>4</v>
      </c>
      <c r="O118" s="2">
        <v>0</v>
      </c>
      <c r="P118" s="2">
        <v>0</v>
      </c>
      <c r="Q118" s="2">
        <v>0</v>
      </c>
      <c r="R118" s="2">
        <v>0</v>
      </c>
      <c r="S118" s="2">
        <v>0</v>
      </c>
      <c r="T118" s="2">
        <v>3</v>
      </c>
      <c r="U118" s="2">
        <v>0</v>
      </c>
      <c r="V118" s="2">
        <v>0</v>
      </c>
      <c r="W118" s="2">
        <v>30</v>
      </c>
      <c r="X118" s="2">
        <v>0</v>
      </c>
      <c r="Y118" s="2">
        <v>0</v>
      </c>
      <c r="Z118" s="2">
        <v>1</v>
      </c>
      <c r="AA118" s="2">
        <v>1</v>
      </c>
      <c r="AB118" s="2">
        <v>3</v>
      </c>
      <c r="AC118" s="2">
        <v>1</v>
      </c>
      <c r="AD118" s="2">
        <v>1</v>
      </c>
      <c r="AE118" s="2">
        <v>0</v>
      </c>
      <c r="AF118" s="2">
        <v>0</v>
      </c>
    </row>
    <row r="119" spans="1:32" x14ac:dyDescent="0.25">
      <c r="A119">
        <v>118</v>
      </c>
      <c r="B119" s="2">
        <v>0</v>
      </c>
      <c r="C119" s="2">
        <v>10</v>
      </c>
      <c r="D119" s="2">
        <v>4</v>
      </c>
      <c r="E119" s="2">
        <v>0</v>
      </c>
      <c r="F119" s="2">
        <v>0</v>
      </c>
      <c r="G119" s="2">
        <v>1</v>
      </c>
      <c r="H119" s="2">
        <v>0</v>
      </c>
      <c r="I119" s="2">
        <v>0</v>
      </c>
      <c r="J119" s="2">
        <v>0</v>
      </c>
      <c r="K119" s="2">
        <v>2132</v>
      </c>
      <c r="L119" s="2">
        <v>4</v>
      </c>
      <c r="M119" s="2">
        <v>1</v>
      </c>
      <c r="N119" s="2">
        <v>2</v>
      </c>
      <c r="O119" s="2">
        <v>0</v>
      </c>
      <c r="P119" s="2">
        <v>0</v>
      </c>
      <c r="Q119" s="2">
        <v>0</v>
      </c>
      <c r="R119" s="2">
        <v>1</v>
      </c>
      <c r="S119" s="2">
        <v>0</v>
      </c>
      <c r="T119" s="2">
        <v>3</v>
      </c>
      <c r="U119" s="2">
        <v>1</v>
      </c>
      <c r="V119" s="2">
        <v>0</v>
      </c>
      <c r="W119" s="2">
        <v>27</v>
      </c>
      <c r="X119" s="2">
        <v>0</v>
      </c>
      <c r="Y119" s="2">
        <v>1</v>
      </c>
      <c r="Z119" s="2">
        <v>0</v>
      </c>
      <c r="AA119" s="2">
        <v>2</v>
      </c>
      <c r="AB119" s="2">
        <v>2</v>
      </c>
      <c r="AC119" s="2">
        <v>1</v>
      </c>
      <c r="AD119" s="2">
        <v>0</v>
      </c>
      <c r="AE119" s="2">
        <v>1</v>
      </c>
      <c r="AF119" s="2">
        <v>1</v>
      </c>
    </row>
    <row r="120" spans="1:32" x14ac:dyDescent="0.25">
      <c r="A120">
        <v>119</v>
      </c>
      <c r="B120" s="2">
        <v>0</v>
      </c>
      <c r="C120" s="2">
        <v>33</v>
      </c>
      <c r="D120" s="2">
        <v>4</v>
      </c>
      <c r="E120" s="2">
        <v>0</v>
      </c>
      <c r="F120" s="2">
        <v>0</v>
      </c>
      <c r="G120" s="2">
        <v>1</v>
      </c>
      <c r="H120" s="2">
        <v>0</v>
      </c>
      <c r="I120" s="2">
        <v>0</v>
      </c>
      <c r="J120" s="2">
        <v>0</v>
      </c>
      <c r="K120" s="2">
        <v>4281</v>
      </c>
      <c r="L120" s="2">
        <v>2</v>
      </c>
      <c r="M120" s="2">
        <v>2</v>
      </c>
      <c r="N120" s="2">
        <v>1</v>
      </c>
      <c r="O120" s="2">
        <v>0</v>
      </c>
      <c r="P120" s="2">
        <v>0</v>
      </c>
      <c r="Q120" s="2">
        <v>0</v>
      </c>
      <c r="R120" s="2">
        <v>0</v>
      </c>
      <c r="S120" s="2">
        <v>0</v>
      </c>
      <c r="T120" s="2">
        <v>4</v>
      </c>
      <c r="U120" s="2">
        <v>0</v>
      </c>
      <c r="V120" s="2">
        <v>0</v>
      </c>
      <c r="W120" s="2">
        <v>23</v>
      </c>
      <c r="X120" s="2">
        <v>0</v>
      </c>
      <c r="Y120" s="2">
        <v>0</v>
      </c>
      <c r="Z120" s="2">
        <v>1</v>
      </c>
      <c r="AA120" s="2">
        <v>2</v>
      </c>
      <c r="AB120" s="2">
        <v>2</v>
      </c>
      <c r="AC120" s="2">
        <v>1</v>
      </c>
      <c r="AD120" s="2">
        <v>0</v>
      </c>
      <c r="AE120" s="2">
        <v>0</v>
      </c>
      <c r="AF120" s="2">
        <v>0</v>
      </c>
    </row>
    <row r="121" spans="1:32" x14ac:dyDescent="0.25">
      <c r="A121">
        <v>120</v>
      </c>
      <c r="B121" s="2">
        <v>1</v>
      </c>
      <c r="C121" s="2">
        <v>12</v>
      </c>
      <c r="D121" s="2">
        <v>4</v>
      </c>
      <c r="E121" s="2">
        <v>1</v>
      </c>
      <c r="F121" s="2">
        <v>0</v>
      </c>
      <c r="G121" s="2">
        <v>0</v>
      </c>
      <c r="H121" s="2">
        <v>0</v>
      </c>
      <c r="I121" s="2">
        <v>0</v>
      </c>
      <c r="J121" s="2">
        <v>0</v>
      </c>
      <c r="K121" s="2">
        <v>2366</v>
      </c>
      <c r="L121" s="2">
        <v>2</v>
      </c>
      <c r="M121" s="2">
        <v>3</v>
      </c>
      <c r="N121" s="2">
        <v>3</v>
      </c>
      <c r="O121" s="2">
        <v>1</v>
      </c>
      <c r="P121" s="2">
        <v>0</v>
      </c>
      <c r="Q121" s="2">
        <v>0</v>
      </c>
      <c r="R121" s="2">
        <v>0</v>
      </c>
      <c r="S121" s="2">
        <v>0</v>
      </c>
      <c r="T121" s="2">
        <v>3</v>
      </c>
      <c r="U121" s="2">
        <v>0</v>
      </c>
      <c r="V121" s="2">
        <v>0</v>
      </c>
      <c r="W121" s="2">
        <v>36</v>
      </c>
      <c r="X121" s="2">
        <v>0</v>
      </c>
      <c r="Y121" s="2">
        <v>0</v>
      </c>
      <c r="Z121" s="2">
        <v>1</v>
      </c>
      <c r="AA121" s="2">
        <v>1</v>
      </c>
      <c r="AB121" s="2">
        <v>3</v>
      </c>
      <c r="AC121" s="2">
        <v>1</v>
      </c>
      <c r="AD121" s="2">
        <v>1</v>
      </c>
      <c r="AE121" s="2">
        <v>0</v>
      </c>
      <c r="AF121" s="2">
        <v>1</v>
      </c>
    </row>
    <row r="122" spans="1:32" x14ac:dyDescent="0.25">
      <c r="A122">
        <v>121</v>
      </c>
      <c r="B122" s="2">
        <v>0</v>
      </c>
      <c r="C122" s="2">
        <v>21</v>
      </c>
      <c r="D122" s="2">
        <v>2</v>
      </c>
      <c r="E122" s="2">
        <v>0</v>
      </c>
      <c r="F122" s="2">
        <v>0</v>
      </c>
      <c r="G122" s="2">
        <v>0</v>
      </c>
      <c r="H122" s="2">
        <v>1</v>
      </c>
      <c r="I122" s="2">
        <v>0</v>
      </c>
      <c r="J122" s="2">
        <v>0</v>
      </c>
      <c r="K122" s="2">
        <v>1835</v>
      </c>
      <c r="L122" s="2">
        <v>0</v>
      </c>
      <c r="M122" s="2">
        <v>2</v>
      </c>
      <c r="N122" s="2">
        <v>3</v>
      </c>
      <c r="O122" s="2">
        <v>0</v>
      </c>
      <c r="P122" s="2">
        <v>0</v>
      </c>
      <c r="Q122" s="2">
        <v>0</v>
      </c>
      <c r="R122" s="2">
        <v>0</v>
      </c>
      <c r="S122" s="2">
        <v>0</v>
      </c>
      <c r="T122" s="2">
        <v>2</v>
      </c>
      <c r="U122" s="2">
        <v>1</v>
      </c>
      <c r="V122" s="2">
        <v>0</v>
      </c>
      <c r="W122" s="2">
        <v>25</v>
      </c>
      <c r="X122" s="2">
        <v>0</v>
      </c>
      <c r="Y122" s="2">
        <v>0</v>
      </c>
      <c r="Z122" s="2">
        <v>1</v>
      </c>
      <c r="AA122" s="2">
        <v>2</v>
      </c>
      <c r="AB122" s="2">
        <v>2</v>
      </c>
      <c r="AC122" s="2">
        <v>1</v>
      </c>
      <c r="AD122" s="2">
        <v>1</v>
      </c>
      <c r="AE122" s="2">
        <v>0</v>
      </c>
      <c r="AF122" s="2">
        <v>0</v>
      </c>
    </row>
    <row r="123" spans="1:32" x14ac:dyDescent="0.25">
      <c r="A123">
        <v>122</v>
      </c>
      <c r="B123" s="2">
        <v>3</v>
      </c>
      <c r="C123" s="2">
        <v>24</v>
      </c>
      <c r="D123" s="2">
        <v>4</v>
      </c>
      <c r="E123" s="2">
        <v>0</v>
      </c>
      <c r="F123" s="2">
        <v>1</v>
      </c>
      <c r="G123" s="2">
        <v>0</v>
      </c>
      <c r="H123" s="2">
        <v>0</v>
      </c>
      <c r="I123" s="2">
        <v>0</v>
      </c>
      <c r="J123" s="2">
        <v>0</v>
      </c>
      <c r="K123" s="2">
        <v>3868</v>
      </c>
      <c r="L123" s="2">
        <v>0</v>
      </c>
      <c r="M123" s="2">
        <v>4</v>
      </c>
      <c r="N123" s="2">
        <v>4</v>
      </c>
      <c r="O123" s="2">
        <v>0</v>
      </c>
      <c r="P123" s="2">
        <v>0</v>
      </c>
      <c r="Q123" s="2">
        <v>0</v>
      </c>
      <c r="R123" s="2">
        <v>0</v>
      </c>
      <c r="S123" s="2">
        <v>0</v>
      </c>
      <c r="T123" s="2">
        <v>2</v>
      </c>
      <c r="U123" s="2">
        <v>0</v>
      </c>
      <c r="V123" s="2">
        <v>0</v>
      </c>
      <c r="W123" s="2">
        <v>41</v>
      </c>
      <c r="X123" s="2">
        <v>0</v>
      </c>
      <c r="Y123" s="2">
        <v>1</v>
      </c>
      <c r="Z123" s="2">
        <v>0</v>
      </c>
      <c r="AA123" s="2">
        <v>2</v>
      </c>
      <c r="AB123" s="2">
        <v>3</v>
      </c>
      <c r="AC123" s="2">
        <v>1</v>
      </c>
      <c r="AD123" s="2">
        <v>1</v>
      </c>
      <c r="AE123" s="2">
        <v>0</v>
      </c>
      <c r="AF123" s="2">
        <v>1</v>
      </c>
    </row>
    <row r="124" spans="1:32" x14ac:dyDescent="0.25">
      <c r="A124">
        <v>123</v>
      </c>
      <c r="B124" s="2">
        <v>3</v>
      </c>
      <c r="C124" s="2">
        <v>12</v>
      </c>
      <c r="D124" s="2">
        <v>2</v>
      </c>
      <c r="E124" s="2">
        <v>0</v>
      </c>
      <c r="F124" s="2">
        <v>0</v>
      </c>
      <c r="G124" s="2">
        <v>1</v>
      </c>
      <c r="H124" s="2">
        <v>0</v>
      </c>
      <c r="I124" s="2">
        <v>0</v>
      </c>
      <c r="J124" s="2">
        <v>0</v>
      </c>
      <c r="K124" s="2">
        <v>1768</v>
      </c>
      <c r="L124" s="2">
        <v>0</v>
      </c>
      <c r="M124" s="2">
        <v>2</v>
      </c>
      <c r="N124" s="2">
        <v>3</v>
      </c>
      <c r="O124" s="2">
        <v>0</v>
      </c>
      <c r="P124" s="2">
        <v>1</v>
      </c>
      <c r="Q124" s="2">
        <v>0</v>
      </c>
      <c r="R124" s="2">
        <v>0</v>
      </c>
      <c r="S124" s="2">
        <v>0</v>
      </c>
      <c r="T124" s="2">
        <v>2</v>
      </c>
      <c r="U124" s="2">
        <v>1</v>
      </c>
      <c r="V124" s="2">
        <v>0</v>
      </c>
      <c r="W124" s="2">
        <v>24</v>
      </c>
      <c r="X124" s="2">
        <v>0</v>
      </c>
      <c r="Y124" s="2">
        <v>1</v>
      </c>
      <c r="Z124" s="2">
        <v>0</v>
      </c>
      <c r="AA124" s="2">
        <v>1</v>
      </c>
      <c r="AB124" s="2">
        <v>1</v>
      </c>
      <c r="AC124" s="2">
        <v>1</v>
      </c>
      <c r="AD124" s="2">
        <v>0</v>
      </c>
      <c r="AE124" s="2">
        <v>0</v>
      </c>
      <c r="AF124" s="2">
        <v>1</v>
      </c>
    </row>
    <row r="125" spans="1:32" x14ac:dyDescent="0.25">
      <c r="A125">
        <v>124</v>
      </c>
      <c r="B125" s="2">
        <v>2</v>
      </c>
      <c r="C125" s="2">
        <v>10</v>
      </c>
      <c r="D125" s="2">
        <v>4</v>
      </c>
      <c r="E125" s="2">
        <v>1</v>
      </c>
      <c r="F125" s="2">
        <v>0</v>
      </c>
      <c r="G125" s="2">
        <v>0</v>
      </c>
      <c r="H125" s="2">
        <v>0</v>
      </c>
      <c r="I125" s="2">
        <v>0</v>
      </c>
      <c r="J125" s="2">
        <v>0</v>
      </c>
      <c r="K125" s="2">
        <v>781</v>
      </c>
      <c r="L125" s="2">
        <v>0</v>
      </c>
      <c r="M125" s="2">
        <v>4</v>
      </c>
      <c r="N125" s="2">
        <v>4</v>
      </c>
      <c r="O125" s="2">
        <v>0</v>
      </c>
      <c r="P125" s="2">
        <v>1</v>
      </c>
      <c r="Q125" s="2">
        <v>0</v>
      </c>
      <c r="R125" s="2">
        <v>0</v>
      </c>
      <c r="S125" s="2">
        <v>0</v>
      </c>
      <c r="T125" s="2">
        <v>4</v>
      </c>
      <c r="U125" s="2">
        <v>0</v>
      </c>
      <c r="V125" s="2">
        <v>1</v>
      </c>
      <c r="W125" s="2">
        <v>63</v>
      </c>
      <c r="X125" s="2">
        <v>0</v>
      </c>
      <c r="Y125" s="2">
        <v>0</v>
      </c>
      <c r="Z125" s="2">
        <v>0</v>
      </c>
      <c r="AA125" s="2">
        <v>2</v>
      </c>
      <c r="AB125" s="2">
        <v>2</v>
      </c>
      <c r="AC125" s="2">
        <v>1</v>
      </c>
      <c r="AD125" s="2">
        <v>1</v>
      </c>
      <c r="AE125" s="2">
        <v>0</v>
      </c>
      <c r="AF125" s="2">
        <v>1</v>
      </c>
    </row>
    <row r="126" spans="1:32" x14ac:dyDescent="0.25">
      <c r="A126">
        <v>125</v>
      </c>
      <c r="B126" s="2">
        <v>1</v>
      </c>
      <c r="C126" s="2">
        <v>18</v>
      </c>
      <c r="D126" s="2">
        <v>2</v>
      </c>
      <c r="E126" s="2">
        <v>0</v>
      </c>
      <c r="F126" s="2">
        <v>0</v>
      </c>
      <c r="G126" s="2">
        <v>1</v>
      </c>
      <c r="H126" s="2">
        <v>0</v>
      </c>
      <c r="I126" s="2">
        <v>0</v>
      </c>
      <c r="J126" s="2">
        <v>0</v>
      </c>
      <c r="K126" s="2">
        <v>1924</v>
      </c>
      <c r="L126" s="2">
        <v>4</v>
      </c>
      <c r="M126" s="2">
        <v>1</v>
      </c>
      <c r="N126" s="2">
        <v>4</v>
      </c>
      <c r="O126" s="2">
        <v>0</v>
      </c>
      <c r="P126" s="2">
        <v>0</v>
      </c>
      <c r="Q126" s="2">
        <v>0</v>
      </c>
      <c r="R126" s="2">
        <v>0</v>
      </c>
      <c r="S126" s="2">
        <v>0</v>
      </c>
      <c r="T126" s="2">
        <v>3</v>
      </c>
      <c r="U126" s="2">
        <v>1</v>
      </c>
      <c r="V126" s="2">
        <v>0</v>
      </c>
      <c r="W126" s="2">
        <v>27</v>
      </c>
      <c r="X126" s="2">
        <v>0</v>
      </c>
      <c r="Y126" s="2">
        <v>1</v>
      </c>
      <c r="Z126" s="2">
        <v>0</v>
      </c>
      <c r="AA126" s="2">
        <v>1</v>
      </c>
      <c r="AB126" s="2">
        <v>2</v>
      </c>
      <c r="AC126" s="2">
        <v>1</v>
      </c>
      <c r="AD126" s="2">
        <v>0</v>
      </c>
      <c r="AE126" s="2">
        <v>0</v>
      </c>
      <c r="AF126" s="2">
        <v>0</v>
      </c>
    </row>
    <row r="127" spans="1:32" x14ac:dyDescent="0.25">
      <c r="A127">
        <v>126</v>
      </c>
      <c r="B127" s="2">
        <v>0</v>
      </c>
      <c r="C127" s="2">
        <v>12</v>
      </c>
      <c r="D127" s="2">
        <v>4</v>
      </c>
      <c r="E127" s="2">
        <v>1</v>
      </c>
      <c r="F127" s="2">
        <v>0</v>
      </c>
      <c r="G127" s="2">
        <v>0</v>
      </c>
      <c r="H127" s="2">
        <v>0</v>
      </c>
      <c r="I127" s="2">
        <v>0</v>
      </c>
      <c r="J127" s="2">
        <v>0</v>
      </c>
      <c r="K127" s="2">
        <v>2121</v>
      </c>
      <c r="L127" s="2">
        <v>0</v>
      </c>
      <c r="M127" s="2">
        <v>2</v>
      </c>
      <c r="N127" s="2">
        <v>4</v>
      </c>
      <c r="O127" s="2">
        <v>0</v>
      </c>
      <c r="P127" s="2">
        <v>1</v>
      </c>
      <c r="Q127" s="2">
        <v>0</v>
      </c>
      <c r="R127" s="2">
        <v>0</v>
      </c>
      <c r="S127" s="2">
        <v>0</v>
      </c>
      <c r="T127" s="2">
        <v>2</v>
      </c>
      <c r="U127" s="2">
        <v>0</v>
      </c>
      <c r="V127" s="2">
        <v>0</v>
      </c>
      <c r="W127" s="2">
        <v>30</v>
      </c>
      <c r="X127" s="2">
        <v>0</v>
      </c>
      <c r="Y127" s="2">
        <v>0</v>
      </c>
      <c r="Z127" s="2">
        <v>1</v>
      </c>
      <c r="AA127" s="2">
        <v>2</v>
      </c>
      <c r="AB127" s="2">
        <v>2</v>
      </c>
      <c r="AC127" s="2">
        <v>1</v>
      </c>
      <c r="AD127" s="2">
        <v>0</v>
      </c>
      <c r="AE127" s="2">
        <v>0</v>
      </c>
      <c r="AF127" s="2">
        <v>1</v>
      </c>
    </row>
    <row r="128" spans="1:32" x14ac:dyDescent="0.25">
      <c r="A128">
        <v>127</v>
      </c>
      <c r="B128" s="2">
        <v>0</v>
      </c>
      <c r="C128" s="2">
        <v>12</v>
      </c>
      <c r="D128" s="2">
        <v>2</v>
      </c>
      <c r="E128" s="2">
        <v>0</v>
      </c>
      <c r="F128" s="2">
        <v>0</v>
      </c>
      <c r="G128" s="2">
        <v>0</v>
      </c>
      <c r="H128" s="2">
        <v>1</v>
      </c>
      <c r="I128" s="2">
        <v>0</v>
      </c>
      <c r="J128" s="2">
        <v>0</v>
      </c>
      <c r="K128" s="2">
        <v>701</v>
      </c>
      <c r="L128" s="2">
        <v>0</v>
      </c>
      <c r="M128" s="2">
        <v>2</v>
      </c>
      <c r="N128" s="2">
        <v>4</v>
      </c>
      <c r="O128" s="2">
        <v>0</v>
      </c>
      <c r="P128" s="2">
        <v>0</v>
      </c>
      <c r="Q128" s="2">
        <v>1</v>
      </c>
      <c r="R128" s="2">
        <v>0</v>
      </c>
      <c r="S128" s="2">
        <v>0</v>
      </c>
      <c r="T128" s="2">
        <v>2</v>
      </c>
      <c r="U128" s="2">
        <v>1</v>
      </c>
      <c r="V128" s="2">
        <v>0</v>
      </c>
      <c r="W128" s="2">
        <v>40</v>
      </c>
      <c r="X128" s="2">
        <v>0</v>
      </c>
      <c r="Y128" s="2">
        <v>0</v>
      </c>
      <c r="Z128" s="2">
        <v>1</v>
      </c>
      <c r="AA128" s="2">
        <v>1</v>
      </c>
      <c r="AB128" s="2">
        <v>1</v>
      </c>
      <c r="AC128" s="2">
        <v>1</v>
      </c>
      <c r="AD128" s="2">
        <v>0</v>
      </c>
      <c r="AE128" s="2">
        <v>0</v>
      </c>
      <c r="AF128" s="2">
        <v>1</v>
      </c>
    </row>
    <row r="129" spans="1:32" x14ac:dyDescent="0.25">
      <c r="A129">
        <v>128</v>
      </c>
      <c r="B129" s="2">
        <v>1</v>
      </c>
      <c r="C129" s="2">
        <v>12</v>
      </c>
      <c r="D129" s="2">
        <v>2</v>
      </c>
      <c r="E129" s="2">
        <v>0</v>
      </c>
      <c r="F129" s="2">
        <v>0</v>
      </c>
      <c r="G129" s="2">
        <v>0</v>
      </c>
      <c r="H129" s="2">
        <v>0</v>
      </c>
      <c r="I129" s="2">
        <v>0</v>
      </c>
      <c r="J129" s="2">
        <v>0</v>
      </c>
      <c r="K129" s="2">
        <v>639</v>
      </c>
      <c r="L129" s="2">
        <v>0</v>
      </c>
      <c r="M129" s="2">
        <v>2</v>
      </c>
      <c r="N129" s="2">
        <v>4</v>
      </c>
      <c r="O129" s="2">
        <v>0</v>
      </c>
      <c r="P129" s="2">
        <v>1</v>
      </c>
      <c r="Q129" s="2">
        <v>0</v>
      </c>
      <c r="R129" s="2">
        <v>0</v>
      </c>
      <c r="S129" s="2">
        <v>0</v>
      </c>
      <c r="T129" s="2">
        <v>2</v>
      </c>
      <c r="U129" s="2">
        <v>0</v>
      </c>
      <c r="V129" s="2">
        <v>0</v>
      </c>
      <c r="W129" s="2">
        <v>30</v>
      </c>
      <c r="X129" s="2">
        <v>0</v>
      </c>
      <c r="Y129" s="2">
        <v>0</v>
      </c>
      <c r="Z129" s="2">
        <v>1</v>
      </c>
      <c r="AA129" s="2">
        <v>1</v>
      </c>
      <c r="AB129" s="2">
        <v>2</v>
      </c>
      <c r="AC129" s="2">
        <v>1</v>
      </c>
      <c r="AD129" s="2">
        <v>0</v>
      </c>
      <c r="AE129" s="2">
        <v>0</v>
      </c>
      <c r="AF129" s="2">
        <v>0</v>
      </c>
    </row>
    <row r="130" spans="1:32" x14ac:dyDescent="0.25">
      <c r="A130">
        <v>129</v>
      </c>
      <c r="B130" s="2">
        <v>1</v>
      </c>
      <c r="C130" s="2">
        <v>12</v>
      </c>
      <c r="D130" s="2">
        <v>4</v>
      </c>
      <c r="E130" s="2">
        <v>0</v>
      </c>
      <c r="F130" s="2">
        <v>1</v>
      </c>
      <c r="G130" s="2">
        <v>0</v>
      </c>
      <c r="H130" s="2">
        <v>0</v>
      </c>
      <c r="I130" s="2">
        <v>0</v>
      </c>
      <c r="J130" s="2">
        <v>0</v>
      </c>
      <c r="K130" s="2">
        <v>1860</v>
      </c>
      <c r="L130" s="2">
        <v>0</v>
      </c>
      <c r="M130" s="2">
        <v>0</v>
      </c>
      <c r="N130" s="2">
        <v>4</v>
      </c>
      <c r="O130" s="2">
        <v>0</v>
      </c>
      <c r="P130" s="2">
        <v>1</v>
      </c>
      <c r="Q130" s="2">
        <v>0</v>
      </c>
      <c r="R130" s="2">
        <v>0</v>
      </c>
      <c r="S130" s="2">
        <v>0</v>
      </c>
      <c r="T130" s="2">
        <v>2</v>
      </c>
      <c r="U130" s="2">
        <v>0</v>
      </c>
      <c r="V130" s="2">
        <v>0</v>
      </c>
      <c r="W130" s="2">
        <v>34</v>
      </c>
      <c r="X130" s="2">
        <v>0</v>
      </c>
      <c r="Y130" s="2">
        <v>0</v>
      </c>
      <c r="Z130" s="2">
        <v>1</v>
      </c>
      <c r="AA130" s="2">
        <v>2</v>
      </c>
      <c r="AB130" s="2">
        <v>3</v>
      </c>
      <c r="AC130" s="2">
        <v>1</v>
      </c>
      <c r="AD130" s="2">
        <v>1</v>
      </c>
      <c r="AE130" s="2">
        <v>0</v>
      </c>
      <c r="AF130" s="2">
        <v>1</v>
      </c>
    </row>
    <row r="131" spans="1:32" x14ac:dyDescent="0.25">
      <c r="A131">
        <v>130</v>
      </c>
      <c r="B131" s="2">
        <v>0</v>
      </c>
      <c r="C131" s="2">
        <v>12</v>
      </c>
      <c r="D131" s="2">
        <v>4</v>
      </c>
      <c r="E131" s="2">
        <v>1</v>
      </c>
      <c r="F131" s="2">
        <v>0</v>
      </c>
      <c r="G131" s="2">
        <v>0</v>
      </c>
      <c r="H131" s="2">
        <v>0</v>
      </c>
      <c r="I131" s="2">
        <v>0</v>
      </c>
      <c r="J131" s="2">
        <v>0</v>
      </c>
      <c r="K131" s="2">
        <v>3499</v>
      </c>
      <c r="L131" s="2">
        <v>0</v>
      </c>
      <c r="M131" s="2">
        <v>2</v>
      </c>
      <c r="N131" s="2">
        <v>3</v>
      </c>
      <c r="O131" s="2">
        <v>0</v>
      </c>
      <c r="P131" s="2">
        <v>0</v>
      </c>
      <c r="Q131" s="2">
        <v>0</v>
      </c>
      <c r="R131" s="2">
        <v>1</v>
      </c>
      <c r="S131" s="2">
        <v>0</v>
      </c>
      <c r="T131" s="2">
        <v>2</v>
      </c>
      <c r="U131" s="2">
        <v>1</v>
      </c>
      <c r="V131" s="2">
        <v>0</v>
      </c>
      <c r="W131" s="2">
        <v>29</v>
      </c>
      <c r="X131" s="2">
        <v>0</v>
      </c>
      <c r="Y131" s="2">
        <v>0</v>
      </c>
      <c r="Z131" s="2">
        <v>1</v>
      </c>
      <c r="AA131" s="2">
        <v>2</v>
      </c>
      <c r="AB131" s="2">
        <v>2</v>
      </c>
      <c r="AC131" s="2">
        <v>1</v>
      </c>
      <c r="AD131" s="2">
        <v>0</v>
      </c>
      <c r="AE131" s="2">
        <v>0</v>
      </c>
      <c r="AF131" s="2">
        <v>0</v>
      </c>
    </row>
    <row r="132" spans="1:32" x14ac:dyDescent="0.25">
      <c r="A132">
        <v>131</v>
      </c>
      <c r="B132" s="2">
        <v>1</v>
      </c>
      <c r="C132" s="2">
        <v>48</v>
      </c>
      <c r="D132" s="2">
        <v>2</v>
      </c>
      <c r="E132" s="2">
        <v>1</v>
      </c>
      <c r="F132" s="2">
        <v>0</v>
      </c>
      <c r="G132" s="2">
        <v>0</v>
      </c>
      <c r="H132" s="2">
        <v>0</v>
      </c>
      <c r="I132" s="2">
        <v>0</v>
      </c>
      <c r="J132" s="2">
        <v>0</v>
      </c>
      <c r="K132" s="2">
        <v>8487</v>
      </c>
      <c r="L132" s="2">
        <v>4</v>
      </c>
      <c r="M132" s="2">
        <v>3</v>
      </c>
      <c r="N132" s="2">
        <v>1</v>
      </c>
      <c r="O132" s="2">
        <v>0</v>
      </c>
      <c r="P132" s="2">
        <v>0</v>
      </c>
      <c r="Q132" s="2">
        <v>0</v>
      </c>
      <c r="R132" s="2">
        <v>0</v>
      </c>
      <c r="S132" s="2">
        <v>0</v>
      </c>
      <c r="T132" s="2">
        <v>2</v>
      </c>
      <c r="U132" s="2">
        <v>0</v>
      </c>
      <c r="V132" s="2">
        <v>0</v>
      </c>
      <c r="W132" s="2">
        <v>24</v>
      </c>
      <c r="X132" s="2">
        <v>0</v>
      </c>
      <c r="Y132" s="2">
        <v>0</v>
      </c>
      <c r="Z132" s="2">
        <v>1</v>
      </c>
      <c r="AA132" s="2">
        <v>1</v>
      </c>
      <c r="AB132" s="2">
        <v>2</v>
      </c>
      <c r="AC132" s="2">
        <v>1</v>
      </c>
      <c r="AD132" s="2">
        <v>0</v>
      </c>
      <c r="AE132" s="2">
        <v>0</v>
      </c>
      <c r="AF132" s="2">
        <v>1</v>
      </c>
    </row>
    <row r="133" spans="1:32" x14ac:dyDescent="0.25">
      <c r="A133">
        <v>132</v>
      </c>
      <c r="B133" s="2">
        <v>0</v>
      </c>
      <c r="C133" s="2">
        <v>36</v>
      </c>
      <c r="D133" s="2">
        <v>3</v>
      </c>
      <c r="E133" s="2">
        <v>0</v>
      </c>
      <c r="F133" s="2">
        <v>0</v>
      </c>
      <c r="G133" s="2">
        <v>0</v>
      </c>
      <c r="H133" s="2">
        <v>0</v>
      </c>
      <c r="I133" s="2">
        <v>1</v>
      </c>
      <c r="J133" s="2">
        <v>0</v>
      </c>
      <c r="K133" s="2">
        <v>6887</v>
      </c>
      <c r="L133" s="2">
        <v>0</v>
      </c>
      <c r="M133" s="2">
        <v>2</v>
      </c>
      <c r="N133" s="2">
        <v>4</v>
      </c>
      <c r="O133" s="2">
        <v>0</v>
      </c>
      <c r="P133" s="2">
        <v>1</v>
      </c>
      <c r="Q133" s="2">
        <v>0</v>
      </c>
      <c r="R133" s="2">
        <v>0</v>
      </c>
      <c r="S133" s="2">
        <v>0</v>
      </c>
      <c r="T133" s="2">
        <v>3</v>
      </c>
      <c r="U133" s="2">
        <v>0</v>
      </c>
      <c r="V133" s="2">
        <v>0</v>
      </c>
      <c r="W133" s="2">
        <v>29</v>
      </c>
      <c r="X133" s="2">
        <v>1</v>
      </c>
      <c r="Y133" s="2">
        <v>0</v>
      </c>
      <c r="Z133" s="2">
        <v>1</v>
      </c>
      <c r="AA133" s="2">
        <v>1</v>
      </c>
      <c r="AB133" s="2">
        <v>2</v>
      </c>
      <c r="AC133" s="2">
        <v>1</v>
      </c>
      <c r="AD133" s="2">
        <v>1</v>
      </c>
      <c r="AE133" s="2">
        <v>0</v>
      </c>
      <c r="AF133" s="2">
        <v>0</v>
      </c>
    </row>
    <row r="134" spans="1:32" x14ac:dyDescent="0.25">
      <c r="A134">
        <v>133</v>
      </c>
      <c r="B134" s="2">
        <v>3</v>
      </c>
      <c r="C134" s="2">
        <v>15</v>
      </c>
      <c r="D134" s="2">
        <v>2</v>
      </c>
      <c r="E134" s="2">
        <v>0</v>
      </c>
      <c r="F134" s="2">
        <v>0</v>
      </c>
      <c r="G134" s="2">
        <v>1</v>
      </c>
      <c r="H134" s="2">
        <v>0</v>
      </c>
      <c r="I134" s="2">
        <v>0</v>
      </c>
      <c r="J134" s="2">
        <v>0</v>
      </c>
      <c r="K134" s="2">
        <v>2708</v>
      </c>
      <c r="L134" s="2">
        <v>0</v>
      </c>
      <c r="M134" s="2">
        <v>1</v>
      </c>
      <c r="N134" s="2">
        <v>2</v>
      </c>
      <c r="O134" s="2">
        <v>0</v>
      </c>
      <c r="P134" s="2">
        <v>1</v>
      </c>
      <c r="Q134" s="2">
        <v>0</v>
      </c>
      <c r="R134" s="2">
        <v>0</v>
      </c>
      <c r="S134" s="2">
        <v>0</v>
      </c>
      <c r="T134" s="2">
        <v>3</v>
      </c>
      <c r="U134" s="2">
        <v>0</v>
      </c>
      <c r="V134" s="2">
        <v>0</v>
      </c>
      <c r="W134" s="2">
        <v>27</v>
      </c>
      <c r="X134" s="2">
        <v>1</v>
      </c>
      <c r="Y134" s="2">
        <v>0</v>
      </c>
      <c r="Z134" s="2">
        <v>1</v>
      </c>
      <c r="AA134" s="2">
        <v>2</v>
      </c>
      <c r="AB134" s="2">
        <v>1</v>
      </c>
      <c r="AC134" s="2">
        <v>1</v>
      </c>
      <c r="AD134" s="2">
        <v>0</v>
      </c>
      <c r="AE134" s="2">
        <v>0</v>
      </c>
      <c r="AF134" s="2">
        <v>1</v>
      </c>
    </row>
    <row r="135" spans="1:32" x14ac:dyDescent="0.25">
      <c r="A135">
        <v>134</v>
      </c>
      <c r="B135" s="2">
        <v>3</v>
      </c>
      <c r="C135" s="2">
        <v>18</v>
      </c>
      <c r="D135" s="2">
        <v>2</v>
      </c>
      <c r="E135" s="2">
        <v>0</v>
      </c>
      <c r="F135" s="2">
        <v>0</v>
      </c>
      <c r="G135" s="2">
        <v>1</v>
      </c>
      <c r="H135" s="2">
        <v>0</v>
      </c>
      <c r="I135" s="2">
        <v>0</v>
      </c>
      <c r="J135" s="2">
        <v>0</v>
      </c>
      <c r="K135" s="2">
        <v>1984</v>
      </c>
      <c r="L135" s="2">
        <v>0</v>
      </c>
      <c r="M135" s="2">
        <v>2</v>
      </c>
      <c r="N135" s="2">
        <v>4</v>
      </c>
      <c r="O135" s="2">
        <v>0</v>
      </c>
      <c r="P135" s="2">
        <v>1</v>
      </c>
      <c r="Q135" s="2">
        <v>0</v>
      </c>
      <c r="R135" s="2">
        <v>0</v>
      </c>
      <c r="S135" s="2">
        <v>0</v>
      </c>
      <c r="T135" s="2">
        <v>4</v>
      </c>
      <c r="U135" s="2">
        <v>0</v>
      </c>
      <c r="V135" s="2">
        <v>1</v>
      </c>
      <c r="W135" s="2">
        <v>47</v>
      </c>
      <c r="X135" s="2">
        <v>1</v>
      </c>
      <c r="Y135" s="2">
        <v>0</v>
      </c>
      <c r="Z135" s="2">
        <v>0</v>
      </c>
      <c r="AA135" s="2">
        <v>2</v>
      </c>
      <c r="AB135" s="2">
        <v>2</v>
      </c>
      <c r="AC135" s="2">
        <v>1</v>
      </c>
      <c r="AD135" s="2">
        <v>0</v>
      </c>
      <c r="AE135" s="2">
        <v>0</v>
      </c>
      <c r="AF135" s="2">
        <v>1</v>
      </c>
    </row>
    <row r="136" spans="1:32" x14ac:dyDescent="0.25">
      <c r="A136">
        <v>135</v>
      </c>
      <c r="B136" s="2">
        <v>3</v>
      </c>
      <c r="C136" s="2">
        <v>60</v>
      </c>
      <c r="D136" s="2">
        <v>2</v>
      </c>
      <c r="E136" s="2">
        <v>0</v>
      </c>
      <c r="F136" s="2">
        <v>0</v>
      </c>
      <c r="G136" s="2">
        <v>0</v>
      </c>
      <c r="H136" s="2">
        <v>1</v>
      </c>
      <c r="I136" s="2">
        <v>0</v>
      </c>
      <c r="J136" s="2">
        <v>0</v>
      </c>
      <c r="K136" s="2">
        <v>10144</v>
      </c>
      <c r="L136" s="2">
        <v>1</v>
      </c>
      <c r="M136" s="2">
        <v>3</v>
      </c>
      <c r="N136" s="2">
        <v>2</v>
      </c>
      <c r="O136" s="2">
        <v>0</v>
      </c>
      <c r="P136" s="2">
        <v>0</v>
      </c>
      <c r="Q136" s="2">
        <v>0</v>
      </c>
      <c r="R136" s="2">
        <v>0</v>
      </c>
      <c r="S136" s="2">
        <v>0</v>
      </c>
      <c r="T136" s="2">
        <v>4</v>
      </c>
      <c r="U136" s="2">
        <v>1</v>
      </c>
      <c r="V136" s="2">
        <v>0</v>
      </c>
      <c r="W136" s="2">
        <v>21</v>
      </c>
      <c r="X136" s="2">
        <v>0</v>
      </c>
      <c r="Y136" s="2">
        <v>0</v>
      </c>
      <c r="Z136" s="2">
        <v>1</v>
      </c>
      <c r="AA136" s="2">
        <v>1</v>
      </c>
      <c r="AB136" s="2">
        <v>2</v>
      </c>
      <c r="AC136" s="2">
        <v>1</v>
      </c>
      <c r="AD136" s="2">
        <v>1</v>
      </c>
      <c r="AE136" s="2">
        <v>0</v>
      </c>
      <c r="AF136" s="2">
        <v>1</v>
      </c>
    </row>
    <row r="137" spans="1:32" x14ac:dyDescent="0.25">
      <c r="A137">
        <v>136</v>
      </c>
      <c r="B137" s="2">
        <v>3</v>
      </c>
      <c r="C137" s="2">
        <v>12</v>
      </c>
      <c r="D137" s="2">
        <v>4</v>
      </c>
      <c r="E137" s="2">
        <v>0</v>
      </c>
      <c r="F137" s="2">
        <v>0</v>
      </c>
      <c r="G137" s="2">
        <v>0</v>
      </c>
      <c r="H137" s="2">
        <v>1</v>
      </c>
      <c r="I137" s="2">
        <v>0</v>
      </c>
      <c r="J137" s="2">
        <v>0</v>
      </c>
      <c r="K137" s="2">
        <v>1240</v>
      </c>
      <c r="L137" s="2">
        <v>4</v>
      </c>
      <c r="M137" s="2">
        <v>4</v>
      </c>
      <c r="N137" s="2">
        <v>4</v>
      </c>
      <c r="O137" s="2">
        <v>0</v>
      </c>
      <c r="P137" s="2">
        <v>0</v>
      </c>
      <c r="Q137" s="2">
        <v>0</v>
      </c>
      <c r="R137" s="2">
        <v>0</v>
      </c>
      <c r="S137" s="2">
        <v>0</v>
      </c>
      <c r="T137" s="2">
        <v>2</v>
      </c>
      <c r="U137" s="2">
        <v>1</v>
      </c>
      <c r="V137" s="2">
        <v>0</v>
      </c>
      <c r="W137" s="2">
        <v>38</v>
      </c>
      <c r="X137" s="2">
        <v>0</v>
      </c>
      <c r="Y137" s="2">
        <v>0</v>
      </c>
      <c r="Z137" s="2">
        <v>1</v>
      </c>
      <c r="AA137" s="2">
        <v>2</v>
      </c>
      <c r="AB137" s="2">
        <v>2</v>
      </c>
      <c r="AC137" s="2">
        <v>1</v>
      </c>
      <c r="AD137" s="2">
        <v>1</v>
      </c>
      <c r="AE137" s="2">
        <v>0</v>
      </c>
      <c r="AF137" s="2">
        <v>1</v>
      </c>
    </row>
    <row r="138" spans="1:32" x14ac:dyDescent="0.25">
      <c r="A138">
        <v>137</v>
      </c>
      <c r="B138" s="2">
        <v>3</v>
      </c>
      <c r="C138" s="2">
        <v>27</v>
      </c>
      <c r="D138" s="2">
        <v>3</v>
      </c>
      <c r="E138" s="2">
        <v>0</v>
      </c>
      <c r="F138" s="2">
        <v>1</v>
      </c>
      <c r="G138" s="2">
        <v>0</v>
      </c>
      <c r="H138" s="2">
        <v>0</v>
      </c>
      <c r="I138" s="2">
        <v>0</v>
      </c>
      <c r="J138" s="2">
        <v>0</v>
      </c>
      <c r="K138" s="2">
        <v>8613</v>
      </c>
      <c r="L138" s="2">
        <v>3</v>
      </c>
      <c r="M138" s="2">
        <v>2</v>
      </c>
      <c r="N138" s="2">
        <v>2</v>
      </c>
      <c r="O138" s="2">
        <v>0</v>
      </c>
      <c r="P138" s="2">
        <v>1</v>
      </c>
      <c r="Q138" s="2">
        <v>0</v>
      </c>
      <c r="R138" s="2">
        <v>0</v>
      </c>
      <c r="S138" s="2">
        <v>0</v>
      </c>
      <c r="T138" s="2">
        <v>2</v>
      </c>
      <c r="U138" s="2">
        <v>0</v>
      </c>
      <c r="V138" s="2">
        <v>0</v>
      </c>
      <c r="W138" s="2">
        <v>27</v>
      </c>
      <c r="X138" s="2">
        <v>0</v>
      </c>
      <c r="Y138" s="2">
        <v>0</v>
      </c>
      <c r="Z138" s="2">
        <v>1</v>
      </c>
      <c r="AA138" s="2">
        <v>2</v>
      </c>
      <c r="AB138" s="2">
        <v>2</v>
      </c>
      <c r="AC138" s="2">
        <v>1</v>
      </c>
      <c r="AD138" s="2">
        <v>0</v>
      </c>
      <c r="AE138" s="2">
        <v>0</v>
      </c>
      <c r="AF138" s="2">
        <v>1</v>
      </c>
    </row>
    <row r="139" spans="1:32" x14ac:dyDescent="0.25">
      <c r="A139">
        <v>138</v>
      </c>
      <c r="B139" s="2">
        <v>1</v>
      </c>
      <c r="C139" s="2">
        <v>12</v>
      </c>
      <c r="D139" s="2">
        <v>2</v>
      </c>
      <c r="E139" s="2">
        <v>0</v>
      </c>
      <c r="F139" s="2">
        <v>0</v>
      </c>
      <c r="G139" s="2">
        <v>0</v>
      </c>
      <c r="H139" s="2">
        <v>1</v>
      </c>
      <c r="I139" s="2">
        <v>0</v>
      </c>
      <c r="J139" s="2">
        <v>0</v>
      </c>
      <c r="K139" s="2">
        <v>766</v>
      </c>
      <c r="L139" s="2">
        <v>2</v>
      </c>
      <c r="M139" s="2">
        <v>2</v>
      </c>
      <c r="N139" s="2">
        <v>4</v>
      </c>
      <c r="O139" s="2">
        <v>0</v>
      </c>
      <c r="P139" s="2">
        <v>1</v>
      </c>
      <c r="Q139" s="2">
        <v>0</v>
      </c>
      <c r="R139" s="2">
        <v>0</v>
      </c>
      <c r="S139" s="2">
        <v>0</v>
      </c>
      <c r="T139" s="2">
        <v>3</v>
      </c>
      <c r="U139" s="2">
        <v>1</v>
      </c>
      <c r="V139" s="2">
        <v>0</v>
      </c>
      <c r="W139" s="2">
        <v>66</v>
      </c>
      <c r="X139" s="2">
        <v>0</v>
      </c>
      <c r="Y139" s="2">
        <v>0</v>
      </c>
      <c r="Z139" s="2">
        <v>1</v>
      </c>
      <c r="AA139" s="2">
        <v>1</v>
      </c>
      <c r="AB139" s="2">
        <v>1</v>
      </c>
      <c r="AC139" s="2">
        <v>1</v>
      </c>
      <c r="AD139" s="2">
        <v>0</v>
      </c>
      <c r="AE139" s="2">
        <v>0</v>
      </c>
      <c r="AF139" s="2">
        <v>0</v>
      </c>
    </row>
    <row r="140" spans="1:32" x14ac:dyDescent="0.25">
      <c r="A140">
        <v>139</v>
      </c>
      <c r="B140" s="2">
        <v>1</v>
      </c>
      <c r="C140" s="2">
        <v>15</v>
      </c>
      <c r="D140" s="2">
        <v>4</v>
      </c>
      <c r="E140" s="2">
        <v>0</v>
      </c>
      <c r="F140" s="2">
        <v>0</v>
      </c>
      <c r="G140" s="2">
        <v>0</v>
      </c>
      <c r="H140" s="2">
        <v>1</v>
      </c>
      <c r="I140" s="2">
        <v>0</v>
      </c>
      <c r="J140" s="2">
        <v>0</v>
      </c>
      <c r="K140" s="2">
        <v>2728</v>
      </c>
      <c r="L140" s="2">
        <v>4</v>
      </c>
      <c r="M140" s="2">
        <v>3</v>
      </c>
      <c r="N140" s="2">
        <v>4</v>
      </c>
      <c r="O140" s="2">
        <v>0</v>
      </c>
      <c r="P140" s="2">
        <v>1</v>
      </c>
      <c r="Q140" s="2">
        <v>0</v>
      </c>
      <c r="R140" s="2">
        <v>0</v>
      </c>
      <c r="S140" s="2">
        <v>1</v>
      </c>
      <c r="T140" s="2">
        <v>2</v>
      </c>
      <c r="U140" s="2">
        <v>1</v>
      </c>
      <c r="V140" s="2">
        <v>0</v>
      </c>
      <c r="W140" s="2">
        <v>35</v>
      </c>
      <c r="X140" s="2">
        <v>1</v>
      </c>
      <c r="Y140" s="2">
        <v>0</v>
      </c>
      <c r="Z140" s="2">
        <v>1</v>
      </c>
      <c r="AA140" s="2">
        <v>3</v>
      </c>
      <c r="AB140" s="2">
        <v>2</v>
      </c>
      <c r="AC140" s="2">
        <v>1</v>
      </c>
      <c r="AD140" s="2">
        <v>1</v>
      </c>
      <c r="AE140" s="2">
        <v>0</v>
      </c>
      <c r="AF140" s="2">
        <v>1</v>
      </c>
    </row>
    <row r="141" spans="1:32" x14ac:dyDescent="0.25">
      <c r="A141">
        <v>140</v>
      </c>
      <c r="B141" s="2">
        <v>2</v>
      </c>
      <c r="C141" s="2">
        <v>12</v>
      </c>
      <c r="D141" s="2">
        <v>2</v>
      </c>
      <c r="E141" s="2">
        <v>0</v>
      </c>
      <c r="F141" s="2">
        <v>0</v>
      </c>
      <c r="G141" s="2">
        <v>0</v>
      </c>
      <c r="H141" s="2">
        <v>1</v>
      </c>
      <c r="I141" s="2">
        <v>0</v>
      </c>
      <c r="J141" s="2">
        <v>0</v>
      </c>
      <c r="K141" s="2">
        <v>1881</v>
      </c>
      <c r="L141" s="2">
        <v>0</v>
      </c>
      <c r="M141" s="2">
        <v>2</v>
      </c>
      <c r="N141" s="2">
        <v>2</v>
      </c>
      <c r="O141" s="2">
        <v>0</v>
      </c>
      <c r="P141" s="2">
        <v>0</v>
      </c>
      <c r="Q141" s="2">
        <v>0</v>
      </c>
      <c r="R141" s="2">
        <v>0</v>
      </c>
      <c r="S141" s="2">
        <v>0</v>
      </c>
      <c r="T141" s="2">
        <v>2</v>
      </c>
      <c r="U141" s="2">
        <v>0</v>
      </c>
      <c r="V141" s="2">
        <v>0</v>
      </c>
      <c r="W141" s="2">
        <v>44</v>
      </c>
      <c r="X141" s="2">
        <v>0</v>
      </c>
      <c r="Y141" s="2">
        <v>1</v>
      </c>
      <c r="Z141" s="2">
        <v>0</v>
      </c>
      <c r="AA141" s="2">
        <v>1</v>
      </c>
      <c r="AB141" s="2">
        <v>1</v>
      </c>
      <c r="AC141" s="2">
        <v>1</v>
      </c>
      <c r="AD141" s="2">
        <v>1</v>
      </c>
      <c r="AE141" s="2">
        <v>0</v>
      </c>
      <c r="AF141" s="2">
        <v>1</v>
      </c>
    </row>
    <row r="142" spans="1:32" x14ac:dyDescent="0.25">
      <c r="A142">
        <v>141</v>
      </c>
      <c r="B142" s="2">
        <v>2</v>
      </c>
      <c r="C142" s="2">
        <v>6</v>
      </c>
      <c r="D142" s="2">
        <v>2</v>
      </c>
      <c r="E142" s="2">
        <v>1</v>
      </c>
      <c r="F142" s="2">
        <v>0</v>
      </c>
      <c r="G142" s="2">
        <v>0</v>
      </c>
      <c r="H142" s="2">
        <v>0</v>
      </c>
      <c r="I142" s="2">
        <v>0</v>
      </c>
      <c r="J142" s="2">
        <v>0</v>
      </c>
      <c r="K142" s="2">
        <v>709</v>
      </c>
      <c r="L142" s="2">
        <v>3</v>
      </c>
      <c r="M142" s="2">
        <v>1</v>
      </c>
      <c r="N142" s="2">
        <v>2</v>
      </c>
      <c r="O142" s="2">
        <v>0</v>
      </c>
      <c r="P142" s="2">
        <v>0</v>
      </c>
      <c r="Q142" s="2">
        <v>1</v>
      </c>
      <c r="R142" s="2">
        <v>0</v>
      </c>
      <c r="S142" s="2">
        <v>0</v>
      </c>
      <c r="T142" s="2">
        <v>2</v>
      </c>
      <c r="U142" s="2">
        <v>1</v>
      </c>
      <c r="V142" s="2">
        <v>0</v>
      </c>
      <c r="W142" s="2">
        <v>27</v>
      </c>
      <c r="X142" s="2">
        <v>0</v>
      </c>
      <c r="Y142" s="2">
        <v>0</v>
      </c>
      <c r="Z142" s="2">
        <v>1</v>
      </c>
      <c r="AA142" s="2">
        <v>1</v>
      </c>
      <c r="AB142" s="2">
        <v>0</v>
      </c>
      <c r="AC142" s="2">
        <v>1</v>
      </c>
      <c r="AD142" s="2">
        <v>0</v>
      </c>
      <c r="AE142" s="2">
        <v>1</v>
      </c>
      <c r="AF142" s="2">
        <v>1</v>
      </c>
    </row>
    <row r="143" spans="1:32" x14ac:dyDescent="0.25">
      <c r="A143">
        <v>142</v>
      </c>
      <c r="B143" s="2">
        <v>1</v>
      </c>
      <c r="C143" s="2">
        <v>36</v>
      </c>
      <c r="D143" s="2">
        <v>2</v>
      </c>
      <c r="E143" s="2">
        <v>0</v>
      </c>
      <c r="F143" s="2">
        <v>0</v>
      </c>
      <c r="G143" s="2">
        <v>0</v>
      </c>
      <c r="H143" s="2">
        <v>1</v>
      </c>
      <c r="I143" s="2">
        <v>0</v>
      </c>
      <c r="J143" s="2">
        <v>0</v>
      </c>
      <c r="K143" s="2">
        <v>4795</v>
      </c>
      <c r="L143" s="2">
        <v>0</v>
      </c>
      <c r="M143" s="2">
        <v>1</v>
      </c>
      <c r="N143" s="2">
        <v>4</v>
      </c>
      <c r="O143" s="2">
        <v>0</v>
      </c>
      <c r="P143" s="2">
        <v>0</v>
      </c>
      <c r="Q143" s="2">
        <v>0</v>
      </c>
      <c r="R143" s="2">
        <v>0</v>
      </c>
      <c r="S143" s="2">
        <v>0</v>
      </c>
      <c r="T143" s="2">
        <v>1</v>
      </c>
      <c r="U143" s="2">
        <v>0</v>
      </c>
      <c r="V143" s="2">
        <v>1</v>
      </c>
      <c r="W143" s="2">
        <v>30</v>
      </c>
      <c r="X143" s="2">
        <v>0</v>
      </c>
      <c r="Y143" s="2">
        <v>0</v>
      </c>
      <c r="Z143" s="2">
        <v>1</v>
      </c>
      <c r="AA143" s="2">
        <v>1</v>
      </c>
      <c r="AB143" s="2">
        <v>3</v>
      </c>
      <c r="AC143" s="2">
        <v>1</v>
      </c>
      <c r="AD143" s="2">
        <v>1</v>
      </c>
      <c r="AE143" s="2">
        <v>0</v>
      </c>
      <c r="AF143" s="2">
        <v>1</v>
      </c>
    </row>
    <row r="144" spans="1:32" x14ac:dyDescent="0.25">
      <c r="A144">
        <v>143</v>
      </c>
      <c r="B144" s="2">
        <v>0</v>
      </c>
      <c r="C144" s="2">
        <v>27</v>
      </c>
      <c r="D144" s="2">
        <v>2</v>
      </c>
      <c r="E144" s="2">
        <v>0</v>
      </c>
      <c r="F144" s="2">
        <v>0</v>
      </c>
      <c r="G144" s="2">
        <v>0</v>
      </c>
      <c r="H144" s="2">
        <v>1</v>
      </c>
      <c r="I144" s="2">
        <v>0</v>
      </c>
      <c r="J144" s="2">
        <v>0</v>
      </c>
      <c r="K144" s="2">
        <v>3416</v>
      </c>
      <c r="L144" s="2">
        <v>0</v>
      </c>
      <c r="M144" s="2">
        <v>2</v>
      </c>
      <c r="N144" s="2">
        <v>3</v>
      </c>
      <c r="O144" s="2">
        <v>0</v>
      </c>
      <c r="P144" s="2">
        <v>1</v>
      </c>
      <c r="Q144" s="2">
        <v>0</v>
      </c>
      <c r="R144" s="2">
        <v>0</v>
      </c>
      <c r="S144" s="2">
        <v>0</v>
      </c>
      <c r="T144" s="2">
        <v>2</v>
      </c>
      <c r="U144" s="2">
        <v>0</v>
      </c>
      <c r="V144" s="2">
        <v>0</v>
      </c>
      <c r="W144" s="2">
        <v>27</v>
      </c>
      <c r="X144" s="2">
        <v>0</v>
      </c>
      <c r="Y144" s="2">
        <v>0</v>
      </c>
      <c r="Z144" s="2">
        <v>1</v>
      </c>
      <c r="AA144" s="2">
        <v>1</v>
      </c>
      <c r="AB144" s="2">
        <v>3</v>
      </c>
      <c r="AC144" s="2">
        <v>1</v>
      </c>
      <c r="AD144" s="2">
        <v>0</v>
      </c>
      <c r="AE144" s="2">
        <v>0</v>
      </c>
      <c r="AF144" s="2">
        <v>1</v>
      </c>
    </row>
    <row r="145" spans="1:32" x14ac:dyDescent="0.25">
      <c r="A145">
        <v>144</v>
      </c>
      <c r="B145" s="2">
        <v>0</v>
      </c>
      <c r="C145" s="2">
        <v>18</v>
      </c>
      <c r="D145" s="2">
        <v>2</v>
      </c>
      <c r="E145" s="2">
        <v>0</v>
      </c>
      <c r="F145" s="2">
        <v>0</v>
      </c>
      <c r="G145" s="2">
        <v>1</v>
      </c>
      <c r="H145" s="2">
        <v>0</v>
      </c>
      <c r="I145" s="2">
        <v>0</v>
      </c>
      <c r="J145" s="2">
        <v>0</v>
      </c>
      <c r="K145" s="2">
        <v>2462</v>
      </c>
      <c r="L145" s="2">
        <v>0</v>
      </c>
      <c r="M145" s="2">
        <v>2</v>
      </c>
      <c r="N145" s="2">
        <v>2</v>
      </c>
      <c r="O145" s="2">
        <v>0</v>
      </c>
      <c r="P145" s="2">
        <v>1</v>
      </c>
      <c r="Q145" s="2">
        <v>0</v>
      </c>
      <c r="R145" s="2">
        <v>0</v>
      </c>
      <c r="S145" s="2">
        <v>0</v>
      </c>
      <c r="T145" s="2">
        <v>2</v>
      </c>
      <c r="U145" s="2">
        <v>0</v>
      </c>
      <c r="V145" s="2">
        <v>0</v>
      </c>
      <c r="W145" s="2">
        <v>22</v>
      </c>
      <c r="X145" s="2">
        <v>0</v>
      </c>
      <c r="Y145" s="2">
        <v>0</v>
      </c>
      <c r="Z145" s="2">
        <v>1</v>
      </c>
      <c r="AA145" s="2">
        <v>1</v>
      </c>
      <c r="AB145" s="2">
        <v>2</v>
      </c>
      <c r="AC145" s="2">
        <v>1</v>
      </c>
      <c r="AD145" s="2">
        <v>0</v>
      </c>
      <c r="AE145" s="2">
        <v>0</v>
      </c>
      <c r="AF145" s="2">
        <v>0</v>
      </c>
    </row>
    <row r="146" spans="1:32" x14ac:dyDescent="0.25">
      <c r="A146">
        <v>145</v>
      </c>
      <c r="B146" s="2">
        <v>3</v>
      </c>
      <c r="C146" s="2">
        <v>21</v>
      </c>
      <c r="D146" s="2">
        <v>4</v>
      </c>
      <c r="E146" s="2">
        <v>0</v>
      </c>
      <c r="F146" s="2">
        <v>0</v>
      </c>
      <c r="G146" s="2">
        <v>1</v>
      </c>
      <c r="H146" s="2">
        <v>0</v>
      </c>
      <c r="I146" s="2">
        <v>0</v>
      </c>
      <c r="J146" s="2">
        <v>0</v>
      </c>
      <c r="K146" s="2">
        <v>2288</v>
      </c>
      <c r="L146" s="2">
        <v>0</v>
      </c>
      <c r="M146" s="2">
        <v>1</v>
      </c>
      <c r="N146" s="2">
        <v>4</v>
      </c>
      <c r="O146" s="2">
        <v>0</v>
      </c>
      <c r="P146" s="2">
        <v>0</v>
      </c>
      <c r="Q146" s="2">
        <v>0</v>
      </c>
      <c r="R146" s="2">
        <v>0</v>
      </c>
      <c r="S146" s="2">
        <v>0</v>
      </c>
      <c r="T146" s="2">
        <v>4</v>
      </c>
      <c r="U146" s="2">
        <v>0</v>
      </c>
      <c r="V146" s="2">
        <v>0</v>
      </c>
      <c r="W146" s="2">
        <v>23</v>
      </c>
      <c r="X146" s="2">
        <v>0</v>
      </c>
      <c r="Y146" s="2">
        <v>0</v>
      </c>
      <c r="Z146" s="2">
        <v>1</v>
      </c>
      <c r="AA146" s="2">
        <v>1</v>
      </c>
      <c r="AB146" s="2">
        <v>2</v>
      </c>
      <c r="AC146" s="2">
        <v>1</v>
      </c>
      <c r="AD146" s="2">
        <v>1</v>
      </c>
      <c r="AE146" s="2">
        <v>0</v>
      </c>
      <c r="AF146" s="2">
        <v>1</v>
      </c>
    </row>
    <row r="147" spans="1:32" x14ac:dyDescent="0.25">
      <c r="A147">
        <v>146</v>
      </c>
      <c r="B147" s="2">
        <v>1</v>
      </c>
      <c r="C147" s="2">
        <v>48</v>
      </c>
      <c r="D147" s="2">
        <v>1</v>
      </c>
      <c r="E147" s="2">
        <v>0</v>
      </c>
      <c r="F147" s="2">
        <v>0</v>
      </c>
      <c r="G147" s="2">
        <v>0</v>
      </c>
      <c r="H147" s="2">
        <v>0</v>
      </c>
      <c r="I147" s="2">
        <v>0</v>
      </c>
      <c r="J147" s="2">
        <v>1</v>
      </c>
      <c r="K147" s="2">
        <v>3566</v>
      </c>
      <c r="L147" s="2">
        <v>1</v>
      </c>
      <c r="M147" s="2">
        <v>3</v>
      </c>
      <c r="N147" s="2">
        <v>4</v>
      </c>
      <c r="O147" s="2">
        <v>0</v>
      </c>
      <c r="P147" s="2">
        <v>1</v>
      </c>
      <c r="Q147" s="2">
        <v>0</v>
      </c>
      <c r="R147" s="2">
        <v>0</v>
      </c>
      <c r="S147" s="2">
        <v>0</v>
      </c>
      <c r="T147" s="2">
        <v>2</v>
      </c>
      <c r="U147" s="2">
        <v>0</v>
      </c>
      <c r="V147" s="2">
        <v>0</v>
      </c>
      <c r="W147" s="2">
        <v>30</v>
      </c>
      <c r="X147" s="2">
        <v>0</v>
      </c>
      <c r="Y147" s="2">
        <v>0</v>
      </c>
      <c r="Z147" s="2">
        <v>1</v>
      </c>
      <c r="AA147" s="2">
        <v>1</v>
      </c>
      <c r="AB147" s="2">
        <v>2</v>
      </c>
      <c r="AC147" s="2">
        <v>1</v>
      </c>
      <c r="AD147" s="2">
        <v>0</v>
      </c>
      <c r="AE147" s="2">
        <v>0</v>
      </c>
      <c r="AF147" s="2">
        <v>1</v>
      </c>
    </row>
    <row r="148" spans="1:32" x14ac:dyDescent="0.25">
      <c r="A148">
        <v>147</v>
      </c>
      <c r="B148" s="2">
        <v>0</v>
      </c>
      <c r="C148" s="2">
        <v>6</v>
      </c>
      <c r="D148" s="2">
        <v>4</v>
      </c>
      <c r="E148" s="2">
        <v>1</v>
      </c>
      <c r="F148" s="2">
        <v>0</v>
      </c>
      <c r="G148" s="2">
        <v>0</v>
      </c>
      <c r="H148" s="2">
        <v>0</v>
      </c>
      <c r="I148" s="2">
        <v>0</v>
      </c>
      <c r="J148" s="2">
        <v>0</v>
      </c>
      <c r="K148" s="2">
        <v>860</v>
      </c>
      <c r="L148" s="2">
        <v>0</v>
      </c>
      <c r="M148" s="2">
        <v>4</v>
      </c>
      <c r="N148" s="2">
        <v>1</v>
      </c>
      <c r="O148" s="2">
        <v>0</v>
      </c>
      <c r="P148" s="2">
        <v>0</v>
      </c>
      <c r="Q148" s="2">
        <v>0</v>
      </c>
      <c r="R148" s="2">
        <v>0</v>
      </c>
      <c r="S148" s="2">
        <v>0</v>
      </c>
      <c r="T148" s="2">
        <v>4</v>
      </c>
      <c r="U148" s="2">
        <v>0</v>
      </c>
      <c r="V148" s="2">
        <v>1</v>
      </c>
      <c r="W148" s="2">
        <v>39</v>
      </c>
      <c r="X148" s="2">
        <v>0</v>
      </c>
      <c r="Y148" s="2">
        <v>0</v>
      </c>
      <c r="Z148" s="2">
        <v>1</v>
      </c>
      <c r="AA148" s="2">
        <v>2</v>
      </c>
      <c r="AB148" s="2">
        <v>2</v>
      </c>
      <c r="AC148" s="2">
        <v>1</v>
      </c>
      <c r="AD148" s="2">
        <v>1</v>
      </c>
      <c r="AE148" s="2">
        <v>0</v>
      </c>
      <c r="AF148" s="2">
        <v>1</v>
      </c>
    </row>
    <row r="149" spans="1:32" x14ac:dyDescent="0.25">
      <c r="A149">
        <v>148</v>
      </c>
      <c r="B149" s="2">
        <v>3</v>
      </c>
      <c r="C149" s="2">
        <v>12</v>
      </c>
      <c r="D149" s="2">
        <v>4</v>
      </c>
      <c r="E149" s="2">
        <v>1</v>
      </c>
      <c r="F149" s="2">
        <v>0</v>
      </c>
      <c r="G149" s="2">
        <v>0</v>
      </c>
      <c r="H149" s="2">
        <v>0</v>
      </c>
      <c r="I149" s="2">
        <v>0</v>
      </c>
      <c r="J149" s="2">
        <v>0</v>
      </c>
      <c r="K149" s="2">
        <v>682</v>
      </c>
      <c r="L149" s="2">
        <v>1</v>
      </c>
      <c r="M149" s="2">
        <v>3</v>
      </c>
      <c r="N149" s="2">
        <v>4</v>
      </c>
      <c r="O149" s="2">
        <v>0</v>
      </c>
      <c r="P149" s="2">
        <v>0</v>
      </c>
      <c r="Q149" s="2">
        <v>0</v>
      </c>
      <c r="R149" s="2">
        <v>0</v>
      </c>
      <c r="S149" s="2">
        <v>0</v>
      </c>
      <c r="T149" s="2">
        <v>3</v>
      </c>
      <c r="U149" s="2">
        <v>0</v>
      </c>
      <c r="V149" s="2">
        <v>0</v>
      </c>
      <c r="W149" s="2">
        <v>51</v>
      </c>
      <c r="X149" s="2">
        <v>0</v>
      </c>
      <c r="Y149" s="2">
        <v>0</v>
      </c>
      <c r="Z149" s="2">
        <v>1</v>
      </c>
      <c r="AA149" s="2">
        <v>2</v>
      </c>
      <c r="AB149" s="2">
        <v>2</v>
      </c>
      <c r="AC149" s="2">
        <v>1</v>
      </c>
      <c r="AD149" s="2">
        <v>1</v>
      </c>
      <c r="AE149" s="2">
        <v>0</v>
      </c>
      <c r="AF149" s="2">
        <v>1</v>
      </c>
    </row>
    <row r="150" spans="1:32" x14ac:dyDescent="0.25">
      <c r="A150">
        <v>149</v>
      </c>
      <c r="B150" s="2">
        <v>0</v>
      </c>
      <c r="C150" s="2">
        <v>36</v>
      </c>
      <c r="D150" s="2">
        <v>4</v>
      </c>
      <c r="E150" s="2">
        <v>0</v>
      </c>
      <c r="F150" s="2">
        <v>0</v>
      </c>
      <c r="G150" s="2">
        <v>1</v>
      </c>
      <c r="H150" s="2">
        <v>0</v>
      </c>
      <c r="I150" s="2">
        <v>0</v>
      </c>
      <c r="J150" s="2">
        <v>0</v>
      </c>
      <c r="K150" s="2">
        <v>5371</v>
      </c>
      <c r="L150" s="2">
        <v>0</v>
      </c>
      <c r="M150" s="2">
        <v>2</v>
      </c>
      <c r="N150" s="2">
        <v>3</v>
      </c>
      <c r="O150" s="2">
        <v>0</v>
      </c>
      <c r="P150" s="2">
        <v>1</v>
      </c>
      <c r="Q150" s="2">
        <v>0</v>
      </c>
      <c r="R150" s="2">
        <v>0</v>
      </c>
      <c r="S150" s="2">
        <v>1</v>
      </c>
      <c r="T150" s="2">
        <v>2</v>
      </c>
      <c r="U150" s="2">
        <v>0</v>
      </c>
      <c r="V150" s="2">
        <v>0</v>
      </c>
      <c r="W150" s="2">
        <v>28</v>
      </c>
      <c r="X150" s="2">
        <v>0</v>
      </c>
      <c r="Y150" s="2">
        <v>0</v>
      </c>
      <c r="Z150" s="2">
        <v>1</v>
      </c>
      <c r="AA150" s="2">
        <v>2</v>
      </c>
      <c r="AB150" s="2">
        <v>2</v>
      </c>
      <c r="AC150" s="2">
        <v>1</v>
      </c>
      <c r="AD150" s="2">
        <v>0</v>
      </c>
      <c r="AE150" s="2">
        <v>0</v>
      </c>
      <c r="AF150" s="2">
        <v>1</v>
      </c>
    </row>
    <row r="151" spans="1:32" x14ac:dyDescent="0.25">
      <c r="A151">
        <v>150</v>
      </c>
      <c r="B151" s="2">
        <v>3</v>
      </c>
      <c r="C151" s="2">
        <v>18</v>
      </c>
      <c r="D151" s="2">
        <v>4</v>
      </c>
      <c r="E151" s="2">
        <v>0</v>
      </c>
      <c r="F151" s="2">
        <v>0</v>
      </c>
      <c r="G151" s="2">
        <v>0</v>
      </c>
      <c r="H151" s="2">
        <v>1</v>
      </c>
      <c r="I151" s="2">
        <v>0</v>
      </c>
      <c r="J151" s="2">
        <v>0</v>
      </c>
      <c r="K151" s="2">
        <v>1582</v>
      </c>
      <c r="L151" s="2">
        <v>3</v>
      </c>
      <c r="M151" s="2">
        <v>4</v>
      </c>
      <c r="N151" s="2">
        <v>4</v>
      </c>
      <c r="O151" s="2">
        <v>0</v>
      </c>
      <c r="P151" s="2">
        <v>1</v>
      </c>
      <c r="Q151" s="2">
        <v>0</v>
      </c>
      <c r="R151" s="2">
        <v>0</v>
      </c>
      <c r="S151" s="2">
        <v>0</v>
      </c>
      <c r="T151" s="2">
        <v>4</v>
      </c>
      <c r="U151" s="2">
        <v>0</v>
      </c>
      <c r="V151" s="2">
        <v>0</v>
      </c>
      <c r="W151" s="2">
        <v>46</v>
      </c>
      <c r="X151" s="2">
        <v>0</v>
      </c>
      <c r="Y151" s="2">
        <v>0</v>
      </c>
      <c r="Z151" s="2">
        <v>1</v>
      </c>
      <c r="AA151" s="2">
        <v>2</v>
      </c>
      <c r="AB151" s="2">
        <v>2</v>
      </c>
      <c r="AC151" s="2">
        <v>1</v>
      </c>
      <c r="AD151" s="2">
        <v>0</v>
      </c>
      <c r="AE151" s="2">
        <v>0</v>
      </c>
      <c r="AF151" s="2">
        <v>1</v>
      </c>
    </row>
    <row r="152" spans="1:32" x14ac:dyDescent="0.25">
      <c r="A152">
        <v>151</v>
      </c>
      <c r="B152" s="2">
        <v>3</v>
      </c>
      <c r="C152" s="2">
        <v>6</v>
      </c>
      <c r="D152" s="2">
        <v>2</v>
      </c>
      <c r="E152" s="2">
        <v>0</v>
      </c>
      <c r="F152" s="2">
        <v>0</v>
      </c>
      <c r="G152" s="2">
        <v>0</v>
      </c>
      <c r="H152" s="2">
        <v>1</v>
      </c>
      <c r="I152" s="2">
        <v>0</v>
      </c>
      <c r="J152" s="2">
        <v>0</v>
      </c>
      <c r="K152" s="2">
        <v>1346</v>
      </c>
      <c r="L152" s="2">
        <v>1</v>
      </c>
      <c r="M152" s="2">
        <v>4</v>
      </c>
      <c r="N152" s="2">
        <v>2</v>
      </c>
      <c r="O152" s="2">
        <v>0</v>
      </c>
      <c r="P152" s="2">
        <v>1</v>
      </c>
      <c r="Q152" s="2">
        <v>0</v>
      </c>
      <c r="R152" s="2">
        <v>0</v>
      </c>
      <c r="S152" s="2">
        <v>0</v>
      </c>
      <c r="T152" s="2">
        <v>4</v>
      </c>
      <c r="U152" s="2">
        <v>0</v>
      </c>
      <c r="V152" s="2">
        <v>1</v>
      </c>
      <c r="W152" s="2">
        <v>42</v>
      </c>
      <c r="X152" s="2">
        <v>1</v>
      </c>
      <c r="Y152" s="2">
        <v>0</v>
      </c>
      <c r="Z152" s="2">
        <v>0</v>
      </c>
      <c r="AA152" s="2">
        <v>1</v>
      </c>
      <c r="AB152" s="2">
        <v>2</v>
      </c>
      <c r="AC152" s="2">
        <v>2</v>
      </c>
      <c r="AD152" s="2">
        <v>1</v>
      </c>
      <c r="AE152" s="2">
        <v>0</v>
      </c>
      <c r="AF152" s="2">
        <v>1</v>
      </c>
    </row>
    <row r="153" spans="1:32" x14ac:dyDescent="0.25">
      <c r="A153">
        <v>152</v>
      </c>
      <c r="B153" s="2">
        <v>3</v>
      </c>
      <c r="C153" s="2">
        <v>10</v>
      </c>
      <c r="D153" s="2">
        <v>2</v>
      </c>
      <c r="E153" s="2">
        <v>0</v>
      </c>
      <c r="F153" s="2">
        <v>0</v>
      </c>
      <c r="G153" s="2">
        <v>0</v>
      </c>
      <c r="H153" s="2">
        <v>1</v>
      </c>
      <c r="I153" s="2">
        <v>0</v>
      </c>
      <c r="J153" s="2">
        <v>0</v>
      </c>
      <c r="K153" s="2">
        <v>1924</v>
      </c>
      <c r="L153" s="2">
        <v>0</v>
      </c>
      <c r="M153" s="2">
        <v>2</v>
      </c>
      <c r="N153" s="2">
        <v>1</v>
      </c>
      <c r="O153" s="2">
        <v>0</v>
      </c>
      <c r="P153" s="2">
        <v>1</v>
      </c>
      <c r="Q153" s="2">
        <v>0</v>
      </c>
      <c r="R153" s="2">
        <v>0</v>
      </c>
      <c r="S153" s="2">
        <v>0</v>
      </c>
      <c r="T153" s="2">
        <v>4</v>
      </c>
      <c r="U153" s="2">
        <v>0</v>
      </c>
      <c r="V153" s="2">
        <v>0</v>
      </c>
      <c r="W153" s="2">
        <v>38</v>
      </c>
      <c r="X153" s="2">
        <v>0</v>
      </c>
      <c r="Y153" s="2">
        <v>0</v>
      </c>
      <c r="Z153" s="2">
        <v>1</v>
      </c>
      <c r="AA153" s="2">
        <v>1</v>
      </c>
      <c r="AB153" s="2">
        <v>2</v>
      </c>
      <c r="AC153" s="2">
        <v>1</v>
      </c>
      <c r="AD153" s="2">
        <v>1</v>
      </c>
      <c r="AE153" s="2">
        <v>1</v>
      </c>
      <c r="AF153" s="2">
        <v>1</v>
      </c>
    </row>
    <row r="154" spans="1:32" x14ac:dyDescent="0.25">
      <c r="A154">
        <v>153</v>
      </c>
      <c r="B154" s="2">
        <v>2</v>
      </c>
      <c r="C154" s="2">
        <v>36</v>
      </c>
      <c r="D154" s="2">
        <v>2</v>
      </c>
      <c r="E154" s="2">
        <v>0</v>
      </c>
      <c r="F154" s="2">
        <v>0</v>
      </c>
      <c r="G154" s="2">
        <v>0</v>
      </c>
      <c r="H154" s="2">
        <v>1</v>
      </c>
      <c r="I154" s="2">
        <v>0</v>
      </c>
      <c r="J154" s="2">
        <v>0</v>
      </c>
      <c r="K154" s="2">
        <v>5848</v>
      </c>
      <c r="L154" s="2">
        <v>0</v>
      </c>
      <c r="M154" s="2">
        <v>2</v>
      </c>
      <c r="N154" s="2">
        <v>4</v>
      </c>
      <c r="O154" s="2">
        <v>0</v>
      </c>
      <c r="P154" s="2">
        <v>1</v>
      </c>
      <c r="Q154" s="2">
        <v>0</v>
      </c>
      <c r="R154" s="2">
        <v>0</v>
      </c>
      <c r="S154" s="2">
        <v>0</v>
      </c>
      <c r="T154" s="2">
        <v>1</v>
      </c>
      <c r="U154" s="2">
        <v>0</v>
      </c>
      <c r="V154" s="2">
        <v>0</v>
      </c>
      <c r="W154" s="2">
        <v>24</v>
      </c>
      <c r="X154" s="2">
        <v>0</v>
      </c>
      <c r="Y154" s="2">
        <v>0</v>
      </c>
      <c r="Z154" s="2">
        <v>1</v>
      </c>
      <c r="AA154" s="2">
        <v>1</v>
      </c>
      <c r="AB154" s="2">
        <v>2</v>
      </c>
      <c r="AC154" s="2">
        <v>1</v>
      </c>
      <c r="AD154" s="2">
        <v>0</v>
      </c>
      <c r="AE154" s="2">
        <v>0</v>
      </c>
      <c r="AF154" s="2">
        <v>1</v>
      </c>
    </row>
    <row r="155" spans="1:32" x14ac:dyDescent="0.25">
      <c r="A155">
        <v>154</v>
      </c>
      <c r="B155" s="2">
        <v>1</v>
      </c>
      <c r="C155" s="2">
        <v>24</v>
      </c>
      <c r="D155" s="2">
        <v>4</v>
      </c>
      <c r="E155" s="2">
        <v>0</v>
      </c>
      <c r="F155" s="2">
        <v>1</v>
      </c>
      <c r="G155" s="2">
        <v>0</v>
      </c>
      <c r="H155" s="2">
        <v>0</v>
      </c>
      <c r="I155" s="2">
        <v>0</v>
      </c>
      <c r="J155" s="2">
        <v>0</v>
      </c>
      <c r="K155" s="2">
        <v>7758</v>
      </c>
      <c r="L155" s="2">
        <v>3</v>
      </c>
      <c r="M155" s="2">
        <v>4</v>
      </c>
      <c r="N155" s="2">
        <v>2</v>
      </c>
      <c r="O155" s="2">
        <v>0</v>
      </c>
      <c r="P155" s="2">
        <v>0</v>
      </c>
      <c r="Q155" s="2">
        <v>0</v>
      </c>
      <c r="R155" s="2">
        <v>0</v>
      </c>
      <c r="S155" s="2">
        <v>0</v>
      </c>
      <c r="T155" s="2">
        <v>4</v>
      </c>
      <c r="U155" s="2">
        <v>0</v>
      </c>
      <c r="V155" s="2">
        <v>1</v>
      </c>
      <c r="W155" s="2">
        <v>29</v>
      </c>
      <c r="X155" s="2">
        <v>0</v>
      </c>
      <c r="Y155" s="2">
        <v>1</v>
      </c>
      <c r="Z155" s="2">
        <v>0</v>
      </c>
      <c r="AA155" s="2">
        <v>1</v>
      </c>
      <c r="AB155" s="2">
        <v>2</v>
      </c>
      <c r="AC155" s="2">
        <v>1</v>
      </c>
      <c r="AD155" s="2">
        <v>0</v>
      </c>
      <c r="AE155" s="2">
        <v>0</v>
      </c>
      <c r="AF155" s="2">
        <v>1</v>
      </c>
    </row>
    <row r="156" spans="1:32" x14ac:dyDescent="0.25">
      <c r="A156">
        <v>155</v>
      </c>
      <c r="B156" s="2">
        <v>1</v>
      </c>
      <c r="C156" s="2">
        <v>24</v>
      </c>
      <c r="D156" s="2">
        <v>3</v>
      </c>
      <c r="E156" s="2">
        <v>0</v>
      </c>
      <c r="F156" s="2">
        <v>0</v>
      </c>
      <c r="G156" s="2">
        <v>0</v>
      </c>
      <c r="H156" s="2">
        <v>0</v>
      </c>
      <c r="I156" s="2">
        <v>0</v>
      </c>
      <c r="J156" s="2">
        <v>1</v>
      </c>
      <c r="K156" s="2">
        <v>6967</v>
      </c>
      <c r="L156" s="2">
        <v>1</v>
      </c>
      <c r="M156" s="2">
        <v>3</v>
      </c>
      <c r="N156" s="2">
        <v>4</v>
      </c>
      <c r="O156" s="2">
        <v>0</v>
      </c>
      <c r="P156" s="2">
        <v>1</v>
      </c>
      <c r="Q156" s="2">
        <v>0</v>
      </c>
      <c r="R156" s="2">
        <v>0</v>
      </c>
      <c r="S156" s="2">
        <v>0</v>
      </c>
      <c r="T156" s="2">
        <v>4</v>
      </c>
      <c r="U156" s="2">
        <v>0</v>
      </c>
      <c r="V156" s="2">
        <v>0</v>
      </c>
      <c r="W156" s="2">
        <v>36</v>
      </c>
      <c r="X156" s="2">
        <v>0</v>
      </c>
      <c r="Y156" s="2">
        <v>1</v>
      </c>
      <c r="Z156" s="2">
        <v>0</v>
      </c>
      <c r="AA156" s="2">
        <v>1</v>
      </c>
      <c r="AB156" s="2">
        <v>3</v>
      </c>
      <c r="AC156" s="2">
        <v>1</v>
      </c>
      <c r="AD156" s="2">
        <v>1</v>
      </c>
      <c r="AE156" s="2">
        <v>0</v>
      </c>
      <c r="AF156" s="2">
        <v>1</v>
      </c>
    </row>
    <row r="157" spans="1:32" x14ac:dyDescent="0.25">
      <c r="A157">
        <v>156</v>
      </c>
      <c r="B157" s="2">
        <v>0</v>
      </c>
      <c r="C157" s="2">
        <v>12</v>
      </c>
      <c r="D157" s="2">
        <v>2</v>
      </c>
      <c r="E157" s="2">
        <v>0</v>
      </c>
      <c r="F157" s="2">
        <v>0</v>
      </c>
      <c r="G157" s="2">
        <v>1</v>
      </c>
      <c r="H157" s="2">
        <v>0</v>
      </c>
      <c r="I157" s="2">
        <v>0</v>
      </c>
      <c r="J157" s="2">
        <v>0</v>
      </c>
      <c r="K157" s="2">
        <v>1282</v>
      </c>
      <c r="L157" s="2">
        <v>0</v>
      </c>
      <c r="M157" s="2">
        <v>2</v>
      </c>
      <c r="N157" s="2">
        <v>2</v>
      </c>
      <c r="O157" s="2">
        <v>0</v>
      </c>
      <c r="P157" s="2">
        <v>0</v>
      </c>
      <c r="Q157" s="2">
        <v>0</v>
      </c>
      <c r="R157" s="2">
        <v>0</v>
      </c>
      <c r="S157" s="2">
        <v>0</v>
      </c>
      <c r="T157" s="2">
        <v>4</v>
      </c>
      <c r="U157" s="2">
        <v>0</v>
      </c>
      <c r="V157" s="2">
        <v>0</v>
      </c>
      <c r="W157" s="2">
        <v>20</v>
      </c>
      <c r="X157" s="2">
        <v>0</v>
      </c>
      <c r="Y157" s="2">
        <v>1</v>
      </c>
      <c r="Z157" s="2">
        <v>0</v>
      </c>
      <c r="AA157" s="2">
        <v>1</v>
      </c>
      <c r="AB157" s="2">
        <v>2</v>
      </c>
      <c r="AC157" s="2">
        <v>1</v>
      </c>
      <c r="AD157" s="2">
        <v>0</v>
      </c>
      <c r="AE157" s="2">
        <v>0</v>
      </c>
      <c r="AF157" s="2">
        <v>0</v>
      </c>
    </row>
    <row r="158" spans="1:32" x14ac:dyDescent="0.25">
      <c r="A158">
        <v>157</v>
      </c>
      <c r="B158" s="2">
        <v>0</v>
      </c>
      <c r="C158" s="2">
        <v>9</v>
      </c>
      <c r="D158" s="2">
        <v>4</v>
      </c>
      <c r="E158" s="2">
        <v>0</v>
      </c>
      <c r="F158" s="2">
        <v>0</v>
      </c>
      <c r="G158" s="2">
        <v>0</v>
      </c>
      <c r="H158" s="2">
        <v>0</v>
      </c>
      <c r="I158" s="2">
        <v>0</v>
      </c>
      <c r="J158" s="2">
        <v>0</v>
      </c>
      <c r="K158" s="2">
        <v>1288</v>
      </c>
      <c r="L158" s="2">
        <v>1</v>
      </c>
      <c r="M158" s="2">
        <v>4</v>
      </c>
      <c r="N158" s="2">
        <v>3</v>
      </c>
      <c r="O158" s="2">
        <v>0</v>
      </c>
      <c r="P158" s="2">
        <v>1</v>
      </c>
      <c r="Q158" s="2">
        <v>0</v>
      </c>
      <c r="R158" s="2">
        <v>0</v>
      </c>
      <c r="S158" s="2">
        <v>1</v>
      </c>
      <c r="T158" s="2">
        <v>4</v>
      </c>
      <c r="U158" s="2">
        <v>1</v>
      </c>
      <c r="V158" s="2">
        <v>0</v>
      </c>
      <c r="W158" s="2">
        <v>48</v>
      </c>
      <c r="X158" s="2">
        <v>0</v>
      </c>
      <c r="Y158" s="2">
        <v>0</v>
      </c>
      <c r="Z158" s="2">
        <v>1</v>
      </c>
      <c r="AA158" s="2">
        <v>2</v>
      </c>
      <c r="AB158" s="2">
        <v>2</v>
      </c>
      <c r="AC158" s="2">
        <v>2</v>
      </c>
      <c r="AD158" s="2">
        <v>0</v>
      </c>
      <c r="AE158" s="2">
        <v>1</v>
      </c>
      <c r="AF158" s="2">
        <v>1</v>
      </c>
    </row>
    <row r="159" spans="1:32" x14ac:dyDescent="0.25">
      <c r="A159">
        <v>158</v>
      </c>
      <c r="B159" s="2">
        <v>0</v>
      </c>
      <c r="C159" s="2">
        <v>12</v>
      </c>
      <c r="D159" s="2">
        <v>1</v>
      </c>
      <c r="E159" s="2">
        <v>0</v>
      </c>
      <c r="F159" s="2">
        <v>0</v>
      </c>
      <c r="G159" s="2">
        <v>0</v>
      </c>
      <c r="H159" s="2">
        <v>0</v>
      </c>
      <c r="I159" s="2">
        <v>0</v>
      </c>
      <c r="J159" s="2">
        <v>0</v>
      </c>
      <c r="K159" s="2">
        <v>339</v>
      </c>
      <c r="L159" s="2">
        <v>0</v>
      </c>
      <c r="M159" s="2">
        <v>4</v>
      </c>
      <c r="N159" s="2">
        <v>4</v>
      </c>
      <c r="O159" s="2">
        <v>0</v>
      </c>
      <c r="P159" s="2">
        <v>0</v>
      </c>
      <c r="Q159" s="2">
        <v>1</v>
      </c>
      <c r="R159" s="2">
        <v>0</v>
      </c>
      <c r="S159" s="2">
        <v>0</v>
      </c>
      <c r="T159" s="2">
        <v>1</v>
      </c>
      <c r="U159" s="2">
        <v>0</v>
      </c>
      <c r="V159" s="2">
        <v>0</v>
      </c>
      <c r="W159" s="2">
        <v>45</v>
      </c>
      <c r="X159" s="2">
        <v>1</v>
      </c>
      <c r="Y159" s="2">
        <v>0</v>
      </c>
      <c r="Z159" s="2">
        <v>1</v>
      </c>
      <c r="AA159" s="2">
        <v>1</v>
      </c>
      <c r="AB159" s="2">
        <v>1</v>
      </c>
      <c r="AC159" s="2">
        <v>1</v>
      </c>
      <c r="AD159" s="2">
        <v>0</v>
      </c>
      <c r="AE159" s="2">
        <v>0</v>
      </c>
      <c r="AF159" s="2">
        <v>1</v>
      </c>
    </row>
    <row r="160" spans="1:32" x14ac:dyDescent="0.25">
      <c r="A160">
        <v>159</v>
      </c>
      <c r="B160" s="2">
        <v>1</v>
      </c>
      <c r="C160" s="2">
        <v>24</v>
      </c>
      <c r="D160" s="2">
        <v>2</v>
      </c>
      <c r="E160" s="2">
        <v>1</v>
      </c>
      <c r="F160" s="2">
        <v>0</v>
      </c>
      <c r="G160" s="2">
        <v>0</v>
      </c>
      <c r="H160" s="2">
        <v>0</v>
      </c>
      <c r="I160" s="2">
        <v>0</v>
      </c>
      <c r="J160" s="2">
        <v>0</v>
      </c>
      <c r="K160" s="2">
        <v>3512</v>
      </c>
      <c r="L160" s="2">
        <v>1</v>
      </c>
      <c r="M160" s="2">
        <v>3</v>
      </c>
      <c r="N160" s="2">
        <v>2</v>
      </c>
      <c r="O160" s="2">
        <v>0</v>
      </c>
      <c r="P160" s="2">
        <v>1</v>
      </c>
      <c r="Q160" s="2">
        <v>0</v>
      </c>
      <c r="R160" s="2">
        <v>0</v>
      </c>
      <c r="S160" s="2">
        <v>0</v>
      </c>
      <c r="T160" s="2">
        <v>3</v>
      </c>
      <c r="U160" s="2">
        <v>0</v>
      </c>
      <c r="V160" s="2">
        <v>0</v>
      </c>
      <c r="W160" s="2">
        <v>38</v>
      </c>
      <c r="X160" s="2">
        <v>1</v>
      </c>
      <c r="Y160" s="2">
        <v>0</v>
      </c>
      <c r="Z160" s="2">
        <v>1</v>
      </c>
      <c r="AA160" s="2">
        <v>2</v>
      </c>
      <c r="AB160" s="2">
        <v>2</v>
      </c>
      <c r="AC160" s="2">
        <v>1</v>
      </c>
      <c r="AD160" s="2">
        <v>1</v>
      </c>
      <c r="AE160" s="2">
        <v>0</v>
      </c>
      <c r="AF160" s="2">
        <v>1</v>
      </c>
    </row>
    <row r="161" spans="1:32" x14ac:dyDescent="0.25">
      <c r="A161">
        <v>160</v>
      </c>
      <c r="B161" s="2">
        <v>3</v>
      </c>
      <c r="C161" s="2">
        <v>6</v>
      </c>
      <c r="D161" s="2">
        <v>4</v>
      </c>
      <c r="E161" s="2">
        <v>0</v>
      </c>
      <c r="F161" s="2">
        <v>0</v>
      </c>
      <c r="G161" s="2">
        <v>0</v>
      </c>
      <c r="H161" s="2">
        <v>1</v>
      </c>
      <c r="I161" s="2">
        <v>0</v>
      </c>
      <c r="J161" s="2">
        <v>0</v>
      </c>
      <c r="K161" s="2">
        <v>1898</v>
      </c>
      <c r="L161" s="2">
        <v>4</v>
      </c>
      <c r="M161" s="2">
        <v>2</v>
      </c>
      <c r="N161" s="2">
        <v>1</v>
      </c>
      <c r="O161" s="2">
        <v>0</v>
      </c>
      <c r="P161" s="2">
        <v>1</v>
      </c>
      <c r="Q161" s="2">
        <v>0</v>
      </c>
      <c r="R161" s="2">
        <v>0</v>
      </c>
      <c r="S161" s="2">
        <v>0</v>
      </c>
      <c r="T161" s="2">
        <v>2</v>
      </c>
      <c r="U161" s="2">
        <v>1</v>
      </c>
      <c r="V161" s="2">
        <v>0</v>
      </c>
      <c r="W161" s="2">
        <v>34</v>
      </c>
      <c r="X161" s="2">
        <v>0</v>
      </c>
      <c r="Y161" s="2">
        <v>0</v>
      </c>
      <c r="Z161" s="2">
        <v>1</v>
      </c>
      <c r="AA161" s="2">
        <v>2</v>
      </c>
      <c r="AB161" s="2">
        <v>1</v>
      </c>
      <c r="AC161" s="2">
        <v>2</v>
      </c>
      <c r="AD161" s="2">
        <v>0</v>
      </c>
      <c r="AE161" s="2">
        <v>0</v>
      </c>
      <c r="AF161" s="2">
        <v>1</v>
      </c>
    </row>
    <row r="162" spans="1:32" x14ac:dyDescent="0.25">
      <c r="A162">
        <v>161</v>
      </c>
      <c r="B162" s="2">
        <v>3</v>
      </c>
      <c r="C162" s="2">
        <v>24</v>
      </c>
      <c r="D162" s="2">
        <v>4</v>
      </c>
      <c r="E162" s="2">
        <v>0</v>
      </c>
      <c r="F162" s="2">
        <v>0</v>
      </c>
      <c r="G162" s="2">
        <v>0</v>
      </c>
      <c r="H162" s="2">
        <v>1</v>
      </c>
      <c r="I162" s="2">
        <v>0</v>
      </c>
      <c r="J162" s="2">
        <v>0</v>
      </c>
      <c r="K162" s="2">
        <v>2872</v>
      </c>
      <c r="L162" s="2">
        <v>1</v>
      </c>
      <c r="M162" s="2">
        <v>4</v>
      </c>
      <c r="N162" s="2">
        <v>3</v>
      </c>
      <c r="O162" s="2">
        <v>0</v>
      </c>
      <c r="P162" s="2">
        <v>1</v>
      </c>
      <c r="Q162" s="2">
        <v>0</v>
      </c>
      <c r="R162" s="2">
        <v>0</v>
      </c>
      <c r="S162" s="2">
        <v>0</v>
      </c>
      <c r="T162" s="2">
        <v>4</v>
      </c>
      <c r="U162" s="2">
        <v>1</v>
      </c>
      <c r="V162" s="2">
        <v>0</v>
      </c>
      <c r="W162" s="2">
        <v>36</v>
      </c>
      <c r="X162" s="2">
        <v>0</v>
      </c>
      <c r="Y162" s="2">
        <v>0</v>
      </c>
      <c r="Z162" s="2">
        <v>1</v>
      </c>
      <c r="AA162" s="2">
        <v>1</v>
      </c>
      <c r="AB162" s="2">
        <v>2</v>
      </c>
      <c r="AC162" s="2">
        <v>2</v>
      </c>
      <c r="AD162" s="2">
        <v>1</v>
      </c>
      <c r="AE162" s="2">
        <v>0</v>
      </c>
      <c r="AF162" s="2">
        <v>1</v>
      </c>
    </row>
    <row r="163" spans="1:32" x14ac:dyDescent="0.25">
      <c r="A163">
        <v>162</v>
      </c>
      <c r="B163" s="2">
        <v>3</v>
      </c>
      <c r="C163" s="2">
        <v>18</v>
      </c>
      <c r="D163" s="2">
        <v>4</v>
      </c>
      <c r="E163" s="2">
        <v>1</v>
      </c>
      <c r="F163" s="2">
        <v>0</v>
      </c>
      <c r="G163" s="2">
        <v>0</v>
      </c>
      <c r="H163" s="2">
        <v>0</v>
      </c>
      <c r="I163" s="2">
        <v>0</v>
      </c>
      <c r="J163" s="2">
        <v>0</v>
      </c>
      <c r="K163" s="2">
        <v>1055</v>
      </c>
      <c r="L163" s="2">
        <v>0</v>
      </c>
      <c r="M163" s="2">
        <v>1</v>
      </c>
      <c r="N163" s="2">
        <v>4</v>
      </c>
      <c r="O163" s="2">
        <v>0</v>
      </c>
      <c r="P163" s="2">
        <v>0</v>
      </c>
      <c r="Q163" s="2">
        <v>0</v>
      </c>
      <c r="R163" s="2">
        <v>0</v>
      </c>
      <c r="S163" s="2">
        <v>0</v>
      </c>
      <c r="T163" s="2">
        <v>1</v>
      </c>
      <c r="U163" s="2">
        <v>0</v>
      </c>
      <c r="V163" s="2">
        <v>0</v>
      </c>
      <c r="W163" s="2">
        <v>30</v>
      </c>
      <c r="X163" s="2">
        <v>0</v>
      </c>
      <c r="Y163" s="2">
        <v>0</v>
      </c>
      <c r="Z163" s="2">
        <v>1</v>
      </c>
      <c r="AA163" s="2">
        <v>2</v>
      </c>
      <c r="AB163" s="2">
        <v>2</v>
      </c>
      <c r="AC163" s="2">
        <v>1</v>
      </c>
      <c r="AD163" s="2">
        <v>0</v>
      </c>
      <c r="AE163" s="2">
        <v>0</v>
      </c>
      <c r="AF163" s="2">
        <v>1</v>
      </c>
    </row>
    <row r="164" spans="1:32" x14ac:dyDescent="0.25">
      <c r="A164">
        <v>163</v>
      </c>
      <c r="B164" s="2">
        <v>3</v>
      </c>
      <c r="C164" s="2">
        <v>15</v>
      </c>
      <c r="D164" s="2">
        <v>2</v>
      </c>
      <c r="E164" s="2">
        <v>0</v>
      </c>
      <c r="F164" s="2">
        <v>0</v>
      </c>
      <c r="G164" s="2">
        <v>0</v>
      </c>
      <c r="H164" s="2">
        <v>0</v>
      </c>
      <c r="I164" s="2">
        <v>0</v>
      </c>
      <c r="J164" s="2">
        <v>0</v>
      </c>
      <c r="K164" s="2">
        <v>1262</v>
      </c>
      <c r="L164" s="2">
        <v>2</v>
      </c>
      <c r="M164" s="2">
        <v>3</v>
      </c>
      <c r="N164" s="2">
        <v>4</v>
      </c>
      <c r="O164" s="2">
        <v>0</v>
      </c>
      <c r="P164" s="2">
        <v>1</v>
      </c>
      <c r="Q164" s="2">
        <v>0</v>
      </c>
      <c r="R164" s="2">
        <v>0</v>
      </c>
      <c r="S164" s="2">
        <v>0</v>
      </c>
      <c r="T164" s="2">
        <v>3</v>
      </c>
      <c r="U164" s="2">
        <v>0</v>
      </c>
      <c r="V164" s="2">
        <v>0</v>
      </c>
      <c r="W164" s="2">
        <v>36</v>
      </c>
      <c r="X164" s="2">
        <v>0</v>
      </c>
      <c r="Y164" s="2">
        <v>0</v>
      </c>
      <c r="Z164" s="2">
        <v>1</v>
      </c>
      <c r="AA164" s="2">
        <v>2</v>
      </c>
      <c r="AB164" s="2">
        <v>2</v>
      </c>
      <c r="AC164" s="2">
        <v>1</v>
      </c>
      <c r="AD164" s="2">
        <v>1</v>
      </c>
      <c r="AE164" s="2">
        <v>0</v>
      </c>
      <c r="AF164" s="2">
        <v>1</v>
      </c>
    </row>
    <row r="165" spans="1:32" x14ac:dyDescent="0.25">
      <c r="A165">
        <v>164</v>
      </c>
      <c r="B165" s="2">
        <v>1</v>
      </c>
      <c r="C165" s="2">
        <v>10</v>
      </c>
      <c r="D165" s="2">
        <v>2</v>
      </c>
      <c r="E165" s="2">
        <v>1</v>
      </c>
      <c r="F165" s="2">
        <v>0</v>
      </c>
      <c r="G165" s="2">
        <v>0</v>
      </c>
      <c r="H165" s="2">
        <v>0</v>
      </c>
      <c r="I165" s="2">
        <v>0</v>
      </c>
      <c r="J165" s="2">
        <v>0</v>
      </c>
      <c r="K165" s="2">
        <v>7308</v>
      </c>
      <c r="L165" s="2">
        <v>0</v>
      </c>
      <c r="M165" s="2">
        <v>0</v>
      </c>
      <c r="N165" s="2">
        <v>2</v>
      </c>
      <c r="O165" s="2">
        <v>0</v>
      </c>
      <c r="P165" s="2">
        <v>1</v>
      </c>
      <c r="Q165" s="2">
        <v>0</v>
      </c>
      <c r="R165" s="2">
        <v>0</v>
      </c>
      <c r="S165" s="2">
        <v>0</v>
      </c>
      <c r="T165" s="2">
        <v>4</v>
      </c>
      <c r="U165" s="2">
        <v>0</v>
      </c>
      <c r="V165" s="2">
        <v>1</v>
      </c>
      <c r="W165" s="2">
        <v>70</v>
      </c>
      <c r="X165" s="2">
        <v>1</v>
      </c>
      <c r="Y165" s="2">
        <v>0</v>
      </c>
      <c r="Z165" s="2">
        <v>0</v>
      </c>
      <c r="AA165" s="2">
        <v>1</v>
      </c>
      <c r="AB165" s="2">
        <v>3</v>
      </c>
      <c r="AC165" s="2">
        <v>1</v>
      </c>
      <c r="AD165" s="2">
        <v>1</v>
      </c>
      <c r="AE165" s="2">
        <v>0</v>
      </c>
      <c r="AF165" s="2">
        <v>1</v>
      </c>
    </row>
    <row r="166" spans="1:32" x14ac:dyDescent="0.25">
      <c r="A166">
        <v>165</v>
      </c>
      <c r="B166" s="2">
        <v>3</v>
      </c>
      <c r="C166" s="2">
        <v>36</v>
      </c>
      <c r="D166" s="2">
        <v>2</v>
      </c>
      <c r="E166" s="2">
        <v>1</v>
      </c>
      <c r="F166" s="2">
        <v>0</v>
      </c>
      <c r="G166" s="2">
        <v>0</v>
      </c>
      <c r="H166" s="2">
        <v>0</v>
      </c>
      <c r="I166" s="2">
        <v>0</v>
      </c>
      <c r="J166" s="2">
        <v>0</v>
      </c>
      <c r="K166" s="2">
        <v>909</v>
      </c>
      <c r="L166" s="2">
        <v>2</v>
      </c>
      <c r="M166" s="2">
        <v>4</v>
      </c>
      <c r="N166" s="2">
        <v>4</v>
      </c>
      <c r="O166" s="2">
        <v>0</v>
      </c>
      <c r="P166" s="2">
        <v>1</v>
      </c>
      <c r="Q166" s="2">
        <v>0</v>
      </c>
      <c r="R166" s="2">
        <v>0</v>
      </c>
      <c r="S166" s="2">
        <v>0</v>
      </c>
      <c r="T166" s="2">
        <v>4</v>
      </c>
      <c r="U166" s="2">
        <v>0</v>
      </c>
      <c r="V166" s="2">
        <v>0</v>
      </c>
      <c r="W166" s="2">
        <v>36</v>
      </c>
      <c r="X166" s="2">
        <v>0</v>
      </c>
      <c r="Y166" s="2">
        <v>0</v>
      </c>
      <c r="Z166" s="2">
        <v>1</v>
      </c>
      <c r="AA166" s="2">
        <v>1</v>
      </c>
      <c r="AB166" s="2">
        <v>2</v>
      </c>
      <c r="AC166" s="2">
        <v>1</v>
      </c>
      <c r="AD166" s="2">
        <v>0</v>
      </c>
      <c r="AE166" s="2">
        <v>0</v>
      </c>
      <c r="AF166" s="2">
        <v>1</v>
      </c>
    </row>
    <row r="167" spans="1:32" x14ac:dyDescent="0.25">
      <c r="A167">
        <v>166</v>
      </c>
      <c r="B167" s="2">
        <v>3</v>
      </c>
      <c r="C167" s="2">
        <v>6</v>
      </c>
      <c r="D167" s="2">
        <v>2</v>
      </c>
      <c r="E167" s="2">
        <v>0</v>
      </c>
      <c r="F167" s="2">
        <v>0</v>
      </c>
      <c r="G167" s="2">
        <v>1</v>
      </c>
      <c r="H167" s="2">
        <v>0</v>
      </c>
      <c r="I167" s="2">
        <v>0</v>
      </c>
      <c r="J167" s="2">
        <v>0</v>
      </c>
      <c r="K167" s="2">
        <v>2978</v>
      </c>
      <c r="L167" s="2">
        <v>2</v>
      </c>
      <c r="M167" s="2">
        <v>2</v>
      </c>
      <c r="N167" s="2">
        <v>1</v>
      </c>
      <c r="O167" s="2">
        <v>0</v>
      </c>
      <c r="P167" s="2">
        <v>1</v>
      </c>
      <c r="Q167" s="2">
        <v>0</v>
      </c>
      <c r="R167" s="2">
        <v>0</v>
      </c>
      <c r="S167" s="2">
        <v>0</v>
      </c>
      <c r="T167" s="2">
        <v>2</v>
      </c>
      <c r="U167" s="2">
        <v>0</v>
      </c>
      <c r="V167" s="2">
        <v>0</v>
      </c>
      <c r="W167" s="2">
        <v>32</v>
      </c>
      <c r="X167" s="2">
        <v>0</v>
      </c>
      <c r="Y167" s="2">
        <v>0</v>
      </c>
      <c r="Z167" s="2">
        <v>1</v>
      </c>
      <c r="AA167" s="2">
        <v>1</v>
      </c>
      <c r="AB167" s="2">
        <v>2</v>
      </c>
      <c r="AC167" s="2">
        <v>1</v>
      </c>
      <c r="AD167" s="2">
        <v>1</v>
      </c>
      <c r="AE167" s="2">
        <v>0</v>
      </c>
      <c r="AF167" s="2">
        <v>1</v>
      </c>
    </row>
    <row r="168" spans="1:32" x14ac:dyDescent="0.25">
      <c r="A168">
        <v>167</v>
      </c>
      <c r="B168" s="2">
        <v>0</v>
      </c>
      <c r="C168" s="2">
        <v>18</v>
      </c>
      <c r="D168" s="2">
        <v>2</v>
      </c>
      <c r="E168" s="2">
        <v>0</v>
      </c>
      <c r="F168" s="2">
        <v>0</v>
      </c>
      <c r="G168" s="2">
        <v>1</v>
      </c>
      <c r="H168" s="2">
        <v>0</v>
      </c>
      <c r="I168" s="2">
        <v>0</v>
      </c>
      <c r="J168" s="2">
        <v>0</v>
      </c>
      <c r="K168" s="2">
        <v>1131</v>
      </c>
      <c r="L168" s="2">
        <v>0</v>
      </c>
      <c r="M168" s="2">
        <v>0</v>
      </c>
      <c r="N168" s="2">
        <v>4</v>
      </c>
      <c r="O168" s="2">
        <v>0</v>
      </c>
      <c r="P168" s="2">
        <v>0</v>
      </c>
      <c r="Q168" s="2">
        <v>0</v>
      </c>
      <c r="R168" s="2">
        <v>0</v>
      </c>
      <c r="S168" s="2">
        <v>0</v>
      </c>
      <c r="T168" s="2">
        <v>2</v>
      </c>
      <c r="U168" s="2">
        <v>0</v>
      </c>
      <c r="V168" s="2">
        <v>0</v>
      </c>
      <c r="W168" s="2">
        <v>33</v>
      </c>
      <c r="X168" s="2">
        <v>0</v>
      </c>
      <c r="Y168" s="2">
        <v>0</v>
      </c>
      <c r="Z168" s="2">
        <v>1</v>
      </c>
      <c r="AA168" s="2">
        <v>1</v>
      </c>
      <c r="AB168" s="2">
        <v>2</v>
      </c>
      <c r="AC168" s="2">
        <v>1</v>
      </c>
      <c r="AD168" s="2">
        <v>0</v>
      </c>
      <c r="AE168" s="2">
        <v>0</v>
      </c>
      <c r="AF168" s="2">
        <v>0</v>
      </c>
    </row>
    <row r="169" spans="1:32" x14ac:dyDescent="0.25">
      <c r="A169">
        <v>168</v>
      </c>
      <c r="B169" s="2">
        <v>1</v>
      </c>
      <c r="C169" s="2">
        <v>11</v>
      </c>
      <c r="D169" s="2">
        <v>2</v>
      </c>
      <c r="E169" s="2">
        <v>0</v>
      </c>
      <c r="F169" s="2">
        <v>0</v>
      </c>
      <c r="G169" s="2">
        <v>1</v>
      </c>
      <c r="H169" s="2">
        <v>0</v>
      </c>
      <c r="I169" s="2">
        <v>0</v>
      </c>
      <c r="J169" s="2">
        <v>0</v>
      </c>
      <c r="K169" s="2">
        <v>1577</v>
      </c>
      <c r="L169" s="2">
        <v>3</v>
      </c>
      <c r="M169" s="2">
        <v>1</v>
      </c>
      <c r="N169" s="2">
        <v>4</v>
      </c>
      <c r="O169" s="2">
        <v>0</v>
      </c>
      <c r="P169" s="2">
        <v>0</v>
      </c>
      <c r="Q169" s="2">
        <v>0</v>
      </c>
      <c r="R169" s="2">
        <v>0</v>
      </c>
      <c r="S169" s="2">
        <v>0</v>
      </c>
      <c r="T169" s="2">
        <v>1</v>
      </c>
      <c r="U169" s="2">
        <v>1</v>
      </c>
      <c r="V169" s="2">
        <v>0</v>
      </c>
      <c r="W169" s="2">
        <v>20</v>
      </c>
      <c r="X169" s="2">
        <v>0</v>
      </c>
      <c r="Y169" s="2">
        <v>0</v>
      </c>
      <c r="Z169" s="2">
        <v>1</v>
      </c>
      <c r="AA169" s="2">
        <v>1</v>
      </c>
      <c r="AB169" s="2">
        <v>2</v>
      </c>
      <c r="AC169" s="2">
        <v>1</v>
      </c>
      <c r="AD169" s="2">
        <v>0</v>
      </c>
      <c r="AE169" s="2">
        <v>0</v>
      </c>
      <c r="AF169" s="2">
        <v>1</v>
      </c>
    </row>
    <row r="170" spans="1:32" x14ac:dyDescent="0.25">
      <c r="A170">
        <v>169</v>
      </c>
      <c r="B170" s="2">
        <v>3</v>
      </c>
      <c r="C170" s="2">
        <v>24</v>
      </c>
      <c r="D170" s="2">
        <v>2</v>
      </c>
      <c r="E170" s="2">
        <v>0</v>
      </c>
      <c r="F170" s="2">
        <v>0</v>
      </c>
      <c r="G170" s="2">
        <v>1</v>
      </c>
      <c r="H170" s="2">
        <v>0</v>
      </c>
      <c r="I170" s="2">
        <v>0</v>
      </c>
      <c r="J170" s="2">
        <v>0</v>
      </c>
      <c r="K170" s="2">
        <v>3972</v>
      </c>
      <c r="L170" s="2">
        <v>0</v>
      </c>
      <c r="M170" s="2">
        <v>3</v>
      </c>
      <c r="N170" s="2">
        <v>2</v>
      </c>
      <c r="O170" s="2">
        <v>0</v>
      </c>
      <c r="P170" s="2">
        <v>0</v>
      </c>
      <c r="Q170" s="2">
        <v>0</v>
      </c>
      <c r="R170" s="2">
        <v>0</v>
      </c>
      <c r="S170" s="2">
        <v>0</v>
      </c>
      <c r="T170" s="2">
        <v>4</v>
      </c>
      <c r="U170" s="2">
        <v>0</v>
      </c>
      <c r="V170" s="2">
        <v>0</v>
      </c>
      <c r="W170" s="2">
        <v>25</v>
      </c>
      <c r="X170" s="2">
        <v>0</v>
      </c>
      <c r="Y170" s="2">
        <v>1</v>
      </c>
      <c r="Z170" s="2">
        <v>0</v>
      </c>
      <c r="AA170" s="2">
        <v>1</v>
      </c>
      <c r="AB170" s="2">
        <v>2</v>
      </c>
      <c r="AC170" s="2">
        <v>1</v>
      </c>
      <c r="AD170" s="2">
        <v>1</v>
      </c>
      <c r="AE170" s="2">
        <v>0</v>
      </c>
      <c r="AF170" s="2">
        <v>1</v>
      </c>
    </row>
    <row r="171" spans="1:32" x14ac:dyDescent="0.25">
      <c r="A171">
        <v>170</v>
      </c>
      <c r="B171" s="2">
        <v>1</v>
      </c>
      <c r="C171" s="2">
        <v>24</v>
      </c>
      <c r="D171" s="2">
        <v>4</v>
      </c>
      <c r="E171" s="2">
        <v>0</v>
      </c>
      <c r="F171" s="2">
        <v>0</v>
      </c>
      <c r="G171" s="2">
        <v>0</v>
      </c>
      <c r="H171" s="2">
        <v>0</v>
      </c>
      <c r="I171" s="2">
        <v>0</v>
      </c>
      <c r="J171" s="2">
        <v>1</v>
      </c>
      <c r="K171" s="2">
        <v>1935</v>
      </c>
      <c r="L171" s="2">
        <v>0</v>
      </c>
      <c r="M171" s="2">
        <v>4</v>
      </c>
      <c r="N171" s="2">
        <v>4</v>
      </c>
      <c r="O171" s="2">
        <v>1</v>
      </c>
      <c r="P171" s="2">
        <v>0</v>
      </c>
      <c r="Q171" s="2">
        <v>0</v>
      </c>
      <c r="R171" s="2">
        <v>0</v>
      </c>
      <c r="S171" s="2">
        <v>0</v>
      </c>
      <c r="T171" s="2">
        <v>4</v>
      </c>
      <c r="U171" s="2">
        <v>1</v>
      </c>
      <c r="V171" s="2">
        <v>0</v>
      </c>
      <c r="W171" s="2">
        <v>31</v>
      </c>
      <c r="X171" s="2">
        <v>0</v>
      </c>
      <c r="Y171" s="2">
        <v>0</v>
      </c>
      <c r="Z171" s="2">
        <v>1</v>
      </c>
      <c r="AA171" s="2">
        <v>2</v>
      </c>
      <c r="AB171" s="2">
        <v>2</v>
      </c>
      <c r="AC171" s="2">
        <v>1</v>
      </c>
      <c r="AD171" s="2">
        <v>1</v>
      </c>
      <c r="AE171" s="2">
        <v>0</v>
      </c>
      <c r="AF171" s="2">
        <v>0</v>
      </c>
    </row>
    <row r="172" spans="1:32" x14ac:dyDescent="0.25">
      <c r="A172">
        <v>171</v>
      </c>
      <c r="B172" s="2">
        <v>0</v>
      </c>
      <c r="C172" s="2">
        <v>15</v>
      </c>
      <c r="D172" s="2">
        <v>0</v>
      </c>
      <c r="E172" s="2">
        <v>1</v>
      </c>
      <c r="F172" s="2">
        <v>0</v>
      </c>
      <c r="G172" s="2">
        <v>0</v>
      </c>
      <c r="H172" s="2">
        <v>0</v>
      </c>
      <c r="I172" s="2">
        <v>0</v>
      </c>
      <c r="J172" s="2">
        <v>0</v>
      </c>
      <c r="K172" s="2">
        <v>950</v>
      </c>
      <c r="L172" s="2">
        <v>0</v>
      </c>
      <c r="M172" s="2">
        <v>4</v>
      </c>
      <c r="N172" s="2">
        <v>4</v>
      </c>
      <c r="O172" s="2">
        <v>0</v>
      </c>
      <c r="P172" s="2">
        <v>1</v>
      </c>
      <c r="Q172" s="2">
        <v>0</v>
      </c>
      <c r="R172" s="2">
        <v>0</v>
      </c>
      <c r="S172" s="2">
        <v>0</v>
      </c>
      <c r="T172" s="2">
        <v>3</v>
      </c>
      <c r="U172" s="2">
        <v>0</v>
      </c>
      <c r="V172" s="2">
        <v>0</v>
      </c>
      <c r="W172" s="2">
        <v>33</v>
      </c>
      <c r="X172" s="2">
        <v>0</v>
      </c>
      <c r="Y172" s="2">
        <v>1</v>
      </c>
      <c r="Z172" s="2">
        <v>0</v>
      </c>
      <c r="AA172" s="2">
        <v>2</v>
      </c>
      <c r="AB172" s="2">
        <v>2</v>
      </c>
      <c r="AC172" s="2">
        <v>2</v>
      </c>
      <c r="AD172" s="2">
        <v>0</v>
      </c>
      <c r="AE172" s="2">
        <v>0</v>
      </c>
      <c r="AF172" s="2">
        <v>0</v>
      </c>
    </row>
    <row r="173" spans="1:32" x14ac:dyDescent="0.25">
      <c r="A173">
        <v>172</v>
      </c>
      <c r="B173" s="2">
        <v>3</v>
      </c>
      <c r="C173" s="2">
        <v>12</v>
      </c>
      <c r="D173" s="2">
        <v>2</v>
      </c>
      <c r="E173" s="2">
        <v>0</v>
      </c>
      <c r="F173" s="2">
        <v>0</v>
      </c>
      <c r="G173" s="2">
        <v>1</v>
      </c>
      <c r="H173" s="2">
        <v>0</v>
      </c>
      <c r="I173" s="2">
        <v>0</v>
      </c>
      <c r="J173" s="2">
        <v>0</v>
      </c>
      <c r="K173" s="2">
        <v>763</v>
      </c>
      <c r="L173" s="2">
        <v>0</v>
      </c>
      <c r="M173" s="2">
        <v>2</v>
      </c>
      <c r="N173" s="2">
        <v>4</v>
      </c>
      <c r="O173" s="2">
        <v>0</v>
      </c>
      <c r="P173" s="2">
        <v>0</v>
      </c>
      <c r="Q173" s="2">
        <v>0</v>
      </c>
      <c r="R173" s="2">
        <v>0</v>
      </c>
      <c r="S173" s="2">
        <v>0</v>
      </c>
      <c r="T173" s="2">
        <v>1</v>
      </c>
      <c r="U173" s="2">
        <v>1</v>
      </c>
      <c r="V173" s="2">
        <v>0</v>
      </c>
      <c r="W173" s="2">
        <v>26</v>
      </c>
      <c r="X173" s="2">
        <v>0</v>
      </c>
      <c r="Y173" s="2">
        <v>0</v>
      </c>
      <c r="Z173" s="2">
        <v>1</v>
      </c>
      <c r="AA173" s="2">
        <v>1</v>
      </c>
      <c r="AB173" s="2">
        <v>2</v>
      </c>
      <c r="AC173" s="2">
        <v>1</v>
      </c>
      <c r="AD173" s="2">
        <v>1</v>
      </c>
      <c r="AE173" s="2">
        <v>0</v>
      </c>
      <c r="AF173" s="2">
        <v>1</v>
      </c>
    </row>
    <row r="174" spans="1:32" x14ac:dyDescent="0.25">
      <c r="A174">
        <v>173</v>
      </c>
      <c r="B174" s="2">
        <v>1</v>
      </c>
      <c r="C174" s="2">
        <v>24</v>
      </c>
      <c r="D174" s="2">
        <v>3</v>
      </c>
      <c r="E174" s="2">
        <v>0</v>
      </c>
      <c r="F174" s="2">
        <v>0</v>
      </c>
      <c r="G174" s="2">
        <v>1</v>
      </c>
      <c r="H174" s="2">
        <v>0</v>
      </c>
      <c r="I174" s="2">
        <v>0</v>
      </c>
      <c r="J174" s="2">
        <v>0</v>
      </c>
      <c r="K174" s="2">
        <v>2064</v>
      </c>
      <c r="L174" s="2">
        <v>0</v>
      </c>
      <c r="M174" s="2">
        <v>0</v>
      </c>
      <c r="N174" s="2">
        <v>3</v>
      </c>
      <c r="O174" s="2">
        <v>0</v>
      </c>
      <c r="P174" s="2">
        <v>0</v>
      </c>
      <c r="Q174" s="2">
        <v>0</v>
      </c>
      <c r="R174" s="2">
        <v>0</v>
      </c>
      <c r="S174" s="2">
        <v>0</v>
      </c>
      <c r="T174" s="2">
        <v>2</v>
      </c>
      <c r="U174" s="2">
        <v>0</v>
      </c>
      <c r="V174" s="2">
        <v>0</v>
      </c>
      <c r="W174" s="2">
        <v>34</v>
      </c>
      <c r="X174" s="2">
        <v>0</v>
      </c>
      <c r="Y174" s="2">
        <v>0</v>
      </c>
      <c r="Z174" s="2">
        <v>1</v>
      </c>
      <c r="AA174" s="2">
        <v>1</v>
      </c>
      <c r="AB174" s="2">
        <v>3</v>
      </c>
      <c r="AC174" s="2">
        <v>1</v>
      </c>
      <c r="AD174" s="2">
        <v>1</v>
      </c>
      <c r="AE174" s="2">
        <v>0</v>
      </c>
      <c r="AF174" s="2">
        <v>0</v>
      </c>
    </row>
    <row r="175" spans="1:32" x14ac:dyDescent="0.25">
      <c r="A175">
        <v>174</v>
      </c>
      <c r="B175" s="2">
        <v>1</v>
      </c>
      <c r="C175" s="2">
        <v>8</v>
      </c>
      <c r="D175" s="2">
        <v>2</v>
      </c>
      <c r="E175" s="2">
        <v>0</v>
      </c>
      <c r="F175" s="2">
        <v>0</v>
      </c>
      <c r="G175" s="2">
        <v>0</v>
      </c>
      <c r="H175" s="2">
        <v>1</v>
      </c>
      <c r="I175" s="2">
        <v>0</v>
      </c>
      <c r="J175" s="2">
        <v>0</v>
      </c>
      <c r="K175" s="2">
        <v>1414</v>
      </c>
      <c r="L175" s="2">
        <v>0</v>
      </c>
      <c r="M175" s="2">
        <v>2</v>
      </c>
      <c r="N175" s="2">
        <v>4</v>
      </c>
      <c r="O175" s="2">
        <v>0</v>
      </c>
      <c r="P175" s="2">
        <v>1</v>
      </c>
      <c r="Q175" s="2">
        <v>0</v>
      </c>
      <c r="R175" s="2">
        <v>0</v>
      </c>
      <c r="S175" s="2">
        <v>1</v>
      </c>
      <c r="T175" s="2">
        <v>2</v>
      </c>
      <c r="U175" s="2">
        <v>1</v>
      </c>
      <c r="V175" s="2">
        <v>0</v>
      </c>
      <c r="W175" s="2">
        <v>33</v>
      </c>
      <c r="X175" s="2">
        <v>0</v>
      </c>
      <c r="Y175" s="2">
        <v>0</v>
      </c>
      <c r="Z175" s="2">
        <v>1</v>
      </c>
      <c r="AA175" s="2">
        <v>1</v>
      </c>
      <c r="AB175" s="2">
        <v>2</v>
      </c>
      <c r="AC175" s="2">
        <v>1</v>
      </c>
      <c r="AD175" s="2">
        <v>0</v>
      </c>
      <c r="AE175" s="2">
        <v>1</v>
      </c>
      <c r="AF175" s="2">
        <v>1</v>
      </c>
    </row>
    <row r="176" spans="1:32" x14ac:dyDescent="0.25">
      <c r="A176">
        <v>175</v>
      </c>
      <c r="B176" s="2">
        <v>0</v>
      </c>
      <c r="C176" s="2">
        <v>21</v>
      </c>
      <c r="D176" s="2">
        <v>3</v>
      </c>
      <c r="E176" s="2">
        <v>0</v>
      </c>
      <c r="F176" s="2">
        <v>0</v>
      </c>
      <c r="G176" s="2">
        <v>0</v>
      </c>
      <c r="H176" s="2">
        <v>0</v>
      </c>
      <c r="I176" s="2">
        <v>1</v>
      </c>
      <c r="J176" s="2">
        <v>0</v>
      </c>
      <c r="K176" s="2">
        <v>3414</v>
      </c>
      <c r="L176" s="2">
        <v>0</v>
      </c>
      <c r="M176" s="2">
        <v>1</v>
      </c>
      <c r="N176" s="2">
        <v>2</v>
      </c>
      <c r="O176" s="2">
        <v>0</v>
      </c>
      <c r="P176" s="2">
        <v>1</v>
      </c>
      <c r="Q176" s="2">
        <v>0</v>
      </c>
      <c r="R176" s="2">
        <v>0</v>
      </c>
      <c r="S176" s="2">
        <v>0</v>
      </c>
      <c r="T176" s="2">
        <v>1</v>
      </c>
      <c r="U176" s="2">
        <v>0</v>
      </c>
      <c r="V176" s="2">
        <v>0</v>
      </c>
      <c r="W176" s="2">
        <v>26</v>
      </c>
      <c r="X176" s="2">
        <v>0</v>
      </c>
      <c r="Y176" s="2">
        <v>0</v>
      </c>
      <c r="Z176" s="2">
        <v>1</v>
      </c>
      <c r="AA176" s="2">
        <v>2</v>
      </c>
      <c r="AB176" s="2">
        <v>2</v>
      </c>
      <c r="AC176" s="2">
        <v>1</v>
      </c>
      <c r="AD176" s="2">
        <v>0</v>
      </c>
      <c r="AE176" s="2">
        <v>0</v>
      </c>
      <c r="AF176" s="2">
        <v>0</v>
      </c>
    </row>
    <row r="177" spans="1:32" x14ac:dyDescent="0.25">
      <c r="A177">
        <v>176</v>
      </c>
      <c r="B177" s="2">
        <v>3</v>
      </c>
      <c r="C177" s="2">
        <v>30</v>
      </c>
      <c r="D177" s="2">
        <v>1</v>
      </c>
      <c r="E177" s="2">
        <v>0</v>
      </c>
      <c r="F177" s="2">
        <v>1</v>
      </c>
      <c r="G177" s="2">
        <v>0</v>
      </c>
      <c r="H177" s="2">
        <v>0</v>
      </c>
      <c r="I177" s="2">
        <v>0</v>
      </c>
      <c r="J177" s="2">
        <v>0</v>
      </c>
      <c r="K177" s="2">
        <v>7485</v>
      </c>
      <c r="L177" s="2">
        <v>4</v>
      </c>
      <c r="M177" s="2">
        <v>0</v>
      </c>
      <c r="N177" s="2">
        <v>4</v>
      </c>
      <c r="O177" s="2">
        <v>0</v>
      </c>
      <c r="P177" s="2">
        <v>0</v>
      </c>
      <c r="Q177" s="2">
        <v>0</v>
      </c>
      <c r="R177" s="2">
        <v>0</v>
      </c>
      <c r="S177" s="2">
        <v>0</v>
      </c>
      <c r="T177" s="2">
        <v>1</v>
      </c>
      <c r="U177" s="2">
        <v>1</v>
      </c>
      <c r="V177" s="2">
        <v>0</v>
      </c>
      <c r="W177" s="2">
        <v>53</v>
      </c>
      <c r="X177" s="2">
        <v>1</v>
      </c>
      <c r="Y177" s="2">
        <v>0</v>
      </c>
      <c r="Z177" s="2">
        <v>1</v>
      </c>
      <c r="AA177" s="2">
        <v>1</v>
      </c>
      <c r="AB177" s="2">
        <v>3</v>
      </c>
      <c r="AC177" s="2">
        <v>1</v>
      </c>
      <c r="AD177" s="2">
        <v>1</v>
      </c>
      <c r="AE177" s="2">
        <v>0</v>
      </c>
      <c r="AF177" s="2">
        <v>0</v>
      </c>
    </row>
    <row r="178" spans="1:32" x14ac:dyDescent="0.25">
      <c r="A178">
        <v>177</v>
      </c>
      <c r="B178" s="2">
        <v>0</v>
      </c>
      <c r="C178" s="2">
        <v>12</v>
      </c>
      <c r="D178" s="2">
        <v>2</v>
      </c>
      <c r="E178" s="2">
        <v>0</v>
      </c>
      <c r="F178" s="2">
        <v>0</v>
      </c>
      <c r="G178" s="2">
        <v>1</v>
      </c>
      <c r="H178" s="2">
        <v>0</v>
      </c>
      <c r="I178" s="2">
        <v>0</v>
      </c>
      <c r="J178" s="2">
        <v>0</v>
      </c>
      <c r="K178" s="2">
        <v>2577</v>
      </c>
      <c r="L178" s="2">
        <v>0</v>
      </c>
      <c r="M178" s="2">
        <v>2</v>
      </c>
      <c r="N178" s="2">
        <v>2</v>
      </c>
      <c r="O178" s="2">
        <v>1</v>
      </c>
      <c r="P178" s="2">
        <v>0</v>
      </c>
      <c r="Q178" s="2">
        <v>0</v>
      </c>
      <c r="R178" s="2">
        <v>0</v>
      </c>
      <c r="S178" s="2">
        <v>0</v>
      </c>
      <c r="T178" s="2">
        <v>1</v>
      </c>
      <c r="U178" s="2">
        <v>0</v>
      </c>
      <c r="V178" s="2">
        <v>0</v>
      </c>
      <c r="W178" s="2">
        <v>42</v>
      </c>
      <c r="X178" s="2">
        <v>0</v>
      </c>
      <c r="Y178" s="2">
        <v>0</v>
      </c>
      <c r="Z178" s="2">
        <v>1</v>
      </c>
      <c r="AA178" s="2">
        <v>1</v>
      </c>
      <c r="AB178" s="2">
        <v>2</v>
      </c>
      <c r="AC178" s="2">
        <v>1</v>
      </c>
      <c r="AD178" s="2">
        <v>0</v>
      </c>
      <c r="AE178" s="2">
        <v>0</v>
      </c>
      <c r="AF178" s="2">
        <v>1</v>
      </c>
    </row>
    <row r="179" spans="1:32" x14ac:dyDescent="0.25">
      <c r="A179">
        <v>178</v>
      </c>
      <c r="B179" s="2">
        <v>0</v>
      </c>
      <c r="C179" s="2">
        <v>6</v>
      </c>
      <c r="D179" s="2">
        <v>4</v>
      </c>
      <c r="E179" s="2">
        <v>0</v>
      </c>
      <c r="F179" s="2">
        <v>0</v>
      </c>
      <c r="G179" s="2">
        <v>0</v>
      </c>
      <c r="H179" s="2">
        <v>1</v>
      </c>
      <c r="I179" s="2">
        <v>0</v>
      </c>
      <c r="J179" s="2">
        <v>0</v>
      </c>
      <c r="K179" s="2">
        <v>338</v>
      </c>
      <c r="L179" s="2">
        <v>2</v>
      </c>
      <c r="M179" s="2">
        <v>4</v>
      </c>
      <c r="N179" s="2">
        <v>4</v>
      </c>
      <c r="O179" s="2">
        <v>0</v>
      </c>
      <c r="P179" s="2">
        <v>1</v>
      </c>
      <c r="Q179" s="2">
        <v>0</v>
      </c>
      <c r="R179" s="2">
        <v>0</v>
      </c>
      <c r="S179" s="2">
        <v>0</v>
      </c>
      <c r="T179" s="2">
        <v>4</v>
      </c>
      <c r="U179" s="2">
        <v>0</v>
      </c>
      <c r="V179" s="2">
        <v>0</v>
      </c>
      <c r="W179" s="2">
        <v>52</v>
      </c>
      <c r="X179" s="2">
        <v>0</v>
      </c>
      <c r="Y179" s="2">
        <v>0</v>
      </c>
      <c r="Z179" s="2">
        <v>1</v>
      </c>
      <c r="AA179" s="2">
        <v>2</v>
      </c>
      <c r="AB179" s="2">
        <v>2</v>
      </c>
      <c r="AC179" s="2">
        <v>1</v>
      </c>
      <c r="AD179" s="2">
        <v>0</v>
      </c>
      <c r="AE179" s="2">
        <v>0</v>
      </c>
      <c r="AF179" s="2">
        <v>1</v>
      </c>
    </row>
    <row r="180" spans="1:32" x14ac:dyDescent="0.25">
      <c r="A180">
        <v>179</v>
      </c>
      <c r="B180" s="2">
        <v>3</v>
      </c>
      <c r="C180" s="2">
        <v>12</v>
      </c>
      <c r="D180" s="2">
        <v>2</v>
      </c>
      <c r="E180" s="2">
        <v>0</v>
      </c>
      <c r="F180" s="2">
        <v>0</v>
      </c>
      <c r="G180" s="2">
        <v>0</v>
      </c>
      <c r="H180" s="2">
        <v>1</v>
      </c>
      <c r="I180" s="2">
        <v>0</v>
      </c>
      <c r="J180" s="2">
        <v>0</v>
      </c>
      <c r="K180" s="2">
        <v>1963</v>
      </c>
      <c r="L180" s="2">
        <v>0</v>
      </c>
      <c r="M180" s="2">
        <v>3</v>
      </c>
      <c r="N180" s="2">
        <v>4</v>
      </c>
      <c r="O180" s="2">
        <v>0</v>
      </c>
      <c r="P180" s="2">
        <v>1</v>
      </c>
      <c r="Q180" s="2">
        <v>0</v>
      </c>
      <c r="R180" s="2">
        <v>0</v>
      </c>
      <c r="S180" s="2">
        <v>0</v>
      </c>
      <c r="T180" s="2">
        <v>2</v>
      </c>
      <c r="U180" s="2">
        <v>0</v>
      </c>
      <c r="V180" s="2">
        <v>0</v>
      </c>
      <c r="W180" s="2">
        <v>31</v>
      </c>
      <c r="X180" s="2">
        <v>0</v>
      </c>
      <c r="Y180" s="2">
        <v>1</v>
      </c>
      <c r="Z180" s="2">
        <v>0</v>
      </c>
      <c r="AA180" s="2">
        <v>2</v>
      </c>
      <c r="AB180" s="2">
        <v>3</v>
      </c>
      <c r="AC180" s="2">
        <v>2</v>
      </c>
      <c r="AD180" s="2">
        <v>1</v>
      </c>
      <c r="AE180" s="2">
        <v>0</v>
      </c>
      <c r="AF180" s="2">
        <v>1</v>
      </c>
    </row>
    <row r="181" spans="1:32" x14ac:dyDescent="0.25">
      <c r="A181">
        <v>180</v>
      </c>
      <c r="B181" s="2">
        <v>0</v>
      </c>
      <c r="C181" s="2">
        <v>21</v>
      </c>
      <c r="D181" s="2">
        <v>4</v>
      </c>
      <c r="E181" s="2">
        <v>1</v>
      </c>
      <c r="F181" s="2">
        <v>0</v>
      </c>
      <c r="G181" s="2">
        <v>0</v>
      </c>
      <c r="H181" s="2">
        <v>0</v>
      </c>
      <c r="I181" s="2">
        <v>0</v>
      </c>
      <c r="J181" s="2">
        <v>0</v>
      </c>
      <c r="K181" s="2">
        <v>571</v>
      </c>
      <c r="L181" s="2">
        <v>0</v>
      </c>
      <c r="M181" s="2">
        <v>4</v>
      </c>
      <c r="N181" s="2">
        <v>4</v>
      </c>
      <c r="O181" s="2">
        <v>0</v>
      </c>
      <c r="P181" s="2">
        <v>1</v>
      </c>
      <c r="Q181" s="2">
        <v>0</v>
      </c>
      <c r="R181" s="2">
        <v>0</v>
      </c>
      <c r="S181" s="2">
        <v>0</v>
      </c>
      <c r="T181" s="2">
        <v>4</v>
      </c>
      <c r="U181" s="2">
        <v>1</v>
      </c>
      <c r="V181" s="2">
        <v>0</v>
      </c>
      <c r="W181" s="2">
        <v>65</v>
      </c>
      <c r="X181" s="2">
        <v>0</v>
      </c>
      <c r="Y181" s="2">
        <v>0</v>
      </c>
      <c r="Z181" s="2">
        <v>1</v>
      </c>
      <c r="AA181" s="2">
        <v>2</v>
      </c>
      <c r="AB181" s="2">
        <v>2</v>
      </c>
      <c r="AC181" s="2">
        <v>1</v>
      </c>
      <c r="AD181" s="2">
        <v>0</v>
      </c>
      <c r="AE181" s="2">
        <v>0</v>
      </c>
      <c r="AF181" s="2">
        <v>1</v>
      </c>
    </row>
    <row r="182" spans="1:32" x14ac:dyDescent="0.25">
      <c r="A182">
        <v>181</v>
      </c>
      <c r="B182" s="2">
        <v>3</v>
      </c>
      <c r="C182" s="2">
        <v>36</v>
      </c>
      <c r="D182" s="2">
        <v>3</v>
      </c>
      <c r="E182" s="2">
        <v>0</v>
      </c>
      <c r="F182" s="2">
        <v>0</v>
      </c>
      <c r="G182" s="2">
        <v>0</v>
      </c>
      <c r="H182" s="2">
        <v>0</v>
      </c>
      <c r="I182" s="2">
        <v>0</v>
      </c>
      <c r="J182" s="2">
        <v>1</v>
      </c>
      <c r="K182" s="2">
        <v>9572</v>
      </c>
      <c r="L182" s="2">
        <v>0</v>
      </c>
      <c r="M182" s="2">
        <v>1</v>
      </c>
      <c r="N182" s="2">
        <v>1</v>
      </c>
      <c r="O182" s="2">
        <v>1</v>
      </c>
      <c r="P182" s="2">
        <v>0</v>
      </c>
      <c r="Q182" s="2">
        <v>0</v>
      </c>
      <c r="R182" s="2">
        <v>0</v>
      </c>
      <c r="S182" s="2">
        <v>0</v>
      </c>
      <c r="T182" s="2">
        <v>1</v>
      </c>
      <c r="U182" s="2">
        <v>0</v>
      </c>
      <c r="V182" s="2">
        <v>0</v>
      </c>
      <c r="W182" s="2">
        <v>28</v>
      </c>
      <c r="X182" s="2">
        <v>0</v>
      </c>
      <c r="Y182" s="2">
        <v>0</v>
      </c>
      <c r="Z182" s="2">
        <v>1</v>
      </c>
      <c r="AA182" s="2">
        <v>2</v>
      </c>
      <c r="AB182" s="2">
        <v>2</v>
      </c>
      <c r="AC182" s="2">
        <v>1</v>
      </c>
      <c r="AD182" s="2">
        <v>0</v>
      </c>
      <c r="AE182" s="2">
        <v>0</v>
      </c>
      <c r="AF182" s="2">
        <v>0</v>
      </c>
    </row>
    <row r="183" spans="1:32" x14ac:dyDescent="0.25">
      <c r="A183">
        <v>182</v>
      </c>
      <c r="B183" s="2">
        <v>1</v>
      </c>
      <c r="C183" s="2">
        <v>36</v>
      </c>
      <c r="D183" s="2">
        <v>3</v>
      </c>
      <c r="E183" s="2">
        <v>0</v>
      </c>
      <c r="F183" s="2">
        <v>0</v>
      </c>
      <c r="G183" s="2">
        <v>0</v>
      </c>
      <c r="H183" s="2">
        <v>0</v>
      </c>
      <c r="I183" s="2">
        <v>0</v>
      </c>
      <c r="J183" s="2">
        <v>1</v>
      </c>
      <c r="K183" s="2">
        <v>4455</v>
      </c>
      <c r="L183" s="2">
        <v>0</v>
      </c>
      <c r="M183" s="2">
        <v>2</v>
      </c>
      <c r="N183" s="2">
        <v>2</v>
      </c>
      <c r="O183" s="2">
        <v>1</v>
      </c>
      <c r="P183" s="2">
        <v>0</v>
      </c>
      <c r="Q183" s="2">
        <v>0</v>
      </c>
      <c r="R183" s="2">
        <v>0</v>
      </c>
      <c r="S183" s="2">
        <v>0</v>
      </c>
      <c r="T183" s="2">
        <v>2</v>
      </c>
      <c r="U183" s="2">
        <v>1</v>
      </c>
      <c r="V183" s="2">
        <v>0</v>
      </c>
      <c r="W183" s="2">
        <v>30</v>
      </c>
      <c r="X183" s="2">
        <v>1</v>
      </c>
      <c r="Y183" s="2">
        <v>0</v>
      </c>
      <c r="Z183" s="2">
        <v>1</v>
      </c>
      <c r="AA183" s="2">
        <v>2</v>
      </c>
      <c r="AB183" s="2">
        <v>3</v>
      </c>
      <c r="AC183" s="2">
        <v>1</v>
      </c>
      <c r="AD183" s="2">
        <v>1</v>
      </c>
      <c r="AE183" s="2">
        <v>0</v>
      </c>
      <c r="AF183" s="2">
        <v>0</v>
      </c>
    </row>
    <row r="184" spans="1:32" x14ac:dyDescent="0.25">
      <c r="A184">
        <v>183</v>
      </c>
      <c r="B184" s="2">
        <v>0</v>
      </c>
      <c r="C184" s="2">
        <v>21</v>
      </c>
      <c r="D184" s="2">
        <v>1</v>
      </c>
      <c r="E184" s="2">
        <v>1</v>
      </c>
      <c r="F184" s="2">
        <v>0</v>
      </c>
      <c r="G184" s="2">
        <v>0</v>
      </c>
      <c r="H184" s="2">
        <v>0</v>
      </c>
      <c r="I184" s="2">
        <v>0</v>
      </c>
      <c r="J184" s="2">
        <v>0</v>
      </c>
      <c r="K184" s="2">
        <v>1647</v>
      </c>
      <c r="L184" s="2">
        <v>4</v>
      </c>
      <c r="M184" s="2">
        <v>2</v>
      </c>
      <c r="N184" s="2">
        <v>4</v>
      </c>
      <c r="O184" s="2">
        <v>0</v>
      </c>
      <c r="P184" s="2">
        <v>1</v>
      </c>
      <c r="Q184" s="2">
        <v>0</v>
      </c>
      <c r="R184" s="2">
        <v>0</v>
      </c>
      <c r="S184" s="2">
        <v>0</v>
      </c>
      <c r="T184" s="2">
        <v>2</v>
      </c>
      <c r="U184" s="2">
        <v>0</v>
      </c>
      <c r="V184" s="2">
        <v>0</v>
      </c>
      <c r="W184" s="2">
        <v>40</v>
      </c>
      <c r="X184" s="2">
        <v>0</v>
      </c>
      <c r="Y184" s="2">
        <v>0</v>
      </c>
      <c r="Z184" s="2">
        <v>1</v>
      </c>
      <c r="AA184" s="2">
        <v>2</v>
      </c>
      <c r="AB184" s="2">
        <v>1</v>
      </c>
      <c r="AC184" s="2">
        <v>2</v>
      </c>
      <c r="AD184" s="2">
        <v>0</v>
      </c>
      <c r="AE184" s="2">
        <v>0</v>
      </c>
      <c r="AF184" s="2">
        <v>0</v>
      </c>
    </row>
    <row r="185" spans="1:32" x14ac:dyDescent="0.25">
      <c r="A185">
        <v>184</v>
      </c>
      <c r="B185" s="2">
        <v>3</v>
      </c>
      <c r="C185" s="2">
        <v>24</v>
      </c>
      <c r="D185" s="2">
        <v>4</v>
      </c>
      <c r="E185" s="2">
        <v>0</v>
      </c>
      <c r="F185" s="2">
        <v>0</v>
      </c>
      <c r="G185" s="2">
        <v>1</v>
      </c>
      <c r="H185" s="2">
        <v>0</v>
      </c>
      <c r="I185" s="2">
        <v>0</v>
      </c>
      <c r="J185" s="2">
        <v>0</v>
      </c>
      <c r="K185" s="2">
        <v>3777</v>
      </c>
      <c r="L185" s="2">
        <v>3</v>
      </c>
      <c r="M185" s="2">
        <v>2</v>
      </c>
      <c r="N185" s="2">
        <v>4</v>
      </c>
      <c r="O185" s="2">
        <v>0</v>
      </c>
      <c r="P185" s="2">
        <v>1</v>
      </c>
      <c r="Q185" s="2">
        <v>0</v>
      </c>
      <c r="R185" s="2">
        <v>0</v>
      </c>
      <c r="S185" s="2">
        <v>0</v>
      </c>
      <c r="T185" s="2">
        <v>4</v>
      </c>
      <c r="U185" s="2">
        <v>1</v>
      </c>
      <c r="V185" s="2">
        <v>0</v>
      </c>
      <c r="W185" s="2">
        <v>50</v>
      </c>
      <c r="X185" s="2">
        <v>0</v>
      </c>
      <c r="Y185" s="2">
        <v>0</v>
      </c>
      <c r="Z185" s="2">
        <v>1</v>
      </c>
      <c r="AA185" s="2">
        <v>1</v>
      </c>
      <c r="AB185" s="2">
        <v>2</v>
      </c>
      <c r="AC185" s="2">
        <v>1</v>
      </c>
      <c r="AD185" s="2">
        <v>1</v>
      </c>
      <c r="AE185" s="2">
        <v>0</v>
      </c>
      <c r="AF185" s="2">
        <v>1</v>
      </c>
    </row>
    <row r="186" spans="1:32" x14ac:dyDescent="0.25">
      <c r="A186">
        <v>185</v>
      </c>
      <c r="B186" s="2">
        <v>1</v>
      </c>
      <c r="C186" s="2">
        <v>18</v>
      </c>
      <c r="D186" s="2">
        <v>4</v>
      </c>
      <c r="E186" s="2">
        <v>1</v>
      </c>
      <c r="F186" s="2">
        <v>0</v>
      </c>
      <c r="G186" s="2">
        <v>0</v>
      </c>
      <c r="H186" s="2">
        <v>0</v>
      </c>
      <c r="I186" s="2">
        <v>0</v>
      </c>
      <c r="J186" s="2">
        <v>0</v>
      </c>
      <c r="K186" s="2">
        <v>884</v>
      </c>
      <c r="L186" s="2">
        <v>0</v>
      </c>
      <c r="M186" s="2">
        <v>4</v>
      </c>
      <c r="N186" s="2">
        <v>4</v>
      </c>
      <c r="O186" s="2">
        <v>0</v>
      </c>
      <c r="P186" s="2">
        <v>1</v>
      </c>
      <c r="Q186" s="2">
        <v>0</v>
      </c>
      <c r="R186" s="2">
        <v>0</v>
      </c>
      <c r="S186" s="2">
        <v>0</v>
      </c>
      <c r="T186" s="2">
        <v>4</v>
      </c>
      <c r="U186" s="2">
        <v>0</v>
      </c>
      <c r="V186" s="2">
        <v>0</v>
      </c>
      <c r="W186" s="2">
        <v>36</v>
      </c>
      <c r="X186" s="2">
        <v>1</v>
      </c>
      <c r="Y186" s="2">
        <v>0</v>
      </c>
      <c r="Z186" s="2">
        <v>1</v>
      </c>
      <c r="AA186" s="2">
        <v>1</v>
      </c>
      <c r="AB186" s="2">
        <v>2</v>
      </c>
      <c r="AC186" s="2">
        <v>2</v>
      </c>
      <c r="AD186" s="2">
        <v>1</v>
      </c>
      <c r="AE186" s="2">
        <v>0</v>
      </c>
      <c r="AF186" s="2">
        <v>0</v>
      </c>
    </row>
    <row r="187" spans="1:32" x14ac:dyDescent="0.25">
      <c r="A187">
        <v>186</v>
      </c>
      <c r="B187" s="2">
        <v>3</v>
      </c>
      <c r="C187" s="2">
        <v>15</v>
      </c>
      <c r="D187" s="2">
        <v>4</v>
      </c>
      <c r="E187" s="2">
        <v>0</v>
      </c>
      <c r="F187" s="2">
        <v>0</v>
      </c>
      <c r="G187" s="2">
        <v>0</v>
      </c>
      <c r="H187" s="2">
        <v>1</v>
      </c>
      <c r="I187" s="2">
        <v>0</v>
      </c>
      <c r="J187" s="2">
        <v>0</v>
      </c>
      <c r="K187" s="2">
        <v>1360</v>
      </c>
      <c r="L187" s="2">
        <v>0</v>
      </c>
      <c r="M187" s="2">
        <v>2</v>
      </c>
      <c r="N187" s="2">
        <v>4</v>
      </c>
      <c r="O187" s="2">
        <v>0</v>
      </c>
      <c r="P187" s="2">
        <v>1</v>
      </c>
      <c r="Q187" s="2">
        <v>0</v>
      </c>
      <c r="R187" s="2">
        <v>0</v>
      </c>
      <c r="S187" s="2">
        <v>0</v>
      </c>
      <c r="T187" s="2">
        <v>2</v>
      </c>
      <c r="U187" s="2">
        <v>0</v>
      </c>
      <c r="V187" s="2">
        <v>0</v>
      </c>
      <c r="W187" s="2">
        <v>31</v>
      </c>
      <c r="X187" s="2">
        <v>0</v>
      </c>
      <c r="Y187" s="2">
        <v>0</v>
      </c>
      <c r="Z187" s="2">
        <v>1</v>
      </c>
      <c r="AA187" s="2">
        <v>2</v>
      </c>
      <c r="AB187" s="2">
        <v>2</v>
      </c>
      <c r="AC187" s="2">
        <v>1</v>
      </c>
      <c r="AD187" s="2">
        <v>0</v>
      </c>
      <c r="AE187" s="2">
        <v>0</v>
      </c>
      <c r="AF187" s="2">
        <v>1</v>
      </c>
    </row>
    <row r="188" spans="1:32" x14ac:dyDescent="0.25">
      <c r="A188">
        <v>187</v>
      </c>
      <c r="B188" s="2">
        <v>1</v>
      </c>
      <c r="C188" s="2">
        <v>9</v>
      </c>
      <c r="D188" s="2">
        <v>1</v>
      </c>
      <c r="E188" s="2">
        <v>0</v>
      </c>
      <c r="F188" s="2">
        <v>1</v>
      </c>
      <c r="G188" s="2">
        <v>0</v>
      </c>
      <c r="H188" s="2">
        <v>0</v>
      </c>
      <c r="I188" s="2">
        <v>0</v>
      </c>
      <c r="J188" s="2">
        <v>0</v>
      </c>
      <c r="K188" s="2">
        <v>5129</v>
      </c>
      <c r="L188" s="2">
        <v>0</v>
      </c>
      <c r="M188" s="2">
        <v>4</v>
      </c>
      <c r="N188" s="2">
        <v>2</v>
      </c>
      <c r="O188" s="2">
        <v>0</v>
      </c>
      <c r="P188" s="2">
        <v>0</v>
      </c>
      <c r="Q188" s="2">
        <v>0</v>
      </c>
      <c r="R188" s="2">
        <v>0</v>
      </c>
      <c r="S188" s="2">
        <v>0</v>
      </c>
      <c r="T188" s="2">
        <v>4</v>
      </c>
      <c r="U188" s="2">
        <v>0</v>
      </c>
      <c r="V188" s="2">
        <v>1</v>
      </c>
      <c r="W188" s="2">
        <v>74</v>
      </c>
      <c r="X188" s="2">
        <v>1</v>
      </c>
      <c r="Y188" s="2">
        <v>0</v>
      </c>
      <c r="Z188" s="2">
        <v>0</v>
      </c>
      <c r="AA188" s="2">
        <v>1</v>
      </c>
      <c r="AB188" s="2">
        <v>3</v>
      </c>
      <c r="AC188" s="2">
        <v>2</v>
      </c>
      <c r="AD188" s="2">
        <v>1</v>
      </c>
      <c r="AE188" s="2">
        <v>0</v>
      </c>
      <c r="AF188" s="2">
        <v>0</v>
      </c>
    </row>
    <row r="189" spans="1:32" x14ac:dyDescent="0.25">
      <c r="A189">
        <v>188</v>
      </c>
      <c r="B189" s="2">
        <v>1</v>
      </c>
      <c r="C189" s="2">
        <v>16</v>
      </c>
      <c r="D189" s="2">
        <v>4</v>
      </c>
      <c r="E189" s="2">
        <v>1</v>
      </c>
      <c r="F189" s="2">
        <v>0</v>
      </c>
      <c r="G189" s="2">
        <v>0</v>
      </c>
      <c r="H189" s="2">
        <v>0</v>
      </c>
      <c r="I189" s="2">
        <v>0</v>
      </c>
      <c r="J189" s="2">
        <v>0</v>
      </c>
      <c r="K189" s="2">
        <v>1175</v>
      </c>
      <c r="L189" s="2">
        <v>0</v>
      </c>
      <c r="M189" s="2">
        <v>0</v>
      </c>
      <c r="N189" s="2">
        <v>2</v>
      </c>
      <c r="O189" s="2">
        <v>0</v>
      </c>
      <c r="P189" s="2">
        <v>1</v>
      </c>
      <c r="Q189" s="2">
        <v>0</v>
      </c>
      <c r="R189" s="2">
        <v>0</v>
      </c>
      <c r="S189" s="2">
        <v>0</v>
      </c>
      <c r="T189" s="2">
        <v>3</v>
      </c>
      <c r="U189" s="2">
        <v>0</v>
      </c>
      <c r="V189" s="2">
        <v>0</v>
      </c>
      <c r="W189" s="2">
        <v>68</v>
      </c>
      <c r="X189" s="2">
        <v>0</v>
      </c>
      <c r="Y189" s="2">
        <v>0</v>
      </c>
      <c r="Z189" s="2">
        <v>0</v>
      </c>
      <c r="AA189" s="2">
        <v>3</v>
      </c>
      <c r="AB189" s="2">
        <v>0</v>
      </c>
      <c r="AC189" s="2">
        <v>1</v>
      </c>
      <c r="AD189" s="2">
        <v>1</v>
      </c>
      <c r="AE189" s="2">
        <v>0</v>
      </c>
      <c r="AF189" s="2">
        <v>1</v>
      </c>
    </row>
    <row r="190" spans="1:32" x14ac:dyDescent="0.25">
      <c r="A190">
        <v>189</v>
      </c>
      <c r="B190" s="2">
        <v>0</v>
      </c>
      <c r="C190" s="2">
        <v>12</v>
      </c>
      <c r="D190" s="2">
        <v>2</v>
      </c>
      <c r="E190" s="2">
        <v>0</v>
      </c>
      <c r="F190" s="2">
        <v>0</v>
      </c>
      <c r="G190" s="2">
        <v>0</v>
      </c>
      <c r="H190" s="2">
        <v>1</v>
      </c>
      <c r="I190" s="2">
        <v>0</v>
      </c>
      <c r="J190" s="2">
        <v>0</v>
      </c>
      <c r="K190" s="2">
        <v>674</v>
      </c>
      <c r="L190" s="2">
        <v>1</v>
      </c>
      <c r="M190" s="2">
        <v>3</v>
      </c>
      <c r="N190" s="2">
        <v>4</v>
      </c>
      <c r="O190" s="2">
        <v>0</v>
      </c>
      <c r="P190" s="2">
        <v>0</v>
      </c>
      <c r="Q190" s="2">
        <v>1</v>
      </c>
      <c r="R190" s="2">
        <v>0</v>
      </c>
      <c r="S190" s="2">
        <v>0</v>
      </c>
      <c r="T190" s="2">
        <v>1</v>
      </c>
      <c r="U190" s="2">
        <v>0</v>
      </c>
      <c r="V190" s="2">
        <v>0</v>
      </c>
      <c r="W190" s="2">
        <v>20</v>
      </c>
      <c r="X190" s="2">
        <v>0</v>
      </c>
      <c r="Y190" s="2">
        <v>0</v>
      </c>
      <c r="Z190" s="2">
        <v>1</v>
      </c>
      <c r="AA190" s="2">
        <v>1</v>
      </c>
      <c r="AB190" s="2">
        <v>2</v>
      </c>
      <c r="AC190" s="2">
        <v>1</v>
      </c>
      <c r="AD190" s="2">
        <v>0</v>
      </c>
      <c r="AE190" s="2">
        <v>0</v>
      </c>
      <c r="AF190" s="2">
        <v>0</v>
      </c>
    </row>
    <row r="191" spans="1:32" x14ac:dyDescent="0.25">
      <c r="A191">
        <v>190</v>
      </c>
      <c r="B191" s="2">
        <v>1</v>
      </c>
      <c r="C191" s="2">
        <v>18</v>
      </c>
      <c r="D191" s="2">
        <v>0</v>
      </c>
      <c r="E191" s="2">
        <v>0</v>
      </c>
      <c r="F191" s="2">
        <v>0</v>
      </c>
      <c r="G191" s="2">
        <v>1</v>
      </c>
      <c r="H191" s="2">
        <v>0</v>
      </c>
      <c r="I191" s="2">
        <v>0</v>
      </c>
      <c r="J191" s="2">
        <v>0</v>
      </c>
      <c r="K191" s="2">
        <v>3244</v>
      </c>
      <c r="L191" s="2">
        <v>0</v>
      </c>
      <c r="M191" s="2">
        <v>2</v>
      </c>
      <c r="N191" s="2">
        <v>1</v>
      </c>
      <c r="O191" s="2">
        <v>0</v>
      </c>
      <c r="P191" s="2">
        <v>0</v>
      </c>
      <c r="Q191" s="2">
        <v>0</v>
      </c>
      <c r="R191" s="2">
        <v>0</v>
      </c>
      <c r="S191" s="2">
        <v>0</v>
      </c>
      <c r="T191" s="2">
        <v>4</v>
      </c>
      <c r="U191" s="2">
        <v>0</v>
      </c>
      <c r="V191" s="2">
        <v>0</v>
      </c>
      <c r="W191" s="2">
        <v>33</v>
      </c>
      <c r="X191" s="2">
        <v>1</v>
      </c>
      <c r="Y191" s="2">
        <v>0</v>
      </c>
      <c r="Z191" s="2">
        <v>1</v>
      </c>
      <c r="AA191" s="2">
        <v>2</v>
      </c>
      <c r="AB191" s="2">
        <v>2</v>
      </c>
      <c r="AC191" s="2">
        <v>1</v>
      </c>
      <c r="AD191" s="2">
        <v>1</v>
      </c>
      <c r="AE191" s="2">
        <v>0</v>
      </c>
      <c r="AF191" s="2">
        <v>1</v>
      </c>
    </row>
    <row r="192" spans="1:32" x14ac:dyDescent="0.25">
      <c r="A192">
        <v>191</v>
      </c>
      <c r="B192" s="2">
        <v>3</v>
      </c>
      <c r="C192" s="2">
        <v>24</v>
      </c>
      <c r="D192" s="2">
        <v>2</v>
      </c>
      <c r="E192" s="2">
        <v>0</v>
      </c>
      <c r="F192" s="2">
        <v>0</v>
      </c>
      <c r="G192" s="2">
        <v>0</v>
      </c>
      <c r="H192" s="2">
        <v>0</v>
      </c>
      <c r="I192" s="2">
        <v>0</v>
      </c>
      <c r="J192" s="2">
        <v>1</v>
      </c>
      <c r="K192" s="2">
        <v>4591</v>
      </c>
      <c r="L192" s="2">
        <v>3</v>
      </c>
      <c r="M192" s="2">
        <v>2</v>
      </c>
      <c r="N192" s="2">
        <v>2</v>
      </c>
      <c r="O192" s="2">
        <v>0</v>
      </c>
      <c r="P192" s="2">
        <v>1</v>
      </c>
      <c r="Q192" s="2">
        <v>0</v>
      </c>
      <c r="R192" s="2">
        <v>0</v>
      </c>
      <c r="S192" s="2">
        <v>0</v>
      </c>
      <c r="T192" s="2">
        <v>3</v>
      </c>
      <c r="U192" s="2">
        <v>0</v>
      </c>
      <c r="V192" s="2">
        <v>0</v>
      </c>
      <c r="W192" s="2">
        <v>54</v>
      </c>
      <c r="X192" s="2">
        <v>0</v>
      </c>
      <c r="Y192" s="2">
        <v>0</v>
      </c>
      <c r="Z192" s="2">
        <v>1</v>
      </c>
      <c r="AA192" s="2">
        <v>3</v>
      </c>
      <c r="AB192" s="2">
        <v>3</v>
      </c>
      <c r="AC192" s="2">
        <v>1</v>
      </c>
      <c r="AD192" s="2">
        <v>1</v>
      </c>
      <c r="AE192" s="2">
        <v>0</v>
      </c>
      <c r="AF192" s="2">
        <v>0</v>
      </c>
    </row>
    <row r="193" spans="1:32" x14ac:dyDescent="0.25">
      <c r="A193">
        <v>192</v>
      </c>
      <c r="B193" s="2">
        <v>1</v>
      </c>
      <c r="C193" s="2">
        <v>48</v>
      </c>
      <c r="D193" s="2">
        <v>0</v>
      </c>
      <c r="E193" s="2">
        <v>0</v>
      </c>
      <c r="F193" s="2">
        <v>0</v>
      </c>
      <c r="G193" s="2">
        <v>0</v>
      </c>
      <c r="H193" s="2">
        <v>0</v>
      </c>
      <c r="I193" s="2">
        <v>0</v>
      </c>
      <c r="J193" s="2">
        <v>1</v>
      </c>
      <c r="K193" s="2">
        <v>3844</v>
      </c>
      <c r="L193" s="2">
        <v>1</v>
      </c>
      <c r="M193" s="2">
        <v>3</v>
      </c>
      <c r="N193" s="2">
        <v>4</v>
      </c>
      <c r="O193" s="2">
        <v>0</v>
      </c>
      <c r="P193" s="2">
        <v>1</v>
      </c>
      <c r="Q193" s="2">
        <v>0</v>
      </c>
      <c r="R193" s="2">
        <v>0</v>
      </c>
      <c r="S193" s="2">
        <v>0</v>
      </c>
      <c r="T193" s="2">
        <v>4</v>
      </c>
      <c r="U193" s="2">
        <v>0</v>
      </c>
      <c r="V193" s="2">
        <v>1</v>
      </c>
      <c r="W193" s="2">
        <v>34</v>
      </c>
      <c r="X193" s="2">
        <v>0</v>
      </c>
      <c r="Y193" s="2">
        <v>0</v>
      </c>
      <c r="Z193" s="2">
        <v>0</v>
      </c>
      <c r="AA193" s="2">
        <v>1</v>
      </c>
      <c r="AB193" s="2">
        <v>1</v>
      </c>
      <c r="AC193" s="2">
        <v>2</v>
      </c>
      <c r="AD193" s="2">
        <v>0</v>
      </c>
      <c r="AE193" s="2">
        <v>0</v>
      </c>
      <c r="AF193" s="2">
        <v>0</v>
      </c>
    </row>
    <row r="194" spans="1:32" x14ac:dyDescent="0.25">
      <c r="A194">
        <v>193</v>
      </c>
      <c r="B194" s="2">
        <v>1</v>
      </c>
      <c r="C194" s="2">
        <v>27</v>
      </c>
      <c r="D194" s="2">
        <v>2</v>
      </c>
      <c r="E194" s="2">
        <v>0</v>
      </c>
      <c r="F194" s="2">
        <v>0</v>
      </c>
      <c r="G194" s="2">
        <v>0</v>
      </c>
      <c r="H194" s="2">
        <v>0</v>
      </c>
      <c r="I194" s="2">
        <v>0</v>
      </c>
      <c r="J194" s="2">
        <v>1</v>
      </c>
      <c r="K194" s="2">
        <v>3915</v>
      </c>
      <c r="L194" s="2">
        <v>0</v>
      </c>
      <c r="M194" s="2">
        <v>2</v>
      </c>
      <c r="N194" s="2">
        <v>4</v>
      </c>
      <c r="O194" s="2">
        <v>0</v>
      </c>
      <c r="P194" s="2">
        <v>1</v>
      </c>
      <c r="Q194" s="2">
        <v>0</v>
      </c>
      <c r="R194" s="2">
        <v>0</v>
      </c>
      <c r="S194" s="2">
        <v>0</v>
      </c>
      <c r="T194" s="2">
        <v>2</v>
      </c>
      <c r="U194" s="2">
        <v>0</v>
      </c>
      <c r="V194" s="2">
        <v>0</v>
      </c>
      <c r="W194" s="2">
        <v>36</v>
      </c>
      <c r="X194" s="2">
        <v>0</v>
      </c>
      <c r="Y194" s="2">
        <v>0</v>
      </c>
      <c r="Z194" s="2">
        <v>1</v>
      </c>
      <c r="AA194" s="2">
        <v>1</v>
      </c>
      <c r="AB194" s="2">
        <v>2</v>
      </c>
      <c r="AC194" s="2">
        <v>2</v>
      </c>
      <c r="AD194" s="2">
        <v>1</v>
      </c>
      <c r="AE194" s="2">
        <v>0</v>
      </c>
      <c r="AF194" s="2">
        <v>0</v>
      </c>
    </row>
    <row r="195" spans="1:32" x14ac:dyDescent="0.25">
      <c r="A195">
        <v>194</v>
      </c>
      <c r="B195" s="2">
        <v>3</v>
      </c>
      <c r="C195" s="2">
        <v>6</v>
      </c>
      <c r="D195" s="2">
        <v>2</v>
      </c>
      <c r="E195" s="2">
        <v>0</v>
      </c>
      <c r="F195" s="2">
        <v>0</v>
      </c>
      <c r="G195" s="2">
        <v>0</v>
      </c>
      <c r="H195" s="2">
        <v>1</v>
      </c>
      <c r="I195" s="2">
        <v>0</v>
      </c>
      <c r="J195" s="2">
        <v>0</v>
      </c>
      <c r="K195" s="2">
        <v>2108</v>
      </c>
      <c r="L195" s="2">
        <v>0</v>
      </c>
      <c r="M195" s="2">
        <v>3</v>
      </c>
      <c r="N195" s="2">
        <v>2</v>
      </c>
      <c r="O195" s="2">
        <v>0</v>
      </c>
      <c r="P195" s="2">
        <v>0</v>
      </c>
      <c r="Q195" s="2">
        <v>1</v>
      </c>
      <c r="R195" s="2">
        <v>0</v>
      </c>
      <c r="S195" s="2">
        <v>0</v>
      </c>
      <c r="T195" s="2">
        <v>2</v>
      </c>
      <c r="U195" s="2">
        <v>1</v>
      </c>
      <c r="V195" s="2">
        <v>0</v>
      </c>
      <c r="W195" s="2">
        <v>29</v>
      </c>
      <c r="X195" s="2">
        <v>0</v>
      </c>
      <c r="Y195" s="2">
        <v>1</v>
      </c>
      <c r="Z195" s="2">
        <v>0</v>
      </c>
      <c r="AA195" s="2">
        <v>1</v>
      </c>
      <c r="AB195" s="2">
        <v>2</v>
      </c>
      <c r="AC195" s="2">
        <v>1</v>
      </c>
      <c r="AD195" s="2">
        <v>0</v>
      </c>
      <c r="AE195" s="2">
        <v>0</v>
      </c>
      <c r="AF195" s="2">
        <v>1</v>
      </c>
    </row>
    <row r="196" spans="1:32" x14ac:dyDescent="0.25">
      <c r="A196">
        <v>195</v>
      </c>
      <c r="B196" s="2">
        <v>1</v>
      </c>
      <c r="C196" s="2">
        <v>45</v>
      </c>
      <c r="D196" s="2">
        <v>2</v>
      </c>
      <c r="E196" s="2">
        <v>0</v>
      </c>
      <c r="F196" s="2">
        <v>0</v>
      </c>
      <c r="G196" s="2">
        <v>0</v>
      </c>
      <c r="H196" s="2">
        <v>1</v>
      </c>
      <c r="I196" s="2">
        <v>0</v>
      </c>
      <c r="J196" s="2">
        <v>0</v>
      </c>
      <c r="K196" s="2">
        <v>3031</v>
      </c>
      <c r="L196" s="2">
        <v>1</v>
      </c>
      <c r="M196" s="2">
        <v>2</v>
      </c>
      <c r="N196" s="2">
        <v>4</v>
      </c>
      <c r="O196" s="2">
        <v>0</v>
      </c>
      <c r="P196" s="2">
        <v>1</v>
      </c>
      <c r="Q196" s="2">
        <v>0</v>
      </c>
      <c r="R196" s="2">
        <v>0</v>
      </c>
      <c r="S196" s="2">
        <v>1</v>
      </c>
      <c r="T196" s="2">
        <v>4</v>
      </c>
      <c r="U196" s="2">
        <v>0</v>
      </c>
      <c r="V196" s="2">
        <v>0</v>
      </c>
      <c r="W196" s="2">
        <v>21</v>
      </c>
      <c r="X196" s="2">
        <v>0</v>
      </c>
      <c r="Y196" s="2">
        <v>1</v>
      </c>
      <c r="Z196" s="2">
        <v>0</v>
      </c>
      <c r="AA196" s="2">
        <v>1</v>
      </c>
      <c r="AB196" s="2">
        <v>2</v>
      </c>
      <c r="AC196" s="2">
        <v>1</v>
      </c>
      <c r="AD196" s="2">
        <v>0</v>
      </c>
      <c r="AE196" s="2">
        <v>0</v>
      </c>
      <c r="AF196" s="2">
        <v>0</v>
      </c>
    </row>
    <row r="197" spans="1:32" x14ac:dyDescent="0.25">
      <c r="A197">
        <v>196</v>
      </c>
      <c r="B197" s="2">
        <v>1</v>
      </c>
      <c r="C197" s="2">
        <v>9</v>
      </c>
      <c r="D197" s="2">
        <v>4</v>
      </c>
      <c r="E197" s="2">
        <v>0</v>
      </c>
      <c r="F197" s="2">
        <v>0</v>
      </c>
      <c r="G197" s="2">
        <v>0</v>
      </c>
      <c r="H197" s="2">
        <v>0</v>
      </c>
      <c r="I197" s="2">
        <v>1</v>
      </c>
      <c r="J197" s="2">
        <v>0</v>
      </c>
      <c r="K197" s="2">
        <v>1501</v>
      </c>
      <c r="L197" s="2">
        <v>0</v>
      </c>
      <c r="M197" s="2">
        <v>4</v>
      </c>
      <c r="N197" s="2">
        <v>2</v>
      </c>
      <c r="O197" s="2">
        <v>0</v>
      </c>
      <c r="P197" s="2">
        <v>0</v>
      </c>
      <c r="Q197" s="2">
        <v>0</v>
      </c>
      <c r="R197" s="2">
        <v>0</v>
      </c>
      <c r="S197" s="2">
        <v>0</v>
      </c>
      <c r="T197" s="2">
        <v>3</v>
      </c>
      <c r="U197" s="2">
        <v>0</v>
      </c>
      <c r="V197" s="2">
        <v>0</v>
      </c>
      <c r="W197" s="2">
        <v>34</v>
      </c>
      <c r="X197" s="2">
        <v>0</v>
      </c>
      <c r="Y197" s="2">
        <v>0</v>
      </c>
      <c r="Z197" s="2">
        <v>1</v>
      </c>
      <c r="AA197" s="2">
        <v>2</v>
      </c>
      <c r="AB197" s="2">
        <v>3</v>
      </c>
      <c r="AC197" s="2">
        <v>1</v>
      </c>
      <c r="AD197" s="2">
        <v>1</v>
      </c>
      <c r="AE197" s="2">
        <v>0</v>
      </c>
      <c r="AF197" s="2">
        <v>0</v>
      </c>
    </row>
    <row r="198" spans="1:32" x14ac:dyDescent="0.25">
      <c r="A198">
        <v>197</v>
      </c>
      <c r="B198" s="2">
        <v>3</v>
      </c>
      <c r="C198" s="2">
        <v>6</v>
      </c>
      <c r="D198" s="2">
        <v>4</v>
      </c>
      <c r="E198" s="2">
        <v>0</v>
      </c>
      <c r="F198" s="2">
        <v>0</v>
      </c>
      <c r="G198" s="2">
        <v>0</v>
      </c>
      <c r="H198" s="2">
        <v>1</v>
      </c>
      <c r="I198" s="2">
        <v>0</v>
      </c>
      <c r="J198" s="2">
        <v>0</v>
      </c>
      <c r="K198" s="2">
        <v>1382</v>
      </c>
      <c r="L198" s="2">
        <v>0</v>
      </c>
      <c r="M198" s="2">
        <v>2</v>
      </c>
      <c r="N198" s="2">
        <v>1</v>
      </c>
      <c r="O198" s="2">
        <v>0</v>
      </c>
      <c r="P198" s="2">
        <v>0</v>
      </c>
      <c r="Q198" s="2">
        <v>0</v>
      </c>
      <c r="R198" s="2">
        <v>0</v>
      </c>
      <c r="S198" s="2">
        <v>0</v>
      </c>
      <c r="T198" s="2">
        <v>1</v>
      </c>
      <c r="U198" s="2">
        <v>0</v>
      </c>
      <c r="V198" s="2">
        <v>0</v>
      </c>
      <c r="W198" s="2">
        <v>28</v>
      </c>
      <c r="X198" s="2">
        <v>0</v>
      </c>
      <c r="Y198" s="2">
        <v>0</v>
      </c>
      <c r="Z198" s="2">
        <v>1</v>
      </c>
      <c r="AA198" s="2">
        <v>2</v>
      </c>
      <c r="AB198" s="2">
        <v>2</v>
      </c>
      <c r="AC198" s="2">
        <v>1</v>
      </c>
      <c r="AD198" s="2">
        <v>1</v>
      </c>
      <c r="AE198" s="2">
        <v>0</v>
      </c>
      <c r="AF198" s="2">
        <v>1</v>
      </c>
    </row>
    <row r="199" spans="1:32" x14ac:dyDescent="0.25">
      <c r="A199">
        <v>198</v>
      </c>
      <c r="B199" s="2">
        <v>1</v>
      </c>
      <c r="C199" s="2">
        <v>12</v>
      </c>
      <c r="D199" s="2">
        <v>2</v>
      </c>
      <c r="E199" s="2">
        <v>0</v>
      </c>
      <c r="F199" s="2">
        <v>0</v>
      </c>
      <c r="G199" s="2">
        <v>1</v>
      </c>
      <c r="H199" s="2">
        <v>0</v>
      </c>
      <c r="I199" s="2">
        <v>0</v>
      </c>
      <c r="J199" s="2">
        <v>0</v>
      </c>
      <c r="K199" s="2">
        <v>951</v>
      </c>
      <c r="L199" s="2">
        <v>1</v>
      </c>
      <c r="M199" s="2">
        <v>1</v>
      </c>
      <c r="N199" s="2">
        <v>4</v>
      </c>
      <c r="O199" s="2">
        <v>0</v>
      </c>
      <c r="P199" s="2">
        <v>0</v>
      </c>
      <c r="Q199" s="2">
        <v>0</v>
      </c>
      <c r="R199" s="2">
        <v>0</v>
      </c>
      <c r="S199" s="2">
        <v>0</v>
      </c>
      <c r="T199" s="2">
        <v>4</v>
      </c>
      <c r="U199" s="2">
        <v>0</v>
      </c>
      <c r="V199" s="2">
        <v>0</v>
      </c>
      <c r="W199" s="2">
        <v>27</v>
      </c>
      <c r="X199" s="2">
        <v>1</v>
      </c>
      <c r="Y199" s="2">
        <v>1</v>
      </c>
      <c r="Z199" s="2">
        <v>0</v>
      </c>
      <c r="AA199" s="2">
        <v>4</v>
      </c>
      <c r="AB199" s="2">
        <v>2</v>
      </c>
      <c r="AC199" s="2">
        <v>1</v>
      </c>
      <c r="AD199" s="2">
        <v>0</v>
      </c>
      <c r="AE199" s="2">
        <v>0</v>
      </c>
      <c r="AF199" s="2">
        <v>0</v>
      </c>
    </row>
    <row r="200" spans="1:32" x14ac:dyDescent="0.25">
      <c r="A200">
        <v>199</v>
      </c>
      <c r="B200" s="2">
        <v>1</v>
      </c>
      <c r="C200" s="2">
        <v>24</v>
      </c>
      <c r="D200" s="2">
        <v>2</v>
      </c>
      <c r="E200" s="2">
        <v>0</v>
      </c>
      <c r="F200" s="2">
        <v>1</v>
      </c>
      <c r="G200" s="2">
        <v>0</v>
      </c>
      <c r="H200" s="2">
        <v>0</v>
      </c>
      <c r="I200" s="2">
        <v>0</v>
      </c>
      <c r="J200" s="2">
        <v>0</v>
      </c>
      <c r="K200" s="2">
        <v>2760</v>
      </c>
      <c r="L200" s="2">
        <v>4</v>
      </c>
      <c r="M200" s="2">
        <v>4</v>
      </c>
      <c r="N200" s="2">
        <v>4</v>
      </c>
      <c r="O200" s="2">
        <v>0</v>
      </c>
      <c r="P200" s="2">
        <v>1</v>
      </c>
      <c r="Q200" s="2">
        <v>0</v>
      </c>
      <c r="R200" s="2">
        <v>0</v>
      </c>
      <c r="S200" s="2">
        <v>0</v>
      </c>
      <c r="T200" s="2">
        <v>4</v>
      </c>
      <c r="U200" s="2">
        <v>0</v>
      </c>
      <c r="V200" s="2">
        <v>1</v>
      </c>
      <c r="W200" s="2">
        <v>36</v>
      </c>
      <c r="X200" s="2">
        <v>1</v>
      </c>
      <c r="Y200" s="2">
        <v>0</v>
      </c>
      <c r="Z200" s="2">
        <v>0</v>
      </c>
      <c r="AA200" s="2">
        <v>1</v>
      </c>
      <c r="AB200" s="2">
        <v>2</v>
      </c>
      <c r="AC200" s="2">
        <v>1</v>
      </c>
      <c r="AD200" s="2">
        <v>1</v>
      </c>
      <c r="AE200" s="2">
        <v>0</v>
      </c>
      <c r="AF200" s="2">
        <v>1</v>
      </c>
    </row>
    <row r="201" spans="1:32" x14ac:dyDescent="0.25">
      <c r="A201">
        <v>200</v>
      </c>
      <c r="B201" s="2">
        <v>1</v>
      </c>
      <c r="C201" s="2">
        <v>18</v>
      </c>
      <c r="D201" s="2">
        <v>3</v>
      </c>
      <c r="E201" s="2">
        <v>0</v>
      </c>
      <c r="F201" s="2">
        <v>0</v>
      </c>
      <c r="G201" s="2">
        <v>1</v>
      </c>
      <c r="H201" s="2">
        <v>0</v>
      </c>
      <c r="I201" s="2">
        <v>0</v>
      </c>
      <c r="J201" s="2">
        <v>0</v>
      </c>
      <c r="K201" s="2">
        <v>4297</v>
      </c>
      <c r="L201" s="2">
        <v>0</v>
      </c>
      <c r="M201" s="2">
        <v>4</v>
      </c>
      <c r="N201" s="2">
        <v>4</v>
      </c>
      <c r="O201" s="2">
        <v>1</v>
      </c>
      <c r="P201" s="2">
        <v>0</v>
      </c>
      <c r="Q201" s="2">
        <v>0</v>
      </c>
      <c r="R201" s="2">
        <v>0</v>
      </c>
      <c r="S201" s="2">
        <v>0</v>
      </c>
      <c r="T201" s="2">
        <v>3</v>
      </c>
      <c r="U201" s="2">
        <v>0</v>
      </c>
      <c r="V201" s="2">
        <v>1</v>
      </c>
      <c r="W201" s="2">
        <v>40</v>
      </c>
      <c r="X201" s="2">
        <v>0</v>
      </c>
      <c r="Y201" s="2">
        <v>0</v>
      </c>
      <c r="Z201" s="2">
        <v>1</v>
      </c>
      <c r="AA201" s="2">
        <v>1</v>
      </c>
      <c r="AB201" s="2">
        <v>3</v>
      </c>
      <c r="AC201" s="2">
        <v>1</v>
      </c>
      <c r="AD201" s="2">
        <v>1</v>
      </c>
      <c r="AE201" s="2">
        <v>0</v>
      </c>
      <c r="AF201" s="2">
        <v>0</v>
      </c>
    </row>
    <row r="202" spans="1:32" x14ac:dyDescent="0.25">
      <c r="A202">
        <v>201</v>
      </c>
      <c r="B202" s="2">
        <v>3</v>
      </c>
      <c r="C202" s="2">
        <v>9</v>
      </c>
      <c r="D202" s="2">
        <v>4</v>
      </c>
      <c r="E202" s="2">
        <v>0</v>
      </c>
      <c r="F202" s="2">
        <v>0</v>
      </c>
      <c r="G202" s="2">
        <v>0</v>
      </c>
      <c r="H202" s="2">
        <v>0</v>
      </c>
      <c r="I202" s="2">
        <v>1</v>
      </c>
      <c r="J202" s="2">
        <v>0</v>
      </c>
      <c r="K202" s="2">
        <v>936</v>
      </c>
      <c r="L202" s="2">
        <v>2</v>
      </c>
      <c r="M202" s="2">
        <v>4</v>
      </c>
      <c r="N202" s="2">
        <v>4</v>
      </c>
      <c r="O202" s="2">
        <v>0</v>
      </c>
      <c r="P202" s="2">
        <v>1</v>
      </c>
      <c r="Q202" s="2">
        <v>0</v>
      </c>
      <c r="R202" s="2">
        <v>0</v>
      </c>
      <c r="S202" s="2">
        <v>0</v>
      </c>
      <c r="T202" s="2">
        <v>2</v>
      </c>
      <c r="U202" s="2">
        <v>0</v>
      </c>
      <c r="V202" s="2">
        <v>0</v>
      </c>
      <c r="W202" s="2">
        <v>52</v>
      </c>
      <c r="X202" s="2">
        <v>0</v>
      </c>
      <c r="Y202" s="2">
        <v>0</v>
      </c>
      <c r="Z202" s="2">
        <v>1</v>
      </c>
      <c r="AA202" s="2">
        <v>2</v>
      </c>
      <c r="AB202" s="2">
        <v>2</v>
      </c>
      <c r="AC202" s="2">
        <v>1</v>
      </c>
      <c r="AD202" s="2">
        <v>1</v>
      </c>
      <c r="AE202" s="2">
        <v>0</v>
      </c>
      <c r="AF202" s="2">
        <v>1</v>
      </c>
    </row>
    <row r="203" spans="1:32" x14ac:dyDescent="0.25">
      <c r="A203">
        <v>202</v>
      </c>
      <c r="B203" s="2">
        <v>0</v>
      </c>
      <c r="C203" s="2">
        <v>12</v>
      </c>
      <c r="D203" s="2">
        <v>2</v>
      </c>
      <c r="E203" s="2">
        <v>1</v>
      </c>
      <c r="F203" s="2">
        <v>0</v>
      </c>
      <c r="G203" s="2">
        <v>0</v>
      </c>
      <c r="H203" s="2">
        <v>0</v>
      </c>
      <c r="I203" s="2">
        <v>0</v>
      </c>
      <c r="J203" s="2">
        <v>0</v>
      </c>
      <c r="K203" s="2">
        <v>1168</v>
      </c>
      <c r="L203" s="2">
        <v>0</v>
      </c>
      <c r="M203" s="2">
        <v>2</v>
      </c>
      <c r="N203" s="2">
        <v>4</v>
      </c>
      <c r="O203" s="2">
        <v>0</v>
      </c>
      <c r="P203" s="2">
        <v>0</v>
      </c>
      <c r="Q203" s="2">
        <v>1</v>
      </c>
      <c r="R203" s="2">
        <v>0</v>
      </c>
      <c r="S203" s="2">
        <v>0</v>
      </c>
      <c r="T203" s="2">
        <v>3</v>
      </c>
      <c r="U203" s="2">
        <v>1</v>
      </c>
      <c r="V203" s="2">
        <v>0</v>
      </c>
      <c r="W203" s="2">
        <v>27</v>
      </c>
      <c r="X203" s="2">
        <v>0</v>
      </c>
      <c r="Y203" s="2">
        <v>0</v>
      </c>
      <c r="Z203" s="2">
        <v>1</v>
      </c>
      <c r="AA203" s="2">
        <v>1</v>
      </c>
      <c r="AB203" s="2">
        <v>1</v>
      </c>
      <c r="AC203" s="2">
        <v>1</v>
      </c>
      <c r="AD203" s="2">
        <v>0</v>
      </c>
      <c r="AE203" s="2">
        <v>0</v>
      </c>
      <c r="AF203" s="2">
        <v>1</v>
      </c>
    </row>
    <row r="204" spans="1:32" x14ac:dyDescent="0.25">
      <c r="A204">
        <v>203</v>
      </c>
      <c r="B204" s="2">
        <v>3</v>
      </c>
      <c r="C204" s="2">
        <v>27</v>
      </c>
      <c r="D204" s="2">
        <v>3</v>
      </c>
      <c r="E204" s="2">
        <v>0</v>
      </c>
      <c r="F204" s="2">
        <v>0</v>
      </c>
      <c r="G204" s="2">
        <v>0</v>
      </c>
      <c r="H204" s="2">
        <v>0</v>
      </c>
      <c r="I204" s="2">
        <v>0</v>
      </c>
      <c r="J204" s="2">
        <v>1</v>
      </c>
      <c r="K204" s="2">
        <v>5117</v>
      </c>
      <c r="L204" s="2">
        <v>0</v>
      </c>
      <c r="M204" s="2">
        <v>3</v>
      </c>
      <c r="N204" s="2">
        <v>3</v>
      </c>
      <c r="O204" s="2">
        <v>0</v>
      </c>
      <c r="P204" s="2">
        <v>1</v>
      </c>
      <c r="Q204" s="2">
        <v>0</v>
      </c>
      <c r="R204" s="2">
        <v>0</v>
      </c>
      <c r="S204" s="2">
        <v>0</v>
      </c>
      <c r="T204" s="2">
        <v>4</v>
      </c>
      <c r="U204" s="2">
        <v>0</v>
      </c>
      <c r="V204" s="2">
        <v>0</v>
      </c>
      <c r="W204" s="2">
        <v>26</v>
      </c>
      <c r="X204" s="2">
        <v>0</v>
      </c>
      <c r="Y204" s="2">
        <v>0</v>
      </c>
      <c r="Z204" s="2">
        <v>1</v>
      </c>
      <c r="AA204" s="2">
        <v>2</v>
      </c>
      <c r="AB204" s="2">
        <v>2</v>
      </c>
      <c r="AC204" s="2">
        <v>1</v>
      </c>
      <c r="AD204" s="2">
        <v>0</v>
      </c>
      <c r="AE204" s="2">
        <v>0</v>
      </c>
      <c r="AF204" s="2">
        <v>1</v>
      </c>
    </row>
    <row r="205" spans="1:32" x14ac:dyDescent="0.25">
      <c r="A205">
        <v>204</v>
      </c>
      <c r="B205" s="2">
        <v>0</v>
      </c>
      <c r="C205" s="2">
        <v>12</v>
      </c>
      <c r="D205" s="2">
        <v>2</v>
      </c>
      <c r="E205" s="2">
        <v>0</v>
      </c>
      <c r="F205" s="2">
        <v>0</v>
      </c>
      <c r="G205" s="2">
        <v>0</v>
      </c>
      <c r="H205" s="2">
        <v>0</v>
      </c>
      <c r="I205" s="2">
        <v>0</v>
      </c>
      <c r="J205" s="2">
        <v>0</v>
      </c>
      <c r="K205" s="2">
        <v>902</v>
      </c>
      <c r="L205" s="2">
        <v>0</v>
      </c>
      <c r="M205" s="2">
        <v>3</v>
      </c>
      <c r="N205" s="2">
        <v>4</v>
      </c>
      <c r="O205" s="2">
        <v>0</v>
      </c>
      <c r="P205" s="2">
        <v>0</v>
      </c>
      <c r="Q205" s="2">
        <v>1</v>
      </c>
      <c r="R205" s="2">
        <v>0</v>
      </c>
      <c r="S205" s="2">
        <v>0</v>
      </c>
      <c r="T205" s="2">
        <v>4</v>
      </c>
      <c r="U205" s="2">
        <v>0</v>
      </c>
      <c r="V205" s="2">
        <v>0</v>
      </c>
      <c r="W205" s="2">
        <v>21</v>
      </c>
      <c r="X205" s="2">
        <v>0</v>
      </c>
      <c r="Y205" s="2">
        <v>1</v>
      </c>
      <c r="Z205" s="2">
        <v>0</v>
      </c>
      <c r="AA205" s="2">
        <v>1</v>
      </c>
      <c r="AB205" s="2">
        <v>2</v>
      </c>
      <c r="AC205" s="2">
        <v>1</v>
      </c>
      <c r="AD205" s="2">
        <v>0</v>
      </c>
      <c r="AE205" s="2">
        <v>0</v>
      </c>
      <c r="AF205" s="2">
        <v>0</v>
      </c>
    </row>
    <row r="206" spans="1:32" x14ac:dyDescent="0.25">
      <c r="A206">
        <v>205</v>
      </c>
      <c r="B206" s="2">
        <v>3</v>
      </c>
      <c r="C206" s="2">
        <v>12</v>
      </c>
      <c r="D206" s="2">
        <v>4</v>
      </c>
      <c r="E206" s="2">
        <v>1</v>
      </c>
      <c r="F206" s="2">
        <v>0</v>
      </c>
      <c r="G206" s="2">
        <v>0</v>
      </c>
      <c r="H206" s="2">
        <v>0</v>
      </c>
      <c r="I206" s="2">
        <v>0</v>
      </c>
      <c r="J206" s="2">
        <v>0</v>
      </c>
      <c r="K206" s="2">
        <v>1495</v>
      </c>
      <c r="L206" s="2">
        <v>0</v>
      </c>
      <c r="M206" s="2">
        <v>4</v>
      </c>
      <c r="N206" s="2">
        <v>4</v>
      </c>
      <c r="O206" s="2">
        <v>0</v>
      </c>
      <c r="P206" s="2">
        <v>1</v>
      </c>
      <c r="Q206" s="2">
        <v>0</v>
      </c>
      <c r="R206" s="2">
        <v>0</v>
      </c>
      <c r="S206" s="2">
        <v>0</v>
      </c>
      <c r="T206" s="2">
        <v>1</v>
      </c>
      <c r="U206" s="2">
        <v>1</v>
      </c>
      <c r="V206" s="2">
        <v>0</v>
      </c>
      <c r="W206" s="2">
        <v>38</v>
      </c>
      <c r="X206" s="2">
        <v>0</v>
      </c>
      <c r="Y206" s="2">
        <v>0</v>
      </c>
      <c r="Z206" s="2">
        <v>1</v>
      </c>
      <c r="AA206" s="2">
        <v>2</v>
      </c>
      <c r="AB206" s="2">
        <v>1</v>
      </c>
      <c r="AC206" s="2">
        <v>2</v>
      </c>
      <c r="AD206" s="2">
        <v>0</v>
      </c>
      <c r="AE206" s="2">
        <v>0</v>
      </c>
      <c r="AF206" s="2">
        <v>1</v>
      </c>
    </row>
    <row r="207" spans="1:32" x14ac:dyDescent="0.25">
      <c r="A207">
        <v>206</v>
      </c>
      <c r="B207" s="2">
        <v>0</v>
      </c>
      <c r="C207" s="2">
        <v>30</v>
      </c>
      <c r="D207" s="2">
        <v>4</v>
      </c>
      <c r="E207" s="2">
        <v>0</v>
      </c>
      <c r="F207" s="2">
        <v>1</v>
      </c>
      <c r="G207" s="2">
        <v>0</v>
      </c>
      <c r="H207" s="2">
        <v>0</v>
      </c>
      <c r="I207" s="2">
        <v>0</v>
      </c>
      <c r="J207" s="2">
        <v>0</v>
      </c>
      <c r="K207" s="2">
        <v>10623</v>
      </c>
      <c r="L207" s="2">
        <v>0</v>
      </c>
      <c r="M207" s="2">
        <v>4</v>
      </c>
      <c r="N207" s="2">
        <v>3</v>
      </c>
      <c r="O207" s="2">
        <v>0</v>
      </c>
      <c r="P207" s="2">
        <v>1</v>
      </c>
      <c r="Q207" s="2">
        <v>0</v>
      </c>
      <c r="R207" s="2">
        <v>0</v>
      </c>
      <c r="S207" s="2">
        <v>0</v>
      </c>
      <c r="T207" s="2">
        <v>4</v>
      </c>
      <c r="U207" s="2">
        <v>0</v>
      </c>
      <c r="V207" s="2">
        <v>1</v>
      </c>
      <c r="W207" s="2">
        <v>38</v>
      </c>
      <c r="X207" s="2">
        <v>0</v>
      </c>
      <c r="Y207" s="2">
        <v>0</v>
      </c>
      <c r="Z207" s="2">
        <v>0</v>
      </c>
      <c r="AA207" s="2">
        <v>3</v>
      </c>
      <c r="AB207" s="2">
        <v>3</v>
      </c>
      <c r="AC207" s="2">
        <v>2</v>
      </c>
      <c r="AD207" s="2">
        <v>1</v>
      </c>
      <c r="AE207" s="2">
        <v>0</v>
      </c>
      <c r="AF207" s="2">
        <v>1</v>
      </c>
    </row>
    <row r="208" spans="1:32" x14ac:dyDescent="0.25">
      <c r="A208">
        <v>207</v>
      </c>
      <c r="B208" s="2">
        <v>3</v>
      </c>
      <c r="C208" s="2">
        <v>12</v>
      </c>
      <c r="D208" s="2">
        <v>4</v>
      </c>
      <c r="E208" s="2">
        <v>0</v>
      </c>
      <c r="F208" s="2">
        <v>0</v>
      </c>
      <c r="G208" s="2">
        <v>1</v>
      </c>
      <c r="H208" s="2">
        <v>0</v>
      </c>
      <c r="I208" s="2">
        <v>0</v>
      </c>
      <c r="J208" s="2">
        <v>0</v>
      </c>
      <c r="K208" s="2">
        <v>1935</v>
      </c>
      <c r="L208" s="2">
        <v>0</v>
      </c>
      <c r="M208" s="2">
        <v>4</v>
      </c>
      <c r="N208" s="2">
        <v>4</v>
      </c>
      <c r="O208" s="2">
        <v>0</v>
      </c>
      <c r="P208" s="2">
        <v>1</v>
      </c>
      <c r="Q208" s="2">
        <v>0</v>
      </c>
      <c r="R208" s="2">
        <v>0</v>
      </c>
      <c r="S208" s="2">
        <v>0</v>
      </c>
      <c r="T208" s="2">
        <v>4</v>
      </c>
      <c r="U208" s="2">
        <v>1</v>
      </c>
      <c r="V208" s="2">
        <v>0</v>
      </c>
      <c r="W208" s="2">
        <v>43</v>
      </c>
      <c r="X208" s="2">
        <v>0</v>
      </c>
      <c r="Y208" s="2">
        <v>0</v>
      </c>
      <c r="Z208" s="2">
        <v>1</v>
      </c>
      <c r="AA208" s="2">
        <v>3</v>
      </c>
      <c r="AB208" s="2">
        <v>2</v>
      </c>
      <c r="AC208" s="2">
        <v>1</v>
      </c>
      <c r="AD208" s="2">
        <v>1</v>
      </c>
      <c r="AE208" s="2">
        <v>0</v>
      </c>
      <c r="AF208" s="2">
        <v>1</v>
      </c>
    </row>
    <row r="209" spans="1:32" x14ac:dyDescent="0.25">
      <c r="A209">
        <v>208</v>
      </c>
      <c r="B209" s="2">
        <v>1</v>
      </c>
      <c r="C209" s="2">
        <v>12</v>
      </c>
      <c r="D209" s="2">
        <v>4</v>
      </c>
      <c r="E209" s="2">
        <v>0</v>
      </c>
      <c r="F209" s="2">
        <v>0</v>
      </c>
      <c r="G209" s="2">
        <v>0</v>
      </c>
      <c r="H209" s="2">
        <v>0</v>
      </c>
      <c r="I209" s="2">
        <v>0</v>
      </c>
      <c r="J209" s="2">
        <v>0</v>
      </c>
      <c r="K209" s="2">
        <v>1424</v>
      </c>
      <c r="L209" s="2">
        <v>0</v>
      </c>
      <c r="M209" s="2">
        <v>3</v>
      </c>
      <c r="N209" s="2">
        <v>4</v>
      </c>
      <c r="O209" s="2">
        <v>0</v>
      </c>
      <c r="P209" s="2">
        <v>1</v>
      </c>
      <c r="Q209" s="2">
        <v>0</v>
      </c>
      <c r="R209" s="2">
        <v>0</v>
      </c>
      <c r="S209" s="2">
        <v>0</v>
      </c>
      <c r="T209" s="2">
        <v>3</v>
      </c>
      <c r="U209" s="2">
        <v>0</v>
      </c>
      <c r="V209" s="2">
        <v>0</v>
      </c>
      <c r="W209" s="2">
        <v>26</v>
      </c>
      <c r="X209" s="2">
        <v>0</v>
      </c>
      <c r="Y209" s="2">
        <v>0</v>
      </c>
      <c r="Z209" s="2">
        <v>1</v>
      </c>
      <c r="AA209" s="2">
        <v>1</v>
      </c>
      <c r="AB209" s="2">
        <v>2</v>
      </c>
      <c r="AC209" s="2">
        <v>1</v>
      </c>
      <c r="AD209" s="2">
        <v>0</v>
      </c>
      <c r="AE209" s="2">
        <v>0</v>
      </c>
      <c r="AF209" s="2">
        <v>1</v>
      </c>
    </row>
    <row r="210" spans="1:32" x14ac:dyDescent="0.25">
      <c r="A210">
        <v>209</v>
      </c>
      <c r="B210" s="2">
        <v>0</v>
      </c>
      <c r="C210" s="2">
        <v>24</v>
      </c>
      <c r="D210" s="2">
        <v>2</v>
      </c>
      <c r="E210" s="2">
        <v>0</v>
      </c>
      <c r="F210" s="2">
        <v>0</v>
      </c>
      <c r="G210" s="2">
        <v>0</v>
      </c>
      <c r="H210" s="2">
        <v>0</v>
      </c>
      <c r="I210" s="2">
        <v>0</v>
      </c>
      <c r="J210" s="2">
        <v>1</v>
      </c>
      <c r="K210" s="2">
        <v>6568</v>
      </c>
      <c r="L210" s="2">
        <v>0</v>
      </c>
      <c r="M210" s="2">
        <v>2</v>
      </c>
      <c r="N210" s="2">
        <v>2</v>
      </c>
      <c r="O210" s="2">
        <v>0</v>
      </c>
      <c r="P210" s="2">
        <v>0</v>
      </c>
      <c r="Q210" s="2">
        <v>1</v>
      </c>
      <c r="R210" s="2">
        <v>0</v>
      </c>
      <c r="S210" s="2">
        <v>0</v>
      </c>
      <c r="T210" s="2">
        <v>2</v>
      </c>
      <c r="U210" s="2">
        <v>0</v>
      </c>
      <c r="V210" s="2">
        <v>0</v>
      </c>
      <c r="W210" s="2">
        <v>21</v>
      </c>
      <c r="X210" s="2">
        <v>1</v>
      </c>
      <c r="Y210" s="2">
        <v>0</v>
      </c>
      <c r="Z210" s="2">
        <v>1</v>
      </c>
      <c r="AA210" s="2">
        <v>1</v>
      </c>
      <c r="AB210" s="2">
        <v>1</v>
      </c>
      <c r="AC210" s="2">
        <v>1</v>
      </c>
      <c r="AD210" s="2">
        <v>0</v>
      </c>
      <c r="AE210" s="2">
        <v>0</v>
      </c>
      <c r="AF210" s="2">
        <v>1</v>
      </c>
    </row>
    <row r="211" spans="1:32" x14ac:dyDescent="0.25">
      <c r="A211">
        <v>210</v>
      </c>
      <c r="B211" s="2">
        <v>3</v>
      </c>
      <c r="C211" s="2">
        <v>12</v>
      </c>
      <c r="D211" s="2">
        <v>2</v>
      </c>
      <c r="E211" s="2">
        <v>0</v>
      </c>
      <c r="F211" s="2">
        <v>1</v>
      </c>
      <c r="G211" s="2">
        <v>0</v>
      </c>
      <c r="H211" s="2">
        <v>0</v>
      </c>
      <c r="I211" s="2">
        <v>0</v>
      </c>
      <c r="J211" s="2">
        <v>0</v>
      </c>
      <c r="K211" s="2">
        <v>1413</v>
      </c>
      <c r="L211" s="2">
        <v>3</v>
      </c>
      <c r="M211" s="2">
        <v>3</v>
      </c>
      <c r="N211" s="2">
        <v>3</v>
      </c>
      <c r="O211" s="2">
        <v>0</v>
      </c>
      <c r="P211" s="2">
        <v>1</v>
      </c>
      <c r="Q211" s="2">
        <v>0</v>
      </c>
      <c r="R211" s="2">
        <v>0</v>
      </c>
      <c r="S211" s="2">
        <v>0</v>
      </c>
      <c r="T211" s="2">
        <v>2</v>
      </c>
      <c r="U211" s="2">
        <v>0</v>
      </c>
      <c r="V211" s="2">
        <v>0</v>
      </c>
      <c r="W211" s="2">
        <v>55</v>
      </c>
      <c r="X211" s="2">
        <v>0</v>
      </c>
      <c r="Y211" s="2">
        <v>0</v>
      </c>
      <c r="Z211" s="2">
        <v>1</v>
      </c>
      <c r="AA211" s="2">
        <v>1</v>
      </c>
      <c r="AB211" s="2">
        <v>2</v>
      </c>
      <c r="AC211" s="2">
        <v>1</v>
      </c>
      <c r="AD211" s="2">
        <v>0</v>
      </c>
      <c r="AE211" s="2">
        <v>1</v>
      </c>
      <c r="AF211" s="2">
        <v>1</v>
      </c>
    </row>
    <row r="212" spans="1:32" x14ac:dyDescent="0.25">
      <c r="A212">
        <v>211</v>
      </c>
      <c r="B212" s="2">
        <v>3</v>
      </c>
      <c r="C212" s="2">
        <v>9</v>
      </c>
      <c r="D212" s="2">
        <v>4</v>
      </c>
      <c r="E212" s="2">
        <v>0</v>
      </c>
      <c r="F212" s="2">
        <v>0</v>
      </c>
      <c r="G212" s="2">
        <v>0</v>
      </c>
      <c r="H212" s="2">
        <v>1</v>
      </c>
      <c r="I212" s="2">
        <v>0</v>
      </c>
      <c r="J212" s="2">
        <v>0</v>
      </c>
      <c r="K212" s="2">
        <v>3074</v>
      </c>
      <c r="L212" s="2">
        <v>4</v>
      </c>
      <c r="M212" s="2">
        <v>2</v>
      </c>
      <c r="N212" s="2">
        <v>1</v>
      </c>
      <c r="O212" s="2">
        <v>0</v>
      </c>
      <c r="P212" s="2">
        <v>1</v>
      </c>
      <c r="Q212" s="2">
        <v>0</v>
      </c>
      <c r="R212" s="2">
        <v>0</v>
      </c>
      <c r="S212" s="2">
        <v>0</v>
      </c>
      <c r="T212" s="2">
        <v>2</v>
      </c>
      <c r="U212" s="2">
        <v>1</v>
      </c>
      <c r="V212" s="2">
        <v>0</v>
      </c>
      <c r="W212" s="2">
        <v>33</v>
      </c>
      <c r="X212" s="2">
        <v>0</v>
      </c>
      <c r="Y212" s="2">
        <v>0</v>
      </c>
      <c r="Z212" s="2">
        <v>1</v>
      </c>
      <c r="AA212" s="2">
        <v>2</v>
      </c>
      <c r="AB212" s="2">
        <v>2</v>
      </c>
      <c r="AC212" s="2">
        <v>2</v>
      </c>
      <c r="AD212" s="2">
        <v>0</v>
      </c>
      <c r="AE212" s="2">
        <v>0</v>
      </c>
      <c r="AF212" s="2">
        <v>1</v>
      </c>
    </row>
    <row r="213" spans="1:32" x14ac:dyDescent="0.25">
      <c r="A213">
        <v>212</v>
      </c>
      <c r="B213" s="2">
        <v>3</v>
      </c>
      <c r="C213" s="2">
        <v>36</v>
      </c>
      <c r="D213" s="2">
        <v>2</v>
      </c>
      <c r="E213" s="2">
        <v>0</v>
      </c>
      <c r="F213" s="2">
        <v>0</v>
      </c>
      <c r="G213" s="2">
        <v>0</v>
      </c>
      <c r="H213" s="2">
        <v>1</v>
      </c>
      <c r="I213" s="2">
        <v>0</v>
      </c>
      <c r="J213" s="2">
        <v>0</v>
      </c>
      <c r="K213" s="2">
        <v>3835</v>
      </c>
      <c r="L213" s="2">
        <v>4</v>
      </c>
      <c r="M213" s="2">
        <v>4</v>
      </c>
      <c r="N213" s="2">
        <v>2</v>
      </c>
      <c r="O213" s="2">
        <v>0</v>
      </c>
      <c r="P213" s="2">
        <v>0</v>
      </c>
      <c r="Q213" s="2">
        <v>0</v>
      </c>
      <c r="R213" s="2">
        <v>0</v>
      </c>
      <c r="S213" s="2">
        <v>0</v>
      </c>
      <c r="T213" s="2">
        <v>4</v>
      </c>
      <c r="U213" s="2">
        <v>1</v>
      </c>
      <c r="V213" s="2">
        <v>0</v>
      </c>
      <c r="W213" s="2">
        <v>45</v>
      </c>
      <c r="X213" s="2">
        <v>0</v>
      </c>
      <c r="Y213" s="2">
        <v>0</v>
      </c>
      <c r="Z213" s="2">
        <v>1</v>
      </c>
      <c r="AA213" s="2">
        <v>1</v>
      </c>
      <c r="AB213" s="2">
        <v>1</v>
      </c>
      <c r="AC213" s="2">
        <v>1</v>
      </c>
      <c r="AD213" s="2">
        <v>1</v>
      </c>
      <c r="AE213" s="2">
        <v>0</v>
      </c>
      <c r="AF213" s="2">
        <v>1</v>
      </c>
    </row>
    <row r="214" spans="1:32" x14ac:dyDescent="0.25">
      <c r="A214">
        <v>213</v>
      </c>
      <c r="B214" s="2">
        <v>0</v>
      </c>
      <c r="C214" s="2">
        <v>27</v>
      </c>
      <c r="D214" s="2">
        <v>0</v>
      </c>
      <c r="E214" s="2">
        <v>0</v>
      </c>
      <c r="F214" s="2">
        <v>0</v>
      </c>
      <c r="G214" s="2">
        <v>0</v>
      </c>
      <c r="H214" s="2">
        <v>0</v>
      </c>
      <c r="I214" s="2">
        <v>0</v>
      </c>
      <c r="J214" s="2">
        <v>1</v>
      </c>
      <c r="K214" s="2">
        <v>5293</v>
      </c>
      <c r="L214" s="2">
        <v>0</v>
      </c>
      <c r="M214" s="2">
        <v>0</v>
      </c>
      <c r="N214" s="2">
        <v>2</v>
      </c>
      <c r="O214" s="2">
        <v>0</v>
      </c>
      <c r="P214" s="2">
        <v>1</v>
      </c>
      <c r="Q214" s="2">
        <v>0</v>
      </c>
      <c r="R214" s="2">
        <v>0</v>
      </c>
      <c r="S214" s="2">
        <v>0</v>
      </c>
      <c r="T214" s="2">
        <v>4</v>
      </c>
      <c r="U214" s="2">
        <v>0</v>
      </c>
      <c r="V214" s="2">
        <v>0</v>
      </c>
      <c r="W214" s="2">
        <v>50</v>
      </c>
      <c r="X214" s="2">
        <v>1</v>
      </c>
      <c r="Y214" s="2">
        <v>0</v>
      </c>
      <c r="Z214" s="2">
        <v>1</v>
      </c>
      <c r="AA214" s="2">
        <v>2</v>
      </c>
      <c r="AB214" s="2">
        <v>2</v>
      </c>
      <c r="AC214" s="2">
        <v>1</v>
      </c>
      <c r="AD214" s="2">
        <v>1</v>
      </c>
      <c r="AE214" s="2">
        <v>0</v>
      </c>
      <c r="AF214" s="2">
        <v>0</v>
      </c>
    </row>
    <row r="215" spans="1:32" x14ac:dyDescent="0.25">
      <c r="A215">
        <v>214</v>
      </c>
      <c r="B215" s="2">
        <v>2</v>
      </c>
      <c r="C215" s="2">
        <v>30</v>
      </c>
      <c r="D215" s="2">
        <v>3</v>
      </c>
      <c r="E215" s="2">
        <v>0</v>
      </c>
      <c r="F215" s="2">
        <v>0</v>
      </c>
      <c r="G215" s="2">
        <v>0</v>
      </c>
      <c r="H215" s="2">
        <v>0</v>
      </c>
      <c r="I215" s="2">
        <v>0</v>
      </c>
      <c r="J215" s="2">
        <v>1</v>
      </c>
      <c r="K215" s="2">
        <v>1908</v>
      </c>
      <c r="L215" s="2">
        <v>0</v>
      </c>
      <c r="M215" s="2">
        <v>4</v>
      </c>
      <c r="N215" s="2">
        <v>4</v>
      </c>
      <c r="O215" s="2">
        <v>0</v>
      </c>
      <c r="P215" s="2">
        <v>1</v>
      </c>
      <c r="Q215" s="2">
        <v>0</v>
      </c>
      <c r="R215" s="2">
        <v>0</v>
      </c>
      <c r="S215" s="2">
        <v>0</v>
      </c>
      <c r="T215" s="2">
        <v>4</v>
      </c>
      <c r="U215" s="2">
        <v>1</v>
      </c>
      <c r="V215" s="2">
        <v>0</v>
      </c>
      <c r="W215" s="2">
        <v>66</v>
      </c>
      <c r="X215" s="2">
        <v>0</v>
      </c>
      <c r="Y215" s="2">
        <v>0</v>
      </c>
      <c r="Z215" s="2">
        <v>1</v>
      </c>
      <c r="AA215" s="2">
        <v>1</v>
      </c>
      <c r="AB215" s="2">
        <v>3</v>
      </c>
      <c r="AC215" s="2">
        <v>1</v>
      </c>
      <c r="AD215" s="2">
        <v>1</v>
      </c>
      <c r="AE215" s="2">
        <v>0</v>
      </c>
      <c r="AF215" s="2">
        <v>0</v>
      </c>
    </row>
    <row r="216" spans="1:32" x14ac:dyDescent="0.25">
      <c r="A216">
        <v>215</v>
      </c>
      <c r="B216" s="2">
        <v>3</v>
      </c>
      <c r="C216" s="2">
        <v>36</v>
      </c>
      <c r="D216" s="2">
        <v>4</v>
      </c>
      <c r="E216" s="2">
        <v>0</v>
      </c>
      <c r="F216" s="2">
        <v>0</v>
      </c>
      <c r="G216" s="2">
        <v>0</v>
      </c>
      <c r="H216" s="2">
        <v>1</v>
      </c>
      <c r="I216" s="2">
        <v>0</v>
      </c>
      <c r="J216" s="2">
        <v>0</v>
      </c>
      <c r="K216" s="2">
        <v>3342</v>
      </c>
      <c r="L216" s="2">
        <v>4</v>
      </c>
      <c r="M216" s="2">
        <v>4</v>
      </c>
      <c r="N216" s="2">
        <v>4</v>
      </c>
      <c r="O216" s="2">
        <v>0</v>
      </c>
      <c r="P216" s="2">
        <v>1</v>
      </c>
      <c r="Q216" s="2">
        <v>0</v>
      </c>
      <c r="R216" s="2">
        <v>0</v>
      </c>
      <c r="S216" s="2">
        <v>0</v>
      </c>
      <c r="T216" s="2">
        <v>2</v>
      </c>
      <c r="U216" s="2">
        <v>0</v>
      </c>
      <c r="V216" s="2">
        <v>0</v>
      </c>
      <c r="W216" s="2">
        <v>51</v>
      </c>
      <c r="X216" s="2">
        <v>0</v>
      </c>
      <c r="Y216" s="2">
        <v>0</v>
      </c>
      <c r="Z216" s="2">
        <v>1</v>
      </c>
      <c r="AA216" s="2">
        <v>1</v>
      </c>
      <c r="AB216" s="2">
        <v>2</v>
      </c>
      <c r="AC216" s="2">
        <v>1</v>
      </c>
      <c r="AD216" s="2">
        <v>1</v>
      </c>
      <c r="AE216" s="2">
        <v>0</v>
      </c>
      <c r="AF216" s="2">
        <v>1</v>
      </c>
    </row>
    <row r="217" spans="1:32" x14ac:dyDescent="0.25">
      <c r="A217">
        <v>216</v>
      </c>
      <c r="B217" s="2">
        <v>1</v>
      </c>
      <c r="C217" s="2">
        <v>6</v>
      </c>
      <c r="D217" s="2">
        <v>4</v>
      </c>
      <c r="E217" s="2">
        <v>0</v>
      </c>
      <c r="F217" s="2">
        <v>0</v>
      </c>
      <c r="G217" s="2">
        <v>0</v>
      </c>
      <c r="H217" s="2">
        <v>0</v>
      </c>
      <c r="I217" s="2">
        <v>0</v>
      </c>
      <c r="J217" s="2">
        <v>0</v>
      </c>
      <c r="K217" s="2">
        <v>932</v>
      </c>
      <c r="L217" s="2">
        <v>4</v>
      </c>
      <c r="M217" s="2">
        <v>3</v>
      </c>
      <c r="N217" s="2">
        <v>1</v>
      </c>
      <c r="O217" s="2">
        <v>0</v>
      </c>
      <c r="P217" s="2">
        <v>0</v>
      </c>
      <c r="Q217" s="2">
        <v>0</v>
      </c>
      <c r="R217" s="2">
        <v>0</v>
      </c>
      <c r="S217" s="2">
        <v>0</v>
      </c>
      <c r="T217" s="2">
        <v>3</v>
      </c>
      <c r="U217" s="2">
        <v>0</v>
      </c>
      <c r="V217" s="2">
        <v>0</v>
      </c>
      <c r="W217" s="2">
        <v>39</v>
      </c>
      <c r="X217" s="2">
        <v>0</v>
      </c>
      <c r="Y217" s="2">
        <v>0</v>
      </c>
      <c r="Z217" s="2">
        <v>1</v>
      </c>
      <c r="AA217" s="2">
        <v>2</v>
      </c>
      <c r="AB217" s="2">
        <v>1</v>
      </c>
      <c r="AC217" s="2">
        <v>1</v>
      </c>
      <c r="AD217" s="2">
        <v>0</v>
      </c>
      <c r="AE217" s="2">
        <v>0</v>
      </c>
      <c r="AF217" s="2">
        <v>1</v>
      </c>
    </row>
    <row r="218" spans="1:32" x14ac:dyDescent="0.25">
      <c r="A218">
        <v>217</v>
      </c>
      <c r="B218" s="2">
        <v>0</v>
      </c>
      <c r="C218" s="2">
        <v>18</v>
      </c>
      <c r="D218" s="2">
        <v>0</v>
      </c>
      <c r="E218" s="2">
        <v>0</v>
      </c>
      <c r="F218" s="2">
        <v>0</v>
      </c>
      <c r="G218" s="2">
        <v>0</v>
      </c>
      <c r="H218" s="2">
        <v>0</v>
      </c>
      <c r="I218" s="2">
        <v>0</v>
      </c>
      <c r="J218" s="2">
        <v>1</v>
      </c>
      <c r="K218" s="2">
        <v>3104</v>
      </c>
      <c r="L218" s="2">
        <v>0</v>
      </c>
      <c r="M218" s="2">
        <v>3</v>
      </c>
      <c r="N218" s="2">
        <v>3</v>
      </c>
      <c r="O218" s="2">
        <v>0</v>
      </c>
      <c r="P218" s="2">
        <v>1</v>
      </c>
      <c r="Q218" s="2">
        <v>0</v>
      </c>
      <c r="R218" s="2">
        <v>0</v>
      </c>
      <c r="S218" s="2">
        <v>0</v>
      </c>
      <c r="T218" s="2">
        <v>1</v>
      </c>
      <c r="U218" s="2">
        <v>0</v>
      </c>
      <c r="V218" s="2">
        <v>0</v>
      </c>
      <c r="W218" s="2">
        <v>31</v>
      </c>
      <c r="X218" s="2">
        <v>1</v>
      </c>
      <c r="Y218" s="2">
        <v>0</v>
      </c>
      <c r="Z218" s="2">
        <v>1</v>
      </c>
      <c r="AA218" s="2">
        <v>1</v>
      </c>
      <c r="AB218" s="2">
        <v>2</v>
      </c>
      <c r="AC218" s="2">
        <v>1</v>
      </c>
      <c r="AD218" s="2">
        <v>1</v>
      </c>
      <c r="AE218" s="2">
        <v>0</v>
      </c>
      <c r="AF218" s="2">
        <v>1</v>
      </c>
    </row>
    <row r="219" spans="1:32" x14ac:dyDescent="0.25">
      <c r="A219">
        <v>218</v>
      </c>
      <c r="B219" s="2">
        <v>2</v>
      </c>
      <c r="C219" s="2">
        <v>36</v>
      </c>
      <c r="D219" s="2">
        <v>2</v>
      </c>
      <c r="E219" s="2">
        <v>0</v>
      </c>
      <c r="F219" s="2">
        <v>0</v>
      </c>
      <c r="G219" s="2">
        <v>0</v>
      </c>
      <c r="H219" s="2">
        <v>1</v>
      </c>
      <c r="I219" s="2">
        <v>0</v>
      </c>
      <c r="J219" s="2">
        <v>0</v>
      </c>
      <c r="K219" s="2">
        <v>3913</v>
      </c>
      <c r="L219" s="2">
        <v>0</v>
      </c>
      <c r="M219" s="2">
        <v>2</v>
      </c>
      <c r="N219" s="2">
        <v>2</v>
      </c>
      <c r="O219" s="2">
        <v>0</v>
      </c>
      <c r="P219" s="2">
        <v>1</v>
      </c>
      <c r="Q219" s="2">
        <v>0</v>
      </c>
      <c r="R219" s="2">
        <v>0</v>
      </c>
      <c r="S219" s="2">
        <v>0</v>
      </c>
      <c r="T219" s="2">
        <v>2</v>
      </c>
      <c r="U219" s="2">
        <v>1</v>
      </c>
      <c r="V219" s="2">
        <v>0</v>
      </c>
      <c r="W219" s="2">
        <v>23</v>
      </c>
      <c r="X219" s="2">
        <v>0</v>
      </c>
      <c r="Y219" s="2">
        <v>0</v>
      </c>
      <c r="Z219" s="2">
        <v>1</v>
      </c>
      <c r="AA219" s="2">
        <v>1</v>
      </c>
      <c r="AB219" s="2">
        <v>2</v>
      </c>
      <c r="AC219" s="2">
        <v>1</v>
      </c>
      <c r="AD219" s="2">
        <v>1</v>
      </c>
      <c r="AE219" s="2">
        <v>0</v>
      </c>
      <c r="AF219" s="2">
        <v>1</v>
      </c>
    </row>
    <row r="220" spans="1:32" x14ac:dyDescent="0.25">
      <c r="A220">
        <v>219</v>
      </c>
      <c r="B220" s="2">
        <v>0</v>
      </c>
      <c r="C220" s="2">
        <v>24</v>
      </c>
      <c r="D220" s="2">
        <v>2</v>
      </c>
      <c r="E220" s="2">
        <v>0</v>
      </c>
      <c r="F220" s="2">
        <v>0</v>
      </c>
      <c r="G220" s="2">
        <v>1</v>
      </c>
      <c r="H220" s="2">
        <v>0</v>
      </c>
      <c r="I220" s="2">
        <v>0</v>
      </c>
      <c r="J220" s="2">
        <v>0</v>
      </c>
      <c r="K220" s="2">
        <v>3021</v>
      </c>
      <c r="L220" s="2">
        <v>0</v>
      </c>
      <c r="M220" s="2">
        <v>2</v>
      </c>
      <c r="N220" s="2">
        <v>2</v>
      </c>
      <c r="O220" s="2">
        <v>1</v>
      </c>
      <c r="P220" s="2">
        <v>0</v>
      </c>
      <c r="Q220" s="2">
        <v>0</v>
      </c>
      <c r="R220" s="2">
        <v>0</v>
      </c>
      <c r="S220" s="2">
        <v>0</v>
      </c>
      <c r="T220" s="2">
        <v>2</v>
      </c>
      <c r="U220" s="2">
        <v>1</v>
      </c>
      <c r="V220" s="2">
        <v>0</v>
      </c>
      <c r="W220" s="2">
        <v>24</v>
      </c>
      <c r="X220" s="2">
        <v>0</v>
      </c>
      <c r="Y220" s="2">
        <v>1</v>
      </c>
      <c r="Z220" s="2">
        <v>0</v>
      </c>
      <c r="AA220" s="2">
        <v>1</v>
      </c>
      <c r="AB220" s="2">
        <v>1</v>
      </c>
      <c r="AC220" s="2">
        <v>1</v>
      </c>
      <c r="AD220" s="2">
        <v>0</v>
      </c>
      <c r="AE220" s="2">
        <v>0</v>
      </c>
      <c r="AF220" s="2">
        <v>1</v>
      </c>
    </row>
    <row r="221" spans="1:32" x14ac:dyDescent="0.25">
      <c r="A221">
        <v>220</v>
      </c>
      <c r="B221" s="2">
        <v>3</v>
      </c>
      <c r="C221" s="2">
        <v>10</v>
      </c>
      <c r="D221" s="2">
        <v>2</v>
      </c>
      <c r="E221" s="2">
        <v>1</v>
      </c>
      <c r="F221" s="2">
        <v>0</v>
      </c>
      <c r="G221" s="2">
        <v>0</v>
      </c>
      <c r="H221" s="2">
        <v>0</v>
      </c>
      <c r="I221" s="2">
        <v>0</v>
      </c>
      <c r="J221" s="2">
        <v>0</v>
      </c>
      <c r="K221" s="2">
        <v>1364</v>
      </c>
      <c r="L221" s="2">
        <v>0</v>
      </c>
      <c r="M221" s="2">
        <v>2</v>
      </c>
      <c r="N221" s="2">
        <v>2</v>
      </c>
      <c r="O221" s="2">
        <v>0</v>
      </c>
      <c r="P221" s="2">
        <v>0</v>
      </c>
      <c r="Q221" s="2">
        <v>0</v>
      </c>
      <c r="R221" s="2">
        <v>0</v>
      </c>
      <c r="S221" s="2">
        <v>0</v>
      </c>
      <c r="T221" s="2">
        <v>4</v>
      </c>
      <c r="U221" s="2">
        <v>0</v>
      </c>
      <c r="V221" s="2">
        <v>0</v>
      </c>
      <c r="W221" s="2">
        <v>64</v>
      </c>
      <c r="X221" s="2">
        <v>0</v>
      </c>
      <c r="Y221" s="2">
        <v>0</v>
      </c>
      <c r="Z221" s="2">
        <v>1</v>
      </c>
      <c r="AA221" s="2">
        <v>1</v>
      </c>
      <c r="AB221" s="2">
        <v>2</v>
      </c>
      <c r="AC221" s="2">
        <v>1</v>
      </c>
      <c r="AD221" s="2">
        <v>1</v>
      </c>
      <c r="AE221" s="2">
        <v>0</v>
      </c>
      <c r="AF221" s="2">
        <v>1</v>
      </c>
    </row>
    <row r="222" spans="1:32" x14ac:dyDescent="0.25">
      <c r="A222">
        <v>221</v>
      </c>
      <c r="B222" s="2">
        <v>1</v>
      </c>
      <c r="C222" s="2">
        <v>12</v>
      </c>
      <c r="D222" s="2">
        <v>2</v>
      </c>
      <c r="E222" s="2">
        <v>0</v>
      </c>
      <c r="F222" s="2">
        <v>0</v>
      </c>
      <c r="G222" s="2">
        <v>0</v>
      </c>
      <c r="H222" s="2">
        <v>1</v>
      </c>
      <c r="I222" s="2">
        <v>0</v>
      </c>
      <c r="J222" s="2">
        <v>0</v>
      </c>
      <c r="K222" s="2">
        <v>625</v>
      </c>
      <c r="L222" s="2">
        <v>0</v>
      </c>
      <c r="M222" s="2">
        <v>1</v>
      </c>
      <c r="N222" s="2">
        <v>4</v>
      </c>
      <c r="O222" s="2">
        <v>0</v>
      </c>
      <c r="P222" s="2">
        <v>0</v>
      </c>
      <c r="Q222" s="2">
        <v>1</v>
      </c>
      <c r="R222" s="2">
        <v>0</v>
      </c>
      <c r="S222" s="2">
        <v>1</v>
      </c>
      <c r="T222" s="2">
        <v>1</v>
      </c>
      <c r="U222" s="2">
        <v>1</v>
      </c>
      <c r="V222" s="2">
        <v>0</v>
      </c>
      <c r="W222" s="2">
        <v>26</v>
      </c>
      <c r="X222" s="2">
        <v>1</v>
      </c>
      <c r="Y222" s="2">
        <v>0</v>
      </c>
      <c r="Z222" s="2">
        <v>1</v>
      </c>
      <c r="AA222" s="2">
        <v>1</v>
      </c>
      <c r="AB222" s="2">
        <v>1</v>
      </c>
      <c r="AC222" s="2">
        <v>1</v>
      </c>
      <c r="AD222" s="2">
        <v>0</v>
      </c>
      <c r="AE222" s="2">
        <v>0</v>
      </c>
      <c r="AF222" s="2">
        <v>1</v>
      </c>
    </row>
    <row r="223" spans="1:32" x14ac:dyDescent="0.25">
      <c r="A223">
        <v>222</v>
      </c>
      <c r="B223" s="2">
        <v>0</v>
      </c>
      <c r="C223" s="2">
        <v>12</v>
      </c>
      <c r="D223" s="2">
        <v>2</v>
      </c>
      <c r="E223" s="2">
        <v>0</v>
      </c>
      <c r="F223" s="2">
        <v>0</v>
      </c>
      <c r="G223" s="2">
        <v>0</v>
      </c>
      <c r="H223" s="2">
        <v>0</v>
      </c>
      <c r="I223" s="2">
        <v>1</v>
      </c>
      <c r="J223" s="2">
        <v>0</v>
      </c>
      <c r="K223" s="2">
        <v>1200</v>
      </c>
      <c r="L223" s="2">
        <v>4</v>
      </c>
      <c r="M223" s="2">
        <v>2</v>
      </c>
      <c r="N223" s="2">
        <v>4</v>
      </c>
      <c r="O223" s="2">
        <v>0</v>
      </c>
      <c r="P223" s="2">
        <v>0</v>
      </c>
      <c r="Q223" s="2">
        <v>0</v>
      </c>
      <c r="R223" s="2">
        <v>0</v>
      </c>
      <c r="S223" s="2">
        <v>0</v>
      </c>
      <c r="T223" s="2">
        <v>4</v>
      </c>
      <c r="U223" s="2">
        <v>0</v>
      </c>
      <c r="V223" s="2">
        <v>0</v>
      </c>
      <c r="W223" s="2">
        <v>23</v>
      </c>
      <c r="X223" s="2">
        <v>1</v>
      </c>
      <c r="Y223" s="2">
        <v>1</v>
      </c>
      <c r="Z223" s="2">
        <v>0</v>
      </c>
      <c r="AA223" s="2">
        <v>1</v>
      </c>
      <c r="AB223" s="2">
        <v>2</v>
      </c>
      <c r="AC223" s="2">
        <v>1</v>
      </c>
      <c r="AD223" s="2">
        <v>1</v>
      </c>
      <c r="AE223" s="2">
        <v>0</v>
      </c>
      <c r="AF223" s="2">
        <v>1</v>
      </c>
    </row>
    <row r="224" spans="1:32" x14ac:dyDescent="0.25">
      <c r="A224">
        <v>223</v>
      </c>
      <c r="B224" s="2">
        <v>3</v>
      </c>
      <c r="C224" s="2">
        <v>12</v>
      </c>
      <c r="D224" s="2">
        <v>2</v>
      </c>
      <c r="E224" s="2">
        <v>0</v>
      </c>
      <c r="F224" s="2">
        <v>0</v>
      </c>
      <c r="G224" s="2">
        <v>0</v>
      </c>
      <c r="H224" s="2">
        <v>1</v>
      </c>
      <c r="I224" s="2">
        <v>0</v>
      </c>
      <c r="J224" s="2">
        <v>0</v>
      </c>
      <c r="K224" s="2">
        <v>707</v>
      </c>
      <c r="L224" s="2">
        <v>0</v>
      </c>
      <c r="M224" s="2">
        <v>2</v>
      </c>
      <c r="N224" s="2">
        <v>4</v>
      </c>
      <c r="O224" s="2">
        <v>0</v>
      </c>
      <c r="P224" s="2">
        <v>1</v>
      </c>
      <c r="Q224" s="2">
        <v>0</v>
      </c>
      <c r="R224" s="2">
        <v>0</v>
      </c>
      <c r="S224" s="2">
        <v>0</v>
      </c>
      <c r="T224" s="2">
        <v>2</v>
      </c>
      <c r="U224" s="2">
        <v>1</v>
      </c>
      <c r="V224" s="2">
        <v>0</v>
      </c>
      <c r="W224" s="2">
        <v>30</v>
      </c>
      <c r="X224" s="2">
        <v>1</v>
      </c>
      <c r="Y224" s="2">
        <v>0</v>
      </c>
      <c r="Z224" s="2">
        <v>1</v>
      </c>
      <c r="AA224" s="2">
        <v>2</v>
      </c>
      <c r="AB224" s="2">
        <v>2</v>
      </c>
      <c r="AC224" s="2">
        <v>1</v>
      </c>
      <c r="AD224" s="2">
        <v>0</v>
      </c>
      <c r="AE224" s="2">
        <v>0</v>
      </c>
      <c r="AF224" s="2">
        <v>1</v>
      </c>
    </row>
    <row r="225" spans="1:32" x14ac:dyDescent="0.25">
      <c r="A225">
        <v>224</v>
      </c>
      <c r="B225" s="2">
        <v>3</v>
      </c>
      <c r="C225" s="2">
        <v>24</v>
      </c>
      <c r="D225" s="2">
        <v>3</v>
      </c>
      <c r="E225" s="2">
        <v>0</v>
      </c>
      <c r="F225" s="2">
        <v>0</v>
      </c>
      <c r="G225" s="2">
        <v>0</v>
      </c>
      <c r="H225" s="2">
        <v>0</v>
      </c>
      <c r="I225" s="2">
        <v>0</v>
      </c>
      <c r="J225" s="2">
        <v>1</v>
      </c>
      <c r="K225" s="2">
        <v>2978</v>
      </c>
      <c r="L225" s="2">
        <v>4</v>
      </c>
      <c r="M225" s="2">
        <v>2</v>
      </c>
      <c r="N225" s="2">
        <v>4</v>
      </c>
      <c r="O225" s="2">
        <v>0</v>
      </c>
      <c r="P225" s="2">
        <v>1</v>
      </c>
      <c r="Q225" s="2">
        <v>0</v>
      </c>
      <c r="R225" s="2">
        <v>0</v>
      </c>
      <c r="S225" s="2">
        <v>0</v>
      </c>
      <c r="T225" s="2">
        <v>4</v>
      </c>
      <c r="U225" s="2">
        <v>1</v>
      </c>
      <c r="V225" s="2">
        <v>0</v>
      </c>
      <c r="W225" s="2">
        <v>32</v>
      </c>
      <c r="X225" s="2">
        <v>0</v>
      </c>
      <c r="Y225" s="2">
        <v>0</v>
      </c>
      <c r="Z225" s="2">
        <v>1</v>
      </c>
      <c r="AA225" s="2">
        <v>2</v>
      </c>
      <c r="AB225" s="2">
        <v>2</v>
      </c>
      <c r="AC225" s="2">
        <v>2</v>
      </c>
      <c r="AD225" s="2">
        <v>1</v>
      </c>
      <c r="AE225" s="2">
        <v>0</v>
      </c>
      <c r="AF225" s="2">
        <v>1</v>
      </c>
    </row>
    <row r="226" spans="1:32" x14ac:dyDescent="0.25">
      <c r="A226">
        <v>225</v>
      </c>
      <c r="B226" s="2">
        <v>3</v>
      </c>
      <c r="C226" s="2">
        <v>15</v>
      </c>
      <c r="D226" s="2">
        <v>2</v>
      </c>
      <c r="E226" s="2">
        <v>0</v>
      </c>
      <c r="F226" s="2">
        <v>1</v>
      </c>
      <c r="G226" s="2">
        <v>0</v>
      </c>
      <c r="H226" s="2">
        <v>0</v>
      </c>
      <c r="I226" s="2">
        <v>0</v>
      </c>
      <c r="J226" s="2">
        <v>0</v>
      </c>
      <c r="K226" s="2">
        <v>4657</v>
      </c>
      <c r="L226" s="2">
        <v>0</v>
      </c>
      <c r="M226" s="2">
        <v>2</v>
      </c>
      <c r="N226" s="2">
        <v>3</v>
      </c>
      <c r="O226" s="2">
        <v>0</v>
      </c>
      <c r="P226" s="2">
        <v>1</v>
      </c>
      <c r="Q226" s="2">
        <v>0</v>
      </c>
      <c r="R226" s="2">
        <v>0</v>
      </c>
      <c r="S226" s="2">
        <v>0</v>
      </c>
      <c r="T226" s="2">
        <v>2</v>
      </c>
      <c r="U226" s="2">
        <v>0</v>
      </c>
      <c r="V226" s="2">
        <v>0</v>
      </c>
      <c r="W226" s="2">
        <v>30</v>
      </c>
      <c r="X226" s="2">
        <v>0</v>
      </c>
      <c r="Y226" s="2">
        <v>0</v>
      </c>
      <c r="Z226" s="2">
        <v>1</v>
      </c>
      <c r="AA226" s="2">
        <v>1</v>
      </c>
      <c r="AB226" s="2">
        <v>2</v>
      </c>
      <c r="AC226" s="2">
        <v>1</v>
      </c>
      <c r="AD226" s="2">
        <v>1</v>
      </c>
      <c r="AE226" s="2">
        <v>0</v>
      </c>
      <c r="AF226" s="2">
        <v>1</v>
      </c>
    </row>
    <row r="227" spans="1:32" x14ac:dyDescent="0.25">
      <c r="A227">
        <v>226</v>
      </c>
      <c r="B227" s="2">
        <v>3</v>
      </c>
      <c r="C227" s="2">
        <v>36</v>
      </c>
      <c r="D227" s="2">
        <v>0</v>
      </c>
      <c r="E227" s="2">
        <v>0</v>
      </c>
      <c r="F227" s="2">
        <v>0</v>
      </c>
      <c r="G227" s="2">
        <v>0</v>
      </c>
      <c r="H227" s="2">
        <v>0</v>
      </c>
      <c r="I227" s="2">
        <v>0</v>
      </c>
      <c r="J227" s="2">
        <v>0</v>
      </c>
      <c r="K227" s="2">
        <v>2613</v>
      </c>
      <c r="L227" s="2">
        <v>0</v>
      </c>
      <c r="M227" s="2">
        <v>2</v>
      </c>
      <c r="N227" s="2">
        <v>4</v>
      </c>
      <c r="O227" s="2">
        <v>0</v>
      </c>
      <c r="P227" s="2">
        <v>1</v>
      </c>
      <c r="Q227" s="2">
        <v>0</v>
      </c>
      <c r="R227" s="2">
        <v>0</v>
      </c>
      <c r="S227" s="2">
        <v>0</v>
      </c>
      <c r="T227" s="2">
        <v>2</v>
      </c>
      <c r="U227" s="2">
        <v>0</v>
      </c>
      <c r="V227" s="2">
        <v>0</v>
      </c>
      <c r="W227" s="2">
        <v>27</v>
      </c>
      <c r="X227" s="2">
        <v>0</v>
      </c>
      <c r="Y227" s="2">
        <v>0</v>
      </c>
      <c r="Z227" s="2">
        <v>1</v>
      </c>
      <c r="AA227" s="2">
        <v>2</v>
      </c>
      <c r="AB227" s="2">
        <v>2</v>
      </c>
      <c r="AC227" s="2">
        <v>1</v>
      </c>
      <c r="AD227" s="2">
        <v>0</v>
      </c>
      <c r="AE227" s="2">
        <v>0</v>
      </c>
      <c r="AF227" s="2">
        <v>1</v>
      </c>
    </row>
    <row r="228" spans="1:32" x14ac:dyDescent="0.25">
      <c r="A228">
        <v>227</v>
      </c>
      <c r="B228" s="2">
        <v>1</v>
      </c>
      <c r="C228" s="2">
        <v>48</v>
      </c>
      <c r="D228" s="2">
        <v>2</v>
      </c>
      <c r="E228" s="2">
        <v>0</v>
      </c>
      <c r="F228" s="2">
        <v>0</v>
      </c>
      <c r="G228" s="2">
        <v>0</v>
      </c>
      <c r="H228" s="2">
        <v>1</v>
      </c>
      <c r="I228" s="2">
        <v>0</v>
      </c>
      <c r="J228" s="2">
        <v>0</v>
      </c>
      <c r="K228" s="2">
        <v>10961</v>
      </c>
      <c r="L228" s="2">
        <v>3</v>
      </c>
      <c r="M228" s="2">
        <v>3</v>
      </c>
      <c r="N228" s="2">
        <v>1</v>
      </c>
      <c r="O228" s="2">
        <v>0</v>
      </c>
      <c r="P228" s="2">
        <v>1</v>
      </c>
      <c r="Q228" s="2">
        <v>0</v>
      </c>
      <c r="R228" s="2">
        <v>1</v>
      </c>
      <c r="S228" s="2">
        <v>0</v>
      </c>
      <c r="T228" s="2">
        <v>2</v>
      </c>
      <c r="U228" s="2">
        <v>0</v>
      </c>
      <c r="V228" s="2">
        <v>1</v>
      </c>
      <c r="W228" s="2">
        <v>27</v>
      </c>
      <c r="X228" s="2">
        <v>1</v>
      </c>
      <c r="Y228" s="2">
        <v>0</v>
      </c>
      <c r="Z228" s="2">
        <v>1</v>
      </c>
      <c r="AA228" s="2">
        <v>2</v>
      </c>
      <c r="AB228" s="2">
        <v>2</v>
      </c>
      <c r="AC228" s="2">
        <v>1</v>
      </c>
      <c r="AD228" s="2">
        <v>1</v>
      </c>
      <c r="AE228" s="2">
        <v>0</v>
      </c>
      <c r="AF228" s="2">
        <v>0</v>
      </c>
    </row>
    <row r="229" spans="1:32" x14ac:dyDescent="0.25">
      <c r="A229">
        <v>228</v>
      </c>
      <c r="B229" s="2">
        <v>0</v>
      </c>
      <c r="C229" s="2">
        <v>12</v>
      </c>
      <c r="D229" s="2">
        <v>2</v>
      </c>
      <c r="E229" s="2">
        <v>0</v>
      </c>
      <c r="F229" s="2">
        <v>0</v>
      </c>
      <c r="G229" s="2">
        <v>1</v>
      </c>
      <c r="H229" s="2">
        <v>0</v>
      </c>
      <c r="I229" s="2">
        <v>0</v>
      </c>
      <c r="J229" s="2">
        <v>0</v>
      </c>
      <c r="K229" s="2">
        <v>7865</v>
      </c>
      <c r="L229" s="2">
        <v>0</v>
      </c>
      <c r="M229" s="2">
        <v>4</v>
      </c>
      <c r="N229" s="2">
        <v>4</v>
      </c>
      <c r="O229" s="2">
        <v>0</v>
      </c>
      <c r="P229" s="2">
        <v>1</v>
      </c>
      <c r="Q229" s="2">
        <v>0</v>
      </c>
      <c r="R229" s="2">
        <v>0</v>
      </c>
      <c r="S229" s="2">
        <v>0</v>
      </c>
      <c r="T229" s="2">
        <v>4</v>
      </c>
      <c r="U229" s="2">
        <v>0</v>
      </c>
      <c r="V229" s="2">
        <v>1</v>
      </c>
      <c r="W229" s="2">
        <v>53</v>
      </c>
      <c r="X229" s="2">
        <v>0</v>
      </c>
      <c r="Y229" s="2">
        <v>0</v>
      </c>
      <c r="Z229" s="2">
        <v>0</v>
      </c>
      <c r="AA229" s="2">
        <v>1</v>
      </c>
      <c r="AB229" s="2">
        <v>3</v>
      </c>
      <c r="AC229" s="2">
        <v>1</v>
      </c>
      <c r="AD229" s="2">
        <v>1</v>
      </c>
      <c r="AE229" s="2">
        <v>0</v>
      </c>
      <c r="AF229" s="2">
        <v>0</v>
      </c>
    </row>
    <row r="230" spans="1:32" x14ac:dyDescent="0.25">
      <c r="A230">
        <v>229</v>
      </c>
      <c r="B230" s="2">
        <v>3</v>
      </c>
      <c r="C230" s="2">
        <v>9</v>
      </c>
      <c r="D230" s="2">
        <v>2</v>
      </c>
      <c r="E230" s="2">
        <v>0</v>
      </c>
      <c r="F230" s="2">
        <v>0</v>
      </c>
      <c r="G230" s="2">
        <v>0</v>
      </c>
      <c r="H230" s="2">
        <v>1</v>
      </c>
      <c r="I230" s="2">
        <v>0</v>
      </c>
      <c r="J230" s="2">
        <v>0</v>
      </c>
      <c r="K230" s="2">
        <v>1478</v>
      </c>
      <c r="L230" s="2">
        <v>0</v>
      </c>
      <c r="M230" s="2">
        <v>3</v>
      </c>
      <c r="N230" s="2">
        <v>4</v>
      </c>
      <c r="O230" s="2">
        <v>0</v>
      </c>
      <c r="P230" s="2">
        <v>1</v>
      </c>
      <c r="Q230" s="2">
        <v>0</v>
      </c>
      <c r="R230" s="2">
        <v>0</v>
      </c>
      <c r="S230" s="2">
        <v>0</v>
      </c>
      <c r="T230" s="2">
        <v>2</v>
      </c>
      <c r="U230" s="2">
        <v>0</v>
      </c>
      <c r="V230" s="2">
        <v>0</v>
      </c>
      <c r="W230" s="2">
        <v>22</v>
      </c>
      <c r="X230" s="2">
        <v>0</v>
      </c>
      <c r="Y230" s="2">
        <v>0</v>
      </c>
      <c r="Z230" s="2">
        <v>1</v>
      </c>
      <c r="AA230" s="2">
        <v>1</v>
      </c>
      <c r="AB230" s="2">
        <v>2</v>
      </c>
      <c r="AC230" s="2">
        <v>1</v>
      </c>
      <c r="AD230" s="2">
        <v>0</v>
      </c>
      <c r="AE230" s="2">
        <v>0</v>
      </c>
      <c r="AF230" s="2">
        <v>0</v>
      </c>
    </row>
    <row r="231" spans="1:32" x14ac:dyDescent="0.25">
      <c r="A231">
        <v>230</v>
      </c>
      <c r="B231" s="2">
        <v>0</v>
      </c>
      <c r="C231" s="2">
        <v>24</v>
      </c>
      <c r="D231" s="2">
        <v>2</v>
      </c>
      <c r="E231" s="2">
        <v>0</v>
      </c>
      <c r="F231" s="2">
        <v>0</v>
      </c>
      <c r="G231" s="2">
        <v>1</v>
      </c>
      <c r="H231" s="2">
        <v>0</v>
      </c>
      <c r="I231" s="2">
        <v>0</v>
      </c>
      <c r="J231" s="2">
        <v>0</v>
      </c>
      <c r="K231" s="2">
        <v>3149</v>
      </c>
      <c r="L231" s="2">
        <v>0</v>
      </c>
      <c r="M231" s="2">
        <v>1</v>
      </c>
      <c r="N231" s="2">
        <v>4</v>
      </c>
      <c r="O231" s="2">
        <v>0</v>
      </c>
      <c r="P231" s="2">
        <v>1</v>
      </c>
      <c r="Q231" s="2">
        <v>0</v>
      </c>
      <c r="R231" s="2">
        <v>0</v>
      </c>
      <c r="S231" s="2">
        <v>0</v>
      </c>
      <c r="T231" s="2">
        <v>1</v>
      </c>
      <c r="U231" s="2">
        <v>0</v>
      </c>
      <c r="V231" s="2">
        <v>1</v>
      </c>
      <c r="W231" s="2">
        <v>22</v>
      </c>
      <c r="X231" s="2">
        <v>1</v>
      </c>
      <c r="Y231" s="2">
        <v>0</v>
      </c>
      <c r="Z231" s="2">
        <v>0</v>
      </c>
      <c r="AA231" s="2">
        <v>1</v>
      </c>
      <c r="AB231" s="2">
        <v>2</v>
      </c>
      <c r="AC231" s="2">
        <v>1</v>
      </c>
      <c r="AD231" s="2">
        <v>0</v>
      </c>
      <c r="AE231" s="2">
        <v>0</v>
      </c>
      <c r="AF231" s="2">
        <v>1</v>
      </c>
    </row>
    <row r="232" spans="1:32" x14ac:dyDescent="0.25">
      <c r="A232">
        <v>231</v>
      </c>
      <c r="B232" s="2">
        <v>2</v>
      </c>
      <c r="C232" s="2">
        <v>36</v>
      </c>
      <c r="D232" s="2">
        <v>2</v>
      </c>
      <c r="E232" s="2">
        <v>0</v>
      </c>
      <c r="F232" s="2">
        <v>0</v>
      </c>
      <c r="G232" s="2">
        <v>0</v>
      </c>
      <c r="H232" s="2">
        <v>1</v>
      </c>
      <c r="I232" s="2">
        <v>0</v>
      </c>
      <c r="J232" s="2">
        <v>0</v>
      </c>
      <c r="K232" s="2">
        <v>4210</v>
      </c>
      <c r="L232" s="2">
        <v>0</v>
      </c>
      <c r="M232" s="2">
        <v>2</v>
      </c>
      <c r="N232" s="2">
        <v>4</v>
      </c>
      <c r="O232" s="2">
        <v>0</v>
      </c>
      <c r="P232" s="2">
        <v>1</v>
      </c>
      <c r="Q232" s="2">
        <v>0</v>
      </c>
      <c r="R232" s="2">
        <v>0</v>
      </c>
      <c r="S232" s="2">
        <v>0</v>
      </c>
      <c r="T232" s="2">
        <v>2</v>
      </c>
      <c r="U232" s="2">
        <v>0</v>
      </c>
      <c r="V232" s="2">
        <v>0</v>
      </c>
      <c r="W232" s="2">
        <v>26</v>
      </c>
      <c r="X232" s="2">
        <v>0</v>
      </c>
      <c r="Y232" s="2">
        <v>0</v>
      </c>
      <c r="Z232" s="2">
        <v>1</v>
      </c>
      <c r="AA232" s="2">
        <v>1</v>
      </c>
      <c r="AB232" s="2">
        <v>2</v>
      </c>
      <c r="AC232" s="2">
        <v>1</v>
      </c>
      <c r="AD232" s="2">
        <v>0</v>
      </c>
      <c r="AE232" s="2">
        <v>0</v>
      </c>
      <c r="AF232" s="2">
        <v>0</v>
      </c>
    </row>
    <row r="233" spans="1:32" x14ac:dyDescent="0.25">
      <c r="A233">
        <v>232</v>
      </c>
      <c r="B233" s="2">
        <v>3</v>
      </c>
      <c r="C233" s="2">
        <v>9</v>
      </c>
      <c r="D233" s="2">
        <v>2</v>
      </c>
      <c r="E233" s="2">
        <v>1</v>
      </c>
      <c r="F233" s="2">
        <v>0</v>
      </c>
      <c r="G233" s="2">
        <v>0</v>
      </c>
      <c r="H233" s="2">
        <v>0</v>
      </c>
      <c r="I233" s="2">
        <v>0</v>
      </c>
      <c r="J233" s="2">
        <v>0</v>
      </c>
      <c r="K233" s="2">
        <v>2507</v>
      </c>
      <c r="L233" s="2">
        <v>2</v>
      </c>
      <c r="M233" s="2">
        <v>4</v>
      </c>
      <c r="N233" s="2">
        <v>2</v>
      </c>
      <c r="O233" s="2">
        <v>0</v>
      </c>
      <c r="P233" s="2">
        <v>1</v>
      </c>
      <c r="Q233" s="2">
        <v>0</v>
      </c>
      <c r="R233" s="2">
        <v>0</v>
      </c>
      <c r="S233" s="2">
        <v>0</v>
      </c>
      <c r="T233" s="2">
        <v>4</v>
      </c>
      <c r="U233" s="2">
        <v>0</v>
      </c>
      <c r="V233" s="2">
        <v>1</v>
      </c>
      <c r="W233" s="2">
        <v>51</v>
      </c>
      <c r="X233" s="2">
        <v>0</v>
      </c>
      <c r="Y233" s="2">
        <v>0</v>
      </c>
      <c r="Z233" s="2">
        <v>0</v>
      </c>
      <c r="AA233" s="2">
        <v>1</v>
      </c>
      <c r="AB233" s="2">
        <v>1</v>
      </c>
      <c r="AC233" s="2">
        <v>1</v>
      </c>
      <c r="AD233" s="2">
        <v>0</v>
      </c>
      <c r="AE233" s="2">
        <v>0</v>
      </c>
      <c r="AF233" s="2">
        <v>1</v>
      </c>
    </row>
    <row r="234" spans="1:32" x14ac:dyDescent="0.25">
      <c r="A234">
        <v>233</v>
      </c>
      <c r="B234" s="2">
        <v>3</v>
      </c>
      <c r="C234" s="2">
        <v>12</v>
      </c>
      <c r="D234" s="2">
        <v>2</v>
      </c>
      <c r="E234" s="2">
        <v>0</v>
      </c>
      <c r="F234" s="2">
        <v>0</v>
      </c>
      <c r="G234" s="2">
        <v>0</v>
      </c>
      <c r="H234" s="2">
        <v>1</v>
      </c>
      <c r="I234" s="2">
        <v>0</v>
      </c>
      <c r="J234" s="2">
        <v>0</v>
      </c>
      <c r="K234" s="2">
        <v>2141</v>
      </c>
      <c r="L234" s="2">
        <v>1</v>
      </c>
      <c r="M234" s="2">
        <v>3</v>
      </c>
      <c r="N234" s="2">
        <v>3</v>
      </c>
      <c r="O234" s="2">
        <v>0</v>
      </c>
      <c r="P234" s="2">
        <v>1</v>
      </c>
      <c r="Q234" s="2">
        <v>0</v>
      </c>
      <c r="R234" s="2">
        <v>0</v>
      </c>
      <c r="S234" s="2">
        <v>0</v>
      </c>
      <c r="T234" s="2">
        <v>1</v>
      </c>
      <c r="U234" s="2">
        <v>0</v>
      </c>
      <c r="V234" s="2">
        <v>1</v>
      </c>
      <c r="W234" s="2">
        <v>35</v>
      </c>
      <c r="X234" s="2">
        <v>0</v>
      </c>
      <c r="Y234" s="2">
        <v>0</v>
      </c>
      <c r="Z234" s="2">
        <v>1</v>
      </c>
      <c r="AA234" s="2">
        <v>1</v>
      </c>
      <c r="AB234" s="2">
        <v>2</v>
      </c>
      <c r="AC234" s="2">
        <v>1</v>
      </c>
      <c r="AD234" s="2">
        <v>0</v>
      </c>
      <c r="AE234" s="2">
        <v>0</v>
      </c>
      <c r="AF234" s="2">
        <v>1</v>
      </c>
    </row>
    <row r="235" spans="1:32" x14ac:dyDescent="0.25">
      <c r="A235">
        <v>234</v>
      </c>
      <c r="B235" s="2">
        <v>1</v>
      </c>
      <c r="C235" s="2">
        <v>18</v>
      </c>
      <c r="D235" s="2">
        <v>2</v>
      </c>
      <c r="E235" s="2">
        <v>0</v>
      </c>
      <c r="F235" s="2">
        <v>0</v>
      </c>
      <c r="G235" s="2">
        <v>0</v>
      </c>
      <c r="H235" s="2">
        <v>1</v>
      </c>
      <c r="I235" s="2">
        <v>0</v>
      </c>
      <c r="J235" s="2">
        <v>0</v>
      </c>
      <c r="K235" s="2">
        <v>866</v>
      </c>
      <c r="L235" s="2">
        <v>0</v>
      </c>
      <c r="M235" s="2">
        <v>2</v>
      </c>
      <c r="N235" s="2">
        <v>4</v>
      </c>
      <c r="O235" s="2">
        <v>0</v>
      </c>
      <c r="P235" s="2">
        <v>0</v>
      </c>
      <c r="Q235" s="2">
        <v>1</v>
      </c>
      <c r="R235" s="2">
        <v>0</v>
      </c>
      <c r="S235" s="2">
        <v>1</v>
      </c>
      <c r="T235" s="2">
        <v>2</v>
      </c>
      <c r="U235" s="2">
        <v>1</v>
      </c>
      <c r="V235" s="2">
        <v>0</v>
      </c>
      <c r="W235" s="2">
        <v>25</v>
      </c>
      <c r="X235" s="2">
        <v>0</v>
      </c>
      <c r="Y235" s="2">
        <v>0</v>
      </c>
      <c r="Z235" s="2">
        <v>1</v>
      </c>
      <c r="AA235" s="2">
        <v>1</v>
      </c>
      <c r="AB235" s="2">
        <v>1</v>
      </c>
      <c r="AC235" s="2">
        <v>1</v>
      </c>
      <c r="AD235" s="2">
        <v>0</v>
      </c>
      <c r="AE235" s="2">
        <v>0</v>
      </c>
      <c r="AF235" s="2">
        <v>1</v>
      </c>
    </row>
    <row r="236" spans="1:32" x14ac:dyDescent="0.25">
      <c r="A236">
        <v>235</v>
      </c>
      <c r="B236" s="2">
        <v>3</v>
      </c>
      <c r="C236" s="2">
        <v>4</v>
      </c>
      <c r="D236" s="2">
        <v>4</v>
      </c>
      <c r="E236" s="2">
        <v>0</v>
      </c>
      <c r="F236" s="2">
        <v>0</v>
      </c>
      <c r="G236" s="2">
        <v>0</v>
      </c>
      <c r="H236" s="2">
        <v>1</v>
      </c>
      <c r="I236" s="2">
        <v>0</v>
      </c>
      <c r="J236" s="2">
        <v>0</v>
      </c>
      <c r="K236" s="2">
        <v>1544</v>
      </c>
      <c r="L236" s="2">
        <v>0</v>
      </c>
      <c r="M236" s="2">
        <v>3</v>
      </c>
      <c r="N236" s="2">
        <v>2</v>
      </c>
      <c r="O236" s="2">
        <v>0</v>
      </c>
      <c r="P236" s="2">
        <v>1</v>
      </c>
      <c r="Q236" s="2">
        <v>0</v>
      </c>
      <c r="R236" s="2">
        <v>0</v>
      </c>
      <c r="S236" s="2">
        <v>0</v>
      </c>
      <c r="T236" s="2">
        <v>1</v>
      </c>
      <c r="U236" s="2">
        <v>1</v>
      </c>
      <c r="V236" s="2">
        <v>0</v>
      </c>
      <c r="W236" s="2">
        <v>42</v>
      </c>
      <c r="X236" s="2">
        <v>0</v>
      </c>
      <c r="Y236" s="2">
        <v>0</v>
      </c>
      <c r="Z236" s="2">
        <v>1</v>
      </c>
      <c r="AA236" s="2">
        <v>3</v>
      </c>
      <c r="AB236" s="2">
        <v>1</v>
      </c>
      <c r="AC236" s="2">
        <v>2</v>
      </c>
      <c r="AD236" s="2">
        <v>0</v>
      </c>
      <c r="AE236" s="2">
        <v>0</v>
      </c>
      <c r="AF236" s="2">
        <v>1</v>
      </c>
    </row>
    <row r="237" spans="1:32" x14ac:dyDescent="0.25">
      <c r="A237">
        <v>236</v>
      </c>
      <c r="B237" s="2">
        <v>0</v>
      </c>
      <c r="C237" s="2">
        <v>24</v>
      </c>
      <c r="D237" s="2">
        <v>2</v>
      </c>
      <c r="E237" s="2">
        <v>0</v>
      </c>
      <c r="F237" s="2">
        <v>0</v>
      </c>
      <c r="G237" s="2">
        <v>0</v>
      </c>
      <c r="H237" s="2">
        <v>1</v>
      </c>
      <c r="I237" s="2">
        <v>0</v>
      </c>
      <c r="J237" s="2">
        <v>0</v>
      </c>
      <c r="K237" s="2">
        <v>1823</v>
      </c>
      <c r="L237" s="2">
        <v>0</v>
      </c>
      <c r="M237" s="2">
        <v>0</v>
      </c>
      <c r="N237" s="2">
        <v>4</v>
      </c>
      <c r="O237" s="2">
        <v>0</v>
      </c>
      <c r="P237" s="2">
        <v>1</v>
      </c>
      <c r="Q237" s="2">
        <v>0</v>
      </c>
      <c r="R237" s="2">
        <v>0</v>
      </c>
      <c r="S237" s="2">
        <v>0</v>
      </c>
      <c r="T237" s="2">
        <v>2</v>
      </c>
      <c r="U237" s="2">
        <v>0</v>
      </c>
      <c r="V237" s="2">
        <v>0</v>
      </c>
      <c r="W237" s="2">
        <v>30</v>
      </c>
      <c r="X237" s="2">
        <v>1</v>
      </c>
      <c r="Y237" s="2">
        <v>0</v>
      </c>
      <c r="Z237" s="2">
        <v>1</v>
      </c>
      <c r="AA237" s="2">
        <v>1</v>
      </c>
      <c r="AB237" s="2">
        <v>3</v>
      </c>
      <c r="AC237" s="2">
        <v>2</v>
      </c>
      <c r="AD237" s="2">
        <v>0</v>
      </c>
      <c r="AE237" s="2">
        <v>0</v>
      </c>
      <c r="AF237" s="2">
        <v>0</v>
      </c>
    </row>
    <row r="238" spans="1:32" x14ac:dyDescent="0.25">
      <c r="A238">
        <v>237</v>
      </c>
      <c r="B238" s="2">
        <v>1</v>
      </c>
      <c r="C238" s="2">
        <v>6</v>
      </c>
      <c r="D238" s="2">
        <v>2</v>
      </c>
      <c r="E238" s="2">
        <v>1</v>
      </c>
      <c r="F238" s="2">
        <v>0</v>
      </c>
      <c r="G238" s="2">
        <v>0</v>
      </c>
      <c r="H238" s="2">
        <v>0</v>
      </c>
      <c r="I238" s="2">
        <v>0</v>
      </c>
      <c r="J238" s="2">
        <v>0</v>
      </c>
      <c r="K238" s="2">
        <v>14555</v>
      </c>
      <c r="L238" s="2">
        <v>4</v>
      </c>
      <c r="M238" s="2">
        <v>0</v>
      </c>
      <c r="N238" s="2">
        <v>1</v>
      </c>
      <c r="O238" s="2">
        <v>0</v>
      </c>
      <c r="P238" s="2">
        <v>1</v>
      </c>
      <c r="Q238" s="2">
        <v>0</v>
      </c>
      <c r="R238" s="2">
        <v>0</v>
      </c>
      <c r="S238" s="2">
        <v>0</v>
      </c>
      <c r="T238" s="2">
        <v>2</v>
      </c>
      <c r="U238" s="2">
        <v>0</v>
      </c>
      <c r="V238" s="2">
        <v>0</v>
      </c>
      <c r="W238" s="2">
        <v>23</v>
      </c>
      <c r="X238" s="2">
        <v>0</v>
      </c>
      <c r="Y238" s="2">
        <v>0</v>
      </c>
      <c r="Z238" s="2">
        <v>1</v>
      </c>
      <c r="AA238" s="2">
        <v>1</v>
      </c>
      <c r="AB238" s="2">
        <v>0</v>
      </c>
      <c r="AC238" s="2">
        <v>1</v>
      </c>
      <c r="AD238" s="2">
        <v>1</v>
      </c>
      <c r="AE238" s="2">
        <v>0</v>
      </c>
      <c r="AF238" s="2">
        <v>0</v>
      </c>
    </row>
    <row r="239" spans="1:32" x14ac:dyDescent="0.25">
      <c r="A239">
        <v>238</v>
      </c>
      <c r="B239" s="2">
        <v>1</v>
      </c>
      <c r="C239" s="2">
        <v>21</v>
      </c>
      <c r="D239" s="2">
        <v>2</v>
      </c>
      <c r="E239" s="2">
        <v>0</v>
      </c>
      <c r="F239" s="2">
        <v>0</v>
      </c>
      <c r="G239" s="2">
        <v>0</v>
      </c>
      <c r="H239" s="2">
        <v>0</v>
      </c>
      <c r="I239" s="2">
        <v>0</v>
      </c>
      <c r="J239" s="2">
        <v>1</v>
      </c>
      <c r="K239" s="2">
        <v>2767</v>
      </c>
      <c r="L239" s="2">
        <v>1</v>
      </c>
      <c r="M239" s="2">
        <v>4</v>
      </c>
      <c r="N239" s="2">
        <v>4</v>
      </c>
      <c r="O239" s="2">
        <v>1</v>
      </c>
      <c r="P239" s="2">
        <v>0</v>
      </c>
      <c r="Q239" s="2">
        <v>0</v>
      </c>
      <c r="R239" s="2">
        <v>0</v>
      </c>
      <c r="S239" s="2">
        <v>0</v>
      </c>
      <c r="T239" s="2">
        <v>2</v>
      </c>
      <c r="U239" s="2">
        <v>0</v>
      </c>
      <c r="V239" s="2">
        <v>0</v>
      </c>
      <c r="W239" s="2">
        <v>61</v>
      </c>
      <c r="X239" s="2">
        <v>1</v>
      </c>
      <c r="Y239" s="2">
        <v>1</v>
      </c>
      <c r="Z239" s="2">
        <v>0</v>
      </c>
      <c r="AA239" s="2">
        <v>2</v>
      </c>
      <c r="AB239" s="2">
        <v>1</v>
      </c>
      <c r="AC239" s="2">
        <v>1</v>
      </c>
      <c r="AD239" s="2">
        <v>0</v>
      </c>
      <c r="AE239" s="2">
        <v>0</v>
      </c>
      <c r="AF239" s="2">
        <v>0</v>
      </c>
    </row>
    <row r="240" spans="1:32" x14ac:dyDescent="0.25">
      <c r="A240">
        <v>239</v>
      </c>
      <c r="B240" s="2">
        <v>3</v>
      </c>
      <c r="C240" s="2">
        <v>12</v>
      </c>
      <c r="D240" s="2">
        <v>4</v>
      </c>
      <c r="E240" s="2">
        <v>0</v>
      </c>
      <c r="F240" s="2">
        <v>0</v>
      </c>
      <c r="G240" s="2">
        <v>0</v>
      </c>
      <c r="H240" s="2">
        <v>1</v>
      </c>
      <c r="I240" s="2">
        <v>0</v>
      </c>
      <c r="J240" s="2">
        <v>0</v>
      </c>
      <c r="K240" s="2">
        <v>1291</v>
      </c>
      <c r="L240" s="2">
        <v>0</v>
      </c>
      <c r="M240" s="2">
        <v>2</v>
      </c>
      <c r="N240" s="2">
        <v>4</v>
      </c>
      <c r="O240" s="2">
        <v>0</v>
      </c>
      <c r="P240" s="2">
        <v>0</v>
      </c>
      <c r="Q240" s="2">
        <v>0</v>
      </c>
      <c r="R240" s="2">
        <v>0</v>
      </c>
      <c r="S240" s="2">
        <v>0</v>
      </c>
      <c r="T240" s="2">
        <v>2</v>
      </c>
      <c r="U240" s="2">
        <v>0</v>
      </c>
      <c r="V240" s="2">
        <v>0</v>
      </c>
      <c r="W240" s="2">
        <v>35</v>
      </c>
      <c r="X240" s="2">
        <v>0</v>
      </c>
      <c r="Y240" s="2">
        <v>0</v>
      </c>
      <c r="Z240" s="2">
        <v>1</v>
      </c>
      <c r="AA240" s="2">
        <v>2</v>
      </c>
      <c r="AB240" s="2">
        <v>2</v>
      </c>
      <c r="AC240" s="2">
        <v>1</v>
      </c>
      <c r="AD240" s="2">
        <v>0</v>
      </c>
      <c r="AE240" s="2">
        <v>0</v>
      </c>
      <c r="AF240" s="2">
        <v>1</v>
      </c>
    </row>
    <row r="241" spans="1:32" x14ac:dyDescent="0.25">
      <c r="A241">
        <v>240</v>
      </c>
      <c r="B241" s="2">
        <v>0</v>
      </c>
      <c r="C241" s="2">
        <v>30</v>
      </c>
      <c r="D241" s="2">
        <v>2</v>
      </c>
      <c r="E241" s="2">
        <v>0</v>
      </c>
      <c r="F241" s="2">
        <v>0</v>
      </c>
      <c r="G241" s="2">
        <v>0</v>
      </c>
      <c r="H241" s="2">
        <v>1</v>
      </c>
      <c r="I241" s="2">
        <v>0</v>
      </c>
      <c r="J241" s="2">
        <v>0</v>
      </c>
      <c r="K241" s="2">
        <v>2522</v>
      </c>
      <c r="L241" s="2">
        <v>0</v>
      </c>
      <c r="M241" s="2">
        <v>4</v>
      </c>
      <c r="N241" s="2">
        <v>1</v>
      </c>
      <c r="O241" s="2">
        <v>0</v>
      </c>
      <c r="P241" s="2">
        <v>1</v>
      </c>
      <c r="Q241" s="2">
        <v>0</v>
      </c>
      <c r="R241" s="2">
        <v>0</v>
      </c>
      <c r="S241" s="2">
        <v>1</v>
      </c>
      <c r="T241" s="2">
        <v>3</v>
      </c>
      <c r="U241" s="2">
        <v>0</v>
      </c>
      <c r="V241" s="2">
        <v>0</v>
      </c>
      <c r="W241" s="2">
        <v>39</v>
      </c>
      <c r="X241" s="2">
        <v>0</v>
      </c>
      <c r="Y241" s="2">
        <v>0</v>
      </c>
      <c r="Z241" s="2">
        <v>1</v>
      </c>
      <c r="AA241" s="2">
        <v>1</v>
      </c>
      <c r="AB241" s="2">
        <v>2</v>
      </c>
      <c r="AC241" s="2">
        <v>2</v>
      </c>
      <c r="AD241" s="2">
        <v>0</v>
      </c>
      <c r="AE241" s="2">
        <v>0</v>
      </c>
      <c r="AF241" s="2">
        <v>1</v>
      </c>
    </row>
    <row r="242" spans="1:32" x14ac:dyDescent="0.25">
      <c r="A242">
        <v>241</v>
      </c>
      <c r="B242" s="2">
        <v>0</v>
      </c>
      <c r="C242" s="2">
        <v>24</v>
      </c>
      <c r="D242" s="2">
        <v>2</v>
      </c>
      <c r="E242" s="2">
        <v>1</v>
      </c>
      <c r="F242" s="2">
        <v>0</v>
      </c>
      <c r="G242" s="2">
        <v>0</v>
      </c>
      <c r="H242" s="2">
        <v>0</v>
      </c>
      <c r="I242" s="2">
        <v>0</v>
      </c>
      <c r="J242" s="2">
        <v>0</v>
      </c>
      <c r="K242" s="2">
        <v>915</v>
      </c>
      <c r="L242" s="2">
        <v>4</v>
      </c>
      <c r="M242" s="2">
        <v>4</v>
      </c>
      <c r="N242" s="2">
        <v>4</v>
      </c>
      <c r="O242" s="2">
        <v>0</v>
      </c>
      <c r="P242" s="2">
        <v>0</v>
      </c>
      <c r="Q242" s="2">
        <v>0</v>
      </c>
      <c r="R242" s="2">
        <v>0</v>
      </c>
      <c r="S242" s="2">
        <v>0</v>
      </c>
      <c r="T242" s="2">
        <v>2</v>
      </c>
      <c r="U242" s="2">
        <v>0</v>
      </c>
      <c r="V242" s="2">
        <v>0</v>
      </c>
      <c r="W242" s="2">
        <v>29</v>
      </c>
      <c r="X242" s="2">
        <v>1</v>
      </c>
      <c r="Y242" s="2">
        <v>0</v>
      </c>
      <c r="Z242" s="2">
        <v>1</v>
      </c>
      <c r="AA242" s="2">
        <v>1</v>
      </c>
      <c r="AB242" s="2">
        <v>2</v>
      </c>
      <c r="AC242" s="2">
        <v>1</v>
      </c>
      <c r="AD242" s="2">
        <v>0</v>
      </c>
      <c r="AE242" s="2">
        <v>0</v>
      </c>
      <c r="AF242" s="2">
        <v>0</v>
      </c>
    </row>
    <row r="243" spans="1:32" x14ac:dyDescent="0.25">
      <c r="A243">
        <v>242</v>
      </c>
      <c r="B243" s="2">
        <v>3</v>
      </c>
      <c r="C243" s="2">
        <v>6</v>
      </c>
      <c r="D243" s="2">
        <v>2</v>
      </c>
      <c r="E243" s="2">
        <v>0</v>
      </c>
      <c r="F243" s="2">
        <v>0</v>
      </c>
      <c r="G243" s="2">
        <v>0</v>
      </c>
      <c r="H243" s="2">
        <v>1</v>
      </c>
      <c r="I243" s="2">
        <v>0</v>
      </c>
      <c r="J243" s="2">
        <v>0</v>
      </c>
      <c r="K243" s="2">
        <v>1595</v>
      </c>
      <c r="L243" s="2">
        <v>0</v>
      </c>
      <c r="M243" s="2">
        <v>3</v>
      </c>
      <c r="N243" s="2">
        <v>3</v>
      </c>
      <c r="O243" s="2">
        <v>0</v>
      </c>
      <c r="P243" s="2">
        <v>1</v>
      </c>
      <c r="Q243" s="2">
        <v>0</v>
      </c>
      <c r="R243" s="2">
        <v>0</v>
      </c>
      <c r="S243" s="2">
        <v>0</v>
      </c>
      <c r="T243" s="2">
        <v>2</v>
      </c>
      <c r="U243" s="2">
        <v>0</v>
      </c>
      <c r="V243" s="2">
        <v>0</v>
      </c>
      <c r="W243" s="2">
        <v>51</v>
      </c>
      <c r="X243" s="2">
        <v>0</v>
      </c>
      <c r="Y243" s="2">
        <v>0</v>
      </c>
      <c r="Z243" s="2">
        <v>1</v>
      </c>
      <c r="AA243" s="2">
        <v>1</v>
      </c>
      <c r="AB243" s="2">
        <v>2</v>
      </c>
      <c r="AC243" s="2">
        <v>2</v>
      </c>
      <c r="AD243" s="2">
        <v>0</v>
      </c>
      <c r="AE243" s="2">
        <v>0</v>
      </c>
      <c r="AF243" s="2">
        <v>1</v>
      </c>
    </row>
    <row r="244" spans="1:32" x14ac:dyDescent="0.25">
      <c r="A244">
        <v>243</v>
      </c>
      <c r="B244" s="2">
        <v>0</v>
      </c>
      <c r="C244" s="2">
        <v>48</v>
      </c>
      <c r="D244" s="2">
        <v>0</v>
      </c>
      <c r="E244" s="2">
        <v>0</v>
      </c>
      <c r="F244" s="2">
        <v>1</v>
      </c>
      <c r="G244" s="2">
        <v>0</v>
      </c>
      <c r="H244" s="2">
        <v>0</v>
      </c>
      <c r="I244" s="2">
        <v>0</v>
      </c>
      <c r="J244" s="2">
        <v>0</v>
      </c>
      <c r="K244" s="2">
        <v>4605</v>
      </c>
      <c r="L244" s="2">
        <v>0</v>
      </c>
      <c r="M244" s="2">
        <v>4</v>
      </c>
      <c r="N244" s="2">
        <v>3</v>
      </c>
      <c r="O244" s="2">
        <v>0</v>
      </c>
      <c r="P244" s="2">
        <v>1</v>
      </c>
      <c r="Q244" s="2">
        <v>0</v>
      </c>
      <c r="R244" s="2">
        <v>0</v>
      </c>
      <c r="S244" s="2">
        <v>0</v>
      </c>
      <c r="T244" s="2">
        <v>4</v>
      </c>
      <c r="U244" s="2">
        <v>0</v>
      </c>
      <c r="V244" s="2">
        <v>1</v>
      </c>
      <c r="W244" s="2">
        <v>24</v>
      </c>
      <c r="X244" s="2">
        <v>0</v>
      </c>
      <c r="Y244" s="2">
        <v>0</v>
      </c>
      <c r="Z244" s="2">
        <v>0</v>
      </c>
      <c r="AA244" s="2">
        <v>2</v>
      </c>
      <c r="AB244" s="2">
        <v>2</v>
      </c>
      <c r="AC244" s="2">
        <v>2</v>
      </c>
      <c r="AD244" s="2">
        <v>0</v>
      </c>
      <c r="AE244" s="2">
        <v>0</v>
      </c>
      <c r="AF244" s="2">
        <v>0</v>
      </c>
    </row>
    <row r="245" spans="1:32" x14ac:dyDescent="0.25">
      <c r="A245">
        <v>244</v>
      </c>
      <c r="B245" s="2">
        <v>3</v>
      </c>
      <c r="C245" s="2">
        <v>12</v>
      </c>
      <c r="D245" s="2">
        <v>4</v>
      </c>
      <c r="E245" s="2">
        <v>0</v>
      </c>
      <c r="F245" s="2">
        <v>0</v>
      </c>
      <c r="G245" s="2">
        <v>0</v>
      </c>
      <c r="H245" s="2">
        <v>0</v>
      </c>
      <c r="I245" s="2">
        <v>0</v>
      </c>
      <c r="J245" s="2">
        <v>1</v>
      </c>
      <c r="K245" s="2">
        <v>1185</v>
      </c>
      <c r="L245" s="2">
        <v>0</v>
      </c>
      <c r="M245" s="2">
        <v>2</v>
      </c>
      <c r="N245" s="2">
        <v>3</v>
      </c>
      <c r="O245" s="2">
        <v>0</v>
      </c>
      <c r="P245" s="2">
        <v>0</v>
      </c>
      <c r="Q245" s="2">
        <v>0</v>
      </c>
      <c r="R245" s="2">
        <v>0</v>
      </c>
      <c r="S245" s="2">
        <v>0</v>
      </c>
      <c r="T245" s="2">
        <v>2</v>
      </c>
      <c r="U245" s="2">
        <v>1</v>
      </c>
      <c r="V245" s="2">
        <v>0</v>
      </c>
      <c r="W245" s="2">
        <v>27</v>
      </c>
      <c r="X245" s="2">
        <v>0</v>
      </c>
      <c r="Y245" s="2">
        <v>0</v>
      </c>
      <c r="Z245" s="2">
        <v>1</v>
      </c>
      <c r="AA245" s="2">
        <v>2</v>
      </c>
      <c r="AB245" s="2">
        <v>2</v>
      </c>
      <c r="AC245" s="2">
        <v>1</v>
      </c>
      <c r="AD245" s="2">
        <v>0</v>
      </c>
      <c r="AE245" s="2">
        <v>0</v>
      </c>
      <c r="AF245" s="2">
        <v>1</v>
      </c>
    </row>
    <row r="246" spans="1:32" x14ac:dyDescent="0.25">
      <c r="A246">
        <v>245</v>
      </c>
      <c r="B246" s="2">
        <v>3</v>
      </c>
      <c r="C246" s="2">
        <v>12</v>
      </c>
      <c r="D246" s="2">
        <v>1</v>
      </c>
      <c r="E246" s="2">
        <v>0</v>
      </c>
      <c r="F246" s="2">
        <v>0</v>
      </c>
      <c r="G246" s="2">
        <v>0</v>
      </c>
      <c r="H246" s="2">
        <v>0</v>
      </c>
      <c r="I246" s="2">
        <v>0</v>
      </c>
      <c r="J246" s="2">
        <v>0</v>
      </c>
      <c r="K246" s="2">
        <v>3447</v>
      </c>
      <c r="L246" s="2">
        <v>2</v>
      </c>
      <c r="M246" s="2">
        <v>2</v>
      </c>
      <c r="N246" s="2">
        <v>4</v>
      </c>
      <c r="O246" s="2">
        <v>0</v>
      </c>
      <c r="P246" s="2">
        <v>0</v>
      </c>
      <c r="Q246" s="2">
        <v>0</v>
      </c>
      <c r="R246" s="2">
        <v>0</v>
      </c>
      <c r="S246" s="2">
        <v>0</v>
      </c>
      <c r="T246" s="2">
        <v>3</v>
      </c>
      <c r="U246" s="2">
        <v>1</v>
      </c>
      <c r="V246" s="2">
        <v>0</v>
      </c>
      <c r="W246" s="2">
        <v>35</v>
      </c>
      <c r="X246" s="2">
        <v>0</v>
      </c>
      <c r="Y246" s="2">
        <v>0</v>
      </c>
      <c r="Z246" s="2">
        <v>1</v>
      </c>
      <c r="AA246" s="2">
        <v>1</v>
      </c>
      <c r="AB246" s="2">
        <v>1</v>
      </c>
      <c r="AC246" s="2">
        <v>2</v>
      </c>
      <c r="AD246" s="2">
        <v>0</v>
      </c>
      <c r="AE246" s="2">
        <v>0</v>
      </c>
      <c r="AF246" s="2">
        <v>1</v>
      </c>
    </row>
    <row r="247" spans="1:32" x14ac:dyDescent="0.25">
      <c r="A247">
        <v>246</v>
      </c>
      <c r="B247" s="2">
        <v>3</v>
      </c>
      <c r="C247" s="2">
        <v>24</v>
      </c>
      <c r="D247" s="2">
        <v>2</v>
      </c>
      <c r="E247" s="2">
        <v>0</v>
      </c>
      <c r="F247" s="2">
        <v>0</v>
      </c>
      <c r="G247" s="2">
        <v>0</v>
      </c>
      <c r="H247" s="2">
        <v>0</v>
      </c>
      <c r="I247" s="2">
        <v>0</v>
      </c>
      <c r="J247" s="2">
        <v>1</v>
      </c>
      <c r="K247" s="2">
        <v>1258</v>
      </c>
      <c r="L247" s="2">
        <v>0</v>
      </c>
      <c r="M247" s="2">
        <v>3</v>
      </c>
      <c r="N247" s="2">
        <v>4</v>
      </c>
      <c r="O247" s="2">
        <v>0</v>
      </c>
      <c r="P247" s="2">
        <v>1</v>
      </c>
      <c r="Q247" s="2">
        <v>0</v>
      </c>
      <c r="R247" s="2">
        <v>0</v>
      </c>
      <c r="S247" s="2">
        <v>0</v>
      </c>
      <c r="T247" s="2">
        <v>1</v>
      </c>
      <c r="U247" s="2">
        <v>1</v>
      </c>
      <c r="V247" s="2">
        <v>0</v>
      </c>
      <c r="W247" s="2">
        <v>25</v>
      </c>
      <c r="X247" s="2">
        <v>0</v>
      </c>
      <c r="Y247" s="2">
        <v>0</v>
      </c>
      <c r="Z247" s="2">
        <v>1</v>
      </c>
      <c r="AA247" s="2">
        <v>1</v>
      </c>
      <c r="AB247" s="2">
        <v>2</v>
      </c>
      <c r="AC247" s="2">
        <v>1</v>
      </c>
      <c r="AD247" s="2">
        <v>1</v>
      </c>
      <c r="AE247" s="2">
        <v>0</v>
      </c>
      <c r="AF247" s="2">
        <v>1</v>
      </c>
    </row>
    <row r="248" spans="1:32" x14ac:dyDescent="0.25">
      <c r="A248">
        <v>247</v>
      </c>
      <c r="B248" s="2">
        <v>3</v>
      </c>
      <c r="C248" s="2">
        <v>12</v>
      </c>
      <c r="D248" s="2">
        <v>4</v>
      </c>
      <c r="E248" s="2">
        <v>0</v>
      </c>
      <c r="F248" s="2">
        <v>0</v>
      </c>
      <c r="G248" s="2">
        <v>0</v>
      </c>
      <c r="H248" s="2">
        <v>1</v>
      </c>
      <c r="I248" s="2">
        <v>0</v>
      </c>
      <c r="J248" s="2">
        <v>0</v>
      </c>
      <c r="K248" s="2">
        <v>717</v>
      </c>
      <c r="L248" s="2">
        <v>0</v>
      </c>
      <c r="M248" s="2">
        <v>4</v>
      </c>
      <c r="N248" s="2">
        <v>4</v>
      </c>
      <c r="O248" s="2">
        <v>0</v>
      </c>
      <c r="P248" s="2">
        <v>1</v>
      </c>
      <c r="Q248" s="2">
        <v>0</v>
      </c>
      <c r="R248" s="2">
        <v>0</v>
      </c>
      <c r="S248" s="2">
        <v>0</v>
      </c>
      <c r="T248" s="2">
        <v>4</v>
      </c>
      <c r="U248" s="2">
        <v>1</v>
      </c>
      <c r="V248" s="2">
        <v>0</v>
      </c>
      <c r="W248" s="2">
        <v>52</v>
      </c>
      <c r="X248" s="2">
        <v>0</v>
      </c>
      <c r="Y248" s="2">
        <v>0</v>
      </c>
      <c r="Z248" s="2">
        <v>1</v>
      </c>
      <c r="AA248" s="2">
        <v>3</v>
      </c>
      <c r="AB248" s="2">
        <v>2</v>
      </c>
      <c r="AC248" s="2">
        <v>1</v>
      </c>
      <c r="AD248" s="2">
        <v>0</v>
      </c>
      <c r="AE248" s="2">
        <v>0</v>
      </c>
      <c r="AF248" s="2">
        <v>1</v>
      </c>
    </row>
    <row r="249" spans="1:32" x14ac:dyDescent="0.25">
      <c r="A249">
        <v>248</v>
      </c>
      <c r="B249" s="2">
        <v>3</v>
      </c>
      <c r="C249" s="2">
        <v>6</v>
      </c>
      <c r="D249" s="2">
        <v>0</v>
      </c>
      <c r="E249" s="2">
        <v>1</v>
      </c>
      <c r="F249" s="2">
        <v>0</v>
      </c>
      <c r="G249" s="2">
        <v>0</v>
      </c>
      <c r="H249" s="2">
        <v>0</v>
      </c>
      <c r="I249" s="2">
        <v>0</v>
      </c>
      <c r="J249" s="2">
        <v>0</v>
      </c>
      <c r="K249" s="2">
        <v>1204</v>
      </c>
      <c r="L249" s="2">
        <v>1</v>
      </c>
      <c r="M249" s="2">
        <v>2</v>
      </c>
      <c r="N249" s="2">
        <v>4</v>
      </c>
      <c r="O249" s="2">
        <v>0</v>
      </c>
      <c r="P249" s="2">
        <v>1</v>
      </c>
      <c r="Q249" s="2">
        <v>0</v>
      </c>
      <c r="R249" s="2">
        <v>0</v>
      </c>
      <c r="S249" s="2">
        <v>0</v>
      </c>
      <c r="T249" s="2">
        <v>1</v>
      </c>
      <c r="U249" s="2">
        <v>0</v>
      </c>
      <c r="V249" s="2">
        <v>1</v>
      </c>
      <c r="W249" s="2">
        <v>35</v>
      </c>
      <c r="X249" s="2">
        <v>1</v>
      </c>
      <c r="Y249" s="2">
        <v>1</v>
      </c>
      <c r="Z249" s="2">
        <v>0</v>
      </c>
      <c r="AA249" s="2">
        <v>1</v>
      </c>
      <c r="AB249" s="2">
        <v>2</v>
      </c>
      <c r="AC249" s="2">
        <v>1</v>
      </c>
      <c r="AD249" s="2">
        <v>0</v>
      </c>
      <c r="AE249" s="2">
        <v>1</v>
      </c>
      <c r="AF249" s="2">
        <v>1</v>
      </c>
    </row>
    <row r="250" spans="1:32" x14ac:dyDescent="0.25">
      <c r="A250">
        <v>249</v>
      </c>
      <c r="B250" s="2">
        <v>2</v>
      </c>
      <c r="C250" s="2">
        <v>24</v>
      </c>
      <c r="D250" s="2">
        <v>2</v>
      </c>
      <c r="E250" s="2">
        <v>0</v>
      </c>
      <c r="F250" s="2">
        <v>0</v>
      </c>
      <c r="G250" s="2">
        <v>1</v>
      </c>
      <c r="H250" s="2">
        <v>0</v>
      </c>
      <c r="I250" s="2">
        <v>0</v>
      </c>
      <c r="J250" s="2">
        <v>0</v>
      </c>
      <c r="K250" s="2">
        <v>1925</v>
      </c>
      <c r="L250" s="2">
        <v>0</v>
      </c>
      <c r="M250" s="2">
        <v>2</v>
      </c>
      <c r="N250" s="2">
        <v>2</v>
      </c>
      <c r="O250" s="2">
        <v>0</v>
      </c>
      <c r="P250" s="2">
        <v>1</v>
      </c>
      <c r="Q250" s="2">
        <v>0</v>
      </c>
      <c r="R250" s="2">
        <v>0</v>
      </c>
      <c r="S250" s="2">
        <v>0</v>
      </c>
      <c r="T250" s="2">
        <v>2</v>
      </c>
      <c r="U250" s="2">
        <v>1</v>
      </c>
      <c r="V250" s="2">
        <v>0</v>
      </c>
      <c r="W250" s="2">
        <v>26</v>
      </c>
      <c r="X250" s="2">
        <v>0</v>
      </c>
      <c r="Y250" s="2">
        <v>0</v>
      </c>
      <c r="Z250" s="2">
        <v>1</v>
      </c>
      <c r="AA250" s="2">
        <v>1</v>
      </c>
      <c r="AB250" s="2">
        <v>2</v>
      </c>
      <c r="AC250" s="2">
        <v>1</v>
      </c>
      <c r="AD250" s="2">
        <v>0</v>
      </c>
      <c r="AE250" s="2">
        <v>0</v>
      </c>
      <c r="AF250" s="2">
        <v>1</v>
      </c>
    </row>
    <row r="251" spans="1:32" x14ac:dyDescent="0.25">
      <c r="A251">
        <v>250</v>
      </c>
      <c r="B251" s="2">
        <v>3</v>
      </c>
      <c r="C251" s="2">
        <v>18</v>
      </c>
      <c r="D251" s="2">
        <v>2</v>
      </c>
      <c r="E251" s="2">
        <v>0</v>
      </c>
      <c r="F251" s="2">
        <v>0</v>
      </c>
      <c r="G251" s="2">
        <v>0</v>
      </c>
      <c r="H251" s="2">
        <v>1</v>
      </c>
      <c r="I251" s="2">
        <v>0</v>
      </c>
      <c r="J251" s="2">
        <v>0</v>
      </c>
      <c r="K251" s="2">
        <v>433</v>
      </c>
      <c r="L251" s="2">
        <v>0</v>
      </c>
      <c r="M251" s="2">
        <v>0</v>
      </c>
      <c r="N251" s="2">
        <v>3</v>
      </c>
      <c r="O251" s="2">
        <v>0</v>
      </c>
      <c r="P251" s="2">
        <v>0</v>
      </c>
      <c r="Q251" s="2">
        <v>0</v>
      </c>
      <c r="R251" s="2">
        <v>1</v>
      </c>
      <c r="S251" s="2">
        <v>0</v>
      </c>
      <c r="T251" s="2">
        <v>4</v>
      </c>
      <c r="U251" s="2">
        <v>1</v>
      </c>
      <c r="V251" s="2">
        <v>0</v>
      </c>
      <c r="W251" s="2">
        <v>22</v>
      </c>
      <c r="X251" s="2">
        <v>0</v>
      </c>
      <c r="Y251" s="2">
        <v>1</v>
      </c>
      <c r="Z251" s="2">
        <v>0</v>
      </c>
      <c r="AA251" s="2">
        <v>1</v>
      </c>
      <c r="AB251" s="2">
        <v>2</v>
      </c>
      <c r="AC251" s="2">
        <v>1</v>
      </c>
      <c r="AD251" s="2">
        <v>0</v>
      </c>
      <c r="AE251" s="2">
        <v>0</v>
      </c>
      <c r="AF251" s="2">
        <v>0</v>
      </c>
    </row>
    <row r="252" spans="1:32" x14ac:dyDescent="0.25">
      <c r="A252">
        <v>251</v>
      </c>
      <c r="B252" s="2">
        <v>0</v>
      </c>
      <c r="C252" s="2">
        <v>6</v>
      </c>
      <c r="D252" s="2">
        <v>4</v>
      </c>
      <c r="E252" s="2">
        <v>1</v>
      </c>
      <c r="F252" s="2">
        <v>0</v>
      </c>
      <c r="G252" s="2">
        <v>0</v>
      </c>
      <c r="H252" s="2">
        <v>0</v>
      </c>
      <c r="I252" s="2">
        <v>0</v>
      </c>
      <c r="J252" s="2">
        <v>0</v>
      </c>
      <c r="K252" s="2">
        <v>666</v>
      </c>
      <c r="L252" s="2">
        <v>3</v>
      </c>
      <c r="M252" s="2">
        <v>3</v>
      </c>
      <c r="N252" s="2">
        <v>3</v>
      </c>
      <c r="O252" s="2">
        <v>0</v>
      </c>
      <c r="P252" s="2">
        <v>0</v>
      </c>
      <c r="Q252" s="2">
        <v>0</v>
      </c>
      <c r="R252" s="2">
        <v>0</v>
      </c>
      <c r="S252" s="2">
        <v>0</v>
      </c>
      <c r="T252" s="2">
        <v>4</v>
      </c>
      <c r="U252" s="2">
        <v>1</v>
      </c>
      <c r="V252" s="2">
        <v>0</v>
      </c>
      <c r="W252" s="2">
        <v>39</v>
      </c>
      <c r="X252" s="2">
        <v>0</v>
      </c>
      <c r="Y252" s="2">
        <v>0</v>
      </c>
      <c r="Z252" s="2">
        <v>1</v>
      </c>
      <c r="AA252" s="2">
        <v>2</v>
      </c>
      <c r="AB252" s="2">
        <v>1</v>
      </c>
      <c r="AC252" s="2">
        <v>1</v>
      </c>
      <c r="AD252" s="2">
        <v>1</v>
      </c>
      <c r="AE252" s="2">
        <v>0</v>
      </c>
      <c r="AF252" s="2">
        <v>1</v>
      </c>
    </row>
    <row r="253" spans="1:32" x14ac:dyDescent="0.25">
      <c r="A253">
        <v>252</v>
      </c>
      <c r="B253" s="2">
        <v>2</v>
      </c>
      <c r="C253" s="2">
        <v>12</v>
      </c>
      <c r="D253" s="2">
        <v>2</v>
      </c>
      <c r="E253" s="2">
        <v>0</v>
      </c>
      <c r="F253" s="2">
        <v>0</v>
      </c>
      <c r="G253" s="2">
        <v>1</v>
      </c>
      <c r="H253" s="2">
        <v>0</v>
      </c>
      <c r="I253" s="2">
        <v>0</v>
      </c>
      <c r="J253" s="2">
        <v>0</v>
      </c>
      <c r="K253" s="2">
        <v>2251</v>
      </c>
      <c r="L253" s="2">
        <v>0</v>
      </c>
      <c r="M253" s="2">
        <v>2</v>
      </c>
      <c r="N253" s="2">
        <v>1</v>
      </c>
      <c r="O253" s="2">
        <v>0</v>
      </c>
      <c r="P253" s="2">
        <v>0</v>
      </c>
      <c r="Q253" s="2">
        <v>0</v>
      </c>
      <c r="R253" s="2">
        <v>0</v>
      </c>
      <c r="S253" s="2">
        <v>0</v>
      </c>
      <c r="T253" s="2">
        <v>2</v>
      </c>
      <c r="U253" s="2">
        <v>0</v>
      </c>
      <c r="V253" s="2">
        <v>0</v>
      </c>
      <c r="W253" s="2">
        <v>46</v>
      </c>
      <c r="X253" s="2">
        <v>0</v>
      </c>
      <c r="Y253" s="2">
        <v>0</v>
      </c>
      <c r="Z253" s="2">
        <v>1</v>
      </c>
      <c r="AA253" s="2">
        <v>1</v>
      </c>
      <c r="AB253" s="2">
        <v>1</v>
      </c>
      <c r="AC253" s="2">
        <v>1</v>
      </c>
      <c r="AD253" s="2">
        <v>0</v>
      </c>
      <c r="AE253" s="2">
        <v>0</v>
      </c>
      <c r="AF253" s="2">
        <v>1</v>
      </c>
    </row>
    <row r="254" spans="1:32" x14ac:dyDescent="0.25">
      <c r="A254">
        <v>253</v>
      </c>
      <c r="B254" s="2">
        <v>1</v>
      </c>
      <c r="C254" s="2">
        <v>30</v>
      </c>
      <c r="D254" s="2">
        <v>2</v>
      </c>
      <c r="E254" s="2">
        <v>1</v>
      </c>
      <c r="F254" s="2">
        <v>0</v>
      </c>
      <c r="G254" s="2">
        <v>0</v>
      </c>
      <c r="H254" s="2">
        <v>0</v>
      </c>
      <c r="I254" s="2">
        <v>0</v>
      </c>
      <c r="J254" s="2">
        <v>0</v>
      </c>
      <c r="K254" s="2">
        <v>2150</v>
      </c>
      <c r="L254" s="2">
        <v>0</v>
      </c>
      <c r="M254" s="2">
        <v>2</v>
      </c>
      <c r="N254" s="2">
        <v>4</v>
      </c>
      <c r="O254" s="2">
        <v>0</v>
      </c>
      <c r="P254" s="2">
        <v>0</v>
      </c>
      <c r="Q254" s="2">
        <v>0</v>
      </c>
      <c r="R254" s="2">
        <v>0</v>
      </c>
      <c r="S254" s="2">
        <v>1</v>
      </c>
      <c r="T254" s="2">
        <v>2</v>
      </c>
      <c r="U254" s="2">
        <v>0</v>
      </c>
      <c r="V254" s="2">
        <v>1</v>
      </c>
      <c r="W254" s="2">
        <v>24</v>
      </c>
      <c r="X254" s="2">
        <v>1</v>
      </c>
      <c r="Y254" s="2">
        <v>0</v>
      </c>
      <c r="Z254" s="2">
        <v>1</v>
      </c>
      <c r="AA254" s="2">
        <v>1</v>
      </c>
      <c r="AB254" s="2">
        <v>2</v>
      </c>
      <c r="AC254" s="2">
        <v>1</v>
      </c>
      <c r="AD254" s="2">
        <v>0</v>
      </c>
      <c r="AE254" s="2">
        <v>0</v>
      </c>
      <c r="AF254" s="2">
        <v>0</v>
      </c>
    </row>
    <row r="255" spans="1:32" x14ac:dyDescent="0.25">
      <c r="A255">
        <v>254</v>
      </c>
      <c r="B255" s="2">
        <v>3</v>
      </c>
      <c r="C255" s="2">
        <v>24</v>
      </c>
      <c r="D255" s="2">
        <v>3</v>
      </c>
      <c r="E255" s="2">
        <v>0</v>
      </c>
      <c r="F255" s="2">
        <v>0</v>
      </c>
      <c r="G255" s="2">
        <v>1</v>
      </c>
      <c r="H255" s="2">
        <v>0</v>
      </c>
      <c r="I255" s="2">
        <v>0</v>
      </c>
      <c r="J255" s="2">
        <v>0</v>
      </c>
      <c r="K255" s="2">
        <v>4151</v>
      </c>
      <c r="L255" s="2">
        <v>1</v>
      </c>
      <c r="M255" s="2">
        <v>2</v>
      </c>
      <c r="N255" s="2">
        <v>2</v>
      </c>
      <c r="O255" s="2">
        <v>0</v>
      </c>
      <c r="P255" s="2">
        <v>1</v>
      </c>
      <c r="Q255" s="2">
        <v>0</v>
      </c>
      <c r="R255" s="2">
        <v>0</v>
      </c>
      <c r="S255" s="2">
        <v>0</v>
      </c>
      <c r="T255" s="2">
        <v>3</v>
      </c>
      <c r="U255" s="2">
        <v>0</v>
      </c>
      <c r="V255" s="2">
        <v>0</v>
      </c>
      <c r="W255" s="2">
        <v>35</v>
      </c>
      <c r="X255" s="2">
        <v>0</v>
      </c>
      <c r="Y255" s="2">
        <v>0</v>
      </c>
      <c r="Z255" s="2">
        <v>1</v>
      </c>
      <c r="AA255" s="2">
        <v>2</v>
      </c>
      <c r="AB255" s="2">
        <v>2</v>
      </c>
      <c r="AC255" s="2">
        <v>1</v>
      </c>
      <c r="AD255" s="2">
        <v>0</v>
      </c>
      <c r="AE255" s="2">
        <v>0</v>
      </c>
      <c r="AF255" s="2">
        <v>1</v>
      </c>
    </row>
    <row r="256" spans="1:32" x14ac:dyDescent="0.25">
      <c r="A256">
        <v>255</v>
      </c>
      <c r="B256" s="2">
        <v>1</v>
      </c>
      <c r="C256" s="2">
        <v>9</v>
      </c>
      <c r="D256" s="2">
        <v>2</v>
      </c>
      <c r="E256" s="2">
        <v>0</v>
      </c>
      <c r="F256" s="2">
        <v>0</v>
      </c>
      <c r="G256" s="2">
        <v>1</v>
      </c>
      <c r="H256" s="2">
        <v>0</v>
      </c>
      <c r="I256" s="2">
        <v>0</v>
      </c>
      <c r="J256" s="2">
        <v>0</v>
      </c>
      <c r="K256" s="2">
        <v>2030</v>
      </c>
      <c r="L256" s="2">
        <v>4</v>
      </c>
      <c r="M256" s="2">
        <v>3</v>
      </c>
      <c r="N256" s="2">
        <v>2</v>
      </c>
      <c r="O256" s="2">
        <v>0</v>
      </c>
      <c r="P256" s="2">
        <v>1</v>
      </c>
      <c r="Q256" s="2">
        <v>0</v>
      </c>
      <c r="R256" s="2">
        <v>0</v>
      </c>
      <c r="S256" s="2">
        <v>0</v>
      </c>
      <c r="T256" s="2">
        <v>1</v>
      </c>
      <c r="U256" s="2">
        <v>0</v>
      </c>
      <c r="V256" s="2">
        <v>0</v>
      </c>
      <c r="W256" s="2">
        <v>24</v>
      </c>
      <c r="X256" s="2">
        <v>0</v>
      </c>
      <c r="Y256" s="2">
        <v>0</v>
      </c>
      <c r="Z256" s="2">
        <v>1</v>
      </c>
      <c r="AA256" s="2">
        <v>1</v>
      </c>
      <c r="AB256" s="2">
        <v>2</v>
      </c>
      <c r="AC256" s="2">
        <v>1</v>
      </c>
      <c r="AD256" s="2">
        <v>1</v>
      </c>
      <c r="AE256" s="2">
        <v>0</v>
      </c>
      <c r="AF256" s="2">
        <v>1</v>
      </c>
    </row>
    <row r="257" spans="1:32" x14ac:dyDescent="0.25">
      <c r="A257">
        <v>256</v>
      </c>
      <c r="B257" s="2">
        <v>1</v>
      </c>
      <c r="C257" s="2">
        <v>60</v>
      </c>
      <c r="D257" s="2">
        <v>3</v>
      </c>
      <c r="E257" s="2">
        <v>0</v>
      </c>
      <c r="F257" s="2">
        <v>0</v>
      </c>
      <c r="G257" s="2">
        <v>0</v>
      </c>
      <c r="H257" s="2">
        <v>1</v>
      </c>
      <c r="I257" s="2">
        <v>0</v>
      </c>
      <c r="J257" s="2">
        <v>0</v>
      </c>
      <c r="K257" s="2">
        <v>7418</v>
      </c>
      <c r="L257" s="2">
        <v>4</v>
      </c>
      <c r="M257" s="2">
        <v>2</v>
      </c>
      <c r="N257" s="2">
        <v>1</v>
      </c>
      <c r="O257" s="2">
        <v>0</v>
      </c>
      <c r="P257" s="2">
        <v>1</v>
      </c>
      <c r="Q257" s="2">
        <v>0</v>
      </c>
      <c r="R257" s="2">
        <v>0</v>
      </c>
      <c r="S257" s="2">
        <v>0</v>
      </c>
      <c r="T257" s="2">
        <v>1</v>
      </c>
      <c r="U257" s="2">
        <v>1</v>
      </c>
      <c r="V257" s="2">
        <v>0</v>
      </c>
      <c r="W257" s="2">
        <v>27</v>
      </c>
      <c r="X257" s="2">
        <v>0</v>
      </c>
      <c r="Y257" s="2">
        <v>0</v>
      </c>
      <c r="Z257" s="2">
        <v>1</v>
      </c>
      <c r="AA257" s="2">
        <v>1</v>
      </c>
      <c r="AB257" s="2">
        <v>1</v>
      </c>
      <c r="AC257" s="2">
        <v>1</v>
      </c>
      <c r="AD257" s="2">
        <v>0</v>
      </c>
      <c r="AE257" s="2">
        <v>0</v>
      </c>
      <c r="AF257" s="2">
        <v>1</v>
      </c>
    </row>
    <row r="258" spans="1:32" x14ac:dyDescent="0.25">
      <c r="A258">
        <v>257</v>
      </c>
      <c r="B258" s="2">
        <v>3</v>
      </c>
      <c r="C258" s="2">
        <v>24</v>
      </c>
      <c r="D258" s="2">
        <v>4</v>
      </c>
      <c r="E258" s="2">
        <v>0</v>
      </c>
      <c r="F258" s="2">
        <v>0</v>
      </c>
      <c r="G258" s="2">
        <v>0</v>
      </c>
      <c r="H258" s="2">
        <v>1</v>
      </c>
      <c r="I258" s="2">
        <v>0</v>
      </c>
      <c r="J258" s="2">
        <v>0</v>
      </c>
      <c r="K258" s="2">
        <v>2684</v>
      </c>
      <c r="L258" s="2">
        <v>0</v>
      </c>
      <c r="M258" s="2">
        <v>2</v>
      </c>
      <c r="N258" s="2">
        <v>4</v>
      </c>
      <c r="O258" s="2">
        <v>0</v>
      </c>
      <c r="P258" s="2">
        <v>1</v>
      </c>
      <c r="Q258" s="2">
        <v>0</v>
      </c>
      <c r="R258" s="2">
        <v>0</v>
      </c>
      <c r="S258" s="2">
        <v>0</v>
      </c>
      <c r="T258" s="2">
        <v>2</v>
      </c>
      <c r="U258" s="2">
        <v>1</v>
      </c>
      <c r="V258" s="2">
        <v>0</v>
      </c>
      <c r="W258" s="2">
        <v>35</v>
      </c>
      <c r="X258" s="2">
        <v>0</v>
      </c>
      <c r="Y258" s="2">
        <v>0</v>
      </c>
      <c r="Z258" s="2">
        <v>1</v>
      </c>
      <c r="AA258" s="2">
        <v>2</v>
      </c>
      <c r="AB258" s="2">
        <v>1</v>
      </c>
      <c r="AC258" s="2">
        <v>1</v>
      </c>
      <c r="AD258" s="2">
        <v>0</v>
      </c>
      <c r="AE258" s="2">
        <v>0</v>
      </c>
      <c r="AF258" s="2">
        <v>1</v>
      </c>
    </row>
    <row r="259" spans="1:32" x14ac:dyDescent="0.25">
      <c r="A259">
        <v>258</v>
      </c>
      <c r="B259" s="2">
        <v>0</v>
      </c>
      <c r="C259" s="2">
        <v>12</v>
      </c>
      <c r="D259" s="2">
        <v>1</v>
      </c>
      <c r="E259" s="2">
        <v>0</v>
      </c>
      <c r="F259" s="2">
        <v>0</v>
      </c>
      <c r="G259" s="2">
        <v>0</v>
      </c>
      <c r="H259" s="2">
        <v>1</v>
      </c>
      <c r="I259" s="2">
        <v>0</v>
      </c>
      <c r="J259" s="2">
        <v>0</v>
      </c>
      <c r="K259" s="2">
        <v>2149</v>
      </c>
      <c r="L259" s="2">
        <v>0</v>
      </c>
      <c r="M259" s="2">
        <v>2</v>
      </c>
      <c r="N259" s="2">
        <v>4</v>
      </c>
      <c r="O259" s="2">
        <v>1</v>
      </c>
      <c r="P259" s="2">
        <v>0</v>
      </c>
      <c r="Q259" s="2">
        <v>0</v>
      </c>
      <c r="R259" s="2">
        <v>0</v>
      </c>
      <c r="S259" s="2">
        <v>0</v>
      </c>
      <c r="T259" s="2">
        <v>1</v>
      </c>
      <c r="U259" s="2">
        <v>0</v>
      </c>
      <c r="V259" s="2">
        <v>1</v>
      </c>
      <c r="W259" s="2">
        <v>29</v>
      </c>
      <c r="X259" s="2">
        <v>0</v>
      </c>
      <c r="Y259" s="2">
        <v>0</v>
      </c>
      <c r="Z259" s="2">
        <v>0</v>
      </c>
      <c r="AA259" s="2">
        <v>1</v>
      </c>
      <c r="AB259" s="2">
        <v>2</v>
      </c>
      <c r="AC259" s="2">
        <v>1</v>
      </c>
      <c r="AD259" s="2">
        <v>0</v>
      </c>
      <c r="AE259" s="2">
        <v>0</v>
      </c>
      <c r="AF259" s="2">
        <v>0</v>
      </c>
    </row>
    <row r="260" spans="1:32" x14ac:dyDescent="0.25">
      <c r="A260">
        <v>259</v>
      </c>
      <c r="B260" s="2">
        <v>3</v>
      </c>
      <c r="C260" s="2">
        <v>15</v>
      </c>
      <c r="D260" s="2">
        <v>2</v>
      </c>
      <c r="E260" s="2">
        <v>0</v>
      </c>
      <c r="F260" s="2">
        <v>1</v>
      </c>
      <c r="G260" s="2">
        <v>0</v>
      </c>
      <c r="H260" s="2">
        <v>0</v>
      </c>
      <c r="I260" s="2">
        <v>0</v>
      </c>
      <c r="J260" s="2">
        <v>0</v>
      </c>
      <c r="K260" s="2">
        <v>3812</v>
      </c>
      <c r="L260" s="2">
        <v>1</v>
      </c>
      <c r="M260" s="2">
        <v>1</v>
      </c>
      <c r="N260" s="2">
        <v>1</v>
      </c>
      <c r="O260" s="2">
        <v>0</v>
      </c>
      <c r="P260" s="2">
        <v>0</v>
      </c>
      <c r="Q260" s="2">
        <v>0</v>
      </c>
      <c r="R260" s="2">
        <v>0</v>
      </c>
      <c r="S260" s="2">
        <v>0</v>
      </c>
      <c r="T260" s="2">
        <v>4</v>
      </c>
      <c r="U260" s="2">
        <v>0</v>
      </c>
      <c r="V260" s="2">
        <v>0</v>
      </c>
      <c r="W260" s="2">
        <v>23</v>
      </c>
      <c r="X260" s="2">
        <v>0</v>
      </c>
      <c r="Y260" s="2">
        <v>0</v>
      </c>
      <c r="Z260" s="2">
        <v>1</v>
      </c>
      <c r="AA260" s="2">
        <v>1</v>
      </c>
      <c r="AB260" s="2">
        <v>2</v>
      </c>
      <c r="AC260" s="2">
        <v>1</v>
      </c>
      <c r="AD260" s="2">
        <v>1</v>
      </c>
      <c r="AE260" s="2">
        <v>0</v>
      </c>
      <c r="AF260" s="2">
        <v>1</v>
      </c>
    </row>
    <row r="261" spans="1:32" x14ac:dyDescent="0.25">
      <c r="A261">
        <v>260</v>
      </c>
      <c r="B261" s="2">
        <v>3</v>
      </c>
      <c r="C261" s="2">
        <v>11</v>
      </c>
      <c r="D261" s="2">
        <v>4</v>
      </c>
      <c r="E261" s="2">
        <v>0</v>
      </c>
      <c r="F261" s="2">
        <v>0</v>
      </c>
      <c r="G261" s="2">
        <v>0</v>
      </c>
      <c r="H261" s="2">
        <v>1</v>
      </c>
      <c r="I261" s="2">
        <v>0</v>
      </c>
      <c r="J261" s="2">
        <v>0</v>
      </c>
      <c r="K261" s="2">
        <v>1154</v>
      </c>
      <c r="L261" s="2">
        <v>1</v>
      </c>
      <c r="M261" s="2">
        <v>0</v>
      </c>
      <c r="N261" s="2">
        <v>4</v>
      </c>
      <c r="O261" s="2">
        <v>0</v>
      </c>
      <c r="P261" s="2">
        <v>0</v>
      </c>
      <c r="Q261" s="2">
        <v>0</v>
      </c>
      <c r="R261" s="2">
        <v>0</v>
      </c>
      <c r="S261" s="2">
        <v>0</v>
      </c>
      <c r="T261" s="2">
        <v>4</v>
      </c>
      <c r="U261" s="2">
        <v>1</v>
      </c>
      <c r="V261" s="2">
        <v>0</v>
      </c>
      <c r="W261" s="2">
        <v>57</v>
      </c>
      <c r="X261" s="2">
        <v>0</v>
      </c>
      <c r="Y261" s="2">
        <v>0</v>
      </c>
      <c r="Z261" s="2">
        <v>1</v>
      </c>
      <c r="AA261" s="2">
        <v>3</v>
      </c>
      <c r="AB261" s="2">
        <v>1</v>
      </c>
      <c r="AC261" s="2">
        <v>1</v>
      </c>
      <c r="AD261" s="2">
        <v>0</v>
      </c>
      <c r="AE261" s="2">
        <v>0</v>
      </c>
      <c r="AF261" s="2">
        <v>1</v>
      </c>
    </row>
    <row r="262" spans="1:32" x14ac:dyDescent="0.25">
      <c r="A262">
        <v>261</v>
      </c>
      <c r="B262" s="2">
        <v>0</v>
      </c>
      <c r="C262" s="2">
        <v>12</v>
      </c>
      <c r="D262" s="2">
        <v>2</v>
      </c>
      <c r="E262" s="2">
        <v>0</v>
      </c>
      <c r="F262" s="2">
        <v>0</v>
      </c>
      <c r="G262" s="2">
        <v>1</v>
      </c>
      <c r="H262" s="2">
        <v>0</v>
      </c>
      <c r="I262" s="2">
        <v>0</v>
      </c>
      <c r="J262" s="2">
        <v>0</v>
      </c>
      <c r="K262" s="2">
        <v>1657</v>
      </c>
      <c r="L262" s="2">
        <v>0</v>
      </c>
      <c r="M262" s="2">
        <v>2</v>
      </c>
      <c r="N262" s="2">
        <v>2</v>
      </c>
      <c r="O262" s="2">
        <v>0</v>
      </c>
      <c r="P262" s="2">
        <v>1</v>
      </c>
      <c r="Q262" s="2">
        <v>0</v>
      </c>
      <c r="R262" s="2">
        <v>0</v>
      </c>
      <c r="S262" s="2">
        <v>0</v>
      </c>
      <c r="T262" s="2">
        <v>2</v>
      </c>
      <c r="U262" s="2">
        <v>1</v>
      </c>
      <c r="V262" s="2">
        <v>0</v>
      </c>
      <c r="W262" s="2">
        <v>27</v>
      </c>
      <c r="X262" s="2">
        <v>0</v>
      </c>
      <c r="Y262" s="2">
        <v>0</v>
      </c>
      <c r="Z262" s="2">
        <v>1</v>
      </c>
      <c r="AA262" s="2">
        <v>1</v>
      </c>
      <c r="AB262" s="2">
        <v>2</v>
      </c>
      <c r="AC262" s="2">
        <v>1</v>
      </c>
      <c r="AD262" s="2">
        <v>0</v>
      </c>
      <c r="AE262" s="2">
        <v>0</v>
      </c>
      <c r="AF262" s="2">
        <v>1</v>
      </c>
    </row>
    <row r="263" spans="1:32" x14ac:dyDescent="0.25">
      <c r="A263">
        <v>262</v>
      </c>
      <c r="B263" s="2">
        <v>0</v>
      </c>
      <c r="C263" s="2">
        <v>24</v>
      </c>
      <c r="D263" s="2">
        <v>2</v>
      </c>
      <c r="E263" s="2">
        <v>0</v>
      </c>
      <c r="F263" s="2">
        <v>0</v>
      </c>
      <c r="G263" s="2">
        <v>0</v>
      </c>
      <c r="H263" s="2">
        <v>1</v>
      </c>
      <c r="I263" s="2">
        <v>0</v>
      </c>
      <c r="J263" s="2">
        <v>0</v>
      </c>
      <c r="K263" s="2">
        <v>1603</v>
      </c>
      <c r="L263" s="2">
        <v>0</v>
      </c>
      <c r="M263" s="2">
        <v>4</v>
      </c>
      <c r="N263" s="2">
        <v>4</v>
      </c>
      <c r="O263" s="2">
        <v>0</v>
      </c>
      <c r="P263" s="2">
        <v>0</v>
      </c>
      <c r="Q263" s="2">
        <v>0</v>
      </c>
      <c r="R263" s="2">
        <v>0</v>
      </c>
      <c r="S263" s="2">
        <v>0</v>
      </c>
      <c r="T263" s="2">
        <v>4</v>
      </c>
      <c r="U263" s="2">
        <v>0</v>
      </c>
      <c r="V263" s="2">
        <v>0</v>
      </c>
      <c r="W263" s="2">
        <v>55</v>
      </c>
      <c r="X263" s="2">
        <v>0</v>
      </c>
      <c r="Y263" s="2">
        <v>0</v>
      </c>
      <c r="Z263" s="2">
        <v>1</v>
      </c>
      <c r="AA263" s="2">
        <v>1</v>
      </c>
      <c r="AB263" s="2">
        <v>2</v>
      </c>
      <c r="AC263" s="2">
        <v>1</v>
      </c>
      <c r="AD263" s="2">
        <v>0</v>
      </c>
      <c r="AE263" s="2">
        <v>0</v>
      </c>
      <c r="AF263" s="2">
        <v>1</v>
      </c>
    </row>
    <row r="264" spans="1:32" x14ac:dyDescent="0.25">
      <c r="A264">
        <v>263</v>
      </c>
      <c r="B264" s="2">
        <v>0</v>
      </c>
      <c r="C264" s="2">
        <v>18</v>
      </c>
      <c r="D264" s="2">
        <v>4</v>
      </c>
      <c r="E264" s="2">
        <v>1</v>
      </c>
      <c r="F264" s="2">
        <v>0</v>
      </c>
      <c r="G264" s="2">
        <v>0</v>
      </c>
      <c r="H264" s="2">
        <v>0</v>
      </c>
      <c r="I264" s="2">
        <v>0</v>
      </c>
      <c r="J264" s="2">
        <v>0</v>
      </c>
      <c r="K264" s="2">
        <v>5302</v>
      </c>
      <c r="L264" s="2">
        <v>0</v>
      </c>
      <c r="M264" s="2">
        <v>4</v>
      </c>
      <c r="N264" s="2">
        <v>2</v>
      </c>
      <c r="O264" s="2">
        <v>0</v>
      </c>
      <c r="P264" s="2">
        <v>1</v>
      </c>
      <c r="Q264" s="2">
        <v>0</v>
      </c>
      <c r="R264" s="2">
        <v>0</v>
      </c>
      <c r="S264" s="2">
        <v>0</v>
      </c>
      <c r="T264" s="2">
        <v>4</v>
      </c>
      <c r="U264" s="2">
        <v>0</v>
      </c>
      <c r="V264" s="2">
        <v>1</v>
      </c>
      <c r="W264" s="2">
        <v>36</v>
      </c>
      <c r="X264" s="2">
        <v>0</v>
      </c>
      <c r="Y264" s="2">
        <v>0</v>
      </c>
      <c r="Z264" s="2">
        <v>0</v>
      </c>
      <c r="AA264" s="2">
        <v>3</v>
      </c>
      <c r="AB264" s="2">
        <v>3</v>
      </c>
      <c r="AC264" s="2">
        <v>1</v>
      </c>
      <c r="AD264" s="2">
        <v>1</v>
      </c>
      <c r="AE264" s="2">
        <v>0</v>
      </c>
      <c r="AF264" s="2">
        <v>1</v>
      </c>
    </row>
    <row r="265" spans="1:32" x14ac:dyDescent="0.25">
      <c r="A265">
        <v>264</v>
      </c>
      <c r="B265" s="2">
        <v>3</v>
      </c>
      <c r="C265" s="2">
        <v>12</v>
      </c>
      <c r="D265" s="2">
        <v>4</v>
      </c>
      <c r="E265" s="2">
        <v>0</v>
      </c>
      <c r="F265" s="2">
        <v>0</v>
      </c>
      <c r="G265" s="2">
        <v>0</v>
      </c>
      <c r="H265" s="2">
        <v>0</v>
      </c>
      <c r="I265" s="2">
        <v>1</v>
      </c>
      <c r="J265" s="2">
        <v>0</v>
      </c>
      <c r="K265" s="2">
        <v>2748</v>
      </c>
      <c r="L265" s="2">
        <v>0</v>
      </c>
      <c r="M265" s="2">
        <v>4</v>
      </c>
      <c r="N265" s="2">
        <v>2</v>
      </c>
      <c r="O265" s="2">
        <v>0</v>
      </c>
      <c r="P265" s="2">
        <v>0</v>
      </c>
      <c r="Q265" s="2">
        <v>0</v>
      </c>
      <c r="R265" s="2">
        <v>0</v>
      </c>
      <c r="S265" s="2">
        <v>0</v>
      </c>
      <c r="T265" s="2">
        <v>4</v>
      </c>
      <c r="U265" s="2">
        <v>0</v>
      </c>
      <c r="V265" s="2">
        <v>1</v>
      </c>
      <c r="W265" s="2">
        <v>57</v>
      </c>
      <c r="X265" s="2">
        <v>1</v>
      </c>
      <c r="Y265" s="2">
        <v>0</v>
      </c>
      <c r="Z265" s="2">
        <v>0</v>
      </c>
      <c r="AA265" s="2">
        <v>3</v>
      </c>
      <c r="AB265" s="2">
        <v>1</v>
      </c>
      <c r="AC265" s="2">
        <v>1</v>
      </c>
      <c r="AD265" s="2">
        <v>0</v>
      </c>
      <c r="AE265" s="2">
        <v>0</v>
      </c>
      <c r="AF265" s="2">
        <v>1</v>
      </c>
    </row>
    <row r="266" spans="1:32" x14ac:dyDescent="0.25">
      <c r="A266">
        <v>265</v>
      </c>
      <c r="B266" s="2">
        <v>3</v>
      </c>
      <c r="C266" s="2">
        <v>10</v>
      </c>
      <c r="D266" s="2">
        <v>4</v>
      </c>
      <c r="E266" s="2">
        <v>1</v>
      </c>
      <c r="F266" s="2">
        <v>0</v>
      </c>
      <c r="G266" s="2">
        <v>0</v>
      </c>
      <c r="H266" s="2">
        <v>0</v>
      </c>
      <c r="I266" s="2">
        <v>0</v>
      </c>
      <c r="J266" s="2">
        <v>0</v>
      </c>
      <c r="K266" s="2">
        <v>1231</v>
      </c>
      <c r="L266" s="2">
        <v>0</v>
      </c>
      <c r="M266" s="2">
        <v>4</v>
      </c>
      <c r="N266" s="2">
        <v>3</v>
      </c>
      <c r="O266" s="2">
        <v>0</v>
      </c>
      <c r="P266" s="2">
        <v>1</v>
      </c>
      <c r="Q266" s="2">
        <v>0</v>
      </c>
      <c r="R266" s="2">
        <v>0</v>
      </c>
      <c r="S266" s="2">
        <v>0</v>
      </c>
      <c r="T266" s="2">
        <v>4</v>
      </c>
      <c r="U266" s="2">
        <v>1</v>
      </c>
      <c r="V266" s="2">
        <v>0</v>
      </c>
      <c r="W266" s="2">
        <v>32</v>
      </c>
      <c r="X266" s="2">
        <v>0</v>
      </c>
      <c r="Y266" s="2">
        <v>0</v>
      </c>
      <c r="Z266" s="2">
        <v>1</v>
      </c>
      <c r="AA266" s="2">
        <v>2</v>
      </c>
      <c r="AB266" s="2">
        <v>1</v>
      </c>
      <c r="AC266" s="2">
        <v>2</v>
      </c>
      <c r="AD266" s="2">
        <v>0</v>
      </c>
      <c r="AE266" s="2">
        <v>1</v>
      </c>
      <c r="AF266" s="2">
        <v>1</v>
      </c>
    </row>
    <row r="267" spans="1:32" x14ac:dyDescent="0.25">
      <c r="A267">
        <v>266</v>
      </c>
      <c r="B267" s="2">
        <v>1</v>
      </c>
      <c r="C267" s="2">
        <v>15</v>
      </c>
      <c r="D267" s="2">
        <v>2</v>
      </c>
      <c r="E267" s="2">
        <v>0</v>
      </c>
      <c r="F267" s="2">
        <v>0</v>
      </c>
      <c r="G267" s="2">
        <v>0</v>
      </c>
      <c r="H267" s="2">
        <v>1</v>
      </c>
      <c r="I267" s="2">
        <v>0</v>
      </c>
      <c r="J267" s="2">
        <v>0</v>
      </c>
      <c r="K267" s="2">
        <v>802</v>
      </c>
      <c r="L267" s="2">
        <v>0</v>
      </c>
      <c r="M267" s="2">
        <v>4</v>
      </c>
      <c r="N267" s="2">
        <v>4</v>
      </c>
      <c r="O267" s="2">
        <v>0</v>
      </c>
      <c r="P267" s="2">
        <v>1</v>
      </c>
      <c r="Q267" s="2">
        <v>0</v>
      </c>
      <c r="R267" s="2">
        <v>0</v>
      </c>
      <c r="S267" s="2">
        <v>0</v>
      </c>
      <c r="T267" s="2">
        <v>3</v>
      </c>
      <c r="U267" s="2">
        <v>0</v>
      </c>
      <c r="V267" s="2">
        <v>0</v>
      </c>
      <c r="W267" s="2">
        <v>37</v>
      </c>
      <c r="X267" s="2">
        <v>0</v>
      </c>
      <c r="Y267" s="2">
        <v>0</v>
      </c>
      <c r="Z267" s="2">
        <v>1</v>
      </c>
      <c r="AA267" s="2">
        <v>1</v>
      </c>
      <c r="AB267" s="2">
        <v>2</v>
      </c>
      <c r="AC267" s="2">
        <v>2</v>
      </c>
      <c r="AD267" s="2">
        <v>0</v>
      </c>
      <c r="AE267" s="2">
        <v>0</v>
      </c>
      <c r="AF267" s="2">
        <v>0</v>
      </c>
    </row>
    <row r="268" spans="1:32" x14ac:dyDescent="0.25">
      <c r="A268">
        <v>267</v>
      </c>
      <c r="B268" s="2">
        <v>3</v>
      </c>
      <c r="C268" s="2">
        <v>36</v>
      </c>
      <c r="D268" s="2">
        <v>4</v>
      </c>
      <c r="E268" s="2">
        <v>0</v>
      </c>
      <c r="F268" s="2">
        <v>0</v>
      </c>
      <c r="G268" s="2">
        <v>0</v>
      </c>
      <c r="H268" s="2">
        <v>0</v>
      </c>
      <c r="I268" s="2">
        <v>0</v>
      </c>
      <c r="J268" s="2">
        <v>1</v>
      </c>
      <c r="K268" s="2">
        <v>6304</v>
      </c>
      <c r="L268" s="2">
        <v>4</v>
      </c>
      <c r="M268" s="2">
        <v>4</v>
      </c>
      <c r="N268" s="2">
        <v>4</v>
      </c>
      <c r="O268" s="2">
        <v>0</v>
      </c>
      <c r="P268" s="2">
        <v>1</v>
      </c>
      <c r="Q268" s="2">
        <v>0</v>
      </c>
      <c r="R268" s="2">
        <v>0</v>
      </c>
      <c r="S268" s="2">
        <v>0</v>
      </c>
      <c r="T268" s="2">
        <v>4</v>
      </c>
      <c r="U268" s="2">
        <v>1</v>
      </c>
      <c r="V268" s="2">
        <v>0</v>
      </c>
      <c r="W268" s="2">
        <v>36</v>
      </c>
      <c r="X268" s="2">
        <v>0</v>
      </c>
      <c r="Y268" s="2">
        <v>0</v>
      </c>
      <c r="Z268" s="2">
        <v>1</v>
      </c>
      <c r="AA268" s="2">
        <v>2</v>
      </c>
      <c r="AB268" s="2">
        <v>2</v>
      </c>
      <c r="AC268" s="2">
        <v>1</v>
      </c>
      <c r="AD268" s="2">
        <v>0</v>
      </c>
      <c r="AE268" s="2">
        <v>0</v>
      </c>
      <c r="AF268" s="2">
        <v>1</v>
      </c>
    </row>
    <row r="269" spans="1:32" x14ac:dyDescent="0.25">
      <c r="A269">
        <v>268</v>
      </c>
      <c r="B269" s="2">
        <v>3</v>
      </c>
      <c r="C269" s="2">
        <v>24</v>
      </c>
      <c r="D269" s="2">
        <v>2</v>
      </c>
      <c r="E269" s="2">
        <v>0</v>
      </c>
      <c r="F269" s="2">
        <v>0</v>
      </c>
      <c r="G269" s="2">
        <v>0</v>
      </c>
      <c r="H269" s="2">
        <v>1</v>
      </c>
      <c r="I269" s="2">
        <v>0</v>
      </c>
      <c r="J269" s="2">
        <v>0</v>
      </c>
      <c r="K269" s="2">
        <v>1533</v>
      </c>
      <c r="L269" s="2">
        <v>0</v>
      </c>
      <c r="M269" s="2">
        <v>1</v>
      </c>
      <c r="N269" s="2">
        <v>4</v>
      </c>
      <c r="O269" s="2">
        <v>0</v>
      </c>
      <c r="P269" s="2">
        <v>0</v>
      </c>
      <c r="Q269" s="2">
        <v>0</v>
      </c>
      <c r="R269" s="2">
        <v>0</v>
      </c>
      <c r="S269" s="2">
        <v>0</v>
      </c>
      <c r="T269" s="2">
        <v>3</v>
      </c>
      <c r="U269" s="2">
        <v>0</v>
      </c>
      <c r="V269" s="2">
        <v>0</v>
      </c>
      <c r="W269" s="2">
        <v>38</v>
      </c>
      <c r="X269" s="2">
        <v>1</v>
      </c>
      <c r="Y269" s="2">
        <v>0</v>
      </c>
      <c r="Z269" s="2">
        <v>1</v>
      </c>
      <c r="AA269" s="2">
        <v>1</v>
      </c>
      <c r="AB269" s="2">
        <v>2</v>
      </c>
      <c r="AC269" s="2">
        <v>1</v>
      </c>
      <c r="AD269" s="2">
        <v>1</v>
      </c>
      <c r="AE269" s="2">
        <v>0</v>
      </c>
      <c r="AF269" s="2">
        <v>1</v>
      </c>
    </row>
    <row r="270" spans="1:32" x14ac:dyDescent="0.25">
      <c r="A270">
        <v>269</v>
      </c>
      <c r="B270" s="2">
        <v>0</v>
      </c>
      <c r="C270" s="2">
        <v>14</v>
      </c>
      <c r="D270" s="2">
        <v>2</v>
      </c>
      <c r="E270" s="2">
        <v>1</v>
      </c>
      <c r="F270" s="2">
        <v>0</v>
      </c>
      <c r="G270" s="2">
        <v>0</v>
      </c>
      <c r="H270" s="2">
        <v>0</v>
      </c>
      <c r="I270" s="2">
        <v>0</v>
      </c>
      <c r="J270" s="2">
        <v>0</v>
      </c>
      <c r="K270" s="2">
        <v>8978</v>
      </c>
      <c r="L270" s="2">
        <v>0</v>
      </c>
      <c r="M270" s="2">
        <v>4</v>
      </c>
      <c r="N270" s="2">
        <v>1</v>
      </c>
      <c r="O270" s="2">
        <v>1</v>
      </c>
      <c r="P270" s="2">
        <v>0</v>
      </c>
      <c r="Q270" s="2">
        <v>0</v>
      </c>
      <c r="R270" s="2">
        <v>0</v>
      </c>
      <c r="S270" s="2">
        <v>0</v>
      </c>
      <c r="T270" s="2">
        <v>4</v>
      </c>
      <c r="U270" s="2">
        <v>0</v>
      </c>
      <c r="V270" s="2">
        <v>0</v>
      </c>
      <c r="W270" s="2">
        <v>45</v>
      </c>
      <c r="X270" s="2">
        <v>0</v>
      </c>
      <c r="Y270" s="2">
        <v>0</v>
      </c>
      <c r="Z270" s="2">
        <v>1</v>
      </c>
      <c r="AA270" s="2">
        <v>1</v>
      </c>
      <c r="AB270" s="2">
        <v>3</v>
      </c>
      <c r="AC270" s="2">
        <v>1</v>
      </c>
      <c r="AD270" s="2">
        <v>1</v>
      </c>
      <c r="AE270" s="2">
        <v>1</v>
      </c>
      <c r="AF270" s="2">
        <v>0</v>
      </c>
    </row>
    <row r="271" spans="1:32" x14ac:dyDescent="0.25">
      <c r="A271">
        <v>270</v>
      </c>
      <c r="B271" s="2">
        <v>3</v>
      </c>
      <c r="C271" s="2">
        <v>24</v>
      </c>
      <c r="D271" s="2">
        <v>2</v>
      </c>
      <c r="E271" s="2">
        <v>0</v>
      </c>
      <c r="F271" s="2">
        <v>0</v>
      </c>
      <c r="G271" s="2">
        <v>0</v>
      </c>
      <c r="H271" s="2">
        <v>1</v>
      </c>
      <c r="I271" s="2">
        <v>0</v>
      </c>
      <c r="J271" s="2">
        <v>0</v>
      </c>
      <c r="K271" s="2">
        <v>999</v>
      </c>
      <c r="L271" s="2">
        <v>4</v>
      </c>
      <c r="M271" s="2">
        <v>4</v>
      </c>
      <c r="N271" s="2">
        <v>4</v>
      </c>
      <c r="O271" s="2">
        <v>0</v>
      </c>
      <c r="P271" s="2">
        <v>1</v>
      </c>
      <c r="Q271" s="2">
        <v>0</v>
      </c>
      <c r="R271" s="2">
        <v>0</v>
      </c>
      <c r="S271" s="2">
        <v>0</v>
      </c>
      <c r="T271" s="2">
        <v>2</v>
      </c>
      <c r="U271" s="2">
        <v>0</v>
      </c>
      <c r="V271" s="2">
        <v>0</v>
      </c>
      <c r="W271" s="2">
        <v>25</v>
      </c>
      <c r="X271" s="2">
        <v>0</v>
      </c>
      <c r="Y271" s="2">
        <v>0</v>
      </c>
      <c r="Z271" s="2">
        <v>1</v>
      </c>
      <c r="AA271" s="2">
        <v>2</v>
      </c>
      <c r="AB271" s="2">
        <v>2</v>
      </c>
      <c r="AC271" s="2">
        <v>1</v>
      </c>
      <c r="AD271" s="2">
        <v>0</v>
      </c>
      <c r="AE271" s="2">
        <v>0</v>
      </c>
      <c r="AF271" s="2">
        <v>1</v>
      </c>
    </row>
    <row r="272" spans="1:32" x14ac:dyDescent="0.25">
      <c r="A272">
        <v>271</v>
      </c>
      <c r="B272" s="2">
        <v>3</v>
      </c>
      <c r="C272" s="2">
        <v>18</v>
      </c>
      <c r="D272" s="2">
        <v>2</v>
      </c>
      <c r="E272" s="2">
        <v>1</v>
      </c>
      <c r="F272" s="2">
        <v>0</v>
      </c>
      <c r="G272" s="2">
        <v>0</v>
      </c>
      <c r="H272" s="2">
        <v>0</v>
      </c>
      <c r="I272" s="2">
        <v>0</v>
      </c>
      <c r="J272" s="2">
        <v>0</v>
      </c>
      <c r="K272" s="2">
        <v>2662</v>
      </c>
      <c r="L272" s="2">
        <v>4</v>
      </c>
      <c r="M272" s="2">
        <v>3</v>
      </c>
      <c r="N272" s="2">
        <v>4</v>
      </c>
      <c r="O272" s="2">
        <v>0</v>
      </c>
      <c r="P272" s="2">
        <v>1</v>
      </c>
      <c r="Q272" s="2">
        <v>0</v>
      </c>
      <c r="R272" s="2">
        <v>0</v>
      </c>
      <c r="S272" s="2">
        <v>0</v>
      </c>
      <c r="T272" s="2">
        <v>3</v>
      </c>
      <c r="U272" s="2">
        <v>0</v>
      </c>
      <c r="V272" s="2">
        <v>0</v>
      </c>
      <c r="W272" s="2">
        <v>32</v>
      </c>
      <c r="X272" s="2">
        <v>0</v>
      </c>
      <c r="Y272" s="2">
        <v>0</v>
      </c>
      <c r="Z272" s="2">
        <v>1</v>
      </c>
      <c r="AA272" s="2">
        <v>1</v>
      </c>
      <c r="AB272" s="2">
        <v>2</v>
      </c>
      <c r="AC272" s="2">
        <v>1</v>
      </c>
      <c r="AD272" s="2">
        <v>0</v>
      </c>
      <c r="AE272" s="2">
        <v>1</v>
      </c>
      <c r="AF272" s="2">
        <v>1</v>
      </c>
    </row>
    <row r="273" spans="1:32" x14ac:dyDescent="0.25">
      <c r="A273">
        <v>272</v>
      </c>
      <c r="B273" s="2">
        <v>3</v>
      </c>
      <c r="C273" s="2">
        <v>12</v>
      </c>
      <c r="D273" s="2">
        <v>4</v>
      </c>
      <c r="E273" s="2">
        <v>0</v>
      </c>
      <c r="F273" s="2">
        <v>0</v>
      </c>
      <c r="G273" s="2">
        <v>1</v>
      </c>
      <c r="H273" s="2">
        <v>0</v>
      </c>
      <c r="I273" s="2">
        <v>0</v>
      </c>
      <c r="J273" s="2">
        <v>0</v>
      </c>
      <c r="K273" s="2">
        <v>1402</v>
      </c>
      <c r="L273" s="2">
        <v>2</v>
      </c>
      <c r="M273" s="2">
        <v>3</v>
      </c>
      <c r="N273" s="2">
        <v>3</v>
      </c>
      <c r="O273" s="2">
        <v>0</v>
      </c>
      <c r="P273" s="2">
        <v>0</v>
      </c>
      <c r="Q273" s="2">
        <v>0</v>
      </c>
      <c r="R273" s="2">
        <v>0</v>
      </c>
      <c r="S273" s="2">
        <v>0</v>
      </c>
      <c r="T273" s="2">
        <v>4</v>
      </c>
      <c r="U273" s="2">
        <v>0</v>
      </c>
      <c r="V273" s="2">
        <v>0</v>
      </c>
      <c r="W273" s="2">
        <v>37</v>
      </c>
      <c r="X273" s="2">
        <v>0</v>
      </c>
      <c r="Y273" s="2">
        <v>1</v>
      </c>
      <c r="Z273" s="2">
        <v>0</v>
      </c>
      <c r="AA273" s="2">
        <v>1</v>
      </c>
      <c r="AB273" s="2">
        <v>2</v>
      </c>
      <c r="AC273" s="2">
        <v>1</v>
      </c>
      <c r="AD273" s="2">
        <v>1</v>
      </c>
      <c r="AE273" s="2">
        <v>0</v>
      </c>
      <c r="AF273" s="2">
        <v>1</v>
      </c>
    </row>
    <row r="274" spans="1:32" x14ac:dyDescent="0.25">
      <c r="A274">
        <v>273</v>
      </c>
      <c r="B274" s="2">
        <v>1</v>
      </c>
      <c r="C274" s="2">
        <v>48</v>
      </c>
      <c r="D274" s="2">
        <v>1</v>
      </c>
      <c r="E274" s="2">
        <v>1</v>
      </c>
      <c r="F274" s="2">
        <v>0</v>
      </c>
      <c r="G274" s="2">
        <v>0</v>
      </c>
      <c r="H274" s="2">
        <v>0</v>
      </c>
      <c r="I274" s="2">
        <v>0</v>
      </c>
      <c r="J274" s="2">
        <v>0</v>
      </c>
      <c r="K274" s="2">
        <v>12169</v>
      </c>
      <c r="L274" s="2">
        <v>4</v>
      </c>
      <c r="M274" s="2">
        <v>0</v>
      </c>
      <c r="N274" s="2">
        <v>4</v>
      </c>
      <c r="O274" s="2">
        <v>0</v>
      </c>
      <c r="P274" s="2">
        <v>1</v>
      </c>
      <c r="Q274" s="2">
        <v>0</v>
      </c>
      <c r="R274" s="2">
        <v>1</v>
      </c>
      <c r="S274" s="2">
        <v>0</v>
      </c>
      <c r="T274" s="2">
        <v>4</v>
      </c>
      <c r="U274" s="2">
        <v>0</v>
      </c>
      <c r="V274" s="2">
        <v>1</v>
      </c>
      <c r="W274" s="2">
        <v>36</v>
      </c>
      <c r="X274" s="2">
        <v>0</v>
      </c>
      <c r="Y274" s="2">
        <v>0</v>
      </c>
      <c r="Z274" s="2">
        <v>0</v>
      </c>
      <c r="AA274" s="2">
        <v>1</v>
      </c>
      <c r="AB274" s="2">
        <v>3</v>
      </c>
      <c r="AC274" s="2">
        <v>1</v>
      </c>
      <c r="AD274" s="2">
        <v>1</v>
      </c>
      <c r="AE274" s="2">
        <v>0</v>
      </c>
      <c r="AF274" s="2">
        <v>1</v>
      </c>
    </row>
    <row r="275" spans="1:32" x14ac:dyDescent="0.25">
      <c r="A275">
        <v>274</v>
      </c>
      <c r="B275" s="2">
        <v>1</v>
      </c>
      <c r="C275" s="2">
        <v>48</v>
      </c>
      <c r="D275" s="2">
        <v>2</v>
      </c>
      <c r="E275" s="2">
        <v>0</v>
      </c>
      <c r="F275" s="2">
        <v>0</v>
      </c>
      <c r="G275" s="2">
        <v>0</v>
      </c>
      <c r="H275" s="2">
        <v>1</v>
      </c>
      <c r="I275" s="2">
        <v>0</v>
      </c>
      <c r="J275" s="2">
        <v>0</v>
      </c>
      <c r="K275" s="2">
        <v>3060</v>
      </c>
      <c r="L275" s="2">
        <v>0</v>
      </c>
      <c r="M275" s="2">
        <v>3</v>
      </c>
      <c r="N275" s="2">
        <v>4</v>
      </c>
      <c r="O275" s="2">
        <v>0</v>
      </c>
      <c r="P275" s="2">
        <v>1</v>
      </c>
      <c r="Q275" s="2">
        <v>0</v>
      </c>
      <c r="R275" s="2">
        <v>0</v>
      </c>
      <c r="S275" s="2">
        <v>0</v>
      </c>
      <c r="T275" s="2">
        <v>4</v>
      </c>
      <c r="U275" s="2">
        <v>1</v>
      </c>
      <c r="V275" s="2">
        <v>0</v>
      </c>
      <c r="W275" s="2">
        <v>28</v>
      </c>
      <c r="X275" s="2">
        <v>0</v>
      </c>
      <c r="Y275" s="2">
        <v>0</v>
      </c>
      <c r="Z275" s="2">
        <v>1</v>
      </c>
      <c r="AA275" s="2">
        <v>2</v>
      </c>
      <c r="AB275" s="2">
        <v>2</v>
      </c>
      <c r="AC275" s="2">
        <v>1</v>
      </c>
      <c r="AD275" s="2">
        <v>0</v>
      </c>
      <c r="AE275" s="2">
        <v>0</v>
      </c>
      <c r="AF275" s="2">
        <v>0</v>
      </c>
    </row>
    <row r="276" spans="1:32" x14ac:dyDescent="0.25">
      <c r="A276">
        <v>275</v>
      </c>
      <c r="B276" s="2">
        <v>0</v>
      </c>
      <c r="C276" s="2">
        <v>30</v>
      </c>
      <c r="D276" s="2">
        <v>2</v>
      </c>
      <c r="E276" s="2">
        <v>0</v>
      </c>
      <c r="F276" s="2">
        <v>0</v>
      </c>
      <c r="G276" s="2">
        <v>0</v>
      </c>
      <c r="H276" s="2">
        <v>0</v>
      </c>
      <c r="I276" s="2">
        <v>0</v>
      </c>
      <c r="J276" s="2">
        <v>0</v>
      </c>
      <c r="K276" s="2">
        <v>11998</v>
      </c>
      <c r="L276" s="2">
        <v>0</v>
      </c>
      <c r="M276" s="2">
        <v>1</v>
      </c>
      <c r="N276" s="2">
        <v>1</v>
      </c>
      <c r="O276" s="2">
        <v>1</v>
      </c>
      <c r="P276" s="2">
        <v>0</v>
      </c>
      <c r="Q276" s="2">
        <v>0</v>
      </c>
      <c r="R276" s="2">
        <v>0</v>
      </c>
      <c r="S276" s="2">
        <v>0</v>
      </c>
      <c r="T276" s="2">
        <v>1</v>
      </c>
      <c r="U276" s="2">
        <v>0</v>
      </c>
      <c r="V276" s="2">
        <v>1</v>
      </c>
      <c r="W276" s="2">
        <v>34</v>
      </c>
      <c r="X276" s="2">
        <v>0</v>
      </c>
      <c r="Y276" s="2">
        <v>0</v>
      </c>
      <c r="Z276" s="2">
        <v>1</v>
      </c>
      <c r="AA276" s="2">
        <v>1</v>
      </c>
      <c r="AB276" s="2">
        <v>1</v>
      </c>
      <c r="AC276" s="2">
        <v>1</v>
      </c>
      <c r="AD276" s="2">
        <v>1</v>
      </c>
      <c r="AE276" s="2">
        <v>0</v>
      </c>
      <c r="AF276" s="2">
        <v>0</v>
      </c>
    </row>
    <row r="277" spans="1:32" x14ac:dyDescent="0.25">
      <c r="A277">
        <v>276</v>
      </c>
      <c r="B277" s="2">
        <v>3</v>
      </c>
      <c r="C277" s="2">
        <v>9</v>
      </c>
      <c r="D277" s="2">
        <v>2</v>
      </c>
      <c r="E277" s="2">
        <v>0</v>
      </c>
      <c r="F277" s="2">
        <v>0</v>
      </c>
      <c r="G277" s="2">
        <v>0</v>
      </c>
      <c r="H277" s="2">
        <v>1</v>
      </c>
      <c r="I277" s="2">
        <v>0</v>
      </c>
      <c r="J277" s="2">
        <v>0</v>
      </c>
      <c r="K277" s="2">
        <v>2697</v>
      </c>
      <c r="L277" s="2">
        <v>0</v>
      </c>
      <c r="M277" s="2">
        <v>2</v>
      </c>
      <c r="N277" s="2">
        <v>1</v>
      </c>
      <c r="O277" s="2">
        <v>0</v>
      </c>
      <c r="P277" s="2">
        <v>1</v>
      </c>
      <c r="Q277" s="2">
        <v>0</v>
      </c>
      <c r="R277" s="2">
        <v>0</v>
      </c>
      <c r="S277" s="2">
        <v>0</v>
      </c>
      <c r="T277" s="2">
        <v>2</v>
      </c>
      <c r="U277" s="2">
        <v>1</v>
      </c>
      <c r="V277" s="2">
        <v>0</v>
      </c>
      <c r="W277" s="2">
        <v>32</v>
      </c>
      <c r="X277" s="2">
        <v>0</v>
      </c>
      <c r="Y277" s="2">
        <v>0</v>
      </c>
      <c r="Z277" s="2">
        <v>1</v>
      </c>
      <c r="AA277" s="2">
        <v>1</v>
      </c>
      <c r="AB277" s="2">
        <v>2</v>
      </c>
      <c r="AC277" s="2">
        <v>2</v>
      </c>
      <c r="AD277" s="2">
        <v>0</v>
      </c>
      <c r="AE277" s="2">
        <v>0</v>
      </c>
      <c r="AF277" s="2">
        <v>1</v>
      </c>
    </row>
    <row r="278" spans="1:32" x14ac:dyDescent="0.25">
      <c r="A278">
        <v>277</v>
      </c>
      <c r="B278" s="2">
        <v>3</v>
      </c>
      <c r="C278" s="2">
        <v>18</v>
      </c>
      <c r="D278" s="2">
        <v>4</v>
      </c>
      <c r="E278" s="2">
        <v>0</v>
      </c>
      <c r="F278" s="2">
        <v>0</v>
      </c>
      <c r="G278" s="2">
        <v>0</v>
      </c>
      <c r="H278" s="2">
        <v>1</v>
      </c>
      <c r="I278" s="2">
        <v>0</v>
      </c>
      <c r="J278" s="2">
        <v>0</v>
      </c>
      <c r="K278" s="2">
        <v>2404</v>
      </c>
      <c r="L278" s="2">
        <v>0</v>
      </c>
      <c r="M278" s="2">
        <v>2</v>
      </c>
      <c r="N278" s="2">
        <v>2</v>
      </c>
      <c r="O278" s="2">
        <v>0</v>
      </c>
      <c r="P278" s="2">
        <v>0</v>
      </c>
      <c r="Q278" s="2">
        <v>0</v>
      </c>
      <c r="R278" s="2">
        <v>0</v>
      </c>
      <c r="S278" s="2">
        <v>0</v>
      </c>
      <c r="T278" s="2">
        <v>2</v>
      </c>
      <c r="U278" s="2">
        <v>0</v>
      </c>
      <c r="V278" s="2">
        <v>0</v>
      </c>
      <c r="W278" s="2">
        <v>26</v>
      </c>
      <c r="X278" s="2">
        <v>0</v>
      </c>
      <c r="Y278" s="2">
        <v>0</v>
      </c>
      <c r="Z278" s="2">
        <v>1</v>
      </c>
      <c r="AA278" s="2">
        <v>2</v>
      </c>
      <c r="AB278" s="2">
        <v>2</v>
      </c>
      <c r="AC278" s="2">
        <v>1</v>
      </c>
      <c r="AD278" s="2">
        <v>0</v>
      </c>
      <c r="AE278" s="2">
        <v>0</v>
      </c>
      <c r="AF278" s="2">
        <v>1</v>
      </c>
    </row>
    <row r="279" spans="1:32" x14ac:dyDescent="0.25">
      <c r="A279">
        <v>278</v>
      </c>
      <c r="B279" s="2">
        <v>0</v>
      </c>
      <c r="C279" s="2">
        <v>12</v>
      </c>
      <c r="D279" s="2">
        <v>2</v>
      </c>
      <c r="E279" s="2">
        <v>0</v>
      </c>
      <c r="F279" s="2">
        <v>0</v>
      </c>
      <c r="G279" s="2">
        <v>1</v>
      </c>
      <c r="H279" s="2">
        <v>0</v>
      </c>
      <c r="I279" s="2">
        <v>0</v>
      </c>
      <c r="J279" s="2">
        <v>0</v>
      </c>
      <c r="K279" s="2">
        <v>1262</v>
      </c>
      <c r="L279" s="2">
        <v>4</v>
      </c>
      <c r="M279" s="2">
        <v>4</v>
      </c>
      <c r="N279" s="2">
        <v>2</v>
      </c>
      <c r="O279" s="2">
        <v>1</v>
      </c>
      <c r="P279" s="2">
        <v>0</v>
      </c>
      <c r="Q279" s="2">
        <v>0</v>
      </c>
      <c r="R279" s="2">
        <v>0</v>
      </c>
      <c r="S279" s="2">
        <v>0</v>
      </c>
      <c r="T279" s="2">
        <v>4</v>
      </c>
      <c r="U279" s="2">
        <v>0</v>
      </c>
      <c r="V279" s="2">
        <v>0</v>
      </c>
      <c r="W279" s="2">
        <v>49</v>
      </c>
      <c r="X279" s="2">
        <v>0</v>
      </c>
      <c r="Y279" s="2">
        <v>0</v>
      </c>
      <c r="Z279" s="2">
        <v>1</v>
      </c>
      <c r="AA279" s="2">
        <v>1</v>
      </c>
      <c r="AB279" s="2">
        <v>1</v>
      </c>
      <c r="AC279" s="2">
        <v>1</v>
      </c>
      <c r="AD279" s="2">
        <v>1</v>
      </c>
      <c r="AE279" s="2">
        <v>0</v>
      </c>
      <c r="AF279" s="2">
        <v>1</v>
      </c>
    </row>
    <row r="280" spans="1:32" x14ac:dyDescent="0.25">
      <c r="A280">
        <v>279</v>
      </c>
      <c r="B280" s="2">
        <v>3</v>
      </c>
      <c r="C280" s="2">
        <v>6</v>
      </c>
      <c r="D280" s="2">
        <v>2</v>
      </c>
      <c r="E280" s="2">
        <v>0</v>
      </c>
      <c r="F280" s="2">
        <v>0</v>
      </c>
      <c r="G280" s="2">
        <v>1</v>
      </c>
      <c r="H280" s="2">
        <v>0</v>
      </c>
      <c r="I280" s="2">
        <v>0</v>
      </c>
      <c r="J280" s="2">
        <v>0</v>
      </c>
      <c r="K280" s="2">
        <v>4611</v>
      </c>
      <c r="L280" s="2">
        <v>0</v>
      </c>
      <c r="M280" s="2">
        <v>1</v>
      </c>
      <c r="N280" s="2">
        <v>1</v>
      </c>
      <c r="O280" s="2">
        <v>0</v>
      </c>
      <c r="P280" s="2">
        <v>0</v>
      </c>
      <c r="Q280" s="2">
        <v>0</v>
      </c>
      <c r="R280" s="2">
        <v>0</v>
      </c>
      <c r="S280" s="2">
        <v>0</v>
      </c>
      <c r="T280" s="2">
        <v>4</v>
      </c>
      <c r="U280" s="2">
        <v>0</v>
      </c>
      <c r="V280" s="2">
        <v>0</v>
      </c>
      <c r="W280" s="2">
        <v>32</v>
      </c>
      <c r="X280" s="2">
        <v>0</v>
      </c>
      <c r="Y280" s="2">
        <v>0</v>
      </c>
      <c r="Z280" s="2">
        <v>1</v>
      </c>
      <c r="AA280" s="2">
        <v>1</v>
      </c>
      <c r="AB280" s="2">
        <v>2</v>
      </c>
      <c r="AC280" s="2">
        <v>1</v>
      </c>
      <c r="AD280" s="2">
        <v>0</v>
      </c>
      <c r="AE280" s="2">
        <v>0</v>
      </c>
      <c r="AF280" s="2">
        <v>0</v>
      </c>
    </row>
    <row r="281" spans="1:32" x14ac:dyDescent="0.25">
      <c r="A281">
        <v>280</v>
      </c>
      <c r="B281" s="2">
        <v>3</v>
      </c>
      <c r="C281" s="2">
        <v>24</v>
      </c>
      <c r="D281" s="2">
        <v>2</v>
      </c>
      <c r="E281" s="2">
        <v>0</v>
      </c>
      <c r="F281" s="2">
        <v>0</v>
      </c>
      <c r="G281" s="2">
        <v>0</v>
      </c>
      <c r="H281" s="2">
        <v>1</v>
      </c>
      <c r="I281" s="2">
        <v>0</v>
      </c>
      <c r="J281" s="2">
        <v>0</v>
      </c>
      <c r="K281" s="2">
        <v>1901</v>
      </c>
      <c r="L281" s="2">
        <v>1</v>
      </c>
      <c r="M281" s="2">
        <v>2</v>
      </c>
      <c r="N281" s="2">
        <v>4</v>
      </c>
      <c r="O281" s="2">
        <v>0</v>
      </c>
      <c r="P281" s="2">
        <v>1</v>
      </c>
      <c r="Q281" s="2">
        <v>0</v>
      </c>
      <c r="R281" s="2">
        <v>0</v>
      </c>
      <c r="S281" s="2">
        <v>0</v>
      </c>
      <c r="T281" s="2">
        <v>4</v>
      </c>
      <c r="U281" s="2">
        <v>0</v>
      </c>
      <c r="V281" s="2">
        <v>0</v>
      </c>
      <c r="W281" s="2">
        <v>29</v>
      </c>
      <c r="X281" s="2">
        <v>0</v>
      </c>
      <c r="Y281" s="2">
        <v>1</v>
      </c>
      <c r="Z281" s="2">
        <v>0</v>
      </c>
      <c r="AA281" s="2">
        <v>1</v>
      </c>
      <c r="AB281" s="2">
        <v>3</v>
      </c>
      <c r="AC281" s="2">
        <v>1</v>
      </c>
      <c r="AD281" s="2">
        <v>1</v>
      </c>
      <c r="AE281" s="2">
        <v>0</v>
      </c>
      <c r="AF281" s="2">
        <v>1</v>
      </c>
    </row>
    <row r="282" spans="1:32" x14ac:dyDescent="0.25">
      <c r="A282">
        <v>281</v>
      </c>
      <c r="B282" s="2">
        <v>3</v>
      </c>
      <c r="C282" s="2">
        <v>15</v>
      </c>
      <c r="D282" s="2">
        <v>4</v>
      </c>
      <c r="E282" s="2">
        <v>0</v>
      </c>
      <c r="F282" s="2">
        <v>1</v>
      </c>
      <c r="G282" s="2">
        <v>0</v>
      </c>
      <c r="H282" s="2">
        <v>0</v>
      </c>
      <c r="I282" s="2">
        <v>0</v>
      </c>
      <c r="J282" s="2">
        <v>0</v>
      </c>
      <c r="K282" s="2">
        <v>3368</v>
      </c>
      <c r="L282" s="2">
        <v>3</v>
      </c>
      <c r="M282" s="2">
        <v>4</v>
      </c>
      <c r="N282" s="2">
        <v>3</v>
      </c>
      <c r="O282" s="2">
        <v>0</v>
      </c>
      <c r="P282" s="2">
        <v>1</v>
      </c>
      <c r="Q282" s="2">
        <v>0</v>
      </c>
      <c r="R282" s="2">
        <v>0</v>
      </c>
      <c r="S282" s="2">
        <v>0</v>
      </c>
      <c r="T282" s="2">
        <v>4</v>
      </c>
      <c r="U282" s="2">
        <v>0</v>
      </c>
      <c r="V282" s="2">
        <v>1</v>
      </c>
      <c r="W282" s="2">
        <v>23</v>
      </c>
      <c r="X282" s="2">
        <v>0</v>
      </c>
      <c r="Y282" s="2">
        <v>1</v>
      </c>
      <c r="Z282" s="2">
        <v>0</v>
      </c>
      <c r="AA282" s="2">
        <v>2</v>
      </c>
      <c r="AB282" s="2">
        <v>2</v>
      </c>
      <c r="AC282" s="2">
        <v>1</v>
      </c>
      <c r="AD282" s="2">
        <v>1</v>
      </c>
      <c r="AE282" s="2">
        <v>0</v>
      </c>
      <c r="AF282" s="2">
        <v>1</v>
      </c>
    </row>
    <row r="283" spans="1:32" x14ac:dyDescent="0.25">
      <c r="A283">
        <v>282</v>
      </c>
      <c r="B283" s="2">
        <v>3</v>
      </c>
      <c r="C283" s="2">
        <v>12</v>
      </c>
      <c r="D283" s="2">
        <v>2</v>
      </c>
      <c r="E283" s="2">
        <v>0</v>
      </c>
      <c r="F283" s="2">
        <v>0</v>
      </c>
      <c r="G283" s="2">
        <v>1</v>
      </c>
      <c r="H283" s="2">
        <v>0</v>
      </c>
      <c r="I283" s="2">
        <v>0</v>
      </c>
      <c r="J283" s="2">
        <v>0</v>
      </c>
      <c r="K283" s="2">
        <v>1574</v>
      </c>
      <c r="L283" s="2">
        <v>0</v>
      </c>
      <c r="M283" s="2">
        <v>2</v>
      </c>
      <c r="N283" s="2">
        <v>4</v>
      </c>
      <c r="O283" s="2">
        <v>0</v>
      </c>
      <c r="P283" s="2">
        <v>1</v>
      </c>
      <c r="Q283" s="2">
        <v>0</v>
      </c>
      <c r="R283" s="2">
        <v>0</v>
      </c>
      <c r="S283" s="2">
        <v>0</v>
      </c>
      <c r="T283" s="2">
        <v>2</v>
      </c>
      <c r="U283" s="2">
        <v>1</v>
      </c>
      <c r="V283" s="2">
        <v>0</v>
      </c>
      <c r="W283" s="2">
        <v>50</v>
      </c>
      <c r="X283" s="2">
        <v>0</v>
      </c>
      <c r="Y283" s="2">
        <v>0</v>
      </c>
      <c r="Z283" s="2">
        <v>1</v>
      </c>
      <c r="AA283" s="2">
        <v>1</v>
      </c>
      <c r="AB283" s="2">
        <v>2</v>
      </c>
      <c r="AC283" s="2">
        <v>1</v>
      </c>
      <c r="AD283" s="2">
        <v>0</v>
      </c>
      <c r="AE283" s="2">
        <v>0</v>
      </c>
      <c r="AF283" s="2">
        <v>1</v>
      </c>
    </row>
    <row r="284" spans="1:32" x14ac:dyDescent="0.25">
      <c r="A284">
        <v>283</v>
      </c>
      <c r="B284" s="2">
        <v>2</v>
      </c>
      <c r="C284" s="2">
        <v>18</v>
      </c>
      <c r="D284" s="2">
        <v>1</v>
      </c>
      <c r="E284" s="2">
        <v>0</v>
      </c>
      <c r="F284" s="2">
        <v>0</v>
      </c>
      <c r="G284" s="2">
        <v>0</v>
      </c>
      <c r="H284" s="2">
        <v>1</v>
      </c>
      <c r="I284" s="2">
        <v>0</v>
      </c>
      <c r="J284" s="2">
        <v>0</v>
      </c>
      <c r="K284" s="2">
        <v>1445</v>
      </c>
      <c r="L284" s="2">
        <v>4</v>
      </c>
      <c r="M284" s="2">
        <v>3</v>
      </c>
      <c r="N284" s="2">
        <v>4</v>
      </c>
      <c r="O284" s="2">
        <v>0</v>
      </c>
      <c r="P284" s="2">
        <v>1</v>
      </c>
      <c r="Q284" s="2">
        <v>0</v>
      </c>
      <c r="R284" s="2">
        <v>0</v>
      </c>
      <c r="S284" s="2">
        <v>0</v>
      </c>
      <c r="T284" s="2">
        <v>4</v>
      </c>
      <c r="U284" s="2">
        <v>0</v>
      </c>
      <c r="V284" s="2">
        <v>0</v>
      </c>
      <c r="W284" s="2">
        <v>49</v>
      </c>
      <c r="X284" s="2">
        <v>1</v>
      </c>
      <c r="Y284" s="2">
        <v>0</v>
      </c>
      <c r="Z284" s="2">
        <v>1</v>
      </c>
      <c r="AA284" s="2">
        <v>1</v>
      </c>
      <c r="AB284" s="2">
        <v>1</v>
      </c>
      <c r="AC284" s="2">
        <v>1</v>
      </c>
      <c r="AD284" s="2">
        <v>0</v>
      </c>
      <c r="AE284" s="2">
        <v>0</v>
      </c>
      <c r="AF284" s="2">
        <v>1</v>
      </c>
    </row>
    <row r="285" spans="1:32" x14ac:dyDescent="0.25">
      <c r="A285">
        <v>284</v>
      </c>
      <c r="B285" s="2">
        <v>3</v>
      </c>
      <c r="C285" s="2">
        <v>15</v>
      </c>
      <c r="D285" s="2">
        <v>4</v>
      </c>
      <c r="E285" s="2">
        <v>0</v>
      </c>
      <c r="F285" s="2">
        <v>0</v>
      </c>
      <c r="G285" s="2">
        <v>1</v>
      </c>
      <c r="H285" s="2">
        <v>0</v>
      </c>
      <c r="I285" s="2">
        <v>0</v>
      </c>
      <c r="J285" s="2">
        <v>0</v>
      </c>
      <c r="K285" s="2">
        <v>1520</v>
      </c>
      <c r="L285" s="2">
        <v>4</v>
      </c>
      <c r="M285" s="2">
        <v>4</v>
      </c>
      <c r="N285" s="2">
        <v>4</v>
      </c>
      <c r="O285" s="2">
        <v>0</v>
      </c>
      <c r="P285" s="2">
        <v>1</v>
      </c>
      <c r="Q285" s="2">
        <v>0</v>
      </c>
      <c r="R285" s="2">
        <v>0</v>
      </c>
      <c r="S285" s="2">
        <v>0</v>
      </c>
      <c r="T285" s="2">
        <v>4</v>
      </c>
      <c r="U285" s="2">
        <v>0</v>
      </c>
      <c r="V285" s="2">
        <v>0</v>
      </c>
      <c r="W285" s="2">
        <v>63</v>
      </c>
      <c r="X285" s="2">
        <v>0</v>
      </c>
      <c r="Y285" s="2">
        <v>0</v>
      </c>
      <c r="Z285" s="2">
        <v>1</v>
      </c>
      <c r="AA285" s="2">
        <v>1</v>
      </c>
      <c r="AB285" s="2">
        <v>2</v>
      </c>
      <c r="AC285" s="2">
        <v>1</v>
      </c>
      <c r="AD285" s="2">
        <v>0</v>
      </c>
      <c r="AE285" s="2">
        <v>0</v>
      </c>
      <c r="AF285" s="2">
        <v>1</v>
      </c>
    </row>
    <row r="286" spans="1:32" x14ac:dyDescent="0.25">
      <c r="A286">
        <v>285</v>
      </c>
      <c r="B286" s="2">
        <v>1</v>
      </c>
      <c r="C286" s="2">
        <v>24</v>
      </c>
      <c r="D286" s="2">
        <v>4</v>
      </c>
      <c r="E286" s="2">
        <v>1</v>
      </c>
      <c r="F286" s="2">
        <v>0</v>
      </c>
      <c r="G286" s="2">
        <v>0</v>
      </c>
      <c r="H286" s="2">
        <v>0</v>
      </c>
      <c r="I286" s="2">
        <v>0</v>
      </c>
      <c r="J286" s="2">
        <v>0</v>
      </c>
      <c r="K286" s="2">
        <v>3878</v>
      </c>
      <c r="L286" s="2">
        <v>1</v>
      </c>
      <c r="M286" s="2">
        <v>1</v>
      </c>
      <c r="N286" s="2">
        <v>4</v>
      </c>
      <c r="O286" s="2">
        <v>1</v>
      </c>
      <c r="P286" s="2">
        <v>0</v>
      </c>
      <c r="Q286" s="2">
        <v>0</v>
      </c>
      <c r="R286" s="2">
        <v>0</v>
      </c>
      <c r="S286" s="2">
        <v>0</v>
      </c>
      <c r="T286" s="2">
        <v>2</v>
      </c>
      <c r="U286" s="2">
        <v>0</v>
      </c>
      <c r="V286" s="2">
        <v>0</v>
      </c>
      <c r="W286" s="2">
        <v>37</v>
      </c>
      <c r="X286" s="2">
        <v>0</v>
      </c>
      <c r="Y286" s="2">
        <v>0</v>
      </c>
      <c r="Z286" s="2">
        <v>1</v>
      </c>
      <c r="AA286" s="2">
        <v>1</v>
      </c>
      <c r="AB286" s="2">
        <v>2</v>
      </c>
      <c r="AC286" s="2">
        <v>1</v>
      </c>
      <c r="AD286" s="2">
        <v>1</v>
      </c>
      <c r="AE286" s="2">
        <v>0</v>
      </c>
      <c r="AF286" s="2">
        <v>1</v>
      </c>
    </row>
    <row r="287" spans="1:32" x14ac:dyDescent="0.25">
      <c r="A287">
        <v>286</v>
      </c>
      <c r="B287" s="2">
        <v>0</v>
      </c>
      <c r="C287" s="2">
        <v>47</v>
      </c>
      <c r="D287" s="2">
        <v>2</v>
      </c>
      <c r="E287" s="2">
        <v>1</v>
      </c>
      <c r="F287" s="2">
        <v>0</v>
      </c>
      <c r="G287" s="2">
        <v>0</v>
      </c>
      <c r="H287" s="2">
        <v>0</v>
      </c>
      <c r="I287" s="2">
        <v>0</v>
      </c>
      <c r="J287" s="2">
        <v>0</v>
      </c>
      <c r="K287" s="2">
        <v>10722</v>
      </c>
      <c r="L287" s="2">
        <v>0</v>
      </c>
      <c r="M287" s="2">
        <v>1</v>
      </c>
      <c r="N287" s="2">
        <v>1</v>
      </c>
      <c r="O287" s="2">
        <v>0</v>
      </c>
      <c r="P287" s="2">
        <v>0</v>
      </c>
      <c r="Q287" s="2">
        <v>0</v>
      </c>
      <c r="R287" s="2">
        <v>0</v>
      </c>
      <c r="S287" s="2">
        <v>0</v>
      </c>
      <c r="T287" s="2">
        <v>1</v>
      </c>
      <c r="U287" s="2">
        <v>1</v>
      </c>
      <c r="V287" s="2">
        <v>0</v>
      </c>
      <c r="W287" s="2">
        <v>35</v>
      </c>
      <c r="X287" s="2">
        <v>0</v>
      </c>
      <c r="Y287" s="2">
        <v>0</v>
      </c>
      <c r="Z287" s="2">
        <v>1</v>
      </c>
      <c r="AA287" s="2">
        <v>1</v>
      </c>
      <c r="AB287" s="2">
        <v>1</v>
      </c>
      <c r="AC287" s="2">
        <v>1</v>
      </c>
      <c r="AD287" s="2">
        <v>1</v>
      </c>
      <c r="AE287" s="2">
        <v>0</v>
      </c>
      <c r="AF287" s="2">
        <v>1</v>
      </c>
    </row>
    <row r="288" spans="1:32" x14ac:dyDescent="0.25">
      <c r="A288">
        <v>287</v>
      </c>
      <c r="B288" s="2">
        <v>0</v>
      </c>
      <c r="C288" s="2">
        <v>48</v>
      </c>
      <c r="D288" s="2">
        <v>2</v>
      </c>
      <c r="E288" s="2">
        <v>0</v>
      </c>
      <c r="F288" s="2">
        <v>1</v>
      </c>
      <c r="G288" s="2">
        <v>0</v>
      </c>
      <c r="H288" s="2">
        <v>0</v>
      </c>
      <c r="I288" s="2">
        <v>0</v>
      </c>
      <c r="J288" s="2">
        <v>0</v>
      </c>
      <c r="K288" s="2">
        <v>4788</v>
      </c>
      <c r="L288" s="2">
        <v>0</v>
      </c>
      <c r="M288" s="2">
        <v>3</v>
      </c>
      <c r="N288" s="2">
        <v>4</v>
      </c>
      <c r="O288" s="2">
        <v>0</v>
      </c>
      <c r="P288" s="2">
        <v>1</v>
      </c>
      <c r="Q288" s="2">
        <v>0</v>
      </c>
      <c r="R288" s="2">
        <v>0</v>
      </c>
      <c r="S288" s="2">
        <v>0</v>
      </c>
      <c r="T288" s="2">
        <v>3</v>
      </c>
      <c r="U288" s="2">
        <v>0</v>
      </c>
      <c r="V288" s="2">
        <v>0</v>
      </c>
      <c r="W288" s="2">
        <v>26</v>
      </c>
      <c r="X288" s="2">
        <v>0</v>
      </c>
      <c r="Y288" s="2">
        <v>0</v>
      </c>
      <c r="Z288" s="2">
        <v>1</v>
      </c>
      <c r="AA288" s="2">
        <v>1</v>
      </c>
      <c r="AB288" s="2">
        <v>2</v>
      </c>
      <c r="AC288" s="2">
        <v>2</v>
      </c>
      <c r="AD288" s="2">
        <v>0</v>
      </c>
      <c r="AE288" s="2">
        <v>0</v>
      </c>
      <c r="AF288" s="2">
        <v>1</v>
      </c>
    </row>
    <row r="289" spans="1:32" x14ac:dyDescent="0.25">
      <c r="A289">
        <v>288</v>
      </c>
      <c r="B289" s="2">
        <v>1</v>
      </c>
      <c r="C289" s="2">
        <v>48</v>
      </c>
      <c r="D289" s="2">
        <v>3</v>
      </c>
      <c r="E289" s="2">
        <v>0</v>
      </c>
      <c r="F289" s="2">
        <v>0</v>
      </c>
      <c r="G289" s="2">
        <v>0</v>
      </c>
      <c r="H289" s="2">
        <v>0</v>
      </c>
      <c r="I289" s="2">
        <v>0</v>
      </c>
      <c r="J289" s="2">
        <v>0</v>
      </c>
      <c r="K289" s="2">
        <v>7582</v>
      </c>
      <c r="L289" s="2">
        <v>1</v>
      </c>
      <c r="M289" s="2">
        <v>0</v>
      </c>
      <c r="N289" s="2">
        <v>2</v>
      </c>
      <c r="O289" s="2">
        <v>0</v>
      </c>
      <c r="P289" s="2">
        <v>1</v>
      </c>
      <c r="Q289" s="2">
        <v>0</v>
      </c>
      <c r="R289" s="2">
        <v>0</v>
      </c>
      <c r="S289" s="2">
        <v>0</v>
      </c>
      <c r="T289" s="2">
        <v>4</v>
      </c>
      <c r="U289" s="2">
        <v>0</v>
      </c>
      <c r="V289" s="2">
        <v>1</v>
      </c>
      <c r="W289" s="2">
        <v>31</v>
      </c>
      <c r="X289" s="2">
        <v>0</v>
      </c>
      <c r="Y289" s="2">
        <v>0</v>
      </c>
      <c r="Z289" s="2">
        <v>0</v>
      </c>
      <c r="AA289" s="2">
        <v>1</v>
      </c>
      <c r="AB289" s="2">
        <v>3</v>
      </c>
      <c r="AC289" s="2">
        <v>1</v>
      </c>
      <c r="AD289" s="2">
        <v>1</v>
      </c>
      <c r="AE289" s="2">
        <v>0</v>
      </c>
      <c r="AF289" s="2">
        <v>1</v>
      </c>
    </row>
    <row r="290" spans="1:32" x14ac:dyDescent="0.25">
      <c r="A290">
        <v>289</v>
      </c>
      <c r="B290" s="2">
        <v>1</v>
      </c>
      <c r="C290" s="2">
        <v>12</v>
      </c>
      <c r="D290" s="2">
        <v>2</v>
      </c>
      <c r="E290" s="2">
        <v>0</v>
      </c>
      <c r="F290" s="2">
        <v>0</v>
      </c>
      <c r="G290" s="2">
        <v>0</v>
      </c>
      <c r="H290" s="2">
        <v>1</v>
      </c>
      <c r="I290" s="2">
        <v>0</v>
      </c>
      <c r="J290" s="2">
        <v>0</v>
      </c>
      <c r="K290" s="2">
        <v>1092</v>
      </c>
      <c r="L290" s="2">
        <v>0</v>
      </c>
      <c r="M290" s="2">
        <v>2</v>
      </c>
      <c r="N290" s="2">
        <v>4</v>
      </c>
      <c r="O290" s="2">
        <v>0</v>
      </c>
      <c r="P290" s="2">
        <v>0</v>
      </c>
      <c r="Q290" s="2">
        <v>0</v>
      </c>
      <c r="R290" s="2">
        <v>0</v>
      </c>
      <c r="S290" s="2">
        <v>1</v>
      </c>
      <c r="T290" s="2">
        <v>4</v>
      </c>
      <c r="U290" s="2">
        <v>1</v>
      </c>
      <c r="V290" s="2">
        <v>0</v>
      </c>
      <c r="W290" s="2">
        <v>49</v>
      </c>
      <c r="X290" s="2">
        <v>0</v>
      </c>
      <c r="Y290" s="2">
        <v>0</v>
      </c>
      <c r="Z290" s="2">
        <v>1</v>
      </c>
      <c r="AA290" s="2">
        <v>2</v>
      </c>
      <c r="AB290" s="2">
        <v>2</v>
      </c>
      <c r="AC290" s="2">
        <v>1</v>
      </c>
      <c r="AD290" s="2">
        <v>1</v>
      </c>
      <c r="AE290" s="2">
        <v>0</v>
      </c>
      <c r="AF290" s="2">
        <v>1</v>
      </c>
    </row>
    <row r="291" spans="1:32" x14ac:dyDescent="0.25">
      <c r="A291">
        <v>290</v>
      </c>
      <c r="B291" s="2">
        <v>0</v>
      </c>
      <c r="C291" s="2">
        <v>24</v>
      </c>
      <c r="D291" s="2">
        <v>3</v>
      </c>
      <c r="E291" s="2">
        <v>0</v>
      </c>
      <c r="F291" s="2">
        <v>0</v>
      </c>
      <c r="G291" s="2">
        <v>0</v>
      </c>
      <c r="H291" s="2">
        <v>1</v>
      </c>
      <c r="I291" s="2">
        <v>0</v>
      </c>
      <c r="J291" s="2">
        <v>0</v>
      </c>
      <c r="K291" s="2">
        <v>1024</v>
      </c>
      <c r="L291" s="2">
        <v>0</v>
      </c>
      <c r="M291" s="2">
        <v>1</v>
      </c>
      <c r="N291" s="2">
        <v>4</v>
      </c>
      <c r="O291" s="2">
        <v>0</v>
      </c>
      <c r="P291" s="2">
        <v>0</v>
      </c>
      <c r="Q291" s="2">
        <v>1</v>
      </c>
      <c r="R291" s="2">
        <v>0</v>
      </c>
      <c r="S291" s="2">
        <v>0</v>
      </c>
      <c r="T291" s="2">
        <v>4</v>
      </c>
      <c r="U291" s="2">
        <v>1</v>
      </c>
      <c r="V291" s="2">
        <v>0</v>
      </c>
      <c r="W291" s="2">
        <v>48</v>
      </c>
      <c r="X291" s="2">
        <v>1</v>
      </c>
      <c r="Y291" s="2">
        <v>0</v>
      </c>
      <c r="Z291" s="2">
        <v>1</v>
      </c>
      <c r="AA291" s="2">
        <v>1</v>
      </c>
      <c r="AB291" s="2">
        <v>2</v>
      </c>
      <c r="AC291" s="2">
        <v>1</v>
      </c>
      <c r="AD291" s="2">
        <v>0</v>
      </c>
      <c r="AE291" s="2">
        <v>0</v>
      </c>
      <c r="AF291" s="2">
        <v>0</v>
      </c>
    </row>
    <row r="292" spans="1:32" x14ac:dyDescent="0.25">
      <c r="A292">
        <v>291</v>
      </c>
      <c r="B292" s="2">
        <v>3</v>
      </c>
      <c r="C292" s="2">
        <v>12</v>
      </c>
      <c r="D292" s="2">
        <v>2</v>
      </c>
      <c r="E292" s="2">
        <v>0</v>
      </c>
      <c r="F292" s="2">
        <v>0</v>
      </c>
      <c r="G292" s="2">
        <v>0</v>
      </c>
      <c r="H292" s="2">
        <v>0</v>
      </c>
      <c r="I292" s="2">
        <v>0</v>
      </c>
      <c r="J292" s="2">
        <v>1</v>
      </c>
      <c r="K292" s="2">
        <v>1076</v>
      </c>
      <c r="L292" s="2">
        <v>0</v>
      </c>
      <c r="M292" s="2">
        <v>2</v>
      </c>
      <c r="N292" s="2">
        <v>2</v>
      </c>
      <c r="O292" s="2">
        <v>0</v>
      </c>
      <c r="P292" s="2">
        <v>0</v>
      </c>
      <c r="Q292" s="2">
        <v>1</v>
      </c>
      <c r="R292" s="2">
        <v>0</v>
      </c>
      <c r="S292" s="2">
        <v>0</v>
      </c>
      <c r="T292" s="2">
        <v>2</v>
      </c>
      <c r="U292" s="2">
        <v>1</v>
      </c>
      <c r="V292" s="2">
        <v>0</v>
      </c>
      <c r="W292" s="2">
        <v>26</v>
      </c>
      <c r="X292" s="2">
        <v>0</v>
      </c>
      <c r="Y292" s="2">
        <v>0</v>
      </c>
      <c r="Z292" s="2">
        <v>1</v>
      </c>
      <c r="AA292" s="2">
        <v>1</v>
      </c>
      <c r="AB292" s="2">
        <v>2</v>
      </c>
      <c r="AC292" s="2">
        <v>1</v>
      </c>
      <c r="AD292" s="2">
        <v>1</v>
      </c>
      <c r="AE292" s="2">
        <v>1</v>
      </c>
      <c r="AF292" s="2">
        <v>1</v>
      </c>
    </row>
    <row r="293" spans="1:32" x14ac:dyDescent="0.25">
      <c r="A293">
        <v>292</v>
      </c>
      <c r="B293" s="2">
        <v>1</v>
      </c>
      <c r="C293" s="2">
        <v>36</v>
      </c>
      <c r="D293" s="2">
        <v>2</v>
      </c>
      <c r="E293" s="2">
        <v>0</v>
      </c>
      <c r="F293" s="2">
        <v>1</v>
      </c>
      <c r="G293" s="2">
        <v>0</v>
      </c>
      <c r="H293" s="2">
        <v>0</v>
      </c>
      <c r="I293" s="2">
        <v>0</v>
      </c>
      <c r="J293" s="2">
        <v>0</v>
      </c>
      <c r="K293" s="2">
        <v>9398</v>
      </c>
      <c r="L293" s="2">
        <v>0</v>
      </c>
      <c r="M293" s="2">
        <v>1</v>
      </c>
      <c r="N293" s="2">
        <v>1</v>
      </c>
      <c r="O293" s="2">
        <v>0</v>
      </c>
      <c r="P293" s="2">
        <v>0</v>
      </c>
      <c r="Q293" s="2">
        <v>1</v>
      </c>
      <c r="R293" s="2">
        <v>0</v>
      </c>
      <c r="S293" s="2">
        <v>0</v>
      </c>
      <c r="T293" s="2">
        <v>4</v>
      </c>
      <c r="U293" s="2">
        <v>0</v>
      </c>
      <c r="V293" s="2">
        <v>0</v>
      </c>
      <c r="W293" s="2">
        <v>28</v>
      </c>
      <c r="X293" s="2">
        <v>0</v>
      </c>
      <c r="Y293" s="2">
        <v>1</v>
      </c>
      <c r="Z293" s="2">
        <v>0</v>
      </c>
      <c r="AA293" s="2">
        <v>1</v>
      </c>
      <c r="AB293" s="2">
        <v>3</v>
      </c>
      <c r="AC293" s="2">
        <v>1</v>
      </c>
      <c r="AD293" s="2">
        <v>1</v>
      </c>
      <c r="AE293" s="2">
        <v>0</v>
      </c>
      <c r="AF293" s="2">
        <v>0</v>
      </c>
    </row>
    <row r="294" spans="1:32" x14ac:dyDescent="0.25">
      <c r="A294">
        <v>293</v>
      </c>
      <c r="B294" s="2">
        <v>0</v>
      </c>
      <c r="C294" s="2">
        <v>24</v>
      </c>
      <c r="D294" s="2">
        <v>4</v>
      </c>
      <c r="E294" s="2">
        <v>0</v>
      </c>
      <c r="F294" s="2">
        <v>1</v>
      </c>
      <c r="G294" s="2">
        <v>0</v>
      </c>
      <c r="H294" s="2">
        <v>0</v>
      </c>
      <c r="I294" s="2">
        <v>0</v>
      </c>
      <c r="J294" s="2">
        <v>0</v>
      </c>
      <c r="K294" s="2">
        <v>6419</v>
      </c>
      <c r="L294" s="2">
        <v>0</v>
      </c>
      <c r="M294" s="2">
        <v>4</v>
      </c>
      <c r="N294" s="2">
        <v>2</v>
      </c>
      <c r="O294" s="2">
        <v>0</v>
      </c>
      <c r="P294" s="2">
        <v>0</v>
      </c>
      <c r="Q294" s="2">
        <v>0</v>
      </c>
      <c r="R294" s="2">
        <v>0</v>
      </c>
      <c r="S294" s="2">
        <v>0</v>
      </c>
      <c r="T294" s="2">
        <v>4</v>
      </c>
      <c r="U294" s="2">
        <v>0</v>
      </c>
      <c r="V294" s="2">
        <v>1</v>
      </c>
      <c r="W294" s="2">
        <v>44</v>
      </c>
      <c r="X294" s="2">
        <v>0</v>
      </c>
      <c r="Y294" s="2">
        <v>0</v>
      </c>
      <c r="Z294" s="2">
        <v>0</v>
      </c>
      <c r="AA294" s="2">
        <v>2</v>
      </c>
      <c r="AB294" s="2">
        <v>3</v>
      </c>
      <c r="AC294" s="2">
        <v>2</v>
      </c>
      <c r="AD294" s="2">
        <v>1</v>
      </c>
      <c r="AE294" s="2">
        <v>0</v>
      </c>
      <c r="AF294" s="2">
        <v>1</v>
      </c>
    </row>
    <row r="295" spans="1:32" x14ac:dyDescent="0.25">
      <c r="A295">
        <v>294</v>
      </c>
      <c r="B295" s="2">
        <v>2</v>
      </c>
      <c r="C295" s="2">
        <v>42</v>
      </c>
      <c r="D295" s="2">
        <v>4</v>
      </c>
      <c r="E295" s="2">
        <v>0</v>
      </c>
      <c r="F295" s="2">
        <v>1</v>
      </c>
      <c r="G295" s="2">
        <v>0</v>
      </c>
      <c r="H295" s="2">
        <v>0</v>
      </c>
      <c r="I295" s="2">
        <v>0</v>
      </c>
      <c r="J295" s="2">
        <v>0</v>
      </c>
      <c r="K295" s="2">
        <v>4796</v>
      </c>
      <c r="L295" s="2">
        <v>0</v>
      </c>
      <c r="M295" s="2">
        <v>4</v>
      </c>
      <c r="N295" s="2">
        <v>4</v>
      </c>
      <c r="O295" s="2">
        <v>0</v>
      </c>
      <c r="P295" s="2">
        <v>1</v>
      </c>
      <c r="Q295" s="2">
        <v>0</v>
      </c>
      <c r="R295" s="2">
        <v>0</v>
      </c>
      <c r="S295" s="2">
        <v>0</v>
      </c>
      <c r="T295" s="2">
        <v>4</v>
      </c>
      <c r="U295" s="2">
        <v>0</v>
      </c>
      <c r="V295" s="2">
        <v>1</v>
      </c>
      <c r="W295" s="2">
        <v>56</v>
      </c>
      <c r="X295" s="2">
        <v>0</v>
      </c>
      <c r="Y295" s="2">
        <v>0</v>
      </c>
      <c r="Z295" s="2">
        <v>0</v>
      </c>
      <c r="AA295" s="2">
        <v>1</v>
      </c>
      <c r="AB295" s="2">
        <v>2</v>
      </c>
      <c r="AC295" s="2">
        <v>1</v>
      </c>
      <c r="AD295" s="2">
        <v>0</v>
      </c>
      <c r="AE295" s="2">
        <v>0</v>
      </c>
      <c r="AF295" s="2">
        <v>1</v>
      </c>
    </row>
    <row r="296" spans="1:32" x14ac:dyDescent="0.25">
      <c r="A296">
        <v>295</v>
      </c>
      <c r="B296" s="2">
        <v>3</v>
      </c>
      <c r="C296" s="2">
        <v>48</v>
      </c>
      <c r="D296" s="2">
        <v>4</v>
      </c>
      <c r="E296" s="2">
        <v>0</v>
      </c>
      <c r="F296" s="2">
        <v>0</v>
      </c>
      <c r="G296" s="2">
        <v>0</v>
      </c>
      <c r="H296" s="2">
        <v>0</v>
      </c>
      <c r="I296" s="2">
        <v>0</v>
      </c>
      <c r="J296" s="2">
        <v>1</v>
      </c>
      <c r="K296" s="2">
        <v>7629</v>
      </c>
      <c r="L296" s="2">
        <v>4</v>
      </c>
      <c r="M296" s="2">
        <v>4</v>
      </c>
      <c r="N296" s="2">
        <v>4</v>
      </c>
      <c r="O296" s="2">
        <v>1</v>
      </c>
      <c r="P296" s="2">
        <v>0</v>
      </c>
      <c r="Q296" s="2">
        <v>0</v>
      </c>
      <c r="R296" s="2">
        <v>0</v>
      </c>
      <c r="S296" s="2">
        <v>0</v>
      </c>
      <c r="T296" s="2">
        <v>2</v>
      </c>
      <c r="U296" s="2">
        <v>0</v>
      </c>
      <c r="V296" s="2">
        <v>0</v>
      </c>
      <c r="W296" s="2">
        <v>46</v>
      </c>
      <c r="X296" s="2">
        <v>1</v>
      </c>
      <c r="Y296" s="2">
        <v>0</v>
      </c>
      <c r="Z296" s="2">
        <v>1</v>
      </c>
      <c r="AA296" s="2">
        <v>2</v>
      </c>
      <c r="AB296" s="2">
        <v>3</v>
      </c>
      <c r="AC296" s="2">
        <v>2</v>
      </c>
      <c r="AD296" s="2">
        <v>0</v>
      </c>
      <c r="AE296" s="2">
        <v>0</v>
      </c>
      <c r="AF296" s="2">
        <v>1</v>
      </c>
    </row>
    <row r="297" spans="1:32" x14ac:dyDescent="0.25">
      <c r="A297">
        <v>296</v>
      </c>
      <c r="B297" s="2">
        <v>1</v>
      </c>
      <c r="C297" s="2">
        <v>48</v>
      </c>
      <c r="D297" s="2">
        <v>2</v>
      </c>
      <c r="E297" s="2">
        <v>0</v>
      </c>
      <c r="F297" s="2">
        <v>0</v>
      </c>
      <c r="G297" s="2">
        <v>1</v>
      </c>
      <c r="H297" s="2">
        <v>0</v>
      </c>
      <c r="I297" s="2">
        <v>0</v>
      </c>
      <c r="J297" s="2">
        <v>0</v>
      </c>
      <c r="K297" s="2">
        <v>9960</v>
      </c>
      <c r="L297" s="2">
        <v>0</v>
      </c>
      <c r="M297" s="2">
        <v>1</v>
      </c>
      <c r="N297" s="2">
        <v>1</v>
      </c>
      <c r="O297" s="2">
        <v>0</v>
      </c>
      <c r="P297" s="2">
        <v>0</v>
      </c>
      <c r="Q297" s="2">
        <v>0</v>
      </c>
      <c r="R297" s="2">
        <v>0</v>
      </c>
      <c r="S297" s="2">
        <v>0</v>
      </c>
      <c r="T297" s="2">
        <v>2</v>
      </c>
      <c r="U297" s="2">
        <v>0</v>
      </c>
      <c r="V297" s="2">
        <v>0</v>
      </c>
      <c r="W297" s="2">
        <v>26</v>
      </c>
      <c r="X297" s="2">
        <v>0</v>
      </c>
      <c r="Y297" s="2">
        <v>0</v>
      </c>
      <c r="Z297" s="2">
        <v>1</v>
      </c>
      <c r="AA297" s="2">
        <v>1</v>
      </c>
      <c r="AB297" s="2">
        <v>2</v>
      </c>
      <c r="AC297" s="2">
        <v>1</v>
      </c>
      <c r="AD297" s="2">
        <v>1</v>
      </c>
      <c r="AE297" s="2">
        <v>0</v>
      </c>
      <c r="AF297" s="2">
        <v>0</v>
      </c>
    </row>
    <row r="298" spans="1:32" x14ac:dyDescent="0.25">
      <c r="A298">
        <v>297</v>
      </c>
      <c r="B298" s="2">
        <v>3</v>
      </c>
      <c r="C298" s="2">
        <v>12</v>
      </c>
      <c r="D298" s="2">
        <v>2</v>
      </c>
      <c r="E298" s="2">
        <v>0</v>
      </c>
      <c r="F298" s="2">
        <v>1</v>
      </c>
      <c r="G298" s="2">
        <v>0</v>
      </c>
      <c r="H298" s="2">
        <v>0</v>
      </c>
      <c r="I298" s="2">
        <v>0</v>
      </c>
      <c r="J298" s="2">
        <v>0</v>
      </c>
      <c r="K298" s="2">
        <v>4675</v>
      </c>
      <c r="L298" s="2">
        <v>4</v>
      </c>
      <c r="M298" s="2">
        <v>1</v>
      </c>
      <c r="N298" s="2">
        <v>1</v>
      </c>
      <c r="O298" s="2">
        <v>0</v>
      </c>
      <c r="P298" s="2">
        <v>0</v>
      </c>
      <c r="Q298" s="2">
        <v>0</v>
      </c>
      <c r="R298" s="2">
        <v>0</v>
      </c>
      <c r="S298" s="2">
        <v>0</v>
      </c>
      <c r="T298" s="2">
        <v>4</v>
      </c>
      <c r="U298" s="2">
        <v>0</v>
      </c>
      <c r="V298" s="2">
        <v>0</v>
      </c>
      <c r="W298" s="2">
        <v>20</v>
      </c>
      <c r="X298" s="2">
        <v>0</v>
      </c>
      <c r="Y298" s="2">
        <v>1</v>
      </c>
      <c r="Z298" s="2">
        <v>0</v>
      </c>
      <c r="AA298" s="2">
        <v>1</v>
      </c>
      <c r="AB298" s="2">
        <v>2</v>
      </c>
      <c r="AC298" s="2">
        <v>1</v>
      </c>
      <c r="AD298" s="2">
        <v>0</v>
      </c>
      <c r="AE298" s="2">
        <v>0</v>
      </c>
      <c r="AF298" s="2">
        <v>1</v>
      </c>
    </row>
    <row r="299" spans="1:32" x14ac:dyDescent="0.25">
      <c r="A299">
        <v>298</v>
      </c>
      <c r="B299" s="2">
        <v>3</v>
      </c>
      <c r="C299" s="2">
        <v>10</v>
      </c>
      <c r="D299" s="2">
        <v>2</v>
      </c>
      <c r="E299" s="2">
        <v>1</v>
      </c>
      <c r="F299" s="2">
        <v>0</v>
      </c>
      <c r="G299" s="2">
        <v>0</v>
      </c>
      <c r="H299" s="2">
        <v>0</v>
      </c>
      <c r="I299" s="2">
        <v>0</v>
      </c>
      <c r="J299" s="2">
        <v>0</v>
      </c>
      <c r="K299" s="2">
        <v>1287</v>
      </c>
      <c r="L299" s="2">
        <v>4</v>
      </c>
      <c r="M299" s="2">
        <v>4</v>
      </c>
      <c r="N299" s="2">
        <v>4</v>
      </c>
      <c r="O299" s="2">
        <v>0</v>
      </c>
      <c r="P299" s="2">
        <v>1</v>
      </c>
      <c r="Q299" s="2">
        <v>0</v>
      </c>
      <c r="R299" s="2">
        <v>1</v>
      </c>
      <c r="S299" s="2">
        <v>0</v>
      </c>
      <c r="T299" s="2">
        <v>2</v>
      </c>
      <c r="U299" s="2">
        <v>0</v>
      </c>
      <c r="V299" s="2">
        <v>0</v>
      </c>
      <c r="W299" s="2">
        <v>45</v>
      </c>
      <c r="X299" s="2">
        <v>0</v>
      </c>
      <c r="Y299" s="2">
        <v>0</v>
      </c>
      <c r="Z299" s="2">
        <v>1</v>
      </c>
      <c r="AA299" s="2">
        <v>1</v>
      </c>
      <c r="AB299" s="2">
        <v>1</v>
      </c>
      <c r="AC299" s="2">
        <v>1</v>
      </c>
      <c r="AD299" s="2">
        <v>0</v>
      </c>
      <c r="AE299" s="2">
        <v>1</v>
      </c>
      <c r="AF299" s="2">
        <v>1</v>
      </c>
    </row>
    <row r="300" spans="1:32" x14ac:dyDescent="0.25">
      <c r="A300">
        <v>299</v>
      </c>
      <c r="B300" s="2">
        <v>3</v>
      </c>
      <c r="C300" s="2">
        <v>18</v>
      </c>
      <c r="D300" s="2">
        <v>2</v>
      </c>
      <c r="E300" s="2">
        <v>0</v>
      </c>
      <c r="F300" s="2">
        <v>0</v>
      </c>
      <c r="G300" s="2">
        <v>1</v>
      </c>
      <c r="H300" s="2">
        <v>0</v>
      </c>
      <c r="I300" s="2">
        <v>0</v>
      </c>
      <c r="J300" s="2">
        <v>0</v>
      </c>
      <c r="K300" s="2">
        <v>2515</v>
      </c>
      <c r="L300" s="2">
        <v>0</v>
      </c>
      <c r="M300" s="2">
        <v>2</v>
      </c>
      <c r="N300" s="2">
        <v>3</v>
      </c>
      <c r="O300" s="2">
        <v>0</v>
      </c>
      <c r="P300" s="2">
        <v>1</v>
      </c>
      <c r="Q300" s="2">
        <v>0</v>
      </c>
      <c r="R300" s="2">
        <v>0</v>
      </c>
      <c r="S300" s="2">
        <v>0</v>
      </c>
      <c r="T300" s="2">
        <v>4</v>
      </c>
      <c r="U300" s="2">
        <v>1</v>
      </c>
      <c r="V300" s="2">
        <v>0</v>
      </c>
      <c r="W300" s="2">
        <v>43</v>
      </c>
      <c r="X300" s="2">
        <v>0</v>
      </c>
      <c r="Y300" s="2">
        <v>0</v>
      </c>
      <c r="Z300" s="2">
        <v>1</v>
      </c>
      <c r="AA300" s="2">
        <v>1</v>
      </c>
      <c r="AB300" s="2">
        <v>2</v>
      </c>
      <c r="AC300" s="2">
        <v>1</v>
      </c>
      <c r="AD300" s="2">
        <v>1</v>
      </c>
      <c r="AE300" s="2">
        <v>0</v>
      </c>
      <c r="AF300" s="2">
        <v>1</v>
      </c>
    </row>
    <row r="301" spans="1:32" x14ac:dyDescent="0.25">
      <c r="A301">
        <v>300</v>
      </c>
      <c r="B301" s="2">
        <v>1</v>
      </c>
      <c r="C301" s="2">
        <v>21</v>
      </c>
      <c r="D301" s="2">
        <v>4</v>
      </c>
      <c r="E301" s="2">
        <v>0</v>
      </c>
      <c r="F301" s="2">
        <v>0</v>
      </c>
      <c r="G301" s="2">
        <v>1</v>
      </c>
      <c r="H301" s="2">
        <v>0</v>
      </c>
      <c r="I301" s="2">
        <v>0</v>
      </c>
      <c r="J301" s="2">
        <v>0</v>
      </c>
      <c r="K301" s="2">
        <v>2745</v>
      </c>
      <c r="L301" s="2">
        <v>3</v>
      </c>
      <c r="M301" s="2">
        <v>3</v>
      </c>
      <c r="N301" s="2">
        <v>3</v>
      </c>
      <c r="O301" s="2">
        <v>0</v>
      </c>
      <c r="P301" s="2">
        <v>1</v>
      </c>
      <c r="Q301" s="2">
        <v>0</v>
      </c>
      <c r="R301" s="2">
        <v>0</v>
      </c>
      <c r="S301" s="2">
        <v>0</v>
      </c>
      <c r="T301" s="2">
        <v>2</v>
      </c>
      <c r="U301" s="2">
        <v>0</v>
      </c>
      <c r="V301" s="2">
        <v>0</v>
      </c>
      <c r="W301" s="2">
        <v>32</v>
      </c>
      <c r="X301" s="2">
        <v>0</v>
      </c>
      <c r="Y301" s="2">
        <v>0</v>
      </c>
      <c r="Z301" s="2">
        <v>1</v>
      </c>
      <c r="AA301" s="2">
        <v>2</v>
      </c>
      <c r="AB301" s="2">
        <v>2</v>
      </c>
      <c r="AC301" s="2">
        <v>1</v>
      </c>
      <c r="AD301" s="2">
        <v>1</v>
      </c>
      <c r="AE301" s="2">
        <v>0</v>
      </c>
      <c r="AF301" s="2">
        <v>1</v>
      </c>
    </row>
    <row r="302" spans="1:32" x14ac:dyDescent="0.25">
      <c r="A302">
        <v>301</v>
      </c>
      <c r="B302" s="2">
        <v>3</v>
      </c>
      <c r="C302" s="2">
        <v>6</v>
      </c>
      <c r="D302" s="2">
        <v>2</v>
      </c>
      <c r="E302" s="2">
        <v>1</v>
      </c>
      <c r="F302" s="2">
        <v>0</v>
      </c>
      <c r="G302" s="2">
        <v>0</v>
      </c>
      <c r="H302" s="2">
        <v>0</v>
      </c>
      <c r="I302" s="2">
        <v>0</v>
      </c>
      <c r="J302" s="2">
        <v>0</v>
      </c>
      <c r="K302" s="2">
        <v>672</v>
      </c>
      <c r="L302" s="2">
        <v>0</v>
      </c>
      <c r="M302" s="2">
        <v>0</v>
      </c>
      <c r="N302" s="2">
        <v>1</v>
      </c>
      <c r="O302" s="2">
        <v>0</v>
      </c>
      <c r="P302" s="2">
        <v>0</v>
      </c>
      <c r="Q302" s="2">
        <v>0</v>
      </c>
      <c r="R302" s="2">
        <v>0</v>
      </c>
      <c r="S302" s="2">
        <v>0</v>
      </c>
      <c r="T302" s="2">
        <v>4</v>
      </c>
      <c r="U302" s="2">
        <v>1</v>
      </c>
      <c r="V302" s="2">
        <v>0</v>
      </c>
      <c r="W302" s="2">
        <v>54</v>
      </c>
      <c r="X302" s="2">
        <v>0</v>
      </c>
      <c r="Y302" s="2">
        <v>0</v>
      </c>
      <c r="Z302" s="2">
        <v>1</v>
      </c>
      <c r="AA302" s="2">
        <v>1</v>
      </c>
      <c r="AB302" s="2">
        <v>0</v>
      </c>
      <c r="AC302" s="2">
        <v>1</v>
      </c>
      <c r="AD302" s="2">
        <v>1</v>
      </c>
      <c r="AE302" s="2">
        <v>0</v>
      </c>
      <c r="AF302" s="2">
        <v>1</v>
      </c>
    </row>
    <row r="303" spans="1:32" x14ac:dyDescent="0.25">
      <c r="A303">
        <v>302</v>
      </c>
      <c r="B303" s="2">
        <v>1</v>
      </c>
      <c r="C303" s="2">
        <v>36</v>
      </c>
      <c r="D303" s="2">
        <v>0</v>
      </c>
      <c r="E303" s="2">
        <v>0</v>
      </c>
      <c r="F303" s="2">
        <v>0</v>
      </c>
      <c r="G303" s="2">
        <v>0</v>
      </c>
      <c r="H303" s="2">
        <v>1</v>
      </c>
      <c r="I303" s="2">
        <v>0</v>
      </c>
      <c r="J303" s="2">
        <v>0</v>
      </c>
      <c r="K303" s="2">
        <v>3804</v>
      </c>
      <c r="L303" s="2">
        <v>0</v>
      </c>
      <c r="M303" s="2">
        <v>2</v>
      </c>
      <c r="N303" s="2">
        <v>4</v>
      </c>
      <c r="O303" s="2">
        <v>0</v>
      </c>
      <c r="P303" s="2">
        <v>0</v>
      </c>
      <c r="Q303" s="2">
        <v>0</v>
      </c>
      <c r="R303" s="2">
        <v>0</v>
      </c>
      <c r="S303" s="2">
        <v>0</v>
      </c>
      <c r="T303" s="2">
        <v>1</v>
      </c>
      <c r="U303" s="2">
        <v>0</v>
      </c>
      <c r="V303" s="2">
        <v>0</v>
      </c>
      <c r="W303" s="2">
        <v>42</v>
      </c>
      <c r="X303" s="2">
        <v>0</v>
      </c>
      <c r="Y303" s="2">
        <v>0</v>
      </c>
      <c r="Z303" s="2">
        <v>1</v>
      </c>
      <c r="AA303" s="2">
        <v>1</v>
      </c>
      <c r="AB303" s="2">
        <v>2</v>
      </c>
      <c r="AC303" s="2">
        <v>1</v>
      </c>
      <c r="AD303" s="2">
        <v>1</v>
      </c>
      <c r="AE303" s="2">
        <v>0</v>
      </c>
      <c r="AF303" s="2">
        <v>0</v>
      </c>
    </row>
    <row r="304" spans="1:32" x14ac:dyDescent="0.25">
      <c r="A304">
        <v>303</v>
      </c>
      <c r="B304" s="2">
        <v>2</v>
      </c>
      <c r="C304" s="2">
        <v>24</v>
      </c>
      <c r="D304" s="2">
        <v>4</v>
      </c>
      <c r="E304" s="2">
        <v>1</v>
      </c>
      <c r="F304" s="2">
        <v>0</v>
      </c>
      <c r="G304" s="2">
        <v>0</v>
      </c>
      <c r="H304" s="2">
        <v>0</v>
      </c>
      <c r="I304" s="2">
        <v>0</v>
      </c>
      <c r="J304" s="2">
        <v>0</v>
      </c>
      <c r="K304" s="2">
        <v>1344</v>
      </c>
      <c r="L304" s="2">
        <v>4</v>
      </c>
      <c r="M304" s="2">
        <v>3</v>
      </c>
      <c r="N304" s="2">
        <v>4</v>
      </c>
      <c r="O304" s="2">
        <v>0</v>
      </c>
      <c r="P304" s="2">
        <v>1</v>
      </c>
      <c r="Q304" s="2">
        <v>0</v>
      </c>
      <c r="R304" s="2">
        <v>0</v>
      </c>
      <c r="S304" s="2">
        <v>0</v>
      </c>
      <c r="T304" s="2">
        <v>2</v>
      </c>
      <c r="U304" s="2">
        <v>1</v>
      </c>
      <c r="V304" s="2">
        <v>0</v>
      </c>
      <c r="W304" s="2">
        <v>37</v>
      </c>
      <c r="X304" s="2">
        <v>1</v>
      </c>
      <c r="Y304" s="2">
        <v>0</v>
      </c>
      <c r="Z304" s="2">
        <v>1</v>
      </c>
      <c r="AA304" s="2">
        <v>2</v>
      </c>
      <c r="AB304" s="2">
        <v>1</v>
      </c>
      <c r="AC304" s="2">
        <v>2</v>
      </c>
      <c r="AD304" s="2">
        <v>0</v>
      </c>
      <c r="AE304" s="2">
        <v>0</v>
      </c>
      <c r="AF304" s="2">
        <v>0</v>
      </c>
    </row>
    <row r="305" spans="1:32" x14ac:dyDescent="0.25">
      <c r="A305">
        <v>304</v>
      </c>
      <c r="B305" s="2">
        <v>0</v>
      </c>
      <c r="C305" s="2">
        <v>10</v>
      </c>
      <c r="D305" s="2">
        <v>4</v>
      </c>
      <c r="E305" s="2">
        <v>1</v>
      </c>
      <c r="F305" s="2">
        <v>0</v>
      </c>
      <c r="G305" s="2">
        <v>0</v>
      </c>
      <c r="H305" s="2">
        <v>0</v>
      </c>
      <c r="I305" s="2">
        <v>0</v>
      </c>
      <c r="J305" s="2">
        <v>0</v>
      </c>
      <c r="K305" s="2">
        <v>1038</v>
      </c>
      <c r="L305" s="2">
        <v>0</v>
      </c>
      <c r="M305" s="2">
        <v>3</v>
      </c>
      <c r="N305" s="2">
        <v>4</v>
      </c>
      <c r="O305" s="2">
        <v>0</v>
      </c>
      <c r="P305" s="2">
        <v>1</v>
      </c>
      <c r="Q305" s="2">
        <v>0</v>
      </c>
      <c r="R305" s="2">
        <v>1</v>
      </c>
      <c r="S305" s="2">
        <v>0</v>
      </c>
      <c r="T305" s="2">
        <v>3</v>
      </c>
      <c r="U305" s="2">
        <v>0</v>
      </c>
      <c r="V305" s="2">
        <v>0</v>
      </c>
      <c r="W305" s="2">
        <v>49</v>
      </c>
      <c r="X305" s="2">
        <v>0</v>
      </c>
      <c r="Y305" s="2">
        <v>0</v>
      </c>
      <c r="Z305" s="2">
        <v>1</v>
      </c>
      <c r="AA305" s="2">
        <v>2</v>
      </c>
      <c r="AB305" s="2">
        <v>2</v>
      </c>
      <c r="AC305" s="2">
        <v>1</v>
      </c>
      <c r="AD305" s="2">
        <v>1</v>
      </c>
      <c r="AE305" s="2">
        <v>0</v>
      </c>
      <c r="AF305" s="2">
        <v>1</v>
      </c>
    </row>
    <row r="306" spans="1:32" x14ac:dyDescent="0.25">
      <c r="A306">
        <v>305</v>
      </c>
      <c r="B306" s="2">
        <v>3</v>
      </c>
      <c r="C306" s="2">
        <v>48</v>
      </c>
      <c r="D306" s="2">
        <v>4</v>
      </c>
      <c r="E306" s="2">
        <v>1</v>
      </c>
      <c r="F306" s="2">
        <v>0</v>
      </c>
      <c r="G306" s="2">
        <v>0</v>
      </c>
      <c r="H306" s="2">
        <v>0</v>
      </c>
      <c r="I306" s="2">
        <v>0</v>
      </c>
      <c r="J306" s="2">
        <v>0</v>
      </c>
      <c r="K306" s="2">
        <v>10127</v>
      </c>
      <c r="L306" s="2">
        <v>2</v>
      </c>
      <c r="M306" s="2">
        <v>2</v>
      </c>
      <c r="N306" s="2">
        <v>2</v>
      </c>
      <c r="O306" s="2">
        <v>0</v>
      </c>
      <c r="P306" s="2">
        <v>1</v>
      </c>
      <c r="Q306" s="2">
        <v>0</v>
      </c>
      <c r="R306" s="2">
        <v>0</v>
      </c>
      <c r="S306" s="2">
        <v>0</v>
      </c>
      <c r="T306" s="2">
        <v>2</v>
      </c>
      <c r="U306" s="2">
        <v>0</v>
      </c>
      <c r="V306" s="2">
        <v>1</v>
      </c>
      <c r="W306" s="2">
        <v>44</v>
      </c>
      <c r="X306" s="2">
        <v>1</v>
      </c>
      <c r="Y306" s="2">
        <v>0</v>
      </c>
      <c r="Z306" s="2">
        <v>0</v>
      </c>
      <c r="AA306" s="2">
        <v>1</v>
      </c>
      <c r="AB306" s="2">
        <v>2</v>
      </c>
      <c r="AC306" s="2">
        <v>1</v>
      </c>
      <c r="AD306" s="2">
        <v>0</v>
      </c>
      <c r="AE306" s="2">
        <v>0</v>
      </c>
      <c r="AF306" s="2">
        <v>0</v>
      </c>
    </row>
    <row r="307" spans="1:32" x14ac:dyDescent="0.25">
      <c r="A307">
        <v>306</v>
      </c>
      <c r="B307" s="2">
        <v>3</v>
      </c>
      <c r="C307" s="2">
        <v>6</v>
      </c>
      <c r="D307" s="2">
        <v>2</v>
      </c>
      <c r="E307" s="2">
        <v>0</v>
      </c>
      <c r="F307" s="2">
        <v>0</v>
      </c>
      <c r="G307" s="2">
        <v>1</v>
      </c>
      <c r="H307" s="2">
        <v>0</v>
      </c>
      <c r="I307" s="2">
        <v>0</v>
      </c>
      <c r="J307" s="2">
        <v>0</v>
      </c>
      <c r="K307" s="2">
        <v>1543</v>
      </c>
      <c r="L307" s="2">
        <v>3</v>
      </c>
      <c r="M307" s="2">
        <v>2</v>
      </c>
      <c r="N307" s="2">
        <v>4</v>
      </c>
      <c r="O307" s="2">
        <v>1</v>
      </c>
      <c r="P307" s="2">
        <v>0</v>
      </c>
      <c r="Q307" s="2">
        <v>0</v>
      </c>
      <c r="R307" s="2">
        <v>0</v>
      </c>
      <c r="S307" s="2">
        <v>0</v>
      </c>
      <c r="T307" s="2">
        <v>2</v>
      </c>
      <c r="U307" s="2">
        <v>1</v>
      </c>
      <c r="V307" s="2">
        <v>0</v>
      </c>
      <c r="W307" s="2">
        <v>33</v>
      </c>
      <c r="X307" s="2">
        <v>0</v>
      </c>
      <c r="Y307" s="2">
        <v>0</v>
      </c>
      <c r="Z307" s="2">
        <v>1</v>
      </c>
      <c r="AA307" s="2">
        <v>1</v>
      </c>
      <c r="AB307" s="2">
        <v>2</v>
      </c>
      <c r="AC307" s="2">
        <v>1</v>
      </c>
      <c r="AD307" s="2">
        <v>0</v>
      </c>
      <c r="AE307" s="2">
        <v>0</v>
      </c>
      <c r="AF307" s="2">
        <v>1</v>
      </c>
    </row>
    <row r="308" spans="1:32" x14ac:dyDescent="0.25">
      <c r="A308">
        <v>307</v>
      </c>
      <c r="B308" s="2">
        <v>3</v>
      </c>
      <c r="C308" s="2">
        <v>30</v>
      </c>
      <c r="D308" s="2">
        <v>2</v>
      </c>
      <c r="E308" s="2">
        <v>0</v>
      </c>
      <c r="F308" s="2">
        <v>1</v>
      </c>
      <c r="G308" s="2">
        <v>0</v>
      </c>
      <c r="H308" s="2">
        <v>0</v>
      </c>
      <c r="I308" s="2">
        <v>0</v>
      </c>
      <c r="J308" s="2">
        <v>0</v>
      </c>
      <c r="K308" s="2">
        <v>4811</v>
      </c>
      <c r="L308" s="2">
        <v>4</v>
      </c>
      <c r="M308" s="2">
        <v>3</v>
      </c>
      <c r="N308" s="2">
        <v>2</v>
      </c>
      <c r="O308" s="2">
        <v>0</v>
      </c>
      <c r="P308" s="2">
        <v>0</v>
      </c>
      <c r="Q308" s="2">
        <v>0</v>
      </c>
      <c r="R308" s="2">
        <v>0</v>
      </c>
      <c r="S308" s="2">
        <v>0</v>
      </c>
      <c r="T308" s="2">
        <v>4</v>
      </c>
      <c r="U308" s="2">
        <v>0</v>
      </c>
      <c r="V308" s="2">
        <v>0</v>
      </c>
      <c r="W308" s="2">
        <v>24</v>
      </c>
      <c r="X308" s="2">
        <v>1</v>
      </c>
      <c r="Y308" s="2">
        <v>1</v>
      </c>
      <c r="Z308" s="2">
        <v>0</v>
      </c>
      <c r="AA308" s="2">
        <v>1</v>
      </c>
      <c r="AB308" s="2">
        <v>1</v>
      </c>
      <c r="AC308" s="2">
        <v>1</v>
      </c>
      <c r="AD308" s="2">
        <v>0</v>
      </c>
      <c r="AE308" s="2">
        <v>0</v>
      </c>
      <c r="AF308" s="2">
        <v>1</v>
      </c>
    </row>
    <row r="309" spans="1:32" x14ac:dyDescent="0.25">
      <c r="A309">
        <v>308</v>
      </c>
      <c r="B309" s="2">
        <v>0</v>
      </c>
      <c r="C309" s="2">
        <v>12</v>
      </c>
      <c r="D309" s="2">
        <v>2</v>
      </c>
      <c r="E309" s="2">
        <v>0</v>
      </c>
      <c r="F309" s="2">
        <v>0</v>
      </c>
      <c r="G309" s="2">
        <v>0</v>
      </c>
      <c r="H309" s="2">
        <v>1</v>
      </c>
      <c r="I309" s="2">
        <v>0</v>
      </c>
      <c r="J309" s="2">
        <v>0</v>
      </c>
      <c r="K309" s="2">
        <v>727</v>
      </c>
      <c r="L309" s="2">
        <v>1</v>
      </c>
      <c r="M309" s="2">
        <v>1</v>
      </c>
      <c r="N309" s="2">
        <v>4</v>
      </c>
      <c r="O309" s="2">
        <v>0</v>
      </c>
      <c r="P309" s="2">
        <v>0</v>
      </c>
      <c r="Q309" s="2">
        <v>1</v>
      </c>
      <c r="R309" s="2">
        <v>0</v>
      </c>
      <c r="S309" s="2">
        <v>0</v>
      </c>
      <c r="T309" s="2">
        <v>3</v>
      </c>
      <c r="U309" s="2">
        <v>0</v>
      </c>
      <c r="V309" s="2">
        <v>1</v>
      </c>
      <c r="W309" s="2">
        <v>33</v>
      </c>
      <c r="X309" s="2">
        <v>0</v>
      </c>
      <c r="Y309" s="2">
        <v>0</v>
      </c>
      <c r="Z309" s="2">
        <v>1</v>
      </c>
      <c r="AA309" s="2">
        <v>1</v>
      </c>
      <c r="AB309" s="2">
        <v>1</v>
      </c>
      <c r="AC309" s="2">
        <v>1</v>
      </c>
      <c r="AD309" s="2">
        <v>1</v>
      </c>
      <c r="AE309" s="2">
        <v>0</v>
      </c>
      <c r="AF309" s="2">
        <v>0</v>
      </c>
    </row>
    <row r="310" spans="1:32" x14ac:dyDescent="0.25">
      <c r="A310">
        <v>309</v>
      </c>
      <c r="B310" s="2">
        <v>1</v>
      </c>
      <c r="C310" s="2">
        <v>8</v>
      </c>
      <c r="D310" s="2">
        <v>2</v>
      </c>
      <c r="E310" s="2">
        <v>0</v>
      </c>
      <c r="F310" s="2">
        <v>0</v>
      </c>
      <c r="G310" s="2">
        <v>1</v>
      </c>
      <c r="H310" s="2">
        <v>0</v>
      </c>
      <c r="I310" s="2">
        <v>0</v>
      </c>
      <c r="J310" s="2">
        <v>0</v>
      </c>
      <c r="K310" s="2">
        <v>1237</v>
      </c>
      <c r="L310" s="2">
        <v>0</v>
      </c>
      <c r="M310" s="2">
        <v>2</v>
      </c>
      <c r="N310" s="2">
        <v>3</v>
      </c>
      <c r="O310" s="2">
        <v>0</v>
      </c>
      <c r="P310" s="2">
        <v>0</v>
      </c>
      <c r="Q310" s="2">
        <v>0</v>
      </c>
      <c r="R310" s="2">
        <v>0</v>
      </c>
      <c r="S310" s="2">
        <v>0</v>
      </c>
      <c r="T310" s="2">
        <v>4</v>
      </c>
      <c r="U310" s="2">
        <v>1</v>
      </c>
      <c r="V310" s="2">
        <v>0</v>
      </c>
      <c r="W310" s="2">
        <v>24</v>
      </c>
      <c r="X310" s="2">
        <v>0</v>
      </c>
      <c r="Y310" s="2">
        <v>0</v>
      </c>
      <c r="Z310" s="2">
        <v>1</v>
      </c>
      <c r="AA310" s="2">
        <v>1</v>
      </c>
      <c r="AB310" s="2">
        <v>2</v>
      </c>
      <c r="AC310" s="2">
        <v>1</v>
      </c>
      <c r="AD310" s="2">
        <v>0</v>
      </c>
      <c r="AE310" s="2">
        <v>0</v>
      </c>
      <c r="AF310" s="2">
        <v>0</v>
      </c>
    </row>
    <row r="311" spans="1:32" x14ac:dyDescent="0.25">
      <c r="A311">
        <v>310</v>
      </c>
      <c r="B311" s="2">
        <v>1</v>
      </c>
      <c r="C311" s="2">
        <v>9</v>
      </c>
      <c r="D311" s="2">
        <v>2</v>
      </c>
      <c r="E311" s="2">
        <v>1</v>
      </c>
      <c r="F311" s="2">
        <v>0</v>
      </c>
      <c r="G311" s="2">
        <v>0</v>
      </c>
      <c r="H311" s="2">
        <v>0</v>
      </c>
      <c r="I311" s="2">
        <v>0</v>
      </c>
      <c r="J311" s="2">
        <v>0</v>
      </c>
      <c r="K311" s="2">
        <v>276</v>
      </c>
      <c r="L311" s="2">
        <v>0</v>
      </c>
      <c r="M311" s="2">
        <v>2</v>
      </c>
      <c r="N311" s="2">
        <v>4</v>
      </c>
      <c r="O311" s="2">
        <v>0</v>
      </c>
      <c r="P311" s="2">
        <v>0</v>
      </c>
      <c r="Q311" s="2">
        <v>1</v>
      </c>
      <c r="R311" s="2">
        <v>0</v>
      </c>
      <c r="S311" s="2">
        <v>0</v>
      </c>
      <c r="T311" s="2">
        <v>4</v>
      </c>
      <c r="U311" s="2">
        <v>1</v>
      </c>
      <c r="V311" s="2">
        <v>0</v>
      </c>
      <c r="W311" s="2">
        <v>22</v>
      </c>
      <c r="X311" s="2">
        <v>0</v>
      </c>
      <c r="Y311" s="2">
        <v>1</v>
      </c>
      <c r="Z311" s="2">
        <v>0</v>
      </c>
      <c r="AA311" s="2">
        <v>1</v>
      </c>
      <c r="AB311" s="2">
        <v>1</v>
      </c>
      <c r="AC311" s="2">
        <v>1</v>
      </c>
      <c r="AD311" s="2">
        <v>0</v>
      </c>
      <c r="AE311" s="2">
        <v>0</v>
      </c>
      <c r="AF311" s="2">
        <v>1</v>
      </c>
    </row>
    <row r="312" spans="1:32" x14ac:dyDescent="0.25">
      <c r="A312">
        <v>311</v>
      </c>
      <c r="B312" s="2">
        <v>1</v>
      </c>
      <c r="C312" s="2">
        <v>48</v>
      </c>
      <c r="D312" s="2">
        <v>2</v>
      </c>
      <c r="E312" s="2">
        <v>0</v>
      </c>
      <c r="F312" s="2">
        <v>0</v>
      </c>
      <c r="G312" s="2">
        <v>0</v>
      </c>
      <c r="H312" s="2">
        <v>0</v>
      </c>
      <c r="I312" s="2">
        <v>0</v>
      </c>
      <c r="J312" s="2">
        <v>0</v>
      </c>
      <c r="K312" s="2">
        <v>5381</v>
      </c>
      <c r="L312" s="2">
        <v>4</v>
      </c>
      <c r="M312" s="2">
        <v>0</v>
      </c>
      <c r="N312" s="2">
        <v>3</v>
      </c>
      <c r="O312" s="2">
        <v>0</v>
      </c>
      <c r="P312" s="2">
        <v>1</v>
      </c>
      <c r="Q312" s="2">
        <v>0</v>
      </c>
      <c r="R312" s="2">
        <v>0</v>
      </c>
      <c r="S312" s="2">
        <v>0</v>
      </c>
      <c r="T312" s="2">
        <v>4</v>
      </c>
      <c r="U312" s="2">
        <v>0</v>
      </c>
      <c r="V312" s="2">
        <v>1</v>
      </c>
      <c r="W312" s="2">
        <v>40</v>
      </c>
      <c r="X312" s="2">
        <v>1</v>
      </c>
      <c r="Y312" s="2">
        <v>0</v>
      </c>
      <c r="Z312" s="2">
        <v>0</v>
      </c>
      <c r="AA312" s="2">
        <v>1</v>
      </c>
      <c r="AB312" s="2">
        <v>0</v>
      </c>
      <c r="AC312" s="2">
        <v>1</v>
      </c>
      <c r="AD312" s="2">
        <v>1</v>
      </c>
      <c r="AE312" s="2">
        <v>0</v>
      </c>
      <c r="AF312" s="2">
        <v>1</v>
      </c>
    </row>
    <row r="313" spans="1:32" x14ac:dyDescent="0.25">
      <c r="A313">
        <v>312</v>
      </c>
      <c r="B313" s="2">
        <v>3</v>
      </c>
      <c r="C313" s="2">
        <v>24</v>
      </c>
      <c r="D313" s="2">
        <v>2</v>
      </c>
      <c r="E313" s="2">
        <v>0</v>
      </c>
      <c r="F313" s="2">
        <v>0</v>
      </c>
      <c r="G313" s="2">
        <v>1</v>
      </c>
      <c r="H313" s="2">
        <v>0</v>
      </c>
      <c r="I313" s="2">
        <v>0</v>
      </c>
      <c r="J313" s="2">
        <v>0</v>
      </c>
      <c r="K313" s="2">
        <v>5511</v>
      </c>
      <c r="L313" s="2">
        <v>1</v>
      </c>
      <c r="M313" s="2">
        <v>2</v>
      </c>
      <c r="N313" s="2">
        <v>4</v>
      </c>
      <c r="O313" s="2">
        <v>0</v>
      </c>
      <c r="P313" s="2">
        <v>1</v>
      </c>
      <c r="Q313" s="2">
        <v>0</v>
      </c>
      <c r="R313" s="2">
        <v>0</v>
      </c>
      <c r="S313" s="2">
        <v>0</v>
      </c>
      <c r="T313" s="2">
        <v>1</v>
      </c>
      <c r="U313" s="2">
        <v>0</v>
      </c>
      <c r="V313" s="2">
        <v>0</v>
      </c>
      <c r="W313" s="2">
        <v>25</v>
      </c>
      <c r="X313" s="2">
        <v>1</v>
      </c>
      <c r="Y313" s="2">
        <v>0</v>
      </c>
      <c r="Z313" s="2">
        <v>1</v>
      </c>
      <c r="AA313" s="2">
        <v>1</v>
      </c>
      <c r="AB313" s="2">
        <v>2</v>
      </c>
      <c r="AC313" s="2">
        <v>1</v>
      </c>
      <c r="AD313" s="2">
        <v>0</v>
      </c>
      <c r="AE313" s="2">
        <v>0</v>
      </c>
      <c r="AF313" s="2">
        <v>1</v>
      </c>
    </row>
    <row r="314" spans="1:32" x14ac:dyDescent="0.25">
      <c r="A314">
        <v>313</v>
      </c>
      <c r="B314" s="2">
        <v>2</v>
      </c>
      <c r="C314" s="2">
        <v>24</v>
      </c>
      <c r="D314" s="2">
        <v>2</v>
      </c>
      <c r="E314" s="2">
        <v>0</v>
      </c>
      <c r="F314" s="2">
        <v>0</v>
      </c>
      <c r="G314" s="2">
        <v>1</v>
      </c>
      <c r="H314" s="2">
        <v>0</v>
      </c>
      <c r="I314" s="2">
        <v>0</v>
      </c>
      <c r="J314" s="2">
        <v>0</v>
      </c>
      <c r="K314" s="2">
        <v>3749</v>
      </c>
      <c r="L314" s="2">
        <v>0</v>
      </c>
      <c r="M314" s="2">
        <v>1</v>
      </c>
      <c r="N314" s="2">
        <v>2</v>
      </c>
      <c r="O314" s="2">
        <v>0</v>
      </c>
      <c r="P314" s="2">
        <v>0</v>
      </c>
      <c r="Q314" s="2">
        <v>0</v>
      </c>
      <c r="R314" s="2">
        <v>0</v>
      </c>
      <c r="S314" s="2">
        <v>0</v>
      </c>
      <c r="T314" s="2">
        <v>4</v>
      </c>
      <c r="U314" s="2">
        <v>0</v>
      </c>
      <c r="V314" s="2">
        <v>0</v>
      </c>
      <c r="W314" s="2">
        <v>26</v>
      </c>
      <c r="X314" s="2">
        <v>0</v>
      </c>
      <c r="Y314" s="2">
        <v>0</v>
      </c>
      <c r="Z314" s="2">
        <v>1</v>
      </c>
      <c r="AA314" s="2">
        <v>1</v>
      </c>
      <c r="AB314" s="2">
        <v>2</v>
      </c>
      <c r="AC314" s="2">
        <v>1</v>
      </c>
      <c r="AD314" s="2">
        <v>0</v>
      </c>
      <c r="AE314" s="2">
        <v>0</v>
      </c>
      <c r="AF314" s="2">
        <v>1</v>
      </c>
    </row>
    <row r="315" spans="1:32" x14ac:dyDescent="0.25">
      <c r="A315">
        <v>314</v>
      </c>
      <c r="B315" s="2">
        <v>1</v>
      </c>
      <c r="C315" s="2">
        <v>12</v>
      </c>
      <c r="D315" s="2">
        <v>2</v>
      </c>
      <c r="E315" s="2">
        <v>1</v>
      </c>
      <c r="F315" s="2">
        <v>0</v>
      </c>
      <c r="G315" s="2">
        <v>0</v>
      </c>
      <c r="H315" s="2">
        <v>0</v>
      </c>
      <c r="I315" s="2">
        <v>0</v>
      </c>
      <c r="J315" s="2">
        <v>0</v>
      </c>
      <c r="K315" s="2">
        <v>685</v>
      </c>
      <c r="L315" s="2">
        <v>0</v>
      </c>
      <c r="M315" s="2">
        <v>3</v>
      </c>
      <c r="N315" s="2">
        <v>2</v>
      </c>
      <c r="O315" s="2">
        <v>0</v>
      </c>
      <c r="P315" s="2">
        <v>0</v>
      </c>
      <c r="Q315" s="2">
        <v>1</v>
      </c>
      <c r="R315" s="2">
        <v>0</v>
      </c>
      <c r="S315" s="2">
        <v>0</v>
      </c>
      <c r="T315" s="2">
        <v>3</v>
      </c>
      <c r="U315" s="2">
        <v>0</v>
      </c>
      <c r="V315" s="2">
        <v>0</v>
      </c>
      <c r="W315" s="2">
        <v>25</v>
      </c>
      <c r="X315" s="2">
        <v>1</v>
      </c>
      <c r="Y315" s="2">
        <v>0</v>
      </c>
      <c r="Z315" s="2">
        <v>1</v>
      </c>
      <c r="AA315" s="2">
        <v>1</v>
      </c>
      <c r="AB315" s="2">
        <v>1</v>
      </c>
      <c r="AC315" s="2">
        <v>1</v>
      </c>
      <c r="AD315" s="2">
        <v>0</v>
      </c>
      <c r="AE315" s="2">
        <v>0</v>
      </c>
      <c r="AF315" s="2">
        <v>0</v>
      </c>
    </row>
    <row r="316" spans="1:32" x14ac:dyDescent="0.25">
      <c r="A316">
        <v>315</v>
      </c>
      <c r="B316" s="2">
        <v>2</v>
      </c>
      <c r="C316" s="2">
        <v>4</v>
      </c>
      <c r="D316" s="2">
        <v>2</v>
      </c>
      <c r="E316" s="2">
        <v>1</v>
      </c>
      <c r="F316" s="2">
        <v>0</v>
      </c>
      <c r="G316" s="2">
        <v>0</v>
      </c>
      <c r="H316" s="2">
        <v>0</v>
      </c>
      <c r="I316" s="2">
        <v>0</v>
      </c>
      <c r="J316" s="2">
        <v>0</v>
      </c>
      <c r="K316" s="2">
        <v>1494</v>
      </c>
      <c r="L316" s="2">
        <v>4</v>
      </c>
      <c r="M316" s="2">
        <v>1</v>
      </c>
      <c r="N316" s="2">
        <v>1</v>
      </c>
      <c r="O316" s="2">
        <v>0</v>
      </c>
      <c r="P316" s="2">
        <v>1</v>
      </c>
      <c r="Q316" s="2">
        <v>0</v>
      </c>
      <c r="R316" s="2">
        <v>0</v>
      </c>
      <c r="S316" s="2">
        <v>0</v>
      </c>
      <c r="T316" s="2">
        <v>2</v>
      </c>
      <c r="U316" s="2">
        <v>1</v>
      </c>
      <c r="V316" s="2">
        <v>0</v>
      </c>
      <c r="W316" s="2">
        <v>29</v>
      </c>
      <c r="X316" s="2">
        <v>0</v>
      </c>
      <c r="Y316" s="2">
        <v>0</v>
      </c>
      <c r="Z316" s="2">
        <v>1</v>
      </c>
      <c r="AA316" s="2">
        <v>1</v>
      </c>
      <c r="AB316" s="2">
        <v>1</v>
      </c>
      <c r="AC316" s="2">
        <v>2</v>
      </c>
      <c r="AD316" s="2">
        <v>0</v>
      </c>
      <c r="AE316" s="2">
        <v>1</v>
      </c>
      <c r="AF316" s="2">
        <v>1</v>
      </c>
    </row>
    <row r="317" spans="1:32" x14ac:dyDescent="0.25">
      <c r="A317">
        <v>316</v>
      </c>
      <c r="B317" s="2">
        <v>0</v>
      </c>
      <c r="C317" s="2">
        <v>36</v>
      </c>
      <c r="D317" s="2">
        <v>1</v>
      </c>
      <c r="E317" s="2">
        <v>0</v>
      </c>
      <c r="F317" s="2">
        <v>0</v>
      </c>
      <c r="G317" s="2">
        <v>1</v>
      </c>
      <c r="H317" s="2">
        <v>0</v>
      </c>
      <c r="I317" s="2">
        <v>0</v>
      </c>
      <c r="J317" s="2">
        <v>0</v>
      </c>
      <c r="K317" s="2">
        <v>2746</v>
      </c>
      <c r="L317" s="2">
        <v>0</v>
      </c>
      <c r="M317" s="2">
        <v>4</v>
      </c>
      <c r="N317" s="2">
        <v>4</v>
      </c>
      <c r="O317" s="2">
        <v>0</v>
      </c>
      <c r="P317" s="2">
        <v>1</v>
      </c>
      <c r="Q317" s="2">
        <v>0</v>
      </c>
      <c r="R317" s="2">
        <v>0</v>
      </c>
      <c r="S317" s="2">
        <v>0</v>
      </c>
      <c r="T317" s="2">
        <v>4</v>
      </c>
      <c r="U317" s="2">
        <v>0</v>
      </c>
      <c r="V317" s="2">
        <v>0</v>
      </c>
      <c r="W317" s="2">
        <v>31</v>
      </c>
      <c r="X317" s="2">
        <v>1</v>
      </c>
      <c r="Y317" s="2">
        <v>0</v>
      </c>
      <c r="Z317" s="2">
        <v>1</v>
      </c>
      <c r="AA317" s="2">
        <v>1</v>
      </c>
      <c r="AB317" s="2">
        <v>2</v>
      </c>
      <c r="AC317" s="2">
        <v>1</v>
      </c>
      <c r="AD317" s="2">
        <v>0</v>
      </c>
      <c r="AE317" s="2">
        <v>0</v>
      </c>
      <c r="AF317" s="2">
        <v>0</v>
      </c>
    </row>
    <row r="318" spans="1:32" x14ac:dyDescent="0.25">
      <c r="A318">
        <v>317</v>
      </c>
      <c r="B318" s="2">
        <v>0</v>
      </c>
      <c r="C318" s="2">
        <v>12</v>
      </c>
      <c r="D318" s="2">
        <v>2</v>
      </c>
      <c r="E318" s="2">
        <v>0</v>
      </c>
      <c r="F318" s="2">
        <v>0</v>
      </c>
      <c r="G318" s="2">
        <v>1</v>
      </c>
      <c r="H318" s="2">
        <v>0</v>
      </c>
      <c r="I318" s="2">
        <v>0</v>
      </c>
      <c r="J318" s="2">
        <v>0</v>
      </c>
      <c r="K318" s="2">
        <v>708</v>
      </c>
      <c r="L318" s="2">
        <v>0</v>
      </c>
      <c r="M318" s="2">
        <v>2</v>
      </c>
      <c r="N318" s="2">
        <v>2</v>
      </c>
      <c r="O318" s="2">
        <v>0</v>
      </c>
      <c r="P318" s="2">
        <v>1</v>
      </c>
      <c r="Q318" s="2">
        <v>0</v>
      </c>
      <c r="R318" s="2">
        <v>0</v>
      </c>
      <c r="S318" s="2">
        <v>1</v>
      </c>
      <c r="T318" s="2">
        <v>3</v>
      </c>
      <c r="U318" s="2">
        <v>0</v>
      </c>
      <c r="V318" s="2">
        <v>0</v>
      </c>
      <c r="W318" s="2">
        <v>38</v>
      </c>
      <c r="X318" s="2">
        <v>0</v>
      </c>
      <c r="Y318" s="2">
        <v>0</v>
      </c>
      <c r="Z318" s="2">
        <v>1</v>
      </c>
      <c r="AA318" s="2">
        <v>1</v>
      </c>
      <c r="AB318" s="2">
        <v>1</v>
      </c>
      <c r="AC318" s="2">
        <v>2</v>
      </c>
      <c r="AD318" s="2">
        <v>0</v>
      </c>
      <c r="AE318" s="2">
        <v>0</v>
      </c>
      <c r="AF318" s="2">
        <v>1</v>
      </c>
    </row>
    <row r="319" spans="1:32" x14ac:dyDescent="0.25">
      <c r="A319">
        <v>318</v>
      </c>
      <c r="B319" s="2">
        <v>1</v>
      </c>
      <c r="C319" s="2">
        <v>24</v>
      </c>
      <c r="D319" s="2">
        <v>2</v>
      </c>
      <c r="E319" s="2">
        <v>0</v>
      </c>
      <c r="F319" s="2">
        <v>0</v>
      </c>
      <c r="G319" s="2">
        <v>1</v>
      </c>
      <c r="H319" s="2">
        <v>0</v>
      </c>
      <c r="I319" s="2">
        <v>0</v>
      </c>
      <c r="J319" s="2">
        <v>0</v>
      </c>
      <c r="K319" s="2">
        <v>4351</v>
      </c>
      <c r="L319" s="2">
        <v>4</v>
      </c>
      <c r="M319" s="2">
        <v>2</v>
      </c>
      <c r="N319" s="2">
        <v>1</v>
      </c>
      <c r="O319" s="2">
        <v>0</v>
      </c>
      <c r="P319" s="2">
        <v>0</v>
      </c>
      <c r="Q319" s="2">
        <v>0</v>
      </c>
      <c r="R319" s="2">
        <v>0</v>
      </c>
      <c r="S319" s="2">
        <v>0</v>
      </c>
      <c r="T319" s="2">
        <v>4</v>
      </c>
      <c r="U319" s="2">
        <v>0</v>
      </c>
      <c r="V319" s="2">
        <v>0</v>
      </c>
      <c r="W319" s="2">
        <v>48</v>
      </c>
      <c r="X319" s="2">
        <v>0</v>
      </c>
      <c r="Y319" s="2">
        <v>0</v>
      </c>
      <c r="Z319" s="2">
        <v>1</v>
      </c>
      <c r="AA319" s="2">
        <v>1</v>
      </c>
      <c r="AB319" s="2">
        <v>1</v>
      </c>
      <c r="AC319" s="2">
        <v>1</v>
      </c>
      <c r="AD319" s="2">
        <v>1</v>
      </c>
      <c r="AE319" s="2">
        <v>0</v>
      </c>
      <c r="AF319" s="2">
        <v>1</v>
      </c>
    </row>
    <row r="320" spans="1:32" x14ac:dyDescent="0.25">
      <c r="A320">
        <v>319</v>
      </c>
      <c r="B320" s="2">
        <v>3</v>
      </c>
      <c r="C320" s="2">
        <v>12</v>
      </c>
      <c r="D320" s="2">
        <v>4</v>
      </c>
      <c r="E320" s="2">
        <v>0</v>
      </c>
      <c r="F320" s="2">
        <v>0</v>
      </c>
      <c r="G320" s="2">
        <v>0</v>
      </c>
      <c r="H320" s="2">
        <v>0</v>
      </c>
      <c r="I320" s="2">
        <v>1</v>
      </c>
      <c r="J320" s="2">
        <v>0</v>
      </c>
      <c r="K320" s="2">
        <v>701</v>
      </c>
      <c r="L320" s="2">
        <v>0</v>
      </c>
      <c r="M320" s="2">
        <v>2</v>
      </c>
      <c r="N320" s="2">
        <v>4</v>
      </c>
      <c r="O320" s="2">
        <v>0</v>
      </c>
      <c r="P320" s="2">
        <v>1</v>
      </c>
      <c r="Q320" s="2">
        <v>0</v>
      </c>
      <c r="R320" s="2">
        <v>0</v>
      </c>
      <c r="S320" s="2">
        <v>0</v>
      </c>
      <c r="T320" s="2">
        <v>2</v>
      </c>
      <c r="U320" s="2">
        <v>0</v>
      </c>
      <c r="V320" s="2">
        <v>0</v>
      </c>
      <c r="W320" s="2">
        <v>32</v>
      </c>
      <c r="X320" s="2">
        <v>0</v>
      </c>
      <c r="Y320" s="2">
        <v>0</v>
      </c>
      <c r="Z320" s="2">
        <v>1</v>
      </c>
      <c r="AA320" s="2">
        <v>2</v>
      </c>
      <c r="AB320" s="2">
        <v>2</v>
      </c>
      <c r="AC320" s="2">
        <v>1</v>
      </c>
      <c r="AD320" s="2">
        <v>0</v>
      </c>
      <c r="AE320" s="2">
        <v>0</v>
      </c>
      <c r="AF320" s="2">
        <v>1</v>
      </c>
    </row>
    <row r="321" spans="1:32" x14ac:dyDescent="0.25">
      <c r="A321">
        <v>320</v>
      </c>
      <c r="B321" s="2">
        <v>0</v>
      </c>
      <c r="C321" s="2">
        <v>15</v>
      </c>
      <c r="D321" s="2">
        <v>3</v>
      </c>
      <c r="E321" s="2">
        <v>0</v>
      </c>
      <c r="F321" s="2">
        <v>0</v>
      </c>
      <c r="G321" s="2">
        <v>1</v>
      </c>
      <c r="H321" s="2">
        <v>0</v>
      </c>
      <c r="I321" s="2">
        <v>0</v>
      </c>
      <c r="J321" s="2">
        <v>0</v>
      </c>
      <c r="K321" s="2">
        <v>3643</v>
      </c>
      <c r="L321" s="2">
        <v>0</v>
      </c>
      <c r="M321" s="2">
        <v>4</v>
      </c>
      <c r="N321" s="2">
        <v>1</v>
      </c>
      <c r="O321" s="2">
        <v>0</v>
      </c>
      <c r="P321" s="2">
        <v>0</v>
      </c>
      <c r="Q321" s="2">
        <v>0</v>
      </c>
      <c r="R321" s="2">
        <v>0</v>
      </c>
      <c r="S321" s="2">
        <v>0</v>
      </c>
      <c r="T321" s="2">
        <v>4</v>
      </c>
      <c r="U321" s="2">
        <v>0</v>
      </c>
      <c r="V321" s="2">
        <v>0</v>
      </c>
      <c r="W321" s="2">
        <v>27</v>
      </c>
      <c r="X321" s="2">
        <v>0</v>
      </c>
      <c r="Y321" s="2">
        <v>0</v>
      </c>
      <c r="Z321" s="2">
        <v>1</v>
      </c>
      <c r="AA321" s="2">
        <v>2</v>
      </c>
      <c r="AB321" s="2">
        <v>1</v>
      </c>
      <c r="AC321" s="2">
        <v>1</v>
      </c>
      <c r="AD321" s="2">
        <v>0</v>
      </c>
      <c r="AE321" s="2">
        <v>0</v>
      </c>
      <c r="AF321" s="2">
        <v>1</v>
      </c>
    </row>
    <row r="322" spans="1:32" x14ac:dyDescent="0.25">
      <c r="A322">
        <v>321</v>
      </c>
      <c r="B322" s="2">
        <v>1</v>
      </c>
      <c r="C322" s="2">
        <v>30</v>
      </c>
      <c r="D322" s="2">
        <v>4</v>
      </c>
      <c r="E322" s="2">
        <v>1</v>
      </c>
      <c r="F322" s="2">
        <v>0</v>
      </c>
      <c r="G322" s="2">
        <v>0</v>
      </c>
      <c r="H322" s="2">
        <v>0</v>
      </c>
      <c r="I322" s="2">
        <v>0</v>
      </c>
      <c r="J322" s="2">
        <v>0</v>
      </c>
      <c r="K322" s="2">
        <v>4249</v>
      </c>
      <c r="L322" s="2">
        <v>0</v>
      </c>
      <c r="M322" s="2">
        <v>0</v>
      </c>
      <c r="N322" s="2">
        <v>4</v>
      </c>
      <c r="O322" s="2">
        <v>0</v>
      </c>
      <c r="P322" s="2">
        <v>0</v>
      </c>
      <c r="Q322" s="2">
        <v>1</v>
      </c>
      <c r="R322" s="2">
        <v>0</v>
      </c>
      <c r="S322" s="2">
        <v>0</v>
      </c>
      <c r="T322" s="2">
        <v>2</v>
      </c>
      <c r="U322" s="2">
        <v>0</v>
      </c>
      <c r="V322" s="2">
        <v>0</v>
      </c>
      <c r="W322" s="2">
        <v>28</v>
      </c>
      <c r="X322" s="2">
        <v>0</v>
      </c>
      <c r="Y322" s="2">
        <v>0</v>
      </c>
      <c r="Z322" s="2">
        <v>1</v>
      </c>
      <c r="AA322" s="2">
        <v>2</v>
      </c>
      <c r="AB322" s="2">
        <v>3</v>
      </c>
      <c r="AC322" s="2">
        <v>1</v>
      </c>
      <c r="AD322" s="2">
        <v>0</v>
      </c>
      <c r="AE322" s="2">
        <v>0</v>
      </c>
      <c r="AF322" s="2">
        <v>0</v>
      </c>
    </row>
    <row r="323" spans="1:32" x14ac:dyDescent="0.25">
      <c r="A323">
        <v>322</v>
      </c>
      <c r="B323" s="2">
        <v>0</v>
      </c>
      <c r="C323" s="2">
        <v>24</v>
      </c>
      <c r="D323" s="2">
        <v>2</v>
      </c>
      <c r="E323" s="2">
        <v>0</v>
      </c>
      <c r="F323" s="2">
        <v>0</v>
      </c>
      <c r="G323" s="2">
        <v>0</v>
      </c>
      <c r="H323" s="2">
        <v>1</v>
      </c>
      <c r="I323" s="2">
        <v>0</v>
      </c>
      <c r="J323" s="2">
        <v>0</v>
      </c>
      <c r="K323" s="2">
        <v>1938</v>
      </c>
      <c r="L323" s="2">
        <v>0</v>
      </c>
      <c r="M323" s="2">
        <v>1</v>
      </c>
      <c r="N323" s="2">
        <v>4</v>
      </c>
      <c r="O323" s="2">
        <v>1</v>
      </c>
      <c r="P323" s="2">
        <v>0</v>
      </c>
      <c r="Q323" s="2">
        <v>0</v>
      </c>
      <c r="R323" s="2">
        <v>0</v>
      </c>
      <c r="S323" s="2">
        <v>0</v>
      </c>
      <c r="T323" s="2">
        <v>3</v>
      </c>
      <c r="U323" s="2">
        <v>0</v>
      </c>
      <c r="V323" s="2">
        <v>0</v>
      </c>
      <c r="W323" s="2">
        <v>32</v>
      </c>
      <c r="X323" s="2">
        <v>0</v>
      </c>
      <c r="Y323" s="2">
        <v>0</v>
      </c>
      <c r="Z323" s="2">
        <v>1</v>
      </c>
      <c r="AA323" s="2">
        <v>1</v>
      </c>
      <c r="AB323" s="2">
        <v>2</v>
      </c>
      <c r="AC323" s="2">
        <v>1</v>
      </c>
      <c r="AD323" s="2">
        <v>0</v>
      </c>
      <c r="AE323" s="2">
        <v>0</v>
      </c>
      <c r="AF323" s="2">
        <v>0</v>
      </c>
    </row>
    <row r="324" spans="1:32" x14ac:dyDescent="0.25">
      <c r="A324">
        <v>323</v>
      </c>
      <c r="B324" s="2">
        <v>0</v>
      </c>
      <c r="C324" s="2">
        <v>24</v>
      </c>
      <c r="D324" s="2">
        <v>2</v>
      </c>
      <c r="E324" s="2">
        <v>0</v>
      </c>
      <c r="F324" s="2">
        <v>1</v>
      </c>
      <c r="G324" s="2">
        <v>0</v>
      </c>
      <c r="H324" s="2">
        <v>0</v>
      </c>
      <c r="I324" s="2">
        <v>0</v>
      </c>
      <c r="J324" s="2">
        <v>0</v>
      </c>
      <c r="K324" s="2">
        <v>2910</v>
      </c>
      <c r="L324" s="2">
        <v>0</v>
      </c>
      <c r="M324" s="2">
        <v>3</v>
      </c>
      <c r="N324" s="2">
        <v>2</v>
      </c>
      <c r="O324" s="2">
        <v>0</v>
      </c>
      <c r="P324" s="2">
        <v>1</v>
      </c>
      <c r="Q324" s="2">
        <v>0</v>
      </c>
      <c r="R324" s="2">
        <v>0</v>
      </c>
      <c r="S324" s="2">
        <v>0</v>
      </c>
      <c r="T324" s="2">
        <v>1</v>
      </c>
      <c r="U324" s="2">
        <v>0</v>
      </c>
      <c r="V324" s="2">
        <v>1</v>
      </c>
      <c r="W324" s="2">
        <v>34</v>
      </c>
      <c r="X324" s="2">
        <v>0</v>
      </c>
      <c r="Y324" s="2">
        <v>0</v>
      </c>
      <c r="Z324" s="2">
        <v>0</v>
      </c>
      <c r="AA324" s="2">
        <v>1</v>
      </c>
      <c r="AB324" s="2">
        <v>3</v>
      </c>
      <c r="AC324" s="2">
        <v>1</v>
      </c>
      <c r="AD324" s="2">
        <v>1</v>
      </c>
      <c r="AE324" s="2">
        <v>0</v>
      </c>
      <c r="AF324" s="2">
        <v>1</v>
      </c>
    </row>
    <row r="325" spans="1:32" x14ac:dyDescent="0.25">
      <c r="A325">
        <v>324</v>
      </c>
      <c r="B325" s="2">
        <v>0</v>
      </c>
      <c r="C325" s="2">
        <v>18</v>
      </c>
      <c r="D325" s="2">
        <v>2</v>
      </c>
      <c r="E325" s="2">
        <v>0</v>
      </c>
      <c r="F325" s="2">
        <v>0</v>
      </c>
      <c r="G325" s="2">
        <v>1</v>
      </c>
      <c r="H325" s="2">
        <v>0</v>
      </c>
      <c r="I325" s="2">
        <v>0</v>
      </c>
      <c r="J325" s="2">
        <v>0</v>
      </c>
      <c r="K325" s="2">
        <v>2659</v>
      </c>
      <c r="L325" s="2">
        <v>3</v>
      </c>
      <c r="M325" s="2">
        <v>2</v>
      </c>
      <c r="N325" s="2">
        <v>4</v>
      </c>
      <c r="O325" s="2">
        <v>0</v>
      </c>
      <c r="P325" s="2">
        <v>1</v>
      </c>
      <c r="Q325" s="2">
        <v>0</v>
      </c>
      <c r="R325" s="2">
        <v>0</v>
      </c>
      <c r="S325" s="2">
        <v>0</v>
      </c>
      <c r="T325" s="2">
        <v>2</v>
      </c>
      <c r="U325" s="2">
        <v>0</v>
      </c>
      <c r="V325" s="2">
        <v>0</v>
      </c>
      <c r="W325" s="2">
        <v>28</v>
      </c>
      <c r="X325" s="2">
        <v>0</v>
      </c>
      <c r="Y325" s="2">
        <v>0</v>
      </c>
      <c r="Z325" s="2">
        <v>1</v>
      </c>
      <c r="AA325" s="2">
        <v>1</v>
      </c>
      <c r="AB325" s="2">
        <v>2</v>
      </c>
      <c r="AC325" s="2">
        <v>1</v>
      </c>
      <c r="AD325" s="2">
        <v>0</v>
      </c>
      <c r="AE325" s="2">
        <v>0</v>
      </c>
      <c r="AF325" s="2">
        <v>1</v>
      </c>
    </row>
    <row r="326" spans="1:32" x14ac:dyDescent="0.25">
      <c r="A326">
        <v>325</v>
      </c>
      <c r="B326" s="2">
        <v>3</v>
      </c>
      <c r="C326" s="2">
        <v>18</v>
      </c>
      <c r="D326" s="2">
        <v>4</v>
      </c>
      <c r="E326" s="2">
        <v>1</v>
      </c>
      <c r="F326" s="2">
        <v>0</v>
      </c>
      <c r="G326" s="2">
        <v>0</v>
      </c>
      <c r="H326" s="2">
        <v>0</v>
      </c>
      <c r="I326" s="2">
        <v>0</v>
      </c>
      <c r="J326" s="2">
        <v>0</v>
      </c>
      <c r="K326" s="2">
        <v>1028</v>
      </c>
      <c r="L326" s="2">
        <v>0</v>
      </c>
      <c r="M326" s="2">
        <v>2</v>
      </c>
      <c r="N326" s="2">
        <v>4</v>
      </c>
      <c r="O326" s="2">
        <v>0</v>
      </c>
      <c r="P326" s="2">
        <v>0</v>
      </c>
      <c r="Q326" s="2">
        <v>0</v>
      </c>
      <c r="R326" s="2">
        <v>0</v>
      </c>
      <c r="S326" s="2">
        <v>0</v>
      </c>
      <c r="T326" s="2">
        <v>3</v>
      </c>
      <c r="U326" s="2">
        <v>1</v>
      </c>
      <c r="V326" s="2">
        <v>0</v>
      </c>
      <c r="W326" s="2">
        <v>36</v>
      </c>
      <c r="X326" s="2">
        <v>0</v>
      </c>
      <c r="Y326" s="2">
        <v>0</v>
      </c>
      <c r="Z326" s="2">
        <v>1</v>
      </c>
      <c r="AA326" s="2">
        <v>2</v>
      </c>
      <c r="AB326" s="2">
        <v>2</v>
      </c>
      <c r="AC326" s="2">
        <v>1</v>
      </c>
      <c r="AD326" s="2">
        <v>0</v>
      </c>
      <c r="AE326" s="2">
        <v>0</v>
      </c>
      <c r="AF326" s="2">
        <v>1</v>
      </c>
    </row>
    <row r="327" spans="1:32" x14ac:dyDescent="0.25">
      <c r="A327">
        <v>326</v>
      </c>
      <c r="B327" s="2">
        <v>0</v>
      </c>
      <c r="C327" s="2">
        <v>8</v>
      </c>
      <c r="D327" s="2">
        <v>4</v>
      </c>
      <c r="E327" s="2">
        <v>1</v>
      </c>
      <c r="F327" s="2">
        <v>0</v>
      </c>
      <c r="G327" s="2">
        <v>0</v>
      </c>
      <c r="H327" s="2">
        <v>0</v>
      </c>
      <c r="I327" s="2">
        <v>0</v>
      </c>
      <c r="J327" s="2">
        <v>0</v>
      </c>
      <c r="K327" s="2">
        <v>3398</v>
      </c>
      <c r="L327" s="2">
        <v>0</v>
      </c>
      <c r="M327" s="2">
        <v>3</v>
      </c>
      <c r="N327" s="2">
        <v>1</v>
      </c>
      <c r="O327" s="2">
        <v>0</v>
      </c>
      <c r="P327" s="2">
        <v>1</v>
      </c>
      <c r="Q327" s="2">
        <v>0</v>
      </c>
      <c r="R327" s="2">
        <v>0</v>
      </c>
      <c r="S327" s="2">
        <v>0</v>
      </c>
      <c r="T327" s="2">
        <v>4</v>
      </c>
      <c r="U327" s="2">
        <v>1</v>
      </c>
      <c r="V327" s="2">
        <v>0</v>
      </c>
      <c r="W327" s="2">
        <v>39</v>
      </c>
      <c r="X327" s="2">
        <v>0</v>
      </c>
      <c r="Y327" s="2">
        <v>0</v>
      </c>
      <c r="Z327" s="2">
        <v>1</v>
      </c>
      <c r="AA327" s="2">
        <v>2</v>
      </c>
      <c r="AB327" s="2">
        <v>1</v>
      </c>
      <c r="AC327" s="2">
        <v>1</v>
      </c>
      <c r="AD327" s="2">
        <v>0</v>
      </c>
      <c r="AE327" s="2">
        <v>1</v>
      </c>
      <c r="AF327" s="2">
        <v>1</v>
      </c>
    </row>
    <row r="328" spans="1:32" x14ac:dyDescent="0.25">
      <c r="A328">
        <v>327</v>
      </c>
      <c r="B328" s="2">
        <v>3</v>
      </c>
      <c r="C328" s="2">
        <v>12</v>
      </c>
      <c r="D328" s="2">
        <v>4</v>
      </c>
      <c r="E328" s="2">
        <v>0</v>
      </c>
      <c r="F328" s="2">
        <v>0</v>
      </c>
      <c r="G328" s="2">
        <v>1</v>
      </c>
      <c r="H328" s="2">
        <v>0</v>
      </c>
      <c r="I328" s="2">
        <v>0</v>
      </c>
      <c r="J328" s="2">
        <v>0</v>
      </c>
      <c r="K328" s="2">
        <v>5801</v>
      </c>
      <c r="L328" s="2">
        <v>4</v>
      </c>
      <c r="M328" s="2">
        <v>4</v>
      </c>
      <c r="N328" s="2">
        <v>2</v>
      </c>
      <c r="O328" s="2">
        <v>0</v>
      </c>
      <c r="P328" s="2">
        <v>1</v>
      </c>
      <c r="Q328" s="2">
        <v>0</v>
      </c>
      <c r="R328" s="2">
        <v>0</v>
      </c>
      <c r="S328" s="2">
        <v>0</v>
      </c>
      <c r="T328" s="2">
        <v>4</v>
      </c>
      <c r="U328" s="2">
        <v>0</v>
      </c>
      <c r="V328" s="2">
        <v>0</v>
      </c>
      <c r="W328" s="2">
        <v>49</v>
      </c>
      <c r="X328" s="2">
        <v>0</v>
      </c>
      <c r="Y328" s="2">
        <v>1</v>
      </c>
      <c r="Z328" s="2">
        <v>0</v>
      </c>
      <c r="AA328" s="2">
        <v>1</v>
      </c>
      <c r="AB328" s="2">
        <v>2</v>
      </c>
      <c r="AC328" s="2">
        <v>1</v>
      </c>
      <c r="AD328" s="2">
        <v>1</v>
      </c>
      <c r="AE328" s="2">
        <v>0</v>
      </c>
      <c r="AF328" s="2">
        <v>1</v>
      </c>
    </row>
    <row r="329" spans="1:32" x14ac:dyDescent="0.25">
      <c r="A329">
        <v>328</v>
      </c>
      <c r="B329" s="2">
        <v>3</v>
      </c>
      <c r="C329" s="2">
        <v>24</v>
      </c>
      <c r="D329" s="2">
        <v>2</v>
      </c>
      <c r="E329" s="2">
        <v>1</v>
      </c>
      <c r="F329" s="2">
        <v>0</v>
      </c>
      <c r="G329" s="2">
        <v>0</v>
      </c>
      <c r="H329" s="2">
        <v>0</v>
      </c>
      <c r="I329" s="2">
        <v>0</v>
      </c>
      <c r="J329" s="2">
        <v>0</v>
      </c>
      <c r="K329" s="2">
        <v>1525</v>
      </c>
      <c r="L329" s="2">
        <v>3</v>
      </c>
      <c r="M329" s="2">
        <v>3</v>
      </c>
      <c r="N329" s="2">
        <v>4</v>
      </c>
      <c r="O329" s="2">
        <v>0</v>
      </c>
      <c r="P329" s="2">
        <v>0</v>
      </c>
      <c r="Q329" s="2">
        <v>0</v>
      </c>
      <c r="R329" s="2">
        <v>0</v>
      </c>
      <c r="S329" s="2">
        <v>0</v>
      </c>
      <c r="T329" s="2">
        <v>3</v>
      </c>
      <c r="U329" s="2">
        <v>0</v>
      </c>
      <c r="V329" s="2">
        <v>0</v>
      </c>
      <c r="W329" s="2">
        <v>34</v>
      </c>
      <c r="X329" s="2">
        <v>0</v>
      </c>
      <c r="Y329" s="2">
        <v>0</v>
      </c>
      <c r="Z329" s="2">
        <v>1</v>
      </c>
      <c r="AA329" s="2">
        <v>1</v>
      </c>
      <c r="AB329" s="2">
        <v>2</v>
      </c>
      <c r="AC329" s="2">
        <v>2</v>
      </c>
      <c r="AD329" s="2">
        <v>1</v>
      </c>
      <c r="AE329" s="2">
        <v>0</v>
      </c>
      <c r="AF329" s="2">
        <v>1</v>
      </c>
    </row>
    <row r="330" spans="1:32" x14ac:dyDescent="0.25">
      <c r="A330">
        <v>329</v>
      </c>
      <c r="B330" s="2">
        <v>2</v>
      </c>
      <c r="C330" s="2">
        <v>36</v>
      </c>
      <c r="D330" s="2">
        <v>2</v>
      </c>
      <c r="E330" s="2">
        <v>0</v>
      </c>
      <c r="F330" s="2">
        <v>0</v>
      </c>
      <c r="G330" s="2">
        <v>0</v>
      </c>
      <c r="H330" s="2">
        <v>1</v>
      </c>
      <c r="I330" s="2">
        <v>0</v>
      </c>
      <c r="J330" s="2">
        <v>0</v>
      </c>
      <c r="K330" s="2">
        <v>4473</v>
      </c>
      <c r="L330" s="2">
        <v>0</v>
      </c>
      <c r="M330" s="2">
        <v>4</v>
      </c>
      <c r="N330" s="2">
        <v>4</v>
      </c>
      <c r="O330" s="2">
        <v>0</v>
      </c>
      <c r="P330" s="2">
        <v>1</v>
      </c>
      <c r="Q330" s="2">
        <v>0</v>
      </c>
      <c r="R330" s="2">
        <v>0</v>
      </c>
      <c r="S330" s="2">
        <v>0</v>
      </c>
      <c r="T330" s="2">
        <v>2</v>
      </c>
      <c r="U330" s="2">
        <v>0</v>
      </c>
      <c r="V330" s="2">
        <v>0</v>
      </c>
      <c r="W330" s="2">
        <v>31</v>
      </c>
      <c r="X330" s="2">
        <v>0</v>
      </c>
      <c r="Y330" s="2">
        <v>0</v>
      </c>
      <c r="Z330" s="2">
        <v>1</v>
      </c>
      <c r="AA330" s="2">
        <v>1</v>
      </c>
      <c r="AB330" s="2">
        <v>2</v>
      </c>
      <c r="AC330" s="2">
        <v>1</v>
      </c>
      <c r="AD330" s="2">
        <v>0</v>
      </c>
      <c r="AE330" s="2">
        <v>0</v>
      </c>
      <c r="AF330" s="2">
        <v>1</v>
      </c>
    </row>
    <row r="331" spans="1:32" x14ac:dyDescent="0.25">
      <c r="A331">
        <v>330</v>
      </c>
      <c r="B331" s="2">
        <v>1</v>
      </c>
      <c r="C331" s="2">
        <v>6</v>
      </c>
      <c r="D331" s="2">
        <v>2</v>
      </c>
      <c r="E331" s="2">
        <v>0</v>
      </c>
      <c r="F331" s="2">
        <v>0</v>
      </c>
      <c r="G331" s="2">
        <v>0</v>
      </c>
      <c r="H331" s="2">
        <v>1</v>
      </c>
      <c r="I331" s="2">
        <v>0</v>
      </c>
      <c r="J331" s="2">
        <v>0</v>
      </c>
      <c r="K331" s="2">
        <v>1068</v>
      </c>
      <c r="L331" s="2">
        <v>0</v>
      </c>
      <c r="M331" s="2">
        <v>4</v>
      </c>
      <c r="N331" s="2">
        <v>4</v>
      </c>
      <c r="O331" s="2">
        <v>0</v>
      </c>
      <c r="P331" s="2">
        <v>1</v>
      </c>
      <c r="Q331" s="2">
        <v>0</v>
      </c>
      <c r="R331" s="2">
        <v>0</v>
      </c>
      <c r="S331" s="2">
        <v>0</v>
      </c>
      <c r="T331" s="2">
        <v>4</v>
      </c>
      <c r="U331" s="2">
        <v>0</v>
      </c>
      <c r="V331" s="2">
        <v>0</v>
      </c>
      <c r="W331" s="2">
        <v>28</v>
      </c>
      <c r="X331" s="2">
        <v>0</v>
      </c>
      <c r="Y331" s="2">
        <v>0</v>
      </c>
      <c r="Z331" s="2">
        <v>1</v>
      </c>
      <c r="AA331" s="2">
        <v>1</v>
      </c>
      <c r="AB331" s="2">
        <v>2</v>
      </c>
      <c r="AC331" s="2">
        <v>2</v>
      </c>
      <c r="AD331" s="2">
        <v>0</v>
      </c>
      <c r="AE331" s="2">
        <v>0</v>
      </c>
      <c r="AF331" s="2">
        <v>1</v>
      </c>
    </row>
    <row r="332" spans="1:32" x14ac:dyDescent="0.25">
      <c r="A332">
        <v>331</v>
      </c>
      <c r="B332" s="2">
        <v>0</v>
      </c>
      <c r="C332" s="2">
        <v>24</v>
      </c>
      <c r="D332" s="2">
        <v>4</v>
      </c>
      <c r="E332" s="2">
        <v>0</v>
      </c>
      <c r="F332" s="2">
        <v>1</v>
      </c>
      <c r="G332" s="2">
        <v>0</v>
      </c>
      <c r="H332" s="2">
        <v>0</v>
      </c>
      <c r="I332" s="2">
        <v>0</v>
      </c>
      <c r="J332" s="2">
        <v>0</v>
      </c>
      <c r="K332" s="2">
        <v>6615</v>
      </c>
      <c r="L332" s="2">
        <v>0</v>
      </c>
      <c r="M332" s="2">
        <v>0</v>
      </c>
      <c r="N332" s="2">
        <v>2</v>
      </c>
      <c r="O332" s="2">
        <v>0</v>
      </c>
      <c r="P332" s="2">
        <v>1</v>
      </c>
      <c r="Q332" s="2">
        <v>0</v>
      </c>
      <c r="R332" s="2">
        <v>0</v>
      </c>
      <c r="S332" s="2">
        <v>0</v>
      </c>
      <c r="T332" s="2">
        <v>4</v>
      </c>
      <c r="U332" s="2">
        <v>0</v>
      </c>
      <c r="V332" s="2">
        <v>1</v>
      </c>
      <c r="W332" s="2">
        <v>75</v>
      </c>
      <c r="X332" s="2">
        <v>0</v>
      </c>
      <c r="Y332" s="2">
        <v>0</v>
      </c>
      <c r="Z332" s="2">
        <v>0</v>
      </c>
      <c r="AA332" s="2">
        <v>2</v>
      </c>
      <c r="AB332" s="2">
        <v>3</v>
      </c>
      <c r="AC332" s="2">
        <v>1</v>
      </c>
      <c r="AD332" s="2">
        <v>1</v>
      </c>
      <c r="AE332" s="2">
        <v>0</v>
      </c>
      <c r="AF332" s="2">
        <v>1</v>
      </c>
    </row>
    <row r="333" spans="1:32" x14ac:dyDescent="0.25">
      <c r="A333">
        <v>332</v>
      </c>
      <c r="B333" s="2">
        <v>3</v>
      </c>
      <c r="C333" s="2">
        <v>18</v>
      </c>
      <c r="D333" s="2">
        <v>4</v>
      </c>
      <c r="E333" s="2">
        <v>0</v>
      </c>
      <c r="F333" s="2">
        <v>0</v>
      </c>
      <c r="G333" s="2">
        <v>0</v>
      </c>
      <c r="H333" s="2">
        <v>0</v>
      </c>
      <c r="I333" s="2">
        <v>1</v>
      </c>
      <c r="J333" s="2">
        <v>0</v>
      </c>
      <c r="K333" s="2">
        <v>1864</v>
      </c>
      <c r="L333" s="2">
        <v>1</v>
      </c>
      <c r="M333" s="2">
        <v>2</v>
      </c>
      <c r="N333" s="2">
        <v>4</v>
      </c>
      <c r="O333" s="2">
        <v>0</v>
      </c>
      <c r="P333" s="2">
        <v>0</v>
      </c>
      <c r="Q333" s="2">
        <v>0</v>
      </c>
      <c r="R333" s="2">
        <v>0</v>
      </c>
      <c r="S333" s="2">
        <v>0</v>
      </c>
      <c r="T333" s="2">
        <v>2</v>
      </c>
      <c r="U333" s="2">
        <v>1</v>
      </c>
      <c r="V333" s="2">
        <v>0</v>
      </c>
      <c r="W333" s="2">
        <v>30</v>
      </c>
      <c r="X333" s="2">
        <v>0</v>
      </c>
      <c r="Y333" s="2">
        <v>0</v>
      </c>
      <c r="Z333" s="2">
        <v>1</v>
      </c>
      <c r="AA333" s="2">
        <v>2</v>
      </c>
      <c r="AB333" s="2">
        <v>2</v>
      </c>
      <c r="AC333" s="2">
        <v>1</v>
      </c>
      <c r="AD333" s="2">
        <v>0</v>
      </c>
      <c r="AE333" s="2">
        <v>0</v>
      </c>
      <c r="AF333" s="2">
        <v>0</v>
      </c>
    </row>
    <row r="334" spans="1:32" x14ac:dyDescent="0.25">
      <c r="A334">
        <v>333</v>
      </c>
      <c r="B334" s="2">
        <v>1</v>
      </c>
      <c r="C334" s="2">
        <v>60</v>
      </c>
      <c r="D334" s="2">
        <v>2</v>
      </c>
      <c r="E334" s="2">
        <v>1</v>
      </c>
      <c r="F334" s="2">
        <v>0</v>
      </c>
      <c r="G334" s="2">
        <v>0</v>
      </c>
      <c r="H334" s="2">
        <v>0</v>
      </c>
      <c r="I334" s="2">
        <v>0</v>
      </c>
      <c r="J334" s="2">
        <v>0</v>
      </c>
      <c r="K334" s="2">
        <v>7408</v>
      </c>
      <c r="L334" s="2">
        <v>1</v>
      </c>
      <c r="M334" s="2">
        <v>1</v>
      </c>
      <c r="N334" s="2">
        <v>4</v>
      </c>
      <c r="O334" s="2">
        <v>0</v>
      </c>
      <c r="P334" s="2">
        <v>0</v>
      </c>
      <c r="Q334" s="2">
        <v>0</v>
      </c>
      <c r="R334" s="2">
        <v>0</v>
      </c>
      <c r="S334" s="2">
        <v>0</v>
      </c>
      <c r="T334" s="2">
        <v>2</v>
      </c>
      <c r="U334" s="2">
        <v>0</v>
      </c>
      <c r="V334" s="2">
        <v>0</v>
      </c>
      <c r="W334" s="2">
        <v>24</v>
      </c>
      <c r="X334" s="2">
        <v>0</v>
      </c>
      <c r="Y334" s="2">
        <v>0</v>
      </c>
      <c r="Z334" s="2">
        <v>1</v>
      </c>
      <c r="AA334" s="2">
        <v>1</v>
      </c>
      <c r="AB334" s="2">
        <v>3</v>
      </c>
      <c r="AC334" s="2">
        <v>1</v>
      </c>
      <c r="AD334" s="2">
        <v>0</v>
      </c>
      <c r="AE334" s="2">
        <v>0</v>
      </c>
      <c r="AF334" s="2">
        <v>0</v>
      </c>
    </row>
    <row r="335" spans="1:32" x14ac:dyDescent="0.25">
      <c r="A335">
        <v>334</v>
      </c>
      <c r="B335" s="2">
        <v>3</v>
      </c>
      <c r="C335" s="2">
        <v>48</v>
      </c>
      <c r="D335" s="2">
        <v>4</v>
      </c>
      <c r="E335" s="2">
        <v>0</v>
      </c>
      <c r="F335" s="2">
        <v>1</v>
      </c>
      <c r="G335" s="2">
        <v>0</v>
      </c>
      <c r="H335" s="2">
        <v>0</v>
      </c>
      <c r="I335" s="2">
        <v>0</v>
      </c>
      <c r="J335" s="2">
        <v>0</v>
      </c>
      <c r="K335" s="2">
        <v>11590</v>
      </c>
      <c r="L335" s="2">
        <v>1</v>
      </c>
      <c r="M335" s="2">
        <v>2</v>
      </c>
      <c r="N335" s="2">
        <v>2</v>
      </c>
      <c r="O335" s="2">
        <v>0</v>
      </c>
      <c r="P335" s="2">
        <v>0</v>
      </c>
      <c r="Q335" s="2">
        <v>0</v>
      </c>
      <c r="R335" s="2">
        <v>0</v>
      </c>
      <c r="S335" s="2">
        <v>0</v>
      </c>
      <c r="T335" s="2">
        <v>4</v>
      </c>
      <c r="U335" s="2">
        <v>0</v>
      </c>
      <c r="V335" s="2">
        <v>0</v>
      </c>
      <c r="W335" s="2">
        <v>24</v>
      </c>
      <c r="X335" s="2">
        <v>1</v>
      </c>
      <c r="Y335" s="2">
        <v>1</v>
      </c>
      <c r="Z335" s="2">
        <v>0</v>
      </c>
      <c r="AA335" s="2">
        <v>2</v>
      </c>
      <c r="AB335" s="2">
        <v>1</v>
      </c>
      <c r="AC335" s="2">
        <v>1</v>
      </c>
      <c r="AD335" s="2">
        <v>0</v>
      </c>
      <c r="AE335" s="2">
        <v>0</v>
      </c>
      <c r="AF335" s="2">
        <v>0</v>
      </c>
    </row>
    <row r="336" spans="1:32" x14ac:dyDescent="0.25">
      <c r="A336">
        <v>335</v>
      </c>
      <c r="B336" s="2">
        <v>0</v>
      </c>
      <c r="C336" s="2">
        <v>24</v>
      </c>
      <c r="D336" s="2">
        <v>0</v>
      </c>
      <c r="E336" s="2">
        <v>0</v>
      </c>
      <c r="F336" s="2">
        <v>0</v>
      </c>
      <c r="G336" s="2">
        <v>1</v>
      </c>
      <c r="H336" s="2">
        <v>0</v>
      </c>
      <c r="I336" s="2">
        <v>0</v>
      </c>
      <c r="J336" s="2">
        <v>0</v>
      </c>
      <c r="K336" s="2">
        <v>4110</v>
      </c>
      <c r="L336" s="2">
        <v>0</v>
      </c>
      <c r="M336" s="2">
        <v>4</v>
      </c>
      <c r="N336" s="2">
        <v>3</v>
      </c>
      <c r="O336" s="2">
        <v>0</v>
      </c>
      <c r="P336" s="2">
        <v>1</v>
      </c>
      <c r="Q336" s="2">
        <v>0</v>
      </c>
      <c r="R336" s="2">
        <v>0</v>
      </c>
      <c r="S336" s="2">
        <v>0</v>
      </c>
      <c r="T336" s="2">
        <v>4</v>
      </c>
      <c r="U336" s="2">
        <v>0</v>
      </c>
      <c r="V336" s="2">
        <v>1</v>
      </c>
      <c r="W336" s="2">
        <v>23</v>
      </c>
      <c r="X336" s="2">
        <v>1</v>
      </c>
      <c r="Y336" s="2">
        <v>1</v>
      </c>
      <c r="Z336" s="2">
        <v>0</v>
      </c>
      <c r="AA336" s="2">
        <v>2</v>
      </c>
      <c r="AB336" s="2">
        <v>2</v>
      </c>
      <c r="AC336" s="2">
        <v>2</v>
      </c>
      <c r="AD336" s="2">
        <v>0</v>
      </c>
      <c r="AE336" s="2">
        <v>0</v>
      </c>
      <c r="AF336" s="2">
        <v>0</v>
      </c>
    </row>
    <row r="337" spans="1:32" x14ac:dyDescent="0.25">
      <c r="A337">
        <v>336</v>
      </c>
      <c r="B337" s="2">
        <v>0</v>
      </c>
      <c r="C337" s="2">
        <v>6</v>
      </c>
      <c r="D337" s="2">
        <v>4</v>
      </c>
      <c r="E337" s="2">
        <v>0</v>
      </c>
      <c r="F337" s="2">
        <v>0</v>
      </c>
      <c r="G337" s="2">
        <v>1</v>
      </c>
      <c r="H337" s="2">
        <v>0</v>
      </c>
      <c r="I337" s="2">
        <v>0</v>
      </c>
      <c r="J337" s="2">
        <v>0</v>
      </c>
      <c r="K337" s="2">
        <v>3384</v>
      </c>
      <c r="L337" s="2">
        <v>0</v>
      </c>
      <c r="M337" s="2">
        <v>2</v>
      </c>
      <c r="N337" s="2">
        <v>1</v>
      </c>
      <c r="O337" s="2">
        <v>1</v>
      </c>
      <c r="P337" s="2">
        <v>0</v>
      </c>
      <c r="Q337" s="2">
        <v>0</v>
      </c>
      <c r="R337" s="2">
        <v>0</v>
      </c>
      <c r="S337" s="2">
        <v>0</v>
      </c>
      <c r="T337" s="2">
        <v>4</v>
      </c>
      <c r="U337" s="2">
        <v>1</v>
      </c>
      <c r="V337" s="2">
        <v>0</v>
      </c>
      <c r="W337" s="2">
        <v>44</v>
      </c>
      <c r="X337" s="2">
        <v>0</v>
      </c>
      <c r="Y337" s="2">
        <v>1</v>
      </c>
      <c r="Z337" s="2">
        <v>0</v>
      </c>
      <c r="AA337" s="2">
        <v>1</v>
      </c>
      <c r="AB337" s="2">
        <v>3</v>
      </c>
      <c r="AC337" s="2">
        <v>1</v>
      </c>
      <c r="AD337" s="2">
        <v>1</v>
      </c>
      <c r="AE337" s="2">
        <v>0</v>
      </c>
      <c r="AF337" s="2">
        <v>0</v>
      </c>
    </row>
    <row r="338" spans="1:32" x14ac:dyDescent="0.25">
      <c r="A338">
        <v>337</v>
      </c>
      <c r="B338" s="2">
        <v>1</v>
      </c>
      <c r="C338" s="2">
        <v>13</v>
      </c>
      <c r="D338" s="2">
        <v>2</v>
      </c>
      <c r="E338" s="2">
        <v>0</v>
      </c>
      <c r="F338" s="2">
        <v>0</v>
      </c>
      <c r="G338" s="2">
        <v>0</v>
      </c>
      <c r="H338" s="2">
        <v>1</v>
      </c>
      <c r="I338" s="2">
        <v>0</v>
      </c>
      <c r="J338" s="2">
        <v>0</v>
      </c>
      <c r="K338" s="2">
        <v>2101</v>
      </c>
      <c r="L338" s="2">
        <v>0</v>
      </c>
      <c r="M338" s="2">
        <v>1</v>
      </c>
      <c r="N338" s="2">
        <v>2</v>
      </c>
      <c r="O338" s="2">
        <v>0</v>
      </c>
      <c r="P338" s="2">
        <v>0</v>
      </c>
      <c r="Q338" s="2">
        <v>0</v>
      </c>
      <c r="R338" s="2">
        <v>0</v>
      </c>
      <c r="S338" s="2">
        <v>1</v>
      </c>
      <c r="T338" s="2">
        <v>4</v>
      </c>
      <c r="U338" s="2">
        <v>0</v>
      </c>
      <c r="V338" s="2">
        <v>0</v>
      </c>
      <c r="W338" s="2">
        <v>23</v>
      </c>
      <c r="X338" s="2">
        <v>0</v>
      </c>
      <c r="Y338" s="2">
        <v>0</v>
      </c>
      <c r="Z338" s="2">
        <v>1</v>
      </c>
      <c r="AA338" s="2">
        <v>1</v>
      </c>
      <c r="AB338" s="2">
        <v>1</v>
      </c>
      <c r="AC338" s="2">
        <v>1</v>
      </c>
      <c r="AD338" s="2">
        <v>0</v>
      </c>
      <c r="AE338" s="2">
        <v>0</v>
      </c>
      <c r="AF338" s="2">
        <v>1</v>
      </c>
    </row>
    <row r="339" spans="1:32" x14ac:dyDescent="0.25">
      <c r="A339">
        <v>338</v>
      </c>
      <c r="B339" s="2">
        <v>0</v>
      </c>
      <c r="C339" s="2">
        <v>15</v>
      </c>
      <c r="D339" s="2">
        <v>2</v>
      </c>
      <c r="E339" s="2">
        <v>0</v>
      </c>
      <c r="F339" s="2">
        <v>0</v>
      </c>
      <c r="G339" s="2">
        <v>0</v>
      </c>
      <c r="H339" s="2">
        <v>0</v>
      </c>
      <c r="I339" s="2">
        <v>0</v>
      </c>
      <c r="J339" s="2">
        <v>0</v>
      </c>
      <c r="K339" s="2">
        <v>1275</v>
      </c>
      <c r="L339" s="2">
        <v>4</v>
      </c>
      <c r="M339" s="2">
        <v>2</v>
      </c>
      <c r="N339" s="2">
        <v>4</v>
      </c>
      <c r="O339" s="2">
        <v>0</v>
      </c>
      <c r="P339" s="2">
        <v>0</v>
      </c>
      <c r="Q339" s="2">
        <v>0</v>
      </c>
      <c r="R339" s="2">
        <v>0</v>
      </c>
      <c r="S339" s="2">
        <v>0</v>
      </c>
      <c r="T339" s="2">
        <v>2</v>
      </c>
      <c r="U339" s="2">
        <v>0</v>
      </c>
      <c r="V339" s="2">
        <v>0</v>
      </c>
      <c r="W339" s="2">
        <v>24</v>
      </c>
      <c r="X339" s="2">
        <v>0</v>
      </c>
      <c r="Y339" s="2">
        <v>1</v>
      </c>
      <c r="Z339" s="2">
        <v>0</v>
      </c>
      <c r="AA339" s="2">
        <v>1</v>
      </c>
      <c r="AB339" s="2">
        <v>2</v>
      </c>
      <c r="AC339" s="2">
        <v>1</v>
      </c>
      <c r="AD339" s="2">
        <v>0</v>
      </c>
      <c r="AE339" s="2">
        <v>0</v>
      </c>
      <c r="AF339" s="2">
        <v>0</v>
      </c>
    </row>
    <row r="340" spans="1:32" x14ac:dyDescent="0.25">
      <c r="A340">
        <v>339</v>
      </c>
      <c r="B340" s="2">
        <v>0</v>
      </c>
      <c r="C340" s="2">
        <v>24</v>
      </c>
      <c r="D340" s="2">
        <v>2</v>
      </c>
      <c r="E340" s="2">
        <v>0</v>
      </c>
      <c r="F340" s="2">
        <v>0</v>
      </c>
      <c r="G340" s="2">
        <v>1</v>
      </c>
      <c r="H340" s="2">
        <v>0</v>
      </c>
      <c r="I340" s="2">
        <v>0</v>
      </c>
      <c r="J340" s="2">
        <v>0</v>
      </c>
      <c r="K340" s="2">
        <v>4169</v>
      </c>
      <c r="L340" s="2">
        <v>0</v>
      </c>
      <c r="M340" s="2">
        <v>2</v>
      </c>
      <c r="N340" s="2">
        <v>4</v>
      </c>
      <c r="O340" s="2">
        <v>0</v>
      </c>
      <c r="P340" s="2">
        <v>1</v>
      </c>
      <c r="Q340" s="2">
        <v>0</v>
      </c>
      <c r="R340" s="2">
        <v>0</v>
      </c>
      <c r="S340" s="2">
        <v>0</v>
      </c>
      <c r="T340" s="2">
        <v>4</v>
      </c>
      <c r="U340" s="2">
        <v>0</v>
      </c>
      <c r="V340" s="2">
        <v>0</v>
      </c>
      <c r="W340" s="2">
        <v>28</v>
      </c>
      <c r="X340" s="2">
        <v>0</v>
      </c>
      <c r="Y340" s="2">
        <v>0</v>
      </c>
      <c r="Z340" s="2">
        <v>1</v>
      </c>
      <c r="AA340" s="2">
        <v>1</v>
      </c>
      <c r="AB340" s="2">
        <v>2</v>
      </c>
      <c r="AC340" s="2">
        <v>1</v>
      </c>
      <c r="AD340" s="2">
        <v>0</v>
      </c>
      <c r="AE340" s="2">
        <v>0</v>
      </c>
      <c r="AF340" s="2">
        <v>1</v>
      </c>
    </row>
    <row r="341" spans="1:32" x14ac:dyDescent="0.25">
      <c r="A341">
        <v>340</v>
      </c>
      <c r="B341" s="2">
        <v>1</v>
      </c>
      <c r="C341" s="2">
        <v>10</v>
      </c>
      <c r="D341" s="2">
        <v>2</v>
      </c>
      <c r="E341" s="2">
        <v>0</v>
      </c>
      <c r="F341" s="2">
        <v>0</v>
      </c>
      <c r="G341" s="2">
        <v>1</v>
      </c>
      <c r="H341" s="2">
        <v>0</v>
      </c>
      <c r="I341" s="2">
        <v>0</v>
      </c>
      <c r="J341" s="2">
        <v>0</v>
      </c>
      <c r="K341" s="2">
        <v>1521</v>
      </c>
      <c r="L341" s="2">
        <v>0</v>
      </c>
      <c r="M341" s="2">
        <v>2</v>
      </c>
      <c r="N341" s="2">
        <v>4</v>
      </c>
      <c r="O341" s="2">
        <v>1</v>
      </c>
      <c r="P341" s="2">
        <v>0</v>
      </c>
      <c r="Q341" s="2">
        <v>0</v>
      </c>
      <c r="R341" s="2">
        <v>0</v>
      </c>
      <c r="S341" s="2">
        <v>0</v>
      </c>
      <c r="T341" s="2">
        <v>2</v>
      </c>
      <c r="U341" s="2">
        <v>0</v>
      </c>
      <c r="V341" s="2">
        <v>0</v>
      </c>
      <c r="W341" s="2">
        <v>31</v>
      </c>
      <c r="X341" s="2">
        <v>0</v>
      </c>
      <c r="Y341" s="2">
        <v>0</v>
      </c>
      <c r="Z341" s="2">
        <v>1</v>
      </c>
      <c r="AA341" s="2">
        <v>1</v>
      </c>
      <c r="AB341" s="2">
        <v>1</v>
      </c>
      <c r="AC341" s="2">
        <v>1</v>
      </c>
      <c r="AD341" s="2">
        <v>0</v>
      </c>
      <c r="AE341" s="2">
        <v>0</v>
      </c>
      <c r="AF341" s="2">
        <v>1</v>
      </c>
    </row>
    <row r="342" spans="1:32" x14ac:dyDescent="0.25">
      <c r="A342">
        <v>341</v>
      </c>
      <c r="B342" s="2">
        <v>1</v>
      </c>
      <c r="C342" s="2">
        <v>24</v>
      </c>
      <c r="D342" s="2">
        <v>4</v>
      </c>
      <c r="E342" s="2">
        <v>0</v>
      </c>
      <c r="F342" s="2">
        <v>0</v>
      </c>
      <c r="G342" s="2">
        <v>0</v>
      </c>
      <c r="H342" s="2">
        <v>0</v>
      </c>
      <c r="I342" s="2">
        <v>1</v>
      </c>
      <c r="J342" s="2">
        <v>0</v>
      </c>
      <c r="K342" s="2">
        <v>5743</v>
      </c>
      <c r="L342" s="2">
        <v>0</v>
      </c>
      <c r="M342" s="2">
        <v>1</v>
      </c>
      <c r="N342" s="2">
        <v>2</v>
      </c>
      <c r="O342" s="2">
        <v>0</v>
      </c>
      <c r="P342" s="2">
        <v>0</v>
      </c>
      <c r="Q342" s="2">
        <v>0</v>
      </c>
      <c r="R342" s="2">
        <v>0</v>
      </c>
      <c r="S342" s="2">
        <v>0</v>
      </c>
      <c r="T342" s="2">
        <v>4</v>
      </c>
      <c r="U342" s="2">
        <v>0</v>
      </c>
      <c r="V342" s="2">
        <v>1</v>
      </c>
      <c r="W342" s="2">
        <v>24</v>
      </c>
      <c r="X342" s="2">
        <v>0</v>
      </c>
      <c r="Y342" s="2">
        <v>0</v>
      </c>
      <c r="Z342" s="2">
        <v>0</v>
      </c>
      <c r="AA342" s="2">
        <v>2</v>
      </c>
      <c r="AB342" s="2">
        <v>2</v>
      </c>
      <c r="AC342" s="2">
        <v>1</v>
      </c>
      <c r="AD342" s="2">
        <v>1</v>
      </c>
      <c r="AE342" s="2">
        <v>0</v>
      </c>
      <c r="AF342" s="2">
        <v>1</v>
      </c>
    </row>
    <row r="343" spans="1:32" x14ac:dyDescent="0.25">
      <c r="A343">
        <v>342</v>
      </c>
      <c r="B343" s="2">
        <v>0</v>
      </c>
      <c r="C343" s="2">
        <v>21</v>
      </c>
      <c r="D343" s="2">
        <v>2</v>
      </c>
      <c r="E343" s="2">
        <v>0</v>
      </c>
      <c r="F343" s="2">
        <v>0</v>
      </c>
      <c r="G343" s="2">
        <v>1</v>
      </c>
      <c r="H343" s="2">
        <v>0</v>
      </c>
      <c r="I343" s="2">
        <v>0</v>
      </c>
      <c r="J343" s="2">
        <v>0</v>
      </c>
      <c r="K343" s="2">
        <v>3599</v>
      </c>
      <c r="L343" s="2">
        <v>0</v>
      </c>
      <c r="M343" s="2">
        <v>3</v>
      </c>
      <c r="N343" s="2">
        <v>1</v>
      </c>
      <c r="O343" s="2">
        <v>0</v>
      </c>
      <c r="P343" s="2">
        <v>0</v>
      </c>
      <c r="Q343" s="2">
        <v>0</v>
      </c>
      <c r="R343" s="2">
        <v>0</v>
      </c>
      <c r="S343" s="2">
        <v>0</v>
      </c>
      <c r="T343" s="2">
        <v>4</v>
      </c>
      <c r="U343" s="2">
        <v>0</v>
      </c>
      <c r="V343" s="2">
        <v>0</v>
      </c>
      <c r="W343" s="2">
        <v>26</v>
      </c>
      <c r="X343" s="2">
        <v>0</v>
      </c>
      <c r="Y343" s="2">
        <v>1</v>
      </c>
      <c r="Z343" s="2">
        <v>0</v>
      </c>
      <c r="AA343" s="2">
        <v>1</v>
      </c>
      <c r="AB343" s="2">
        <v>1</v>
      </c>
      <c r="AC343" s="2">
        <v>1</v>
      </c>
      <c r="AD343" s="2">
        <v>0</v>
      </c>
      <c r="AE343" s="2">
        <v>0</v>
      </c>
      <c r="AF343" s="2">
        <v>1</v>
      </c>
    </row>
    <row r="344" spans="1:32" x14ac:dyDescent="0.25">
      <c r="A344">
        <v>343</v>
      </c>
      <c r="B344" s="2">
        <v>1</v>
      </c>
      <c r="C344" s="2">
        <v>18</v>
      </c>
      <c r="D344" s="2">
        <v>2</v>
      </c>
      <c r="E344" s="2">
        <v>0</v>
      </c>
      <c r="F344" s="2">
        <v>0</v>
      </c>
      <c r="G344" s="2">
        <v>0</v>
      </c>
      <c r="H344" s="2">
        <v>1</v>
      </c>
      <c r="I344" s="2">
        <v>0</v>
      </c>
      <c r="J344" s="2">
        <v>0</v>
      </c>
      <c r="K344" s="2">
        <v>3213</v>
      </c>
      <c r="L344" s="2">
        <v>2</v>
      </c>
      <c r="M344" s="2">
        <v>1</v>
      </c>
      <c r="N344" s="2">
        <v>1</v>
      </c>
      <c r="O344" s="2">
        <v>0</v>
      </c>
      <c r="P344" s="2">
        <v>0</v>
      </c>
      <c r="Q344" s="2">
        <v>1</v>
      </c>
      <c r="R344" s="2">
        <v>0</v>
      </c>
      <c r="S344" s="2">
        <v>0</v>
      </c>
      <c r="T344" s="2">
        <v>3</v>
      </c>
      <c r="U344" s="2">
        <v>1</v>
      </c>
      <c r="V344" s="2">
        <v>0</v>
      </c>
      <c r="W344" s="2">
        <v>25</v>
      </c>
      <c r="X344" s="2">
        <v>0</v>
      </c>
      <c r="Y344" s="2">
        <v>1</v>
      </c>
      <c r="Z344" s="2">
        <v>0</v>
      </c>
      <c r="AA344" s="2">
        <v>1</v>
      </c>
      <c r="AB344" s="2">
        <v>2</v>
      </c>
      <c r="AC344" s="2">
        <v>1</v>
      </c>
      <c r="AD344" s="2">
        <v>0</v>
      </c>
      <c r="AE344" s="2">
        <v>0</v>
      </c>
      <c r="AF344" s="2">
        <v>1</v>
      </c>
    </row>
    <row r="345" spans="1:32" x14ac:dyDescent="0.25">
      <c r="A345">
        <v>344</v>
      </c>
      <c r="B345" s="2">
        <v>1</v>
      </c>
      <c r="C345" s="2">
        <v>18</v>
      </c>
      <c r="D345" s="2">
        <v>2</v>
      </c>
      <c r="E345" s="2">
        <v>0</v>
      </c>
      <c r="F345" s="2">
        <v>0</v>
      </c>
      <c r="G345" s="2">
        <v>0</v>
      </c>
      <c r="H345" s="2">
        <v>0</v>
      </c>
      <c r="I345" s="2">
        <v>0</v>
      </c>
      <c r="J345" s="2">
        <v>1</v>
      </c>
      <c r="K345" s="2">
        <v>4439</v>
      </c>
      <c r="L345" s="2">
        <v>0</v>
      </c>
      <c r="M345" s="2">
        <v>4</v>
      </c>
      <c r="N345" s="2">
        <v>1</v>
      </c>
      <c r="O345" s="2">
        <v>0</v>
      </c>
      <c r="P345" s="2">
        <v>1</v>
      </c>
      <c r="Q345" s="2">
        <v>0</v>
      </c>
      <c r="R345" s="2">
        <v>1</v>
      </c>
      <c r="S345" s="2">
        <v>0</v>
      </c>
      <c r="T345" s="2">
        <v>1</v>
      </c>
      <c r="U345" s="2">
        <v>1</v>
      </c>
      <c r="V345" s="2">
        <v>0</v>
      </c>
      <c r="W345" s="2">
        <v>33</v>
      </c>
      <c r="X345" s="2">
        <v>1</v>
      </c>
      <c r="Y345" s="2">
        <v>0</v>
      </c>
      <c r="Z345" s="2">
        <v>1</v>
      </c>
      <c r="AA345" s="2">
        <v>1</v>
      </c>
      <c r="AB345" s="2">
        <v>3</v>
      </c>
      <c r="AC345" s="2">
        <v>1</v>
      </c>
      <c r="AD345" s="2">
        <v>1</v>
      </c>
      <c r="AE345" s="2">
        <v>0</v>
      </c>
      <c r="AF345" s="2">
        <v>1</v>
      </c>
    </row>
    <row r="346" spans="1:32" x14ac:dyDescent="0.25">
      <c r="A346">
        <v>345</v>
      </c>
      <c r="B346" s="2">
        <v>2</v>
      </c>
      <c r="C346" s="2">
        <v>10</v>
      </c>
      <c r="D346" s="2">
        <v>2</v>
      </c>
      <c r="E346" s="2">
        <v>1</v>
      </c>
      <c r="F346" s="2">
        <v>0</v>
      </c>
      <c r="G346" s="2">
        <v>0</v>
      </c>
      <c r="H346" s="2">
        <v>0</v>
      </c>
      <c r="I346" s="2">
        <v>0</v>
      </c>
      <c r="J346" s="2">
        <v>0</v>
      </c>
      <c r="K346" s="2">
        <v>3949</v>
      </c>
      <c r="L346" s="2">
        <v>0</v>
      </c>
      <c r="M346" s="2">
        <v>1</v>
      </c>
      <c r="N346" s="2">
        <v>1</v>
      </c>
      <c r="O346" s="2">
        <v>0</v>
      </c>
      <c r="P346" s="2">
        <v>1</v>
      </c>
      <c r="Q346" s="2">
        <v>0</v>
      </c>
      <c r="R346" s="2">
        <v>0</v>
      </c>
      <c r="S346" s="2">
        <v>1</v>
      </c>
      <c r="T346" s="2">
        <v>1</v>
      </c>
      <c r="U346" s="2">
        <v>0</v>
      </c>
      <c r="V346" s="2">
        <v>0</v>
      </c>
      <c r="W346" s="2">
        <v>37</v>
      </c>
      <c r="X346" s="2">
        <v>0</v>
      </c>
      <c r="Y346" s="2">
        <v>0</v>
      </c>
      <c r="Z346" s="2">
        <v>1</v>
      </c>
      <c r="AA346" s="2">
        <v>1</v>
      </c>
      <c r="AB346" s="2">
        <v>1</v>
      </c>
      <c r="AC346" s="2">
        <v>2</v>
      </c>
      <c r="AD346" s="2">
        <v>0</v>
      </c>
      <c r="AE346" s="2">
        <v>0</v>
      </c>
      <c r="AF346" s="2">
        <v>1</v>
      </c>
    </row>
    <row r="347" spans="1:32" x14ac:dyDescent="0.25">
      <c r="A347">
        <v>346</v>
      </c>
      <c r="B347" s="2">
        <v>3</v>
      </c>
      <c r="C347" s="2">
        <v>15</v>
      </c>
      <c r="D347" s="2">
        <v>4</v>
      </c>
      <c r="E347" s="2">
        <v>0</v>
      </c>
      <c r="F347" s="2">
        <v>0</v>
      </c>
      <c r="G347" s="2">
        <v>0</v>
      </c>
      <c r="H347" s="2">
        <v>1</v>
      </c>
      <c r="I347" s="2">
        <v>0</v>
      </c>
      <c r="J347" s="2">
        <v>0</v>
      </c>
      <c r="K347" s="2">
        <v>1459</v>
      </c>
      <c r="L347" s="2">
        <v>0</v>
      </c>
      <c r="M347" s="2">
        <v>2</v>
      </c>
      <c r="N347" s="2">
        <v>4</v>
      </c>
      <c r="O347" s="2">
        <v>0</v>
      </c>
      <c r="P347" s="2">
        <v>0</v>
      </c>
      <c r="Q347" s="2">
        <v>0</v>
      </c>
      <c r="R347" s="2">
        <v>0</v>
      </c>
      <c r="S347" s="2">
        <v>0</v>
      </c>
      <c r="T347" s="2">
        <v>2</v>
      </c>
      <c r="U347" s="2">
        <v>0</v>
      </c>
      <c r="V347" s="2">
        <v>0</v>
      </c>
      <c r="W347" s="2">
        <v>43</v>
      </c>
      <c r="X347" s="2">
        <v>0</v>
      </c>
      <c r="Y347" s="2">
        <v>0</v>
      </c>
      <c r="Z347" s="2">
        <v>1</v>
      </c>
      <c r="AA347" s="2">
        <v>1</v>
      </c>
      <c r="AB347" s="2">
        <v>1</v>
      </c>
      <c r="AC347" s="2">
        <v>1</v>
      </c>
      <c r="AD347" s="2">
        <v>0</v>
      </c>
      <c r="AE347" s="2">
        <v>0</v>
      </c>
      <c r="AF347" s="2">
        <v>1</v>
      </c>
    </row>
    <row r="348" spans="1:32" x14ac:dyDescent="0.25">
      <c r="A348">
        <v>347</v>
      </c>
      <c r="B348" s="2">
        <v>1</v>
      </c>
      <c r="C348" s="2">
        <v>13</v>
      </c>
      <c r="D348" s="2">
        <v>4</v>
      </c>
      <c r="E348" s="2">
        <v>0</v>
      </c>
      <c r="F348" s="2">
        <v>0</v>
      </c>
      <c r="G348" s="2">
        <v>0</v>
      </c>
      <c r="H348" s="2">
        <v>1</v>
      </c>
      <c r="I348" s="2">
        <v>0</v>
      </c>
      <c r="J348" s="2">
        <v>0</v>
      </c>
      <c r="K348" s="2">
        <v>882</v>
      </c>
      <c r="L348" s="2">
        <v>0</v>
      </c>
      <c r="M348" s="2">
        <v>1</v>
      </c>
      <c r="N348" s="2">
        <v>4</v>
      </c>
      <c r="O348" s="2">
        <v>0</v>
      </c>
      <c r="P348" s="2">
        <v>1</v>
      </c>
      <c r="Q348" s="2">
        <v>0</v>
      </c>
      <c r="R348" s="2">
        <v>0</v>
      </c>
      <c r="S348" s="2">
        <v>1</v>
      </c>
      <c r="T348" s="2">
        <v>4</v>
      </c>
      <c r="U348" s="2">
        <v>1</v>
      </c>
      <c r="V348" s="2">
        <v>0</v>
      </c>
      <c r="W348" s="2">
        <v>23</v>
      </c>
      <c r="X348" s="2">
        <v>0</v>
      </c>
      <c r="Y348" s="2">
        <v>0</v>
      </c>
      <c r="Z348" s="2">
        <v>1</v>
      </c>
      <c r="AA348" s="2">
        <v>2</v>
      </c>
      <c r="AB348" s="2">
        <v>2</v>
      </c>
      <c r="AC348" s="2">
        <v>1</v>
      </c>
      <c r="AD348" s="2">
        <v>0</v>
      </c>
      <c r="AE348" s="2">
        <v>0</v>
      </c>
      <c r="AF348" s="2">
        <v>1</v>
      </c>
    </row>
    <row r="349" spans="1:32" x14ac:dyDescent="0.25">
      <c r="A349">
        <v>348</v>
      </c>
      <c r="B349" s="2">
        <v>1</v>
      </c>
      <c r="C349" s="2">
        <v>24</v>
      </c>
      <c r="D349" s="2">
        <v>2</v>
      </c>
      <c r="E349" s="2">
        <v>0</v>
      </c>
      <c r="F349" s="2">
        <v>0</v>
      </c>
      <c r="G349" s="2">
        <v>0</v>
      </c>
      <c r="H349" s="2">
        <v>1</v>
      </c>
      <c r="I349" s="2">
        <v>0</v>
      </c>
      <c r="J349" s="2">
        <v>0</v>
      </c>
      <c r="K349" s="2">
        <v>3758</v>
      </c>
      <c r="L349" s="2">
        <v>2</v>
      </c>
      <c r="M349" s="2">
        <v>0</v>
      </c>
      <c r="N349" s="2">
        <v>1</v>
      </c>
      <c r="O349" s="2">
        <v>0</v>
      </c>
      <c r="P349" s="2">
        <v>0</v>
      </c>
      <c r="Q349" s="2">
        <v>0</v>
      </c>
      <c r="R349" s="2">
        <v>0</v>
      </c>
      <c r="S349" s="2">
        <v>0</v>
      </c>
      <c r="T349" s="2">
        <v>4</v>
      </c>
      <c r="U349" s="2">
        <v>0</v>
      </c>
      <c r="V349" s="2">
        <v>1</v>
      </c>
      <c r="W349" s="2">
        <v>23</v>
      </c>
      <c r="X349" s="2">
        <v>0</v>
      </c>
      <c r="Y349" s="2">
        <v>1</v>
      </c>
      <c r="Z349" s="2">
        <v>0</v>
      </c>
      <c r="AA349" s="2">
        <v>1</v>
      </c>
      <c r="AB349" s="2">
        <v>0</v>
      </c>
      <c r="AC349" s="2">
        <v>1</v>
      </c>
      <c r="AD349" s="2">
        <v>0</v>
      </c>
      <c r="AE349" s="2">
        <v>0</v>
      </c>
      <c r="AF349" s="2">
        <v>1</v>
      </c>
    </row>
    <row r="350" spans="1:32" x14ac:dyDescent="0.25">
      <c r="A350">
        <v>349</v>
      </c>
      <c r="B350" s="2">
        <v>3</v>
      </c>
      <c r="C350" s="2">
        <v>6</v>
      </c>
      <c r="D350" s="2">
        <v>3</v>
      </c>
      <c r="E350" s="2">
        <v>0</v>
      </c>
      <c r="F350" s="2">
        <v>0</v>
      </c>
      <c r="G350" s="2">
        <v>0</v>
      </c>
      <c r="H350" s="2">
        <v>0</v>
      </c>
      <c r="I350" s="2">
        <v>0</v>
      </c>
      <c r="J350" s="2">
        <v>1</v>
      </c>
      <c r="K350" s="2">
        <v>1743</v>
      </c>
      <c r="L350" s="2">
        <v>1</v>
      </c>
      <c r="M350" s="2">
        <v>2</v>
      </c>
      <c r="N350" s="2">
        <v>1</v>
      </c>
      <c r="O350" s="2">
        <v>0</v>
      </c>
      <c r="P350" s="2">
        <v>1</v>
      </c>
      <c r="Q350" s="2">
        <v>0</v>
      </c>
      <c r="R350" s="2">
        <v>0</v>
      </c>
      <c r="S350" s="2">
        <v>0</v>
      </c>
      <c r="T350" s="2">
        <v>2</v>
      </c>
      <c r="U350" s="2">
        <v>1</v>
      </c>
      <c r="V350" s="2">
        <v>0</v>
      </c>
      <c r="W350" s="2">
        <v>34</v>
      </c>
      <c r="X350" s="2">
        <v>0</v>
      </c>
      <c r="Y350" s="2">
        <v>0</v>
      </c>
      <c r="Z350" s="2">
        <v>1</v>
      </c>
      <c r="AA350" s="2">
        <v>2</v>
      </c>
      <c r="AB350" s="2">
        <v>1</v>
      </c>
      <c r="AC350" s="2">
        <v>1</v>
      </c>
      <c r="AD350" s="2">
        <v>0</v>
      </c>
      <c r="AE350" s="2">
        <v>0</v>
      </c>
      <c r="AF350" s="2">
        <v>1</v>
      </c>
    </row>
    <row r="351" spans="1:32" x14ac:dyDescent="0.25">
      <c r="A351">
        <v>350</v>
      </c>
      <c r="B351" s="2">
        <v>1</v>
      </c>
      <c r="C351" s="2">
        <v>9</v>
      </c>
      <c r="D351" s="2">
        <v>4</v>
      </c>
      <c r="E351" s="2">
        <v>0</v>
      </c>
      <c r="F351" s="2">
        <v>0</v>
      </c>
      <c r="G351" s="2">
        <v>0</v>
      </c>
      <c r="H351" s="2">
        <v>0</v>
      </c>
      <c r="I351" s="2">
        <v>1</v>
      </c>
      <c r="J351" s="2">
        <v>0</v>
      </c>
      <c r="K351" s="2">
        <v>1136</v>
      </c>
      <c r="L351" s="2">
        <v>3</v>
      </c>
      <c r="M351" s="2">
        <v>4</v>
      </c>
      <c r="N351" s="2">
        <v>4</v>
      </c>
      <c r="O351" s="2">
        <v>0</v>
      </c>
      <c r="P351" s="2">
        <v>1</v>
      </c>
      <c r="Q351" s="2">
        <v>0</v>
      </c>
      <c r="R351" s="2">
        <v>0</v>
      </c>
      <c r="S351" s="2">
        <v>0</v>
      </c>
      <c r="T351" s="2">
        <v>3</v>
      </c>
      <c r="U351" s="2">
        <v>0</v>
      </c>
      <c r="V351" s="2">
        <v>1</v>
      </c>
      <c r="W351" s="2">
        <v>32</v>
      </c>
      <c r="X351" s="2">
        <v>0</v>
      </c>
      <c r="Y351" s="2">
        <v>0</v>
      </c>
      <c r="Z351" s="2">
        <v>0</v>
      </c>
      <c r="AA351" s="2">
        <v>2</v>
      </c>
      <c r="AB351" s="2">
        <v>2</v>
      </c>
      <c r="AC351" s="2">
        <v>2</v>
      </c>
      <c r="AD351" s="2">
        <v>0</v>
      </c>
      <c r="AE351" s="2">
        <v>0</v>
      </c>
      <c r="AF351" s="2">
        <v>0</v>
      </c>
    </row>
    <row r="352" spans="1:32" x14ac:dyDescent="0.25">
      <c r="A352">
        <v>351</v>
      </c>
      <c r="B352" s="2">
        <v>3</v>
      </c>
      <c r="C352" s="2">
        <v>9</v>
      </c>
      <c r="D352" s="2">
        <v>2</v>
      </c>
      <c r="E352" s="2">
        <v>0</v>
      </c>
      <c r="F352" s="2">
        <v>0</v>
      </c>
      <c r="G352" s="2">
        <v>0</v>
      </c>
      <c r="H352" s="2">
        <v>0</v>
      </c>
      <c r="I352" s="2">
        <v>0</v>
      </c>
      <c r="J352" s="2">
        <v>0</v>
      </c>
      <c r="K352" s="2">
        <v>1236</v>
      </c>
      <c r="L352" s="2">
        <v>0</v>
      </c>
      <c r="M352" s="2">
        <v>1</v>
      </c>
      <c r="N352" s="2">
        <v>1</v>
      </c>
      <c r="O352" s="2">
        <v>0</v>
      </c>
      <c r="P352" s="2">
        <v>0</v>
      </c>
      <c r="Q352" s="2">
        <v>0</v>
      </c>
      <c r="R352" s="2">
        <v>0</v>
      </c>
      <c r="S352" s="2">
        <v>0</v>
      </c>
      <c r="T352" s="2">
        <v>4</v>
      </c>
      <c r="U352" s="2">
        <v>1</v>
      </c>
      <c r="V352" s="2">
        <v>0</v>
      </c>
      <c r="W352" s="2">
        <v>23</v>
      </c>
      <c r="X352" s="2">
        <v>0</v>
      </c>
      <c r="Y352" s="2">
        <v>1</v>
      </c>
      <c r="Z352" s="2">
        <v>0</v>
      </c>
      <c r="AA352" s="2">
        <v>1</v>
      </c>
      <c r="AB352" s="2">
        <v>2</v>
      </c>
      <c r="AC352" s="2">
        <v>1</v>
      </c>
      <c r="AD352" s="2">
        <v>1</v>
      </c>
      <c r="AE352" s="2">
        <v>0</v>
      </c>
      <c r="AF352" s="2">
        <v>1</v>
      </c>
    </row>
    <row r="353" spans="1:32" x14ac:dyDescent="0.25">
      <c r="A353">
        <v>352</v>
      </c>
      <c r="B353" s="2">
        <v>1</v>
      </c>
      <c r="C353" s="2">
        <v>9</v>
      </c>
      <c r="D353" s="2">
        <v>2</v>
      </c>
      <c r="E353" s="2">
        <v>0</v>
      </c>
      <c r="F353" s="2">
        <v>0</v>
      </c>
      <c r="G353" s="2">
        <v>1</v>
      </c>
      <c r="H353" s="2">
        <v>0</v>
      </c>
      <c r="I353" s="2">
        <v>0</v>
      </c>
      <c r="J353" s="2">
        <v>0</v>
      </c>
      <c r="K353" s="2">
        <v>959</v>
      </c>
      <c r="L353" s="2">
        <v>0</v>
      </c>
      <c r="M353" s="2">
        <v>2</v>
      </c>
      <c r="N353" s="2">
        <v>1</v>
      </c>
      <c r="O353" s="2">
        <v>0</v>
      </c>
      <c r="P353" s="2">
        <v>0</v>
      </c>
      <c r="Q353" s="2">
        <v>0</v>
      </c>
      <c r="R353" s="2">
        <v>0</v>
      </c>
      <c r="S353" s="2">
        <v>0</v>
      </c>
      <c r="T353" s="2">
        <v>2</v>
      </c>
      <c r="U353" s="2">
        <v>0</v>
      </c>
      <c r="V353" s="2">
        <v>0</v>
      </c>
      <c r="W353" s="2">
        <v>29</v>
      </c>
      <c r="X353" s="2">
        <v>0</v>
      </c>
      <c r="Y353" s="2">
        <v>0</v>
      </c>
      <c r="Z353" s="2">
        <v>1</v>
      </c>
      <c r="AA353" s="2">
        <v>1</v>
      </c>
      <c r="AB353" s="2">
        <v>2</v>
      </c>
      <c r="AC353" s="2">
        <v>1</v>
      </c>
      <c r="AD353" s="2">
        <v>0</v>
      </c>
      <c r="AE353" s="2">
        <v>1</v>
      </c>
      <c r="AF353" s="2">
        <v>0</v>
      </c>
    </row>
    <row r="354" spans="1:32" x14ac:dyDescent="0.25">
      <c r="A354">
        <v>353</v>
      </c>
      <c r="B354" s="2">
        <v>3</v>
      </c>
      <c r="C354" s="2">
        <v>18</v>
      </c>
      <c r="D354" s="2">
        <v>4</v>
      </c>
      <c r="E354" s="2">
        <v>0</v>
      </c>
      <c r="F354" s="2">
        <v>1</v>
      </c>
      <c r="G354" s="2">
        <v>0</v>
      </c>
      <c r="H354" s="2">
        <v>0</v>
      </c>
      <c r="I354" s="2">
        <v>0</v>
      </c>
      <c r="J354" s="2">
        <v>0</v>
      </c>
      <c r="K354" s="2">
        <v>3229</v>
      </c>
      <c r="L354" s="2">
        <v>4</v>
      </c>
      <c r="M354" s="2">
        <v>0</v>
      </c>
      <c r="N354" s="2">
        <v>2</v>
      </c>
      <c r="O354" s="2">
        <v>0</v>
      </c>
      <c r="P354" s="2">
        <v>1</v>
      </c>
      <c r="Q354" s="2">
        <v>0</v>
      </c>
      <c r="R354" s="2">
        <v>0</v>
      </c>
      <c r="S354" s="2">
        <v>0</v>
      </c>
      <c r="T354" s="2">
        <v>4</v>
      </c>
      <c r="U354" s="2">
        <v>0</v>
      </c>
      <c r="V354" s="2">
        <v>1</v>
      </c>
      <c r="W354" s="2">
        <v>38</v>
      </c>
      <c r="X354" s="2">
        <v>0</v>
      </c>
      <c r="Y354" s="2">
        <v>0</v>
      </c>
      <c r="Z354" s="2">
        <v>1</v>
      </c>
      <c r="AA354" s="2">
        <v>1</v>
      </c>
      <c r="AB354" s="2">
        <v>3</v>
      </c>
      <c r="AC354" s="2">
        <v>1</v>
      </c>
      <c r="AD354" s="2">
        <v>1</v>
      </c>
      <c r="AE354" s="2">
        <v>0</v>
      </c>
      <c r="AF354" s="2">
        <v>1</v>
      </c>
    </row>
    <row r="355" spans="1:32" x14ac:dyDescent="0.25">
      <c r="A355">
        <v>354</v>
      </c>
      <c r="B355" s="2">
        <v>0</v>
      </c>
      <c r="C355" s="2">
        <v>12</v>
      </c>
      <c r="D355" s="2">
        <v>0</v>
      </c>
      <c r="E355" s="2">
        <v>0</v>
      </c>
      <c r="F355" s="2">
        <v>0</v>
      </c>
      <c r="G355" s="2">
        <v>0</v>
      </c>
      <c r="H355" s="2">
        <v>1</v>
      </c>
      <c r="I355" s="2">
        <v>0</v>
      </c>
      <c r="J355" s="2">
        <v>0</v>
      </c>
      <c r="K355" s="2">
        <v>6199</v>
      </c>
      <c r="L355" s="2">
        <v>0</v>
      </c>
      <c r="M355" s="2">
        <v>2</v>
      </c>
      <c r="N355" s="2">
        <v>4</v>
      </c>
      <c r="O355" s="2">
        <v>0</v>
      </c>
      <c r="P355" s="2">
        <v>1</v>
      </c>
      <c r="Q355" s="2">
        <v>0</v>
      </c>
      <c r="R355" s="2">
        <v>0</v>
      </c>
      <c r="S355" s="2">
        <v>0</v>
      </c>
      <c r="T355" s="2">
        <v>2</v>
      </c>
      <c r="U355" s="2">
        <v>0</v>
      </c>
      <c r="V355" s="2">
        <v>0</v>
      </c>
      <c r="W355" s="2">
        <v>28</v>
      </c>
      <c r="X355" s="2">
        <v>0</v>
      </c>
      <c r="Y355" s="2">
        <v>1</v>
      </c>
      <c r="Z355" s="2">
        <v>0</v>
      </c>
      <c r="AA355" s="2">
        <v>2</v>
      </c>
      <c r="AB355" s="2">
        <v>2</v>
      </c>
      <c r="AC355" s="2">
        <v>1</v>
      </c>
      <c r="AD355" s="2">
        <v>1</v>
      </c>
      <c r="AE355" s="2">
        <v>0</v>
      </c>
      <c r="AF355" s="2">
        <v>0</v>
      </c>
    </row>
    <row r="356" spans="1:32" x14ac:dyDescent="0.25">
      <c r="A356">
        <v>355</v>
      </c>
      <c r="B356" s="2">
        <v>3</v>
      </c>
      <c r="C356" s="2">
        <v>10</v>
      </c>
      <c r="D356" s="2">
        <v>2</v>
      </c>
      <c r="E356" s="2">
        <v>0</v>
      </c>
      <c r="F356" s="2">
        <v>0</v>
      </c>
      <c r="G356" s="2">
        <v>0</v>
      </c>
      <c r="H356" s="2">
        <v>0</v>
      </c>
      <c r="I356" s="2">
        <v>1</v>
      </c>
      <c r="J356" s="2">
        <v>0</v>
      </c>
      <c r="K356" s="2">
        <v>727</v>
      </c>
      <c r="L356" s="2">
        <v>2</v>
      </c>
      <c r="M356" s="2">
        <v>4</v>
      </c>
      <c r="N356" s="2">
        <v>4</v>
      </c>
      <c r="O356" s="2">
        <v>0</v>
      </c>
      <c r="P356" s="2">
        <v>1</v>
      </c>
      <c r="Q356" s="2">
        <v>0</v>
      </c>
      <c r="R356" s="2">
        <v>0</v>
      </c>
      <c r="S356" s="2">
        <v>0</v>
      </c>
      <c r="T356" s="2">
        <v>4</v>
      </c>
      <c r="U356" s="2">
        <v>0</v>
      </c>
      <c r="V356" s="2">
        <v>1</v>
      </c>
      <c r="W356" s="2">
        <v>46</v>
      </c>
      <c r="X356" s="2">
        <v>0</v>
      </c>
      <c r="Y356" s="2">
        <v>0</v>
      </c>
      <c r="Z356" s="2">
        <v>0</v>
      </c>
      <c r="AA356" s="2">
        <v>1</v>
      </c>
      <c r="AB356" s="2">
        <v>2</v>
      </c>
      <c r="AC356" s="2">
        <v>1</v>
      </c>
      <c r="AD356" s="2">
        <v>1</v>
      </c>
      <c r="AE356" s="2">
        <v>0</v>
      </c>
      <c r="AF356" s="2">
        <v>1</v>
      </c>
    </row>
    <row r="357" spans="1:32" x14ac:dyDescent="0.25">
      <c r="A357">
        <v>356</v>
      </c>
      <c r="B357" s="2">
        <v>1</v>
      </c>
      <c r="C357" s="2">
        <v>24</v>
      </c>
      <c r="D357" s="2">
        <v>2</v>
      </c>
      <c r="E357" s="2">
        <v>1</v>
      </c>
      <c r="F357" s="2">
        <v>0</v>
      </c>
      <c r="G357" s="2">
        <v>0</v>
      </c>
      <c r="H357" s="2">
        <v>0</v>
      </c>
      <c r="I357" s="2">
        <v>0</v>
      </c>
      <c r="J357" s="2">
        <v>0</v>
      </c>
      <c r="K357" s="2">
        <v>1246</v>
      </c>
      <c r="L357" s="2">
        <v>0</v>
      </c>
      <c r="M357" s="2">
        <v>1</v>
      </c>
      <c r="N357" s="2">
        <v>4</v>
      </c>
      <c r="O357" s="2">
        <v>0</v>
      </c>
      <c r="P357" s="2">
        <v>1</v>
      </c>
      <c r="Q357" s="2">
        <v>0</v>
      </c>
      <c r="R357" s="2">
        <v>0</v>
      </c>
      <c r="S357" s="2">
        <v>0</v>
      </c>
      <c r="T357" s="2">
        <v>2</v>
      </c>
      <c r="U357" s="2">
        <v>1</v>
      </c>
      <c r="V357" s="2">
        <v>0</v>
      </c>
      <c r="W357" s="2">
        <v>23</v>
      </c>
      <c r="X357" s="2">
        <v>1</v>
      </c>
      <c r="Y357" s="2">
        <v>0</v>
      </c>
      <c r="Z357" s="2">
        <v>1</v>
      </c>
      <c r="AA357" s="2">
        <v>1</v>
      </c>
      <c r="AB357" s="2">
        <v>1</v>
      </c>
      <c r="AC357" s="2">
        <v>1</v>
      </c>
      <c r="AD357" s="2">
        <v>0</v>
      </c>
      <c r="AE357" s="2">
        <v>0</v>
      </c>
      <c r="AF357" s="2">
        <v>0</v>
      </c>
    </row>
    <row r="358" spans="1:32" x14ac:dyDescent="0.25">
      <c r="A358">
        <v>357</v>
      </c>
      <c r="B358" s="2">
        <v>3</v>
      </c>
      <c r="C358" s="2">
        <v>12</v>
      </c>
      <c r="D358" s="2">
        <v>4</v>
      </c>
      <c r="E358" s="2">
        <v>0</v>
      </c>
      <c r="F358" s="2">
        <v>0</v>
      </c>
      <c r="G358" s="2">
        <v>0</v>
      </c>
      <c r="H358" s="2">
        <v>1</v>
      </c>
      <c r="I358" s="2">
        <v>0</v>
      </c>
      <c r="J358" s="2">
        <v>0</v>
      </c>
      <c r="K358" s="2">
        <v>2331</v>
      </c>
      <c r="L358" s="2">
        <v>4</v>
      </c>
      <c r="M358" s="2">
        <v>4</v>
      </c>
      <c r="N358" s="2">
        <v>1</v>
      </c>
      <c r="O358" s="2">
        <v>0</v>
      </c>
      <c r="P358" s="2">
        <v>1</v>
      </c>
      <c r="Q358" s="2">
        <v>0</v>
      </c>
      <c r="R358" s="2">
        <v>1</v>
      </c>
      <c r="S358" s="2">
        <v>0</v>
      </c>
      <c r="T358" s="2">
        <v>4</v>
      </c>
      <c r="U358" s="2">
        <v>1</v>
      </c>
      <c r="V358" s="2">
        <v>0</v>
      </c>
      <c r="W358" s="2">
        <v>49</v>
      </c>
      <c r="X358" s="2">
        <v>0</v>
      </c>
      <c r="Y358" s="2">
        <v>0</v>
      </c>
      <c r="Z358" s="2">
        <v>1</v>
      </c>
      <c r="AA358" s="2">
        <v>1</v>
      </c>
      <c r="AB358" s="2">
        <v>2</v>
      </c>
      <c r="AC358" s="2">
        <v>1</v>
      </c>
      <c r="AD358" s="2">
        <v>1</v>
      </c>
      <c r="AE358" s="2">
        <v>0</v>
      </c>
      <c r="AF358" s="2">
        <v>1</v>
      </c>
    </row>
    <row r="359" spans="1:32" x14ac:dyDescent="0.25">
      <c r="A359">
        <v>358</v>
      </c>
      <c r="B359" s="2">
        <v>3</v>
      </c>
      <c r="C359" s="2">
        <v>36</v>
      </c>
      <c r="D359" s="2">
        <v>3</v>
      </c>
      <c r="E359" s="2">
        <v>0</v>
      </c>
      <c r="F359" s="2">
        <v>0</v>
      </c>
      <c r="G359" s="2">
        <v>0</v>
      </c>
      <c r="H359" s="2">
        <v>1</v>
      </c>
      <c r="I359" s="2">
        <v>0</v>
      </c>
      <c r="J359" s="2">
        <v>0</v>
      </c>
      <c r="K359" s="2">
        <v>4463</v>
      </c>
      <c r="L359" s="2">
        <v>0</v>
      </c>
      <c r="M359" s="2">
        <v>2</v>
      </c>
      <c r="N359" s="2">
        <v>4</v>
      </c>
      <c r="O359" s="2">
        <v>0</v>
      </c>
      <c r="P359" s="2">
        <v>1</v>
      </c>
      <c r="Q359" s="2">
        <v>0</v>
      </c>
      <c r="R359" s="2">
        <v>0</v>
      </c>
      <c r="S359" s="2">
        <v>0</v>
      </c>
      <c r="T359" s="2">
        <v>2</v>
      </c>
      <c r="U359" s="2">
        <v>0</v>
      </c>
      <c r="V359" s="2">
        <v>0</v>
      </c>
      <c r="W359" s="2">
        <v>26</v>
      </c>
      <c r="X359" s="2">
        <v>0</v>
      </c>
      <c r="Y359" s="2">
        <v>0</v>
      </c>
      <c r="Z359" s="2">
        <v>1</v>
      </c>
      <c r="AA359" s="2">
        <v>2</v>
      </c>
      <c r="AB359" s="2">
        <v>3</v>
      </c>
      <c r="AC359" s="2">
        <v>1</v>
      </c>
      <c r="AD359" s="2">
        <v>1</v>
      </c>
      <c r="AE359" s="2">
        <v>0</v>
      </c>
      <c r="AF359" s="2">
        <v>0</v>
      </c>
    </row>
    <row r="360" spans="1:32" x14ac:dyDescent="0.25">
      <c r="A360">
        <v>359</v>
      </c>
      <c r="B360" s="2">
        <v>3</v>
      </c>
      <c r="C360" s="2">
        <v>12</v>
      </c>
      <c r="D360" s="2">
        <v>2</v>
      </c>
      <c r="E360" s="2">
        <v>0</v>
      </c>
      <c r="F360" s="2">
        <v>0</v>
      </c>
      <c r="G360" s="2">
        <v>0</v>
      </c>
      <c r="H360" s="2">
        <v>1</v>
      </c>
      <c r="I360" s="2">
        <v>0</v>
      </c>
      <c r="J360" s="2">
        <v>0</v>
      </c>
      <c r="K360" s="2">
        <v>776</v>
      </c>
      <c r="L360" s="2">
        <v>0</v>
      </c>
      <c r="M360" s="2">
        <v>2</v>
      </c>
      <c r="N360" s="2">
        <v>4</v>
      </c>
      <c r="O360" s="2">
        <v>0</v>
      </c>
      <c r="P360" s="2">
        <v>0</v>
      </c>
      <c r="Q360" s="2">
        <v>1</v>
      </c>
      <c r="R360" s="2">
        <v>0</v>
      </c>
      <c r="S360" s="2">
        <v>0</v>
      </c>
      <c r="T360" s="2">
        <v>2</v>
      </c>
      <c r="U360" s="2">
        <v>1</v>
      </c>
      <c r="V360" s="2">
        <v>0</v>
      </c>
      <c r="W360" s="2">
        <v>28</v>
      </c>
      <c r="X360" s="2">
        <v>0</v>
      </c>
      <c r="Y360" s="2">
        <v>0</v>
      </c>
      <c r="Z360" s="2">
        <v>1</v>
      </c>
      <c r="AA360" s="2">
        <v>1</v>
      </c>
      <c r="AB360" s="2">
        <v>2</v>
      </c>
      <c r="AC360" s="2">
        <v>1</v>
      </c>
      <c r="AD360" s="2">
        <v>0</v>
      </c>
      <c r="AE360" s="2">
        <v>0</v>
      </c>
      <c r="AF360" s="2">
        <v>1</v>
      </c>
    </row>
    <row r="361" spans="1:32" x14ac:dyDescent="0.25">
      <c r="A361">
        <v>360</v>
      </c>
      <c r="B361" s="2">
        <v>0</v>
      </c>
      <c r="C361" s="2">
        <v>30</v>
      </c>
      <c r="D361" s="2">
        <v>2</v>
      </c>
      <c r="E361" s="2">
        <v>0</v>
      </c>
      <c r="F361" s="2">
        <v>0</v>
      </c>
      <c r="G361" s="2">
        <v>1</v>
      </c>
      <c r="H361" s="2">
        <v>0</v>
      </c>
      <c r="I361" s="2">
        <v>0</v>
      </c>
      <c r="J361" s="2">
        <v>0</v>
      </c>
      <c r="K361" s="2">
        <v>2406</v>
      </c>
      <c r="L361" s="2">
        <v>0</v>
      </c>
      <c r="M361" s="2">
        <v>3</v>
      </c>
      <c r="N361" s="2">
        <v>4</v>
      </c>
      <c r="O361" s="2">
        <v>0</v>
      </c>
      <c r="P361" s="2">
        <v>0</v>
      </c>
      <c r="Q361" s="2">
        <v>0</v>
      </c>
      <c r="R361" s="2">
        <v>0</v>
      </c>
      <c r="S361" s="2">
        <v>0</v>
      </c>
      <c r="T361" s="2">
        <v>4</v>
      </c>
      <c r="U361" s="2">
        <v>1</v>
      </c>
      <c r="V361" s="2">
        <v>0</v>
      </c>
      <c r="W361" s="2">
        <v>23</v>
      </c>
      <c r="X361" s="2">
        <v>0</v>
      </c>
      <c r="Y361" s="2">
        <v>1</v>
      </c>
      <c r="Z361" s="2">
        <v>0</v>
      </c>
      <c r="AA361" s="2">
        <v>1</v>
      </c>
      <c r="AB361" s="2">
        <v>2</v>
      </c>
      <c r="AC361" s="2">
        <v>1</v>
      </c>
      <c r="AD361" s="2">
        <v>0</v>
      </c>
      <c r="AE361" s="2">
        <v>0</v>
      </c>
      <c r="AF361" s="2">
        <v>0</v>
      </c>
    </row>
    <row r="362" spans="1:32" x14ac:dyDescent="0.25">
      <c r="A362">
        <v>361</v>
      </c>
      <c r="B362" s="2">
        <v>1</v>
      </c>
      <c r="C362" s="2">
        <v>18</v>
      </c>
      <c r="D362" s="2">
        <v>2</v>
      </c>
      <c r="E362" s="2">
        <v>0</v>
      </c>
      <c r="F362" s="2">
        <v>0</v>
      </c>
      <c r="G362" s="2">
        <v>0</v>
      </c>
      <c r="H362" s="2">
        <v>0</v>
      </c>
      <c r="I362" s="2">
        <v>1</v>
      </c>
      <c r="J362" s="2">
        <v>0</v>
      </c>
      <c r="K362" s="2">
        <v>1239</v>
      </c>
      <c r="L362" s="2">
        <v>4</v>
      </c>
      <c r="M362" s="2">
        <v>2</v>
      </c>
      <c r="N362" s="2">
        <v>4</v>
      </c>
      <c r="O362" s="2">
        <v>0</v>
      </c>
      <c r="P362" s="2">
        <v>1</v>
      </c>
      <c r="Q362" s="2">
        <v>0</v>
      </c>
      <c r="R362" s="2">
        <v>0</v>
      </c>
      <c r="S362" s="2">
        <v>0</v>
      </c>
      <c r="T362" s="2">
        <v>4</v>
      </c>
      <c r="U362" s="2">
        <v>0</v>
      </c>
      <c r="V362" s="2">
        <v>1</v>
      </c>
      <c r="W362" s="2">
        <v>61</v>
      </c>
      <c r="X362" s="2">
        <v>0</v>
      </c>
      <c r="Y362" s="2">
        <v>0</v>
      </c>
      <c r="Z362" s="2">
        <v>0</v>
      </c>
      <c r="AA362" s="2">
        <v>1</v>
      </c>
      <c r="AB362" s="2">
        <v>2</v>
      </c>
      <c r="AC362" s="2">
        <v>1</v>
      </c>
      <c r="AD362" s="2">
        <v>0</v>
      </c>
      <c r="AE362" s="2">
        <v>0</v>
      </c>
      <c r="AF362" s="2">
        <v>1</v>
      </c>
    </row>
    <row r="363" spans="1:32" x14ac:dyDescent="0.25">
      <c r="A363">
        <v>362</v>
      </c>
      <c r="B363" s="2">
        <v>2</v>
      </c>
      <c r="C363" s="2">
        <v>12</v>
      </c>
      <c r="D363" s="2">
        <v>2</v>
      </c>
      <c r="E363" s="2">
        <v>0</v>
      </c>
      <c r="F363" s="2">
        <v>0</v>
      </c>
      <c r="G363" s="2">
        <v>0</v>
      </c>
      <c r="H363" s="2">
        <v>1</v>
      </c>
      <c r="I363" s="2">
        <v>0</v>
      </c>
      <c r="J363" s="2">
        <v>0</v>
      </c>
      <c r="K363" s="2">
        <v>3399</v>
      </c>
      <c r="L363" s="2">
        <v>4</v>
      </c>
      <c r="M363" s="2">
        <v>4</v>
      </c>
      <c r="N363" s="2">
        <v>2</v>
      </c>
      <c r="O363" s="2">
        <v>0</v>
      </c>
      <c r="P363" s="2">
        <v>1</v>
      </c>
      <c r="Q363" s="2">
        <v>0</v>
      </c>
      <c r="R363" s="2">
        <v>0</v>
      </c>
      <c r="S363" s="2">
        <v>0</v>
      </c>
      <c r="T363" s="2">
        <v>3</v>
      </c>
      <c r="U363" s="2">
        <v>0</v>
      </c>
      <c r="V363" s="2">
        <v>0</v>
      </c>
      <c r="W363" s="2">
        <v>37</v>
      </c>
      <c r="X363" s="2">
        <v>0</v>
      </c>
      <c r="Y363" s="2">
        <v>0</v>
      </c>
      <c r="Z363" s="2">
        <v>1</v>
      </c>
      <c r="AA363" s="2">
        <v>1</v>
      </c>
      <c r="AB363" s="2">
        <v>3</v>
      </c>
      <c r="AC363" s="2">
        <v>1</v>
      </c>
      <c r="AD363" s="2">
        <v>0</v>
      </c>
      <c r="AE363" s="2">
        <v>0</v>
      </c>
      <c r="AF363" s="2">
        <v>1</v>
      </c>
    </row>
    <row r="364" spans="1:32" x14ac:dyDescent="0.25">
      <c r="A364">
        <v>363</v>
      </c>
      <c r="B364" s="2">
        <v>2</v>
      </c>
      <c r="C364" s="2">
        <v>12</v>
      </c>
      <c r="D364" s="2">
        <v>3</v>
      </c>
      <c r="E364" s="2">
        <v>1</v>
      </c>
      <c r="F364" s="2">
        <v>0</v>
      </c>
      <c r="G364" s="2">
        <v>0</v>
      </c>
      <c r="H364" s="2">
        <v>0</v>
      </c>
      <c r="I364" s="2">
        <v>0</v>
      </c>
      <c r="J364" s="2">
        <v>0</v>
      </c>
      <c r="K364" s="2">
        <v>2247</v>
      </c>
      <c r="L364" s="2">
        <v>0</v>
      </c>
      <c r="M364" s="2">
        <v>2</v>
      </c>
      <c r="N364" s="2">
        <v>2</v>
      </c>
      <c r="O364" s="2">
        <v>0</v>
      </c>
      <c r="P364" s="2">
        <v>0</v>
      </c>
      <c r="Q364" s="2">
        <v>0</v>
      </c>
      <c r="R364" s="2">
        <v>0</v>
      </c>
      <c r="S364" s="2">
        <v>0</v>
      </c>
      <c r="T364" s="2">
        <v>2</v>
      </c>
      <c r="U364" s="2">
        <v>0</v>
      </c>
      <c r="V364" s="2">
        <v>0</v>
      </c>
      <c r="W364" s="2">
        <v>36</v>
      </c>
      <c r="X364" s="2">
        <v>1</v>
      </c>
      <c r="Y364" s="2">
        <v>0</v>
      </c>
      <c r="Z364" s="2">
        <v>1</v>
      </c>
      <c r="AA364" s="2">
        <v>2</v>
      </c>
      <c r="AB364" s="2">
        <v>2</v>
      </c>
      <c r="AC364" s="2">
        <v>1</v>
      </c>
      <c r="AD364" s="2">
        <v>1</v>
      </c>
      <c r="AE364" s="2">
        <v>0</v>
      </c>
      <c r="AF364" s="2">
        <v>1</v>
      </c>
    </row>
    <row r="365" spans="1:32" x14ac:dyDescent="0.25">
      <c r="A365">
        <v>364</v>
      </c>
      <c r="B365" s="2">
        <v>3</v>
      </c>
      <c r="C365" s="2">
        <v>6</v>
      </c>
      <c r="D365" s="2">
        <v>2</v>
      </c>
      <c r="E365" s="2">
        <v>0</v>
      </c>
      <c r="F365" s="2">
        <v>0</v>
      </c>
      <c r="G365" s="2">
        <v>1</v>
      </c>
      <c r="H365" s="2">
        <v>0</v>
      </c>
      <c r="I365" s="2">
        <v>0</v>
      </c>
      <c r="J365" s="2">
        <v>0</v>
      </c>
      <c r="K365" s="2">
        <v>1766</v>
      </c>
      <c r="L365" s="2">
        <v>0</v>
      </c>
      <c r="M365" s="2">
        <v>2</v>
      </c>
      <c r="N365" s="2">
        <v>1</v>
      </c>
      <c r="O365" s="2">
        <v>0</v>
      </c>
      <c r="P365" s="2">
        <v>0</v>
      </c>
      <c r="Q365" s="2">
        <v>1</v>
      </c>
      <c r="R365" s="2">
        <v>0</v>
      </c>
      <c r="S365" s="2">
        <v>0</v>
      </c>
      <c r="T365" s="2">
        <v>2</v>
      </c>
      <c r="U365" s="2">
        <v>0</v>
      </c>
      <c r="V365" s="2">
        <v>0</v>
      </c>
      <c r="W365" s="2">
        <v>21</v>
      </c>
      <c r="X365" s="2">
        <v>0</v>
      </c>
      <c r="Y365" s="2">
        <v>1</v>
      </c>
      <c r="Z365" s="2">
        <v>0</v>
      </c>
      <c r="AA365" s="2">
        <v>1</v>
      </c>
      <c r="AB365" s="2">
        <v>2</v>
      </c>
      <c r="AC365" s="2">
        <v>1</v>
      </c>
      <c r="AD365" s="2">
        <v>0</v>
      </c>
      <c r="AE365" s="2">
        <v>0</v>
      </c>
      <c r="AF365" s="2">
        <v>1</v>
      </c>
    </row>
    <row r="366" spans="1:32" x14ac:dyDescent="0.25">
      <c r="A366">
        <v>365</v>
      </c>
      <c r="B366" s="2">
        <v>0</v>
      </c>
      <c r="C366" s="2">
        <v>18</v>
      </c>
      <c r="D366" s="2">
        <v>2</v>
      </c>
      <c r="E366" s="2">
        <v>0</v>
      </c>
      <c r="F366" s="2">
        <v>0</v>
      </c>
      <c r="G366" s="2">
        <v>1</v>
      </c>
      <c r="H366" s="2">
        <v>0</v>
      </c>
      <c r="I366" s="2">
        <v>0</v>
      </c>
      <c r="J366" s="2">
        <v>0</v>
      </c>
      <c r="K366" s="2">
        <v>2473</v>
      </c>
      <c r="L366" s="2">
        <v>0</v>
      </c>
      <c r="M366" s="2">
        <v>0</v>
      </c>
      <c r="N366" s="2">
        <v>4</v>
      </c>
      <c r="O366" s="2">
        <v>0</v>
      </c>
      <c r="P366" s="2">
        <v>1</v>
      </c>
      <c r="Q366" s="2">
        <v>0</v>
      </c>
      <c r="R366" s="2">
        <v>0</v>
      </c>
      <c r="S366" s="2">
        <v>0</v>
      </c>
      <c r="T366" s="2">
        <v>1</v>
      </c>
      <c r="U366" s="2">
        <v>0</v>
      </c>
      <c r="V366" s="2">
        <v>0</v>
      </c>
      <c r="W366" s="2">
        <v>25</v>
      </c>
      <c r="X366" s="2">
        <v>0</v>
      </c>
      <c r="Y366" s="2">
        <v>0</v>
      </c>
      <c r="Z366" s="2">
        <v>1</v>
      </c>
      <c r="AA366" s="2">
        <v>1</v>
      </c>
      <c r="AB366" s="2">
        <v>0</v>
      </c>
      <c r="AC366" s="2">
        <v>1</v>
      </c>
      <c r="AD366" s="2">
        <v>0</v>
      </c>
      <c r="AE366" s="2">
        <v>0</v>
      </c>
      <c r="AF366" s="2">
        <v>0</v>
      </c>
    </row>
    <row r="367" spans="1:32" x14ac:dyDescent="0.25">
      <c r="A367">
        <v>366</v>
      </c>
      <c r="B367" s="2">
        <v>3</v>
      </c>
      <c r="C367" s="2">
        <v>12</v>
      </c>
      <c r="D367" s="2">
        <v>2</v>
      </c>
      <c r="E367" s="2">
        <v>0</v>
      </c>
      <c r="F367" s="2">
        <v>0</v>
      </c>
      <c r="G367" s="2">
        <v>0</v>
      </c>
      <c r="H367" s="2">
        <v>0</v>
      </c>
      <c r="I367" s="2">
        <v>0</v>
      </c>
      <c r="J367" s="2">
        <v>1</v>
      </c>
      <c r="K367" s="2">
        <v>1542</v>
      </c>
      <c r="L367" s="2">
        <v>0</v>
      </c>
      <c r="M367" s="2">
        <v>3</v>
      </c>
      <c r="N367" s="2">
        <v>2</v>
      </c>
      <c r="O367" s="2">
        <v>0</v>
      </c>
      <c r="P367" s="2">
        <v>1</v>
      </c>
      <c r="Q367" s="2">
        <v>0</v>
      </c>
      <c r="R367" s="2">
        <v>0</v>
      </c>
      <c r="S367" s="2">
        <v>0</v>
      </c>
      <c r="T367" s="2">
        <v>4</v>
      </c>
      <c r="U367" s="2">
        <v>0</v>
      </c>
      <c r="V367" s="2">
        <v>0</v>
      </c>
      <c r="W367" s="2">
        <v>36</v>
      </c>
      <c r="X367" s="2">
        <v>0</v>
      </c>
      <c r="Y367" s="2">
        <v>0</v>
      </c>
      <c r="Z367" s="2">
        <v>1</v>
      </c>
      <c r="AA367" s="2">
        <v>1</v>
      </c>
      <c r="AB367" s="2">
        <v>2</v>
      </c>
      <c r="AC367" s="2">
        <v>1</v>
      </c>
      <c r="AD367" s="2">
        <v>1</v>
      </c>
      <c r="AE367" s="2">
        <v>0</v>
      </c>
      <c r="AF367" s="2">
        <v>1</v>
      </c>
    </row>
    <row r="368" spans="1:32" x14ac:dyDescent="0.25">
      <c r="A368">
        <v>367</v>
      </c>
      <c r="B368" s="2">
        <v>3</v>
      </c>
      <c r="C368" s="2">
        <v>18</v>
      </c>
      <c r="D368" s="2">
        <v>4</v>
      </c>
      <c r="E368" s="2">
        <v>0</v>
      </c>
      <c r="F368" s="2">
        <v>1</v>
      </c>
      <c r="G368" s="2">
        <v>0</v>
      </c>
      <c r="H368" s="2">
        <v>0</v>
      </c>
      <c r="I368" s="2">
        <v>0</v>
      </c>
      <c r="J368" s="2">
        <v>0</v>
      </c>
      <c r="K368" s="2">
        <v>3850</v>
      </c>
      <c r="L368" s="2">
        <v>0</v>
      </c>
      <c r="M368" s="2">
        <v>3</v>
      </c>
      <c r="N368" s="2">
        <v>3</v>
      </c>
      <c r="O368" s="2">
        <v>0</v>
      </c>
      <c r="P368" s="2">
        <v>1</v>
      </c>
      <c r="Q368" s="2">
        <v>0</v>
      </c>
      <c r="R368" s="2">
        <v>0</v>
      </c>
      <c r="S368" s="2">
        <v>0</v>
      </c>
      <c r="T368" s="2">
        <v>1</v>
      </c>
      <c r="U368" s="2">
        <v>0</v>
      </c>
      <c r="V368" s="2">
        <v>0</v>
      </c>
      <c r="W368" s="2">
        <v>27</v>
      </c>
      <c r="X368" s="2">
        <v>0</v>
      </c>
      <c r="Y368" s="2">
        <v>0</v>
      </c>
      <c r="Z368" s="2">
        <v>1</v>
      </c>
      <c r="AA368" s="2">
        <v>2</v>
      </c>
      <c r="AB368" s="2">
        <v>2</v>
      </c>
      <c r="AC368" s="2">
        <v>1</v>
      </c>
      <c r="AD368" s="2">
        <v>0</v>
      </c>
      <c r="AE368" s="2">
        <v>0</v>
      </c>
      <c r="AF368" s="2">
        <v>1</v>
      </c>
    </row>
    <row r="369" spans="1:32" x14ac:dyDescent="0.25">
      <c r="A369">
        <v>368</v>
      </c>
      <c r="B369" s="2">
        <v>0</v>
      </c>
      <c r="C369" s="2">
        <v>18</v>
      </c>
      <c r="D369" s="2">
        <v>2</v>
      </c>
      <c r="E369" s="2">
        <v>0</v>
      </c>
      <c r="F369" s="2">
        <v>0</v>
      </c>
      <c r="G369" s="2">
        <v>1</v>
      </c>
      <c r="H369" s="2">
        <v>0</v>
      </c>
      <c r="I369" s="2">
        <v>0</v>
      </c>
      <c r="J369" s="2">
        <v>0</v>
      </c>
      <c r="K369" s="2">
        <v>3650</v>
      </c>
      <c r="L369" s="2">
        <v>0</v>
      </c>
      <c r="M369" s="2">
        <v>1</v>
      </c>
      <c r="N369" s="2">
        <v>1</v>
      </c>
      <c r="O369" s="2">
        <v>0</v>
      </c>
      <c r="P369" s="2">
        <v>0</v>
      </c>
      <c r="Q369" s="2">
        <v>0</v>
      </c>
      <c r="R369" s="2">
        <v>0</v>
      </c>
      <c r="S369" s="2">
        <v>0</v>
      </c>
      <c r="T369" s="2">
        <v>4</v>
      </c>
      <c r="U369" s="2">
        <v>0</v>
      </c>
      <c r="V369" s="2">
        <v>0</v>
      </c>
      <c r="W369" s="2">
        <v>22</v>
      </c>
      <c r="X369" s="2">
        <v>0</v>
      </c>
      <c r="Y369" s="2">
        <v>1</v>
      </c>
      <c r="Z369" s="2">
        <v>0</v>
      </c>
      <c r="AA369" s="2">
        <v>1</v>
      </c>
      <c r="AB369" s="2">
        <v>2</v>
      </c>
      <c r="AC369" s="2">
        <v>1</v>
      </c>
      <c r="AD369" s="2">
        <v>0</v>
      </c>
      <c r="AE369" s="2">
        <v>0</v>
      </c>
      <c r="AF369" s="2">
        <v>1</v>
      </c>
    </row>
    <row r="370" spans="1:32" x14ac:dyDescent="0.25">
      <c r="A370">
        <v>369</v>
      </c>
      <c r="B370" s="2">
        <v>0</v>
      </c>
      <c r="C370" s="2">
        <v>36</v>
      </c>
      <c r="D370" s="2">
        <v>2</v>
      </c>
      <c r="E370" s="2">
        <v>0</v>
      </c>
      <c r="F370" s="2">
        <v>0</v>
      </c>
      <c r="G370" s="2">
        <v>1</v>
      </c>
      <c r="H370" s="2">
        <v>0</v>
      </c>
      <c r="I370" s="2">
        <v>0</v>
      </c>
      <c r="J370" s="2">
        <v>0</v>
      </c>
      <c r="K370" s="2">
        <v>3446</v>
      </c>
      <c r="L370" s="2">
        <v>0</v>
      </c>
      <c r="M370" s="2">
        <v>4</v>
      </c>
      <c r="N370" s="2">
        <v>4</v>
      </c>
      <c r="O370" s="2">
        <v>0</v>
      </c>
      <c r="P370" s="2">
        <v>1</v>
      </c>
      <c r="Q370" s="2">
        <v>0</v>
      </c>
      <c r="R370" s="2">
        <v>0</v>
      </c>
      <c r="S370" s="2">
        <v>0</v>
      </c>
      <c r="T370" s="2">
        <v>2</v>
      </c>
      <c r="U370" s="2">
        <v>0</v>
      </c>
      <c r="V370" s="2">
        <v>0</v>
      </c>
      <c r="W370" s="2">
        <v>42</v>
      </c>
      <c r="X370" s="2">
        <v>0</v>
      </c>
      <c r="Y370" s="2">
        <v>0</v>
      </c>
      <c r="Z370" s="2">
        <v>1</v>
      </c>
      <c r="AA370" s="2">
        <v>1</v>
      </c>
      <c r="AB370" s="2">
        <v>2</v>
      </c>
      <c r="AC370" s="2">
        <v>2</v>
      </c>
      <c r="AD370" s="2">
        <v>0</v>
      </c>
      <c r="AE370" s="2">
        <v>0</v>
      </c>
      <c r="AF370" s="2">
        <v>0</v>
      </c>
    </row>
    <row r="371" spans="1:32" x14ac:dyDescent="0.25">
      <c r="A371">
        <v>370</v>
      </c>
      <c r="B371" s="2">
        <v>1</v>
      </c>
      <c r="C371" s="2">
        <v>18</v>
      </c>
      <c r="D371" s="2">
        <v>2</v>
      </c>
      <c r="E371" s="2">
        <v>0</v>
      </c>
      <c r="F371" s="2">
        <v>0</v>
      </c>
      <c r="G371" s="2">
        <v>1</v>
      </c>
      <c r="H371" s="2">
        <v>0</v>
      </c>
      <c r="I371" s="2">
        <v>0</v>
      </c>
      <c r="J371" s="2">
        <v>0</v>
      </c>
      <c r="K371" s="2">
        <v>3001</v>
      </c>
      <c r="L371" s="2">
        <v>0</v>
      </c>
      <c r="M371" s="2">
        <v>3</v>
      </c>
      <c r="N371" s="2">
        <v>2</v>
      </c>
      <c r="O371" s="2">
        <v>0</v>
      </c>
      <c r="P371" s="2">
        <v>0</v>
      </c>
      <c r="Q371" s="2">
        <v>0</v>
      </c>
      <c r="R371" s="2">
        <v>0</v>
      </c>
      <c r="S371" s="2">
        <v>0</v>
      </c>
      <c r="T371" s="2">
        <v>4</v>
      </c>
      <c r="U371" s="2">
        <v>1</v>
      </c>
      <c r="V371" s="2">
        <v>0</v>
      </c>
      <c r="W371" s="2">
        <v>40</v>
      </c>
      <c r="X371" s="2">
        <v>0</v>
      </c>
      <c r="Y371" s="2">
        <v>1</v>
      </c>
      <c r="Z371" s="2">
        <v>0</v>
      </c>
      <c r="AA371" s="2">
        <v>1</v>
      </c>
      <c r="AB371" s="2">
        <v>2</v>
      </c>
      <c r="AC371" s="2">
        <v>1</v>
      </c>
      <c r="AD371" s="2">
        <v>0</v>
      </c>
      <c r="AE371" s="2">
        <v>0</v>
      </c>
      <c r="AF371" s="2">
        <v>1</v>
      </c>
    </row>
    <row r="372" spans="1:32" x14ac:dyDescent="0.25">
      <c r="A372">
        <v>371</v>
      </c>
      <c r="B372" s="2">
        <v>3</v>
      </c>
      <c r="C372" s="2">
        <v>36</v>
      </c>
      <c r="D372" s="2">
        <v>2</v>
      </c>
      <c r="E372" s="2">
        <v>1</v>
      </c>
      <c r="F372" s="2">
        <v>0</v>
      </c>
      <c r="G372" s="2">
        <v>0</v>
      </c>
      <c r="H372" s="2">
        <v>0</v>
      </c>
      <c r="I372" s="2">
        <v>0</v>
      </c>
      <c r="J372" s="2">
        <v>0</v>
      </c>
      <c r="K372" s="2">
        <v>3079</v>
      </c>
      <c r="L372" s="2">
        <v>4</v>
      </c>
      <c r="M372" s="2">
        <v>2</v>
      </c>
      <c r="N372" s="2">
        <v>4</v>
      </c>
      <c r="O372" s="2">
        <v>0</v>
      </c>
      <c r="P372" s="2">
        <v>1</v>
      </c>
      <c r="Q372" s="2">
        <v>0</v>
      </c>
      <c r="R372" s="2">
        <v>0</v>
      </c>
      <c r="S372" s="2">
        <v>0</v>
      </c>
      <c r="T372" s="2">
        <v>4</v>
      </c>
      <c r="U372" s="2">
        <v>1</v>
      </c>
      <c r="V372" s="2">
        <v>0</v>
      </c>
      <c r="W372" s="2">
        <v>36</v>
      </c>
      <c r="X372" s="2">
        <v>0</v>
      </c>
      <c r="Y372" s="2">
        <v>0</v>
      </c>
      <c r="Z372" s="2">
        <v>1</v>
      </c>
      <c r="AA372" s="2">
        <v>1</v>
      </c>
      <c r="AB372" s="2">
        <v>2</v>
      </c>
      <c r="AC372" s="2">
        <v>1</v>
      </c>
      <c r="AD372" s="2">
        <v>0</v>
      </c>
      <c r="AE372" s="2">
        <v>0</v>
      </c>
      <c r="AF372" s="2">
        <v>1</v>
      </c>
    </row>
    <row r="373" spans="1:32" x14ac:dyDescent="0.25">
      <c r="A373">
        <v>372</v>
      </c>
      <c r="B373" s="2">
        <v>3</v>
      </c>
      <c r="C373" s="2">
        <v>18</v>
      </c>
      <c r="D373" s="2">
        <v>4</v>
      </c>
      <c r="E373" s="2">
        <v>0</v>
      </c>
      <c r="F373" s="2">
        <v>0</v>
      </c>
      <c r="G373" s="2">
        <v>0</v>
      </c>
      <c r="H373" s="2">
        <v>1</v>
      </c>
      <c r="I373" s="2">
        <v>0</v>
      </c>
      <c r="J373" s="2">
        <v>0</v>
      </c>
      <c r="K373" s="2">
        <v>6070</v>
      </c>
      <c r="L373" s="2">
        <v>0</v>
      </c>
      <c r="M373" s="2">
        <v>4</v>
      </c>
      <c r="N373" s="2">
        <v>3</v>
      </c>
      <c r="O373" s="2">
        <v>0</v>
      </c>
      <c r="P373" s="2">
        <v>1</v>
      </c>
      <c r="Q373" s="2">
        <v>0</v>
      </c>
      <c r="R373" s="2">
        <v>0</v>
      </c>
      <c r="S373" s="2">
        <v>0</v>
      </c>
      <c r="T373" s="2">
        <v>4</v>
      </c>
      <c r="U373" s="2">
        <v>0</v>
      </c>
      <c r="V373" s="2">
        <v>0</v>
      </c>
      <c r="W373" s="2">
        <v>33</v>
      </c>
      <c r="X373" s="2">
        <v>0</v>
      </c>
      <c r="Y373" s="2">
        <v>0</v>
      </c>
      <c r="Z373" s="2">
        <v>1</v>
      </c>
      <c r="AA373" s="2">
        <v>2</v>
      </c>
      <c r="AB373" s="2">
        <v>2</v>
      </c>
      <c r="AC373" s="2">
        <v>1</v>
      </c>
      <c r="AD373" s="2">
        <v>1</v>
      </c>
      <c r="AE373" s="2">
        <v>0</v>
      </c>
      <c r="AF373" s="2">
        <v>1</v>
      </c>
    </row>
    <row r="374" spans="1:32" x14ac:dyDescent="0.25">
      <c r="A374">
        <v>373</v>
      </c>
      <c r="B374" s="2">
        <v>3</v>
      </c>
      <c r="C374" s="2">
        <v>10</v>
      </c>
      <c r="D374" s="2">
        <v>4</v>
      </c>
      <c r="E374" s="2">
        <v>0</v>
      </c>
      <c r="F374" s="2">
        <v>0</v>
      </c>
      <c r="G374" s="2">
        <v>1</v>
      </c>
      <c r="H374" s="2">
        <v>0</v>
      </c>
      <c r="I374" s="2">
        <v>0</v>
      </c>
      <c r="J374" s="2">
        <v>0</v>
      </c>
      <c r="K374" s="2">
        <v>2146</v>
      </c>
      <c r="L374" s="2">
        <v>0</v>
      </c>
      <c r="M374" s="2">
        <v>1</v>
      </c>
      <c r="N374" s="2">
        <v>1</v>
      </c>
      <c r="O374" s="2">
        <v>0</v>
      </c>
      <c r="P374" s="2">
        <v>0</v>
      </c>
      <c r="Q374" s="2">
        <v>0</v>
      </c>
      <c r="R374" s="2">
        <v>0</v>
      </c>
      <c r="S374" s="2">
        <v>0</v>
      </c>
      <c r="T374" s="2">
        <v>3</v>
      </c>
      <c r="U374" s="2">
        <v>1</v>
      </c>
      <c r="V374" s="2">
        <v>0</v>
      </c>
      <c r="W374" s="2">
        <v>23</v>
      </c>
      <c r="X374" s="2">
        <v>0</v>
      </c>
      <c r="Y374" s="2">
        <v>1</v>
      </c>
      <c r="Z374" s="2">
        <v>0</v>
      </c>
      <c r="AA374" s="2">
        <v>2</v>
      </c>
      <c r="AB374" s="2">
        <v>2</v>
      </c>
      <c r="AC374" s="2">
        <v>1</v>
      </c>
      <c r="AD374" s="2">
        <v>0</v>
      </c>
      <c r="AE374" s="2">
        <v>0</v>
      </c>
      <c r="AF374" s="2">
        <v>1</v>
      </c>
    </row>
    <row r="375" spans="1:32" x14ac:dyDescent="0.25">
      <c r="A375">
        <v>374</v>
      </c>
      <c r="B375" s="2">
        <v>3</v>
      </c>
      <c r="C375" s="2">
        <v>60</v>
      </c>
      <c r="D375" s="2">
        <v>4</v>
      </c>
      <c r="E375" s="2">
        <v>1</v>
      </c>
      <c r="F375" s="2">
        <v>0</v>
      </c>
      <c r="G375" s="2">
        <v>0</v>
      </c>
      <c r="H375" s="2">
        <v>0</v>
      </c>
      <c r="I375" s="2">
        <v>0</v>
      </c>
      <c r="J375" s="2">
        <v>0</v>
      </c>
      <c r="K375" s="2">
        <v>13756</v>
      </c>
      <c r="L375" s="2">
        <v>4</v>
      </c>
      <c r="M375" s="2">
        <v>4</v>
      </c>
      <c r="N375" s="2">
        <v>2</v>
      </c>
      <c r="O375" s="2">
        <v>0</v>
      </c>
      <c r="P375" s="2">
        <v>1</v>
      </c>
      <c r="Q375" s="2">
        <v>0</v>
      </c>
      <c r="R375" s="2">
        <v>0</v>
      </c>
      <c r="S375" s="2">
        <v>0</v>
      </c>
      <c r="T375" s="2">
        <v>4</v>
      </c>
      <c r="U375" s="2">
        <v>0</v>
      </c>
      <c r="V375" s="2">
        <v>1</v>
      </c>
      <c r="W375" s="2">
        <v>63</v>
      </c>
      <c r="X375" s="2">
        <v>1</v>
      </c>
      <c r="Y375" s="2">
        <v>0</v>
      </c>
      <c r="Z375" s="2">
        <v>0</v>
      </c>
      <c r="AA375" s="2">
        <v>1</v>
      </c>
      <c r="AB375" s="2">
        <v>3</v>
      </c>
      <c r="AC375" s="2">
        <v>1</v>
      </c>
      <c r="AD375" s="2">
        <v>1</v>
      </c>
      <c r="AE375" s="2">
        <v>0</v>
      </c>
      <c r="AF375" s="2">
        <v>1</v>
      </c>
    </row>
    <row r="376" spans="1:32" x14ac:dyDescent="0.25">
      <c r="A376">
        <v>375</v>
      </c>
      <c r="B376" s="2">
        <v>1</v>
      </c>
      <c r="C376" s="2">
        <v>60</v>
      </c>
      <c r="D376" s="2">
        <v>1</v>
      </c>
      <c r="E376" s="2">
        <v>0</v>
      </c>
      <c r="F376" s="2">
        <v>0</v>
      </c>
      <c r="G376" s="2">
        <v>0</v>
      </c>
      <c r="H376" s="2">
        <v>0</v>
      </c>
      <c r="I376" s="2">
        <v>0</v>
      </c>
      <c r="J376" s="2">
        <v>0</v>
      </c>
      <c r="K376" s="2">
        <v>14782</v>
      </c>
      <c r="L376" s="2">
        <v>1</v>
      </c>
      <c r="M376" s="2">
        <v>4</v>
      </c>
      <c r="N376" s="2">
        <v>3</v>
      </c>
      <c r="O376" s="2">
        <v>0</v>
      </c>
      <c r="P376" s="2">
        <v>0</v>
      </c>
      <c r="Q376" s="2">
        <v>0</v>
      </c>
      <c r="R376" s="2">
        <v>0</v>
      </c>
      <c r="S376" s="2">
        <v>0</v>
      </c>
      <c r="T376" s="2">
        <v>4</v>
      </c>
      <c r="U376" s="2">
        <v>0</v>
      </c>
      <c r="V376" s="2">
        <v>1</v>
      </c>
      <c r="W376" s="2">
        <v>60</v>
      </c>
      <c r="X376" s="2">
        <v>1</v>
      </c>
      <c r="Y376" s="2">
        <v>0</v>
      </c>
      <c r="Z376" s="2">
        <v>0</v>
      </c>
      <c r="AA376" s="2">
        <v>2</v>
      </c>
      <c r="AB376" s="2">
        <v>3</v>
      </c>
      <c r="AC376" s="2">
        <v>1</v>
      </c>
      <c r="AD376" s="2">
        <v>1</v>
      </c>
      <c r="AE376" s="2">
        <v>0</v>
      </c>
      <c r="AF376" s="2">
        <v>0</v>
      </c>
    </row>
    <row r="377" spans="1:32" x14ac:dyDescent="0.25">
      <c r="A377">
        <v>376</v>
      </c>
      <c r="B377" s="2">
        <v>0</v>
      </c>
      <c r="C377" s="2">
        <v>48</v>
      </c>
      <c r="D377" s="2">
        <v>1</v>
      </c>
      <c r="E377" s="2">
        <v>0</v>
      </c>
      <c r="F377" s="2">
        <v>0</v>
      </c>
      <c r="G377" s="2">
        <v>0</v>
      </c>
      <c r="H377" s="2">
        <v>0</v>
      </c>
      <c r="I377" s="2">
        <v>0</v>
      </c>
      <c r="J377" s="2">
        <v>1</v>
      </c>
      <c r="K377" s="2">
        <v>7685</v>
      </c>
      <c r="L377" s="2">
        <v>0</v>
      </c>
      <c r="M377" s="2">
        <v>3</v>
      </c>
      <c r="N377" s="2">
        <v>2</v>
      </c>
      <c r="O377" s="2">
        <v>0</v>
      </c>
      <c r="P377" s="2">
        <v>0</v>
      </c>
      <c r="Q377" s="2">
        <v>0</v>
      </c>
      <c r="R377" s="2">
        <v>0</v>
      </c>
      <c r="S377" s="2">
        <v>1</v>
      </c>
      <c r="T377" s="2">
        <v>4</v>
      </c>
      <c r="U377" s="2">
        <v>0</v>
      </c>
      <c r="V377" s="2">
        <v>0</v>
      </c>
      <c r="W377" s="2">
        <v>37</v>
      </c>
      <c r="X377" s="2">
        <v>0</v>
      </c>
      <c r="Y377" s="2">
        <v>1</v>
      </c>
      <c r="Z377" s="2">
        <v>0</v>
      </c>
      <c r="AA377" s="2">
        <v>1</v>
      </c>
      <c r="AB377" s="2">
        <v>2</v>
      </c>
      <c r="AC377" s="2">
        <v>1</v>
      </c>
      <c r="AD377" s="2">
        <v>0</v>
      </c>
      <c r="AE377" s="2">
        <v>0</v>
      </c>
      <c r="AF377" s="2">
        <v>0</v>
      </c>
    </row>
    <row r="378" spans="1:32" x14ac:dyDescent="0.25">
      <c r="A378">
        <v>377</v>
      </c>
      <c r="B378" s="2">
        <v>3</v>
      </c>
      <c r="C378" s="2">
        <v>18</v>
      </c>
      <c r="D378" s="2">
        <v>3</v>
      </c>
      <c r="E378" s="2">
        <v>0</v>
      </c>
      <c r="F378" s="2">
        <v>0</v>
      </c>
      <c r="G378" s="2">
        <v>0</v>
      </c>
      <c r="H378" s="2">
        <v>1</v>
      </c>
      <c r="I378" s="2">
        <v>0</v>
      </c>
      <c r="J378" s="2">
        <v>0</v>
      </c>
      <c r="K378" s="2">
        <v>2320</v>
      </c>
      <c r="L378" s="2">
        <v>0</v>
      </c>
      <c r="M378" s="2">
        <v>0</v>
      </c>
      <c r="N378" s="2">
        <v>2</v>
      </c>
      <c r="O378" s="2">
        <v>0</v>
      </c>
      <c r="P378" s="2">
        <v>0</v>
      </c>
      <c r="Q378" s="2">
        <v>1</v>
      </c>
      <c r="R378" s="2">
        <v>0</v>
      </c>
      <c r="S378" s="2">
        <v>0</v>
      </c>
      <c r="T378" s="2">
        <v>3</v>
      </c>
      <c r="U378" s="2">
        <v>1</v>
      </c>
      <c r="V378" s="2">
        <v>0</v>
      </c>
      <c r="W378" s="2">
        <v>34</v>
      </c>
      <c r="X378" s="2">
        <v>0</v>
      </c>
      <c r="Y378" s="2">
        <v>0</v>
      </c>
      <c r="Z378" s="2">
        <v>1</v>
      </c>
      <c r="AA378" s="2">
        <v>2</v>
      </c>
      <c r="AB378" s="2">
        <v>2</v>
      </c>
      <c r="AC378" s="2">
        <v>1</v>
      </c>
      <c r="AD378" s="2">
        <v>0</v>
      </c>
      <c r="AE378" s="2">
        <v>0</v>
      </c>
      <c r="AF378" s="2">
        <v>1</v>
      </c>
    </row>
    <row r="379" spans="1:32" x14ac:dyDescent="0.25">
      <c r="A379">
        <v>378</v>
      </c>
      <c r="B379" s="2">
        <v>3</v>
      </c>
      <c r="C379" s="2">
        <v>7</v>
      </c>
      <c r="D379" s="2">
        <v>3</v>
      </c>
      <c r="E379" s="2">
        <v>0</v>
      </c>
      <c r="F379" s="2">
        <v>0</v>
      </c>
      <c r="G379" s="2">
        <v>0</v>
      </c>
      <c r="H379" s="2">
        <v>1</v>
      </c>
      <c r="I379" s="2">
        <v>0</v>
      </c>
      <c r="J379" s="2">
        <v>0</v>
      </c>
      <c r="K379" s="2">
        <v>846</v>
      </c>
      <c r="L379" s="2">
        <v>4</v>
      </c>
      <c r="M379" s="2">
        <v>4</v>
      </c>
      <c r="N379" s="2">
        <v>3</v>
      </c>
      <c r="O379" s="2">
        <v>0</v>
      </c>
      <c r="P379" s="2">
        <v>1</v>
      </c>
      <c r="Q379" s="2">
        <v>0</v>
      </c>
      <c r="R379" s="2">
        <v>0</v>
      </c>
      <c r="S379" s="2">
        <v>0</v>
      </c>
      <c r="T379" s="2">
        <v>4</v>
      </c>
      <c r="U379" s="2">
        <v>0</v>
      </c>
      <c r="V379" s="2">
        <v>1</v>
      </c>
      <c r="W379" s="2">
        <v>36</v>
      </c>
      <c r="X379" s="2">
        <v>0</v>
      </c>
      <c r="Y379" s="2">
        <v>0</v>
      </c>
      <c r="Z379" s="2">
        <v>0</v>
      </c>
      <c r="AA379" s="2">
        <v>1</v>
      </c>
      <c r="AB379" s="2">
        <v>2</v>
      </c>
      <c r="AC379" s="2">
        <v>1</v>
      </c>
      <c r="AD379" s="2">
        <v>0</v>
      </c>
      <c r="AE379" s="2">
        <v>0</v>
      </c>
      <c r="AF379" s="2">
        <v>1</v>
      </c>
    </row>
    <row r="380" spans="1:32" x14ac:dyDescent="0.25">
      <c r="A380">
        <v>379</v>
      </c>
      <c r="B380" s="2">
        <v>1</v>
      </c>
      <c r="C380" s="2">
        <v>36</v>
      </c>
      <c r="D380" s="2">
        <v>2</v>
      </c>
      <c r="E380" s="2">
        <v>1</v>
      </c>
      <c r="F380" s="2">
        <v>0</v>
      </c>
      <c r="G380" s="2">
        <v>0</v>
      </c>
      <c r="H380" s="2">
        <v>0</v>
      </c>
      <c r="I380" s="2">
        <v>0</v>
      </c>
      <c r="J380" s="2">
        <v>0</v>
      </c>
      <c r="K380" s="2">
        <v>14318</v>
      </c>
      <c r="L380" s="2">
        <v>0</v>
      </c>
      <c r="M380" s="2">
        <v>4</v>
      </c>
      <c r="N380" s="2">
        <v>4</v>
      </c>
      <c r="O380" s="2">
        <v>0</v>
      </c>
      <c r="P380" s="2">
        <v>1</v>
      </c>
      <c r="Q380" s="2">
        <v>0</v>
      </c>
      <c r="R380" s="2">
        <v>0</v>
      </c>
      <c r="S380" s="2">
        <v>0</v>
      </c>
      <c r="T380" s="2">
        <v>2</v>
      </c>
      <c r="U380" s="2">
        <v>0</v>
      </c>
      <c r="V380" s="2">
        <v>1</v>
      </c>
      <c r="W380" s="2">
        <v>57</v>
      </c>
      <c r="X380" s="2">
        <v>0</v>
      </c>
      <c r="Y380" s="2">
        <v>0</v>
      </c>
      <c r="Z380" s="2">
        <v>0</v>
      </c>
      <c r="AA380" s="2">
        <v>1</v>
      </c>
      <c r="AB380" s="2">
        <v>3</v>
      </c>
      <c r="AC380" s="2">
        <v>1</v>
      </c>
      <c r="AD380" s="2">
        <v>1</v>
      </c>
      <c r="AE380" s="2">
        <v>0</v>
      </c>
      <c r="AF380" s="2">
        <v>0</v>
      </c>
    </row>
    <row r="381" spans="1:32" x14ac:dyDescent="0.25">
      <c r="A381">
        <v>380</v>
      </c>
      <c r="B381" s="2">
        <v>3</v>
      </c>
      <c r="C381" s="2">
        <v>6</v>
      </c>
      <c r="D381" s="2">
        <v>4</v>
      </c>
      <c r="E381" s="2">
        <v>1</v>
      </c>
      <c r="F381" s="2">
        <v>0</v>
      </c>
      <c r="G381" s="2">
        <v>0</v>
      </c>
      <c r="H381" s="2">
        <v>0</v>
      </c>
      <c r="I381" s="2">
        <v>0</v>
      </c>
      <c r="J381" s="2">
        <v>0</v>
      </c>
      <c r="K381" s="2">
        <v>362</v>
      </c>
      <c r="L381" s="2">
        <v>1</v>
      </c>
      <c r="M381" s="2">
        <v>2</v>
      </c>
      <c r="N381" s="2">
        <v>4</v>
      </c>
      <c r="O381" s="2">
        <v>0</v>
      </c>
      <c r="P381" s="2">
        <v>0</v>
      </c>
      <c r="Q381" s="2">
        <v>0</v>
      </c>
      <c r="R381" s="2">
        <v>0</v>
      </c>
      <c r="S381" s="2">
        <v>0</v>
      </c>
      <c r="T381" s="2">
        <v>4</v>
      </c>
      <c r="U381" s="2">
        <v>0</v>
      </c>
      <c r="V381" s="2">
        <v>0</v>
      </c>
      <c r="W381" s="2">
        <v>52</v>
      </c>
      <c r="X381" s="2">
        <v>0</v>
      </c>
      <c r="Y381" s="2">
        <v>0</v>
      </c>
      <c r="Z381" s="2">
        <v>1</v>
      </c>
      <c r="AA381" s="2">
        <v>2</v>
      </c>
      <c r="AB381" s="2">
        <v>1</v>
      </c>
      <c r="AC381" s="2">
        <v>1</v>
      </c>
      <c r="AD381" s="2">
        <v>0</v>
      </c>
      <c r="AE381" s="2">
        <v>0</v>
      </c>
      <c r="AF381" s="2">
        <v>1</v>
      </c>
    </row>
    <row r="382" spans="1:32" x14ac:dyDescent="0.25">
      <c r="A382">
        <v>381</v>
      </c>
      <c r="B382" s="2">
        <v>0</v>
      </c>
      <c r="C382" s="2">
        <v>20</v>
      </c>
      <c r="D382" s="2">
        <v>2</v>
      </c>
      <c r="E382" s="2">
        <v>0</v>
      </c>
      <c r="F382" s="2">
        <v>0</v>
      </c>
      <c r="G382" s="2">
        <v>1</v>
      </c>
      <c r="H382" s="2">
        <v>0</v>
      </c>
      <c r="I382" s="2">
        <v>0</v>
      </c>
      <c r="J382" s="2">
        <v>0</v>
      </c>
      <c r="K382" s="2">
        <v>2212</v>
      </c>
      <c r="L382" s="2">
        <v>4</v>
      </c>
      <c r="M382" s="2">
        <v>3</v>
      </c>
      <c r="N382" s="2">
        <v>4</v>
      </c>
      <c r="O382" s="2">
        <v>0</v>
      </c>
      <c r="P382" s="2">
        <v>1</v>
      </c>
      <c r="Q382" s="2">
        <v>0</v>
      </c>
      <c r="R382" s="2">
        <v>0</v>
      </c>
      <c r="S382" s="2">
        <v>0</v>
      </c>
      <c r="T382" s="2">
        <v>4</v>
      </c>
      <c r="U382" s="2">
        <v>0</v>
      </c>
      <c r="V382" s="2">
        <v>0</v>
      </c>
      <c r="W382" s="2">
        <v>39</v>
      </c>
      <c r="X382" s="2">
        <v>0</v>
      </c>
      <c r="Y382" s="2">
        <v>0</v>
      </c>
      <c r="Z382" s="2">
        <v>1</v>
      </c>
      <c r="AA382" s="2">
        <v>1</v>
      </c>
      <c r="AB382" s="2">
        <v>2</v>
      </c>
      <c r="AC382" s="2">
        <v>1</v>
      </c>
      <c r="AD382" s="2">
        <v>1</v>
      </c>
      <c r="AE382" s="2">
        <v>0</v>
      </c>
      <c r="AF382" s="2">
        <v>1</v>
      </c>
    </row>
    <row r="383" spans="1:32" x14ac:dyDescent="0.25">
      <c r="A383">
        <v>382</v>
      </c>
      <c r="B383" s="2">
        <v>1</v>
      </c>
      <c r="C383" s="2">
        <v>18</v>
      </c>
      <c r="D383" s="2">
        <v>2</v>
      </c>
      <c r="E383" s="2">
        <v>0</v>
      </c>
      <c r="F383" s="2">
        <v>1</v>
      </c>
      <c r="G383" s="2">
        <v>0</v>
      </c>
      <c r="H383" s="2">
        <v>0</v>
      </c>
      <c r="I383" s="2">
        <v>0</v>
      </c>
      <c r="J383" s="2">
        <v>0</v>
      </c>
      <c r="K383" s="2">
        <v>12976</v>
      </c>
      <c r="L383" s="2">
        <v>0</v>
      </c>
      <c r="M383" s="2">
        <v>0</v>
      </c>
      <c r="N383" s="2">
        <v>3</v>
      </c>
      <c r="O383" s="2">
        <v>0</v>
      </c>
      <c r="P383" s="2">
        <v>0</v>
      </c>
      <c r="Q383" s="2">
        <v>0</v>
      </c>
      <c r="R383" s="2">
        <v>0</v>
      </c>
      <c r="S383" s="2">
        <v>0</v>
      </c>
      <c r="T383" s="2">
        <v>4</v>
      </c>
      <c r="U383" s="2">
        <v>0</v>
      </c>
      <c r="V383" s="2">
        <v>1</v>
      </c>
      <c r="W383" s="2">
        <v>38</v>
      </c>
      <c r="X383" s="2">
        <v>0</v>
      </c>
      <c r="Y383" s="2">
        <v>0</v>
      </c>
      <c r="Z383" s="2">
        <v>0</v>
      </c>
      <c r="AA383" s="2">
        <v>1</v>
      </c>
      <c r="AB383" s="2">
        <v>3</v>
      </c>
      <c r="AC383" s="2">
        <v>1</v>
      </c>
      <c r="AD383" s="2">
        <v>1</v>
      </c>
      <c r="AE383" s="2">
        <v>0</v>
      </c>
      <c r="AF383" s="2">
        <v>0</v>
      </c>
    </row>
    <row r="384" spans="1:32" x14ac:dyDescent="0.25">
      <c r="A384">
        <v>383</v>
      </c>
      <c r="B384" s="2">
        <v>3</v>
      </c>
      <c r="C384" s="2">
        <v>22</v>
      </c>
      <c r="D384" s="2">
        <v>2</v>
      </c>
      <c r="E384" s="2">
        <v>1</v>
      </c>
      <c r="F384" s="2">
        <v>0</v>
      </c>
      <c r="G384" s="2">
        <v>0</v>
      </c>
      <c r="H384" s="2">
        <v>0</v>
      </c>
      <c r="I384" s="2">
        <v>0</v>
      </c>
      <c r="J384" s="2">
        <v>0</v>
      </c>
      <c r="K384" s="2">
        <v>1283</v>
      </c>
      <c r="L384" s="2">
        <v>4</v>
      </c>
      <c r="M384" s="2">
        <v>3</v>
      </c>
      <c r="N384" s="2">
        <v>4</v>
      </c>
      <c r="O384" s="2">
        <v>0</v>
      </c>
      <c r="P384" s="2">
        <v>0</v>
      </c>
      <c r="Q384" s="2">
        <v>0</v>
      </c>
      <c r="R384" s="2">
        <v>0</v>
      </c>
      <c r="S384" s="2">
        <v>0</v>
      </c>
      <c r="T384" s="2">
        <v>4</v>
      </c>
      <c r="U384" s="2">
        <v>0</v>
      </c>
      <c r="V384" s="2">
        <v>0</v>
      </c>
      <c r="W384" s="2">
        <v>25</v>
      </c>
      <c r="X384" s="2">
        <v>0</v>
      </c>
      <c r="Y384" s="2">
        <v>1</v>
      </c>
      <c r="Z384" s="2">
        <v>0</v>
      </c>
      <c r="AA384" s="2">
        <v>1</v>
      </c>
      <c r="AB384" s="2">
        <v>2</v>
      </c>
      <c r="AC384" s="2">
        <v>1</v>
      </c>
      <c r="AD384" s="2">
        <v>0</v>
      </c>
      <c r="AE384" s="2">
        <v>0</v>
      </c>
      <c r="AF384" s="2">
        <v>1</v>
      </c>
    </row>
    <row r="385" spans="1:32" x14ac:dyDescent="0.25">
      <c r="A385">
        <v>384</v>
      </c>
      <c r="B385" s="2">
        <v>2</v>
      </c>
      <c r="C385" s="2">
        <v>12</v>
      </c>
      <c r="D385" s="2">
        <v>2</v>
      </c>
      <c r="E385" s="2">
        <v>1</v>
      </c>
      <c r="F385" s="2">
        <v>0</v>
      </c>
      <c r="G385" s="2">
        <v>0</v>
      </c>
      <c r="H385" s="2">
        <v>0</v>
      </c>
      <c r="I385" s="2">
        <v>0</v>
      </c>
      <c r="J385" s="2">
        <v>0</v>
      </c>
      <c r="K385" s="2">
        <v>1330</v>
      </c>
      <c r="L385" s="2">
        <v>0</v>
      </c>
      <c r="M385" s="2">
        <v>1</v>
      </c>
      <c r="N385" s="2">
        <v>4</v>
      </c>
      <c r="O385" s="2">
        <v>0</v>
      </c>
      <c r="P385" s="2">
        <v>1</v>
      </c>
      <c r="Q385" s="2">
        <v>0</v>
      </c>
      <c r="R385" s="2">
        <v>0</v>
      </c>
      <c r="S385" s="2">
        <v>0</v>
      </c>
      <c r="T385" s="2">
        <v>1</v>
      </c>
      <c r="U385" s="2">
        <v>1</v>
      </c>
      <c r="V385" s="2">
        <v>0</v>
      </c>
      <c r="W385" s="2">
        <v>26</v>
      </c>
      <c r="X385" s="2">
        <v>0</v>
      </c>
      <c r="Y385" s="2">
        <v>0</v>
      </c>
      <c r="Z385" s="2">
        <v>1</v>
      </c>
      <c r="AA385" s="2">
        <v>1</v>
      </c>
      <c r="AB385" s="2">
        <v>2</v>
      </c>
      <c r="AC385" s="2">
        <v>1</v>
      </c>
      <c r="AD385" s="2">
        <v>0</v>
      </c>
      <c r="AE385" s="2">
        <v>0</v>
      </c>
      <c r="AF385" s="2">
        <v>1</v>
      </c>
    </row>
    <row r="386" spans="1:32" x14ac:dyDescent="0.25">
      <c r="A386">
        <v>385</v>
      </c>
      <c r="B386" s="2">
        <v>3</v>
      </c>
      <c r="C386" s="2">
        <v>30</v>
      </c>
      <c r="D386" s="2">
        <v>3</v>
      </c>
      <c r="E386" s="2">
        <v>0</v>
      </c>
      <c r="F386" s="2">
        <v>0</v>
      </c>
      <c r="G386" s="2">
        <v>0</v>
      </c>
      <c r="H386" s="2">
        <v>0</v>
      </c>
      <c r="I386" s="2">
        <v>0</v>
      </c>
      <c r="J386" s="2">
        <v>1</v>
      </c>
      <c r="K386" s="2">
        <v>4272</v>
      </c>
      <c r="L386" s="2">
        <v>1</v>
      </c>
      <c r="M386" s="2">
        <v>2</v>
      </c>
      <c r="N386" s="2">
        <v>2</v>
      </c>
      <c r="O386" s="2">
        <v>0</v>
      </c>
      <c r="P386" s="2">
        <v>1</v>
      </c>
      <c r="Q386" s="2">
        <v>0</v>
      </c>
      <c r="R386" s="2">
        <v>0</v>
      </c>
      <c r="S386" s="2">
        <v>0</v>
      </c>
      <c r="T386" s="2">
        <v>2</v>
      </c>
      <c r="U386" s="2">
        <v>0</v>
      </c>
      <c r="V386" s="2">
        <v>0</v>
      </c>
      <c r="W386" s="2">
        <v>26</v>
      </c>
      <c r="X386" s="2">
        <v>0</v>
      </c>
      <c r="Y386" s="2">
        <v>0</v>
      </c>
      <c r="Z386" s="2">
        <v>1</v>
      </c>
      <c r="AA386" s="2">
        <v>2</v>
      </c>
      <c r="AB386" s="2">
        <v>1</v>
      </c>
      <c r="AC386" s="2">
        <v>1</v>
      </c>
      <c r="AD386" s="2">
        <v>0</v>
      </c>
      <c r="AE386" s="2">
        <v>0</v>
      </c>
      <c r="AF386" s="2">
        <v>1</v>
      </c>
    </row>
    <row r="387" spans="1:32" x14ac:dyDescent="0.25">
      <c r="A387">
        <v>386</v>
      </c>
      <c r="B387" s="2">
        <v>3</v>
      </c>
      <c r="C387" s="2">
        <v>18</v>
      </c>
      <c r="D387" s="2">
        <v>4</v>
      </c>
      <c r="E387" s="2">
        <v>0</v>
      </c>
      <c r="F387" s="2">
        <v>0</v>
      </c>
      <c r="G387" s="2">
        <v>0</v>
      </c>
      <c r="H387" s="2">
        <v>1</v>
      </c>
      <c r="I387" s="2">
        <v>0</v>
      </c>
      <c r="J387" s="2">
        <v>0</v>
      </c>
      <c r="K387" s="2">
        <v>2238</v>
      </c>
      <c r="L387" s="2">
        <v>0</v>
      </c>
      <c r="M387" s="2">
        <v>2</v>
      </c>
      <c r="N387" s="2">
        <v>2</v>
      </c>
      <c r="O387" s="2">
        <v>0</v>
      </c>
      <c r="P387" s="2">
        <v>0</v>
      </c>
      <c r="Q387" s="2">
        <v>0</v>
      </c>
      <c r="R387" s="2">
        <v>0</v>
      </c>
      <c r="S387" s="2">
        <v>0</v>
      </c>
      <c r="T387" s="2">
        <v>1</v>
      </c>
      <c r="U387" s="2">
        <v>0</v>
      </c>
      <c r="V387" s="2">
        <v>0</v>
      </c>
      <c r="W387" s="2">
        <v>25</v>
      </c>
      <c r="X387" s="2">
        <v>0</v>
      </c>
      <c r="Y387" s="2">
        <v>0</v>
      </c>
      <c r="Z387" s="2">
        <v>1</v>
      </c>
      <c r="AA387" s="2">
        <v>2</v>
      </c>
      <c r="AB387" s="2">
        <v>2</v>
      </c>
      <c r="AC387" s="2">
        <v>1</v>
      </c>
      <c r="AD387" s="2">
        <v>0</v>
      </c>
      <c r="AE387" s="2">
        <v>0</v>
      </c>
      <c r="AF387" s="2">
        <v>1</v>
      </c>
    </row>
    <row r="388" spans="1:32" x14ac:dyDescent="0.25">
      <c r="A388">
        <v>387</v>
      </c>
      <c r="B388" s="2">
        <v>3</v>
      </c>
      <c r="C388" s="2">
        <v>18</v>
      </c>
      <c r="D388" s="2">
        <v>2</v>
      </c>
      <c r="E388" s="2">
        <v>0</v>
      </c>
      <c r="F388" s="2">
        <v>0</v>
      </c>
      <c r="G388" s="2">
        <v>0</v>
      </c>
      <c r="H388" s="2">
        <v>1</v>
      </c>
      <c r="I388" s="2">
        <v>0</v>
      </c>
      <c r="J388" s="2">
        <v>0</v>
      </c>
      <c r="K388" s="2">
        <v>1126</v>
      </c>
      <c r="L388" s="2">
        <v>4</v>
      </c>
      <c r="M388" s="2">
        <v>1</v>
      </c>
      <c r="N388" s="2">
        <v>4</v>
      </c>
      <c r="O388" s="2">
        <v>0</v>
      </c>
      <c r="P388" s="2">
        <v>0</v>
      </c>
      <c r="Q388" s="2">
        <v>0</v>
      </c>
      <c r="R388" s="2">
        <v>0</v>
      </c>
      <c r="S388" s="2">
        <v>0</v>
      </c>
      <c r="T388" s="2">
        <v>2</v>
      </c>
      <c r="U388" s="2">
        <v>1</v>
      </c>
      <c r="V388" s="2">
        <v>0</v>
      </c>
      <c r="W388" s="2">
        <v>21</v>
      </c>
      <c r="X388" s="2">
        <v>0</v>
      </c>
      <c r="Y388" s="2">
        <v>1</v>
      </c>
      <c r="Z388" s="2">
        <v>0</v>
      </c>
      <c r="AA388" s="2">
        <v>1</v>
      </c>
      <c r="AB388" s="2">
        <v>2</v>
      </c>
      <c r="AC388" s="2">
        <v>1</v>
      </c>
      <c r="AD388" s="2">
        <v>1</v>
      </c>
      <c r="AE388" s="2">
        <v>0</v>
      </c>
      <c r="AF388" s="2">
        <v>1</v>
      </c>
    </row>
    <row r="389" spans="1:32" x14ac:dyDescent="0.25">
      <c r="A389">
        <v>388</v>
      </c>
      <c r="B389" s="2">
        <v>1</v>
      </c>
      <c r="C389" s="2">
        <v>18</v>
      </c>
      <c r="D389" s="2">
        <v>4</v>
      </c>
      <c r="E389" s="2">
        <v>0</v>
      </c>
      <c r="F389" s="2">
        <v>0</v>
      </c>
      <c r="G389" s="2">
        <v>1</v>
      </c>
      <c r="H389" s="2">
        <v>0</v>
      </c>
      <c r="I389" s="2">
        <v>0</v>
      </c>
      <c r="J389" s="2">
        <v>0</v>
      </c>
      <c r="K389" s="2">
        <v>7374</v>
      </c>
      <c r="L389" s="2">
        <v>0</v>
      </c>
      <c r="M389" s="2">
        <v>0</v>
      </c>
      <c r="N389" s="2">
        <v>4</v>
      </c>
      <c r="O389" s="2">
        <v>0</v>
      </c>
      <c r="P389" s="2">
        <v>1</v>
      </c>
      <c r="Q389" s="2">
        <v>0</v>
      </c>
      <c r="R389" s="2">
        <v>0</v>
      </c>
      <c r="S389" s="2">
        <v>0</v>
      </c>
      <c r="T389" s="2">
        <v>4</v>
      </c>
      <c r="U389" s="2">
        <v>0</v>
      </c>
      <c r="V389" s="2">
        <v>0</v>
      </c>
      <c r="W389" s="2">
        <v>40</v>
      </c>
      <c r="X389" s="2">
        <v>1</v>
      </c>
      <c r="Y389" s="2">
        <v>0</v>
      </c>
      <c r="Z389" s="2">
        <v>1</v>
      </c>
      <c r="AA389" s="2">
        <v>2</v>
      </c>
      <c r="AB389" s="2">
        <v>3</v>
      </c>
      <c r="AC389" s="2">
        <v>1</v>
      </c>
      <c r="AD389" s="2">
        <v>1</v>
      </c>
      <c r="AE389" s="2">
        <v>0</v>
      </c>
      <c r="AF389" s="2">
        <v>1</v>
      </c>
    </row>
    <row r="390" spans="1:32" x14ac:dyDescent="0.25">
      <c r="A390">
        <v>389</v>
      </c>
      <c r="B390" s="2">
        <v>1</v>
      </c>
      <c r="C390" s="2">
        <v>15</v>
      </c>
      <c r="D390" s="2">
        <v>4</v>
      </c>
      <c r="E390" s="2">
        <v>0</v>
      </c>
      <c r="F390" s="2">
        <v>0</v>
      </c>
      <c r="G390" s="2">
        <v>0</v>
      </c>
      <c r="H390" s="2">
        <v>0</v>
      </c>
      <c r="I390" s="2">
        <v>0</v>
      </c>
      <c r="J390" s="2">
        <v>1</v>
      </c>
      <c r="K390" s="2">
        <v>2326</v>
      </c>
      <c r="L390" s="2">
        <v>2</v>
      </c>
      <c r="M390" s="2">
        <v>2</v>
      </c>
      <c r="N390" s="2">
        <v>2</v>
      </c>
      <c r="O390" s="2">
        <v>0</v>
      </c>
      <c r="P390" s="2">
        <v>1</v>
      </c>
      <c r="Q390" s="2">
        <v>0</v>
      </c>
      <c r="R390" s="2">
        <v>0</v>
      </c>
      <c r="S390" s="2">
        <v>0</v>
      </c>
      <c r="T390" s="2">
        <v>4</v>
      </c>
      <c r="U390" s="2">
        <v>0</v>
      </c>
      <c r="V390" s="2">
        <v>0</v>
      </c>
      <c r="W390" s="2">
        <v>27</v>
      </c>
      <c r="X390" s="2">
        <v>1</v>
      </c>
      <c r="Y390" s="2">
        <v>0</v>
      </c>
      <c r="Z390" s="2">
        <v>1</v>
      </c>
      <c r="AA390" s="2">
        <v>1</v>
      </c>
      <c r="AB390" s="2">
        <v>2</v>
      </c>
      <c r="AC390" s="2">
        <v>1</v>
      </c>
      <c r="AD390" s="2">
        <v>0</v>
      </c>
      <c r="AE390" s="2">
        <v>0</v>
      </c>
      <c r="AF390" s="2">
        <v>1</v>
      </c>
    </row>
    <row r="391" spans="1:32" x14ac:dyDescent="0.25">
      <c r="A391">
        <v>390</v>
      </c>
      <c r="B391" s="2">
        <v>3</v>
      </c>
      <c r="C391" s="2">
        <v>9</v>
      </c>
      <c r="D391" s="2">
        <v>2</v>
      </c>
      <c r="E391" s="2">
        <v>0</v>
      </c>
      <c r="F391" s="2">
        <v>0</v>
      </c>
      <c r="G391" s="2">
        <v>0</v>
      </c>
      <c r="H391" s="2">
        <v>0</v>
      </c>
      <c r="I391" s="2">
        <v>0</v>
      </c>
      <c r="J391" s="2">
        <v>1</v>
      </c>
      <c r="K391" s="2">
        <v>1449</v>
      </c>
      <c r="L391" s="2">
        <v>0</v>
      </c>
      <c r="M391" s="2">
        <v>3</v>
      </c>
      <c r="N391" s="2">
        <v>3</v>
      </c>
      <c r="O391" s="2">
        <v>0</v>
      </c>
      <c r="P391" s="2">
        <v>0</v>
      </c>
      <c r="Q391" s="2">
        <v>0</v>
      </c>
      <c r="R391" s="2">
        <v>0</v>
      </c>
      <c r="S391" s="2">
        <v>0</v>
      </c>
      <c r="T391" s="2">
        <v>2</v>
      </c>
      <c r="U391" s="2">
        <v>0</v>
      </c>
      <c r="V391" s="2">
        <v>0</v>
      </c>
      <c r="W391" s="2">
        <v>27</v>
      </c>
      <c r="X391" s="2">
        <v>0</v>
      </c>
      <c r="Y391" s="2">
        <v>0</v>
      </c>
      <c r="Z391" s="2">
        <v>1</v>
      </c>
      <c r="AA391" s="2">
        <v>2</v>
      </c>
      <c r="AB391" s="2">
        <v>2</v>
      </c>
      <c r="AC391" s="2">
        <v>1</v>
      </c>
      <c r="AD391" s="2">
        <v>0</v>
      </c>
      <c r="AE391" s="2">
        <v>0</v>
      </c>
      <c r="AF391" s="2">
        <v>1</v>
      </c>
    </row>
    <row r="392" spans="1:32" x14ac:dyDescent="0.25">
      <c r="A392">
        <v>391</v>
      </c>
      <c r="B392" s="2">
        <v>3</v>
      </c>
      <c r="C392" s="2">
        <v>18</v>
      </c>
      <c r="D392" s="2">
        <v>2</v>
      </c>
      <c r="E392" s="2">
        <v>1</v>
      </c>
      <c r="F392" s="2">
        <v>0</v>
      </c>
      <c r="G392" s="2">
        <v>0</v>
      </c>
      <c r="H392" s="2">
        <v>0</v>
      </c>
      <c r="I392" s="2">
        <v>0</v>
      </c>
      <c r="J392" s="2">
        <v>0</v>
      </c>
      <c r="K392" s="2">
        <v>1820</v>
      </c>
      <c r="L392" s="2">
        <v>0</v>
      </c>
      <c r="M392" s="2">
        <v>2</v>
      </c>
      <c r="N392" s="2">
        <v>2</v>
      </c>
      <c r="O392" s="2">
        <v>0</v>
      </c>
      <c r="P392" s="2">
        <v>0</v>
      </c>
      <c r="Q392" s="2">
        <v>1</v>
      </c>
      <c r="R392" s="2">
        <v>0</v>
      </c>
      <c r="S392" s="2">
        <v>0</v>
      </c>
      <c r="T392" s="2">
        <v>2</v>
      </c>
      <c r="U392" s="2">
        <v>0</v>
      </c>
      <c r="V392" s="2">
        <v>0</v>
      </c>
      <c r="W392" s="2">
        <v>30</v>
      </c>
      <c r="X392" s="2">
        <v>0</v>
      </c>
      <c r="Y392" s="2">
        <v>0</v>
      </c>
      <c r="Z392" s="2">
        <v>1</v>
      </c>
      <c r="AA392" s="2">
        <v>1</v>
      </c>
      <c r="AB392" s="2">
        <v>3</v>
      </c>
      <c r="AC392" s="2">
        <v>1</v>
      </c>
      <c r="AD392" s="2">
        <v>1</v>
      </c>
      <c r="AE392" s="2">
        <v>0</v>
      </c>
      <c r="AF392" s="2">
        <v>1</v>
      </c>
    </row>
    <row r="393" spans="1:32" x14ac:dyDescent="0.25">
      <c r="A393">
        <v>392</v>
      </c>
      <c r="B393" s="2">
        <v>1</v>
      </c>
      <c r="C393" s="2">
        <v>12</v>
      </c>
      <c r="D393" s="2">
        <v>2</v>
      </c>
      <c r="E393" s="2">
        <v>0</v>
      </c>
      <c r="F393" s="2">
        <v>0</v>
      </c>
      <c r="G393" s="2">
        <v>1</v>
      </c>
      <c r="H393" s="2">
        <v>0</v>
      </c>
      <c r="I393" s="2">
        <v>0</v>
      </c>
      <c r="J393" s="2">
        <v>0</v>
      </c>
      <c r="K393" s="2">
        <v>983</v>
      </c>
      <c r="L393" s="2">
        <v>3</v>
      </c>
      <c r="M393" s="2">
        <v>1</v>
      </c>
      <c r="N393" s="2">
        <v>1</v>
      </c>
      <c r="O393" s="2">
        <v>0</v>
      </c>
      <c r="P393" s="2">
        <v>0</v>
      </c>
      <c r="Q393" s="2">
        <v>0</v>
      </c>
      <c r="R393" s="2">
        <v>0</v>
      </c>
      <c r="S393" s="2">
        <v>0</v>
      </c>
      <c r="T393" s="2">
        <v>4</v>
      </c>
      <c r="U393" s="2">
        <v>1</v>
      </c>
      <c r="V393" s="2">
        <v>0</v>
      </c>
      <c r="W393" s="2">
        <v>19</v>
      </c>
      <c r="X393" s="2">
        <v>0</v>
      </c>
      <c r="Y393" s="2">
        <v>1</v>
      </c>
      <c r="Z393" s="2">
        <v>0</v>
      </c>
      <c r="AA393" s="2">
        <v>1</v>
      </c>
      <c r="AB393" s="2">
        <v>1</v>
      </c>
      <c r="AC393" s="2">
        <v>1</v>
      </c>
      <c r="AD393" s="2">
        <v>0</v>
      </c>
      <c r="AE393" s="2">
        <v>0</v>
      </c>
      <c r="AF393" s="2">
        <v>1</v>
      </c>
    </row>
    <row r="394" spans="1:32" x14ac:dyDescent="0.25">
      <c r="A394">
        <v>393</v>
      </c>
      <c r="B394" s="2">
        <v>0</v>
      </c>
      <c r="C394" s="2">
        <v>36</v>
      </c>
      <c r="D394" s="2">
        <v>2</v>
      </c>
      <c r="E394" s="2">
        <v>1</v>
      </c>
      <c r="F394" s="2">
        <v>0</v>
      </c>
      <c r="G394" s="2">
        <v>0</v>
      </c>
      <c r="H394" s="2">
        <v>0</v>
      </c>
      <c r="I394" s="2">
        <v>0</v>
      </c>
      <c r="J394" s="2">
        <v>0</v>
      </c>
      <c r="K394" s="2">
        <v>3249</v>
      </c>
      <c r="L394" s="2">
        <v>0</v>
      </c>
      <c r="M394" s="2">
        <v>3</v>
      </c>
      <c r="N394" s="2">
        <v>2</v>
      </c>
      <c r="O394" s="2">
        <v>0</v>
      </c>
      <c r="P394" s="2">
        <v>1</v>
      </c>
      <c r="Q394" s="2">
        <v>0</v>
      </c>
      <c r="R394" s="2">
        <v>0</v>
      </c>
      <c r="S394" s="2">
        <v>0</v>
      </c>
      <c r="T394" s="2">
        <v>4</v>
      </c>
      <c r="U394" s="2">
        <v>0</v>
      </c>
      <c r="V394" s="2">
        <v>1</v>
      </c>
      <c r="W394" s="2">
        <v>39</v>
      </c>
      <c r="X394" s="2">
        <v>1</v>
      </c>
      <c r="Y394" s="2">
        <v>0</v>
      </c>
      <c r="Z394" s="2">
        <v>0</v>
      </c>
      <c r="AA394" s="2">
        <v>1</v>
      </c>
      <c r="AB394" s="2">
        <v>3</v>
      </c>
      <c r="AC394" s="2">
        <v>2</v>
      </c>
      <c r="AD394" s="2">
        <v>1</v>
      </c>
      <c r="AE394" s="2">
        <v>0</v>
      </c>
      <c r="AF394" s="2">
        <v>1</v>
      </c>
    </row>
    <row r="395" spans="1:32" x14ac:dyDescent="0.25">
      <c r="A395">
        <v>394</v>
      </c>
      <c r="B395" s="2">
        <v>0</v>
      </c>
      <c r="C395" s="2">
        <v>6</v>
      </c>
      <c r="D395" s="2">
        <v>4</v>
      </c>
      <c r="E395" s="2">
        <v>0</v>
      </c>
      <c r="F395" s="2">
        <v>0</v>
      </c>
      <c r="G395" s="2">
        <v>0</v>
      </c>
      <c r="H395" s="2">
        <v>1</v>
      </c>
      <c r="I395" s="2">
        <v>0</v>
      </c>
      <c r="J395" s="2">
        <v>0</v>
      </c>
      <c r="K395" s="2">
        <v>1957</v>
      </c>
      <c r="L395" s="2">
        <v>0</v>
      </c>
      <c r="M395" s="2">
        <v>3</v>
      </c>
      <c r="N395" s="2">
        <v>1</v>
      </c>
      <c r="O395" s="2">
        <v>0</v>
      </c>
      <c r="P395" s="2">
        <v>0</v>
      </c>
      <c r="Q395" s="2">
        <v>0</v>
      </c>
      <c r="R395" s="2">
        <v>0</v>
      </c>
      <c r="S395" s="2">
        <v>0</v>
      </c>
      <c r="T395" s="2">
        <v>4</v>
      </c>
      <c r="U395" s="2">
        <v>0</v>
      </c>
      <c r="V395" s="2">
        <v>0</v>
      </c>
      <c r="W395" s="2">
        <v>31</v>
      </c>
      <c r="X395" s="2">
        <v>0</v>
      </c>
      <c r="Y395" s="2">
        <v>0</v>
      </c>
      <c r="Z395" s="2">
        <v>1</v>
      </c>
      <c r="AA395" s="2">
        <v>1</v>
      </c>
      <c r="AB395" s="2">
        <v>2</v>
      </c>
      <c r="AC395" s="2">
        <v>1</v>
      </c>
      <c r="AD395" s="2">
        <v>0</v>
      </c>
      <c r="AE395" s="2">
        <v>0</v>
      </c>
      <c r="AF395" s="2">
        <v>1</v>
      </c>
    </row>
    <row r="396" spans="1:32" x14ac:dyDescent="0.25">
      <c r="A396">
        <v>395</v>
      </c>
      <c r="B396" s="2">
        <v>3</v>
      </c>
      <c r="C396" s="2">
        <v>9</v>
      </c>
      <c r="D396" s="2">
        <v>4</v>
      </c>
      <c r="E396" s="2">
        <v>0</v>
      </c>
      <c r="F396" s="2">
        <v>0</v>
      </c>
      <c r="G396" s="2">
        <v>1</v>
      </c>
      <c r="H396" s="2">
        <v>0</v>
      </c>
      <c r="I396" s="2">
        <v>0</v>
      </c>
      <c r="J396" s="2">
        <v>0</v>
      </c>
      <c r="K396" s="2">
        <v>2406</v>
      </c>
      <c r="L396" s="2">
        <v>0</v>
      </c>
      <c r="M396" s="2">
        <v>0</v>
      </c>
      <c r="N396" s="2">
        <v>2</v>
      </c>
      <c r="O396" s="2">
        <v>0</v>
      </c>
      <c r="P396" s="2">
        <v>1</v>
      </c>
      <c r="Q396" s="2">
        <v>0</v>
      </c>
      <c r="R396" s="2">
        <v>0</v>
      </c>
      <c r="S396" s="2">
        <v>0</v>
      </c>
      <c r="T396" s="2">
        <v>3</v>
      </c>
      <c r="U396" s="2">
        <v>0</v>
      </c>
      <c r="V396" s="2">
        <v>0</v>
      </c>
      <c r="W396" s="2">
        <v>31</v>
      </c>
      <c r="X396" s="2">
        <v>0</v>
      </c>
      <c r="Y396" s="2">
        <v>0</v>
      </c>
      <c r="Z396" s="2">
        <v>1</v>
      </c>
      <c r="AA396" s="2">
        <v>1</v>
      </c>
      <c r="AB396" s="2">
        <v>3</v>
      </c>
      <c r="AC396" s="2">
        <v>1</v>
      </c>
      <c r="AD396" s="2">
        <v>0</v>
      </c>
      <c r="AE396" s="2">
        <v>0</v>
      </c>
      <c r="AF396" s="2">
        <v>1</v>
      </c>
    </row>
    <row r="397" spans="1:32" x14ac:dyDescent="0.25">
      <c r="A397">
        <v>396</v>
      </c>
      <c r="B397" s="2">
        <v>1</v>
      </c>
      <c r="C397" s="2">
        <v>39</v>
      </c>
      <c r="D397" s="2">
        <v>3</v>
      </c>
      <c r="E397" s="2">
        <v>0</v>
      </c>
      <c r="F397" s="2">
        <v>0</v>
      </c>
      <c r="G397" s="2">
        <v>0</v>
      </c>
      <c r="H397" s="2">
        <v>0</v>
      </c>
      <c r="I397" s="2">
        <v>1</v>
      </c>
      <c r="J397" s="2">
        <v>0</v>
      </c>
      <c r="K397" s="2">
        <v>11760</v>
      </c>
      <c r="L397" s="2">
        <v>1</v>
      </c>
      <c r="M397" s="2">
        <v>3</v>
      </c>
      <c r="N397" s="2">
        <v>2</v>
      </c>
      <c r="O397" s="2">
        <v>0</v>
      </c>
      <c r="P397" s="2">
        <v>1</v>
      </c>
      <c r="Q397" s="2">
        <v>0</v>
      </c>
      <c r="R397" s="2">
        <v>0</v>
      </c>
      <c r="S397" s="2">
        <v>0</v>
      </c>
      <c r="T397" s="2">
        <v>3</v>
      </c>
      <c r="U397" s="2">
        <v>0</v>
      </c>
      <c r="V397" s="2">
        <v>1</v>
      </c>
      <c r="W397" s="2">
        <v>32</v>
      </c>
      <c r="X397" s="2">
        <v>0</v>
      </c>
      <c r="Y397" s="2">
        <v>1</v>
      </c>
      <c r="Z397" s="2">
        <v>0</v>
      </c>
      <c r="AA397" s="2">
        <v>1</v>
      </c>
      <c r="AB397" s="2">
        <v>2</v>
      </c>
      <c r="AC397" s="2">
        <v>1</v>
      </c>
      <c r="AD397" s="2">
        <v>1</v>
      </c>
      <c r="AE397" s="2">
        <v>0</v>
      </c>
      <c r="AF397" s="2">
        <v>1</v>
      </c>
    </row>
    <row r="398" spans="1:32" x14ac:dyDescent="0.25">
      <c r="A398">
        <v>397</v>
      </c>
      <c r="B398" s="2">
        <v>0</v>
      </c>
      <c r="C398" s="2">
        <v>12</v>
      </c>
      <c r="D398" s="2">
        <v>2</v>
      </c>
      <c r="E398" s="2">
        <v>0</v>
      </c>
      <c r="F398" s="2">
        <v>0</v>
      </c>
      <c r="G398" s="2">
        <v>1</v>
      </c>
      <c r="H398" s="2">
        <v>0</v>
      </c>
      <c r="I398" s="2">
        <v>0</v>
      </c>
      <c r="J398" s="2">
        <v>0</v>
      </c>
      <c r="K398" s="2">
        <v>2578</v>
      </c>
      <c r="L398" s="2">
        <v>0</v>
      </c>
      <c r="M398" s="2">
        <v>0</v>
      </c>
      <c r="N398" s="2">
        <v>3</v>
      </c>
      <c r="O398" s="2">
        <v>0</v>
      </c>
      <c r="P398" s="2">
        <v>0</v>
      </c>
      <c r="Q398" s="2">
        <v>0</v>
      </c>
      <c r="R398" s="2">
        <v>0</v>
      </c>
      <c r="S398" s="2">
        <v>0</v>
      </c>
      <c r="T398" s="2">
        <v>4</v>
      </c>
      <c r="U398" s="2">
        <v>0</v>
      </c>
      <c r="V398" s="2">
        <v>1</v>
      </c>
      <c r="W398" s="2">
        <v>55</v>
      </c>
      <c r="X398" s="2">
        <v>0</v>
      </c>
      <c r="Y398" s="2">
        <v>0</v>
      </c>
      <c r="Z398" s="2">
        <v>0</v>
      </c>
      <c r="AA398" s="2">
        <v>1</v>
      </c>
      <c r="AB398" s="2">
        <v>3</v>
      </c>
      <c r="AC398" s="2">
        <v>1</v>
      </c>
      <c r="AD398" s="2">
        <v>0</v>
      </c>
      <c r="AE398" s="2">
        <v>0</v>
      </c>
      <c r="AF398" s="2">
        <v>1</v>
      </c>
    </row>
    <row r="399" spans="1:32" x14ac:dyDescent="0.25">
      <c r="A399">
        <v>398</v>
      </c>
      <c r="B399" s="2">
        <v>0</v>
      </c>
      <c r="C399" s="2">
        <v>36</v>
      </c>
      <c r="D399" s="2">
        <v>4</v>
      </c>
      <c r="E399" s="2">
        <v>0</v>
      </c>
      <c r="F399" s="2">
        <v>0</v>
      </c>
      <c r="G399" s="2">
        <v>1</v>
      </c>
      <c r="H399" s="2">
        <v>0</v>
      </c>
      <c r="I399" s="2">
        <v>0</v>
      </c>
      <c r="J399" s="2">
        <v>0</v>
      </c>
      <c r="K399" s="2">
        <v>2348</v>
      </c>
      <c r="L399" s="2">
        <v>0</v>
      </c>
      <c r="M399" s="2">
        <v>2</v>
      </c>
      <c r="N399" s="2">
        <v>3</v>
      </c>
      <c r="O399" s="2">
        <v>0</v>
      </c>
      <c r="P399" s="2">
        <v>0</v>
      </c>
      <c r="Q399" s="2">
        <v>1</v>
      </c>
      <c r="R399" s="2">
        <v>0</v>
      </c>
      <c r="S399" s="2">
        <v>0</v>
      </c>
      <c r="T399" s="2">
        <v>2</v>
      </c>
      <c r="U399" s="2">
        <v>0</v>
      </c>
      <c r="V399" s="2">
        <v>0</v>
      </c>
      <c r="W399" s="2">
        <v>46</v>
      </c>
      <c r="X399" s="2">
        <v>0</v>
      </c>
      <c r="Y399" s="2">
        <v>0</v>
      </c>
      <c r="Z399" s="2">
        <v>1</v>
      </c>
      <c r="AA399" s="2">
        <v>2</v>
      </c>
      <c r="AB399" s="2">
        <v>2</v>
      </c>
      <c r="AC399" s="2">
        <v>1</v>
      </c>
      <c r="AD399" s="2">
        <v>1</v>
      </c>
      <c r="AE399" s="2">
        <v>0</v>
      </c>
      <c r="AF399" s="2">
        <v>1</v>
      </c>
    </row>
    <row r="400" spans="1:32" x14ac:dyDescent="0.25">
      <c r="A400">
        <v>399</v>
      </c>
      <c r="B400" s="2">
        <v>1</v>
      </c>
      <c r="C400" s="2">
        <v>12</v>
      </c>
      <c r="D400" s="2">
        <v>2</v>
      </c>
      <c r="E400" s="2">
        <v>1</v>
      </c>
      <c r="F400" s="2">
        <v>0</v>
      </c>
      <c r="G400" s="2">
        <v>0</v>
      </c>
      <c r="H400" s="2">
        <v>0</v>
      </c>
      <c r="I400" s="2">
        <v>0</v>
      </c>
      <c r="J400" s="2">
        <v>0</v>
      </c>
      <c r="K400" s="2">
        <v>1223</v>
      </c>
      <c r="L400" s="2">
        <v>0</v>
      </c>
      <c r="M400" s="2">
        <v>4</v>
      </c>
      <c r="N400" s="2">
        <v>1</v>
      </c>
      <c r="O400" s="2">
        <v>1</v>
      </c>
      <c r="P400" s="2">
        <v>0</v>
      </c>
      <c r="Q400" s="2">
        <v>0</v>
      </c>
      <c r="R400" s="2">
        <v>0</v>
      </c>
      <c r="S400" s="2">
        <v>0</v>
      </c>
      <c r="T400" s="2">
        <v>1</v>
      </c>
      <c r="U400" s="2">
        <v>1</v>
      </c>
      <c r="V400" s="2">
        <v>0</v>
      </c>
      <c r="W400" s="2">
        <v>46</v>
      </c>
      <c r="X400" s="2">
        <v>0</v>
      </c>
      <c r="Y400" s="2">
        <v>1</v>
      </c>
      <c r="Z400" s="2">
        <v>0</v>
      </c>
      <c r="AA400" s="2">
        <v>2</v>
      </c>
      <c r="AB400" s="2">
        <v>2</v>
      </c>
      <c r="AC400" s="2">
        <v>1</v>
      </c>
      <c r="AD400" s="2">
        <v>0</v>
      </c>
      <c r="AE400" s="2">
        <v>0</v>
      </c>
      <c r="AF400" s="2">
        <v>0</v>
      </c>
    </row>
    <row r="401" spans="1:32" x14ac:dyDescent="0.25">
      <c r="A401">
        <v>400</v>
      </c>
      <c r="B401" s="2">
        <v>3</v>
      </c>
      <c r="C401" s="2">
        <v>24</v>
      </c>
      <c r="D401" s="2">
        <v>4</v>
      </c>
      <c r="E401" s="2">
        <v>0</v>
      </c>
      <c r="F401" s="2">
        <v>0</v>
      </c>
      <c r="G401" s="2">
        <v>0</v>
      </c>
      <c r="H401" s="2">
        <v>1</v>
      </c>
      <c r="I401" s="2">
        <v>0</v>
      </c>
      <c r="J401" s="2">
        <v>0</v>
      </c>
      <c r="K401" s="2">
        <v>1516</v>
      </c>
      <c r="L401" s="2">
        <v>3</v>
      </c>
      <c r="M401" s="2">
        <v>2</v>
      </c>
      <c r="N401" s="2">
        <v>4</v>
      </c>
      <c r="O401" s="2">
        <v>0</v>
      </c>
      <c r="P401" s="2">
        <v>0</v>
      </c>
      <c r="Q401" s="2">
        <v>0</v>
      </c>
      <c r="R401" s="2">
        <v>0</v>
      </c>
      <c r="S401" s="2">
        <v>0</v>
      </c>
      <c r="T401" s="2">
        <v>1</v>
      </c>
      <c r="U401" s="2">
        <v>1</v>
      </c>
      <c r="V401" s="2">
        <v>0</v>
      </c>
      <c r="W401" s="2">
        <v>43</v>
      </c>
      <c r="X401" s="2">
        <v>0</v>
      </c>
      <c r="Y401" s="2">
        <v>0</v>
      </c>
      <c r="Z401" s="2">
        <v>1</v>
      </c>
      <c r="AA401" s="2">
        <v>2</v>
      </c>
      <c r="AB401" s="2">
        <v>1</v>
      </c>
      <c r="AC401" s="2">
        <v>1</v>
      </c>
      <c r="AD401" s="2">
        <v>0</v>
      </c>
      <c r="AE401" s="2">
        <v>0</v>
      </c>
      <c r="AF401" s="2">
        <v>1</v>
      </c>
    </row>
    <row r="402" spans="1:32" x14ac:dyDescent="0.25">
      <c r="A402">
        <v>401</v>
      </c>
      <c r="B402" s="2">
        <v>3</v>
      </c>
      <c r="C402" s="2">
        <v>18</v>
      </c>
      <c r="D402" s="2">
        <v>2</v>
      </c>
      <c r="E402" s="2">
        <v>0</v>
      </c>
      <c r="F402" s="2">
        <v>0</v>
      </c>
      <c r="G402" s="2">
        <v>0</v>
      </c>
      <c r="H402" s="2">
        <v>1</v>
      </c>
      <c r="I402" s="2">
        <v>0</v>
      </c>
      <c r="J402" s="2">
        <v>0</v>
      </c>
      <c r="K402" s="2">
        <v>1473</v>
      </c>
      <c r="L402" s="2">
        <v>0</v>
      </c>
      <c r="M402" s="2">
        <v>1</v>
      </c>
      <c r="N402" s="2">
        <v>3</v>
      </c>
      <c r="O402" s="2">
        <v>0</v>
      </c>
      <c r="P402" s="2">
        <v>0</v>
      </c>
      <c r="Q402" s="2">
        <v>1</v>
      </c>
      <c r="R402" s="2">
        <v>0</v>
      </c>
      <c r="S402" s="2">
        <v>0</v>
      </c>
      <c r="T402" s="2">
        <v>4</v>
      </c>
      <c r="U402" s="2">
        <v>1</v>
      </c>
      <c r="V402" s="2">
        <v>0</v>
      </c>
      <c r="W402" s="2">
        <v>39</v>
      </c>
      <c r="X402" s="2">
        <v>0</v>
      </c>
      <c r="Y402" s="2">
        <v>0</v>
      </c>
      <c r="Z402" s="2">
        <v>1</v>
      </c>
      <c r="AA402" s="2">
        <v>1</v>
      </c>
      <c r="AB402" s="2">
        <v>2</v>
      </c>
      <c r="AC402" s="2">
        <v>1</v>
      </c>
      <c r="AD402" s="2">
        <v>1</v>
      </c>
      <c r="AE402" s="2">
        <v>0</v>
      </c>
      <c r="AF402" s="2">
        <v>1</v>
      </c>
    </row>
    <row r="403" spans="1:32" x14ac:dyDescent="0.25">
      <c r="A403">
        <v>402</v>
      </c>
      <c r="B403" s="2">
        <v>1</v>
      </c>
      <c r="C403" s="2">
        <v>18</v>
      </c>
      <c r="D403" s="2">
        <v>4</v>
      </c>
      <c r="E403" s="2">
        <v>0</v>
      </c>
      <c r="F403" s="2">
        <v>0</v>
      </c>
      <c r="G403" s="2">
        <v>0</v>
      </c>
      <c r="H403" s="2">
        <v>0</v>
      </c>
      <c r="I403" s="2">
        <v>0</v>
      </c>
      <c r="J403" s="2">
        <v>1</v>
      </c>
      <c r="K403" s="2">
        <v>1887</v>
      </c>
      <c r="L403" s="2">
        <v>4</v>
      </c>
      <c r="M403" s="2">
        <v>2</v>
      </c>
      <c r="N403" s="2">
        <v>4</v>
      </c>
      <c r="O403" s="2">
        <v>0</v>
      </c>
      <c r="P403" s="2">
        <v>0</v>
      </c>
      <c r="Q403" s="2">
        <v>1</v>
      </c>
      <c r="R403" s="2">
        <v>0</v>
      </c>
      <c r="S403" s="2">
        <v>0</v>
      </c>
      <c r="T403" s="2">
        <v>4</v>
      </c>
      <c r="U403" s="2">
        <v>1</v>
      </c>
      <c r="V403" s="2">
        <v>0</v>
      </c>
      <c r="W403" s="2">
        <v>28</v>
      </c>
      <c r="X403" s="2">
        <v>1</v>
      </c>
      <c r="Y403" s="2">
        <v>0</v>
      </c>
      <c r="Z403" s="2">
        <v>1</v>
      </c>
      <c r="AA403" s="2">
        <v>2</v>
      </c>
      <c r="AB403" s="2">
        <v>2</v>
      </c>
      <c r="AC403" s="2">
        <v>1</v>
      </c>
      <c r="AD403" s="2">
        <v>0</v>
      </c>
      <c r="AE403" s="2">
        <v>0</v>
      </c>
      <c r="AF403" s="2">
        <v>1</v>
      </c>
    </row>
    <row r="404" spans="1:32" x14ac:dyDescent="0.25">
      <c r="A404">
        <v>403</v>
      </c>
      <c r="B404" s="2">
        <v>3</v>
      </c>
      <c r="C404" s="2">
        <v>24</v>
      </c>
      <c r="D404" s="2">
        <v>3</v>
      </c>
      <c r="E404" s="2">
        <v>0</v>
      </c>
      <c r="F404" s="2">
        <v>0</v>
      </c>
      <c r="G404" s="2">
        <v>0</v>
      </c>
      <c r="H404" s="2">
        <v>0</v>
      </c>
      <c r="I404" s="2">
        <v>0</v>
      </c>
      <c r="J404" s="2">
        <v>1</v>
      </c>
      <c r="K404" s="2">
        <v>8648</v>
      </c>
      <c r="L404" s="2">
        <v>0</v>
      </c>
      <c r="M404" s="2">
        <v>1</v>
      </c>
      <c r="N404" s="2">
        <v>2</v>
      </c>
      <c r="O404" s="2">
        <v>0</v>
      </c>
      <c r="P404" s="2">
        <v>1</v>
      </c>
      <c r="Q404" s="2">
        <v>0</v>
      </c>
      <c r="R404" s="2">
        <v>0</v>
      </c>
      <c r="S404" s="2">
        <v>0</v>
      </c>
      <c r="T404" s="2">
        <v>2</v>
      </c>
      <c r="U404" s="2">
        <v>0</v>
      </c>
      <c r="V404" s="2">
        <v>0</v>
      </c>
      <c r="W404" s="2">
        <v>27</v>
      </c>
      <c r="X404" s="2">
        <v>1</v>
      </c>
      <c r="Y404" s="2">
        <v>0</v>
      </c>
      <c r="Z404" s="2">
        <v>1</v>
      </c>
      <c r="AA404" s="2">
        <v>2</v>
      </c>
      <c r="AB404" s="2">
        <v>2</v>
      </c>
      <c r="AC404" s="2">
        <v>1</v>
      </c>
      <c r="AD404" s="2">
        <v>1</v>
      </c>
      <c r="AE404" s="2">
        <v>0</v>
      </c>
      <c r="AF404" s="2">
        <v>0</v>
      </c>
    </row>
    <row r="405" spans="1:32" x14ac:dyDescent="0.25">
      <c r="A405">
        <v>404</v>
      </c>
      <c r="B405" s="2">
        <v>3</v>
      </c>
      <c r="C405" s="2">
        <v>14</v>
      </c>
      <c r="D405" s="2">
        <v>3</v>
      </c>
      <c r="E405" s="2">
        <v>1</v>
      </c>
      <c r="F405" s="2">
        <v>0</v>
      </c>
      <c r="G405" s="2">
        <v>0</v>
      </c>
      <c r="H405" s="2">
        <v>0</v>
      </c>
      <c r="I405" s="2">
        <v>0</v>
      </c>
      <c r="J405" s="2">
        <v>0</v>
      </c>
      <c r="K405" s="2">
        <v>802</v>
      </c>
      <c r="L405" s="2">
        <v>0</v>
      </c>
      <c r="M405" s="2">
        <v>2</v>
      </c>
      <c r="N405" s="2">
        <v>4</v>
      </c>
      <c r="O405" s="2">
        <v>0</v>
      </c>
      <c r="P405" s="2">
        <v>1</v>
      </c>
      <c r="Q405" s="2">
        <v>0</v>
      </c>
      <c r="R405" s="2">
        <v>0</v>
      </c>
      <c r="S405" s="2">
        <v>0</v>
      </c>
      <c r="T405" s="2">
        <v>2</v>
      </c>
      <c r="U405" s="2">
        <v>0</v>
      </c>
      <c r="V405" s="2">
        <v>0</v>
      </c>
      <c r="W405" s="2">
        <v>27</v>
      </c>
      <c r="X405" s="2">
        <v>0</v>
      </c>
      <c r="Y405" s="2">
        <v>0</v>
      </c>
      <c r="Z405" s="2">
        <v>1</v>
      </c>
      <c r="AA405" s="2">
        <v>2</v>
      </c>
      <c r="AB405" s="2">
        <v>1</v>
      </c>
      <c r="AC405" s="2">
        <v>1</v>
      </c>
      <c r="AD405" s="2">
        <v>0</v>
      </c>
      <c r="AE405" s="2">
        <v>0</v>
      </c>
      <c r="AF405" s="2">
        <v>1</v>
      </c>
    </row>
    <row r="406" spans="1:32" x14ac:dyDescent="0.25">
      <c r="A406">
        <v>405</v>
      </c>
      <c r="B406" s="2">
        <v>1</v>
      </c>
      <c r="C406" s="2">
        <v>18</v>
      </c>
      <c r="D406" s="2">
        <v>3</v>
      </c>
      <c r="E406" s="2">
        <v>1</v>
      </c>
      <c r="F406" s="2">
        <v>0</v>
      </c>
      <c r="G406" s="2">
        <v>0</v>
      </c>
      <c r="H406" s="2">
        <v>0</v>
      </c>
      <c r="I406" s="2">
        <v>0</v>
      </c>
      <c r="J406" s="2">
        <v>0</v>
      </c>
      <c r="K406" s="2">
        <v>2899</v>
      </c>
      <c r="L406" s="2">
        <v>4</v>
      </c>
      <c r="M406" s="2">
        <v>4</v>
      </c>
      <c r="N406" s="2">
        <v>4</v>
      </c>
      <c r="O406" s="2">
        <v>0</v>
      </c>
      <c r="P406" s="2">
        <v>1</v>
      </c>
      <c r="Q406" s="2">
        <v>0</v>
      </c>
      <c r="R406" s="2">
        <v>0</v>
      </c>
      <c r="S406" s="2">
        <v>0</v>
      </c>
      <c r="T406" s="2">
        <v>4</v>
      </c>
      <c r="U406" s="2">
        <v>0</v>
      </c>
      <c r="V406" s="2">
        <v>0</v>
      </c>
      <c r="W406" s="2">
        <v>43</v>
      </c>
      <c r="X406" s="2">
        <v>0</v>
      </c>
      <c r="Y406" s="2">
        <v>0</v>
      </c>
      <c r="Z406" s="2">
        <v>1</v>
      </c>
      <c r="AA406" s="2">
        <v>1</v>
      </c>
      <c r="AB406" s="2">
        <v>2</v>
      </c>
      <c r="AC406" s="2">
        <v>2</v>
      </c>
      <c r="AD406" s="2">
        <v>0</v>
      </c>
      <c r="AE406" s="2">
        <v>0</v>
      </c>
      <c r="AF406" s="2">
        <v>1</v>
      </c>
    </row>
    <row r="407" spans="1:32" x14ac:dyDescent="0.25">
      <c r="A407">
        <v>406</v>
      </c>
      <c r="B407" s="2">
        <v>1</v>
      </c>
      <c r="C407" s="2">
        <v>24</v>
      </c>
      <c r="D407" s="2">
        <v>2</v>
      </c>
      <c r="E407" s="2">
        <v>0</v>
      </c>
      <c r="F407" s="2">
        <v>0</v>
      </c>
      <c r="G407" s="2">
        <v>0</v>
      </c>
      <c r="H407" s="2">
        <v>1</v>
      </c>
      <c r="I407" s="2">
        <v>0</v>
      </c>
      <c r="J407" s="2">
        <v>0</v>
      </c>
      <c r="K407" s="2">
        <v>2039</v>
      </c>
      <c r="L407" s="2">
        <v>0</v>
      </c>
      <c r="M407" s="2">
        <v>1</v>
      </c>
      <c r="N407" s="2">
        <v>1</v>
      </c>
      <c r="O407" s="2">
        <v>0</v>
      </c>
      <c r="P407" s="2">
        <v>0</v>
      </c>
      <c r="Q407" s="2">
        <v>1</v>
      </c>
      <c r="R407" s="2">
        <v>0</v>
      </c>
      <c r="S407" s="2">
        <v>0</v>
      </c>
      <c r="T407" s="2">
        <v>1</v>
      </c>
      <c r="U407" s="2">
        <v>0</v>
      </c>
      <c r="V407" s="2">
        <v>0</v>
      </c>
      <c r="W407" s="2">
        <v>22</v>
      </c>
      <c r="X407" s="2">
        <v>0</v>
      </c>
      <c r="Y407" s="2">
        <v>0</v>
      </c>
      <c r="Z407" s="2">
        <v>1</v>
      </c>
      <c r="AA407" s="2">
        <v>1</v>
      </c>
      <c r="AB407" s="2">
        <v>2</v>
      </c>
      <c r="AC407" s="2">
        <v>1</v>
      </c>
      <c r="AD407" s="2">
        <v>1</v>
      </c>
      <c r="AE407" s="2">
        <v>0</v>
      </c>
      <c r="AF407" s="2">
        <v>0</v>
      </c>
    </row>
    <row r="408" spans="1:32" x14ac:dyDescent="0.25">
      <c r="A408">
        <v>407</v>
      </c>
      <c r="B408" s="2">
        <v>3</v>
      </c>
      <c r="C408" s="2">
        <v>24</v>
      </c>
      <c r="D408" s="2">
        <v>4</v>
      </c>
      <c r="E408" s="2">
        <v>0</v>
      </c>
      <c r="F408" s="2">
        <v>1</v>
      </c>
      <c r="G408" s="2">
        <v>0</v>
      </c>
      <c r="H408" s="2">
        <v>0</v>
      </c>
      <c r="I408" s="2">
        <v>0</v>
      </c>
      <c r="J408" s="2">
        <v>0</v>
      </c>
      <c r="K408" s="2">
        <v>2197</v>
      </c>
      <c r="L408" s="2">
        <v>4</v>
      </c>
      <c r="M408" s="2">
        <v>3</v>
      </c>
      <c r="N408" s="2">
        <v>4</v>
      </c>
      <c r="O408" s="2">
        <v>0</v>
      </c>
      <c r="P408" s="2">
        <v>1</v>
      </c>
      <c r="Q408" s="2">
        <v>0</v>
      </c>
      <c r="R408" s="2">
        <v>0</v>
      </c>
      <c r="S408" s="2">
        <v>0</v>
      </c>
      <c r="T408" s="2">
        <v>4</v>
      </c>
      <c r="U408" s="2">
        <v>0</v>
      </c>
      <c r="V408" s="2">
        <v>0</v>
      </c>
      <c r="W408" s="2">
        <v>43</v>
      </c>
      <c r="X408" s="2">
        <v>0</v>
      </c>
      <c r="Y408" s="2">
        <v>0</v>
      </c>
      <c r="Z408" s="2">
        <v>1</v>
      </c>
      <c r="AA408" s="2">
        <v>2</v>
      </c>
      <c r="AB408" s="2">
        <v>2</v>
      </c>
      <c r="AC408" s="2">
        <v>2</v>
      </c>
      <c r="AD408" s="2">
        <v>1</v>
      </c>
      <c r="AE408" s="2">
        <v>0</v>
      </c>
      <c r="AF408" s="2">
        <v>1</v>
      </c>
    </row>
    <row r="409" spans="1:32" x14ac:dyDescent="0.25">
      <c r="A409">
        <v>408</v>
      </c>
      <c r="B409" s="2">
        <v>0</v>
      </c>
      <c r="C409" s="2">
        <v>15</v>
      </c>
      <c r="D409" s="2">
        <v>2</v>
      </c>
      <c r="E409" s="2">
        <v>0</v>
      </c>
      <c r="F409" s="2">
        <v>0</v>
      </c>
      <c r="G409" s="2">
        <v>0</v>
      </c>
      <c r="H409" s="2">
        <v>1</v>
      </c>
      <c r="I409" s="2">
        <v>0</v>
      </c>
      <c r="J409" s="2">
        <v>0</v>
      </c>
      <c r="K409" s="2">
        <v>1053</v>
      </c>
      <c r="L409" s="2">
        <v>0</v>
      </c>
      <c r="M409" s="2">
        <v>1</v>
      </c>
      <c r="N409" s="2">
        <v>4</v>
      </c>
      <c r="O409" s="2">
        <v>0</v>
      </c>
      <c r="P409" s="2">
        <v>0</v>
      </c>
      <c r="Q409" s="2">
        <v>1</v>
      </c>
      <c r="R409" s="2">
        <v>0</v>
      </c>
      <c r="S409" s="2">
        <v>0</v>
      </c>
      <c r="T409" s="2">
        <v>2</v>
      </c>
      <c r="U409" s="2">
        <v>1</v>
      </c>
      <c r="V409" s="2">
        <v>0</v>
      </c>
      <c r="W409" s="2">
        <v>27</v>
      </c>
      <c r="X409" s="2">
        <v>0</v>
      </c>
      <c r="Y409" s="2">
        <v>0</v>
      </c>
      <c r="Z409" s="2">
        <v>1</v>
      </c>
      <c r="AA409" s="2">
        <v>1</v>
      </c>
      <c r="AB409" s="2">
        <v>2</v>
      </c>
      <c r="AC409" s="2">
        <v>1</v>
      </c>
      <c r="AD409" s="2">
        <v>0</v>
      </c>
      <c r="AE409" s="2">
        <v>1</v>
      </c>
      <c r="AF409" s="2">
        <v>1</v>
      </c>
    </row>
    <row r="410" spans="1:32" x14ac:dyDescent="0.25">
      <c r="A410">
        <v>409</v>
      </c>
      <c r="B410" s="2">
        <v>3</v>
      </c>
      <c r="C410" s="2">
        <v>24</v>
      </c>
      <c r="D410" s="2">
        <v>2</v>
      </c>
      <c r="E410" s="2">
        <v>0</v>
      </c>
      <c r="F410" s="2">
        <v>0</v>
      </c>
      <c r="G410" s="2">
        <v>0</v>
      </c>
      <c r="H410" s="2">
        <v>1</v>
      </c>
      <c r="I410" s="2">
        <v>0</v>
      </c>
      <c r="J410" s="2">
        <v>0</v>
      </c>
      <c r="K410" s="2">
        <v>3235</v>
      </c>
      <c r="L410" s="2">
        <v>2</v>
      </c>
      <c r="M410" s="2">
        <v>4</v>
      </c>
      <c r="N410" s="2">
        <v>3</v>
      </c>
      <c r="O410" s="2">
        <v>1</v>
      </c>
      <c r="P410" s="2">
        <v>0</v>
      </c>
      <c r="Q410" s="2">
        <v>0</v>
      </c>
      <c r="R410" s="2">
        <v>0</v>
      </c>
      <c r="S410" s="2">
        <v>0</v>
      </c>
      <c r="T410" s="2">
        <v>2</v>
      </c>
      <c r="U410" s="2">
        <v>0</v>
      </c>
      <c r="V410" s="2">
        <v>0</v>
      </c>
      <c r="W410" s="2">
        <v>26</v>
      </c>
      <c r="X410" s="2">
        <v>0</v>
      </c>
      <c r="Y410" s="2">
        <v>0</v>
      </c>
      <c r="Z410" s="2">
        <v>1</v>
      </c>
      <c r="AA410" s="2">
        <v>1</v>
      </c>
      <c r="AB410" s="2">
        <v>3</v>
      </c>
      <c r="AC410" s="2">
        <v>1</v>
      </c>
      <c r="AD410" s="2">
        <v>1</v>
      </c>
      <c r="AE410" s="2">
        <v>0</v>
      </c>
      <c r="AF410" s="2">
        <v>1</v>
      </c>
    </row>
    <row r="411" spans="1:32" x14ac:dyDescent="0.25">
      <c r="A411">
        <v>410</v>
      </c>
      <c r="B411" s="2">
        <v>2</v>
      </c>
      <c r="C411" s="2">
        <v>12</v>
      </c>
      <c r="D411" s="2">
        <v>4</v>
      </c>
      <c r="E411" s="2">
        <v>1</v>
      </c>
      <c r="F411" s="2">
        <v>0</v>
      </c>
      <c r="G411" s="2">
        <v>0</v>
      </c>
      <c r="H411" s="2">
        <v>0</v>
      </c>
      <c r="I411" s="2">
        <v>0</v>
      </c>
      <c r="J411" s="2">
        <v>0</v>
      </c>
      <c r="K411" s="2">
        <v>939</v>
      </c>
      <c r="L411" s="2">
        <v>2</v>
      </c>
      <c r="M411" s="2">
        <v>3</v>
      </c>
      <c r="N411" s="2">
        <v>4</v>
      </c>
      <c r="O411" s="2">
        <v>0</v>
      </c>
      <c r="P411" s="2">
        <v>0</v>
      </c>
      <c r="Q411" s="2">
        <v>1</v>
      </c>
      <c r="R411" s="2">
        <v>0</v>
      </c>
      <c r="S411" s="2">
        <v>0</v>
      </c>
      <c r="T411" s="2">
        <v>2</v>
      </c>
      <c r="U411" s="2">
        <v>1</v>
      </c>
      <c r="V411" s="2">
        <v>0</v>
      </c>
      <c r="W411" s="2">
        <v>28</v>
      </c>
      <c r="X411" s="2">
        <v>0</v>
      </c>
      <c r="Y411" s="2">
        <v>0</v>
      </c>
      <c r="Z411" s="2">
        <v>1</v>
      </c>
      <c r="AA411" s="2">
        <v>3</v>
      </c>
      <c r="AB411" s="2">
        <v>2</v>
      </c>
      <c r="AC411" s="2">
        <v>1</v>
      </c>
      <c r="AD411" s="2">
        <v>1</v>
      </c>
      <c r="AE411" s="2">
        <v>0</v>
      </c>
      <c r="AF411" s="2">
        <v>0</v>
      </c>
    </row>
    <row r="412" spans="1:32" x14ac:dyDescent="0.25">
      <c r="A412">
        <v>411</v>
      </c>
      <c r="B412" s="2">
        <v>1</v>
      </c>
      <c r="C412" s="2">
        <v>24</v>
      </c>
      <c r="D412" s="2">
        <v>2</v>
      </c>
      <c r="E412" s="2">
        <v>0</v>
      </c>
      <c r="F412" s="2">
        <v>0</v>
      </c>
      <c r="G412" s="2">
        <v>0</v>
      </c>
      <c r="H412" s="2">
        <v>1</v>
      </c>
      <c r="I412" s="2">
        <v>0</v>
      </c>
      <c r="J412" s="2">
        <v>0</v>
      </c>
      <c r="K412" s="2">
        <v>1967</v>
      </c>
      <c r="L412" s="2">
        <v>0</v>
      </c>
      <c r="M412" s="2">
        <v>4</v>
      </c>
      <c r="N412" s="2">
        <v>4</v>
      </c>
      <c r="O412" s="2">
        <v>0</v>
      </c>
      <c r="P412" s="2">
        <v>0</v>
      </c>
      <c r="Q412" s="2">
        <v>0</v>
      </c>
      <c r="R412" s="2">
        <v>0</v>
      </c>
      <c r="S412" s="2">
        <v>0</v>
      </c>
      <c r="T412" s="2">
        <v>4</v>
      </c>
      <c r="U412" s="2">
        <v>0</v>
      </c>
      <c r="V412" s="2">
        <v>0</v>
      </c>
      <c r="W412" s="2">
        <v>20</v>
      </c>
      <c r="X412" s="2">
        <v>0</v>
      </c>
      <c r="Y412" s="2">
        <v>0</v>
      </c>
      <c r="Z412" s="2">
        <v>1</v>
      </c>
      <c r="AA412" s="2">
        <v>1</v>
      </c>
      <c r="AB412" s="2">
        <v>2</v>
      </c>
      <c r="AC412" s="2">
        <v>1</v>
      </c>
      <c r="AD412" s="2">
        <v>1</v>
      </c>
      <c r="AE412" s="2">
        <v>0</v>
      </c>
      <c r="AF412" s="2">
        <v>1</v>
      </c>
    </row>
    <row r="413" spans="1:32" x14ac:dyDescent="0.25">
      <c r="A413">
        <v>412</v>
      </c>
      <c r="B413" s="2">
        <v>3</v>
      </c>
      <c r="C413" s="2">
        <v>33</v>
      </c>
      <c r="D413" s="2">
        <v>4</v>
      </c>
      <c r="E413" s="2">
        <v>0</v>
      </c>
      <c r="F413" s="2">
        <v>1</v>
      </c>
      <c r="G413" s="2">
        <v>0</v>
      </c>
      <c r="H413" s="2">
        <v>0</v>
      </c>
      <c r="I413" s="2">
        <v>0</v>
      </c>
      <c r="J413" s="2">
        <v>0</v>
      </c>
      <c r="K413" s="2">
        <v>7253</v>
      </c>
      <c r="L413" s="2">
        <v>0</v>
      </c>
      <c r="M413" s="2">
        <v>3</v>
      </c>
      <c r="N413" s="2">
        <v>3</v>
      </c>
      <c r="O413" s="2">
        <v>0</v>
      </c>
      <c r="P413" s="2">
        <v>1</v>
      </c>
      <c r="Q413" s="2">
        <v>0</v>
      </c>
      <c r="R413" s="2">
        <v>0</v>
      </c>
      <c r="S413" s="2">
        <v>0</v>
      </c>
      <c r="T413" s="2">
        <v>2</v>
      </c>
      <c r="U413" s="2">
        <v>0</v>
      </c>
      <c r="V413" s="2">
        <v>0</v>
      </c>
      <c r="W413" s="2">
        <v>35</v>
      </c>
      <c r="X413" s="2">
        <v>0</v>
      </c>
      <c r="Y413" s="2">
        <v>0</v>
      </c>
      <c r="Z413" s="2">
        <v>1</v>
      </c>
      <c r="AA413" s="2">
        <v>2</v>
      </c>
      <c r="AB413" s="2">
        <v>3</v>
      </c>
      <c r="AC413" s="2">
        <v>1</v>
      </c>
      <c r="AD413" s="2">
        <v>1</v>
      </c>
      <c r="AE413" s="2">
        <v>0</v>
      </c>
      <c r="AF413" s="2">
        <v>1</v>
      </c>
    </row>
    <row r="414" spans="1:32" x14ac:dyDescent="0.25">
      <c r="A414">
        <v>413</v>
      </c>
      <c r="B414" s="2">
        <v>3</v>
      </c>
      <c r="C414" s="2">
        <v>12</v>
      </c>
      <c r="D414" s="2">
        <v>4</v>
      </c>
      <c r="E414" s="2">
        <v>0</v>
      </c>
      <c r="F414" s="2">
        <v>0</v>
      </c>
      <c r="G414" s="2">
        <v>0</v>
      </c>
      <c r="H414" s="2">
        <v>0</v>
      </c>
      <c r="I414" s="2">
        <v>0</v>
      </c>
      <c r="J414" s="2">
        <v>1</v>
      </c>
      <c r="K414" s="2">
        <v>2292</v>
      </c>
      <c r="L414" s="2">
        <v>0</v>
      </c>
      <c r="M414" s="2">
        <v>0</v>
      </c>
      <c r="N414" s="2">
        <v>4</v>
      </c>
      <c r="O414" s="2">
        <v>0</v>
      </c>
      <c r="P414" s="2">
        <v>1</v>
      </c>
      <c r="Q414" s="2">
        <v>0</v>
      </c>
      <c r="R414" s="2">
        <v>0</v>
      </c>
      <c r="S414" s="2">
        <v>0</v>
      </c>
      <c r="T414" s="2">
        <v>2</v>
      </c>
      <c r="U414" s="2">
        <v>0</v>
      </c>
      <c r="V414" s="2">
        <v>0</v>
      </c>
      <c r="W414" s="2">
        <v>42</v>
      </c>
      <c r="X414" s="2">
        <v>1</v>
      </c>
      <c r="Y414" s="2">
        <v>0</v>
      </c>
      <c r="Z414" s="2">
        <v>1</v>
      </c>
      <c r="AA414" s="2">
        <v>2</v>
      </c>
      <c r="AB414" s="2">
        <v>3</v>
      </c>
      <c r="AC414" s="2">
        <v>1</v>
      </c>
      <c r="AD414" s="2">
        <v>1</v>
      </c>
      <c r="AE414" s="2">
        <v>0</v>
      </c>
      <c r="AF414" s="2">
        <v>0</v>
      </c>
    </row>
    <row r="415" spans="1:32" x14ac:dyDescent="0.25">
      <c r="A415">
        <v>414</v>
      </c>
      <c r="B415" s="2">
        <v>3</v>
      </c>
      <c r="C415" s="2">
        <v>10</v>
      </c>
      <c r="D415" s="2">
        <v>2</v>
      </c>
      <c r="E415" s="2">
        <v>1</v>
      </c>
      <c r="F415" s="2">
        <v>0</v>
      </c>
      <c r="G415" s="2">
        <v>0</v>
      </c>
      <c r="H415" s="2">
        <v>0</v>
      </c>
      <c r="I415" s="2">
        <v>0</v>
      </c>
      <c r="J415" s="2">
        <v>0</v>
      </c>
      <c r="K415" s="2">
        <v>1597</v>
      </c>
      <c r="L415" s="2">
        <v>2</v>
      </c>
      <c r="M415" s="2">
        <v>2</v>
      </c>
      <c r="N415" s="2">
        <v>3</v>
      </c>
      <c r="O415" s="2">
        <v>0</v>
      </c>
      <c r="P415" s="2">
        <v>1</v>
      </c>
      <c r="Q415" s="2">
        <v>0</v>
      </c>
      <c r="R415" s="2">
        <v>0</v>
      </c>
      <c r="S415" s="2">
        <v>0</v>
      </c>
      <c r="T415" s="2">
        <v>2</v>
      </c>
      <c r="U415" s="2">
        <v>0</v>
      </c>
      <c r="V415" s="2">
        <v>1</v>
      </c>
      <c r="W415" s="2">
        <v>40</v>
      </c>
      <c r="X415" s="2">
        <v>0</v>
      </c>
      <c r="Y415" s="2">
        <v>1</v>
      </c>
      <c r="Z415" s="2">
        <v>0</v>
      </c>
      <c r="AA415" s="2">
        <v>1</v>
      </c>
      <c r="AB415" s="2">
        <v>1</v>
      </c>
      <c r="AC415" s="2">
        <v>2</v>
      </c>
      <c r="AD415" s="2">
        <v>0</v>
      </c>
      <c r="AE415" s="2">
        <v>1</v>
      </c>
      <c r="AF415" s="2">
        <v>1</v>
      </c>
    </row>
    <row r="416" spans="1:32" x14ac:dyDescent="0.25">
      <c r="A416">
        <v>415</v>
      </c>
      <c r="B416" s="2">
        <v>0</v>
      </c>
      <c r="C416" s="2">
        <v>24</v>
      </c>
      <c r="D416" s="2">
        <v>2</v>
      </c>
      <c r="E416" s="2">
        <v>1</v>
      </c>
      <c r="F416" s="2">
        <v>0</v>
      </c>
      <c r="G416" s="2">
        <v>0</v>
      </c>
      <c r="H416" s="2">
        <v>0</v>
      </c>
      <c r="I416" s="2">
        <v>0</v>
      </c>
      <c r="J416" s="2">
        <v>0</v>
      </c>
      <c r="K416" s="2">
        <v>1381</v>
      </c>
      <c r="L416" s="2">
        <v>4</v>
      </c>
      <c r="M416" s="2">
        <v>2</v>
      </c>
      <c r="N416" s="2">
        <v>4</v>
      </c>
      <c r="O416" s="2">
        <v>0</v>
      </c>
      <c r="P416" s="2">
        <v>0</v>
      </c>
      <c r="Q416" s="2">
        <v>0</v>
      </c>
      <c r="R416" s="2">
        <v>0</v>
      </c>
      <c r="S416" s="2">
        <v>0</v>
      </c>
      <c r="T416" s="2">
        <v>2</v>
      </c>
      <c r="U416" s="2">
        <v>0</v>
      </c>
      <c r="V416" s="2">
        <v>0</v>
      </c>
      <c r="W416" s="2">
        <v>35</v>
      </c>
      <c r="X416" s="2">
        <v>0</v>
      </c>
      <c r="Y416" s="2">
        <v>0</v>
      </c>
      <c r="Z416" s="2">
        <v>1</v>
      </c>
      <c r="AA416" s="2">
        <v>1</v>
      </c>
      <c r="AB416" s="2">
        <v>2</v>
      </c>
      <c r="AC416" s="2">
        <v>1</v>
      </c>
      <c r="AD416" s="2">
        <v>0</v>
      </c>
      <c r="AE416" s="2">
        <v>0</v>
      </c>
      <c r="AF416" s="2">
        <v>0</v>
      </c>
    </row>
    <row r="417" spans="1:32" x14ac:dyDescent="0.25">
      <c r="A417">
        <v>416</v>
      </c>
      <c r="B417" s="2">
        <v>3</v>
      </c>
      <c r="C417" s="2">
        <v>36</v>
      </c>
      <c r="D417" s="2">
        <v>4</v>
      </c>
      <c r="E417" s="2">
        <v>0</v>
      </c>
      <c r="F417" s="2">
        <v>1</v>
      </c>
      <c r="G417" s="2">
        <v>0</v>
      </c>
      <c r="H417" s="2">
        <v>0</v>
      </c>
      <c r="I417" s="2">
        <v>0</v>
      </c>
      <c r="J417" s="2">
        <v>0</v>
      </c>
      <c r="K417" s="2">
        <v>5842</v>
      </c>
      <c r="L417" s="2">
        <v>0</v>
      </c>
      <c r="M417" s="2">
        <v>4</v>
      </c>
      <c r="N417" s="2">
        <v>2</v>
      </c>
      <c r="O417" s="2">
        <v>0</v>
      </c>
      <c r="P417" s="2">
        <v>1</v>
      </c>
      <c r="Q417" s="2">
        <v>0</v>
      </c>
      <c r="R417" s="2">
        <v>0</v>
      </c>
      <c r="S417" s="2">
        <v>0</v>
      </c>
      <c r="T417" s="2">
        <v>2</v>
      </c>
      <c r="U417" s="2">
        <v>0</v>
      </c>
      <c r="V417" s="2">
        <v>0</v>
      </c>
      <c r="W417" s="2">
        <v>35</v>
      </c>
      <c r="X417" s="2">
        <v>0</v>
      </c>
      <c r="Y417" s="2">
        <v>0</v>
      </c>
      <c r="Z417" s="2">
        <v>1</v>
      </c>
      <c r="AA417" s="2">
        <v>2</v>
      </c>
      <c r="AB417" s="2">
        <v>2</v>
      </c>
      <c r="AC417" s="2">
        <v>2</v>
      </c>
      <c r="AD417" s="2">
        <v>1</v>
      </c>
      <c r="AE417" s="2">
        <v>0</v>
      </c>
      <c r="AF417" s="2">
        <v>1</v>
      </c>
    </row>
    <row r="418" spans="1:32" x14ac:dyDescent="0.25">
      <c r="A418">
        <v>417</v>
      </c>
      <c r="B418" s="2">
        <v>0</v>
      </c>
      <c r="C418" s="2">
        <v>12</v>
      </c>
      <c r="D418" s="2">
        <v>2</v>
      </c>
      <c r="E418" s="2">
        <v>1</v>
      </c>
      <c r="F418" s="2">
        <v>0</v>
      </c>
      <c r="G418" s="2">
        <v>0</v>
      </c>
      <c r="H418" s="2">
        <v>0</v>
      </c>
      <c r="I418" s="2">
        <v>0</v>
      </c>
      <c r="J418" s="2">
        <v>0</v>
      </c>
      <c r="K418" s="2">
        <v>2579</v>
      </c>
      <c r="L418" s="2">
        <v>0</v>
      </c>
      <c r="M418" s="2">
        <v>1</v>
      </c>
      <c r="N418" s="2">
        <v>4</v>
      </c>
      <c r="O418" s="2">
        <v>0</v>
      </c>
      <c r="P418" s="2">
        <v>1</v>
      </c>
      <c r="Q418" s="2">
        <v>0</v>
      </c>
      <c r="R418" s="2">
        <v>0</v>
      </c>
      <c r="S418" s="2">
        <v>0</v>
      </c>
      <c r="T418" s="2">
        <v>1</v>
      </c>
      <c r="U418" s="2">
        <v>1</v>
      </c>
      <c r="V418" s="2">
        <v>0</v>
      </c>
      <c r="W418" s="2">
        <v>33</v>
      </c>
      <c r="X418" s="2">
        <v>0</v>
      </c>
      <c r="Y418" s="2">
        <v>0</v>
      </c>
      <c r="Z418" s="2">
        <v>1</v>
      </c>
      <c r="AA418" s="2">
        <v>1</v>
      </c>
      <c r="AB418" s="2">
        <v>1</v>
      </c>
      <c r="AC418" s="2">
        <v>2</v>
      </c>
      <c r="AD418" s="2">
        <v>0</v>
      </c>
      <c r="AE418" s="2">
        <v>0</v>
      </c>
      <c r="AF418" s="2">
        <v>0</v>
      </c>
    </row>
    <row r="419" spans="1:32" x14ac:dyDescent="0.25">
      <c r="A419">
        <v>418</v>
      </c>
      <c r="B419" s="2">
        <v>0</v>
      </c>
      <c r="C419" s="2">
        <v>18</v>
      </c>
      <c r="D419" s="2">
        <v>3</v>
      </c>
      <c r="E419" s="2">
        <v>0</v>
      </c>
      <c r="F419" s="2">
        <v>0</v>
      </c>
      <c r="G419" s="2">
        <v>0</v>
      </c>
      <c r="H419" s="2">
        <v>0</v>
      </c>
      <c r="I419" s="2">
        <v>1</v>
      </c>
      <c r="J419" s="2">
        <v>0</v>
      </c>
      <c r="K419" s="2">
        <v>8471</v>
      </c>
      <c r="L419" s="2">
        <v>4</v>
      </c>
      <c r="M419" s="2">
        <v>2</v>
      </c>
      <c r="N419" s="2">
        <v>1</v>
      </c>
      <c r="O419" s="2">
        <v>0</v>
      </c>
      <c r="P419" s="2">
        <v>0</v>
      </c>
      <c r="Q419" s="2">
        <v>0</v>
      </c>
      <c r="R419" s="2">
        <v>0</v>
      </c>
      <c r="S419" s="2">
        <v>0</v>
      </c>
      <c r="T419" s="2">
        <v>2</v>
      </c>
      <c r="U419" s="2">
        <v>0</v>
      </c>
      <c r="V419" s="2">
        <v>0</v>
      </c>
      <c r="W419" s="2">
        <v>23</v>
      </c>
      <c r="X419" s="2">
        <v>0</v>
      </c>
      <c r="Y419" s="2">
        <v>1</v>
      </c>
      <c r="Z419" s="2">
        <v>0</v>
      </c>
      <c r="AA419" s="2">
        <v>2</v>
      </c>
      <c r="AB419" s="2">
        <v>2</v>
      </c>
      <c r="AC419" s="2">
        <v>1</v>
      </c>
      <c r="AD419" s="2">
        <v>1</v>
      </c>
      <c r="AE419" s="2">
        <v>0</v>
      </c>
      <c r="AF419" s="2">
        <v>1</v>
      </c>
    </row>
    <row r="420" spans="1:32" x14ac:dyDescent="0.25">
      <c r="A420">
        <v>419</v>
      </c>
      <c r="B420" s="2">
        <v>3</v>
      </c>
      <c r="C420" s="2">
        <v>21</v>
      </c>
      <c r="D420" s="2">
        <v>2</v>
      </c>
      <c r="E420" s="2">
        <v>1</v>
      </c>
      <c r="F420" s="2">
        <v>0</v>
      </c>
      <c r="G420" s="2">
        <v>0</v>
      </c>
      <c r="H420" s="2">
        <v>0</v>
      </c>
      <c r="I420" s="2">
        <v>0</v>
      </c>
      <c r="J420" s="2">
        <v>0</v>
      </c>
      <c r="K420" s="2">
        <v>2782</v>
      </c>
      <c r="L420" s="2">
        <v>2</v>
      </c>
      <c r="M420" s="2">
        <v>3</v>
      </c>
      <c r="N420" s="2">
        <v>1</v>
      </c>
      <c r="O420" s="2">
        <v>0</v>
      </c>
      <c r="P420" s="2">
        <v>0</v>
      </c>
      <c r="Q420" s="2">
        <v>0</v>
      </c>
      <c r="R420" s="2">
        <v>0</v>
      </c>
      <c r="S420" s="2">
        <v>0</v>
      </c>
      <c r="T420" s="2">
        <v>2</v>
      </c>
      <c r="U420" s="2">
        <v>0</v>
      </c>
      <c r="V420" s="2">
        <v>0</v>
      </c>
      <c r="W420" s="2">
        <v>31</v>
      </c>
      <c r="X420" s="2">
        <v>1</v>
      </c>
      <c r="Y420" s="2">
        <v>0</v>
      </c>
      <c r="Z420" s="2">
        <v>1</v>
      </c>
      <c r="AA420" s="2">
        <v>1</v>
      </c>
      <c r="AB420" s="2">
        <v>3</v>
      </c>
      <c r="AC420" s="2">
        <v>1</v>
      </c>
      <c r="AD420" s="2">
        <v>0</v>
      </c>
      <c r="AE420" s="2">
        <v>0</v>
      </c>
      <c r="AF420" s="2">
        <v>1</v>
      </c>
    </row>
    <row r="421" spans="1:32" x14ac:dyDescent="0.25">
      <c r="A421">
        <v>420</v>
      </c>
      <c r="B421" s="2">
        <v>1</v>
      </c>
      <c r="C421" s="2">
        <v>18</v>
      </c>
      <c r="D421" s="2">
        <v>2</v>
      </c>
      <c r="E421" s="2">
        <v>1</v>
      </c>
      <c r="F421" s="2">
        <v>0</v>
      </c>
      <c r="G421" s="2">
        <v>0</v>
      </c>
      <c r="H421" s="2">
        <v>0</v>
      </c>
      <c r="I421" s="2">
        <v>0</v>
      </c>
      <c r="J421" s="2">
        <v>0</v>
      </c>
      <c r="K421" s="2">
        <v>1042</v>
      </c>
      <c r="L421" s="2">
        <v>4</v>
      </c>
      <c r="M421" s="2">
        <v>2</v>
      </c>
      <c r="N421" s="2">
        <v>4</v>
      </c>
      <c r="O421" s="2">
        <v>0</v>
      </c>
      <c r="P421" s="2">
        <v>0</v>
      </c>
      <c r="Q421" s="2">
        <v>0</v>
      </c>
      <c r="R421" s="2">
        <v>0</v>
      </c>
      <c r="S421" s="2">
        <v>0</v>
      </c>
      <c r="T421" s="2">
        <v>2</v>
      </c>
      <c r="U421" s="2">
        <v>0</v>
      </c>
      <c r="V421" s="2">
        <v>0</v>
      </c>
      <c r="W421" s="2">
        <v>33</v>
      </c>
      <c r="X421" s="2">
        <v>0</v>
      </c>
      <c r="Y421" s="2">
        <v>0</v>
      </c>
      <c r="Z421" s="2">
        <v>1</v>
      </c>
      <c r="AA421" s="2">
        <v>1</v>
      </c>
      <c r="AB421" s="2">
        <v>2</v>
      </c>
      <c r="AC421" s="2">
        <v>1</v>
      </c>
      <c r="AD421" s="2">
        <v>0</v>
      </c>
      <c r="AE421" s="2">
        <v>0</v>
      </c>
      <c r="AF421" s="2">
        <v>0</v>
      </c>
    </row>
    <row r="422" spans="1:32" x14ac:dyDescent="0.25">
      <c r="A422">
        <v>421</v>
      </c>
      <c r="B422" s="2">
        <v>3</v>
      </c>
      <c r="C422" s="2">
        <v>15</v>
      </c>
      <c r="D422" s="2">
        <v>2</v>
      </c>
      <c r="E422" s="2">
        <v>1</v>
      </c>
      <c r="F422" s="2">
        <v>0</v>
      </c>
      <c r="G422" s="2">
        <v>0</v>
      </c>
      <c r="H422" s="2">
        <v>0</v>
      </c>
      <c r="I422" s="2">
        <v>0</v>
      </c>
      <c r="J422" s="2">
        <v>0</v>
      </c>
      <c r="K422" s="2">
        <v>3186</v>
      </c>
      <c r="L422" s="2">
        <v>3</v>
      </c>
      <c r="M422" s="2">
        <v>3</v>
      </c>
      <c r="N422" s="2">
        <v>2</v>
      </c>
      <c r="O422" s="2">
        <v>0</v>
      </c>
      <c r="P422" s="2">
        <v>0</v>
      </c>
      <c r="Q422" s="2">
        <v>0</v>
      </c>
      <c r="R422" s="2">
        <v>0</v>
      </c>
      <c r="S422" s="2">
        <v>0</v>
      </c>
      <c r="T422" s="2">
        <v>3</v>
      </c>
      <c r="U422" s="2">
        <v>0</v>
      </c>
      <c r="V422" s="2">
        <v>0</v>
      </c>
      <c r="W422" s="2">
        <v>20</v>
      </c>
      <c r="X422" s="2">
        <v>0</v>
      </c>
      <c r="Y422" s="2">
        <v>1</v>
      </c>
      <c r="Z422" s="2">
        <v>0</v>
      </c>
      <c r="AA422" s="2">
        <v>1</v>
      </c>
      <c r="AB422" s="2">
        <v>2</v>
      </c>
      <c r="AC422" s="2">
        <v>1</v>
      </c>
      <c r="AD422" s="2">
        <v>0</v>
      </c>
      <c r="AE422" s="2">
        <v>0</v>
      </c>
      <c r="AF422" s="2">
        <v>1</v>
      </c>
    </row>
    <row r="423" spans="1:32" x14ac:dyDescent="0.25">
      <c r="A423">
        <v>422</v>
      </c>
      <c r="B423" s="2">
        <v>1</v>
      </c>
      <c r="C423" s="2">
        <v>12</v>
      </c>
      <c r="D423" s="2">
        <v>2</v>
      </c>
      <c r="E423" s="2">
        <v>0</v>
      </c>
      <c r="F423" s="2">
        <v>1</v>
      </c>
      <c r="G423" s="2">
        <v>0</v>
      </c>
      <c r="H423" s="2">
        <v>0</v>
      </c>
      <c r="I423" s="2">
        <v>0</v>
      </c>
      <c r="J423" s="2">
        <v>0</v>
      </c>
      <c r="K423" s="2">
        <v>2028</v>
      </c>
      <c r="L423" s="2">
        <v>4</v>
      </c>
      <c r="M423" s="2">
        <v>2</v>
      </c>
      <c r="N423" s="2">
        <v>4</v>
      </c>
      <c r="O423" s="2">
        <v>0</v>
      </c>
      <c r="P423" s="2">
        <v>1</v>
      </c>
      <c r="Q423" s="2">
        <v>0</v>
      </c>
      <c r="R423" s="2">
        <v>0</v>
      </c>
      <c r="S423" s="2">
        <v>0</v>
      </c>
      <c r="T423" s="2">
        <v>2</v>
      </c>
      <c r="U423" s="2">
        <v>0</v>
      </c>
      <c r="V423" s="2">
        <v>0</v>
      </c>
      <c r="W423" s="2">
        <v>30</v>
      </c>
      <c r="X423" s="2">
        <v>0</v>
      </c>
      <c r="Y423" s="2">
        <v>0</v>
      </c>
      <c r="Z423" s="2">
        <v>1</v>
      </c>
      <c r="AA423" s="2">
        <v>1</v>
      </c>
      <c r="AB423" s="2">
        <v>2</v>
      </c>
      <c r="AC423" s="2">
        <v>1</v>
      </c>
      <c r="AD423" s="2">
        <v>0</v>
      </c>
      <c r="AE423" s="2">
        <v>0</v>
      </c>
      <c r="AF423" s="2">
        <v>1</v>
      </c>
    </row>
    <row r="424" spans="1:32" x14ac:dyDescent="0.25">
      <c r="A424">
        <v>423</v>
      </c>
      <c r="B424" s="2">
        <v>1</v>
      </c>
      <c r="C424" s="2">
        <v>12</v>
      </c>
      <c r="D424" s="2">
        <v>4</v>
      </c>
      <c r="E424" s="2">
        <v>1</v>
      </c>
      <c r="F424" s="2">
        <v>0</v>
      </c>
      <c r="G424" s="2">
        <v>0</v>
      </c>
      <c r="H424" s="2">
        <v>0</v>
      </c>
      <c r="I424" s="2">
        <v>0</v>
      </c>
      <c r="J424" s="2">
        <v>0</v>
      </c>
      <c r="K424" s="2">
        <v>958</v>
      </c>
      <c r="L424" s="2">
        <v>0</v>
      </c>
      <c r="M424" s="2">
        <v>3</v>
      </c>
      <c r="N424" s="2">
        <v>2</v>
      </c>
      <c r="O424" s="2">
        <v>0</v>
      </c>
      <c r="P424" s="2">
        <v>1</v>
      </c>
      <c r="Q424" s="2">
        <v>0</v>
      </c>
      <c r="R424" s="2">
        <v>0</v>
      </c>
      <c r="S424" s="2">
        <v>0</v>
      </c>
      <c r="T424" s="2">
        <v>3</v>
      </c>
      <c r="U424" s="2">
        <v>1</v>
      </c>
      <c r="V424" s="2">
        <v>0</v>
      </c>
      <c r="W424" s="2">
        <v>47</v>
      </c>
      <c r="X424" s="2">
        <v>0</v>
      </c>
      <c r="Y424" s="2">
        <v>0</v>
      </c>
      <c r="Z424" s="2">
        <v>1</v>
      </c>
      <c r="AA424" s="2">
        <v>2</v>
      </c>
      <c r="AB424" s="2">
        <v>1</v>
      </c>
      <c r="AC424" s="2">
        <v>2</v>
      </c>
      <c r="AD424" s="2">
        <v>0</v>
      </c>
      <c r="AE424" s="2">
        <v>0</v>
      </c>
      <c r="AF424" s="2">
        <v>1</v>
      </c>
    </row>
    <row r="425" spans="1:32" x14ac:dyDescent="0.25">
      <c r="A425">
        <v>424</v>
      </c>
      <c r="B425" s="2">
        <v>3</v>
      </c>
      <c r="C425" s="2">
        <v>21</v>
      </c>
      <c r="D425" s="2">
        <v>3</v>
      </c>
      <c r="E425" s="2">
        <v>0</v>
      </c>
      <c r="F425" s="2">
        <v>0</v>
      </c>
      <c r="G425" s="2">
        <v>1</v>
      </c>
      <c r="H425" s="2">
        <v>0</v>
      </c>
      <c r="I425" s="2">
        <v>0</v>
      </c>
      <c r="J425" s="2">
        <v>0</v>
      </c>
      <c r="K425" s="2">
        <v>1591</v>
      </c>
      <c r="L425" s="2">
        <v>1</v>
      </c>
      <c r="M425" s="2">
        <v>3</v>
      </c>
      <c r="N425" s="2">
        <v>4</v>
      </c>
      <c r="O425" s="2">
        <v>0</v>
      </c>
      <c r="P425" s="2">
        <v>1</v>
      </c>
      <c r="Q425" s="2">
        <v>0</v>
      </c>
      <c r="R425" s="2">
        <v>0</v>
      </c>
      <c r="S425" s="2">
        <v>0</v>
      </c>
      <c r="T425" s="2">
        <v>3</v>
      </c>
      <c r="U425" s="2">
        <v>1</v>
      </c>
      <c r="V425" s="2">
        <v>0</v>
      </c>
      <c r="W425" s="2">
        <v>34</v>
      </c>
      <c r="X425" s="2">
        <v>0</v>
      </c>
      <c r="Y425" s="2">
        <v>0</v>
      </c>
      <c r="Z425" s="2">
        <v>1</v>
      </c>
      <c r="AA425" s="2">
        <v>2</v>
      </c>
      <c r="AB425" s="2">
        <v>3</v>
      </c>
      <c r="AC425" s="2">
        <v>1</v>
      </c>
      <c r="AD425" s="2">
        <v>0</v>
      </c>
      <c r="AE425" s="2">
        <v>0</v>
      </c>
      <c r="AF425" s="2">
        <v>1</v>
      </c>
    </row>
    <row r="426" spans="1:32" x14ac:dyDescent="0.25">
      <c r="A426">
        <v>425</v>
      </c>
      <c r="B426" s="2">
        <v>1</v>
      </c>
      <c r="C426" s="2">
        <v>12</v>
      </c>
      <c r="D426" s="2">
        <v>2</v>
      </c>
      <c r="E426" s="2">
        <v>0</v>
      </c>
      <c r="F426" s="2">
        <v>0</v>
      </c>
      <c r="G426" s="2">
        <v>1</v>
      </c>
      <c r="H426" s="2">
        <v>0</v>
      </c>
      <c r="I426" s="2">
        <v>0</v>
      </c>
      <c r="J426" s="2">
        <v>0</v>
      </c>
      <c r="K426" s="2">
        <v>2762</v>
      </c>
      <c r="L426" s="2">
        <v>4</v>
      </c>
      <c r="M426" s="2">
        <v>4</v>
      </c>
      <c r="N426" s="2">
        <v>1</v>
      </c>
      <c r="O426" s="2">
        <v>0</v>
      </c>
      <c r="P426" s="2">
        <v>0</v>
      </c>
      <c r="Q426" s="2">
        <v>0</v>
      </c>
      <c r="R426" s="2">
        <v>0</v>
      </c>
      <c r="S426" s="2">
        <v>0</v>
      </c>
      <c r="T426" s="2">
        <v>2</v>
      </c>
      <c r="U426" s="2">
        <v>0</v>
      </c>
      <c r="V426" s="2">
        <v>0</v>
      </c>
      <c r="W426" s="2">
        <v>25</v>
      </c>
      <c r="X426" s="2">
        <v>1</v>
      </c>
      <c r="Y426" s="2">
        <v>0</v>
      </c>
      <c r="Z426" s="2">
        <v>1</v>
      </c>
      <c r="AA426" s="2">
        <v>1</v>
      </c>
      <c r="AB426" s="2">
        <v>2</v>
      </c>
      <c r="AC426" s="2">
        <v>1</v>
      </c>
      <c r="AD426" s="2">
        <v>1</v>
      </c>
      <c r="AE426" s="2">
        <v>0</v>
      </c>
      <c r="AF426" s="2">
        <v>0</v>
      </c>
    </row>
    <row r="427" spans="1:32" x14ac:dyDescent="0.25">
      <c r="A427">
        <v>426</v>
      </c>
      <c r="B427" s="2">
        <v>1</v>
      </c>
      <c r="C427" s="2">
        <v>18</v>
      </c>
      <c r="D427" s="2">
        <v>2</v>
      </c>
      <c r="E427" s="2">
        <v>0</v>
      </c>
      <c r="F427" s="2">
        <v>1</v>
      </c>
      <c r="G427" s="2">
        <v>0</v>
      </c>
      <c r="H427" s="2">
        <v>0</v>
      </c>
      <c r="I427" s="2">
        <v>0</v>
      </c>
      <c r="J427" s="2">
        <v>0</v>
      </c>
      <c r="K427" s="2">
        <v>2779</v>
      </c>
      <c r="L427" s="2">
        <v>0</v>
      </c>
      <c r="M427" s="2">
        <v>2</v>
      </c>
      <c r="N427" s="2">
        <v>1</v>
      </c>
      <c r="O427" s="2">
        <v>0</v>
      </c>
      <c r="P427" s="2">
        <v>0</v>
      </c>
      <c r="Q427" s="2">
        <v>1</v>
      </c>
      <c r="R427" s="2">
        <v>0</v>
      </c>
      <c r="S427" s="2">
        <v>0</v>
      </c>
      <c r="T427" s="2">
        <v>3</v>
      </c>
      <c r="U427" s="2">
        <v>0</v>
      </c>
      <c r="V427" s="2">
        <v>0</v>
      </c>
      <c r="W427" s="2">
        <v>21</v>
      </c>
      <c r="X427" s="2">
        <v>0</v>
      </c>
      <c r="Y427" s="2">
        <v>1</v>
      </c>
      <c r="Z427" s="2">
        <v>0</v>
      </c>
      <c r="AA427" s="2">
        <v>1</v>
      </c>
      <c r="AB427" s="2">
        <v>2</v>
      </c>
      <c r="AC427" s="2">
        <v>1</v>
      </c>
      <c r="AD427" s="2">
        <v>1</v>
      </c>
      <c r="AE427" s="2">
        <v>0</v>
      </c>
      <c r="AF427" s="2">
        <v>1</v>
      </c>
    </row>
    <row r="428" spans="1:32" x14ac:dyDescent="0.25">
      <c r="A428">
        <v>427</v>
      </c>
      <c r="B428" s="2">
        <v>3</v>
      </c>
      <c r="C428" s="2">
        <v>28</v>
      </c>
      <c r="D428" s="2">
        <v>4</v>
      </c>
      <c r="E428" s="2">
        <v>0</v>
      </c>
      <c r="F428" s="2">
        <v>0</v>
      </c>
      <c r="G428" s="2">
        <v>0</v>
      </c>
      <c r="H428" s="2">
        <v>1</v>
      </c>
      <c r="I428" s="2">
        <v>0</v>
      </c>
      <c r="J428" s="2">
        <v>0</v>
      </c>
      <c r="K428" s="2">
        <v>2743</v>
      </c>
      <c r="L428" s="2">
        <v>0</v>
      </c>
      <c r="M428" s="2">
        <v>4</v>
      </c>
      <c r="N428" s="2">
        <v>4</v>
      </c>
      <c r="O428" s="2">
        <v>0</v>
      </c>
      <c r="P428" s="2">
        <v>1</v>
      </c>
      <c r="Q428" s="2">
        <v>0</v>
      </c>
      <c r="R428" s="2">
        <v>0</v>
      </c>
      <c r="S428" s="2">
        <v>0</v>
      </c>
      <c r="T428" s="2">
        <v>2</v>
      </c>
      <c r="U428" s="2">
        <v>0</v>
      </c>
      <c r="V428" s="2">
        <v>0</v>
      </c>
      <c r="W428" s="2">
        <v>29</v>
      </c>
      <c r="X428" s="2">
        <v>0</v>
      </c>
      <c r="Y428" s="2">
        <v>0</v>
      </c>
      <c r="Z428" s="2">
        <v>1</v>
      </c>
      <c r="AA428" s="2">
        <v>2</v>
      </c>
      <c r="AB428" s="2">
        <v>2</v>
      </c>
      <c r="AC428" s="2">
        <v>1</v>
      </c>
      <c r="AD428" s="2">
        <v>0</v>
      </c>
      <c r="AE428" s="2">
        <v>0</v>
      </c>
      <c r="AF428" s="2">
        <v>1</v>
      </c>
    </row>
    <row r="429" spans="1:32" x14ac:dyDescent="0.25">
      <c r="A429">
        <v>428</v>
      </c>
      <c r="B429" s="2">
        <v>3</v>
      </c>
      <c r="C429" s="2">
        <v>18</v>
      </c>
      <c r="D429" s="2">
        <v>4</v>
      </c>
      <c r="E429" s="2">
        <v>0</v>
      </c>
      <c r="F429" s="2">
        <v>0</v>
      </c>
      <c r="G429" s="2">
        <v>0</v>
      </c>
      <c r="H429" s="2">
        <v>1</v>
      </c>
      <c r="I429" s="2">
        <v>0</v>
      </c>
      <c r="J429" s="2">
        <v>0</v>
      </c>
      <c r="K429" s="2">
        <v>1149</v>
      </c>
      <c r="L429" s="2">
        <v>3</v>
      </c>
      <c r="M429" s="2">
        <v>2</v>
      </c>
      <c r="N429" s="2">
        <v>4</v>
      </c>
      <c r="O429" s="2">
        <v>0</v>
      </c>
      <c r="P429" s="2">
        <v>1</v>
      </c>
      <c r="Q429" s="2">
        <v>0</v>
      </c>
      <c r="R429" s="2">
        <v>0</v>
      </c>
      <c r="S429" s="2">
        <v>0</v>
      </c>
      <c r="T429" s="2">
        <v>3</v>
      </c>
      <c r="U429" s="2">
        <v>1</v>
      </c>
      <c r="V429" s="2">
        <v>0</v>
      </c>
      <c r="W429" s="2">
        <v>46</v>
      </c>
      <c r="X429" s="2">
        <v>0</v>
      </c>
      <c r="Y429" s="2">
        <v>0</v>
      </c>
      <c r="Z429" s="2">
        <v>1</v>
      </c>
      <c r="AA429" s="2">
        <v>2</v>
      </c>
      <c r="AB429" s="2">
        <v>2</v>
      </c>
      <c r="AC429" s="2">
        <v>1</v>
      </c>
      <c r="AD429" s="2">
        <v>0</v>
      </c>
      <c r="AE429" s="2">
        <v>0</v>
      </c>
      <c r="AF429" s="2">
        <v>1</v>
      </c>
    </row>
    <row r="430" spans="1:32" x14ac:dyDescent="0.25">
      <c r="A430">
        <v>429</v>
      </c>
      <c r="B430" s="2">
        <v>3</v>
      </c>
      <c r="C430" s="2">
        <v>9</v>
      </c>
      <c r="D430" s="2">
        <v>2</v>
      </c>
      <c r="E430" s="2">
        <v>0</v>
      </c>
      <c r="F430" s="2">
        <v>0</v>
      </c>
      <c r="G430" s="2">
        <v>1</v>
      </c>
      <c r="H430" s="2">
        <v>0</v>
      </c>
      <c r="I430" s="2">
        <v>0</v>
      </c>
      <c r="J430" s="2">
        <v>0</v>
      </c>
      <c r="K430" s="2">
        <v>1313</v>
      </c>
      <c r="L430" s="2">
        <v>0</v>
      </c>
      <c r="M430" s="2">
        <v>4</v>
      </c>
      <c r="N430" s="2">
        <v>1</v>
      </c>
      <c r="O430" s="2">
        <v>0</v>
      </c>
      <c r="P430" s="2">
        <v>1</v>
      </c>
      <c r="Q430" s="2">
        <v>0</v>
      </c>
      <c r="R430" s="2">
        <v>0</v>
      </c>
      <c r="S430" s="2">
        <v>0</v>
      </c>
      <c r="T430" s="2">
        <v>4</v>
      </c>
      <c r="U430" s="2">
        <v>0</v>
      </c>
      <c r="V430" s="2">
        <v>0</v>
      </c>
      <c r="W430" s="2">
        <v>20</v>
      </c>
      <c r="X430" s="2">
        <v>0</v>
      </c>
      <c r="Y430" s="2">
        <v>0</v>
      </c>
      <c r="Z430" s="2">
        <v>1</v>
      </c>
      <c r="AA430" s="2">
        <v>1</v>
      </c>
      <c r="AB430" s="2">
        <v>2</v>
      </c>
      <c r="AC430" s="2">
        <v>1</v>
      </c>
      <c r="AD430" s="2">
        <v>0</v>
      </c>
      <c r="AE430" s="2">
        <v>0</v>
      </c>
      <c r="AF430" s="2">
        <v>1</v>
      </c>
    </row>
    <row r="431" spans="1:32" x14ac:dyDescent="0.25">
      <c r="A431">
        <v>430</v>
      </c>
      <c r="B431" s="2">
        <v>0</v>
      </c>
      <c r="C431" s="2">
        <v>18</v>
      </c>
      <c r="D431" s="2">
        <v>4</v>
      </c>
      <c r="E431" s="2">
        <v>0</v>
      </c>
      <c r="F431" s="2">
        <v>0</v>
      </c>
      <c r="G431" s="2">
        <v>0</v>
      </c>
      <c r="H431" s="2">
        <v>0</v>
      </c>
      <c r="I431" s="2">
        <v>0</v>
      </c>
      <c r="J431" s="2">
        <v>0</v>
      </c>
      <c r="K431" s="2">
        <v>1190</v>
      </c>
      <c r="L431" s="2">
        <v>0</v>
      </c>
      <c r="M431" s="2">
        <v>0</v>
      </c>
      <c r="N431" s="2">
        <v>2</v>
      </c>
      <c r="O431" s="2">
        <v>0</v>
      </c>
      <c r="P431" s="2">
        <v>0</v>
      </c>
      <c r="Q431" s="2">
        <v>0</v>
      </c>
      <c r="R431" s="2">
        <v>0</v>
      </c>
      <c r="S431" s="2">
        <v>0</v>
      </c>
      <c r="T431" s="2">
        <v>4</v>
      </c>
      <c r="U431" s="2">
        <v>0</v>
      </c>
      <c r="V431" s="2">
        <v>1</v>
      </c>
      <c r="W431" s="2">
        <v>55</v>
      </c>
      <c r="X431" s="2">
        <v>0</v>
      </c>
      <c r="Y431" s="2">
        <v>0</v>
      </c>
      <c r="Z431" s="2">
        <v>0</v>
      </c>
      <c r="AA431" s="2">
        <v>3</v>
      </c>
      <c r="AB431" s="2">
        <v>0</v>
      </c>
      <c r="AC431" s="2">
        <v>2</v>
      </c>
      <c r="AD431" s="2">
        <v>0</v>
      </c>
      <c r="AE431" s="2">
        <v>0</v>
      </c>
      <c r="AF431" s="2">
        <v>0</v>
      </c>
    </row>
    <row r="432" spans="1:32" x14ac:dyDescent="0.25">
      <c r="A432">
        <v>431</v>
      </c>
      <c r="B432" s="2">
        <v>3</v>
      </c>
      <c r="C432" s="2">
        <v>5</v>
      </c>
      <c r="D432" s="2">
        <v>2</v>
      </c>
      <c r="E432" s="2">
        <v>0</v>
      </c>
      <c r="F432" s="2">
        <v>0</v>
      </c>
      <c r="G432" s="2">
        <v>0</v>
      </c>
      <c r="H432" s="2">
        <v>0</v>
      </c>
      <c r="I432" s="2">
        <v>0</v>
      </c>
      <c r="J432" s="2">
        <v>1</v>
      </c>
      <c r="K432" s="2">
        <v>3448</v>
      </c>
      <c r="L432" s="2">
        <v>0</v>
      </c>
      <c r="M432" s="2">
        <v>3</v>
      </c>
      <c r="N432" s="2">
        <v>1</v>
      </c>
      <c r="O432" s="2">
        <v>0</v>
      </c>
      <c r="P432" s="2">
        <v>1</v>
      </c>
      <c r="Q432" s="2">
        <v>0</v>
      </c>
      <c r="R432" s="2">
        <v>0</v>
      </c>
      <c r="S432" s="2">
        <v>0</v>
      </c>
      <c r="T432" s="2">
        <v>4</v>
      </c>
      <c r="U432" s="2">
        <v>1</v>
      </c>
      <c r="V432" s="2">
        <v>0</v>
      </c>
      <c r="W432" s="2">
        <v>74</v>
      </c>
      <c r="X432" s="2">
        <v>0</v>
      </c>
      <c r="Y432" s="2">
        <v>0</v>
      </c>
      <c r="Z432" s="2">
        <v>1</v>
      </c>
      <c r="AA432" s="2">
        <v>1</v>
      </c>
      <c r="AB432" s="2">
        <v>1</v>
      </c>
      <c r="AC432" s="2">
        <v>1</v>
      </c>
      <c r="AD432" s="2">
        <v>0</v>
      </c>
      <c r="AE432" s="2">
        <v>0</v>
      </c>
      <c r="AF432" s="2">
        <v>1</v>
      </c>
    </row>
    <row r="433" spans="1:32" x14ac:dyDescent="0.25">
      <c r="A433">
        <v>432</v>
      </c>
      <c r="B433" s="2">
        <v>1</v>
      </c>
      <c r="C433" s="2">
        <v>24</v>
      </c>
      <c r="D433" s="2">
        <v>2</v>
      </c>
      <c r="E433" s="2">
        <v>0</v>
      </c>
      <c r="F433" s="2">
        <v>0</v>
      </c>
      <c r="G433" s="2">
        <v>0</v>
      </c>
      <c r="H433" s="2">
        <v>0</v>
      </c>
      <c r="I433" s="2">
        <v>0</v>
      </c>
      <c r="J433" s="2">
        <v>0</v>
      </c>
      <c r="K433" s="2">
        <v>11328</v>
      </c>
      <c r="L433" s="2">
        <v>0</v>
      </c>
      <c r="M433" s="2">
        <v>2</v>
      </c>
      <c r="N433" s="2">
        <v>2</v>
      </c>
      <c r="O433" s="2">
        <v>0</v>
      </c>
      <c r="P433" s="2">
        <v>1</v>
      </c>
      <c r="Q433" s="2">
        <v>0</v>
      </c>
      <c r="R433" s="2">
        <v>1</v>
      </c>
      <c r="S433" s="2">
        <v>0</v>
      </c>
      <c r="T433" s="2">
        <v>3</v>
      </c>
      <c r="U433" s="2">
        <v>0</v>
      </c>
      <c r="V433" s="2">
        <v>0</v>
      </c>
      <c r="W433" s="2">
        <v>29</v>
      </c>
      <c r="X433" s="2">
        <v>1</v>
      </c>
      <c r="Y433" s="2">
        <v>0</v>
      </c>
      <c r="Z433" s="2">
        <v>1</v>
      </c>
      <c r="AA433" s="2">
        <v>2</v>
      </c>
      <c r="AB433" s="2">
        <v>3</v>
      </c>
      <c r="AC433" s="2">
        <v>1</v>
      </c>
      <c r="AD433" s="2">
        <v>1</v>
      </c>
      <c r="AE433" s="2">
        <v>0</v>
      </c>
      <c r="AF433" s="2">
        <v>0</v>
      </c>
    </row>
    <row r="434" spans="1:32" x14ac:dyDescent="0.25">
      <c r="A434">
        <v>433</v>
      </c>
      <c r="B434" s="2">
        <v>0</v>
      </c>
      <c r="C434" s="2">
        <v>6</v>
      </c>
      <c r="D434" s="2">
        <v>4</v>
      </c>
      <c r="E434" s="2">
        <v>0</v>
      </c>
      <c r="F434" s="2">
        <v>0</v>
      </c>
      <c r="G434" s="2">
        <v>1</v>
      </c>
      <c r="H434" s="2">
        <v>0</v>
      </c>
      <c r="I434" s="2">
        <v>0</v>
      </c>
      <c r="J434" s="2">
        <v>0</v>
      </c>
      <c r="K434" s="2">
        <v>1872</v>
      </c>
      <c r="L434" s="2">
        <v>0</v>
      </c>
      <c r="M434" s="2">
        <v>0</v>
      </c>
      <c r="N434" s="2">
        <v>4</v>
      </c>
      <c r="O434" s="2">
        <v>0</v>
      </c>
      <c r="P434" s="2">
        <v>1</v>
      </c>
      <c r="Q434" s="2">
        <v>0</v>
      </c>
      <c r="R434" s="2">
        <v>0</v>
      </c>
      <c r="S434" s="2">
        <v>0</v>
      </c>
      <c r="T434" s="2">
        <v>4</v>
      </c>
      <c r="U434" s="2">
        <v>0</v>
      </c>
      <c r="V434" s="2">
        <v>1</v>
      </c>
      <c r="W434" s="2">
        <v>36</v>
      </c>
      <c r="X434" s="2">
        <v>0</v>
      </c>
      <c r="Y434" s="2">
        <v>0</v>
      </c>
      <c r="Z434" s="2">
        <v>0</v>
      </c>
      <c r="AA434" s="2">
        <v>3</v>
      </c>
      <c r="AB434" s="2">
        <v>3</v>
      </c>
      <c r="AC434" s="2">
        <v>1</v>
      </c>
      <c r="AD434" s="2">
        <v>1</v>
      </c>
      <c r="AE434" s="2">
        <v>0</v>
      </c>
      <c r="AF434" s="2">
        <v>1</v>
      </c>
    </row>
    <row r="435" spans="1:32" x14ac:dyDescent="0.25">
      <c r="A435">
        <v>434</v>
      </c>
      <c r="B435" s="2">
        <v>3</v>
      </c>
      <c r="C435" s="2">
        <v>24</v>
      </c>
      <c r="D435" s="2">
        <v>4</v>
      </c>
      <c r="E435" s="2">
        <v>0</v>
      </c>
      <c r="F435" s="2">
        <v>0</v>
      </c>
      <c r="G435" s="2">
        <v>0</v>
      </c>
      <c r="H435" s="2">
        <v>0</v>
      </c>
      <c r="I435" s="2">
        <v>0</v>
      </c>
      <c r="J435" s="2">
        <v>0</v>
      </c>
      <c r="K435" s="2">
        <v>2058</v>
      </c>
      <c r="L435" s="2">
        <v>0</v>
      </c>
      <c r="M435" s="2">
        <v>2</v>
      </c>
      <c r="N435" s="2">
        <v>4</v>
      </c>
      <c r="O435" s="2">
        <v>1</v>
      </c>
      <c r="P435" s="2">
        <v>0</v>
      </c>
      <c r="Q435" s="2">
        <v>0</v>
      </c>
      <c r="R435" s="2">
        <v>0</v>
      </c>
      <c r="S435" s="2">
        <v>0</v>
      </c>
      <c r="T435" s="2">
        <v>2</v>
      </c>
      <c r="U435" s="2">
        <v>1</v>
      </c>
      <c r="V435" s="2">
        <v>0</v>
      </c>
      <c r="W435" s="2">
        <v>33</v>
      </c>
      <c r="X435" s="2">
        <v>0</v>
      </c>
      <c r="Y435" s="2">
        <v>0</v>
      </c>
      <c r="Z435" s="2">
        <v>1</v>
      </c>
      <c r="AA435" s="2">
        <v>2</v>
      </c>
      <c r="AB435" s="2">
        <v>2</v>
      </c>
      <c r="AC435" s="2">
        <v>1</v>
      </c>
      <c r="AD435" s="2">
        <v>1</v>
      </c>
      <c r="AE435" s="2">
        <v>0</v>
      </c>
      <c r="AF435" s="2">
        <v>1</v>
      </c>
    </row>
    <row r="436" spans="1:32" x14ac:dyDescent="0.25">
      <c r="A436">
        <v>435</v>
      </c>
      <c r="B436" s="2">
        <v>0</v>
      </c>
      <c r="C436" s="2">
        <v>9</v>
      </c>
      <c r="D436" s="2">
        <v>2</v>
      </c>
      <c r="E436" s="2">
        <v>0</v>
      </c>
      <c r="F436" s="2">
        <v>0</v>
      </c>
      <c r="G436" s="2">
        <v>1</v>
      </c>
      <c r="H436" s="2">
        <v>0</v>
      </c>
      <c r="I436" s="2">
        <v>0</v>
      </c>
      <c r="J436" s="2">
        <v>0</v>
      </c>
      <c r="K436" s="2">
        <v>2136</v>
      </c>
      <c r="L436" s="2">
        <v>0</v>
      </c>
      <c r="M436" s="2">
        <v>2</v>
      </c>
      <c r="N436" s="2">
        <v>3</v>
      </c>
      <c r="O436" s="2">
        <v>0</v>
      </c>
      <c r="P436" s="2">
        <v>1</v>
      </c>
      <c r="Q436" s="2">
        <v>0</v>
      </c>
      <c r="R436" s="2">
        <v>0</v>
      </c>
      <c r="S436" s="2">
        <v>0</v>
      </c>
      <c r="T436" s="2">
        <v>2</v>
      </c>
      <c r="U436" s="2">
        <v>1</v>
      </c>
      <c r="V436" s="2">
        <v>0</v>
      </c>
      <c r="W436" s="2">
        <v>25</v>
      </c>
      <c r="X436" s="2">
        <v>0</v>
      </c>
      <c r="Y436" s="2">
        <v>0</v>
      </c>
      <c r="Z436" s="2">
        <v>1</v>
      </c>
      <c r="AA436" s="2">
        <v>1</v>
      </c>
      <c r="AB436" s="2">
        <v>2</v>
      </c>
      <c r="AC436" s="2">
        <v>1</v>
      </c>
      <c r="AD436" s="2">
        <v>0</v>
      </c>
      <c r="AE436" s="2">
        <v>0</v>
      </c>
      <c r="AF436" s="2">
        <v>1</v>
      </c>
    </row>
    <row r="437" spans="1:32" x14ac:dyDescent="0.25">
      <c r="A437">
        <v>436</v>
      </c>
      <c r="B437" s="2">
        <v>1</v>
      </c>
      <c r="C437" s="2">
        <v>12</v>
      </c>
      <c r="D437" s="2">
        <v>2</v>
      </c>
      <c r="E437" s="2">
        <v>0</v>
      </c>
      <c r="F437" s="2">
        <v>0</v>
      </c>
      <c r="G437" s="2">
        <v>0</v>
      </c>
      <c r="H437" s="2">
        <v>1</v>
      </c>
      <c r="I437" s="2">
        <v>0</v>
      </c>
      <c r="J437" s="2">
        <v>0</v>
      </c>
      <c r="K437" s="2">
        <v>1484</v>
      </c>
      <c r="L437" s="2">
        <v>4</v>
      </c>
      <c r="M437" s="2">
        <v>2</v>
      </c>
      <c r="N437" s="2">
        <v>2</v>
      </c>
      <c r="O437" s="2">
        <v>0</v>
      </c>
      <c r="P437" s="2">
        <v>0</v>
      </c>
      <c r="Q437" s="2">
        <v>1</v>
      </c>
      <c r="R437" s="2">
        <v>0</v>
      </c>
      <c r="S437" s="2">
        <v>0</v>
      </c>
      <c r="T437" s="2">
        <v>1</v>
      </c>
      <c r="U437" s="2">
        <v>1</v>
      </c>
      <c r="V437" s="2">
        <v>0</v>
      </c>
      <c r="W437" s="2">
        <v>25</v>
      </c>
      <c r="X437" s="2">
        <v>0</v>
      </c>
      <c r="Y437" s="2">
        <v>0</v>
      </c>
      <c r="Z437" s="2">
        <v>1</v>
      </c>
      <c r="AA437" s="2">
        <v>1</v>
      </c>
      <c r="AB437" s="2">
        <v>2</v>
      </c>
      <c r="AC437" s="2">
        <v>1</v>
      </c>
      <c r="AD437" s="2">
        <v>1</v>
      </c>
      <c r="AE437" s="2">
        <v>0</v>
      </c>
      <c r="AF437" s="2">
        <v>0</v>
      </c>
    </row>
    <row r="438" spans="1:32" x14ac:dyDescent="0.25">
      <c r="A438">
        <v>437</v>
      </c>
      <c r="B438" s="2">
        <v>3</v>
      </c>
      <c r="C438" s="2">
        <v>6</v>
      </c>
      <c r="D438" s="2">
        <v>2</v>
      </c>
      <c r="E438" s="2">
        <v>0</v>
      </c>
      <c r="F438" s="2">
        <v>0</v>
      </c>
      <c r="G438" s="2">
        <v>0</v>
      </c>
      <c r="H438" s="2">
        <v>0</v>
      </c>
      <c r="I438" s="2">
        <v>0</v>
      </c>
      <c r="J438" s="2">
        <v>0</v>
      </c>
      <c r="K438" s="2">
        <v>660</v>
      </c>
      <c r="L438" s="2">
        <v>2</v>
      </c>
      <c r="M438" s="2">
        <v>3</v>
      </c>
      <c r="N438" s="2">
        <v>2</v>
      </c>
      <c r="O438" s="2">
        <v>0</v>
      </c>
      <c r="P438" s="2">
        <v>0</v>
      </c>
      <c r="Q438" s="2">
        <v>1</v>
      </c>
      <c r="R438" s="2">
        <v>0</v>
      </c>
      <c r="S438" s="2">
        <v>0</v>
      </c>
      <c r="T438" s="2">
        <v>4</v>
      </c>
      <c r="U438" s="2">
        <v>1</v>
      </c>
      <c r="V438" s="2">
        <v>0</v>
      </c>
      <c r="W438" s="2">
        <v>23</v>
      </c>
      <c r="X438" s="2">
        <v>0</v>
      </c>
      <c r="Y438" s="2">
        <v>1</v>
      </c>
      <c r="Z438" s="2">
        <v>0</v>
      </c>
      <c r="AA438" s="2">
        <v>1</v>
      </c>
      <c r="AB438" s="2">
        <v>1</v>
      </c>
      <c r="AC438" s="2">
        <v>1</v>
      </c>
      <c r="AD438" s="2">
        <v>0</v>
      </c>
      <c r="AE438" s="2">
        <v>0</v>
      </c>
      <c r="AF438" s="2">
        <v>1</v>
      </c>
    </row>
    <row r="439" spans="1:32" x14ac:dyDescent="0.25">
      <c r="A439">
        <v>438</v>
      </c>
      <c r="B439" s="2">
        <v>3</v>
      </c>
      <c r="C439" s="2">
        <v>24</v>
      </c>
      <c r="D439" s="2">
        <v>4</v>
      </c>
      <c r="E439" s="2">
        <v>1</v>
      </c>
      <c r="F439" s="2">
        <v>0</v>
      </c>
      <c r="G439" s="2">
        <v>0</v>
      </c>
      <c r="H439" s="2">
        <v>0</v>
      </c>
      <c r="I439" s="2">
        <v>0</v>
      </c>
      <c r="J439" s="2">
        <v>0</v>
      </c>
      <c r="K439" s="2">
        <v>1287</v>
      </c>
      <c r="L439" s="2">
        <v>3</v>
      </c>
      <c r="M439" s="2">
        <v>4</v>
      </c>
      <c r="N439" s="2">
        <v>4</v>
      </c>
      <c r="O439" s="2">
        <v>0</v>
      </c>
      <c r="P439" s="2">
        <v>0</v>
      </c>
      <c r="Q439" s="2">
        <v>0</v>
      </c>
      <c r="R439" s="2">
        <v>0</v>
      </c>
      <c r="S439" s="2">
        <v>0</v>
      </c>
      <c r="T439" s="2">
        <v>4</v>
      </c>
      <c r="U439" s="2">
        <v>1</v>
      </c>
      <c r="V439" s="2">
        <v>0</v>
      </c>
      <c r="W439" s="2">
        <v>37</v>
      </c>
      <c r="X439" s="2">
        <v>0</v>
      </c>
      <c r="Y439" s="2">
        <v>0</v>
      </c>
      <c r="Z439" s="2">
        <v>1</v>
      </c>
      <c r="AA439" s="2">
        <v>2</v>
      </c>
      <c r="AB439" s="2">
        <v>2</v>
      </c>
      <c r="AC439" s="2">
        <v>1</v>
      </c>
      <c r="AD439" s="2">
        <v>1</v>
      </c>
      <c r="AE439" s="2">
        <v>0</v>
      </c>
      <c r="AF439" s="2">
        <v>1</v>
      </c>
    </row>
    <row r="440" spans="1:32" x14ac:dyDescent="0.25">
      <c r="A440">
        <v>439</v>
      </c>
      <c r="B440" s="2">
        <v>0</v>
      </c>
      <c r="C440" s="2">
        <v>42</v>
      </c>
      <c r="D440" s="2">
        <v>4</v>
      </c>
      <c r="E440" s="2">
        <v>0</v>
      </c>
      <c r="F440" s="2">
        <v>0</v>
      </c>
      <c r="G440" s="2">
        <v>0</v>
      </c>
      <c r="H440" s="2">
        <v>0</v>
      </c>
      <c r="I440" s="2">
        <v>0</v>
      </c>
      <c r="J440" s="2">
        <v>0</v>
      </c>
      <c r="K440" s="2">
        <v>3394</v>
      </c>
      <c r="L440" s="2">
        <v>0</v>
      </c>
      <c r="M440" s="2">
        <v>0</v>
      </c>
      <c r="N440" s="2">
        <v>4</v>
      </c>
      <c r="O440" s="2">
        <v>0</v>
      </c>
      <c r="P440" s="2">
        <v>1</v>
      </c>
      <c r="Q440" s="2">
        <v>0</v>
      </c>
      <c r="R440" s="2">
        <v>1</v>
      </c>
      <c r="S440" s="2">
        <v>0</v>
      </c>
      <c r="T440" s="2">
        <v>4</v>
      </c>
      <c r="U440" s="2">
        <v>0</v>
      </c>
      <c r="V440" s="2">
        <v>0</v>
      </c>
      <c r="W440" s="2">
        <v>65</v>
      </c>
      <c r="X440" s="2">
        <v>0</v>
      </c>
      <c r="Y440" s="2">
        <v>0</v>
      </c>
      <c r="Z440" s="2">
        <v>1</v>
      </c>
      <c r="AA440" s="2">
        <v>2</v>
      </c>
      <c r="AB440" s="2">
        <v>0</v>
      </c>
      <c r="AC440" s="2">
        <v>1</v>
      </c>
      <c r="AD440" s="2">
        <v>0</v>
      </c>
      <c r="AE440" s="2">
        <v>0</v>
      </c>
      <c r="AF440" s="2">
        <v>1</v>
      </c>
    </row>
    <row r="441" spans="1:32" x14ac:dyDescent="0.25">
      <c r="A441">
        <v>440</v>
      </c>
      <c r="B441" s="2">
        <v>2</v>
      </c>
      <c r="C441" s="2">
        <v>12</v>
      </c>
      <c r="D441" s="2">
        <v>1</v>
      </c>
      <c r="E441" s="2">
        <v>0</v>
      </c>
      <c r="F441" s="2">
        <v>0</v>
      </c>
      <c r="G441" s="2">
        <v>0</v>
      </c>
      <c r="H441" s="2">
        <v>0</v>
      </c>
      <c r="I441" s="2">
        <v>0</v>
      </c>
      <c r="J441" s="2">
        <v>1</v>
      </c>
      <c r="K441" s="2">
        <v>609</v>
      </c>
      <c r="L441" s="2">
        <v>0</v>
      </c>
      <c r="M441" s="2">
        <v>1</v>
      </c>
      <c r="N441" s="2">
        <v>4</v>
      </c>
      <c r="O441" s="2">
        <v>0</v>
      </c>
      <c r="P441" s="2">
        <v>0</v>
      </c>
      <c r="Q441" s="2">
        <v>0</v>
      </c>
      <c r="R441" s="2">
        <v>0</v>
      </c>
      <c r="S441" s="2">
        <v>0</v>
      </c>
      <c r="T441" s="2">
        <v>1</v>
      </c>
      <c r="U441" s="2">
        <v>1</v>
      </c>
      <c r="V441" s="2">
        <v>0</v>
      </c>
      <c r="W441" s="2">
        <v>26</v>
      </c>
      <c r="X441" s="2">
        <v>0</v>
      </c>
      <c r="Y441" s="2">
        <v>0</v>
      </c>
      <c r="Z441" s="2">
        <v>1</v>
      </c>
      <c r="AA441" s="2">
        <v>1</v>
      </c>
      <c r="AB441" s="2">
        <v>0</v>
      </c>
      <c r="AC441" s="2">
        <v>1</v>
      </c>
      <c r="AD441" s="2">
        <v>0</v>
      </c>
      <c r="AE441" s="2">
        <v>0</v>
      </c>
      <c r="AF441" s="2">
        <v>0</v>
      </c>
    </row>
    <row r="442" spans="1:32" x14ac:dyDescent="0.25">
      <c r="A442">
        <v>441</v>
      </c>
      <c r="B442" s="2">
        <v>3</v>
      </c>
      <c r="C442" s="2">
        <v>12</v>
      </c>
      <c r="D442" s="2">
        <v>2</v>
      </c>
      <c r="E442" s="2">
        <v>1</v>
      </c>
      <c r="F442" s="2">
        <v>0</v>
      </c>
      <c r="G442" s="2">
        <v>0</v>
      </c>
      <c r="H442" s="2">
        <v>0</v>
      </c>
      <c r="I442" s="2">
        <v>0</v>
      </c>
      <c r="J442" s="2">
        <v>0</v>
      </c>
      <c r="K442" s="2">
        <v>1884</v>
      </c>
      <c r="L442" s="2">
        <v>0</v>
      </c>
      <c r="M442" s="2">
        <v>4</v>
      </c>
      <c r="N442" s="2">
        <v>4</v>
      </c>
      <c r="O442" s="2">
        <v>0</v>
      </c>
      <c r="P442" s="2">
        <v>1</v>
      </c>
      <c r="Q442" s="2">
        <v>0</v>
      </c>
      <c r="R442" s="2">
        <v>0</v>
      </c>
      <c r="S442" s="2">
        <v>0</v>
      </c>
      <c r="T442" s="2">
        <v>4</v>
      </c>
      <c r="U442" s="2">
        <v>0</v>
      </c>
      <c r="V442" s="2">
        <v>0</v>
      </c>
      <c r="W442" s="2">
        <v>39</v>
      </c>
      <c r="X442" s="2">
        <v>0</v>
      </c>
      <c r="Y442" s="2">
        <v>0</v>
      </c>
      <c r="Z442" s="2">
        <v>1</v>
      </c>
      <c r="AA442" s="2">
        <v>1</v>
      </c>
      <c r="AB442" s="2">
        <v>3</v>
      </c>
      <c r="AC442" s="2">
        <v>1</v>
      </c>
      <c r="AD442" s="2">
        <v>1</v>
      </c>
      <c r="AE442" s="2">
        <v>0</v>
      </c>
      <c r="AF442" s="2">
        <v>1</v>
      </c>
    </row>
    <row r="443" spans="1:32" x14ac:dyDescent="0.25">
      <c r="A443">
        <v>442</v>
      </c>
      <c r="B443" s="2">
        <v>0</v>
      </c>
      <c r="C443" s="2">
        <v>12</v>
      </c>
      <c r="D443" s="2">
        <v>2</v>
      </c>
      <c r="E443" s="2">
        <v>0</v>
      </c>
      <c r="F443" s="2">
        <v>0</v>
      </c>
      <c r="G443" s="2">
        <v>1</v>
      </c>
      <c r="H443" s="2">
        <v>0</v>
      </c>
      <c r="I443" s="2">
        <v>0</v>
      </c>
      <c r="J443" s="2">
        <v>0</v>
      </c>
      <c r="K443" s="2">
        <v>1620</v>
      </c>
      <c r="L443" s="2">
        <v>0</v>
      </c>
      <c r="M443" s="2">
        <v>2</v>
      </c>
      <c r="N443" s="2">
        <v>2</v>
      </c>
      <c r="O443" s="2">
        <v>0</v>
      </c>
      <c r="P443" s="2">
        <v>0</v>
      </c>
      <c r="Q443" s="2">
        <v>0</v>
      </c>
      <c r="R443" s="2">
        <v>1</v>
      </c>
      <c r="S443" s="2">
        <v>0</v>
      </c>
      <c r="T443" s="2">
        <v>3</v>
      </c>
      <c r="U443" s="2">
        <v>0</v>
      </c>
      <c r="V443" s="2">
        <v>0</v>
      </c>
      <c r="W443" s="2">
        <v>30</v>
      </c>
      <c r="X443" s="2">
        <v>0</v>
      </c>
      <c r="Y443" s="2">
        <v>0</v>
      </c>
      <c r="Z443" s="2">
        <v>1</v>
      </c>
      <c r="AA443" s="2">
        <v>1</v>
      </c>
      <c r="AB443" s="2">
        <v>2</v>
      </c>
      <c r="AC443" s="2">
        <v>1</v>
      </c>
      <c r="AD443" s="2">
        <v>0</v>
      </c>
      <c r="AE443" s="2">
        <v>0</v>
      </c>
      <c r="AF443" s="2">
        <v>1</v>
      </c>
    </row>
    <row r="444" spans="1:32" x14ac:dyDescent="0.25">
      <c r="A444">
        <v>443</v>
      </c>
      <c r="B444" s="2">
        <v>1</v>
      </c>
      <c r="C444" s="2">
        <v>20</v>
      </c>
      <c r="D444" s="2">
        <v>3</v>
      </c>
      <c r="E444" s="2">
        <v>0</v>
      </c>
      <c r="F444" s="2">
        <v>0</v>
      </c>
      <c r="G444" s="2">
        <v>0</v>
      </c>
      <c r="H444" s="2">
        <v>0</v>
      </c>
      <c r="I444" s="2">
        <v>0</v>
      </c>
      <c r="J444" s="2">
        <v>0</v>
      </c>
      <c r="K444" s="2">
        <v>2629</v>
      </c>
      <c r="L444" s="2">
        <v>0</v>
      </c>
      <c r="M444" s="2">
        <v>2</v>
      </c>
      <c r="N444" s="2">
        <v>2</v>
      </c>
      <c r="O444" s="2">
        <v>0</v>
      </c>
      <c r="P444" s="2">
        <v>1</v>
      </c>
      <c r="Q444" s="2">
        <v>0</v>
      </c>
      <c r="R444" s="2">
        <v>0</v>
      </c>
      <c r="S444" s="2">
        <v>0</v>
      </c>
      <c r="T444" s="2">
        <v>3</v>
      </c>
      <c r="U444" s="2">
        <v>0</v>
      </c>
      <c r="V444" s="2">
        <v>0</v>
      </c>
      <c r="W444" s="2">
        <v>29</v>
      </c>
      <c r="X444" s="2">
        <v>1</v>
      </c>
      <c r="Y444" s="2">
        <v>0</v>
      </c>
      <c r="Z444" s="2">
        <v>1</v>
      </c>
      <c r="AA444" s="2">
        <v>2</v>
      </c>
      <c r="AB444" s="2">
        <v>2</v>
      </c>
      <c r="AC444" s="2">
        <v>1</v>
      </c>
      <c r="AD444" s="2">
        <v>1</v>
      </c>
      <c r="AE444" s="2">
        <v>0</v>
      </c>
      <c r="AF444" s="2">
        <v>1</v>
      </c>
    </row>
    <row r="445" spans="1:32" x14ac:dyDescent="0.25">
      <c r="A445">
        <v>444</v>
      </c>
      <c r="B445" s="2">
        <v>3</v>
      </c>
      <c r="C445" s="2">
        <v>12</v>
      </c>
      <c r="D445" s="2">
        <v>2</v>
      </c>
      <c r="E445" s="2">
        <v>0</v>
      </c>
      <c r="F445" s="2">
        <v>0</v>
      </c>
      <c r="G445" s="2">
        <v>0</v>
      </c>
      <c r="H445" s="2">
        <v>0</v>
      </c>
      <c r="I445" s="2">
        <v>1</v>
      </c>
      <c r="J445" s="2">
        <v>0</v>
      </c>
      <c r="K445" s="2">
        <v>719</v>
      </c>
      <c r="L445" s="2">
        <v>0</v>
      </c>
      <c r="M445" s="2">
        <v>4</v>
      </c>
      <c r="N445" s="2">
        <v>4</v>
      </c>
      <c r="O445" s="2">
        <v>0</v>
      </c>
      <c r="P445" s="2">
        <v>1</v>
      </c>
      <c r="Q445" s="2">
        <v>0</v>
      </c>
      <c r="R445" s="2">
        <v>0</v>
      </c>
      <c r="S445" s="2">
        <v>0</v>
      </c>
      <c r="T445" s="2">
        <v>4</v>
      </c>
      <c r="U445" s="2">
        <v>0</v>
      </c>
      <c r="V445" s="2">
        <v>0</v>
      </c>
      <c r="W445" s="2">
        <v>41</v>
      </c>
      <c r="X445" s="2">
        <v>1</v>
      </c>
      <c r="Y445" s="2">
        <v>0</v>
      </c>
      <c r="Z445" s="2">
        <v>1</v>
      </c>
      <c r="AA445" s="2">
        <v>1</v>
      </c>
      <c r="AB445" s="2">
        <v>1</v>
      </c>
      <c r="AC445" s="2">
        <v>2</v>
      </c>
      <c r="AD445" s="2">
        <v>0</v>
      </c>
      <c r="AE445" s="2">
        <v>0</v>
      </c>
      <c r="AF445" s="2">
        <v>0</v>
      </c>
    </row>
    <row r="446" spans="1:32" x14ac:dyDescent="0.25">
      <c r="A446">
        <v>445</v>
      </c>
      <c r="B446" s="2">
        <v>1</v>
      </c>
      <c r="C446" s="2">
        <v>48</v>
      </c>
      <c r="D446" s="2">
        <v>4</v>
      </c>
      <c r="E446" s="2">
        <v>0</v>
      </c>
      <c r="F446" s="2">
        <v>0</v>
      </c>
      <c r="G446" s="2">
        <v>1</v>
      </c>
      <c r="H446" s="2">
        <v>0</v>
      </c>
      <c r="I446" s="2">
        <v>0</v>
      </c>
      <c r="J446" s="2">
        <v>0</v>
      </c>
      <c r="K446" s="2">
        <v>5096</v>
      </c>
      <c r="L446" s="2">
        <v>0</v>
      </c>
      <c r="M446" s="2">
        <v>2</v>
      </c>
      <c r="N446" s="2">
        <v>2</v>
      </c>
      <c r="O446" s="2">
        <v>0</v>
      </c>
      <c r="P446" s="2">
        <v>0</v>
      </c>
      <c r="Q446" s="2">
        <v>0</v>
      </c>
      <c r="R446" s="2">
        <v>0</v>
      </c>
      <c r="S446" s="2">
        <v>0</v>
      </c>
      <c r="T446" s="2">
        <v>3</v>
      </c>
      <c r="U446" s="2">
        <v>0</v>
      </c>
      <c r="V446" s="2">
        <v>0</v>
      </c>
      <c r="W446" s="2">
        <v>30</v>
      </c>
      <c r="X446" s="2">
        <v>0</v>
      </c>
      <c r="Y446" s="2">
        <v>0</v>
      </c>
      <c r="Z446" s="2">
        <v>1</v>
      </c>
      <c r="AA446" s="2">
        <v>1</v>
      </c>
      <c r="AB446" s="2">
        <v>3</v>
      </c>
      <c r="AC446" s="2">
        <v>1</v>
      </c>
      <c r="AD446" s="2">
        <v>1</v>
      </c>
      <c r="AE446" s="2">
        <v>0</v>
      </c>
      <c r="AF446" s="2">
        <v>0</v>
      </c>
    </row>
    <row r="447" spans="1:32" x14ac:dyDescent="0.25">
      <c r="A447">
        <v>446</v>
      </c>
      <c r="B447" s="2">
        <v>3</v>
      </c>
      <c r="C447" s="2">
        <v>9</v>
      </c>
      <c r="D447" s="2">
        <v>4</v>
      </c>
      <c r="E447" s="2">
        <v>0</v>
      </c>
      <c r="F447" s="2">
        <v>0</v>
      </c>
      <c r="G447" s="2">
        <v>0</v>
      </c>
      <c r="H447" s="2">
        <v>0</v>
      </c>
      <c r="I447" s="2">
        <v>1</v>
      </c>
      <c r="J447" s="2">
        <v>0</v>
      </c>
      <c r="K447" s="2">
        <v>1244</v>
      </c>
      <c r="L447" s="2">
        <v>4</v>
      </c>
      <c r="M447" s="2">
        <v>4</v>
      </c>
      <c r="N447" s="2">
        <v>4</v>
      </c>
      <c r="O447" s="2">
        <v>0</v>
      </c>
      <c r="P447" s="2">
        <v>0</v>
      </c>
      <c r="Q447" s="2">
        <v>0</v>
      </c>
      <c r="R447" s="2">
        <v>0</v>
      </c>
      <c r="S447" s="2">
        <v>0</v>
      </c>
      <c r="T447" s="2">
        <v>4</v>
      </c>
      <c r="U447" s="2">
        <v>0</v>
      </c>
      <c r="V447" s="2">
        <v>0</v>
      </c>
      <c r="W447" s="2">
        <v>41</v>
      </c>
      <c r="X447" s="2">
        <v>0</v>
      </c>
      <c r="Y447" s="2">
        <v>1</v>
      </c>
      <c r="Z447" s="2">
        <v>0</v>
      </c>
      <c r="AA447" s="2">
        <v>2</v>
      </c>
      <c r="AB447" s="2">
        <v>1</v>
      </c>
      <c r="AC447" s="2">
        <v>1</v>
      </c>
      <c r="AD447" s="2">
        <v>0</v>
      </c>
      <c r="AE447" s="2">
        <v>0</v>
      </c>
      <c r="AF447" s="2">
        <v>1</v>
      </c>
    </row>
    <row r="448" spans="1:32" x14ac:dyDescent="0.25">
      <c r="A448">
        <v>447</v>
      </c>
      <c r="B448" s="2">
        <v>0</v>
      </c>
      <c r="C448" s="2">
        <v>36</v>
      </c>
      <c r="D448" s="2">
        <v>2</v>
      </c>
      <c r="E448" s="2">
        <v>1</v>
      </c>
      <c r="F448" s="2">
        <v>0</v>
      </c>
      <c r="G448" s="2">
        <v>0</v>
      </c>
      <c r="H448" s="2">
        <v>0</v>
      </c>
      <c r="I448" s="2">
        <v>0</v>
      </c>
      <c r="J448" s="2">
        <v>0</v>
      </c>
      <c r="K448" s="2">
        <v>1842</v>
      </c>
      <c r="L448" s="2">
        <v>0</v>
      </c>
      <c r="M448" s="2">
        <v>1</v>
      </c>
      <c r="N448" s="2">
        <v>4</v>
      </c>
      <c r="O448" s="2">
        <v>0</v>
      </c>
      <c r="P448" s="2">
        <v>0</v>
      </c>
      <c r="Q448" s="2">
        <v>0</v>
      </c>
      <c r="R448" s="2">
        <v>0</v>
      </c>
      <c r="S448" s="2">
        <v>0</v>
      </c>
      <c r="T448" s="2">
        <v>4</v>
      </c>
      <c r="U448" s="2">
        <v>0</v>
      </c>
      <c r="V448" s="2">
        <v>0</v>
      </c>
      <c r="W448" s="2">
        <v>34</v>
      </c>
      <c r="X448" s="2">
        <v>0</v>
      </c>
      <c r="Y448" s="2">
        <v>0</v>
      </c>
      <c r="Z448" s="2">
        <v>1</v>
      </c>
      <c r="AA448" s="2">
        <v>1</v>
      </c>
      <c r="AB448" s="2">
        <v>2</v>
      </c>
      <c r="AC448" s="2">
        <v>1</v>
      </c>
      <c r="AD448" s="2">
        <v>1</v>
      </c>
      <c r="AE448" s="2">
        <v>0</v>
      </c>
      <c r="AF448" s="2">
        <v>0</v>
      </c>
    </row>
    <row r="449" spans="1:32" x14ac:dyDescent="0.25">
      <c r="A449">
        <v>448</v>
      </c>
      <c r="B449" s="2">
        <v>1</v>
      </c>
      <c r="C449" s="2">
        <v>7</v>
      </c>
      <c r="D449" s="2">
        <v>2</v>
      </c>
      <c r="E449" s="2">
        <v>0</v>
      </c>
      <c r="F449" s="2">
        <v>0</v>
      </c>
      <c r="G449" s="2">
        <v>0</v>
      </c>
      <c r="H449" s="2">
        <v>1</v>
      </c>
      <c r="I449" s="2">
        <v>0</v>
      </c>
      <c r="J449" s="2">
        <v>0</v>
      </c>
      <c r="K449" s="2">
        <v>2576</v>
      </c>
      <c r="L449" s="2">
        <v>0</v>
      </c>
      <c r="M449" s="2">
        <v>2</v>
      </c>
      <c r="N449" s="2">
        <v>2</v>
      </c>
      <c r="O449" s="2">
        <v>0</v>
      </c>
      <c r="P449" s="2">
        <v>1</v>
      </c>
      <c r="Q449" s="2">
        <v>0</v>
      </c>
      <c r="R449" s="2">
        <v>0</v>
      </c>
      <c r="S449" s="2">
        <v>1</v>
      </c>
      <c r="T449" s="2">
        <v>2</v>
      </c>
      <c r="U449" s="2">
        <v>1</v>
      </c>
      <c r="V449" s="2">
        <v>0</v>
      </c>
      <c r="W449" s="2">
        <v>35</v>
      </c>
      <c r="X449" s="2">
        <v>0</v>
      </c>
      <c r="Y449" s="2">
        <v>0</v>
      </c>
      <c r="Z449" s="2">
        <v>1</v>
      </c>
      <c r="AA449" s="2">
        <v>1</v>
      </c>
      <c r="AB449" s="2">
        <v>2</v>
      </c>
      <c r="AC449" s="2">
        <v>1</v>
      </c>
      <c r="AD449" s="2">
        <v>0</v>
      </c>
      <c r="AE449" s="2">
        <v>0</v>
      </c>
      <c r="AF449" s="2">
        <v>1</v>
      </c>
    </row>
    <row r="450" spans="1:32" x14ac:dyDescent="0.25">
      <c r="A450">
        <v>449</v>
      </c>
      <c r="B450" s="2">
        <v>2</v>
      </c>
      <c r="C450" s="2">
        <v>12</v>
      </c>
      <c r="D450" s="2">
        <v>2</v>
      </c>
      <c r="E450" s="2">
        <v>0</v>
      </c>
      <c r="F450" s="2">
        <v>0</v>
      </c>
      <c r="G450" s="2">
        <v>1</v>
      </c>
      <c r="H450" s="2">
        <v>0</v>
      </c>
      <c r="I450" s="2">
        <v>0</v>
      </c>
      <c r="J450" s="2">
        <v>0</v>
      </c>
      <c r="K450" s="2">
        <v>1424</v>
      </c>
      <c r="L450" s="2">
        <v>4</v>
      </c>
      <c r="M450" s="2">
        <v>4</v>
      </c>
      <c r="N450" s="2">
        <v>3</v>
      </c>
      <c r="O450" s="2">
        <v>0</v>
      </c>
      <c r="P450" s="2">
        <v>0</v>
      </c>
      <c r="Q450" s="2">
        <v>0</v>
      </c>
      <c r="R450" s="2">
        <v>0</v>
      </c>
      <c r="S450" s="2">
        <v>0</v>
      </c>
      <c r="T450" s="2">
        <v>4</v>
      </c>
      <c r="U450" s="2">
        <v>1</v>
      </c>
      <c r="V450" s="2">
        <v>0</v>
      </c>
      <c r="W450" s="2">
        <v>55</v>
      </c>
      <c r="X450" s="2">
        <v>0</v>
      </c>
      <c r="Y450" s="2">
        <v>0</v>
      </c>
      <c r="Z450" s="2">
        <v>1</v>
      </c>
      <c r="AA450" s="2">
        <v>1</v>
      </c>
      <c r="AB450" s="2">
        <v>3</v>
      </c>
      <c r="AC450" s="2">
        <v>1</v>
      </c>
      <c r="AD450" s="2">
        <v>1</v>
      </c>
      <c r="AE450" s="2">
        <v>0</v>
      </c>
      <c r="AF450" s="2">
        <v>1</v>
      </c>
    </row>
    <row r="451" spans="1:32" x14ac:dyDescent="0.25">
      <c r="A451">
        <v>450</v>
      </c>
      <c r="B451" s="2">
        <v>1</v>
      </c>
      <c r="C451" s="2">
        <v>15</v>
      </c>
      <c r="D451" s="2">
        <v>3</v>
      </c>
      <c r="E451" s="2">
        <v>0</v>
      </c>
      <c r="F451" s="2">
        <v>0</v>
      </c>
      <c r="G451" s="2">
        <v>0</v>
      </c>
      <c r="H451" s="2">
        <v>0</v>
      </c>
      <c r="I451" s="2">
        <v>0</v>
      </c>
      <c r="J451" s="2">
        <v>0</v>
      </c>
      <c r="K451" s="2">
        <v>1512</v>
      </c>
      <c r="L451" s="2">
        <v>3</v>
      </c>
      <c r="M451" s="2">
        <v>2</v>
      </c>
      <c r="N451" s="2">
        <v>3</v>
      </c>
      <c r="O451" s="2">
        <v>0</v>
      </c>
      <c r="P451" s="2">
        <v>0</v>
      </c>
      <c r="Q451" s="2">
        <v>1</v>
      </c>
      <c r="R451" s="2">
        <v>0</v>
      </c>
      <c r="S451" s="2">
        <v>0</v>
      </c>
      <c r="T451" s="2">
        <v>3</v>
      </c>
      <c r="U451" s="2">
        <v>0</v>
      </c>
      <c r="V451" s="2">
        <v>0</v>
      </c>
      <c r="W451" s="2">
        <v>61</v>
      </c>
      <c r="X451" s="2">
        <v>1</v>
      </c>
      <c r="Y451" s="2">
        <v>0</v>
      </c>
      <c r="Z451" s="2">
        <v>1</v>
      </c>
      <c r="AA451" s="2">
        <v>2</v>
      </c>
      <c r="AB451" s="2">
        <v>2</v>
      </c>
      <c r="AC451" s="2">
        <v>1</v>
      </c>
      <c r="AD451" s="2">
        <v>0</v>
      </c>
      <c r="AE451" s="2">
        <v>0</v>
      </c>
      <c r="AF451" s="2">
        <v>0</v>
      </c>
    </row>
    <row r="452" spans="1:32" x14ac:dyDescent="0.25">
      <c r="A452">
        <v>451</v>
      </c>
      <c r="B452" s="2">
        <v>3</v>
      </c>
      <c r="C452" s="2">
        <v>36</v>
      </c>
      <c r="D452" s="2">
        <v>4</v>
      </c>
      <c r="E452" s="2">
        <v>0</v>
      </c>
      <c r="F452" s="2">
        <v>1</v>
      </c>
      <c r="G452" s="2">
        <v>0</v>
      </c>
      <c r="H452" s="2">
        <v>0</v>
      </c>
      <c r="I452" s="2">
        <v>0</v>
      </c>
      <c r="J452" s="2">
        <v>0</v>
      </c>
      <c r="K452" s="2">
        <v>11054</v>
      </c>
      <c r="L452" s="2">
        <v>4</v>
      </c>
      <c r="M452" s="2">
        <v>2</v>
      </c>
      <c r="N452" s="2">
        <v>4</v>
      </c>
      <c r="O452" s="2">
        <v>0</v>
      </c>
      <c r="P452" s="2">
        <v>1</v>
      </c>
      <c r="Q452" s="2">
        <v>0</v>
      </c>
      <c r="R452" s="2">
        <v>0</v>
      </c>
      <c r="S452" s="2">
        <v>0</v>
      </c>
      <c r="T452" s="2">
        <v>2</v>
      </c>
      <c r="U452" s="2">
        <v>0</v>
      </c>
      <c r="V452" s="2">
        <v>0</v>
      </c>
      <c r="W452" s="2">
        <v>30</v>
      </c>
      <c r="X452" s="2">
        <v>0</v>
      </c>
      <c r="Y452" s="2">
        <v>0</v>
      </c>
      <c r="Z452" s="2">
        <v>1</v>
      </c>
      <c r="AA452" s="2">
        <v>1</v>
      </c>
      <c r="AB452" s="2">
        <v>3</v>
      </c>
      <c r="AC452" s="2">
        <v>1</v>
      </c>
      <c r="AD452" s="2">
        <v>1</v>
      </c>
      <c r="AE452" s="2">
        <v>0</v>
      </c>
      <c r="AF452" s="2">
        <v>1</v>
      </c>
    </row>
    <row r="453" spans="1:32" x14ac:dyDescent="0.25">
      <c r="A453">
        <v>452</v>
      </c>
      <c r="B453" s="2">
        <v>3</v>
      </c>
      <c r="C453" s="2">
        <v>6</v>
      </c>
      <c r="D453" s="2">
        <v>2</v>
      </c>
      <c r="E453" s="2">
        <v>0</v>
      </c>
      <c r="F453" s="2">
        <v>0</v>
      </c>
      <c r="G453" s="2">
        <v>0</v>
      </c>
      <c r="H453" s="2">
        <v>1</v>
      </c>
      <c r="I453" s="2">
        <v>0</v>
      </c>
      <c r="J453" s="2">
        <v>0</v>
      </c>
      <c r="K453" s="2">
        <v>518</v>
      </c>
      <c r="L453" s="2">
        <v>0</v>
      </c>
      <c r="M453" s="2">
        <v>2</v>
      </c>
      <c r="N453" s="2">
        <v>3</v>
      </c>
      <c r="O453" s="2">
        <v>0</v>
      </c>
      <c r="P453" s="2">
        <v>0</v>
      </c>
      <c r="Q453" s="2">
        <v>0</v>
      </c>
      <c r="R453" s="2">
        <v>0</v>
      </c>
      <c r="S453" s="2">
        <v>0</v>
      </c>
      <c r="T453" s="2">
        <v>1</v>
      </c>
      <c r="U453" s="2">
        <v>1</v>
      </c>
      <c r="V453" s="2">
        <v>0</v>
      </c>
      <c r="W453" s="2">
        <v>29</v>
      </c>
      <c r="X453" s="2">
        <v>0</v>
      </c>
      <c r="Y453" s="2">
        <v>0</v>
      </c>
      <c r="Z453" s="2">
        <v>1</v>
      </c>
      <c r="AA453" s="2">
        <v>1</v>
      </c>
      <c r="AB453" s="2">
        <v>2</v>
      </c>
      <c r="AC453" s="2">
        <v>1</v>
      </c>
      <c r="AD453" s="2">
        <v>0</v>
      </c>
      <c r="AE453" s="2">
        <v>0</v>
      </c>
      <c r="AF453" s="2">
        <v>1</v>
      </c>
    </row>
    <row r="454" spans="1:32" x14ac:dyDescent="0.25">
      <c r="A454">
        <v>453</v>
      </c>
      <c r="B454" s="2">
        <v>3</v>
      </c>
      <c r="C454" s="2">
        <v>12</v>
      </c>
      <c r="D454" s="2">
        <v>0</v>
      </c>
      <c r="E454" s="2">
        <v>0</v>
      </c>
      <c r="F454" s="2">
        <v>0</v>
      </c>
      <c r="G454" s="2">
        <v>1</v>
      </c>
      <c r="H454" s="2">
        <v>0</v>
      </c>
      <c r="I454" s="2">
        <v>0</v>
      </c>
      <c r="J454" s="2">
        <v>0</v>
      </c>
      <c r="K454" s="2">
        <v>2759</v>
      </c>
      <c r="L454" s="2">
        <v>0</v>
      </c>
      <c r="M454" s="2">
        <v>4</v>
      </c>
      <c r="N454" s="2">
        <v>2</v>
      </c>
      <c r="O454" s="2">
        <v>0</v>
      </c>
      <c r="P454" s="2">
        <v>1</v>
      </c>
      <c r="Q454" s="2">
        <v>0</v>
      </c>
      <c r="R454" s="2">
        <v>0</v>
      </c>
      <c r="S454" s="2">
        <v>0</v>
      </c>
      <c r="T454" s="2">
        <v>4</v>
      </c>
      <c r="U454" s="2">
        <v>0</v>
      </c>
      <c r="V454" s="2">
        <v>0</v>
      </c>
      <c r="W454" s="2">
        <v>34</v>
      </c>
      <c r="X454" s="2">
        <v>0</v>
      </c>
      <c r="Y454" s="2">
        <v>0</v>
      </c>
      <c r="Z454" s="2">
        <v>1</v>
      </c>
      <c r="AA454" s="2">
        <v>2</v>
      </c>
      <c r="AB454" s="2">
        <v>2</v>
      </c>
      <c r="AC454" s="2">
        <v>1</v>
      </c>
      <c r="AD454" s="2">
        <v>0</v>
      </c>
      <c r="AE454" s="2">
        <v>0</v>
      </c>
      <c r="AF454" s="2">
        <v>1</v>
      </c>
    </row>
    <row r="455" spans="1:32" x14ac:dyDescent="0.25">
      <c r="A455">
        <v>454</v>
      </c>
      <c r="B455" s="2">
        <v>3</v>
      </c>
      <c r="C455" s="2">
        <v>24</v>
      </c>
      <c r="D455" s="2">
        <v>2</v>
      </c>
      <c r="E455" s="2">
        <v>0</v>
      </c>
      <c r="F455" s="2">
        <v>1</v>
      </c>
      <c r="G455" s="2">
        <v>0</v>
      </c>
      <c r="H455" s="2">
        <v>0</v>
      </c>
      <c r="I455" s="2">
        <v>0</v>
      </c>
      <c r="J455" s="2">
        <v>0</v>
      </c>
      <c r="K455" s="2">
        <v>2670</v>
      </c>
      <c r="L455" s="2">
        <v>0</v>
      </c>
      <c r="M455" s="2">
        <v>4</v>
      </c>
      <c r="N455" s="2">
        <v>4</v>
      </c>
      <c r="O455" s="2">
        <v>0</v>
      </c>
      <c r="P455" s="2">
        <v>1</v>
      </c>
      <c r="Q455" s="2">
        <v>0</v>
      </c>
      <c r="R455" s="2">
        <v>0</v>
      </c>
      <c r="S455" s="2">
        <v>0</v>
      </c>
      <c r="T455" s="2">
        <v>4</v>
      </c>
      <c r="U455" s="2">
        <v>0</v>
      </c>
      <c r="V455" s="2">
        <v>0</v>
      </c>
      <c r="W455" s="2">
        <v>35</v>
      </c>
      <c r="X455" s="2">
        <v>0</v>
      </c>
      <c r="Y455" s="2">
        <v>0</v>
      </c>
      <c r="Z455" s="2">
        <v>1</v>
      </c>
      <c r="AA455" s="2">
        <v>1</v>
      </c>
      <c r="AB455" s="2">
        <v>3</v>
      </c>
      <c r="AC455" s="2">
        <v>1</v>
      </c>
      <c r="AD455" s="2">
        <v>1</v>
      </c>
      <c r="AE455" s="2">
        <v>0</v>
      </c>
      <c r="AF455" s="2">
        <v>1</v>
      </c>
    </row>
    <row r="456" spans="1:32" x14ac:dyDescent="0.25">
      <c r="A456">
        <v>455</v>
      </c>
      <c r="B456" s="2">
        <v>0</v>
      </c>
      <c r="C456" s="2">
        <v>24</v>
      </c>
      <c r="D456" s="2">
        <v>2</v>
      </c>
      <c r="E456" s="2">
        <v>1</v>
      </c>
      <c r="F456" s="2">
        <v>0</v>
      </c>
      <c r="G456" s="2">
        <v>0</v>
      </c>
      <c r="H456" s="2">
        <v>0</v>
      </c>
      <c r="I456" s="2">
        <v>0</v>
      </c>
      <c r="J456" s="2">
        <v>0</v>
      </c>
      <c r="K456" s="2">
        <v>4817</v>
      </c>
      <c r="L456" s="2">
        <v>0</v>
      </c>
      <c r="M456" s="2">
        <v>3</v>
      </c>
      <c r="N456" s="2">
        <v>2</v>
      </c>
      <c r="O456" s="2">
        <v>0</v>
      </c>
      <c r="P456" s="2">
        <v>1</v>
      </c>
      <c r="Q456" s="2">
        <v>0</v>
      </c>
      <c r="R456" s="2">
        <v>1</v>
      </c>
      <c r="S456" s="2">
        <v>0</v>
      </c>
      <c r="T456" s="2">
        <v>3</v>
      </c>
      <c r="U456" s="2">
        <v>0</v>
      </c>
      <c r="V456" s="2">
        <v>0</v>
      </c>
      <c r="W456" s="2">
        <v>31</v>
      </c>
      <c r="X456" s="2">
        <v>0</v>
      </c>
      <c r="Y456" s="2">
        <v>0</v>
      </c>
      <c r="Z456" s="2">
        <v>1</v>
      </c>
      <c r="AA456" s="2">
        <v>1</v>
      </c>
      <c r="AB456" s="2">
        <v>2</v>
      </c>
      <c r="AC456" s="2">
        <v>1</v>
      </c>
      <c r="AD456" s="2">
        <v>1</v>
      </c>
      <c r="AE456" s="2">
        <v>0</v>
      </c>
      <c r="AF456" s="2">
        <v>0</v>
      </c>
    </row>
    <row r="457" spans="1:32" x14ac:dyDescent="0.25">
      <c r="A457">
        <v>456</v>
      </c>
      <c r="B457" s="2">
        <v>3</v>
      </c>
      <c r="C457" s="2">
        <v>24</v>
      </c>
      <c r="D457" s="2">
        <v>2</v>
      </c>
      <c r="E457" s="2">
        <v>0</v>
      </c>
      <c r="F457" s="2">
        <v>1</v>
      </c>
      <c r="G457" s="2">
        <v>0</v>
      </c>
      <c r="H457" s="2">
        <v>0</v>
      </c>
      <c r="I457" s="2">
        <v>0</v>
      </c>
      <c r="J457" s="2">
        <v>0</v>
      </c>
      <c r="K457" s="2">
        <v>2679</v>
      </c>
      <c r="L457" s="2">
        <v>0</v>
      </c>
      <c r="M457" s="2">
        <v>1</v>
      </c>
      <c r="N457" s="2">
        <v>4</v>
      </c>
      <c r="O457" s="2">
        <v>0</v>
      </c>
      <c r="P457" s="2">
        <v>0</v>
      </c>
      <c r="Q457" s="2">
        <v>0</v>
      </c>
      <c r="R457" s="2">
        <v>0</v>
      </c>
      <c r="S457" s="2">
        <v>0</v>
      </c>
      <c r="T457" s="2">
        <v>1</v>
      </c>
      <c r="U457" s="2">
        <v>0</v>
      </c>
      <c r="V457" s="2">
        <v>1</v>
      </c>
      <c r="W457" s="2">
        <v>29</v>
      </c>
      <c r="X457" s="2">
        <v>0</v>
      </c>
      <c r="Y457" s="2">
        <v>0</v>
      </c>
      <c r="Z457" s="2">
        <v>1</v>
      </c>
      <c r="AA457" s="2">
        <v>1</v>
      </c>
      <c r="AB457" s="2">
        <v>3</v>
      </c>
      <c r="AC457" s="2">
        <v>1</v>
      </c>
      <c r="AD457" s="2">
        <v>1</v>
      </c>
      <c r="AE457" s="2">
        <v>0</v>
      </c>
      <c r="AF457" s="2">
        <v>1</v>
      </c>
    </row>
    <row r="458" spans="1:32" x14ac:dyDescent="0.25">
      <c r="A458">
        <v>457</v>
      </c>
      <c r="B458" s="2">
        <v>0</v>
      </c>
      <c r="C458" s="2">
        <v>11</v>
      </c>
      <c r="D458" s="2">
        <v>4</v>
      </c>
      <c r="E458" s="2">
        <v>1</v>
      </c>
      <c r="F458" s="2">
        <v>0</v>
      </c>
      <c r="G458" s="2">
        <v>0</v>
      </c>
      <c r="H458" s="2">
        <v>0</v>
      </c>
      <c r="I458" s="2">
        <v>0</v>
      </c>
      <c r="J458" s="2">
        <v>0</v>
      </c>
      <c r="K458" s="2">
        <v>3905</v>
      </c>
      <c r="L458" s="2">
        <v>0</v>
      </c>
      <c r="M458" s="2">
        <v>2</v>
      </c>
      <c r="N458" s="2">
        <v>2</v>
      </c>
      <c r="O458" s="2">
        <v>0</v>
      </c>
      <c r="P458" s="2">
        <v>1</v>
      </c>
      <c r="Q458" s="2">
        <v>0</v>
      </c>
      <c r="R458" s="2">
        <v>0</v>
      </c>
      <c r="S458" s="2">
        <v>0</v>
      </c>
      <c r="T458" s="2">
        <v>2</v>
      </c>
      <c r="U458" s="2">
        <v>1</v>
      </c>
      <c r="V458" s="2">
        <v>0</v>
      </c>
      <c r="W458" s="2">
        <v>36</v>
      </c>
      <c r="X458" s="2">
        <v>0</v>
      </c>
      <c r="Y458" s="2">
        <v>1</v>
      </c>
      <c r="Z458" s="2">
        <v>0</v>
      </c>
      <c r="AA458" s="2">
        <v>2</v>
      </c>
      <c r="AB458" s="2">
        <v>2</v>
      </c>
      <c r="AC458" s="2">
        <v>2</v>
      </c>
      <c r="AD458" s="2">
        <v>0</v>
      </c>
      <c r="AE458" s="2">
        <v>0</v>
      </c>
      <c r="AF458" s="2">
        <v>1</v>
      </c>
    </row>
    <row r="459" spans="1:32" x14ac:dyDescent="0.25">
      <c r="A459">
        <v>458</v>
      </c>
      <c r="B459" s="2">
        <v>0</v>
      </c>
      <c r="C459" s="2">
        <v>12</v>
      </c>
      <c r="D459" s="2">
        <v>2</v>
      </c>
      <c r="E459" s="2">
        <v>0</v>
      </c>
      <c r="F459" s="2">
        <v>1</v>
      </c>
      <c r="G459" s="2">
        <v>0</v>
      </c>
      <c r="H459" s="2">
        <v>0</v>
      </c>
      <c r="I459" s="2">
        <v>0</v>
      </c>
      <c r="J459" s="2">
        <v>0</v>
      </c>
      <c r="K459" s="2">
        <v>3386</v>
      </c>
      <c r="L459" s="2">
        <v>0</v>
      </c>
      <c r="M459" s="2">
        <v>4</v>
      </c>
      <c r="N459" s="2">
        <v>3</v>
      </c>
      <c r="O459" s="2">
        <v>0</v>
      </c>
      <c r="P459" s="2">
        <v>1</v>
      </c>
      <c r="Q459" s="2">
        <v>0</v>
      </c>
      <c r="R459" s="2">
        <v>0</v>
      </c>
      <c r="S459" s="2">
        <v>0</v>
      </c>
      <c r="T459" s="2">
        <v>4</v>
      </c>
      <c r="U459" s="2">
        <v>0</v>
      </c>
      <c r="V459" s="2">
        <v>1</v>
      </c>
      <c r="W459" s="2">
        <v>35</v>
      </c>
      <c r="X459" s="2">
        <v>0</v>
      </c>
      <c r="Y459" s="2">
        <v>0</v>
      </c>
      <c r="Z459" s="2">
        <v>0</v>
      </c>
      <c r="AA459" s="2">
        <v>1</v>
      </c>
      <c r="AB459" s="2">
        <v>2</v>
      </c>
      <c r="AC459" s="2">
        <v>1</v>
      </c>
      <c r="AD459" s="2">
        <v>1</v>
      </c>
      <c r="AE459" s="2">
        <v>0</v>
      </c>
      <c r="AF459" s="2">
        <v>0</v>
      </c>
    </row>
    <row r="460" spans="1:32" x14ac:dyDescent="0.25">
      <c r="A460">
        <v>459</v>
      </c>
      <c r="B460" s="2">
        <v>0</v>
      </c>
      <c r="C460" s="2">
        <v>6</v>
      </c>
      <c r="D460" s="2">
        <v>2</v>
      </c>
      <c r="E460" s="2">
        <v>0</v>
      </c>
      <c r="F460" s="2">
        <v>0</v>
      </c>
      <c r="G460" s="2">
        <v>0</v>
      </c>
      <c r="H460" s="2">
        <v>0</v>
      </c>
      <c r="I460" s="2">
        <v>0</v>
      </c>
      <c r="J460" s="2">
        <v>0</v>
      </c>
      <c r="K460" s="2">
        <v>343</v>
      </c>
      <c r="L460" s="2">
        <v>0</v>
      </c>
      <c r="M460" s="2">
        <v>1</v>
      </c>
      <c r="N460" s="2">
        <v>4</v>
      </c>
      <c r="O460" s="2">
        <v>0</v>
      </c>
      <c r="P460" s="2">
        <v>0</v>
      </c>
      <c r="Q460" s="2">
        <v>0</v>
      </c>
      <c r="R460" s="2">
        <v>0</v>
      </c>
      <c r="S460" s="2">
        <v>0</v>
      </c>
      <c r="T460" s="2">
        <v>1</v>
      </c>
      <c r="U460" s="2">
        <v>1</v>
      </c>
      <c r="V460" s="2">
        <v>0</v>
      </c>
      <c r="W460" s="2">
        <v>27</v>
      </c>
      <c r="X460" s="2">
        <v>0</v>
      </c>
      <c r="Y460" s="2">
        <v>0</v>
      </c>
      <c r="Z460" s="2">
        <v>1</v>
      </c>
      <c r="AA460" s="2">
        <v>1</v>
      </c>
      <c r="AB460" s="2">
        <v>2</v>
      </c>
      <c r="AC460" s="2">
        <v>1</v>
      </c>
      <c r="AD460" s="2">
        <v>0</v>
      </c>
      <c r="AE460" s="2">
        <v>0</v>
      </c>
      <c r="AF460" s="2">
        <v>1</v>
      </c>
    </row>
    <row r="461" spans="1:32" x14ac:dyDescent="0.25">
      <c r="A461">
        <v>460</v>
      </c>
      <c r="B461" s="2">
        <v>3</v>
      </c>
      <c r="C461" s="2">
        <v>18</v>
      </c>
      <c r="D461" s="2">
        <v>2</v>
      </c>
      <c r="E461" s="2">
        <v>0</v>
      </c>
      <c r="F461" s="2">
        <v>0</v>
      </c>
      <c r="G461" s="2">
        <v>0</v>
      </c>
      <c r="H461" s="2">
        <v>1</v>
      </c>
      <c r="I461" s="2">
        <v>0</v>
      </c>
      <c r="J461" s="2">
        <v>0</v>
      </c>
      <c r="K461" s="2">
        <v>4594</v>
      </c>
      <c r="L461" s="2">
        <v>0</v>
      </c>
      <c r="M461" s="2">
        <v>1</v>
      </c>
      <c r="N461" s="2">
        <v>3</v>
      </c>
      <c r="O461" s="2">
        <v>0</v>
      </c>
      <c r="P461" s="2">
        <v>1</v>
      </c>
      <c r="Q461" s="2">
        <v>0</v>
      </c>
      <c r="R461" s="2">
        <v>0</v>
      </c>
      <c r="S461" s="2">
        <v>0</v>
      </c>
      <c r="T461" s="2">
        <v>2</v>
      </c>
      <c r="U461" s="2">
        <v>0</v>
      </c>
      <c r="V461" s="2">
        <v>0</v>
      </c>
      <c r="W461" s="2">
        <v>32</v>
      </c>
      <c r="X461" s="2">
        <v>0</v>
      </c>
      <c r="Y461" s="2">
        <v>0</v>
      </c>
      <c r="Z461" s="2">
        <v>1</v>
      </c>
      <c r="AA461" s="2">
        <v>1</v>
      </c>
      <c r="AB461" s="2">
        <v>2</v>
      </c>
      <c r="AC461" s="2">
        <v>1</v>
      </c>
      <c r="AD461" s="2">
        <v>1</v>
      </c>
      <c r="AE461" s="2">
        <v>0</v>
      </c>
      <c r="AF461" s="2">
        <v>1</v>
      </c>
    </row>
    <row r="462" spans="1:32" x14ac:dyDescent="0.25">
      <c r="A462">
        <v>461</v>
      </c>
      <c r="B462" s="2">
        <v>0</v>
      </c>
      <c r="C462" s="2">
        <v>36</v>
      </c>
      <c r="D462" s="2">
        <v>2</v>
      </c>
      <c r="E462" s="2">
        <v>0</v>
      </c>
      <c r="F462" s="2">
        <v>0</v>
      </c>
      <c r="G462" s="2">
        <v>1</v>
      </c>
      <c r="H462" s="2">
        <v>0</v>
      </c>
      <c r="I462" s="2">
        <v>0</v>
      </c>
      <c r="J462" s="2">
        <v>0</v>
      </c>
      <c r="K462" s="2">
        <v>3620</v>
      </c>
      <c r="L462" s="2">
        <v>0</v>
      </c>
      <c r="M462" s="2">
        <v>2</v>
      </c>
      <c r="N462" s="2">
        <v>1</v>
      </c>
      <c r="O462" s="2">
        <v>0</v>
      </c>
      <c r="P462" s="2">
        <v>1</v>
      </c>
      <c r="Q462" s="2">
        <v>0</v>
      </c>
      <c r="R462" s="2">
        <v>0</v>
      </c>
      <c r="S462" s="2">
        <v>1</v>
      </c>
      <c r="T462" s="2">
        <v>2</v>
      </c>
      <c r="U462" s="2">
        <v>0</v>
      </c>
      <c r="V462" s="2">
        <v>0</v>
      </c>
      <c r="W462" s="2">
        <v>37</v>
      </c>
      <c r="X462" s="2">
        <v>0</v>
      </c>
      <c r="Y462" s="2">
        <v>0</v>
      </c>
      <c r="Z462" s="2">
        <v>1</v>
      </c>
      <c r="AA462" s="2">
        <v>1</v>
      </c>
      <c r="AB462" s="2">
        <v>2</v>
      </c>
      <c r="AC462" s="2">
        <v>2</v>
      </c>
      <c r="AD462" s="2">
        <v>0</v>
      </c>
      <c r="AE462" s="2">
        <v>0</v>
      </c>
      <c r="AF462" s="2">
        <v>1</v>
      </c>
    </row>
    <row r="463" spans="1:32" x14ac:dyDescent="0.25">
      <c r="A463">
        <v>462</v>
      </c>
      <c r="B463" s="2">
        <v>0</v>
      </c>
      <c r="C463" s="2">
        <v>15</v>
      </c>
      <c r="D463" s="2">
        <v>2</v>
      </c>
      <c r="E463" s="2">
        <v>1</v>
      </c>
      <c r="F463" s="2">
        <v>0</v>
      </c>
      <c r="G463" s="2">
        <v>0</v>
      </c>
      <c r="H463" s="2">
        <v>0</v>
      </c>
      <c r="I463" s="2">
        <v>0</v>
      </c>
      <c r="J463" s="2">
        <v>0</v>
      </c>
      <c r="K463" s="2">
        <v>1721</v>
      </c>
      <c r="L463" s="2">
        <v>0</v>
      </c>
      <c r="M463" s="2">
        <v>1</v>
      </c>
      <c r="N463" s="2">
        <v>2</v>
      </c>
      <c r="O463" s="2">
        <v>0</v>
      </c>
      <c r="P463" s="2">
        <v>1</v>
      </c>
      <c r="Q463" s="2">
        <v>0</v>
      </c>
      <c r="R463" s="2">
        <v>0</v>
      </c>
      <c r="S463" s="2">
        <v>0</v>
      </c>
      <c r="T463" s="2">
        <v>3</v>
      </c>
      <c r="U463" s="2">
        <v>1</v>
      </c>
      <c r="V463" s="2">
        <v>0</v>
      </c>
      <c r="W463" s="2">
        <v>36</v>
      </c>
      <c r="X463" s="2">
        <v>0</v>
      </c>
      <c r="Y463" s="2">
        <v>0</v>
      </c>
      <c r="Z463" s="2">
        <v>1</v>
      </c>
      <c r="AA463" s="2">
        <v>1</v>
      </c>
      <c r="AB463" s="2">
        <v>2</v>
      </c>
      <c r="AC463" s="2">
        <v>1</v>
      </c>
      <c r="AD463" s="2">
        <v>0</v>
      </c>
      <c r="AE463" s="2">
        <v>0</v>
      </c>
      <c r="AF463" s="2">
        <v>1</v>
      </c>
    </row>
    <row r="464" spans="1:32" x14ac:dyDescent="0.25">
      <c r="A464">
        <v>463</v>
      </c>
      <c r="B464" s="2">
        <v>1</v>
      </c>
      <c r="C464" s="2">
        <v>12</v>
      </c>
      <c r="D464" s="2">
        <v>2</v>
      </c>
      <c r="E464" s="2">
        <v>0</v>
      </c>
      <c r="F464" s="2">
        <v>0</v>
      </c>
      <c r="G464" s="2">
        <v>1</v>
      </c>
      <c r="H464" s="2">
        <v>0</v>
      </c>
      <c r="I464" s="2">
        <v>0</v>
      </c>
      <c r="J464" s="2">
        <v>0</v>
      </c>
      <c r="K464" s="2">
        <v>3017</v>
      </c>
      <c r="L464" s="2">
        <v>0</v>
      </c>
      <c r="M464" s="2">
        <v>1</v>
      </c>
      <c r="N464" s="2">
        <v>3</v>
      </c>
      <c r="O464" s="2">
        <v>0</v>
      </c>
      <c r="P464" s="2">
        <v>0</v>
      </c>
      <c r="Q464" s="2">
        <v>0</v>
      </c>
      <c r="R464" s="2">
        <v>0</v>
      </c>
      <c r="S464" s="2">
        <v>0</v>
      </c>
      <c r="T464" s="2">
        <v>1</v>
      </c>
      <c r="U464" s="2">
        <v>1</v>
      </c>
      <c r="V464" s="2">
        <v>0</v>
      </c>
      <c r="W464" s="2">
        <v>34</v>
      </c>
      <c r="X464" s="2">
        <v>0</v>
      </c>
      <c r="Y464" s="2">
        <v>1</v>
      </c>
      <c r="Z464" s="2">
        <v>0</v>
      </c>
      <c r="AA464" s="2">
        <v>1</v>
      </c>
      <c r="AB464" s="2">
        <v>3</v>
      </c>
      <c r="AC464" s="2">
        <v>1</v>
      </c>
      <c r="AD464" s="2">
        <v>0</v>
      </c>
      <c r="AE464" s="2">
        <v>0</v>
      </c>
      <c r="AF464" s="2">
        <v>1</v>
      </c>
    </row>
    <row r="465" spans="1:32" x14ac:dyDescent="0.25">
      <c r="A465">
        <v>464</v>
      </c>
      <c r="B465" s="2">
        <v>1</v>
      </c>
      <c r="C465" s="2">
        <v>12</v>
      </c>
      <c r="D465" s="2">
        <v>2</v>
      </c>
      <c r="E465" s="2">
        <v>0</v>
      </c>
      <c r="F465" s="2">
        <v>0</v>
      </c>
      <c r="G465" s="2">
        <v>0</v>
      </c>
      <c r="H465" s="2">
        <v>0</v>
      </c>
      <c r="I465" s="2">
        <v>0</v>
      </c>
      <c r="J465" s="2">
        <v>0</v>
      </c>
      <c r="K465" s="2">
        <v>754</v>
      </c>
      <c r="L465" s="2">
        <v>4</v>
      </c>
      <c r="M465" s="2">
        <v>4</v>
      </c>
      <c r="N465" s="2">
        <v>4</v>
      </c>
      <c r="O465" s="2">
        <v>0</v>
      </c>
      <c r="P465" s="2">
        <v>1</v>
      </c>
      <c r="Q465" s="2">
        <v>0</v>
      </c>
      <c r="R465" s="2">
        <v>0</v>
      </c>
      <c r="S465" s="2">
        <v>0</v>
      </c>
      <c r="T465" s="2">
        <v>4</v>
      </c>
      <c r="U465" s="2">
        <v>0</v>
      </c>
      <c r="V465" s="2">
        <v>0</v>
      </c>
      <c r="W465" s="2">
        <v>38</v>
      </c>
      <c r="X465" s="2">
        <v>0</v>
      </c>
      <c r="Y465" s="2">
        <v>0</v>
      </c>
      <c r="Z465" s="2">
        <v>1</v>
      </c>
      <c r="AA465" s="2">
        <v>2</v>
      </c>
      <c r="AB465" s="2">
        <v>2</v>
      </c>
      <c r="AC465" s="2">
        <v>1</v>
      </c>
      <c r="AD465" s="2">
        <v>0</v>
      </c>
      <c r="AE465" s="2">
        <v>0</v>
      </c>
      <c r="AF465" s="2">
        <v>1</v>
      </c>
    </row>
    <row r="466" spans="1:32" x14ac:dyDescent="0.25">
      <c r="A466">
        <v>465</v>
      </c>
      <c r="B466" s="2">
        <v>3</v>
      </c>
      <c r="C466" s="2">
        <v>18</v>
      </c>
      <c r="D466" s="2">
        <v>2</v>
      </c>
      <c r="E466" s="2">
        <v>0</v>
      </c>
      <c r="F466" s="2">
        <v>0</v>
      </c>
      <c r="G466" s="2">
        <v>0</v>
      </c>
      <c r="H466" s="2">
        <v>0</v>
      </c>
      <c r="I466" s="2">
        <v>0</v>
      </c>
      <c r="J466" s="2">
        <v>1</v>
      </c>
      <c r="K466" s="2">
        <v>1950</v>
      </c>
      <c r="L466" s="2">
        <v>0</v>
      </c>
      <c r="M466" s="2">
        <v>3</v>
      </c>
      <c r="N466" s="2">
        <v>4</v>
      </c>
      <c r="O466" s="2">
        <v>0</v>
      </c>
      <c r="P466" s="2">
        <v>1</v>
      </c>
      <c r="Q466" s="2">
        <v>0</v>
      </c>
      <c r="R466" s="2">
        <v>0</v>
      </c>
      <c r="S466" s="2">
        <v>0</v>
      </c>
      <c r="T466" s="2">
        <v>1</v>
      </c>
      <c r="U466" s="2">
        <v>0</v>
      </c>
      <c r="V466" s="2">
        <v>0</v>
      </c>
      <c r="W466" s="2">
        <v>34</v>
      </c>
      <c r="X466" s="2">
        <v>1</v>
      </c>
      <c r="Y466" s="2">
        <v>0</v>
      </c>
      <c r="Z466" s="2">
        <v>1</v>
      </c>
      <c r="AA466" s="2">
        <v>2</v>
      </c>
      <c r="AB466" s="2">
        <v>2</v>
      </c>
      <c r="AC466" s="2">
        <v>1</v>
      </c>
      <c r="AD466" s="2">
        <v>1</v>
      </c>
      <c r="AE466" s="2">
        <v>0</v>
      </c>
      <c r="AF466" s="2">
        <v>1</v>
      </c>
    </row>
    <row r="467" spans="1:32" x14ac:dyDescent="0.25">
      <c r="A467">
        <v>466</v>
      </c>
      <c r="B467" s="2">
        <v>0</v>
      </c>
      <c r="C467" s="2">
        <v>24</v>
      </c>
      <c r="D467" s="2">
        <v>2</v>
      </c>
      <c r="E467" s="2">
        <v>0</v>
      </c>
      <c r="F467" s="2">
        <v>1</v>
      </c>
      <c r="G467" s="2">
        <v>0</v>
      </c>
      <c r="H467" s="2">
        <v>0</v>
      </c>
      <c r="I467" s="2">
        <v>0</v>
      </c>
      <c r="J467" s="2">
        <v>0</v>
      </c>
      <c r="K467" s="2">
        <v>2924</v>
      </c>
      <c r="L467" s="2">
        <v>0</v>
      </c>
      <c r="M467" s="2">
        <v>2</v>
      </c>
      <c r="N467" s="2">
        <v>3</v>
      </c>
      <c r="O467" s="2">
        <v>0</v>
      </c>
      <c r="P467" s="2">
        <v>1</v>
      </c>
      <c r="Q467" s="2">
        <v>0</v>
      </c>
      <c r="R467" s="2">
        <v>0</v>
      </c>
      <c r="S467" s="2">
        <v>1</v>
      </c>
      <c r="T467" s="2">
        <v>4</v>
      </c>
      <c r="U467" s="2">
        <v>0</v>
      </c>
      <c r="V467" s="2">
        <v>1</v>
      </c>
      <c r="W467" s="2">
        <v>63</v>
      </c>
      <c r="X467" s="2">
        <v>1</v>
      </c>
      <c r="Y467" s="2">
        <v>0</v>
      </c>
      <c r="Z467" s="2">
        <v>1</v>
      </c>
      <c r="AA467" s="2">
        <v>1</v>
      </c>
      <c r="AB467" s="2">
        <v>2</v>
      </c>
      <c r="AC467" s="2">
        <v>2</v>
      </c>
      <c r="AD467" s="2">
        <v>1</v>
      </c>
      <c r="AE467" s="2">
        <v>0</v>
      </c>
      <c r="AF467" s="2">
        <v>1</v>
      </c>
    </row>
    <row r="468" spans="1:32" x14ac:dyDescent="0.25">
      <c r="A468">
        <v>467</v>
      </c>
      <c r="B468" s="2">
        <v>0</v>
      </c>
      <c r="C468" s="2">
        <v>24</v>
      </c>
      <c r="D468" s="2">
        <v>3</v>
      </c>
      <c r="E468" s="2">
        <v>0</v>
      </c>
      <c r="F468" s="2">
        <v>0</v>
      </c>
      <c r="G468" s="2">
        <v>0</v>
      </c>
      <c r="H468" s="2">
        <v>1</v>
      </c>
      <c r="I468" s="2">
        <v>0</v>
      </c>
      <c r="J468" s="2">
        <v>0</v>
      </c>
      <c r="K468" s="2">
        <v>1659</v>
      </c>
      <c r="L468" s="2">
        <v>0</v>
      </c>
      <c r="M468" s="2">
        <v>1</v>
      </c>
      <c r="N468" s="2">
        <v>4</v>
      </c>
      <c r="O468" s="2">
        <v>0</v>
      </c>
      <c r="P468" s="2">
        <v>0</v>
      </c>
      <c r="Q468" s="2">
        <v>0</v>
      </c>
      <c r="R468" s="2">
        <v>0</v>
      </c>
      <c r="S468" s="2">
        <v>0</v>
      </c>
      <c r="T468" s="2">
        <v>2</v>
      </c>
      <c r="U468" s="2">
        <v>0</v>
      </c>
      <c r="V468" s="2">
        <v>0</v>
      </c>
      <c r="W468" s="2">
        <v>29</v>
      </c>
      <c r="X468" s="2">
        <v>0</v>
      </c>
      <c r="Y468" s="2">
        <v>1</v>
      </c>
      <c r="Z468" s="2">
        <v>0</v>
      </c>
      <c r="AA468" s="2">
        <v>1</v>
      </c>
      <c r="AB468" s="2">
        <v>1</v>
      </c>
      <c r="AC468" s="2">
        <v>1</v>
      </c>
      <c r="AD468" s="2">
        <v>1</v>
      </c>
      <c r="AE468" s="2">
        <v>0</v>
      </c>
      <c r="AF468" s="2">
        <v>0</v>
      </c>
    </row>
    <row r="469" spans="1:32" x14ac:dyDescent="0.25">
      <c r="A469">
        <v>468</v>
      </c>
      <c r="B469" s="2">
        <v>3</v>
      </c>
      <c r="C469" s="2">
        <v>48</v>
      </c>
      <c r="D469" s="2">
        <v>3</v>
      </c>
      <c r="E469" s="2">
        <v>0</v>
      </c>
      <c r="F469" s="2">
        <v>0</v>
      </c>
      <c r="G469" s="2">
        <v>0</v>
      </c>
      <c r="H469" s="2">
        <v>1</v>
      </c>
      <c r="I469" s="2">
        <v>0</v>
      </c>
      <c r="J469" s="2">
        <v>0</v>
      </c>
      <c r="K469" s="2">
        <v>7238</v>
      </c>
      <c r="L469" s="2">
        <v>4</v>
      </c>
      <c r="M469" s="2">
        <v>4</v>
      </c>
      <c r="N469" s="2">
        <v>3</v>
      </c>
      <c r="O469" s="2">
        <v>0</v>
      </c>
      <c r="P469" s="2">
        <v>1</v>
      </c>
      <c r="Q469" s="2">
        <v>0</v>
      </c>
      <c r="R469" s="2">
        <v>0</v>
      </c>
      <c r="S469" s="2">
        <v>0</v>
      </c>
      <c r="T469" s="2">
        <v>3</v>
      </c>
      <c r="U469" s="2">
        <v>0</v>
      </c>
      <c r="V469" s="2">
        <v>0</v>
      </c>
      <c r="W469" s="2">
        <v>32</v>
      </c>
      <c r="X469" s="2">
        <v>1</v>
      </c>
      <c r="Y469" s="2">
        <v>0</v>
      </c>
      <c r="Z469" s="2">
        <v>1</v>
      </c>
      <c r="AA469" s="2">
        <v>2</v>
      </c>
      <c r="AB469" s="2">
        <v>2</v>
      </c>
      <c r="AC469" s="2">
        <v>2</v>
      </c>
      <c r="AD469" s="2">
        <v>0</v>
      </c>
      <c r="AE469" s="2">
        <v>0</v>
      </c>
      <c r="AF469" s="2">
        <v>1</v>
      </c>
    </row>
    <row r="470" spans="1:32" x14ac:dyDescent="0.25">
      <c r="A470">
        <v>469</v>
      </c>
      <c r="B470" s="2">
        <v>3</v>
      </c>
      <c r="C470" s="2">
        <v>33</v>
      </c>
      <c r="D470" s="2">
        <v>3</v>
      </c>
      <c r="E470" s="2">
        <v>0</v>
      </c>
      <c r="F470" s="2">
        <v>0</v>
      </c>
      <c r="G470" s="2">
        <v>0</v>
      </c>
      <c r="H470" s="2">
        <v>0</v>
      </c>
      <c r="I470" s="2">
        <v>0</v>
      </c>
      <c r="J470" s="2">
        <v>1</v>
      </c>
      <c r="K470" s="2">
        <v>2764</v>
      </c>
      <c r="L470" s="2">
        <v>0</v>
      </c>
      <c r="M470" s="2">
        <v>2</v>
      </c>
      <c r="N470" s="2">
        <v>2</v>
      </c>
      <c r="O470" s="2">
        <v>0</v>
      </c>
      <c r="P470" s="2">
        <v>0</v>
      </c>
      <c r="Q470" s="2">
        <v>0</v>
      </c>
      <c r="R470" s="2">
        <v>0</v>
      </c>
      <c r="S470" s="2">
        <v>0</v>
      </c>
      <c r="T470" s="2">
        <v>2</v>
      </c>
      <c r="U470" s="2">
        <v>0</v>
      </c>
      <c r="V470" s="2">
        <v>0</v>
      </c>
      <c r="W470" s="2">
        <v>26</v>
      </c>
      <c r="X470" s="2">
        <v>0</v>
      </c>
      <c r="Y470" s="2">
        <v>0</v>
      </c>
      <c r="Z470" s="2">
        <v>1</v>
      </c>
      <c r="AA470" s="2">
        <v>2</v>
      </c>
      <c r="AB470" s="2">
        <v>2</v>
      </c>
      <c r="AC470" s="2">
        <v>1</v>
      </c>
      <c r="AD470" s="2">
        <v>1</v>
      </c>
      <c r="AE470" s="2">
        <v>0</v>
      </c>
      <c r="AF470" s="2">
        <v>1</v>
      </c>
    </row>
    <row r="471" spans="1:32" x14ac:dyDescent="0.25">
      <c r="A471">
        <v>470</v>
      </c>
      <c r="B471" s="2">
        <v>3</v>
      </c>
      <c r="C471" s="2">
        <v>24</v>
      </c>
      <c r="D471" s="2">
        <v>3</v>
      </c>
      <c r="E471" s="2">
        <v>0</v>
      </c>
      <c r="F471" s="2">
        <v>1</v>
      </c>
      <c r="G471" s="2">
        <v>0</v>
      </c>
      <c r="H471" s="2">
        <v>0</v>
      </c>
      <c r="I471" s="2">
        <v>0</v>
      </c>
      <c r="J471" s="2">
        <v>0</v>
      </c>
      <c r="K471" s="2">
        <v>4679</v>
      </c>
      <c r="L471" s="2">
        <v>0</v>
      </c>
      <c r="M471" s="2">
        <v>3</v>
      </c>
      <c r="N471" s="2">
        <v>3</v>
      </c>
      <c r="O471" s="2">
        <v>0</v>
      </c>
      <c r="P471" s="2">
        <v>1</v>
      </c>
      <c r="Q471" s="2">
        <v>0</v>
      </c>
      <c r="R471" s="2">
        <v>0</v>
      </c>
      <c r="S471" s="2">
        <v>0</v>
      </c>
      <c r="T471" s="2">
        <v>3</v>
      </c>
      <c r="U471" s="2">
        <v>0</v>
      </c>
      <c r="V471" s="2">
        <v>0</v>
      </c>
      <c r="W471" s="2">
        <v>35</v>
      </c>
      <c r="X471" s="2">
        <v>0</v>
      </c>
      <c r="Y471" s="2">
        <v>0</v>
      </c>
      <c r="Z471" s="2">
        <v>1</v>
      </c>
      <c r="AA471" s="2">
        <v>2</v>
      </c>
      <c r="AB471" s="2">
        <v>1</v>
      </c>
      <c r="AC471" s="2">
        <v>1</v>
      </c>
      <c r="AD471" s="2">
        <v>1</v>
      </c>
      <c r="AE471" s="2">
        <v>0</v>
      </c>
      <c r="AF471" s="2">
        <v>1</v>
      </c>
    </row>
    <row r="472" spans="1:32" x14ac:dyDescent="0.25">
      <c r="A472">
        <v>471</v>
      </c>
      <c r="B472" s="2">
        <v>1</v>
      </c>
      <c r="C472" s="2">
        <v>24</v>
      </c>
      <c r="D472" s="2">
        <v>2</v>
      </c>
      <c r="E472" s="2">
        <v>0</v>
      </c>
      <c r="F472" s="2">
        <v>0</v>
      </c>
      <c r="G472" s="2">
        <v>0</v>
      </c>
      <c r="H472" s="2">
        <v>1</v>
      </c>
      <c r="I472" s="2">
        <v>0</v>
      </c>
      <c r="J472" s="2">
        <v>0</v>
      </c>
      <c r="K472" s="2">
        <v>3092</v>
      </c>
      <c r="L472" s="2">
        <v>1</v>
      </c>
      <c r="M472" s="2">
        <v>1</v>
      </c>
      <c r="N472" s="2">
        <v>3</v>
      </c>
      <c r="O472" s="2">
        <v>0</v>
      </c>
      <c r="P472" s="2">
        <v>0</v>
      </c>
      <c r="Q472" s="2">
        <v>1</v>
      </c>
      <c r="R472" s="2">
        <v>0</v>
      </c>
      <c r="S472" s="2">
        <v>0</v>
      </c>
      <c r="T472" s="2">
        <v>2</v>
      </c>
      <c r="U472" s="2">
        <v>0</v>
      </c>
      <c r="V472" s="2">
        <v>0</v>
      </c>
      <c r="W472" s="2">
        <v>22</v>
      </c>
      <c r="X472" s="2">
        <v>0</v>
      </c>
      <c r="Y472" s="2">
        <v>1</v>
      </c>
      <c r="Z472" s="2">
        <v>0</v>
      </c>
      <c r="AA472" s="2">
        <v>1</v>
      </c>
      <c r="AB472" s="2">
        <v>2</v>
      </c>
      <c r="AC472" s="2">
        <v>1</v>
      </c>
      <c r="AD472" s="2">
        <v>1</v>
      </c>
      <c r="AE472" s="2">
        <v>0</v>
      </c>
      <c r="AF472" s="2">
        <v>0</v>
      </c>
    </row>
    <row r="473" spans="1:32" x14ac:dyDescent="0.25">
      <c r="A473">
        <v>472</v>
      </c>
      <c r="B473" s="2">
        <v>0</v>
      </c>
      <c r="C473" s="2">
        <v>6</v>
      </c>
      <c r="D473" s="2">
        <v>2</v>
      </c>
      <c r="E473" s="2">
        <v>0</v>
      </c>
      <c r="F473" s="2">
        <v>0</v>
      </c>
      <c r="G473" s="2">
        <v>0</v>
      </c>
      <c r="H473" s="2">
        <v>0</v>
      </c>
      <c r="I473" s="2">
        <v>1</v>
      </c>
      <c r="J473" s="2">
        <v>0</v>
      </c>
      <c r="K473" s="2">
        <v>448</v>
      </c>
      <c r="L473" s="2">
        <v>0</v>
      </c>
      <c r="M473" s="2">
        <v>1</v>
      </c>
      <c r="N473" s="2">
        <v>4</v>
      </c>
      <c r="O473" s="2">
        <v>0</v>
      </c>
      <c r="P473" s="2">
        <v>0</v>
      </c>
      <c r="Q473" s="2">
        <v>0</v>
      </c>
      <c r="R473" s="2">
        <v>0</v>
      </c>
      <c r="S473" s="2">
        <v>0</v>
      </c>
      <c r="T473" s="2">
        <v>4</v>
      </c>
      <c r="U473" s="2">
        <v>0</v>
      </c>
      <c r="V473" s="2">
        <v>0</v>
      </c>
      <c r="W473" s="2">
        <v>23</v>
      </c>
      <c r="X473" s="2">
        <v>0</v>
      </c>
      <c r="Y473" s="2">
        <v>0</v>
      </c>
      <c r="Z473" s="2">
        <v>1</v>
      </c>
      <c r="AA473" s="2">
        <v>1</v>
      </c>
      <c r="AB473" s="2">
        <v>2</v>
      </c>
      <c r="AC473" s="2">
        <v>1</v>
      </c>
      <c r="AD473" s="2">
        <v>0</v>
      </c>
      <c r="AE473" s="2">
        <v>0</v>
      </c>
      <c r="AF473" s="2">
        <v>0</v>
      </c>
    </row>
    <row r="474" spans="1:32" x14ac:dyDescent="0.25">
      <c r="A474">
        <v>473</v>
      </c>
      <c r="B474" s="2">
        <v>0</v>
      </c>
      <c r="C474" s="2">
        <v>9</v>
      </c>
      <c r="D474" s="2">
        <v>2</v>
      </c>
      <c r="E474" s="2">
        <v>1</v>
      </c>
      <c r="F474" s="2">
        <v>0</v>
      </c>
      <c r="G474" s="2">
        <v>0</v>
      </c>
      <c r="H474" s="2">
        <v>0</v>
      </c>
      <c r="I474" s="2">
        <v>0</v>
      </c>
      <c r="J474" s="2">
        <v>0</v>
      </c>
      <c r="K474" s="2">
        <v>654</v>
      </c>
      <c r="L474" s="2">
        <v>0</v>
      </c>
      <c r="M474" s="2">
        <v>2</v>
      </c>
      <c r="N474" s="2">
        <v>4</v>
      </c>
      <c r="O474" s="2">
        <v>0</v>
      </c>
      <c r="P474" s="2">
        <v>1</v>
      </c>
      <c r="Q474" s="2">
        <v>0</v>
      </c>
      <c r="R474" s="2">
        <v>0</v>
      </c>
      <c r="S474" s="2">
        <v>0</v>
      </c>
      <c r="T474" s="2">
        <v>3</v>
      </c>
      <c r="U474" s="2">
        <v>0</v>
      </c>
      <c r="V474" s="2">
        <v>0</v>
      </c>
      <c r="W474" s="2">
        <v>28</v>
      </c>
      <c r="X474" s="2">
        <v>0</v>
      </c>
      <c r="Y474" s="2">
        <v>0</v>
      </c>
      <c r="Z474" s="2">
        <v>1</v>
      </c>
      <c r="AA474" s="2">
        <v>1</v>
      </c>
      <c r="AB474" s="2">
        <v>1</v>
      </c>
      <c r="AC474" s="2">
        <v>1</v>
      </c>
      <c r="AD474" s="2">
        <v>0</v>
      </c>
      <c r="AE474" s="2">
        <v>0</v>
      </c>
      <c r="AF474" s="2">
        <v>0</v>
      </c>
    </row>
    <row r="475" spans="1:32" x14ac:dyDescent="0.25">
      <c r="A475">
        <v>474</v>
      </c>
      <c r="B475" s="2">
        <v>3</v>
      </c>
      <c r="C475" s="2">
        <v>6</v>
      </c>
      <c r="D475" s="2">
        <v>2</v>
      </c>
      <c r="E475" s="2">
        <v>0</v>
      </c>
      <c r="F475" s="2">
        <v>0</v>
      </c>
      <c r="G475" s="2">
        <v>0</v>
      </c>
      <c r="H475" s="2">
        <v>0</v>
      </c>
      <c r="I475" s="2">
        <v>0</v>
      </c>
      <c r="J475" s="2">
        <v>0</v>
      </c>
      <c r="K475" s="2">
        <v>1238</v>
      </c>
      <c r="L475" s="2">
        <v>4</v>
      </c>
      <c r="M475" s="2">
        <v>0</v>
      </c>
      <c r="N475" s="2">
        <v>4</v>
      </c>
      <c r="O475" s="2">
        <v>0</v>
      </c>
      <c r="P475" s="2">
        <v>1</v>
      </c>
      <c r="Q475" s="2">
        <v>0</v>
      </c>
      <c r="R475" s="2">
        <v>0</v>
      </c>
      <c r="S475" s="2">
        <v>0</v>
      </c>
      <c r="T475" s="2">
        <v>4</v>
      </c>
      <c r="U475" s="2">
        <v>0</v>
      </c>
      <c r="V475" s="2">
        <v>0</v>
      </c>
      <c r="W475" s="2">
        <v>36</v>
      </c>
      <c r="X475" s="2">
        <v>0</v>
      </c>
      <c r="Y475" s="2">
        <v>0</v>
      </c>
      <c r="Z475" s="2">
        <v>1</v>
      </c>
      <c r="AA475" s="2">
        <v>1</v>
      </c>
      <c r="AB475" s="2">
        <v>3</v>
      </c>
      <c r="AC475" s="2">
        <v>2</v>
      </c>
      <c r="AD475" s="2">
        <v>1</v>
      </c>
      <c r="AE475" s="2">
        <v>0</v>
      </c>
      <c r="AF475" s="2">
        <v>1</v>
      </c>
    </row>
    <row r="476" spans="1:32" x14ac:dyDescent="0.25">
      <c r="A476">
        <v>475</v>
      </c>
      <c r="B476" s="2">
        <v>1</v>
      </c>
      <c r="C476" s="2">
        <v>18</v>
      </c>
      <c r="D476" s="2">
        <v>4</v>
      </c>
      <c r="E476" s="2">
        <v>0</v>
      </c>
      <c r="F476" s="2">
        <v>0</v>
      </c>
      <c r="G476" s="2">
        <v>0</v>
      </c>
      <c r="H476" s="2">
        <v>1</v>
      </c>
      <c r="I476" s="2">
        <v>0</v>
      </c>
      <c r="J476" s="2">
        <v>0</v>
      </c>
      <c r="K476" s="2">
        <v>1245</v>
      </c>
      <c r="L476" s="2">
        <v>0</v>
      </c>
      <c r="M476" s="2">
        <v>2</v>
      </c>
      <c r="N476" s="2">
        <v>4</v>
      </c>
      <c r="O476" s="2">
        <v>0</v>
      </c>
      <c r="P476" s="2">
        <v>0</v>
      </c>
      <c r="Q476" s="2">
        <v>1</v>
      </c>
      <c r="R476" s="2">
        <v>0</v>
      </c>
      <c r="S476" s="2">
        <v>0</v>
      </c>
      <c r="T476" s="2">
        <v>2</v>
      </c>
      <c r="U476" s="2">
        <v>0</v>
      </c>
      <c r="V476" s="2">
        <v>0</v>
      </c>
      <c r="W476" s="2">
        <v>33</v>
      </c>
      <c r="X476" s="2">
        <v>0</v>
      </c>
      <c r="Y476" s="2">
        <v>0</v>
      </c>
      <c r="Z476" s="2">
        <v>1</v>
      </c>
      <c r="AA476" s="2">
        <v>1</v>
      </c>
      <c r="AB476" s="2">
        <v>2</v>
      </c>
      <c r="AC476" s="2">
        <v>1</v>
      </c>
      <c r="AD476" s="2">
        <v>0</v>
      </c>
      <c r="AE476" s="2">
        <v>0</v>
      </c>
      <c r="AF476" s="2">
        <v>0</v>
      </c>
    </row>
    <row r="477" spans="1:32" x14ac:dyDescent="0.25">
      <c r="A477">
        <v>476</v>
      </c>
      <c r="B477" s="2">
        <v>0</v>
      </c>
      <c r="C477" s="2">
        <v>18</v>
      </c>
      <c r="D477" s="2">
        <v>0</v>
      </c>
      <c r="E477" s="2">
        <v>0</v>
      </c>
      <c r="F477" s="2">
        <v>0</v>
      </c>
      <c r="G477" s="2">
        <v>1</v>
      </c>
      <c r="H477" s="2">
        <v>0</v>
      </c>
      <c r="I477" s="2">
        <v>0</v>
      </c>
      <c r="J477" s="2">
        <v>0</v>
      </c>
      <c r="K477" s="2">
        <v>3114</v>
      </c>
      <c r="L477" s="2">
        <v>0</v>
      </c>
      <c r="M477" s="2">
        <v>1</v>
      </c>
      <c r="N477" s="2">
        <v>1</v>
      </c>
      <c r="O477" s="2">
        <v>0</v>
      </c>
      <c r="P477" s="2">
        <v>0</v>
      </c>
      <c r="Q477" s="2">
        <v>0</v>
      </c>
      <c r="R477" s="2">
        <v>0</v>
      </c>
      <c r="S477" s="2">
        <v>0</v>
      </c>
      <c r="T477" s="2">
        <v>4</v>
      </c>
      <c r="U477" s="2">
        <v>0</v>
      </c>
      <c r="V477" s="2">
        <v>0</v>
      </c>
      <c r="W477" s="2">
        <v>26</v>
      </c>
      <c r="X477" s="2">
        <v>0</v>
      </c>
      <c r="Y477" s="2">
        <v>1</v>
      </c>
      <c r="Z477" s="2">
        <v>0</v>
      </c>
      <c r="AA477" s="2">
        <v>1</v>
      </c>
      <c r="AB477" s="2">
        <v>2</v>
      </c>
      <c r="AC477" s="2">
        <v>1</v>
      </c>
      <c r="AD477" s="2">
        <v>0</v>
      </c>
      <c r="AE477" s="2">
        <v>0</v>
      </c>
      <c r="AF477" s="2">
        <v>0</v>
      </c>
    </row>
    <row r="478" spans="1:32" x14ac:dyDescent="0.25">
      <c r="A478">
        <v>477</v>
      </c>
      <c r="B478" s="2">
        <v>3</v>
      </c>
      <c r="C478" s="2">
        <v>39</v>
      </c>
      <c r="D478" s="2">
        <v>2</v>
      </c>
      <c r="E478" s="2">
        <v>0</v>
      </c>
      <c r="F478" s="2">
        <v>1</v>
      </c>
      <c r="G478" s="2">
        <v>0</v>
      </c>
      <c r="H478" s="2">
        <v>0</v>
      </c>
      <c r="I478" s="2">
        <v>0</v>
      </c>
      <c r="J478" s="2">
        <v>0</v>
      </c>
      <c r="K478" s="2">
        <v>2569</v>
      </c>
      <c r="L478" s="2">
        <v>2</v>
      </c>
      <c r="M478" s="2">
        <v>2</v>
      </c>
      <c r="N478" s="2">
        <v>4</v>
      </c>
      <c r="O478" s="2">
        <v>0</v>
      </c>
      <c r="P478" s="2">
        <v>1</v>
      </c>
      <c r="Q478" s="2">
        <v>0</v>
      </c>
      <c r="R478" s="2">
        <v>0</v>
      </c>
      <c r="S478" s="2">
        <v>0</v>
      </c>
      <c r="T478" s="2">
        <v>4</v>
      </c>
      <c r="U478" s="2">
        <v>0</v>
      </c>
      <c r="V478" s="2">
        <v>0</v>
      </c>
      <c r="W478" s="2">
        <v>24</v>
      </c>
      <c r="X478" s="2">
        <v>0</v>
      </c>
      <c r="Y478" s="2">
        <v>0</v>
      </c>
      <c r="Z478" s="2">
        <v>1</v>
      </c>
      <c r="AA478" s="2">
        <v>1</v>
      </c>
      <c r="AB478" s="2">
        <v>2</v>
      </c>
      <c r="AC478" s="2">
        <v>1</v>
      </c>
      <c r="AD478" s="2">
        <v>0</v>
      </c>
      <c r="AE478" s="2">
        <v>0</v>
      </c>
      <c r="AF478" s="2">
        <v>1</v>
      </c>
    </row>
    <row r="479" spans="1:32" x14ac:dyDescent="0.25">
      <c r="A479">
        <v>478</v>
      </c>
      <c r="B479" s="2">
        <v>2</v>
      </c>
      <c r="C479" s="2">
        <v>24</v>
      </c>
      <c r="D479" s="2">
        <v>2</v>
      </c>
      <c r="E479" s="2">
        <v>0</v>
      </c>
      <c r="F479" s="2">
        <v>0</v>
      </c>
      <c r="G479" s="2">
        <v>0</v>
      </c>
      <c r="H479" s="2">
        <v>1</v>
      </c>
      <c r="I479" s="2">
        <v>0</v>
      </c>
      <c r="J479" s="2">
        <v>0</v>
      </c>
      <c r="K479" s="2">
        <v>5152</v>
      </c>
      <c r="L479" s="2">
        <v>0</v>
      </c>
      <c r="M479" s="2">
        <v>3</v>
      </c>
      <c r="N479" s="2">
        <v>4</v>
      </c>
      <c r="O479" s="2">
        <v>0</v>
      </c>
      <c r="P479" s="2">
        <v>1</v>
      </c>
      <c r="Q479" s="2">
        <v>0</v>
      </c>
      <c r="R479" s="2">
        <v>0</v>
      </c>
      <c r="S479" s="2">
        <v>0</v>
      </c>
      <c r="T479" s="2">
        <v>2</v>
      </c>
      <c r="U479" s="2">
        <v>0</v>
      </c>
      <c r="V479" s="2">
        <v>0</v>
      </c>
      <c r="W479" s="2">
        <v>25</v>
      </c>
      <c r="X479" s="2">
        <v>1</v>
      </c>
      <c r="Y479" s="2">
        <v>0</v>
      </c>
      <c r="Z479" s="2">
        <v>1</v>
      </c>
      <c r="AA479" s="2">
        <v>1</v>
      </c>
      <c r="AB479" s="2">
        <v>2</v>
      </c>
      <c r="AC479" s="2">
        <v>1</v>
      </c>
      <c r="AD479" s="2">
        <v>0</v>
      </c>
      <c r="AE479" s="2">
        <v>0</v>
      </c>
      <c r="AF479" s="2">
        <v>1</v>
      </c>
    </row>
    <row r="480" spans="1:32" x14ac:dyDescent="0.25">
      <c r="A480">
        <v>479</v>
      </c>
      <c r="B480" s="2">
        <v>1</v>
      </c>
      <c r="C480" s="2">
        <v>12</v>
      </c>
      <c r="D480" s="2">
        <v>2</v>
      </c>
      <c r="E480" s="2">
        <v>0</v>
      </c>
      <c r="F480" s="2">
        <v>0</v>
      </c>
      <c r="G480" s="2">
        <v>0</v>
      </c>
      <c r="H480" s="2">
        <v>0</v>
      </c>
      <c r="I480" s="2">
        <v>0</v>
      </c>
      <c r="J480" s="2">
        <v>1</v>
      </c>
      <c r="K480" s="2">
        <v>1037</v>
      </c>
      <c r="L480" s="2">
        <v>1</v>
      </c>
      <c r="M480" s="2">
        <v>3</v>
      </c>
      <c r="N480" s="2">
        <v>3</v>
      </c>
      <c r="O480" s="2">
        <v>0</v>
      </c>
      <c r="P480" s="2">
        <v>1</v>
      </c>
      <c r="Q480" s="2">
        <v>0</v>
      </c>
      <c r="R480" s="2">
        <v>0</v>
      </c>
      <c r="S480" s="2">
        <v>0</v>
      </c>
      <c r="T480" s="2">
        <v>4</v>
      </c>
      <c r="U480" s="2">
        <v>1</v>
      </c>
      <c r="V480" s="2">
        <v>0</v>
      </c>
      <c r="W480" s="2">
        <v>39</v>
      </c>
      <c r="X480" s="2">
        <v>0</v>
      </c>
      <c r="Y480" s="2">
        <v>0</v>
      </c>
      <c r="Z480" s="2">
        <v>1</v>
      </c>
      <c r="AA480" s="2">
        <v>1</v>
      </c>
      <c r="AB480" s="2">
        <v>1</v>
      </c>
      <c r="AC480" s="2">
        <v>1</v>
      </c>
      <c r="AD480" s="2">
        <v>0</v>
      </c>
      <c r="AE480" s="2">
        <v>0</v>
      </c>
      <c r="AF480" s="2">
        <v>1</v>
      </c>
    </row>
    <row r="481" spans="1:32" x14ac:dyDescent="0.25">
      <c r="A481">
        <v>480</v>
      </c>
      <c r="B481" s="2">
        <v>0</v>
      </c>
      <c r="C481" s="2">
        <v>15</v>
      </c>
      <c r="D481" s="2">
        <v>4</v>
      </c>
      <c r="E481" s="2">
        <v>0</v>
      </c>
      <c r="F481" s="2">
        <v>0</v>
      </c>
      <c r="G481" s="2">
        <v>1</v>
      </c>
      <c r="H481" s="2">
        <v>0</v>
      </c>
      <c r="I481" s="2">
        <v>0</v>
      </c>
      <c r="J481" s="2">
        <v>0</v>
      </c>
      <c r="K481" s="2">
        <v>1478</v>
      </c>
      <c r="L481" s="2">
        <v>0</v>
      </c>
      <c r="M481" s="2">
        <v>4</v>
      </c>
      <c r="N481" s="2">
        <v>4</v>
      </c>
      <c r="O481" s="2">
        <v>0</v>
      </c>
      <c r="P481" s="2">
        <v>1</v>
      </c>
      <c r="Q481" s="2">
        <v>0</v>
      </c>
      <c r="R481" s="2">
        <v>0</v>
      </c>
      <c r="S481" s="2">
        <v>0</v>
      </c>
      <c r="T481" s="2">
        <v>4</v>
      </c>
      <c r="U481" s="2">
        <v>0</v>
      </c>
      <c r="V481" s="2">
        <v>0</v>
      </c>
      <c r="W481" s="2">
        <v>44</v>
      </c>
      <c r="X481" s="2">
        <v>0</v>
      </c>
      <c r="Y481" s="2">
        <v>0</v>
      </c>
      <c r="Z481" s="2">
        <v>1</v>
      </c>
      <c r="AA481" s="2">
        <v>2</v>
      </c>
      <c r="AB481" s="2">
        <v>2</v>
      </c>
      <c r="AC481" s="2">
        <v>2</v>
      </c>
      <c r="AD481" s="2">
        <v>1</v>
      </c>
      <c r="AE481" s="2">
        <v>0</v>
      </c>
      <c r="AF481" s="2">
        <v>1</v>
      </c>
    </row>
    <row r="482" spans="1:32" x14ac:dyDescent="0.25">
      <c r="A482">
        <v>481</v>
      </c>
      <c r="B482" s="2">
        <v>1</v>
      </c>
      <c r="C482" s="2">
        <v>12</v>
      </c>
      <c r="D482" s="2">
        <v>4</v>
      </c>
      <c r="E482" s="2">
        <v>0</v>
      </c>
      <c r="F482" s="2">
        <v>0</v>
      </c>
      <c r="G482" s="2">
        <v>0</v>
      </c>
      <c r="H482" s="2">
        <v>1</v>
      </c>
      <c r="I482" s="2">
        <v>0</v>
      </c>
      <c r="J482" s="2">
        <v>0</v>
      </c>
      <c r="K482" s="2">
        <v>3573</v>
      </c>
      <c r="L482" s="2">
        <v>0</v>
      </c>
      <c r="M482" s="2">
        <v>2</v>
      </c>
      <c r="N482" s="2">
        <v>1</v>
      </c>
      <c r="O482" s="2">
        <v>0</v>
      </c>
      <c r="P482" s="2">
        <v>0</v>
      </c>
      <c r="Q482" s="2">
        <v>0</v>
      </c>
      <c r="R482" s="2">
        <v>0</v>
      </c>
      <c r="S482" s="2">
        <v>0</v>
      </c>
      <c r="T482" s="2">
        <v>1</v>
      </c>
      <c r="U482" s="2">
        <v>1</v>
      </c>
      <c r="V482" s="2">
        <v>0</v>
      </c>
      <c r="W482" s="2">
        <v>23</v>
      </c>
      <c r="X482" s="2">
        <v>0</v>
      </c>
      <c r="Y482" s="2">
        <v>0</v>
      </c>
      <c r="Z482" s="2">
        <v>1</v>
      </c>
      <c r="AA482" s="2">
        <v>1</v>
      </c>
      <c r="AB482" s="2">
        <v>1</v>
      </c>
      <c r="AC482" s="2">
        <v>1</v>
      </c>
      <c r="AD482" s="2">
        <v>0</v>
      </c>
      <c r="AE482" s="2">
        <v>0</v>
      </c>
      <c r="AF482" s="2">
        <v>1</v>
      </c>
    </row>
    <row r="483" spans="1:32" x14ac:dyDescent="0.25">
      <c r="A483">
        <v>482</v>
      </c>
      <c r="B483" s="2">
        <v>1</v>
      </c>
      <c r="C483" s="2">
        <v>24</v>
      </c>
      <c r="D483" s="2">
        <v>2</v>
      </c>
      <c r="E483" s="2">
        <v>1</v>
      </c>
      <c r="F483" s="2">
        <v>0</v>
      </c>
      <c r="G483" s="2">
        <v>0</v>
      </c>
      <c r="H483" s="2">
        <v>0</v>
      </c>
      <c r="I483" s="2">
        <v>0</v>
      </c>
      <c r="J483" s="2">
        <v>0</v>
      </c>
      <c r="K483" s="2">
        <v>1201</v>
      </c>
      <c r="L483" s="2">
        <v>0</v>
      </c>
      <c r="M483" s="2">
        <v>1</v>
      </c>
      <c r="N483" s="2">
        <v>4</v>
      </c>
      <c r="O483" s="2">
        <v>0</v>
      </c>
      <c r="P483" s="2">
        <v>1</v>
      </c>
      <c r="Q483" s="2">
        <v>0</v>
      </c>
      <c r="R483" s="2">
        <v>0</v>
      </c>
      <c r="S483" s="2">
        <v>0</v>
      </c>
      <c r="T483" s="2">
        <v>1</v>
      </c>
      <c r="U483" s="2">
        <v>0</v>
      </c>
      <c r="V483" s="2">
        <v>0</v>
      </c>
      <c r="W483" s="2">
        <v>26</v>
      </c>
      <c r="X483" s="2">
        <v>0</v>
      </c>
      <c r="Y483" s="2">
        <v>0</v>
      </c>
      <c r="Z483" s="2">
        <v>1</v>
      </c>
      <c r="AA483" s="2">
        <v>1</v>
      </c>
      <c r="AB483" s="2">
        <v>2</v>
      </c>
      <c r="AC483" s="2">
        <v>1</v>
      </c>
      <c r="AD483" s="2">
        <v>0</v>
      </c>
      <c r="AE483" s="2">
        <v>0</v>
      </c>
      <c r="AF483" s="2">
        <v>1</v>
      </c>
    </row>
    <row r="484" spans="1:32" x14ac:dyDescent="0.25">
      <c r="A484">
        <v>483</v>
      </c>
      <c r="B484" s="2">
        <v>0</v>
      </c>
      <c r="C484" s="2">
        <v>30</v>
      </c>
      <c r="D484" s="2">
        <v>2</v>
      </c>
      <c r="E484" s="2">
        <v>0</v>
      </c>
      <c r="F484" s="2">
        <v>0</v>
      </c>
      <c r="G484" s="2">
        <v>1</v>
      </c>
      <c r="H484" s="2">
        <v>0</v>
      </c>
      <c r="I484" s="2">
        <v>0</v>
      </c>
      <c r="J484" s="2">
        <v>0</v>
      </c>
      <c r="K484" s="2">
        <v>3622</v>
      </c>
      <c r="L484" s="2">
        <v>3</v>
      </c>
      <c r="M484" s="2">
        <v>4</v>
      </c>
      <c r="N484" s="2">
        <v>4</v>
      </c>
      <c r="O484" s="2">
        <v>0</v>
      </c>
      <c r="P484" s="2">
        <v>0</v>
      </c>
      <c r="Q484" s="2">
        <v>0</v>
      </c>
      <c r="R484" s="2">
        <v>0</v>
      </c>
      <c r="S484" s="2">
        <v>0</v>
      </c>
      <c r="T484" s="2">
        <v>4</v>
      </c>
      <c r="U484" s="2">
        <v>0</v>
      </c>
      <c r="V484" s="2">
        <v>0</v>
      </c>
      <c r="W484" s="2">
        <v>57</v>
      </c>
      <c r="X484" s="2">
        <v>0</v>
      </c>
      <c r="Y484" s="2">
        <v>1</v>
      </c>
      <c r="Z484" s="2">
        <v>0</v>
      </c>
      <c r="AA484" s="2">
        <v>2</v>
      </c>
      <c r="AB484" s="2">
        <v>2</v>
      </c>
      <c r="AC484" s="2">
        <v>1</v>
      </c>
      <c r="AD484" s="2">
        <v>1</v>
      </c>
      <c r="AE484" s="2">
        <v>0</v>
      </c>
      <c r="AF484" s="2">
        <v>1</v>
      </c>
    </row>
    <row r="485" spans="1:32" x14ac:dyDescent="0.25">
      <c r="A485">
        <v>484</v>
      </c>
      <c r="B485" s="2">
        <v>3</v>
      </c>
      <c r="C485" s="2">
        <v>15</v>
      </c>
      <c r="D485" s="2">
        <v>3</v>
      </c>
      <c r="E485" s="2">
        <v>0</v>
      </c>
      <c r="F485" s="2">
        <v>0</v>
      </c>
      <c r="G485" s="2">
        <v>1</v>
      </c>
      <c r="H485" s="2">
        <v>0</v>
      </c>
      <c r="I485" s="2">
        <v>0</v>
      </c>
      <c r="J485" s="2">
        <v>0</v>
      </c>
      <c r="K485" s="2">
        <v>960</v>
      </c>
      <c r="L485" s="2">
        <v>3</v>
      </c>
      <c r="M485" s="2">
        <v>3</v>
      </c>
      <c r="N485" s="2">
        <v>3</v>
      </c>
      <c r="O485" s="2">
        <v>0</v>
      </c>
      <c r="P485" s="2">
        <v>0</v>
      </c>
      <c r="Q485" s="2">
        <v>0</v>
      </c>
      <c r="R485" s="2">
        <v>0</v>
      </c>
      <c r="S485" s="2">
        <v>0</v>
      </c>
      <c r="T485" s="2">
        <v>2</v>
      </c>
      <c r="U485" s="2">
        <v>0</v>
      </c>
      <c r="V485" s="2">
        <v>0</v>
      </c>
      <c r="W485" s="2">
        <v>30</v>
      </c>
      <c r="X485" s="2">
        <v>0</v>
      </c>
      <c r="Y485" s="2">
        <v>0</v>
      </c>
      <c r="Z485" s="2">
        <v>1</v>
      </c>
      <c r="AA485" s="2">
        <v>2</v>
      </c>
      <c r="AB485" s="2">
        <v>2</v>
      </c>
      <c r="AC485" s="2">
        <v>1</v>
      </c>
      <c r="AD485" s="2">
        <v>0</v>
      </c>
      <c r="AE485" s="2">
        <v>0</v>
      </c>
      <c r="AF485" s="2">
        <v>1</v>
      </c>
    </row>
    <row r="486" spans="1:32" x14ac:dyDescent="0.25">
      <c r="A486">
        <v>485</v>
      </c>
      <c r="B486" s="2">
        <v>3</v>
      </c>
      <c r="C486" s="2">
        <v>12</v>
      </c>
      <c r="D486" s="2">
        <v>4</v>
      </c>
      <c r="E486" s="2">
        <v>1</v>
      </c>
      <c r="F486" s="2">
        <v>0</v>
      </c>
      <c r="G486" s="2">
        <v>0</v>
      </c>
      <c r="H486" s="2">
        <v>0</v>
      </c>
      <c r="I486" s="2">
        <v>0</v>
      </c>
      <c r="J486" s="2">
        <v>0</v>
      </c>
      <c r="K486" s="2">
        <v>1163</v>
      </c>
      <c r="L486" s="2">
        <v>2</v>
      </c>
      <c r="M486" s="2">
        <v>2</v>
      </c>
      <c r="N486" s="2">
        <v>4</v>
      </c>
      <c r="O486" s="2">
        <v>0</v>
      </c>
      <c r="P486" s="2">
        <v>1</v>
      </c>
      <c r="Q486" s="2">
        <v>0</v>
      </c>
      <c r="R486" s="2">
        <v>0</v>
      </c>
      <c r="S486" s="2">
        <v>0</v>
      </c>
      <c r="T486" s="2">
        <v>4</v>
      </c>
      <c r="U486" s="2">
        <v>1</v>
      </c>
      <c r="V486" s="2">
        <v>0</v>
      </c>
      <c r="W486" s="2">
        <v>44</v>
      </c>
      <c r="X486" s="2">
        <v>0</v>
      </c>
      <c r="Y486" s="2">
        <v>0</v>
      </c>
      <c r="Z486" s="2">
        <v>1</v>
      </c>
      <c r="AA486" s="2">
        <v>1</v>
      </c>
      <c r="AB486" s="2">
        <v>2</v>
      </c>
      <c r="AC486" s="2">
        <v>1</v>
      </c>
      <c r="AD486" s="2">
        <v>1</v>
      </c>
      <c r="AE486" s="2">
        <v>0</v>
      </c>
      <c r="AF486" s="2">
        <v>1</v>
      </c>
    </row>
    <row r="487" spans="1:32" x14ac:dyDescent="0.25">
      <c r="A487">
        <v>486</v>
      </c>
      <c r="B487" s="2">
        <v>1</v>
      </c>
      <c r="C487" s="2">
        <v>6</v>
      </c>
      <c r="D487" s="2">
        <v>3</v>
      </c>
      <c r="E487" s="2">
        <v>1</v>
      </c>
      <c r="F487" s="2">
        <v>0</v>
      </c>
      <c r="G487" s="2">
        <v>0</v>
      </c>
      <c r="H487" s="2">
        <v>0</v>
      </c>
      <c r="I487" s="2">
        <v>0</v>
      </c>
      <c r="J487" s="2">
        <v>0</v>
      </c>
      <c r="K487" s="2">
        <v>1209</v>
      </c>
      <c r="L487" s="2">
        <v>0</v>
      </c>
      <c r="M487" s="2">
        <v>0</v>
      </c>
      <c r="N487" s="2">
        <v>4</v>
      </c>
      <c r="O487" s="2">
        <v>0</v>
      </c>
      <c r="P487" s="2">
        <v>1</v>
      </c>
      <c r="Q487" s="2">
        <v>0</v>
      </c>
      <c r="R487" s="2">
        <v>0</v>
      </c>
      <c r="S487" s="2">
        <v>0</v>
      </c>
      <c r="T487" s="2">
        <v>4</v>
      </c>
      <c r="U487" s="2">
        <v>0</v>
      </c>
      <c r="V487" s="2">
        <v>0</v>
      </c>
      <c r="W487" s="2">
        <v>47</v>
      </c>
      <c r="X487" s="2">
        <v>0</v>
      </c>
      <c r="Y487" s="2">
        <v>0</v>
      </c>
      <c r="Z487" s="2">
        <v>1</v>
      </c>
      <c r="AA487" s="2">
        <v>1</v>
      </c>
      <c r="AB487" s="2">
        <v>3</v>
      </c>
      <c r="AC487" s="2">
        <v>1</v>
      </c>
      <c r="AD487" s="2">
        <v>1</v>
      </c>
      <c r="AE487" s="2">
        <v>0</v>
      </c>
      <c r="AF487" s="2">
        <v>0</v>
      </c>
    </row>
    <row r="488" spans="1:32" x14ac:dyDescent="0.25">
      <c r="A488">
        <v>487</v>
      </c>
      <c r="B488" s="2">
        <v>3</v>
      </c>
      <c r="C488" s="2">
        <v>12</v>
      </c>
      <c r="D488" s="2">
        <v>2</v>
      </c>
      <c r="E488" s="2">
        <v>0</v>
      </c>
      <c r="F488" s="2">
        <v>0</v>
      </c>
      <c r="G488" s="2">
        <v>0</v>
      </c>
      <c r="H488" s="2">
        <v>1</v>
      </c>
      <c r="I488" s="2">
        <v>0</v>
      </c>
      <c r="J488" s="2">
        <v>0</v>
      </c>
      <c r="K488" s="2">
        <v>3077</v>
      </c>
      <c r="L488" s="2">
        <v>0</v>
      </c>
      <c r="M488" s="2">
        <v>2</v>
      </c>
      <c r="N488" s="2">
        <v>2</v>
      </c>
      <c r="O488" s="2">
        <v>0</v>
      </c>
      <c r="P488" s="2">
        <v>1</v>
      </c>
      <c r="Q488" s="2">
        <v>0</v>
      </c>
      <c r="R488" s="2">
        <v>0</v>
      </c>
      <c r="S488" s="2">
        <v>0</v>
      </c>
      <c r="T488" s="2">
        <v>4</v>
      </c>
      <c r="U488" s="2">
        <v>0</v>
      </c>
      <c r="V488" s="2">
        <v>0</v>
      </c>
      <c r="W488" s="2">
        <v>52</v>
      </c>
      <c r="X488" s="2">
        <v>0</v>
      </c>
      <c r="Y488" s="2">
        <v>0</v>
      </c>
      <c r="Z488" s="2">
        <v>1</v>
      </c>
      <c r="AA488" s="2">
        <v>1</v>
      </c>
      <c r="AB488" s="2">
        <v>2</v>
      </c>
      <c r="AC488" s="2">
        <v>1</v>
      </c>
      <c r="AD488" s="2">
        <v>1</v>
      </c>
      <c r="AE488" s="2">
        <v>0</v>
      </c>
      <c r="AF488" s="2">
        <v>1</v>
      </c>
    </row>
    <row r="489" spans="1:32" x14ac:dyDescent="0.25">
      <c r="A489">
        <v>488</v>
      </c>
      <c r="B489" s="2">
        <v>3</v>
      </c>
      <c r="C489" s="2">
        <v>24</v>
      </c>
      <c r="D489" s="2">
        <v>2</v>
      </c>
      <c r="E489" s="2">
        <v>1</v>
      </c>
      <c r="F489" s="2">
        <v>0</v>
      </c>
      <c r="G489" s="2">
        <v>0</v>
      </c>
      <c r="H489" s="2">
        <v>0</v>
      </c>
      <c r="I489" s="2">
        <v>0</v>
      </c>
      <c r="J489" s="2">
        <v>0</v>
      </c>
      <c r="K489" s="2">
        <v>3757</v>
      </c>
      <c r="L489" s="2">
        <v>0</v>
      </c>
      <c r="M489" s="2">
        <v>4</v>
      </c>
      <c r="N489" s="2">
        <v>4</v>
      </c>
      <c r="O489" s="2">
        <v>0</v>
      </c>
      <c r="P489" s="2">
        <v>0</v>
      </c>
      <c r="Q489" s="2">
        <v>0</v>
      </c>
      <c r="R489" s="2">
        <v>1</v>
      </c>
      <c r="S489" s="2">
        <v>0</v>
      </c>
      <c r="T489" s="2">
        <v>4</v>
      </c>
      <c r="U489" s="2">
        <v>0</v>
      </c>
      <c r="V489" s="2">
        <v>1</v>
      </c>
      <c r="W489" s="2">
        <v>62</v>
      </c>
      <c r="X489" s="2">
        <v>0</v>
      </c>
      <c r="Y489" s="2">
        <v>0</v>
      </c>
      <c r="Z489" s="2">
        <v>0</v>
      </c>
      <c r="AA489" s="2">
        <v>1</v>
      </c>
      <c r="AB489" s="2">
        <v>2</v>
      </c>
      <c r="AC489" s="2">
        <v>1</v>
      </c>
      <c r="AD489" s="2">
        <v>1</v>
      </c>
      <c r="AE489" s="2">
        <v>0</v>
      </c>
      <c r="AF489" s="2">
        <v>1</v>
      </c>
    </row>
    <row r="490" spans="1:32" x14ac:dyDescent="0.25">
      <c r="A490">
        <v>489</v>
      </c>
      <c r="B490" s="2">
        <v>3</v>
      </c>
      <c r="C490" s="2">
        <v>10</v>
      </c>
      <c r="D490" s="2">
        <v>2</v>
      </c>
      <c r="E490" s="2">
        <v>1</v>
      </c>
      <c r="F490" s="2">
        <v>0</v>
      </c>
      <c r="G490" s="2">
        <v>0</v>
      </c>
      <c r="H490" s="2">
        <v>0</v>
      </c>
      <c r="I490" s="2">
        <v>0</v>
      </c>
      <c r="J490" s="2">
        <v>0</v>
      </c>
      <c r="K490" s="2">
        <v>1418</v>
      </c>
      <c r="L490" s="2">
        <v>1</v>
      </c>
      <c r="M490" s="2">
        <v>2</v>
      </c>
      <c r="N490" s="2">
        <v>3</v>
      </c>
      <c r="O490" s="2">
        <v>0</v>
      </c>
      <c r="P490" s="2">
        <v>1</v>
      </c>
      <c r="Q490" s="2">
        <v>0</v>
      </c>
      <c r="R490" s="2">
        <v>0</v>
      </c>
      <c r="S490" s="2">
        <v>0</v>
      </c>
      <c r="T490" s="2">
        <v>2</v>
      </c>
      <c r="U490" s="2">
        <v>1</v>
      </c>
      <c r="V490" s="2">
        <v>0</v>
      </c>
      <c r="W490" s="2">
        <v>35</v>
      </c>
      <c r="X490" s="2">
        <v>0</v>
      </c>
      <c r="Y490" s="2">
        <v>1</v>
      </c>
      <c r="Z490" s="2">
        <v>0</v>
      </c>
      <c r="AA490" s="2">
        <v>1</v>
      </c>
      <c r="AB490" s="2">
        <v>1</v>
      </c>
      <c r="AC490" s="2">
        <v>1</v>
      </c>
      <c r="AD490" s="2">
        <v>0</v>
      </c>
      <c r="AE490" s="2">
        <v>1</v>
      </c>
      <c r="AF490" s="2">
        <v>1</v>
      </c>
    </row>
    <row r="491" spans="1:32" x14ac:dyDescent="0.25">
      <c r="A491">
        <v>490</v>
      </c>
      <c r="B491" s="2">
        <v>3</v>
      </c>
      <c r="C491" s="2">
        <v>6</v>
      </c>
      <c r="D491" s="2">
        <v>2</v>
      </c>
      <c r="E491" s="2">
        <v>1</v>
      </c>
      <c r="F491" s="2">
        <v>0</v>
      </c>
      <c r="G491" s="2">
        <v>0</v>
      </c>
      <c r="H491" s="2">
        <v>0</v>
      </c>
      <c r="I491" s="2">
        <v>0</v>
      </c>
      <c r="J491" s="2">
        <v>0</v>
      </c>
      <c r="K491" s="2">
        <v>3518</v>
      </c>
      <c r="L491" s="2">
        <v>0</v>
      </c>
      <c r="M491" s="2">
        <v>2</v>
      </c>
      <c r="N491" s="2">
        <v>2</v>
      </c>
      <c r="O491" s="2">
        <v>0</v>
      </c>
      <c r="P491" s="2">
        <v>1</v>
      </c>
      <c r="Q491" s="2">
        <v>0</v>
      </c>
      <c r="R491" s="2">
        <v>0</v>
      </c>
      <c r="S491" s="2">
        <v>1</v>
      </c>
      <c r="T491" s="2">
        <v>3</v>
      </c>
      <c r="U491" s="2">
        <v>0</v>
      </c>
      <c r="V491" s="2">
        <v>0</v>
      </c>
      <c r="W491" s="2">
        <v>26</v>
      </c>
      <c r="X491" s="2">
        <v>0</v>
      </c>
      <c r="Y491" s="2">
        <v>1</v>
      </c>
      <c r="Z491" s="2">
        <v>0</v>
      </c>
      <c r="AA491" s="2">
        <v>1</v>
      </c>
      <c r="AB491" s="2">
        <v>2</v>
      </c>
      <c r="AC491" s="2">
        <v>1</v>
      </c>
      <c r="AD491" s="2">
        <v>0</v>
      </c>
      <c r="AE491" s="2">
        <v>0</v>
      </c>
      <c r="AF491" s="2">
        <v>1</v>
      </c>
    </row>
    <row r="492" spans="1:32" x14ac:dyDescent="0.25">
      <c r="A492">
        <v>491</v>
      </c>
      <c r="B492" s="2">
        <v>3</v>
      </c>
      <c r="C492" s="2">
        <v>12</v>
      </c>
      <c r="D492" s="2">
        <v>4</v>
      </c>
      <c r="E492" s="2">
        <v>0</v>
      </c>
      <c r="F492" s="2">
        <v>0</v>
      </c>
      <c r="G492" s="2">
        <v>0</v>
      </c>
      <c r="H492" s="2">
        <v>1</v>
      </c>
      <c r="I492" s="2">
        <v>0</v>
      </c>
      <c r="J492" s="2">
        <v>0</v>
      </c>
      <c r="K492" s="2">
        <v>1934</v>
      </c>
      <c r="L492" s="2">
        <v>0</v>
      </c>
      <c r="M492" s="2">
        <v>4</v>
      </c>
      <c r="N492" s="2">
        <v>2</v>
      </c>
      <c r="O492" s="2">
        <v>0</v>
      </c>
      <c r="P492" s="2">
        <v>1</v>
      </c>
      <c r="Q492" s="2">
        <v>0</v>
      </c>
      <c r="R492" s="2">
        <v>0</v>
      </c>
      <c r="S492" s="2">
        <v>0</v>
      </c>
      <c r="T492" s="2">
        <v>2</v>
      </c>
      <c r="U492" s="2">
        <v>0</v>
      </c>
      <c r="V492" s="2">
        <v>1</v>
      </c>
      <c r="W492" s="2">
        <v>26</v>
      </c>
      <c r="X492" s="2">
        <v>0</v>
      </c>
      <c r="Y492" s="2">
        <v>0</v>
      </c>
      <c r="Z492" s="2">
        <v>1</v>
      </c>
      <c r="AA492" s="2">
        <v>2</v>
      </c>
      <c r="AB492" s="2">
        <v>2</v>
      </c>
      <c r="AC492" s="2">
        <v>1</v>
      </c>
      <c r="AD492" s="2">
        <v>0</v>
      </c>
      <c r="AE492" s="2">
        <v>0</v>
      </c>
      <c r="AF492" s="2">
        <v>1</v>
      </c>
    </row>
    <row r="493" spans="1:32" x14ac:dyDescent="0.25">
      <c r="A493">
        <v>492</v>
      </c>
      <c r="B493" s="2">
        <v>1</v>
      </c>
      <c r="C493" s="2">
        <v>27</v>
      </c>
      <c r="D493" s="2">
        <v>0</v>
      </c>
      <c r="E493" s="2">
        <v>0</v>
      </c>
      <c r="F493" s="2">
        <v>0</v>
      </c>
      <c r="G493" s="2">
        <v>0</v>
      </c>
      <c r="H493" s="2">
        <v>0</v>
      </c>
      <c r="I493" s="2">
        <v>0</v>
      </c>
      <c r="J493" s="2">
        <v>1</v>
      </c>
      <c r="K493" s="2">
        <v>8318</v>
      </c>
      <c r="L493" s="2">
        <v>0</v>
      </c>
      <c r="M493" s="2">
        <v>4</v>
      </c>
      <c r="N493" s="2">
        <v>2</v>
      </c>
      <c r="O493" s="2">
        <v>0</v>
      </c>
      <c r="P493" s="2">
        <v>0</v>
      </c>
      <c r="Q493" s="2">
        <v>0</v>
      </c>
      <c r="R493" s="2">
        <v>0</v>
      </c>
      <c r="S493" s="2">
        <v>0</v>
      </c>
      <c r="T493" s="2">
        <v>4</v>
      </c>
      <c r="U493" s="2">
        <v>0</v>
      </c>
      <c r="V493" s="2">
        <v>1</v>
      </c>
      <c r="W493" s="2">
        <v>42</v>
      </c>
      <c r="X493" s="2">
        <v>0</v>
      </c>
      <c r="Y493" s="2">
        <v>0</v>
      </c>
      <c r="Z493" s="2">
        <v>0</v>
      </c>
      <c r="AA493" s="2">
        <v>2</v>
      </c>
      <c r="AB493" s="2">
        <v>3</v>
      </c>
      <c r="AC493" s="2">
        <v>1</v>
      </c>
      <c r="AD493" s="2">
        <v>1</v>
      </c>
      <c r="AE493" s="2">
        <v>0</v>
      </c>
      <c r="AF493" s="2">
        <v>0</v>
      </c>
    </row>
    <row r="494" spans="1:32" x14ac:dyDescent="0.25">
      <c r="A494">
        <v>493</v>
      </c>
      <c r="B494" s="2">
        <v>3</v>
      </c>
      <c r="C494" s="2">
        <v>6</v>
      </c>
      <c r="D494" s="2">
        <v>4</v>
      </c>
      <c r="E494" s="2">
        <v>0</v>
      </c>
      <c r="F494" s="2">
        <v>0</v>
      </c>
      <c r="G494" s="2">
        <v>0</v>
      </c>
      <c r="H494" s="2">
        <v>1</v>
      </c>
      <c r="I494" s="2">
        <v>0</v>
      </c>
      <c r="J494" s="2">
        <v>0</v>
      </c>
      <c r="K494" s="2">
        <v>1237</v>
      </c>
      <c r="L494" s="2">
        <v>1</v>
      </c>
      <c r="M494" s="2">
        <v>2</v>
      </c>
      <c r="N494" s="2">
        <v>1</v>
      </c>
      <c r="O494" s="2">
        <v>0</v>
      </c>
      <c r="P494" s="2">
        <v>0</v>
      </c>
      <c r="Q494" s="2">
        <v>0</v>
      </c>
      <c r="R494" s="2">
        <v>0</v>
      </c>
      <c r="S494" s="2">
        <v>0</v>
      </c>
      <c r="T494" s="2">
        <v>1</v>
      </c>
      <c r="U494" s="2">
        <v>0</v>
      </c>
      <c r="V494" s="2">
        <v>0</v>
      </c>
      <c r="W494" s="2">
        <v>27</v>
      </c>
      <c r="X494" s="2">
        <v>0</v>
      </c>
      <c r="Y494" s="2">
        <v>0</v>
      </c>
      <c r="Z494" s="2">
        <v>1</v>
      </c>
      <c r="AA494" s="2">
        <v>2</v>
      </c>
      <c r="AB494" s="2">
        <v>2</v>
      </c>
      <c r="AC494" s="2">
        <v>1</v>
      </c>
      <c r="AD494" s="2">
        <v>0</v>
      </c>
      <c r="AE494" s="2">
        <v>0</v>
      </c>
      <c r="AF494" s="2">
        <v>1</v>
      </c>
    </row>
    <row r="495" spans="1:32" x14ac:dyDescent="0.25">
      <c r="A495">
        <v>494</v>
      </c>
      <c r="B495" s="2">
        <v>1</v>
      </c>
      <c r="C495" s="2">
        <v>6</v>
      </c>
      <c r="D495" s="2">
        <v>2</v>
      </c>
      <c r="E495" s="2">
        <v>0</v>
      </c>
      <c r="F495" s="2">
        <v>0</v>
      </c>
      <c r="G495" s="2">
        <v>0</v>
      </c>
      <c r="H495" s="2">
        <v>1</v>
      </c>
      <c r="I495" s="2">
        <v>0</v>
      </c>
      <c r="J495" s="2">
        <v>0</v>
      </c>
      <c r="K495" s="2">
        <v>368</v>
      </c>
      <c r="L495" s="2">
        <v>4</v>
      </c>
      <c r="M495" s="2">
        <v>4</v>
      </c>
      <c r="N495" s="2">
        <v>4</v>
      </c>
      <c r="O495" s="2">
        <v>0</v>
      </c>
      <c r="P495" s="2">
        <v>1</v>
      </c>
      <c r="Q495" s="2">
        <v>0</v>
      </c>
      <c r="R495" s="2">
        <v>0</v>
      </c>
      <c r="S495" s="2">
        <v>0</v>
      </c>
      <c r="T495" s="2">
        <v>4</v>
      </c>
      <c r="U495" s="2">
        <v>0</v>
      </c>
      <c r="V495" s="2">
        <v>0</v>
      </c>
      <c r="W495" s="2">
        <v>38</v>
      </c>
      <c r="X495" s="2">
        <v>0</v>
      </c>
      <c r="Y495" s="2">
        <v>0</v>
      </c>
      <c r="Z495" s="2">
        <v>1</v>
      </c>
      <c r="AA495" s="2">
        <v>1</v>
      </c>
      <c r="AB495" s="2">
        <v>2</v>
      </c>
      <c r="AC495" s="2">
        <v>1</v>
      </c>
      <c r="AD495" s="2">
        <v>0</v>
      </c>
      <c r="AE495" s="2">
        <v>0</v>
      </c>
      <c r="AF495" s="2">
        <v>1</v>
      </c>
    </row>
    <row r="496" spans="1:32" x14ac:dyDescent="0.25">
      <c r="A496">
        <v>495</v>
      </c>
      <c r="B496" s="2">
        <v>0</v>
      </c>
      <c r="C496" s="2">
        <v>12</v>
      </c>
      <c r="D496" s="2">
        <v>4</v>
      </c>
      <c r="E496" s="2">
        <v>1</v>
      </c>
      <c r="F496" s="2">
        <v>0</v>
      </c>
      <c r="G496" s="2">
        <v>0</v>
      </c>
      <c r="H496" s="2">
        <v>0</v>
      </c>
      <c r="I496" s="2">
        <v>0</v>
      </c>
      <c r="J496" s="2">
        <v>0</v>
      </c>
      <c r="K496" s="2">
        <v>2122</v>
      </c>
      <c r="L496" s="2">
        <v>0</v>
      </c>
      <c r="M496" s="2">
        <v>2</v>
      </c>
      <c r="N496" s="2">
        <v>3</v>
      </c>
      <c r="O496" s="2">
        <v>0</v>
      </c>
      <c r="P496" s="2">
        <v>1</v>
      </c>
      <c r="Q496" s="2">
        <v>0</v>
      </c>
      <c r="R496" s="2">
        <v>0</v>
      </c>
      <c r="S496" s="2">
        <v>0</v>
      </c>
      <c r="T496" s="2">
        <v>2</v>
      </c>
      <c r="U496" s="2">
        <v>1</v>
      </c>
      <c r="V496" s="2">
        <v>0</v>
      </c>
      <c r="W496" s="2">
        <v>39</v>
      </c>
      <c r="X496" s="2">
        <v>0</v>
      </c>
      <c r="Y496" s="2">
        <v>1</v>
      </c>
      <c r="Z496" s="2">
        <v>0</v>
      </c>
      <c r="AA496" s="2">
        <v>2</v>
      </c>
      <c r="AB496" s="2">
        <v>1</v>
      </c>
      <c r="AC496" s="2">
        <v>2</v>
      </c>
      <c r="AD496" s="2">
        <v>0</v>
      </c>
      <c r="AE496" s="2">
        <v>1</v>
      </c>
      <c r="AF496" s="2">
        <v>1</v>
      </c>
    </row>
    <row r="497" spans="1:32" x14ac:dyDescent="0.25">
      <c r="A497">
        <v>496</v>
      </c>
      <c r="B497" s="2">
        <v>0</v>
      </c>
      <c r="C497" s="2">
        <v>24</v>
      </c>
      <c r="D497" s="2">
        <v>2</v>
      </c>
      <c r="E497" s="2">
        <v>0</v>
      </c>
      <c r="F497" s="2">
        <v>0</v>
      </c>
      <c r="G497" s="2">
        <v>1</v>
      </c>
      <c r="H497" s="2">
        <v>0</v>
      </c>
      <c r="I497" s="2">
        <v>0</v>
      </c>
      <c r="J497" s="2">
        <v>0</v>
      </c>
      <c r="K497" s="2">
        <v>2996</v>
      </c>
      <c r="L497" s="2">
        <v>4</v>
      </c>
      <c r="M497" s="2">
        <v>2</v>
      </c>
      <c r="N497" s="2">
        <v>2</v>
      </c>
      <c r="O497" s="2">
        <v>0</v>
      </c>
      <c r="P497" s="2">
        <v>0</v>
      </c>
      <c r="Q497" s="2">
        <v>1</v>
      </c>
      <c r="R497" s="2">
        <v>0</v>
      </c>
      <c r="S497" s="2">
        <v>0</v>
      </c>
      <c r="T497" s="2">
        <v>4</v>
      </c>
      <c r="U497" s="2">
        <v>0</v>
      </c>
      <c r="V497" s="2">
        <v>0</v>
      </c>
      <c r="W497" s="2">
        <v>20</v>
      </c>
      <c r="X497" s="2">
        <v>0</v>
      </c>
      <c r="Y497" s="2">
        <v>0</v>
      </c>
      <c r="Z497" s="2">
        <v>1</v>
      </c>
      <c r="AA497" s="2">
        <v>1</v>
      </c>
      <c r="AB497" s="2">
        <v>2</v>
      </c>
      <c r="AC497" s="2">
        <v>1</v>
      </c>
      <c r="AD497" s="2">
        <v>0</v>
      </c>
      <c r="AE497" s="2">
        <v>0</v>
      </c>
      <c r="AF497" s="2">
        <v>0</v>
      </c>
    </row>
    <row r="498" spans="1:32" x14ac:dyDescent="0.25">
      <c r="A498">
        <v>497</v>
      </c>
      <c r="B498" s="2">
        <v>1</v>
      </c>
      <c r="C498" s="2">
        <v>36</v>
      </c>
      <c r="D498" s="2">
        <v>2</v>
      </c>
      <c r="E498" s="2">
        <v>0</v>
      </c>
      <c r="F498" s="2">
        <v>0</v>
      </c>
      <c r="G498" s="2">
        <v>1</v>
      </c>
      <c r="H498" s="2">
        <v>0</v>
      </c>
      <c r="I498" s="2">
        <v>0</v>
      </c>
      <c r="J498" s="2">
        <v>0</v>
      </c>
      <c r="K498" s="2">
        <v>9034</v>
      </c>
      <c r="L498" s="2">
        <v>1</v>
      </c>
      <c r="M498" s="2">
        <v>1</v>
      </c>
      <c r="N498" s="2">
        <v>4</v>
      </c>
      <c r="O498" s="2">
        <v>0</v>
      </c>
      <c r="P498" s="2">
        <v>1</v>
      </c>
      <c r="Q498" s="2">
        <v>0</v>
      </c>
      <c r="R498" s="2">
        <v>1</v>
      </c>
      <c r="S498" s="2">
        <v>0</v>
      </c>
      <c r="T498" s="2">
        <v>1</v>
      </c>
      <c r="U498" s="2">
        <v>0</v>
      </c>
      <c r="V498" s="2">
        <v>1</v>
      </c>
      <c r="W498" s="2">
        <v>29</v>
      </c>
      <c r="X498" s="2">
        <v>0</v>
      </c>
      <c r="Y498" s="2">
        <v>1</v>
      </c>
      <c r="Z498" s="2">
        <v>0</v>
      </c>
      <c r="AA498" s="2">
        <v>1</v>
      </c>
      <c r="AB498" s="2">
        <v>3</v>
      </c>
      <c r="AC498" s="2">
        <v>1</v>
      </c>
      <c r="AD498" s="2">
        <v>1</v>
      </c>
      <c r="AE498" s="2">
        <v>0</v>
      </c>
      <c r="AF498" s="2">
        <v>0</v>
      </c>
    </row>
    <row r="499" spans="1:32" x14ac:dyDescent="0.25">
      <c r="A499">
        <v>498</v>
      </c>
      <c r="B499" s="2">
        <v>3</v>
      </c>
      <c r="C499" s="2">
        <v>24</v>
      </c>
      <c r="D499" s="2">
        <v>4</v>
      </c>
      <c r="E499" s="2">
        <v>0</v>
      </c>
      <c r="F499" s="2">
        <v>0</v>
      </c>
      <c r="G499" s="2">
        <v>1</v>
      </c>
      <c r="H499" s="2">
        <v>0</v>
      </c>
      <c r="I499" s="2">
        <v>0</v>
      </c>
      <c r="J499" s="2">
        <v>0</v>
      </c>
      <c r="K499" s="2">
        <v>1585</v>
      </c>
      <c r="L499" s="2">
        <v>0</v>
      </c>
      <c r="M499" s="2">
        <v>3</v>
      </c>
      <c r="N499" s="2">
        <v>4</v>
      </c>
      <c r="O499" s="2">
        <v>0</v>
      </c>
      <c r="P499" s="2">
        <v>1</v>
      </c>
      <c r="Q499" s="2">
        <v>0</v>
      </c>
      <c r="R499" s="2">
        <v>0</v>
      </c>
      <c r="S499" s="2">
        <v>0</v>
      </c>
      <c r="T499" s="2">
        <v>3</v>
      </c>
      <c r="U499" s="2">
        <v>0</v>
      </c>
      <c r="V499" s="2">
        <v>0</v>
      </c>
      <c r="W499" s="2">
        <v>40</v>
      </c>
      <c r="X499" s="2">
        <v>0</v>
      </c>
      <c r="Y499" s="2">
        <v>0</v>
      </c>
      <c r="Z499" s="2">
        <v>1</v>
      </c>
      <c r="AA499" s="2">
        <v>2</v>
      </c>
      <c r="AB499" s="2">
        <v>2</v>
      </c>
      <c r="AC499" s="2">
        <v>1</v>
      </c>
      <c r="AD499" s="2">
        <v>0</v>
      </c>
      <c r="AE499" s="2">
        <v>0</v>
      </c>
      <c r="AF499" s="2">
        <v>1</v>
      </c>
    </row>
    <row r="500" spans="1:32" x14ac:dyDescent="0.25">
      <c r="A500">
        <v>499</v>
      </c>
      <c r="B500" s="2">
        <v>1</v>
      </c>
      <c r="C500" s="2">
        <v>18</v>
      </c>
      <c r="D500" s="2">
        <v>2</v>
      </c>
      <c r="E500" s="2">
        <v>0</v>
      </c>
      <c r="F500" s="2">
        <v>0</v>
      </c>
      <c r="G500" s="2">
        <v>0</v>
      </c>
      <c r="H500" s="2">
        <v>1</v>
      </c>
      <c r="I500" s="2">
        <v>0</v>
      </c>
      <c r="J500" s="2">
        <v>0</v>
      </c>
      <c r="K500" s="2">
        <v>1301</v>
      </c>
      <c r="L500" s="2">
        <v>0</v>
      </c>
      <c r="M500" s="2">
        <v>4</v>
      </c>
      <c r="N500" s="2">
        <v>4</v>
      </c>
      <c r="O500" s="2">
        <v>0</v>
      </c>
      <c r="P500" s="2">
        <v>0</v>
      </c>
      <c r="Q500" s="2">
        <v>1</v>
      </c>
      <c r="R500" s="2">
        <v>0</v>
      </c>
      <c r="S500" s="2">
        <v>1</v>
      </c>
      <c r="T500" s="2">
        <v>2</v>
      </c>
      <c r="U500" s="2">
        <v>1</v>
      </c>
      <c r="V500" s="2">
        <v>0</v>
      </c>
      <c r="W500" s="2">
        <v>32</v>
      </c>
      <c r="X500" s="2">
        <v>0</v>
      </c>
      <c r="Y500" s="2">
        <v>0</v>
      </c>
      <c r="Z500" s="2">
        <v>1</v>
      </c>
      <c r="AA500" s="2">
        <v>1</v>
      </c>
      <c r="AB500" s="2">
        <v>1</v>
      </c>
      <c r="AC500" s="2">
        <v>1</v>
      </c>
      <c r="AD500" s="2">
        <v>0</v>
      </c>
      <c r="AE500" s="2">
        <v>0</v>
      </c>
      <c r="AF500" s="2">
        <v>1</v>
      </c>
    </row>
    <row r="501" spans="1:32" x14ac:dyDescent="0.25">
      <c r="A501">
        <v>500</v>
      </c>
      <c r="B501" s="2">
        <v>2</v>
      </c>
      <c r="C501" s="2">
        <v>6</v>
      </c>
      <c r="D501" s="2">
        <v>4</v>
      </c>
      <c r="E501" s="2">
        <v>1</v>
      </c>
      <c r="F501" s="2">
        <v>0</v>
      </c>
      <c r="G501" s="2">
        <v>0</v>
      </c>
      <c r="H501" s="2">
        <v>0</v>
      </c>
      <c r="I501" s="2">
        <v>0</v>
      </c>
      <c r="J501" s="2">
        <v>0</v>
      </c>
      <c r="K501" s="2">
        <v>1323</v>
      </c>
      <c r="L501" s="2">
        <v>1</v>
      </c>
      <c r="M501" s="2">
        <v>4</v>
      </c>
      <c r="N501" s="2">
        <v>2</v>
      </c>
      <c r="O501" s="2">
        <v>1</v>
      </c>
      <c r="P501" s="2">
        <v>0</v>
      </c>
      <c r="Q501" s="2">
        <v>0</v>
      </c>
      <c r="R501" s="2">
        <v>0</v>
      </c>
      <c r="S501" s="2">
        <v>0</v>
      </c>
      <c r="T501" s="2">
        <v>4</v>
      </c>
      <c r="U501" s="2">
        <v>0</v>
      </c>
      <c r="V501" s="2">
        <v>0</v>
      </c>
      <c r="W501" s="2">
        <v>28</v>
      </c>
      <c r="X501" s="2">
        <v>0</v>
      </c>
      <c r="Y501" s="2">
        <v>0</v>
      </c>
      <c r="Z501" s="2">
        <v>1</v>
      </c>
      <c r="AA501" s="2">
        <v>2</v>
      </c>
      <c r="AB501" s="2">
        <v>2</v>
      </c>
      <c r="AC501" s="2">
        <v>2</v>
      </c>
      <c r="AD501" s="2">
        <v>1</v>
      </c>
      <c r="AE501" s="2">
        <v>0</v>
      </c>
      <c r="AF501" s="2">
        <v>1</v>
      </c>
    </row>
    <row r="502" spans="1:32" x14ac:dyDescent="0.25">
      <c r="A502">
        <v>501</v>
      </c>
      <c r="B502" s="2">
        <v>0</v>
      </c>
      <c r="C502" s="2">
        <v>24</v>
      </c>
      <c r="D502" s="2">
        <v>2</v>
      </c>
      <c r="E502" s="2">
        <v>1</v>
      </c>
      <c r="F502" s="2">
        <v>0</v>
      </c>
      <c r="G502" s="2">
        <v>0</v>
      </c>
      <c r="H502" s="2">
        <v>0</v>
      </c>
      <c r="I502" s="2">
        <v>0</v>
      </c>
      <c r="J502" s="2">
        <v>0</v>
      </c>
      <c r="K502" s="2">
        <v>3123</v>
      </c>
      <c r="L502" s="2">
        <v>0</v>
      </c>
      <c r="M502" s="2">
        <v>1</v>
      </c>
      <c r="N502" s="2">
        <v>4</v>
      </c>
      <c r="O502" s="2">
        <v>0</v>
      </c>
      <c r="P502" s="2">
        <v>0</v>
      </c>
      <c r="Q502" s="2">
        <v>0</v>
      </c>
      <c r="R502" s="2">
        <v>0</v>
      </c>
      <c r="S502" s="2">
        <v>0</v>
      </c>
      <c r="T502" s="2">
        <v>1</v>
      </c>
      <c r="U502" s="2">
        <v>0</v>
      </c>
      <c r="V502" s="2">
        <v>0</v>
      </c>
      <c r="W502" s="2">
        <v>27</v>
      </c>
      <c r="X502" s="2">
        <v>0</v>
      </c>
      <c r="Y502" s="2">
        <v>0</v>
      </c>
      <c r="Z502" s="2">
        <v>1</v>
      </c>
      <c r="AA502" s="2">
        <v>1</v>
      </c>
      <c r="AB502" s="2">
        <v>2</v>
      </c>
      <c r="AC502" s="2">
        <v>1</v>
      </c>
      <c r="AD502" s="2">
        <v>0</v>
      </c>
      <c r="AE502" s="2">
        <v>0</v>
      </c>
      <c r="AF502" s="2">
        <v>0</v>
      </c>
    </row>
    <row r="503" spans="1:32" x14ac:dyDescent="0.25">
      <c r="A503">
        <v>502</v>
      </c>
      <c r="B503" s="2">
        <v>0</v>
      </c>
      <c r="C503" s="2">
        <v>36</v>
      </c>
      <c r="D503" s="2">
        <v>2</v>
      </c>
      <c r="E503" s="2">
        <v>0</v>
      </c>
      <c r="F503" s="2">
        <v>1</v>
      </c>
      <c r="G503" s="2">
        <v>0</v>
      </c>
      <c r="H503" s="2">
        <v>0</v>
      </c>
      <c r="I503" s="2">
        <v>0</v>
      </c>
      <c r="J503" s="2">
        <v>0</v>
      </c>
      <c r="K503" s="2">
        <v>5493</v>
      </c>
      <c r="L503" s="2">
        <v>0</v>
      </c>
      <c r="M503" s="2">
        <v>4</v>
      </c>
      <c r="N503" s="2">
        <v>2</v>
      </c>
      <c r="O503" s="2">
        <v>0</v>
      </c>
      <c r="P503" s="2">
        <v>1</v>
      </c>
      <c r="Q503" s="2">
        <v>0</v>
      </c>
      <c r="R503" s="2">
        <v>0</v>
      </c>
      <c r="S503" s="2">
        <v>0</v>
      </c>
      <c r="T503" s="2">
        <v>4</v>
      </c>
      <c r="U503" s="2">
        <v>0</v>
      </c>
      <c r="V503" s="2">
        <v>1</v>
      </c>
      <c r="W503" s="2">
        <v>42</v>
      </c>
      <c r="X503" s="2">
        <v>0</v>
      </c>
      <c r="Y503" s="2">
        <v>0</v>
      </c>
      <c r="Z503" s="2">
        <v>0</v>
      </c>
      <c r="AA503" s="2">
        <v>1</v>
      </c>
      <c r="AB503" s="2">
        <v>2</v>
      </c>
      <c r="AC503" s="2">
        <v>2</v>
      </c>
      <c r="AD503" s="2">
        <v>0</v>
      </c>
      <c r="AE503" s="2">
        <v>0</v>
      </c>
      <c r="AF503" s="2">
        <v>1</v>
      </c>
    </row>
    <row r="504" spans="1:32" x14ac:dyDescent="0.25">
      <c r="A504">
        <v>503</v>
      </c>
      <c r="B504" s="2">
        <v>2</v>
      </c>
      <c r="C504" s="2">
        <v>9</v>
      </c>
      <c r="D504" s="2">
        <v>2</v>
      </c>
      <c r="E504" s="2">
        <v>0</v>
      </c>
      <c r="F504" s="2">
        <v>0</v>
      </c>
      <c r="G504" s="2">
        <v>0</v>
      </c>
      <c r="H504" s="2">
        <v>1</v>
      </c>
      <c r="I504" s="2">
        <v>0</v>
      </c>
      <c r="J504" s="2">
        <v>0</v>
      </c>
      <c r="K504" s="2">
        <v>1126</v>
      </c>
      <c r="L504" s="2">
        <v>1</v>
      </c>
      <c r="M504" s="2">
        <v>4</v>
      </c>
      <c r="N504" s="2">
        <v>2</v>
      </c>
      <c r="O504" s="2">
        <v>1</v>
      </c>
      <c r="P504" s="2">
        <v>0</v>
      </c>
      <c r="Q504" s="2">
        <v>0</v>
      </c>
      <c r="R504" s="2">
        <v>0</v>
      </c>
      <c r="S504" s="2">
        <v>0</v>
      </c>
      <c r="T504" s="2">
        <v>4</v>
      </c>
      <c r="U504" s="2">
        <v>1</v>
      </c>
      <c r="V504" s="2">
        <v>0</v>
      </c>
      <c r="W504" s="2">
        <v>49</v>
      </c>
      <c r="X504" s="2">
        <v>0</v>
      </c>
      <c r="Y504" s="2">
        <v>0</v>
      </c>
      <c r="Z504" s="2">
        <v>1</v>
      </c>
      <c r="AA504" s="2">
        <v>1</v>
      </c>
      <c r="AB504" s="2">
        <v>2</v>
      </c>
      <c r="AC504" s="2">
        <v>1</v>
      </c>
      <c r="AD504" s="2">
        <v>0</v>
      </c>
      <c r="AE504" s="2">
        <v>0</v>
      </c>
      <c r="AF504" s="2">
        <v>1</v>
      </c>
    </row>
    <row r="505" spans="1:32" x14ac:dyDescent="0.25">
      <c r="A505">
        <v>504</v>
      </c>
      <c r="B505" s="2">
        <v>1</v>
      </c>
      <c r="C505" s="2">
        <v>24</v>
      </c>
      <c r="D505" s="2">
        <v>4</v>
      </c>
      <c r="E505" s="2">
        <v>0</v>
      </c>
      <c r="F505" s="2">
        <v>0</v>
      </c>
      <c r="G505" s="2">
        <v>0</v>
      </c>
      <c r="H505" s="2">
        <v>1</v>
      </c>
      <c r="I505" s="2">
        <v>0</v>
      </c>
      <c r="J505" s="2">
        <v>0</v>
      </c>
      <c r="K505" s="2">
        <v>1216</v>
      </c>
      <c r="L505" s="2">
        <v>1</v>
      </c>
      <c r="M505" s="2">
        <v>1</v>
      </c>
      <c r="N505" s="2">
        <v>4</v>
      </c>
      <c r="O505" s="2">
        <v>0</v>
      </c>
      <c r="P505" s="2">
        <v>1</v>
      </c>
      <c r="Q505" s="2">
        <v>0</v>
      </c>
      <c r="R505" s="2">
        <v>0</v>
      </c>
      <c r="S505" s="2">
        <v>0</v>
      </c>
      <c r="T505" s="2">
        <v>4</v>
      </c>
      <c r="U505" s="2">
        <v>0</v>
      </c>
      <c r="V505" s="2">
        <v>1</v>
      </c>
      <c r="W505" s="2">
        <v>38</v>
      </c>
      <c r="X505" s="2">
        <v>1</v>
      </c>
      <c r="Y505" s="2">
        <v>0</v>
      </c>
      <c r="Z505" s="2">
        <v>1</v>
      </c>
      <c r="AA505" s="2">
        <v>2</v>
      </c>
      <c r="AB505" s="2">
        <v>2</v>
      </c>
      <c r="AC505" s="2">
        <v>2</v>
      </c>
      <c r="AD505" s="2">
        <v>0</v>
      </c>
      <c r="AE505" s="2">
        <v>0</v>
      </c>
      <c r="AF505" s="2">
        <v>0</v>
      </c>
    </row>
    <row r="506" spans="1:32" x14ac:dyDescent="0.25">
      <c r="A506">
        <v>505</v>
      </c>
      <c r="B506" s="2">
        <v>0</v>
      </c>
      <c r="C506" s="2">
        <v>24</v>
      </c>
      <c r="D506" s="2">
        <v>2</v>
      </c>
      <c r="E506" s="2">
        <v>1</v>
      </c>
      <c r="F506" s="2">
        <v>0</v>
      </c>
      <c r="G506" s="2">
        <v>0</v>
      </c>
      <c r="H506" s="2">
        <v>0</v>
      </c>
      <c r="I506" s="2">
        <v>0</v>
      </c>
      <c r="J506" s="2">
        <v>0</v>
      </c>
      <c r="K506" s="2">
        <v>1207</v>
      </c>
      <c r="L506" s="2">
        <v>0</v>
      </c>
      <c r="M506" s="2">
        <v>1</v>
      </c>
      <c r="N506" s="2">
        <v>4</v>
      </c>
      <c r="O506" s="2">
        <v>0</v>
      </c>
      <c r="P506" s="2">
        <v>0</v>
      </c>
      <c r="Q506" s="2">
        <v>0</v>
      </c>
      <c r="R506" s="2">
        <v>0</v>
      </c>
      <c r="S506" s="2">
        <v>0</v>
      </c>
      <c r="T506" s="2">
        <v>4</v>
      </c>
      <c r="U506" s="2">
        <v>0</v>
      </c>
      <c r="V506" s="2">
        <v>0</v>
      </c>
      <c r="W506" s="2">
        <v>24</v>
      </c>
      <c r="X506" s="2">
        <v>0</v>
      </c>
      <c r="Y506" s="2">
        <v>1</v>
      </c>
      <c r="Z506" s="2">
        <v>0</v>
      </c>
      <c r="AA506" s="2">
        <v>1</v>
      </c>
      <c r="AB506" s="2">
        <v>2</v>
      </c>
      <c r="AC506" s="2">
        <v>1</v>
      </c>
      <c r="AD506" s="2">
        <v>0</v>
      </c>
      <c r="AE506" s="2">
        <v>0</v>
      </c>
      <c r="AF506" s="2">
        <v>0</v>
      </c>
    </row>
    <row r="507" spans="1:32" x14ac:dyDescent="0.25">
      <c r="A507">
        <v>506</v>
      </c>
      <c r="B507" s="2">
        <v>3</v>
      </c>
      <c r="C507" s="2">
        <v>10</v>
      </c>
      <c r="D507" s="2">
        <v>2</v>
      </c>
      <c r="E507" s="2">
        <v>1</v>
      </c>
      <c r="F507" s="2">
        <v>0</v>
      </c>
      <c r="G507" s="2">
        <v>0</v>
      </c>
      <c r="H507" s="2">
        <v>0</v>
      </c>
      <c r="I507" s="2">
        <v>0</v>
      </c>
      <c r="J507" s="2">
        <v>0</v>
      </c>
      <c r="K507" s="2">
        <v>1309</v>
      </c>
      <c r="L507" s="2">
        <v>4</v>
      </c>
      <c r="M507" s="2">
        <v>2</v>
      </c>
      <c r="N507" s="2">
        <v>4</v>
      </c>
      <c r="O507" s="2">
        <v>0</v>
      </c>
      <c r="P507" s="2">
        <v>1</v>
      </c>
      <c r="Q507" s="2">
        <v>0</v>
      </c>
      <c r="R507" s="2">
        <v>0</v>
      </c>
      <c r="S507" s="2">
        <v>1</v>
      </c>
      <c r="T507" s="2">
        <v>4</v>
      </c>
      <c r="U507" s="2">
        <v>0</v>
      </c>
      <c r="V507" s="2">
        <v>0</v>
      </c>
      <c r="W507" s="2">
        <v>27</v>
      </c>
      <c r="X507" s="2">
        <v>0</v>
      </c>
      <c r="Y507" s="2">
        <v>0</v>
      </c>
      <c r="Z507" s="2">
        <v>1</v>
      </c>
      <c r="AA507" s="2">
        <v>1</v>
      </c>
      <c r="AB507" s="2">
        <v>1</v>
      </c>
      <c r="AC507" s="2">
        <v>1</v>
      </c>
      <c r="AD507" s="2">
        <v>0</v>
      </c>
      <c r="AE507" s="2">
        <v>0</v>
      </c>
      <c r="AF507" s="2">
        <v>0</v>
      </c>
    </row>
    <row r="508" spans="1:32" x14ac:dyDescent="0.25">
      <c r="A508">
        <v>507</v>
      </c>
      <c r="B508" s="2">
        <v>2</v>
      </c>
      <c r="C508" s="2">
        <v>15</v>
      </c>
      <c r="D508" s="2">
        <v>4</v>
      </c>
      <c r="E508" s="2">
        <v>0</v>
      </c>
      <c r="F508" s="2">
        <v>1</v>
      </c>
      <c r="G508" s="2">
        <v>0</v>
      </c>
      <c r="H508" s="2">
        <v>0</v>
      </c>
      <c r="I508" s="2">
        <v>0</v>
      </c>
      <c r="J508" s="2">
        <v>0</v>
      </c>
      <c r="K508" s="2">
        <v>2360</v>
      </c>
      <c r="L508" s="2">
        <v>2</v>
      </c>
      <c r="M508" s="2">
        <v>2</v>
      </c>
      <c r="N508" s="2">
        <v>2</v>
      </c>
      <c r="O508" s="2">
        <v>0</v>
      </c>
      <c r="P508" s="2">
        <v>1</v>
      </c>
      <c r="Q508" s="2">
        <v>0</v>
      </c>
      <c r="R508" s="2">
        <v>0</v>
      </c>
      <c r="S508" s="2">
        <v>0</v>
      </c>
      <c r="T508" s="2">
        <v>2</v>
      </c>
      <c r="U508" s="2">
        <v>0</v>
      </c>
      <c r="V508" s="2">
        <v>0</v>
      </c>
      <c r="W508" s="2">
        <v>36</v>
      </c>
      <c r="X508" s="2">
        <v>0</v>
      </c>
      <c r="Y508" s="2">
        <v>0</v>
      </c>
      <c r="Z508" s="2">
        <v>1</v>
      </c>
      <c r="AA508" s="2">
        <v>1</v>
      </c>
      <c r="AB508" s="2">
        <v>2</v>
      </c>
      <c r="AC508" s="2">
        <v>1</v>
      </c>
      <c r="AD508" s="2">
        <v>1</v>
      </c>
      <c r="AE508" s="2">
        <v>0</v>
      </c>
      <c r="AF508" s="2">
        <v>1</v>
      </c>
    </row>
    <row r="509" spans="1:32" x14ac:dyDescent="0.25">
      <c r="A509">
        <v>508</v>
      </c>
      <c r="B509" s="2">
        <v>1</v>
      </c>
      <c r="C509" s="2">
        <v>15</v>
      </c>
      <c r="D509" s="2">
        <v>1</v>
      </c>
      <c r="E509" s="2">
        <v>1</v>
      </c>
      <c r="F509" s="2">
        <v>0</v>
      </c>
      <c r="G509" s="2">
        <v>0</v>
      </c>
      <c r="H509" s="2">
        <v>0</v>
      </c>
      <c r="I509" s="2">
        <v>0</v>
      </c>
      <c r="J509" s="2">
        <v>0</v>
      </c>
      <c r="K509" s="2">
        <v>6850</v>
      </c>
      <c r="L509" s="2">
        <v>1</v>
      </c>
      <c r="M509" s="2">
        <v>0</v>
      </c>
      <c r="N509" s="2">
        <v>1</v>
      </c>
      <c r="O509" s="2">
        <v>0</v>
      </c>
      <c r="P509" s="2">
        <v>1</v>
      </c>
      <c r="Q509" s="2">
        <v>0</v>
      </c>
      <c r="R509" s="2">
        <v>0</v>
      </c>
      <c r="S509" s="2">
        <v>0</v>
      </c>
      <c r="T509" s="2">
        <v>2</v>
      </c>
      <c r="U509" s="2">
        <v>0</v>
      </c>
      <c r="V509" s="2">
        <v>0</v>
      </c>
      <c r="W509" s="2">
        <v>34</v>
      </c>
      <c r="X509" s="2">
        <v>0</v>
      </c>
      <c r="Y509" s="2">
        <v>0</v>
      </c>
      <c r="Z509" s="2">
        <v>1</v>
      </c>
      <c r="AA509" s="2">
        <v>1</v>
      </c>
      <c r="AB509" s="2">
        <v>3</v>
      </c>
      <c r="AC509" s="2">
        <v>2</v>
      </c>
      <c r="AD509" s="2">
        <v>1</v>
      </c>
      <c r="AE509" s="2">
        <v>0</v>
      </c>
      <c r="AF509" s="2">
        <v>0</v>
      </c>
    </row>
    <row r="510" spans="1:32" x14ac:dyDescent="0.25">
      <c r="A510">
        <v>509</v>
      </c>
      <c r="B510" s="2">
        <v>3</v>
      </c>
      <c r="C510" s="2">
        <v>24</v>
      </c>
      <c r="D510" s="2">
        <v>2</v>
      </c>
      <c r="E510" s="2">
        <v>0</v>
      </c>
      <c r="F510" s="2">
        <v>0</v>
      </c>
      <c r="G510" s="2">
        <v>0</v>
      </c>
      <c r="H510" s="2">
        <v>1</v>
      </c>
      <c r="I510" s="2">
        <v>0</v>
      </c>
      <c r="J510" s="2">
        <v>0</v>
      </c>
      <c r="K510" s="2">
        <v>1413</v>
      </c>
      <c r="L510" s="2">
        <v>0</v>
      </c>
      <c r="M510" s="2">
        <v>2</v>
      </c>
      <c r="N510" s="2">
        <v>4</v>
      </c>
      <c r="O510" s="2">
        <v>0</v>
      </c>
      <c r="P510" s="2">
        <v>0</v>
      </c>
      <c r="Q510" s="2">
        <v>1</v>
      </c>
      <c r="R510" s="2">
        <v>0</v>
      </c>
      <c r="S510" s="2">
        <v>0</v>
      </c>
      <c r="T510" s="2">
        <v>2</v>
      </c>
      <c r="U510" s="2">
        <v>0</v>
      </c>
      <c r="V510" s="2">
        <v>0</v>
      </c>
      <c r="W510" s="2">
        <v>28</v>
      </c>
      <c r="X510" s="2">
        <v>0</v>
      </c>
      <c r="Y510" s="2">
        <v>0</v>
      </c>
      <c r="Z510" s="2">
        <v>1</v>
      </c>
      <c r="AA510" s="2">
        <v>1</v>
      </c>
      <c r="AB510" s="2">
        <v>2</v>
      </c>
      <c r="AC510" s="2">
        <v>1</v>
      </c>
      <c r="AD510" s="2">
        <v>0</v>
      </c>
      <c r="AE510" s="2">
        <v>0</v>
      </c>
      <c r="AF510" s="2">
        <v>1</v>
      </c>
    </row>
    <row r="511" spans="1:32" x14ac:dyDescent="0.25">
      <c r="A511">
        <v>510</v>
      </c>
      <c r="B511" s="2">
        <v>3</v>
      </c>
      <c r="C511" s="2">
        <v>39</v>
      </c>
      <c r="D511" s="2">
        <v>2</v>
      </c>
      <c r="E511" s="2">
        <v>0</v>
      </c>
      <c r="F511" s="2">
        <v>1</v>
      </c>
      <c r="G511" s="2">
        <v>0</v>
      </c>
      <c r="H511" s="2">
        <v>0</v>
      </c>
      <c r="I511" s="2">
        <v>0</v>
      </c>
      <c r="J511" s="2">
        <v>0</v>
      </c>
      <c r="K511" s="2">
        <v>8588</v>
      </c>
      <c r="L511" s="2">
        <v>1</v>
      </c>
      <c r="M511" s="2">
        <v>4</v>
      </c>
      <c r="N511" s="2">
        <v>4</v>
      </c>
      <c r="O511" s="2">
        <v>0</v>
      </c>
      <c r="P511" s="2">
        <v>1</v>
      </c>
      <c r="Q511" s="2">
        <v>0</v>
      </c>
      <c r="R511" s="2">
        <v>0</v>
      </c>
      <c r="S511" s="2">
        <v>0</v>
      </c>
      <c r="T511" s="2">
        <v>2</v>
      </c>
      <c r="U511" s="2">
        <v>0</v>
      </c>
      <c r="V511" s="2">
        <v>0</v>
      </c>
      <c r="W511" s="2">
        <v>45</v>
      </c>
      <c r="X511" s="2">
        <v>0</v>
      </c>
      <c r="Y511" s="2">
        <v>0</v>
      </c>
      <c r="Z511" s="2">
        <v>1</v>
      </c>
      <c r="AA511" s="2">
        <v>1</v>
      </c>
      <c r="AB511" s="2">
        <v>3</v>
      </c>
      <c r="AC511" s="2">
        <v>1</v>
      </c>
      <c r="AD511" s="2">
        <v>1</v>
      </c>
      <c r="AE511" s="2">
        <v>0</v>
      </c>
      <c r="AF511" s="2">
        <v>1</v>
      </c>
    </row>
    <row r="512" spans="1:32" x14ac:dyDescent="0.25">
      <c r="A512">
        <v>511</v>
      </c>
      <c r="B512" s="2">
        <v>0</v>
      </c>
      <c r="C512" s="2">
        <v>12</v>
      </c>
      <c r="D512" s="2">
        <v>2</v>
      </c>
      <c r="E512" s="2">
        <v>1</v>
      </c>
      <c r="F512" s="2">
        <v>0</v>
      </c>
      <c r="G512" s="2">
        <v>0</v>
      </c>
      <c r="H512" s="2">
        <v>0</v>
      </c>
      <c r="I512" s="2">
        <v>0</v>
      </c>
      <c r="J512" s="2">
        <v>0</v>
      </c>
      <c r="K512" s="2">
        <v>759</v>
      </c>
      <c r="L512" s="2">
        <v>0</v>
      </c>
      <c r="M512" s="2">
        <v>3</v>
      </c>
      <c r="N512" s="2">
        <v>4</v>
      </c>
      <c r="O512" s="2">
        <v>0</v>
      </c>
      <c r="P512" s="2">
        <v>1</v>
      </c>
      <c r="Q512" s="2">
        <v>0</v>
      </c>
      <c r="R512" s="2">
        <v>0</v>
      </c>
      <c r="S512" s="2">
        <v>0</v>
      </c>
      <c r="T512" s="2">
        <v>2</v>
      </c>
      <c r="U512" s="2">
        <v>1</v>
      </c>
      <c r="V512" s="2">
        <v>0</v>
      </c>
      <c r="W512" s="2">
        <v>26</v>
      </c>
      <c r="X512" s="2">
        <v>0</v>
      </c>
      <c r="Y512" s="2">
        <v>0</v>
      </c>
      <c r="Z512" s="2">
        <v>1</v>
      </c>
      <c r="AA512" s="2">
        <v>1</v>
      </c>
      <c r="AB512" s="2">
        <v>2</v>
      </c>
      <c r="AC512" s="2">
        <v>1</v>
      </c>
      <c r="AD512" s="2">
        <v>0</v>
      </c>
      <c r="AE512" s="2">
        <v>0</v>
      </c>
      <c r="AF512" s="2">
        <v>0</v>
      </c>
    </row>
    <row r="513" spans="1:32" x14ac:dyDescent="0.25">
      <c r="A513">
        <v>512</v>
      </c>
      <c r="B513" s="2">
        <v>3</v>
      </c>
      <c r="C513" s="2">
        <v>36</v>
      </c>
      <c r="D513" s="2">
        <v>2</v>
      </c>
      <c r="E513" s="2">
        <v>0</v>
      </c>
      <c r="F513" s="2">
        <v>1</v>
      </c>
      <c r="G513" s="2">
        <v>0</v>
      </c>
      <c r="H513" s="2">
        <v>0</v>
      </c>
      <c r="I513" s="2">
        <v>0</v>
      </c>
      <c r="J513" s="2">
        <v>0</v>
      </c>
      <c r="K513" s="2">
        <v>4686</v>
      </c>
      <c r="L513" s="2">
        <v>0</v>
      </c>
      <c r="M513" s="2">
        <v>2</v>
      </c>
      <c r="N513" s="2">
        <v>2</v>
      </c>
      <c r="O513" s="2">
        <v>0</v>
      </c>
      <c r="P513" s="2">
        <v>1</v>
      </c>
      <c r="Q513" s="2">
        <v>0</v>
      </c>
      <c r="R513" s="2">
        <v>0</v>
      </c>
      <c r="S513" s="2">
        <v>0</v>
      </c>
      <c r="T513" s="2">
        <v>2</v>
      </c>
      <c r="U513" s="2">
        <v>0</v>
      </c>
      <c r="V513" s="2">
        <v>1</v>
      </c>
      <c r="W513" s="2">
        <v>32</v>
      </c>
      <c r="X513" s="2">
        <v>0</v>
      </c>
      <c r="Y513" s="2">
        <v>0</v>
      </c>
      <c r="Z513" s="2">
        <v>0</v>
      </c>
      <c r="AA513" s="2">
        <v>1</v>
      </c>
      <c r="AB513" s="2">
        <v>3</v>
      </c>
      <c r="AC513" s="2">
        <v>1</v>
      </c>
      <c r="AD513" s="2">
        <v>1</v>
      </c>
      <c r="AE513" s="2">
        <v>0</v>
      </c>
      <c r="AF513" s="2">
        <v>1</v>
      </c>
    </row>
    <row r="514" spans="1:32" x14ac:dyDescent="0.25">
      <c r="A514">
        <v>513</v>
      </c>
      <c r="B514" s="2">
        <v>2</v>
      </c>
      <c r="C514" s="2">
        <v>15</v>
      </c>
      <c r="D514" s="2">
        <v>2</v>
      </c>
      <c r="E514" s="2">
        <v>0</v>
      </c>
      <c r="F514" s="2">
        <v>0</v>
      </c>
      <c r="G514" s="2">
        <v>0</v>
      </c>
      <c r="H514" s="2">
        <v>0</v>
      </c>
      <c r="I514" s="2">
        <v>0</v>
      </c>
      <c r="J514" s="2">
        <v>1</v>
      </c>
      <c r="K514" s="2">
        <v>2687</v>
      </c>
      <c r="L514" s="2">
        <v>0</v>
      </c>
      <c r="M514" s="2">
        <v>3</v>
      </c>
      <c r="N514" s="2">
        <v>2</v>
      </c>
      <c r="O514" s="2">
        <v>0</v>
      </c>
      <c r="P514" s="2">
        <v>1</v>
      </c>
      <c r="Q514" s="2">
        <v>0</v>
      </c>
      <c r="R514" s="2">
        <v>0</v>
      </c>
      <c r="S514" s="2">
        <v>0</v>
      </c>
      <c r="T514" s="2">
        <v>4</v>
      </c>
      <c r="U514" s="2">
        <v>0</v>
      </c>
      <c r="V514" s="2">
        <v>0</v>
      </c>
      <c r="W514" s="2">
        <v>26</v>
      </c>
      <c r="X514" s="2">
        <v>0</v>
      </c>
      <c r="Y514" s="2">
        <v>1</v>
      </c>
      <c r="Z514" s="2">
        <v>0</v>
      </c>
      <c r="AA514" s="2">
        <v>1</v>
      </c>
      <c r="AB514" s="2">
        <v>2</v>
      </c>
      <c r="AC514" s="2">
        <v>1</v>
      </c>
      <c r="AD514" s="2">
        <v>1</v>
      </c>
      <c r="AE514" s="2">
        <v>0</v>
      </c>
      <c r="AF514" s="2">
        <v>1</v>
      </c>
    </row>
    <row r="515" spans="1:32" x14ac:dyDescent="0.25">
      <c r="A515">
        <v>514</v>
      </c>
      <c r="B515" s="2">
        <v>1</v>
      </c>
      <c r="C515" s="2">
        <v>12</v>
      </c>
      <c r="D515" s="2">
        <v>3</v>
      </c>
      <c r="E515" s="2">
        <v>0</v>
      </c>
      <c r="F515" s="2">
        <v>0</v>
      </c>
      <c r="G515" s="2">
        <v>0</v>
      </c>
      <c r="H515" s="2">
        <v>1</v>
      </c>
      <c r="I515" s="2">
        <v>0</v>
      </c>
      <c r="J515" s="2">
        <v>0</v>
      </c>
      <c r="K515" s="2">
        <v>585</v>
      </c>
      <c r="L515" s="2">
        <v>0</v>
      </c>
      <c r="M515" s="2">
        <v>2</v>
      </c>
      <c r="N515" s="2">
        <v>4</v>
      </c>
      <c r="O515" s="2">
        <v>0</v>
      </c>
      <c r="P515" s="2">
        <v>0</v>
      </c>
      <c r="Q515" s="2">
        <v>1</v>
      </c>
      <c r="R515" s="2">
        <v>1</v>
      </c>
      <c r="S515" s="2">
        <v>0</v>
      </c>
      <c r="T515" s="2">
        <v>4</v>
      </c>
      <c r="U515" s="2">
        <v>1</v>
      </c>
      <c r="V515" s="2">
        <v>0</v>
      </c>
      <c r="W515" s="2">
        <v>20</v>
      </c>
      <c r="X515" s="2">
        <v>0</v>
      </c>
      <c r="Y515" s="2">
        <v>1</v>
      </c>
      <c r="Z515" s="2">
        <v>0</v>
      </c>
      <c r="AA515" s="2">
        <v>2</v>
      </c>
      <c r="AB515" s="2">
        <v>2</v>
      </c>
      <c r="AC515" s="2">
        <v>1</v>
      </c>
      <c r="AD515" s="2">
        <v>0</v>
      </c>
      <c r="AE515" s="2">
        <v>0</v>
      </c>
      <c r="AF515" s="2">
        <v>1</v>
      </c>
    </row>
    <row r="516" spans="1:32" x14ac:dyDescent="0.25">
      <c r="A516">
        <v>515</v>
      </c>
      <c r="B516" s="2">
        <v>3</v>
      </c>
      <c r="C516" s="2">
        <v>24</v>
      </c>
      <c r="D516" s="2">
        <v>2</v>
      </c>
      <c r="E516" s="2">
        <v>1</v>
      </c>
      <c r="F516" s="2">
        <v>0</v>
      </c>
      <c r="G516" s="2">
        <v>0</v>
      </c>
      <c r="H516" s="2">
        <v>0</v>
      </c>
      <c r="I516" s="2">
        <v>0</v>
      </c>
      <c r="J516" s="2">
        <v>0</v>
      </c>
      <c r="K516" s="2">
        <v>2255</v>
      </c>
      <c r="L516" s="2">
        <v>4</v>
      </c>
      <c r="M516" s="2">
        <v>1</v>
      </c>
      <c r="N516" s="2">
        <v>4</v>
      </c>
      <c r="O516" s="2">
        <v>0</v>
      </c>
      <c r="P516" s="2">
        <v>1</v>
      </c>
      <c r="Q516" s="2">
        <v>0</v>
      </c>
      <c r="R516" s="2">
        <v>0</v>
      </c>
      <c r="S516" s="2">
        <v>0</v>
      </c>
      <c r="T516" s="2">
        <v>1</v>
      </c>
      <c r="U516" s="2">
        <v>0</v>
      </c>
      <c r="V516" s="2">
        <v>0</v>
      </c>
      <c r="W516" s="2">
        <v>54</v>
      </c>
      <c r="X516" s="2">
        <v>0</v>
      </c>
      <c r="Y516" s="2">
        <v>0</v>
      </c>
      <c r="Z516" s="2">
        <v>1</v>
      </c>
      <c r="AA516" s="2">
        <v>1</v>
      </c>
      <c r="AB516" s="2">
        <v>2</v>
      </c>
      <c r="AC516" s="2">
        <v>1</v>
      </c>
      <c r="AD516" s="2">
        <v>0</v>
      </c>
      <c r="AE516" s="2">
        <v>0</v>
      </c>
      <c r="AF516" s="2">
        <v>1</v>
      </c>
    </row>
    <row r="517" spans="1:32" x14ac:dyDescent="0.25">
      <c r="A517">
        <v>516</v>
      </c>
      <c r="B517" s="2">
        <v>0</v>
      </c>
      <c r="C517" s="2">
        <v>6</v>
      </c>
      <c r="D517" s="2">
        <v>4</v>
      </c>
      <c r="E517" s="2">
        <v>1</v>
      </c>
      <c r="F517" s="2">
        <v>0</v>
      </c>
      <c r="G517" s="2">
        <v>0</v>
      </c>
      <c r="H517" s="2">
        <v>0</v>
      </c>
      <c r="I517" s="2">
        <v>0</v>
      </c>
      <c r="J517" s="2">
        <v>0</v>
      </c>
      <c r="K517" s="2">
        <v>609</v>
      </c>
      <c r="L517" s="2">
        <v>0</v>
      </c>
      <c r="M517" s="2">
        <v>3</v>
      </c>
      <c r="N517" s="2">
        <v>4</v>
      </c>
      <c r="O517" s="2">
        <v>0</v>
      </c>
      <c r="P517" s="2">
        <v>0</v>
      </c>
      <c r="Q517" s="2">
        <v>0</v>
      </c>
      <c r="R517" s="2">
        <v>0</v>
      </c>
      <c r="S517" s="2">
        <v>0</v>
      </c>
      <c r="T517" s="2">
        <v>3</v>
      </c>
      <c r="U517" s="2">
        <v>0</v>
      </c>
      <c r="V517" s="2">
        <v>0</v>
      </c>
      <c r="W517" s="2">
        <v>37</v>
      </c>
      <c r="X517" s="2">
        <v>0</v>
      </c>
      <c r="Y517" s="2">
        <v>0</v>
      </c>
      <c r="Z517" s="2">
        <v>1</v>
      </c>
      <c r="AA517" s="2">
        <v>2</v>
      </c>
      <c r="AB517" s="2">
        <v>2</v>
      </c>
      <c r="AC517" s="2">
        <v>1</v>
      </c>
      <c r="AD517" s="2">
        <v>0</v>
      </c>
      <c r="AE517" s="2">
        <v>1</v>
      </c>
      <c r="AF517" s="2">
        <v>1</v>
      </c>
    </row>
    <row r="518" spans="1:32" x14ac:dyDescent="0.25">
      <c r="A518">
        <v>517</v>
      </c>
      <c r="B518" s="2">
        <v>0</v>
      </c>
      <c r="C518" s="2">
        <v>6</v>
      </c>
      <c r="D518" s="2">
        <v>4</v>
      </c>
      <c r="E518" s="2">
        <v>1</v>
      </c>
      <c r="F518" s="2">
        <v>0</v>
      </c>
      <c r="G518" s="2">
        <v>0</v>
      </c>
      <c r="H518" s="2">
        <v>0</v>
      </c>
      <c r="I518" s="2">
        <v>0</v>
      </c>
      <c r="J518" s="2">
        <v>0</v>
      </c>
      <c r="K518" s="2">
        <v>1361</v>
      </c>
      <c r="L518" s="2">
        <v>0</v>
      </c>
      <c r="M518" s="2">
        <v>1</v>
      </c>
      <c r="N518" s="2">
        <v>2</v>
      </c>
      <c r="O518" s="2">
        <v>0</v>
      </c>
      <c r="P518" s="2">
        <v>1</v>
      </c>
      <c r="Q518" s="2">
        <v>0</v>
      </c>
      <c r="R518" s="2">
        <v>0</v>
      </c>
      <c r="S518" s="2">
        <v>0</v>
      </c>
      <c r="T518" s="2">
        <v>4</v>
      </c>
      <c r="U518" s="2">
        <v>1</v>
      </c>
      <c r="V518" s="2">
        <v>0</v>
      </c>
      <c r="W518" s="2">
        <v>40</v>
      </c>
      <c r="X518" s="2">
        <v>0</v>
      </c>
      <c r="Y518" s="2">
        <v>0</v>
      </c>
      <c r="Z518" s="2">
        <v>1</v>
      </c>
      <c r="AA518" s="2">
        <v>1</v>
      </c>
      <c r="AB518" s="2">
        <v>1</v>
      </c>
      <c r="AC518" s="2">
        <v>2</v>
      </c>
      <c r="AD518" s="2">
        <v>0</v>
      </c>
      <c r="AE518" s="2">
        <v>1</v>
      </c>
      <c r="AF518" s="2">
        <v>1</v>
      </c>
    </row>
    <row r="519" spans="1:32" x14ac:dyDescent="0.25">
      <c r="A519">
        <v>518</v>
      </c>
      <c r="B519" s="2">
        <v>3</v>
      </c>
      <c r="C519" s="2">
        <v>36</v>
      </c>
      <c r="D519" s="2">
        <v>4</v>
      </c>
      <c r="E519" s="2">
        <v>0</v>
      </c>
      <c r="F519" s="2">
        <v>0</v>
      </c>
      <c r="G519" s="2">
        <v>1</v>
      </c>
      <c r="H519" s="2">
        <v>0</v>
      </c>
      <c r="I519" s="2">
        <v>0</v>
      </c>
      <c r="J519" s="2">
        <v>0</v>
      </c>
      <c r="K519" s="2">
        <v>7127</v>
      </c>
      <c r="L519" s="2">
        <v>0</v>
      </c>
      <c r="M519" s="2">
        <v>1</v>
      </c>
      <c r="N519" s="2">
        <v>2</v>
      </c>
      <c r="O519" s="2">
        <v>0</v>
      </c>
      <c r="P519" s="2">
        <v>0</v>
      </c>
      <c r="Q519" s="2">
        <v>0</v>
      </c>
      <c r="R519" s="2">
        <v>0</v>
      </c>
      <c r="S519" s="2">
        <v>0</v>
      </c>
      <c r="T519" s="2">
        <v>4</v>
      </c>
      <c r="U519" s="2">
        <v>0</v>
      </c>
      <c r="V519" s="2">
        <v>0</v>
      </c>
      <c r="W519" s="2">
        <v>23</v>
      </c>
      <c r="X519" s="2">
        <v>0</v>
      </c>
      <c r="Y519" s="2">
        <v>1</v>
      </c>
      <c r="Z519" s="2">
        <v>0</v>
      </c>
      <c r="AA519" s="2">
        <v>2</v>
      </c>
      <c r="AB519" s="2">
        <v>2</v>
      </c>
      <c r="AC519" s="2">
        <v>1</v>
      </c>
      <c r="AD519" s="2">
        <v>1</v>
      </c>
      <c r="AE519" s="2">
        <v>0</v>
      </c>
      <c r="AF519" s="2">
        <v>0</v>
      </c>
    </row>
    <row r="520" spans="1:32" x14ac:dyDescent="0.25">
      <c r="A520">
        <v>519</v>
      </c>
      <c r="B520" s="2">
        <v>0</v>
      </c>
      <c r="C520" s="2">
        <v>6</v>
      </c>
      <c r="D520" s="2">
        <v>2</v>
      </c>
      <c r="E520" s="2">
        <v>1</v>
      </c>
      <c r="F520" s="2">
        <v>0</v>
      </c>
      <c r="G520" s="2">
        <v>0</v>
      </c>
      <c r="H520" s="2">
        <v>0</v>
      </c>
      <c r="I520" s="2">
        <v>0</v>
      </c>
      <c r="J520" s="2">
        <v>0</v>
      </c>
      <c r="K520" s="2">
        <v>1203</v>
      </c>
      <c r="L520" s="2">
        <v>1</v>
      </c>
      <c r="M520" s="2">
        <v>4</v>
      </c>
      <c r="N520" s="2">
        <v>3</v>
      </c>
      <c r="O520" s="2">
        <v>0</v>
      </c>
      <c r="P520" s="2">
        <v>1</v>
      </c>
      <c r="Q520" s="2">
        <v>0</v>
      </c>
      <c r="R520" s="2">
        <v>0</v>
      </c>
      <c r="S520" s="2">
        <v>0</v>
      </c>
      <c r="T520" s="2">
        <v>2</v>
      </c>
      <c r="U520" s="2">
        <v>0</v>
      </c>
      <c r="V520" s="2">
        <v>0</v>
      </c>
      <c r="W520" s="2">
        <v>43</v>
      </c>
      <c r="X520" s="2">
        <v>0</v>
      </c>
      <c r="Y520" s="2">
        <v>0</v>
      </c>
      <c r="Z520" s="2">
        <v>1</v>
      </c>
      <c r="AA520" s="2">
        <v>1</v>
      </c>
      <c r="AB520" s="2">
        <v>2</v>
      </c>
      <c r="AC520" s="2">
        <v>1</v>
      </c>
      <c r="AD520" s="2">
        <v>1</v>
      </c>
      <c r="AE520" s="2">
        <v>0</v>
      </c>
      <c r="AF520" s="2">
        <v>1</v>
      </c>
    </row>
    <row r="521" spans="1:32" x14ac:dyDescent="0.25">
      <c r="A521">
        <v>520</v>
      </c>
      <c r="B521" s="2">
        <v>3</v>
      </c>
      <c r="C521" s="2">
        <v>6</v>
      </c>
      <c r="D521" s="2">
        <v>4</v>
      </c>
      <c r="E521" s="2">
        <v>0</v>
      </c>
      <c r="F521" s="2">
        <v>0</v>
      </c>
      <c r="G521" s="2">
        <v>0</v>
      </c>
      <c r="H521" s="2">
        <v>1</v>
      </c>
      <c r="I521" s="2">
        <v>0</v>
      </c>
      <c r="J521" s="2">
        <v>0</v>
      </c>
      <c r="K521" s="2">
        <v>700</v>
      </c>
      <c r="L521" s="2">
        <v>4</v>
      </c>
      <c r="M521" s="2">
        <v>4</v>
      </c>
      <c r="N521" s="2">
        <v>4</v>
      </c>
      <c r="O521" s="2">
        <v>0</v>
      </c>
      <c r="P521" s="2">
        <v>1</v>
      </c>
      <c r="Q521" s="2">
        <v>0</v>
      </c>
      <c r="R521" s="2">
        <v>0</v>
      </c>
      <c r="S521" s="2">
        <v>0</v>
      </c>
      <c r="T521" s="2">
        <v>4</v>
      </c>
      <c r="U521" s="2">
        <v>0</v>
      </c>
      <c r="V521" s="2">
        <v>1</v>
      </c>
      <c r="W521" s="2">
        <v>36</v>
      </c>
      <c r="X521" s="2">
        <v>0</v>
      </c>
      <c r="Y521" s="2">
        <v>0</v>
      </c>
      <c r="Z521" s="2">
        <v>0</v>
      </c>
      <c r="AA521" s="2">
        <v>2</v>
      </c>
      <c r="AB521" s="2">
        <v>2</v>
      </c>
      <c r="AC521" s="2">
        <v>1</v>
      </c>
      <c r="AD521" s="2">
        <v>0</v>
      </c>
      <c r="AE521" s="2">
        <v>0</v>
      </c>
      <c r="AF521" s="2">
        <v>1</v>
      </c>
    </row>
    <row r="522" spans="1:32" x14ac:dyDescent="0.25">
      <c r="A522">
        <v>521</v>
      </c>
      <c r="B522" s="2">
        <v>3</v>
      </c>
      <c r="C522" s="2">
        <v>24</v>
      </c>
      <c r="D522" s="2">
        <v>4</v>
      </c>
      <c r="E522" s="2">
        <v>0</v>
      </c>
      <c r="F522" s="2">
        <v>0</v>
      </c>
      <c r="G522" s="2">
        <v>0</v>
      </c>
      <c r="H522" s="2">
        <v>0</v>
      </c>
      <c r="I522" s="2">
        <v>0</v>
      </c>
      <c r="J522" s="2">
        <v>0</v>
      </c>
      <c r="K522" s="2">
        <v>5507</v>
      </c>
      <c r="L522" s="2">
        <v>0</v>
      </c>
      <c r="M522" s="2">
        <v>4</v>
      </c>
      <c r="N522" s="2">
        <v>3</v>
      </c>
      <c r="O522" s="2">
        <v>0</v>
      </c>
      <c r="P522" s="2">
        <v>1</v>
      </c>
      <c r="Q522" s="2">
        <v>0</v>
      </c>
      <c r="R522" s="2">
        <v>0</v>
      </c>
      <c r="S522" s="2">
        <v>0</v>
      </c>
      <c r="T522" s="2">
        <v>4</v>
      </c>
      <c r="U522" s="2">
        <v>0</v>
      </c>
      <c r="V522" s="2">
        <v>1</v>
      </c>
      <c r="W522" s="2">
        <v>44</v>
      </c>
      <c r="X522" s="2">
        <v>0</v>
      </c>
      <c r="Y522" s="2">
        <v>0</v>
      </c>
      <c r="Z522" s="2">
        <v>0</v>
      </c>
      <c r="AA522" s="2">
        <v>2</v>
      </c>
      <c r="AB522" s="2">
        <v>2</v>
      </c>
      <c r="AC522" s="2">
        <v>1</v>
      </c>
      <c r="AD522" s="2">
        <v>0</v>
      </c>
      <c r="AE522" s="2">
        <v>0</v>
      </c>
      <c r="AF522" s="2">
        <v>1</v>
      </c>
    </row>
    <row r="523" spans="1:32" x14ac:dyDescent="0.25">
      <c r="A523">
        <v>522</v>
      </c>
      <c r="B523" s="2">
        <v>0</v>
      </c>
      <c r="C523" s="2">
        <v>18</v>
      </c>
      <c r="D523" s="2">
        <v>2</v>
      </c>
      <c r="E523" s="2">
        <v>0</v>
      </c>
      <c r="F523" s="2">
        <v>0</v>
      </c>
      <c r="G523" s="2">
        <v>0</v>
      </c>
      <c r="H523" s="2">
        <v>1</v>
      </c>
      <c r="I523" s="2">
        <v>0</v>
      </c>
      <c r="J523" s="2">
        <v>0</v>
      </c>
      <c r="K523" s="2">
        <v>3190</v>
      </c>
      <c r="L523" s="2">
        <v>0</v>
      </c>
      <c r="M523" s="2">
        <v>2</v>
      </c>
      <c r="N523" s="2">
        <v>2</v>
      </c>
      <c r="O523" s="2">
        <v>0</v>
      </c>
      <c r="P523" s="2">
        <v>0</v>
      </c>
      <c r="Q523" s="2">
        <v>0</v>
      </c>
      <c r="R523" s="2">
        <v>0</v>
      </c>
      <c r="S523" s="2">
        <v>0</v>
      </c>
      <c r="T523" s="2">
        <v>2</v>
      </c>
      <c r="U523" s="2">
        <v>1</v>
      </c>
      <c r="V523" s="2">
        <v>0</v>
      </c>
      <c r="W523" s="2">
        <v>24</v>
      </c>
      <c r="X523" s="2">
        <v>0</v>
      </c>
      <c r="Y523" s="2">
        <v>0</v>
      </c>
      <c r="Z523" s="2">
        <v>1</v>
      </c>
      <c r="AA523" s="2">
        <v>1</v>
      </c>
      <c r="AB523" s="2">
        <v>2</v>
      </c>
      <c r="AC523" s="2">
        <v>1</v>
      </c>
      <c r="AD523" s="2">
        <v>0</v>
      </c>
      <c r="AE523" s="2">
        <v>0</v>
      </c>
      <c r="AF523" s="2">
        <v>0</v>
      </c>
    </row>
    <row r="524" spans="1:32" x14ac:dyDescent="0.25">
      <c r="A524">
        <v>523</v>
      </c>
      <c r="B524" s="2">
        <v>0</v>
      </c>
      <c r="C524" s="2">
        <v>48</v>
      </c>
      <c r="D524" s="2">
        <v>0</v>
      </c>
      <c r="E524" s="2">
        <v>0</v>
      </c>
      <c r="F524" s="2">
        <v>0</v>
      </c>
      <c r="G524" s="2">
        <v>1</v>
      </c>
      <c r="H524" s="2">
        <v>0</v>
      </c>
      <c r="I524" s="2">
        <v>0</v>
      </c>
      <c r="J524" s="2">
        <v>0</v>
      </c>
      <c r="K524" s="2">
        <v>7119</v>
      </c>
      <c r="L524" s="2">
        <v>0</v>
      </c>
      <c r="M524" s="2">
        <v>2</v>
      </c>
      <c r="N524" s="2">
        <v>3</v>
      </c>
      <c r="O524" s="2">
        <v>0</v>
      </c>
      <c r="P524" s="2">
        <v>1</v>
      </c>
      <c r="Q524" s="2">
        <v>0</v>
      </c>
      <c r="R524" s="2">
        <v>0</v>
      </c>
      <c r="S524" s="2">
        <v>0</v>
      </c>
      <c r="T524" s="2">
        <v>4</v>
      </c>
      <c r="U524" s="2">
        <v>0</v>
      </c>
      <c r="V524" s="2">
        <v>1</v>
      </c>
      <c r="W524" s="2">
        <v>53</v>
      </c>
      <c r="X524" s="2">
        <v>0</v>
      </c>
      <c r="Y524" s="2">
        <v>0</v>
      </c>
      <c r="Z524" s="2">
        <v>0</v>
      </c>
      <c r="AA524" s="2">
        <v>2</v>
      </c>
      <c r="AB524" s="2">
        <v>2</v>
      </c>
      <c r="AC524" s="2">
        <v>2</v>
      </c>
      <c r="AD524" s="2">
        <v>0</v>
      </c>
      <c r="AE524" s="2">
        <v>0</v>
      </c>
      <c r="AF524" s="2">
        <v>0</v>
      </c>
    </row>
    <row r="525" spans="1:32" x14ac:dyDescent="0.25">
      <c r="A525">
        <v>524</v>
      </c>
      <c r="B525" s="2">
        <v>3</v>
      </c>
      <c r="C525" s="2">
        <v>24</v>
      </c>
      <c r="D525" s="2">
        <v>2</v>
      </c>
      <c r="E525" s="2">
        <v>0</v>
      </c>
      <c r="F525" s="2">
        <v>1</v>
      </c>
      <c r="G525" s="2">
        <v>0</v>
      </c>
      <c r="H525" s="2">
        <v>0</v>
      </c>
      <c r="I525" s="2">
        <v>0</v>
      </c>
      <c r="J525" s="2">
        <v>0</v>
      </c>
      <c r="K525" s="2">
        <v>3488</v>
      </c>
      <c r="L525" s="2">
        <v>1</v>
      </c>
      <c r="M525" s="2">
        <v>3</v>
      </c>
      <c r="N525" s="2">
        <v>3</v>
      </c>
      <c r="O525" s="2">
        <v>0</v>
      </c>
      <c r="P525" s="2">
        <v>0</v>
      </c>
      <c r="Q525" s="2">
        <v>0</v>
      </c>
      <c r="R525" s="2">
        <v>0</v>
      </c>
      <c r="S525" s="2">
        <v>0</v>
      </c>
      <c r="T525" s="2">
        <v>4</v>
      </c>
      <c r="U525" s="2">
        <v>0</v>
      </c>
      <c r="V525" s="2">
        <v>0</v>
      </c>
      <c r="W525" s="2">
        <v>23</v>
      </c>
      <c r="X525" s="2">
        <v>0</v>
      </c>
      <c r="Y525" s="2">
        <v>0</v>
      </c>
      <c r="Z525" s="2">
        <v>1</v>
      </c>
      <c r="AA525" s="2">
        <v>1</v>
      </c>
      <c r="AB525" s="2">
        <v>2</v>
      </c>
      <c r="AC525" s="2">
        <v>1</v>
      </c>
      <c r="AD525" s="2">
        <v>0</v>
      </c>
      <c r="AE525" s="2">
        <v>0</v>
      </c>
      <c r="AF525" s="2">
        <v>1</v>
      </c>
    </row>
    <row r="526" spans="1:32" x14ac:dyDescent="0.25">
      <c r="A526">
        <v>525</v>
      </c>
      <c r="B526" s="2">
        <v>1</v>
      </c>
      <c r="C526" s="2">
        <v>18</v>
      </c>
      <c r="D526" s="2">
        <v>2</v>
      </c>
      <c r="E526" s="2">
        <v>0</v>
      </c>
      <c r="F526" s="2">
        <v>0</v>
      </c>
      <c r="G526" s="2">
        <v>0</v>
      </c>
      <c r="H526" s="2">
        <v>1</v>
      </c>
      <c r="I526" s="2">
        <v>0</v>
      </c>
      <c r="J526" s="2">
        <v>0</v>
      </c>
      <c r="K526" s="2">
        <v>1113</v>
      </c>
      <c r="L526" s="2">
        <v>0</v>
      </c>
      <c r="M526" s="2">
        <v>2</v>
      </c>
      <c r="N526" s="2">
        <v>4</v>
      </c>
      <c r="O526" s="2">
        <v>0</v>
      </c>
      <c r="P526" s="2">
        <v>0</v>
      </c>
      <c r="Q526" s="2">
        <v>0</v>
      </c>
      <c r="R526" s="2">
        <v>0</v>
      </c>
      <c r="S526" s="2">
        <v>1</v>
      </c>
      <c r="T526" s="2">
        <v>4</v>
      </c>
      <c r="U526" s="2">
        <v>1</v>
      </c>
      <c r="V526" s="2">
        <v>0</v>
      </c>
      <c r="W526" s="2">
        <v>26</v>
      </c>
      <c r="X526" s="2">
        <v>0</v>
      </c>
      <c r="Y526" s="2">
        <v>0</v>
      </c>
      <c r="Z526" s="2">
        <v>1</v>
      </c>
      <c r="AA526" s="2">
        <v>1</v>
      </c>
      <c r="AB526" s="2">
        <v>1</v>
      </c>
      <c r="AC526" s="2">
        <v>2</v>
      </c>
      <c r="AD526" s="2">
        <v>0</v>
      </c>
      <c r="AE526" s="2">
        <v>0</v>
      </c>
      <c r="AF526" s="2">
        <v>1</v>
      </c>
    </row>
    <row r="527" spans="1:32" x14ac:dyDescent="0.25">
      <c r="A527">
        <v>526</v>
      </c>
      <c r="B527" s="2">
        <v>1</v>
      </c>
      <c r="C527" s="2">
        <v>26</v>
      </c>
      <c r="D527" s="2">
        <v>2</v>
      </c>
      <c r="E527" s="2">
        <v>0</v>
      </c>
      <c r="F527" s="2">
        <v>1</v>
      </c>
      <c r="G527" s="2">
        <v>0</v>
      </c>
      <c r="H527" s="2">
        <v>0</v>
      </c>
      <c r="I527" s="2">
        <v>0</v>
      </c>
      <c r="J527" s="2">
        <v>0</v>
      </c>
      <c r="K527" s="2">
        <v>7966</v>
      </c>
      <c r="L527" s="2">
        <v>0</v>
      </c>
      <c r="M527" s="2">
        <v>1</v>
      </c>
      <c r="N527" s="2">
        <v>2</v>
      </c>
      <c r="O527" s="2">
        <v>0</v>
      </c>
      <c r="P527" s="2">
        <v>1</v>
      </c>
      <c r="Q527" s="2">
        <v>0</v>
      </c>
      <c r="R527" s="2">
        <v>0</v>
      </c>
      <c r="S527" s="2">
        <v>0</v>
      </c>
      <c r="T527" s="2">
        <v>3</v>
      </c>
      <c r="U527" s="2">
        <v>0</v>
      </c>
      <c r="V527" s="2">
        <v>0</v>
      </c>
      <c r="W527" s="2">
        <v>30</v>
      </c>
      <c r="X527" s="2">
        <v>0</v>
      </c>
      <c r="Y527" s="2">
        <v>0</v>
      </c>
      <c r="Z527" s="2">
        <v>1</v>
      </c>
      <c r="AA527" s="2">
        <v>2</v>
      </c>
      <c r="AB527" s="2">
        <v>2</v>
      </c>
      <c r="AC527" s="2">
        <v>1</v>
      </c>
      <c r="AD527" s="2">
        <v>0</v>
      </c>
      <c r="AE527" s="2">
        <v>0</v>
      </c>
      <c r="AF527" s="2">
        <v>1</v>
      </c>
    </row>
    <row r="528" spans="1:32" x14ac:dyDescent="0.25">
      <c r="A528">
        <v>527</v>
      </c>
      <c r="B528" s="2">
        <v>3</v>
      </c>
      <c r="C528" s="2">
        <v>15</v>
      </c>
      <c r="D528" s="2">
        <v>4</v>
      </c>
      <c r="E528" s="2">
        <v>0</v>
      </c>
      <c r="F528" s="2">
        <v>0</v>
      </c>
      <c r="G528" s="2">
        <v>0</v>
      </c>
      <c r="H528" s="2">
        <v>0</v>
      </c>
      <c r="I528" s="2">
        <v>1</v>
      </c>
      <c r="J528" s="2">
        <v>0</v>
      </c>
      <c r="K528" s="2">
        <v>1532</v>
      </c>
      <c r="L528" s="2">
        <v>1</v>
      </c>
      <c r="M528" s="2">
        <v>2</v>
      </c>
      <c r="N528" s="2">
        <v>4</v>
      </c>
      <c r="O528" s="2">
        <v>0</v>
      </c>
      <c r="P528" s="2">
        <v>0</v>
      </c>
      <c r="Q528" s="2">
        <v>0</v>
      </c>
      <c r="R528" s="2">
        <v>0</v>
      </c>
      <c r="S528" s="2">
        <v>0</v>
      </c>
      <c r="T528" s="2">
        <v>3</v>
      </c>
      <c r="U528" s="2">
        <v>0</v>
      </c>
      <c r="V528" s="2">
        <v>0</v>
      </c>
      <c r="W528" s="2">
        <v>31</v>
      </c>
      <c r="X528" s="2">
        <v>0</v>
      </c>
      <c r="Y528" s="2">
        <v>0</v>
      </c>
      <c r="Z528" s="2">
        <v>1</v>
      </c>
      <c r="AA528" s="2">
        <v>1</v>
      </c>
      <c r="AB528" s="2">
        <v>2</v>
      </c>
      <c r="AC528" s="2">
        <v>1</v>
      </c>
      <c r="AD528" s="2">
        <v>0</v>
      </c>
      <c r="AE528" s="2">
        <v>0</v>
      </c>
      <c r="AF528" s="2">
        <v>1</v>
      </c>
    </row>
    <row r="529" spans="1:32" x14ac:dyDescent="0.25">
      <c r="A529">
        <v>528</v>
      </c>
      <c r="B529" s="2">
        <v>3</v>
      </c>
      <c r="C529" s="2">
        <v>4</v>
      </c>
      <c r="D529" s="2">
        <v>4</v>
      </c>
      <c r="E529" s="2">
        <v>0</v>
      </c>
      <c r="F529" s="2">
        <v>0</v>
      </c>
      <c r="G529" s="2">
        <v>0</v>
      </c>
      <c r="H529" s="2">
        <v>1</v>
      </c>
      <c r="I529" s="2">
        <v>0</v>
      </c>
      <c r="J529" s="2">
        <v>0</v>
      </c>
      <c r="K529" s="2">
        <v>1503</v>
      </c>
      <c r="L529" s="2">
        <v>0</v>
      </c>
      <c r="M529" s="2">
        <v>3</v>
      </c>
      <c r="N529" s="2">
        <v>2</v>
      </c>
      <c r="O529" s="2">
        <v>0</v>
      </c>
      <c r="P529" s="2">
        <v>1</v>
      </c>
      <c r="Q529" s="2">
        <v>0</v>
      </c>
      <c r="R529" s="2">
        <v>0</v>
      </c>
      <c r="S529" s="2">
        <v>0</v>
      </c>
      <c r="T529" s="2">
        <v>1</v>
      </c>
      <c r="U529" s="2">
        <v>1</v>
      </c>
      <c r="V529" s="2">
        <v>0</v>
      </c>
      <c r="W529" s="2">
        <v>42</v>
      </c>
      <c r="X529" s="2">
        <v>0</v>
      </c>
      <c r="Y529" s="2">
        <v>0</v>
      </c>
      <c r="Z529" s="2">
        <v>1</v>
      </c>
      <c r="AA529" s="2">
        <v>2</v>
      </c>
      <c r="AB529" s="2">
        <v>1</v>
      </c>
      <c r="AC529" s="2">
        <v>2</v>
      </c>
      <c r="AD529" s="2">
        <v>0</v>
      </c>
      <c r="AE529" s="2">
        <v>0</v>
      </c>
      <c r="AF529" s="2">
        <v>1</v>
      </c>
    </row>
    <row r="530" spans="1:32" x14ac:dyDescent="0.25">
      <c r="A530">
        <v>529</v>
      </c>
      <c r="B530" s="2">
        <v>0</v>
      </c>
      <c r="C530" s="2">
        <v>36</v>
      </c>
      <c r="D530" s="2">
        <v>2</v>
      </c>
      <c r="E530" s="2">
        <v>0</v>
      </c>
      <c r="F530" s="2">
        <v>0</v>
      </c>
      <c r="G530" s="2">
        <v>0</v>
      </c>
      <c r="H530" s="2">
        <v>1</v>
      </c>
      <c r="I530" s="2">
        <v>0</v>
      </c>
      <c r="J530" s="2">
        <v>0</v>
      </c>
      <c r="K530" s="2">
        <v>2302</v>
      </c>
      <c r="L530" s="2">
        <v>0</v>
      </c>
      <c r="M530" s="2">
        <v>2</v>
      </c>
      <c r="N530" s="2">
        <v>4</v>
      </c>
      <c r="O530" s="2">
        <v>1</v>
      </c>
      <c r="P530" s="2">
        <v>0</v>
      </c>
      <c r="Q530" s="2">
        <v>0</v>
      </c>
      <c r="R530" s="2">
        <v>0</v>
      </c>
      <c r="S530" s="2">
        <v>0</v>
      </c>
      <c r="T530" s="2">
        <v>4</v>
      </c>
      <c r="U530" s="2">
        <v>0</v>
      </c>
      <c r="V530" s="2">
        <v>0</v>
      </c>
      <c r="W530" s="2">
        <v>31</v>
      </c>
      <c r="X530" s="2">
        <v>0</v>
      </c>
      <c r="Y530" s="2">
        <v>1</v>
      </c>
      <c r="Z530" s="2">
        <v>0</v>
      </c>
      <c r="AA530" s="2">
        <v>1</v>
      </c>
      <c r="AB530" s="2">
        <v>2</v>
      </c>
      <c r="AC530" s="2">
        <v>1</v>
      </c>
      <c r="AD530" s="2">
        <v>0</v>
      </c>
      <c r="AE530" s="2">
        <v>0</v>
      </c>
      <c r="AF530" s="2">
        <v>0</v>
      </c>
    </row>
    <row r="531" spans="1:32" x14ac:dyDescent="0.25">
      <c r="A531">
        <v>530</v>
      </c>
      <c r="B531" s="2">
        <v>0</v>
      </c>
      <c r="C531" s="2">
        <v>6</v>
      </c>
      <c r="D531" s="2">
        <v>2</v>
      </c>
      <c r="E531" s="2">
        <v>1</v>
      </c>
      <c r="F531" s="2">
        <v>0</v>
      </c>
      <c r="G531" s="2">
        <v>0</v>
      </c>
      <c r="H531" s="2">
        <v>0</v>
      </c>
      <c r="I531" s="2">
        <v>0</v>
      </c>
      <c r="J531" s="2">
        <v>0</v>
      </c>
      <c r="K531" s="2">
        <v>662</v>
      </c>
      <c r="L531" s="2">
        <v>0</v>
      </c>
      <c r="M531" s="2">
        <v>1</v>
      </c>
      <c r="N531" s="2">
        <v>3</v>
      </c>
      <c r="O531" s="2">
        <v>0</v>
      </c>
      <c r="P531" s="2">
        <v>1</v>
      </c>
      <c r="Q531" s="2">
        <v>0</v>
      </c>
      <c r="R531" s="2">
        <v>0</v>
      </c>
      <c r="S531" s="2">
        <v>0</v>
      </c>
      <c r="T531" s="2">
        <v>4</v>
      </c>
      <c r="U531" s="2">
        <v>1</v>
      </c>
      <c r="V531" s="2">
        <v>0</v>
      </c>
      <c r="W531" s="2">
        <v>41</v>
      </c>
      <c r="X531" s="2">
        <v>0</v>
      </c>
      <c r="Y531" s="2">
        <v>0</v>
      </c>
      <c r="Z531" s="2">
        <v>1</v>
      </c>
      <c r="AA531" s="2">
        <v>1</v>
      </c>
      <c r="AB531" s="2">
        <v>1</v>
      </c>
      <c r="AC531" s="2">
        <v>2</v>
      </c>
      <c r="AD531" s="2">
        <v>1</v>
      </c>
      <c r="AE531" s="2">
        <v>0</v>
      </c>
      <c r="AF531" s="2">
        <v>1</v>
      </c>
    </row>
    <row r="532" spans="1:32" x14ac:dyDescent="0.25">
      <c r="A532">
        <v>531</v>
      </c>
      <c r="B532" s="2">
        <v>1</v>
      </c>
      <c r="C532" s="2">
        <v>36</v>
      </c>
      <c r="D532" s="2">
        <v>2</v>
      </c>
      <c r="E532" s="2">
        <v>0</v>
      </c>
      <c r="F532" s="2">
        <v>0</v>
      </c>
      <c r="G532" s="2">
        <v>0</v>
      </c>
      <c r="H532" s="2">
        <v>0</v>
      </c>
      <c r="I532" s="2">
        <v>1</v>
      </c>
      <c r="J532" s="2">
        <v>0</v>
      </c>
      <c r="K532" s="2">
        <v>2273</v>
      </c>
      <c r="L532" s="2">
        <v>0</v>
      </c>
      <c r="M532" s="2">
        <v>3</v>
      </c>
      <c r="N532" s="2">
        <v>3</v>
      </c>
      <c r="O532" s="2">
        <v>0</v>
      </c>
      <c r="P532" s="2">
        <v>1</v>
      </c>
      <c r="Q532" s="2">
        <v>0</v>
      </c>
      <c r="R532" s="2">
        <v>0</v>
      </c>
      <c r="S532" s="2">
        <v>0</v>
      </c>
      <c r="T532" s="2">
        <v>1</v>
      </c>
      <c r="U532" s="2">
        <v>0</v>
      </c>
      <c r="V532" s="2">
        <v>0</v>
      </c>
      <c r="W532" s="2">
        <v>32</v>
      </c>
      <c r="X532" s="2">
        <v>0</v>
      </c>
      <c r="Y532" s="2">
        <v>0</v>
      </c>
      <c r="Z532" s="2">
        <v>1</v>
      </c>
      <c r="AA532" s="2">
        <v>2</v>
      </c>
      <c r="AB532" s="2">
        <v>2</v>
      </c>
      <c r="AC532" s="2">
        <v>2</v>
      </c>
      <c r="AD532" s="2">
        <v>0</v>
      </c>
      <c r="AE532" s="2">
        <v>0</v>
      </c>
      <c r="AF532" s="2">
        <v>1</v>
      </c>
    </row>
    <row r="533" spans="1:32" x14ac:dyDescent="0.25">
      <c r="A533">
        <v>532</v>
      </c>
      <c r="B533" s="2">
        <v>1</v>
      </c>
      <c r="C533" s="2">
        <v>15</v>
      </c>
      <c r="D533" s="2">
        <v>2</v>
      </c>
      <c r="E533" s="2">
        <v>1</v>
      </c>
      <c r="F533" s="2">
        <v>0</v>
      </c>
      <c r="G533" s="2">
        <v>0</v>
      </c>
      <c r="H533" s="2">
        <v>0</v>
      </c>
      <c r="I533" s="2">
        <v>0</v>
      </c>
      <c r="J533" s="2">
        <v>0</v>
      </c>
      <c r="K533" s="2">
        <v>2631</v>
      </c>
      <c r="L533" s="2">
        <v>1</v>
      </c>
      <c r="M533" s="2">
        <v>2</v>
      </c>
      <c r="N533" s="2">
        <v>2</v>
      </c>
      <c r="O533" s="2">
        <v>0</v>
      </c>
      <c r="P533" s="2">
        <v>0</v>
      </c>
      <c r="Q533" s="2">
        <v>0</v>
      </c>
      <c r="R533" s="2">
        <v>0</v>
      </c>
      <c r="S533" s="2">
        <v>0</v>
      </c>
      <c r="T533" s="2">
        <v>4</v>
      </c>
      <c r="U533" s="2">
        <v>0</v>
      </c>
      <c r="V533" s="2">
        <v>0</v>
      </c>
      <c r="W533" s="2">
        <v>28</v>
      </c>
      <c r="X533" s="2">
        <v>0</v>
      </c>
      <c r="Y533" s="2">
        <v>1</v>
      </c>
      <c r="Z533" s="2">
        <v>0</v>
      </c>
      <c r="AA533" s="2">
        <v>2</v>
      </c>
      <c r="AB533" s="2">
        <v>2</v>
      </c>
      <c r="AC533" s="2">
        <v>1</v>
      </c>
      <c r="AD533" s="2">
        <v>1</v>
      </c>
      <c r="AE533" s="2">
        <v>0</v>
      </c>
      <c r="AF533" s="2">
        <v>0</v>
      </c>
    </row>
    <row r="534" spans="1:32" x14ac:dyDescent="0.25">
      <c r="A534">
        <v>533</v>
      </c>
      <c r="B534" s="2">
        <v>3</v>
      </c>
      <c r="C534" s="2">
        <v>12</v>
      </c>
      <c r="D534" s="2">
        <v>3</v>
      </c>
      <c r="E534" s="2">
        <v>0</v>
      </c>
      <c r="F534" s="2">
        <v>1</v>
      </c>
      <c r="G534" s="2">
        <v>0</v>
      </c>
      <c r="H534" s="2">
        <v>0</v>
      </c>
      <c r="I534" s="2">
        <v>0</v>
      </c>
      <c r="J534" s="2">
        <v>0</v>
      </c>
      <c r="K534" s="2">
        <v>1503</v>
      </c>
      <c r="L534" s="2">
        <v>0</v>
      </c>
      <c r="M534" s="2">
        <v>2</v>
      </c>
      <c r="N534" s="2">
        <v>4</v>
      </c>
      <c r="O534" s="2">
        <v>0</v>
      </c>
      <c r="P534" s="2">
        <v>0</v>
      </c>
      <c r="Q534" s="2">
        <v>1</v>
      </c>
      <c r="R534" s="2">
        <v>0</v>
      </c>
      <c r="S534" s="2">
        <v>0</v>
      </c>
      <c r="T534" s="2">
        <v>4</v>
      </c>
      <c r="U534" s="2">
        <v>1</v>
      </c>
      <c r="V534" s="2">
        <v>0</v>
      </c>
      <c r="W534" s="2">
        <v>41</v>
      </c>
      <c r="X534" s="2">
        <v>0</v>
      </c>
      <c r="Y534" s="2">
        <v>1</v>
      </c>
      <c r="Z534" s="2">
        <v>0</v>
      </c>
      <c r="AA534" s="2">
        <v>1</v>
      </c>
      <c r="AB534" s="2">
        <v>2</v>
      </c>
      <c r="AC534" s="2">
        <v>1</v>
      </c>
      <c r="AD534" s="2">
        <v>0</v>
      </c>
      <c r="AE534" s="2">
        <v>0</v>
      </c>
      <c r="AF534" s="2">
        <v>1</v>
      </c>
    </row>
    <row r="535" spans="1:32" x14ac:dyDescent="0.25">
      <c r="A535">
        <v>534</v>
      </c>
      <c r="B535" s="2">
        <v>3</v>
      </c>
      <c r="C535" s="2">
        <v>24</v>
      </c>
      <c r="D535" s="2">
        <v>2</v>
      </c>
      <c r="E535" s="2">
        <v>0</v>
      </c>
      <c r="F535" s="2">
        <v>0</v>
      </c>
      <c r="G535" s="2">
        <v>0</v>
      </c>
      <c r="H535" s="2">
        <v>1</v>
      </c>
      <c r="I535" s="2">
        <v>0</v>
      </c>
      <c r="J535" s="2">
        <v>0</v>
      </c>
      <c r="K535" s="2">
        <v>1311</v>
      </c>
      <c r="L535" s="2">
        <v>1</v>
      </c>
      <c r="M535" s="2">
        <v>3</v>
      </c>
      <c r="N535" s="2">
        <v>4</v>
      </c>
      <c r="O535" s="2">
        <v>0</v>
      </c>
      <c r="P535" s="2">
        <v>0</v>
      </c>
      <c r="Q535" s="2">
        <v>1</v>
      </c>
      <c r="R535" s="2">
        <v>0</v>
      </c>
      <c r="S535" s="2">
        <v>0</v>
      </c>
      <c r="T535" s="2">
        <v>3</v>
      </c>
      <c r="U535" s="2">
        <v>0</v>
      </c>
      <c r="V535" s="2">
        <v>0</v>
      </c>
      <c r="W535" s="2">
        <v>26</v>
      </c>
      <c r="X535" s="2">
        <v>0</v>
      </c>
      <c r="Y535" s="2">
        <v>0</v>
      </c>
      <c r="Z535" s="2">
        <v>1</v>
      </c>
      <c r="AA535" s="2">
        <v>1</v>
      </c>
      <c r="AB535" s="2">
        <v>2</v>
      </c>
      <c r="AC535" s="2">
        <v>1</v>
      </c>
      <c r="AD535" s="2">
        <v>1</v>
      </c>
      <c r="AE535" s="2">
        <v>0</v>
      </c>
      <c r="AF535" s="2">
        <v>1</v>
      </c>
    </row>
    <row r="536" spans="1:32" x14ac:dyDescent="0.25">
      <c r="A536">
        <v>535</v>
      </c>
      <c r="B536" s="2">
        <v>3</v>
      </c>
      <c r="C536" s="2">
        <v>24</v>
      </c>
      <c r="D536" s="2">
        <v>2</v>
      </c>
      <c r="E536" s="2">
        <v>0</v>
      </c>
      <c r="F536" s="2">
        <v>0</v>
      </c>
      <c r="G536" s="2">
        <v>0</v>
      </c>
      <c r="H536" s="2">
        <v>1</v>
      </c>
      <c r="I536" s="2">
        <v>0</v>
      </c>
      <c r="J536" s="2">
        <v>0</v>
      </c>
      <c r="K536" s="2">
        <v>3105</v>
      </c>
      <c r="L536" s="2">
        <v>4</v>
      </c>
      <c r="M536" s="2">
        <v>1</v>
      </c>
      <c r="N536" s="2">
        <v>4</v>
      </c>
      <c r="O536" s="2">
        <v>0</v>
      </c>
      <c r="P536" s="2">
        <v>1</v>
      </c>
      <c r="Q536" s="2">
        <v>0</v>
      </c>
      <c r="R536" s="2">
        <v>0</v>
      </c>
      <c r="S536" s="2">
        <v>0</v>
      </c>
      <c r="T536" s="2">
        <v>2</v>
      </c>
      <c r="U536" s="2">
        <v>0</v>
      </c>
      <c r="V536" s="2">
        <v>0</v>
      </c>
      <c r="W536" s="2">
        <v>25</v>
      </c>
      <c r="X536" s="2">
        <v>0</v>
      </c>
      <c r="Y536" s="2">
        <v>0</v>
      </c>
      <c r="Z536" s="2">
        <v>1</v>
      </c>
      <c r="AA536" s="2">
        <v>2</v>
      </c>
      <c r="AB536" s="2">
        <v>2</v>
      </c>
      <c r="AC536" s="2">
        <v>1</v>
      </c>
      <c r="AD536" s="2">
        <v>0</v>
      </c>
      <c r="AE536" s="2">
        <v>0</v>
      </c>
      <c r="AF536" s="2">
        <v>1</v>
      </c>
    </row>
    <row r="537" spans="1:32" x14ac:dyDescent="0.25">
      <c r="A537">
        <v>536</v>
      </c>
      <c r="B537" s="2">
        <v>2</v>
      </c>
      <c r="C537" s="2">
        <v>21</v>
      </c>
      <c r="D537" s="2">
        <v>4</v>
      </c>
      <c r="E537" s="2">
        <v>0</v>
      </c>
      <c r="F537" s="2">
        <v>0</v>
      </c>
      <c r="G537" s="2">
        <v>0</v>
      </c>
      <c r="H537" s="2">
        <v>0</v>
      </c>
      <c r="I537" s="2">
        <v>1</v>
      </c>
      <c r="J537" s="2">
        <v>0</v>
      </c>
      <c r="K537" s="2">
        <v>2319</v>
      </c>
      <c r="L537" s="2">
        <v>0</v>
      </c>
      <c r="M537" s="2">
        <v>1</v>
      </c>
      <c r="N537" s="2">
        <v>2</v>
      </c>
      <c r="O537" s="2">
        <v>1</v>
      </c>
      <c r="P537" s="2">
        <v>0</v>
      </c>
      <c r="Q537" s="2">
        <v>0</v>
      </c>
      <c r="R537" s="2">
        <v>0</v>
      </c>
      <c r="S537" s="2">
        <v>0</v>
      </c>
      <c r="T537" s="2">
        <v>1</v>
      </c>
      <c r="U537" s="2">
        <v>0</v>
      </c>
      <c r="V537" s="2">
        <v>0</v>
      </c>
      <c r="W537" s="2">
        <v>33</v>
      </c>
      <c r="X537" s="2">
        <v>0</v>
      </c>
      <c r="Y537" s="2">
        <v>1</v>
      </c>
      <c r="Z537" s="2">
        <v>0</v>
      </c>
      <c r="AA537" s="2">
        <v>1</v>
      </c>
      <c r="AB537" s="2">
        <v>2</v>
      </c>
      <c r="AC537" s="2">
        <v>1</v>
      </c>
      <c r="AD537" s="2">
        <v>0</v>
      </c>
      <c r="AE537" s="2">
        <v>0</v>
      </c>
      <c r="AF537" s="2">
        <v>0</v>
      </c>
    </row>
    <row r="538" spans="1:32" x14ac:dyDescent="0.25">
      <c r="A538">
        <v>537</v>
      </c>
      <c r="B538" s="2">
        <v>0</v>
      </c>
      <c r="C538" s="2">
        <v>6</v>
      </c>
      <c r="D538" s="2">
        <v>2</v>
      </c>
      <c r="E538" s="2">
        <v>1</v>
      </c>
      <c r="F538" s="2">
        <v>0</v>
      </c>
      <c r="G538" s="2">
        <v>0</v>
      </c>
      <c r="H538" s="2">
        <v>0</v>
      </c>
      <c r="I538" s="2">
        <v>0</v>
      </c>
      <c r="J538" s="2">
        <v>0</v>
      </c>
      <c r="K538" s="2">
        <v>1374</v>
      </c>
      <c r="L538" s="2">
        <v>4</v>
      </c>
      <c r="M538" s="2">
        <v>0</v>
      </c>
      <c r="N538" s="2">
        <v>4</v>
      </c>
      <c r="O538" s="2">
        <v>0</v>
      </c>
      <c r="P538" s="2">
        <v>0</v>
      </c>
      <c r="Q538" s="2">
        <v>0</v>
      </c>
      <c r="R538" s="2">
        <v>0</v>
      </c>
      <c r="S538" s="2">
        <v>0</v>
      </c>
      <c r="T538" s="2">
        <v>3</v>
      </c>
      <c r="U538" s="2">
        <v>0</v>
      </c>
      <c r="V538" s="2">
        <v>0</v>
      </c>
      <c r="W538" s="2">
        <v>75</v>
      </c>
      <c r="X538" s="2">
        <v>0</v>
      </c>
      <c r="Y538" s="2">
        <v>0</v>
      </c>
      <c r="Z538" s="2">
        <v>1</v>
      </c>
      <c r="AA538" s="2">
        <v>1</v>
      </c>
      <c r="AB538" s="2">
        <v>3</v>
      </c>
      <c r="AC538" s="2">
        <v>1</v>
      </c>
      <c r="AD538" s="2">
        <v>1</v>
      </c>
      <c r="AE538" s="2">
        <v>0</v>
      </c>
      <c r="AF538" s="2">
        <v>1</v>
      </c>
    </row>
    <row r="539" spans="1:32" x14ac:dyDescent="0.25">
      <c r="A539">
        <v>538</v>
      </c>
      <c r="B539" s="2">
        <v>1</v>
      </c>
      <c r="C539" s="2">
        <v>18</v>
      </c>
      <c r="D539" s="2">
        <v>4</v>
      </c>
      <c r="E539" s="2">
        <v>0</v>
      </c>
      <c r="F539" s="2">
        <v>0</v>
      </c>
      <c r="G539" s="2">
        <v>1</v>
      </c>
      <c r="H539" s="2">
        <v>0</v>
      </c>
      <c r="I539" s="2">
        <v>0</v>
      </c>
      <c r="J539" s="2">
        <v>0</v>
      </c>
      <c r="K539" s="2">
        <v>3612</v>
      </c>
      <c r="L539" s="2">
        <v>0</v>
      </c>
      <c r="M539" s="2">
        <v>4</v>
      </c>
      <c r="N539" s="2">
        <v>3</v>
      </c>
      <c r="O539" s="2">
        <v>0</v>
      </c>
      <c r="P539" s="2">
        <v>0</v>
      </c>
      <c r="Q539" s="2">
        <v>0</v>
      </c>
      <c r="R539" s="2">
        <v>0</v>
      </c>
      <c r="S539" s="2">
        <v>0</v>
      </c>
      <c r="T539" s="2">
        <v>4</v>
      </c>
      <c r="U539" s="2">
        <v>0</v>
      </c>
      <c r="V539" s="2">
        <v>0</v>
      </c>
      <c r="W539" s="2">
        <v>37</v>
      </c>
      <c r="X539" s="2">
        <v>0</v>
      </c>
      <c r="Y539" s="2">
        <v>0</v>
      </c>
      <c r="Z539" s="2">
        <v>1</v>
      </c>
      <c r="AA539" s="2">
        <v>1</v>
      </c>
      <c r="AB539" s="2">
        <v>2</v>
      </c>
      <c r="AC539" s="2">
        <v>1</v>
      </c>
      <c r="AD539" s="2">
        <v>1</v>
      </c>
      <c r="AE539" s="2">
        <v>0</v>
      </c>
      <c r="AF539" s="2">
        <v>1</v>
      </c>
    </row>
    <row r="540" spans="1:32" x14ac:dyDescent="0.25">
      <c r="A540">
        <v>539</v>
      </c>
      <c r="B540" s="2">
        <v>0</v>
      </c>
      <c r="C540" s="2">
        <v>48</v>
      </c>
      <c r="D540" s="2">
        <v>2</v>
      </c>
      <c r="E540" s="2">
        <v>1</v>
      </c>
      <c r="F540" s="2">
        <v>0</v>
      </c>
      <c r="G540" s="2">
        <v>0</v>
      </c>
      <c r="H540" s="2">
        <v>0</v>
      </c>
      <c r="I540" s="2">
        <v>0</v>
      </c>
      <c r="J540" s="2">
        <v>0</v>
      </c>
      <c r="K540" s="2">
        <v>7763</v>
      </c>
      <c r="L540" s="2">
        <v>0</v>
      </c>
      <c r="M540" s="2">
        <v>4</v>
      </c>
      <c r="N540" s="2">
        <v>4</v>
      </c>
      <c r="O540" s="2">
        <v>0</v>
      </c>
      <c r="P540" s="2">
        <v>1</v>
      </c>
      <c r="Q540" s="2">
        <v>0</v>
      </c>
      <c r="R540" s="2">
        <v>0</v>
      </c>
      <c r="S540" s="2">
        <v>0</v>
      </c>
      <c r="T540" s="2">
        <v>4</v>
      </c>
      <c r="U540" s="2">
        <v>0</v>
      </c>
      <c r="V540" s="2">
        <v>1</v>
      </c>
      <c r="W540" s="2">
        <v>42</v>
      </c>
      <c r="X540" s="2">
        <v>1</v>
      </c>
      <c r="Y540" s="2">
        <v>0</v>
      </c>
      <c r="Z540" s="2">
        <v>0</v>
      </c>
      <c r="AA540" s="2">
        <v>1</v>
      </c>
      <c r="AB540" s="2">
        <v>3</v>
      </c>
      <c r="AC540" s="2">
        <v>1</v>
      </c>
      <c r="AD540" s="2">
        <v>0</v>
      </c>
      <c r="AE540" s="2">
        <v>0</v>
      </c>
      <c r="AF540" s="2">
        <v>0</v>
      </c>
    </row>
    <row r="541" spans="1:32" x14ac:dyDescent="0.25">
      <c r="A541">
        <v>540</v>
      </c>
      <c r="B541" s="2">
        <v>2</v>
      </c>
      <c r="C541" s="2">
        <v>18</v>
      </c>
      <c r="D541" s="2">
        <v>2</v>
      </c>
      <c r="E541" s="2">
        <v>0</v>
      </c>
      <c r="F541" s="2">
        <v>0</v>
      </c>
      <c r="G541" s="2">
        <v>1</v>
      </c>
      <c r="H541" s="2">
        <v>0</v>
      </c>
      <c r="I541" s="2">
        <v>0</v>
      </c>
      <c r="J541" s="2">
        <v>0</v>
      </c>
      <c r="K541" s="2">
        <v>3049</v>
      </c>
      <c r="L541" s="2">
        <v>0</v>
      </c>
      <c r="M541" s="2">
        <v>1</v>
      </c>
      <c r="N541" s="2">
        <v>1</v>
      </c>
      <c r="O541" s="2">
        <v>0</v>
      </c>
      <c r="P541" s="2">
        <v>0</v>
      </c>
      <c r="Q541" s="2">
        <v>0</v>
      </c>
      <c r="R541" s="2">
        <v>0</v>
      </c>
      <c r="S541" s="2">
        <v>0</v>
      </c>
      <c r="T541" s="2">
        <v>1</v>
      </c>
      <c r="U541" s="2">
        <v>0</v>
      </c>
      <c r="V541" s="2">
        <v>0</v>
      </c>
      <c r="W541" s="2">
        <v>45</v>
      </c>
      <c r="X541" s="2">
        <v>1</v>
      </c>
      <c r="Y541" s="2">
        <v>0</v>
      </c>
      <c r="Z541" s="2">
        <v>1</v>
      </c>
      <c r="AA541" s="2">
        <v>1</v>
      </c>
      <c r="AB541" s="2">
        <v>1</v>
      </c>
      <c r="AC541" s="2">
        <v>1</v>
      </c>
      <c r="AD541" s="2">
        <v>0</v>
      </c>
      <c r="AE541" s="2">
        <v>0</v>
      </c>
      <c r="AF541" s="2">
        <v>1</v>
      </c>
    </row>
    <row r="542" spans="1:32" x14ac:dyDescent="0.25">
      <c r="A542">
        <v>541</v>
      </c>
      <c r="B542" s="2">
        <v>1</v>
      </c>
      <c r="C542" s="2">
        <v>12</v>
      </c>
      <c r="D542" s="2">
        <v>2</v>
      </c>
      <c r="E542" s="2">
        <v>0</v>
      </c>
      <c r="F542" s="2">
        <v>0</v>
      </c>
      <c r="G542" s="2">
        <v>0</v>
      </c>
      <c r="H542" s="2">
        <v>1</v>
      </c>
      <c r="I542" s="2">
        <v>0</v>
      </c>
      <c r="J542" s="2">
        <v>0</v>
      </c>
      <c r="K542" s="2">
        <v>1534</v>
      </c>
      <c r="L542" s="2">
        <v>0</v>
      </c>
      <c r="M542" s="2">
        <v>1</v>
      </c>
      <c r="N542" s="2">
        <v>1</v>
      </c>
      <c r="O542" s="2">
        <v>0</v>
      </c>
      <c r="P542" s="2">
        <v>0</v>
      </c>
      <c r="Q542" s="2">
        <v>1</v>
      </c>
      <c r="R542" s="2">
        <v>0</v>
      </c>
      <c r="S542" s="2">
        <v>0</v>
      </c>
      <c r="T542" s="2">
        <v>1</v>
      </c>
      <c r="U542" s="2">
        <v>1</v>
      </c>
      <c r="V542" s="2">
        <v>0</v>
      </c>
      <c r="W542" s="2">
        <v>23</v>
      </c>
      <c r="X542" s="2">
        <v>0</v>
      </c>
      <c r="Y542" s="2">
        <v>1</v>
      </c>
      <c r="Z542" s="2">
        <v>0</v>
      </c>
      <c r="AA542" s="2">
        <v>1</v>
      </c>
      <c r="AB542" s="2">
        <v>2</v>
      </c>
      <c r="AC542" s="2">
        <v>1</v>
      </c>
      <c r="AD542" s="2">
        <v>0</v>
      </c>
      <c r="AE542" s="2">
        <v>0</v>
      </c>
      <c r="AF542" s="2">
        <v>0</v>
      </c>
    </row>
    <row r="543" spans="1:32" x14ac:dyDescent="0.25">
      <c r="A543">
        <v>542</v>
      </c>
      <c r="B543" s="2">
        <v>3</v>
      </c>
      <c r="C543" s="2">
        <v>24</v>
      </c>
      <c r="D543" s="2">
        <v>3</v>
      </c>
      <c r="E543" s="2">
        <v>1</v>
      </c>
      <c r="F543" s="2">
        <v>0</v>
      </c>
      <c r="G543" s="2">
        <v>0</v>
      </c>
      <c r="H543" s="2">
        <v>0</v>
      </c>
      <c r="I543" s="2">
        <v>0</v>
      </c>
      <c r="J543" s="2">
        <v>0</v>
      </c>
      <c r="K543" s="2">
        <v>2032</v>
      </c>
      <c r="L543" s="2">
        <v>0</v>
      </c>
      <c r="M543" s="2">
        <v>4</v>
      </c>
      <c r="N543" s="2">
        <v>4</v>
      </c>
      <c r="O543" s="2">
        <v>0</v>
      </c>
      <c r="P543" s="2">
        <v>1</v>
      </c>
      <c r="Q543" s="2">
        <v>0</v>
      </c>
      <c r="R543" s="2">
        <v>0</v>
      </c>
      <c r="S543" s="2">
        <v>0</v>
      </c>
      <c r="T543" s="2">
        <v>4</v>
      </c>
      <c r="U543" s="2">
        <v>0</v>
      </c>
      <c r="V543" s="2">
        <v>1</v>
      </c>
      <c r="W543" s="2">
        <v>60</v>
      </c>
      <c r="X543" s="2">
        <v>0</v>
      </c>
      <c r="Y543" s="2">
        <v>0</v>
      </c>
      <c r="Z543" s="2">
        <v>0</v>
      </c>
      <c r="AA543" s="2">
        <v>2</v>
      </c>
      <c r="AB543" s="2">
        <v>2</v>
      </c>
      <c r="AC543" s="2">
        <v>1</v>
      </c>
      <c r="AD543" s="2">
        <v>1</v>
      </c>
      <c r="AE543" s="2">
        <v>0</v>
      </c>
      <c r="AF543" s="2">
        <v>1</v>
      </c>
    </row>
    <row r="544" spans="1:32" x14ac:dyDescent="0.25">
      <c r="A544">
        <v>543</v>
      </c>
      <c r="B544" s="2">
        <v>0</v>
      </c>
      <c r="C544" s="2">
        <v>30</v>
      </c>
      <c r="D544" s="2">
        <v>2</v>
      </c>
      <c r="E544" s="2">
        <v>0</v>
      </c>
      <c r="F544" s="2">
        <v>0</v>
      </c>
      <c r="G544" s="2">
        <v>1</v>
      </c>
      <c r="H544" s="2">
        <v>0</v>
      </c>
      <c r="I544" s="2">
        <v>0</v>
      </c>
      <c r="J544" s="2">
        <v>0</v>
      </c>
      <c r="K544" s="2">
        <v>6350</v>
      </c>
      <c r="L544" s="2">
        <v>4</v>
      </c>
      <c r="M544" s="2">
        <v>4</v>
      </c>
      <c r="N544" s="2">
        <v>4</v>
      </c>
      <c r="O544" s="2">
        <v>0</v>
      </c>
      <c r="P544" s="2">
        <v>1</v>
      </c>
      <c r="Q544" s="2">
        <v>0</v>
      </c>
      <c r="R544" s="2">
        <v>0</v>
      </c>
      <c r="S544" s="2">
        <v>0</v>
      </c>
      <c r="T544" s="2">
        <v>4</v>
      </c>
      <c r="U544" s="2">
        <v>0</v>
      </c>
      <c r="V544" s="2">
        <v>0</v>
      </c>
      <c r="W544" s="2">
        <v>31</v>
      </c>
      <c r="X544" s="2">
        <v>0</v>
      </c>
      <c r="Y544" s="2">
        <v>0</v>
      </c>
      <c r="Z544" s="2">
        <v>1</v>
      </c>
      <c r="AA544" s="2">
        <v>1</v>
      </c>
      <c r="AB544" s="2">
        <v>2</v>
      </c>
      <c r="AC544" s="2">
        <v>1</v>
      </c>
      <c r="AD544" s="2">
        <v>0</v>
      </c>
      <c r="AE544" s="2">
        <v>0</v>
      </c>
      <c r="AF544" s="2">
        <v>0</v>
      </c>
    </row>
    <row r="545" spans="1:32" x14ac:dyDescent="0.25">
      <c r="A545">
        <v>544</v>
      </c>
      <c r="B545" s="2">
        <v>2</v>
      </c>
      <c r="C545" s="2">
        <v>18</v>
      </c>
      <c r="D545" s="2">
        <v>2</v>
      </c>
      <c r="E545" s="2">
        <v>0</v>
      </c>
      <c r="F545" s="2">
        <v>0</v>
      </c>
      <c r="G545" s="2">
        <v>1</v>
      </c>
      <c r="H545" s="2">
        <v>0</v>
      </c>
      <c r="I545" s="2">
        <v>0</v>
      </c>
      <c r="J545" s="2">
        <v>0</v>
      </c>
      <c r="K545" s="2">
        <v>2864</v>
      </c>
      <c r="L545" s="2">
        <v>0</v>
      </c>
      <c r="M545" s="2">
        <v>2</v>
      </c>
      <c r="N545" s="2">
        <v>2</v>
      </c>
      <c r="O545" s="2">
        <v>0</v>
      </c>
      <c r="P545" s="2">
        <v>1</v>
      </c>
      <c r="Q545" s="2">
        <v>0</v>
      </c>
      <c r="R545" s="2">
        <v>0</v>
      </c>
      <c r="S545" s="2">
        <v>0</v>
      </c>
      <c r="T545" s="2">
        <v>1</v>
      </c>
      <c r="U545" s="2">
        <v>1</v>
      </c>
      <c r="V545" s="2">
        <v>0</v>
      </c>
      <c r="W545" s="2">
        <v>34</v>
      </c>
      <c r="X545" s="2">
        <v>0</v>
      </c>
      <c r="Y545" s="2">
        <v>0</v>
      </c>
      <c r="Z545" s="2">
        <v>1</v>
      </c>
      <c r="AA545" s="2">
        <v>1</v>
      </c>
      <c r="AB545" s="2">
        <v>1</v>
      </c>
      <c r="AC545" s="2">
        <v>2</v>
      </c>
      <c r="AD545" s="2">
        <v>0</v>
      </c>
      <c r="AE545" s="2">
        <v>0</v>
      </c>
      <c r="AF545" s="2">
        <v>0</v>
      </c>
    </row>
    <row r="546" spans="1:32" x14ac:dyDescent="0.25">
      <c r="A546">
        <v>545</v>
      </c>
      <c r="B546" s="2">
        <v>3</v>
      </c>
      <c r="C546" s="2">
        <v>12</v>
      </c>
      <c r="D546" s="2">
        <v>4</v>
      </c>
      <c r="E546" s="2">
        <v>1</v>
      </c>
      <c r="F546" s="2">
        <v>0</v>
      </c>
      <c r="G546" s="2">
        <v>0</v>
      </c>
      <c r="H546" s="2">
        <v>0</v>
      </c>
      <c r="I546" s="2">
        <v>0</v>
      </c>
      <c r="J546" s="2">
        <v>0</v>
      </c>
      <c r="K546" s="2">
        <v>1255</v>
      </c>
      <c r="L546" s="2">
        <v>0</v>
      </c>
      <c r="M546" s="2">
        <v>4</v>
      </c>
      <c r="N546" s="2">
        <v>4</v>
      </c>
      <c r="O546" s="2">
        <v>0</v>
      </c>
      <c r="P546" s="2">
        <v>1</v>
      </c>
      <c r="Q546" s="2">
        <v>0</v>
      </c>
      <c r="R546" s="2">
        <v>0</v>
      </c>
      <c r="S546" s="2">
        <v>0</v>
      </c>
      <c r="T546" s="2">
        <v>4</v>
      </c>
      <c r="U546" s="2">
        <v>1</v>
      </c>
      <c r="V546" s="2">
        <v>0</v>
      </c>
      <c r="W546" s="2">
        <v>61</v>
      </c>
      <c r="X546" s="2">
        <v>0</v>
      </c>
      <c r="Y546" s="2">
        <v>0</v>
      </c>
      <c r="Z546" s="2">
        <v>1</v>
      </c>
      <c r="AA546" s="2">
        <v>2</v>
      </c>
      <c r="AB546" s="2">
        <v>1</v>
      </c>
      <c r="AC546" s="2">
        <v>1</v>
      </c>
      <c r="AD546" s="2">
        <v>0</v>
      </c>
      <c r="AE546" s="2">
        <v>0</v>
      </c>
      <c r="AF546" s="2">
        <v>1</v>
      </c>
    </row>
    <row r="547" spans="1:32" x14ac:dyDescent="0.25">
      <c r="A547">
        <v>546</v>
      </c>
      <c r="B547" s="2">
        <v>0</v>
      </c>
      <c r="C547" s="2">
        <v>24</v>
      </c>
      <c r="D547" s="2">
        <v>3</v>
      </c>
      <c r="E547" s="2">
        <v>1</v>
      </c>
      <c r="F547" s="2">
        <v>0</v>
      </c>
      <c r="G547" s="2">
        <v>0</v>
      </c>
      <c r="H547" s="2">
        <v>0</v>
      </c>
      <c r="I547" s="2">
        <v>0</v>
      </c>
      <c r="J547" s="2">
        <v>0</v>
      </c>
      <c r="K547" s="2">
        <v>1333</v>
      </c>
      <c r="L547" s="2">
        <v>0</v>
      </c>
      <c r="M547" s="2">
        <v>0</v>
      </c>
      <c r="N547" s="2">
        <v>4</v>
      </c>
      <c r="O547" s="2">
        <v>0</v>
      </c>
      <c r="P547" s="2">
        <v>1</v>
      </c>
      <c r="Q547" s="2">
        <v>0</v>
      </c>
      <c r="R547" s="2">
        <v>0</v>
      </c>
      <c r="S547" s="2">
        <v>0</v>
      </c>
      <c r="T547" s="2">
        <v>2</v>
      </c>
      <c r="U547" s="2">
        <v>1</v>
      </c>
      <c r="V547" s="2">
        <v>0</v>
      </c>
      <c r="W547" s="2">
        <v>43</v>
      </c>
      <c r="X547" s="2">
        <v>0</v>
      </c>
      <c r="Y547" s="2">
        <v>0</v>
      </c>
      <c r="Z547" s="2">
        <v>0</v>
      </c>
      <c r="AA547" s="2">
        <v>2</v>
      </c>
      <c r="AB547" s="2">
        <v>2</v>
      </c>
      <c r="AC547" s="2">
        <v>2</v>
      </c>
      <c r="AD547" s="2">
        <v>0</v>
      </c>
      <c r="AE547" s="2">
        <v>0</v>
      </c>
      <c r="AF547" s="2">
        <v>0</v>
      </c>
    </row>
    <row r="548" spans="1:32" x14ac:dyDescent="0.25">
      <c r="A548">
        <v>547</v>
      </c>
      <c r="B548" s="2">
        <v>3</v>
      </c>
      <c r="C548" s="2">
        <v>24</v>
      </c>
      <c r="D548" s="2">
        <v>4</v>
      </c>
      <c r="E548" s="2">
        <v>1</v>
      </c>
      <c r="F548" s="2">
        <v>0</v>
      </c>
      <c r="G548" s="2">
        <v>0</v>
      </c>
      <c r="H548" s="2">
        <v>0</v>
      </c>
      <c r="I548" s="2">
        <v>0</v>
      </c>
      <c r="J548" s="2">
        <v>0</v>
      </c>
      <c r="K548" s="2">
        <v>2022</v>
      </c>
      <c r="L548" s="2">
        <v>0</v>
      </c>
      <c r="M548" s="2">
        <v>2</v>
      </c>
      <c r="N548" s="2">
        <v>4</v>
      </c>
      <c r="O548" s="2">
        <v>0</v>
      </c>
      <c r="P548" s="2">
        <v>0</v>
      </c>
      <c r="Q548" s="2">
        <v>0</v>
      </c>
      <c r="R548" s="2">
        <v>0</v>
      </c>
      <c r="S548" s="2">
        <v>0</v>
      </c>
      <c r="T548" s="2">
        <v>4</v>
      </c>
      <c r="U548" s="2">
        <v>0</v>
      </c>
      <c r="V548" s="2">
        <v>0</v>
      </c>
      <c r="W548" s="2">
        <v>37</v>
      </c>
      <c r="X548" s="2">
        <v>0</v>
      </c>
      <c r="Y548" s="2">
        <v>0</v>
      </c>
      <c r="Z548" s="2">
        <v>1</v>
      </c>
      <c r="AA548" s="2">
        <v>1</v>
      </c>
      <c r="AB548" s="2">
        <v>2</v>
      </c>
      <c r="AC548" s="2">
        <v>1</v>
      </c>
      <c r="AD548" s="2">
        <v>1</v>
      </c>
      <c r="AE548" s="2">
        <v>0</v>
      </c>
      <c r="AF548" s="2">
        <v>1</v>
      </c>
    </row>
    <row r="549" spans="1:32" x14ac:dyDescent="0.25">
      <c r="A549">
        <v>548</v>
      </c>
      <c r="B549" s="2">
        <v>3</v>
      </c>
      <c r="C549" s="2">
        <v>24</v>
      </c>
      <c r="D549" s="2">
        <v>2</v>
      </c>
      <c r="E549" s="2">
        <v>0</v>
      </c>
      <c r="F549" s="2">
        <v>0</v>
      </c>
      <c r="G549" s="2">
        <v>0</v>
      </c>
      <c r="H549" s="2">
        <v>1</v>
      </c>
      <c r="I549" s="2">
        <v>0</v>
      </c>
      <c r="J549" s="2">
        <v>0</v>
      </c>
      <c r="K549" s="2">
        <v>1552</v>
      </c>
      <c r="L549" s="2">
        <v>0</v>
      </c>
      <c r="M549" s="2">
        <v>3</v>
      </c>
      <c r="N549" s="2">
        <v>3</v>
      </c>
      <c r="O549" s="2">
        <v>0</v>
      </c>
      <c r="P549" s="2">
        <v>1</v>
      </c>
      <c r="Q549" s="2">
        <v>0</v>
      </c>
      <c r="R549" s="2">
        <v>0</v>
      </c>
      <c r="S549" s="2">
        <v>0</v>
      </c>
      <c r="T549" s="2">
        <v>1</v>
      </c>
      <c r="U549" s="2">
        <v>0</v>
      </c>
      <c r="V549" s="2">
        <v>0</v>
      </c>
      <c r="W549" s="2">
        <v>32</v>
      </c>
      <c r="X549" s="2">
        <v>1</v>
      </c>
      <c r="Y549" s="2">
        <v>0</v>
      </c>
      <c r="Z549" s="2">
        <v>1</v>
      </c>
      <c r="AA549" s="2">
        <v>1</v>
      </c>
      <c r="AB549" s="2">
        <v>2</v>
      </c>
      <c r="AC549" s="2">
        <v>2</v>
      </c>
      <c r="AD549" s="2">
        <v>0</v>
      </c>
      <c r="AE549" s="2">
        <v>0</v>
      </c>
      <c r="AF549" s="2">
        <v>1</v>
      </c>
    </row>
    <row r="550" spans="1:32" x14ac:dyDescent="0.25">
      <c r="A550">
        <v>549</v>
      </c>
      <c r="B550" s="2">
        <v>0</v>
      </c>
      <c r="C550" s="2">
        <v>12</v>
      </c>
      <c r="D550" s="2">
        <v>1</v>
      </c>
      <c r="E550" s="2">
        <v>0</v>
      </c>
      <c r="F550" s="2">
        <v>0</v>
      </c>
      <c r="G550" s="2">
        <v>0</v>
      </c>
      <c r="H550" s="2">
        <v>1</v>
      </c>
      <c r="I550" s="2">
        <v>0</v>
      </c>
      <c r="J550" s="2">
        <v>0</v>
      </c>
      <c r="K550" s="2">
        <v>626</v>
      </c>
      <c r="L550" s="2">
        <v>0</v>
      </c>
      <c r="M550" s="2">
        <v>2</v>
      </c>
      <c r="N550" s="2">
        <v>4</v>
      </c>
      <c r="O550" s="2">
        <v>0</v>
      </c>
      <c r="P550" s="2">
        <v>0</v>
      </c>
      <c r="Q550" s="2">
        <v>0</v>
      </c>
      <c r="R550" s="2">
        <v>0</v>
      </c>
      <c r="S550" s="2">
        <v>0</v>
      </c>
      <c r="T550" s="2">
        <v>4</v>
      </c>
      <c r="U550" s="2">
        <v>1</v>
      </c>
      <c r="V550" s="2">
        <v>0</v>
      </c>
      <c r="W550" s="2">
        <v>24</v>
      </c>
      <c r="X550" s="2">
        <v>1</v>
      </c>
      <c r="Y550" s="2">
        <v>0</v>
      </c>
      <c r="Z550" s="2">
        <v>1</v>
      </c>
      <c r="AA550" s="2">
        <v>1</v>
      </c>
      <c r="AB550" s="2">
        <v>1</v>
      </c>
      <c r="AC550" s="2">
        <v>1</v>
      </c>
      <c r="AD550" s="2">
        <v>0</v>
      </c>
      <c r="AE550" s="2">
        <v>0</v>
      </c>
      <c r="AF550" s="2">
        <v>0</v>
      </c>
    </row>
    <row r="551" spans="1:32" x14ac:dyDescent="0.25">
      <c r="A551">
        <v>550</v>
      </c>
      <c r="B551" s="2">
        <v>3</v>
      </c>
      <c r="C551" s="2">
        <v>48</v>
      </c>
      <c r="D551" s="2">
        <v>4</v>
      </c>
      <c r="E551" s="2">
        <v>0</v>
      </c>
      <c r="F551" s="2">
        <v>1</v>
      </c>
      <c r="G551" s="2">
        <v>0</v>
      </c>
      <c r="H551" s="2">
        <v>0</v>
      </c>
      <c r="I551" s="2">
        <v>0</v>
      </c>
      <c r="J551" s="2">
        <v>0</v>
      </c>
      <c r="K551" s="2">
        <v>8858</v>
      </c>
      <c r="L551" s="2">
        <v>4</v>
      </c>
      <c r="M551" s="2">
        <v>3</v>
      </c>
      <c r="N551" s="2">
        <v>2</v>
      </c>
      <c r="O551" s="2">
        <v>0</v>
      </c>
      <c r="P551" s="2">
        <v>1</v>
      </c>
      <c r="Q551" s="2">
        <v>0</v>
      </c>
      <c r="R551" s="2">
        <v>0</v>
      </c>
      <c r="S551" s="2">
        <v>0</v>
      </c>
      <c r="T551" s="2">
        <v>1</v>
      </c>
      <c r="U551" s="2">
        <v>0</v>
      </c>
      <c r="V551" s="2">
        <v>1</v>
      </c>
      <c r="W551" s="2">
        <v>35</v>
      </c>
      <c r="X551" s="2">
        <v>0</v>
      </c>
      <c r="Y551" s="2">
        <v>0</v>
      </c>
      <c r="Z551" s="2">
        <v>0</v>
      </c>
      <c r="AA551" s="2">
        <v>2</v>
      </c>
      <c r="AB551" s="2">
        <v>2</v>
      </c>
      <c r="AC551" s="2">
        <v>1</v>
      </c>
      <c r="AD551" s="2">
        <v>1</v>
      </c>
      <c r="AE551" s="2">
        <v>0</v>
      </c>
      <c r="AF551" s="2">
        <v>1</v>
      </c>
    </row>
    <row r="552" spans="1:32" x14ac:dyDescent="0.25">
      <c r="A552">
        <v>551</v>
      </c>
      <c r="B552" s="2">
        <v>3</v>
      </c>
      <c r="C552" s="2">
        <v>12</v>
      </c>
      <c r="D552" s="2">
        <v>4</v>
      </c>
      <c r="E552" s="2">
        <v>0</v>
      </c>
      <c r="F552" s="2">
        <v>0</v>
      </c>
      <c r="G552" s="2">
        <v>0</v>
      </c>
      <c r="H552" s="2">
        <v>0</v>
      </c>
      <c r="I552" s="2">
        <v>0</v>
      </c>
      <c r="J552" s="2">
        <v>0</v>
      </c>
      <c r="K552" s="2">
        <v>996</v>
      </c>
      <c r="L552" s="2">
        <v>4</v>
      </c>
      <c r="M552" s="2">
        <v>3</v>
      </c>
      <c r="N552" s="2">
        <v>4</v>
      </c>
      <c r="O552" s="2">
        <v>0</v>
      </c>
      <c r="P552" s="2">
        <v>0</v>
      </c>
      <c r="Q552" s="2">
        <v>0</v>
      </c>
      <c r="R552" s="2">
        <v>0</v>
      </c>
      <c r="S552" s="2">
        <v>0</v>
      </c>
      <c r="T552" s="2">
        <v>4</v>
      </c>
      <c r="U552" s="2">
        <v>1</v>
      </c>
      <c r="V552" s="2">
        <v>0</v>
      </c>
      <c r="W552" s="2">
        <v>23</v>
      </c>
      <c r="X552" s="2">
        <v>0</v>
      </c>
      <c r="Y552" s="2">
        <v>0</v>
      </c>
      <c r="Z552" s="2">
        <v>1</v>
      </c>
      <c r="AA552" s="2">
        <v>2</v>
      </c>
      <c r="AB552" s="2">
        <v>2</v>
      </c>
      <c r="AC552" s="2">
        <v>1</v>
      </c>
      <c r="AD552" s="2">
        <v>0</v>
      </c>
      <c r="AE552" s="2">
        <v>0</v>
      </c>
      <c r="AF552" s="2">
        <v>1</v>
      </c>
    </row>
    <row r="553" spans="1:32" x14ac:dyDescent="0.25">
      <c r="A553">
        <v>552</v>
      </c>
      <c r="B553" s="2">
        <v>3</v>
      </c>
      <c r="C553" s="2">
        <v>6</v>
      </c>
      <c r="D553" s="2">
        <v>1</v>
      </c>
      <c r="E553" s="2">
        <v>0</v>
      </c>
      <c r="F553" s="2">
        <v>0</v>
      </c>
      <c r="G553" s="2">
        <v>0</v>
      </c>
      <c r="H553" s="2">
        <v>1</v>
      </c>
      <c r="I553" s="2">
        <v>0</v>
      </c>
      <c r="J553" s="2">
        <v>0</v>
      </c>
      <c r="K553" s="2">
        <v>1750</v>
      </c>
      <c r="L553" s="2">
        <v>2</v>
      </c>
      <c r="M553" s="2">
        <v>4</v>
      </c>
      <c r="N553" s="2">
        <v>2</v>
      </c>
      <c r="O553" s="2">
        <v>0</v>
      </c>
      <c r="P553" s="2">
        <v>1</v>
      </c>
      <c r="Q553" s="2">
        <v>0</v>
      </c>
      <c r="R553" s="2">
        <v>0</v>
      </c>
      <c r="S553" s="2">
        <v>0</v>
      </c>
      <c r="T553" s="2">
        <v>4</v>
      </c>
      <c r="U553" s="2">
        <v>0</v>
      </c>
      <c r="V553" s="2">
        <v>0</v>
      </c>
      <c r="W553" s="2">
        <v>45</v>
      </c>
      <c r="X553" s="2">
        <v>1</v>
      </c>
      <c r="Y553" s="2">
        <v>0</v>
      </c>
      <c r="Z553" s="2">
        <v>1</v>
      </c>
      <c r="AA553" s="2">
        <v>1</v>
      </c>
      <c r="AB553" s="2">
        <v>1</v>
      </c>
      <c r="AC553" s="2">
        <v>2</v>
      </c>
      <c r="AD553" s="2">
        <v>0</v>
      </c>
      <c r="AE553" s="2">
        <v>0</v>
      </c>
      <c r="AF553" s="2">
        <v>1</v>
      </c>
    </row>
    <row r="554" spans="1:32" x14ac:dyDescent="0.25">
      <c r="A554">
        <v>553</v>
      </c>
      <c r="B554" s="2">
        <v>0</v>
      </c>
      <c r="C554" s="2">
        <v>48</v>
      </c>
      <c r="D554" s="2">
        <v>2</v>
      </c>
      <c r="E554" s="2">
        <v>0</v>
      </c>
      <c r="F554" s="2">
        <v>0</v>
      </c>
      <c r="G554" s="2">
        <v>0</v>
      </c>
      <c r="H554" s="2">
        <v>1</v>
      </c>
      <c r="I554" s="2">
        <v>0</v>
      </c>
      <c r="J554" s="2">
        <v>0</v>
      </c>
      <c r="K554" s="2">
        <v>6999</v>
      </c>
      <c r="L554" s="2">
        <v>0</v>
      </c>
      <c r="M554" s="2">
        <v>3</v>
      </c>
      <c r="N554" s="2">
        <v>1</v>
      </c>
      <c r="O554" s="2">
        <v>0</v>
      </c>
      <c r="P554" s="2">
        <v>0</v>
      </c>
      <c r="Q554" s="2">
        <v>1</v>
      </c>
      <c r="R554" s="2">
        <v>0</v>
      </c>
      <c r="S554" s="2">
        <v>1</v>
      </c>
      <c r="T554" s="2">
        <v>1</v>
      </c>
      <c r="U554" s="2">
        <v>1</v>
      </c>
      <c r="V554" s="2">
        <v>0</v>
      </c>
      <c r="W554" s="2">
        <v>34</v>
      </c>
      <c r="X554" s="2">
        <v>0</v>
      </c>
      <c r="Y554" s="2">
        <v>0</v>
      </c>
      <c r="Z554" s="2">
        <v>1</v>
      </c>
      <c r="AA554" s="2">
        <v>2</v>
      </c>
      <c r="AB554" s="2">
        <v>2</v>
      </c>
      <c r="AC554" s="2">
        <v>1</v>
      </c>
      <c r="AD554" s="2">
        <v>1</v>
      </c>
      <c r="AE554" s="2">
        <v>0</v>
      </c>
      <c r="AF554" s="2">
        <v>0</v>
      </c>
    </row>
    <row r="555" spans="1:32" x14ac:dyDescent="0.25">
      <c r="A555">
        <v>554</v>
      </c>
      <c r="B555" s="2">
        <v>1</v>
      </c>
      <c r="C555" s="2">
        <v>12</v>
      </c>
      <c r="D555" s="2">
        <v>4</v>
      </c>
      <c r="E555" s="2">
        <v>1</v>
      </c>
      <c r="F555" s="2">
        <v>0</v>
      </c>
      <c r="G555" s="2">
        <v>0</v>
      </c>
      <c r="H555" s="2">
        <v>0</v>
      </c>
      <c r="I555" s="2">
        <v>0</v>
      </c>
      <c r="J555" s="2">
        <v>0</v>
      </c>
      <c r="K555" s="2">
        <v>1995</v>
      </c>
      <c r="L555" s="2">
        <v>1</v>
      </c>
      <c r="M555" s="2">
        <v>1</v>
      </c>
      <c r="N555" s="2">
        <v>4</v>
      </c>
      <c r="O555" s="2">
        <v>0</v>
      </c>
      <c r="P555" s="2">
        <v>1</v>
      </c>
      <c r="Q555" s="2">
        <v>0</v>
      </c>
      <c r="R555" s="2">
        <v>0</v>
      </c>
      <c r="S555" s="2">
        <v>0</v>
      </c>
      <c r="T555" s="2">
        <v>1</v>
      </c>
      <c r="U555" s="2">
        <v>0</v>
      </c>
      <c r="V555" s="2">
        <v>0</v>
      </c>
      <c r="W555" s="2">
        <v>27</v>
      </c>
      <c r="X555" s="2">
        <v>0</v>
      </c>
      <c r="Y555" s="2">
        <v>0</v>
      </c>
      <c r="Z555" s="2">
        <v>1</v>
      </c>
      <c r="AA555" s="2">
        <v>1</v>
      </c>
      <c r="AB555" s="2">
        <v>2</v>
      </c>
      <c r="AC555" s="2">
        <v>1</v>
      </c>
      <c r="AD555" s="2">
        <v>0</v>
      </c>
      <c r="AE555" s="2">
        <v>0</v>
      </c>
      <c r="AF555" s="2">
        <v>1</v>
      </c>
    </row>
    <row r="556" spans="1:32" x14ac:dyDescent="0.25">
      <c r="A556">
        <v>555</v>
      </c>
      <c r="B556" s="2">
        <v>1</v>
      </c>
      <c r="C556" s="2">
        <v>9</v>
      </c>
      <c r="D556" s="2">
        <v>2</v>
      </c>
      <c r="E556" s="2">
        <v>0</v>
      </c>
      <c r="F556" s="2">
        <v>0</v>
      </c>
      <c r="G556" s="2">
        <v>0</v>
      </c>
      <c r="H556" s="2">
        <v>0</v>
      </c>
      <c r="I556" s="2">
        <v>1</v>
      </c>
      <c r="J556" s="2">
        <v>0</v>
      </c>
      <c r="K556" s="2">
        <v>1199</v>
      </c>
      <c r="L556" s="2">
        <v>0</v>
      </c>
      <c r="M556" s="2">
        <v>3</v>
      </c>
      <c r="N556" s="2">
        <v>4</v>
      </c>
      <c r="O556" s="2">
        <v>0</v>
      </c>
      <c r="P556" s="2">
        <v>0</v>
      </c>
      <c r="Q556" s="2">
        <v>0</v>
      </c>
      <c r="R556" s="2">
        <v>0</v>
      </c>
      <c r="S556" s="2">
        <v>0</v>
      </c>
      <c r="T556" s="2">
        <v>4</v>
      </c>
      <c r="U556" s="2">
        <v>0</v>
      </c>
      <c r="V556" s="2">
        <v>0</v>
      </c>
      <c r="W556" s="2">
        <v>67</v>
      </c>
      <c r="X556" s="2">
        <v>0</v>
      </c>
      <c r="Y556" s="2">
        <v>0</v>
      </c>
      <c r="Z556" s="2">
        <v>1</v>
      </c>
      <c r="AA556" s="2">
        <v>2</v>
      </c>
      <c r="AB556" s="2">
        <v>3</v>
      </c>
      <c r="AC556" s="2">
        <v>1</v>
      </c>
      <c r="AD556" s="2">
        <v>1</v>
      </c>
      <c r="AE556" s="2">
        <v>0</v>
      </c>
      <c r="AF556" s="2">
        <v>1</v>
      </c>
    </row>
    <row r="557" spans="1:32" x14ac:dyDescent="0.25">
      <c r="A557">
        <v>556</v>
      </c>
      <c r="B557" s="2">
        <v>1</v>
      </c>
      <c r="C557" s="2">
        <v>12</v>
      </c>
      <c r="D557" s="2">
        <v>2</v>
      </c>
      <c r="E557" s="2">
        <v>0</v>
      </c>
      <c r="F557" s="2">
        <v>0</v>
      </c>
      <c r="G557" s="2">
        <v>0</v>
      </c>
      <c r="H557" s="2">
        <v>1</v>
      </c>
      <c r="I557" s="2">
        <v>0</v>
      </c>
      <c r="J557" s="2">
        <v>0</v>
      </c>
      <c r="K557" s="2">
        <v>1331</v>
      </c>
      <c r="L557" s="2">
        <v>0</v>
      </c>
      <c r="M557" s="2">
        <v>1</v>
      </c>
      <c r="N557" s="2">
        <v>2</v>
      </c>
      <c r="O557" s="2">
        <v>0</v>
      </c>
      <c r="P557" s="2">
        <v>1</v>
      </c>
      <c r="Q557" s="2">
        <v>0</v>
      </c>
      <c r="R557" s="2">
        <v>0</v>
      </c>
      <c r="S557" s="2">
        <v>0</v>
      </c>
      <c r="T557" s="2">
        <v>1</v>
      </c>
      <c r="U557" s="2">
        <v>0</v>
      </c>
      <c r="V557" s="2">
        <v>0</v>
      </c>
      <c r="W557" s="2">
        <v>22</v>
      </c>
      <c r="X557" s="2">
        <v>1</v>
      </c>
      <c r="Y557" s="2">
        <v>0</v>
      </c>
      <c r="Z557" s="2">
        <v>1</v>
      </c>
      <c r="AA557" s="2">
        <v>1</v>
      </c>
      <c r="AB557" s="2">
        <v>2</v>
      </c>
      <c r="AC557" s="2">
        <v>1</v>
      </c>
      <c r="AD557" s="2">
        <v>0</v>
      </c>
      <c r="AE557" s="2">
        <v>0</v>
      </c>
      <c r="AF557" s="2">
        <v>0</v>
      </c>
    </row>
    <row r="558" spans="1:32" x14ac:dyDescent="0.25">
      <c r="A558">
        <v>557</v>
      </c>
      <c r="B558" s="2">
        <v>1</v>
      </c>
      <c r="C558" s="2">
        <v>18</v>
      </c>
      <c r="D558" s="2">
        <v>0</v>
      </c>
      <c r="E558" s="2">
        <v>1</v>
      </c>
      <c r="F558" s="2">
        <v>0</v>
      </c>
      <c r="G558" s="2">
        <v>0</v>
      </c>
      <c r="H558" s="2">
        <v>0</v>
      </c>
      <c r="I558" s="2">
        <v>0</v>
      </c>
      <c r="J558" s="2">
        <v>0</v>
      </c>
      <c r="K558" s="2">
        <v>2278</v>
      </c>
      <c r="L558" s="2">
        <v>1</v>
      </c>
      <c r="M558" s="2">
        <v>1</v>
      </c>
      <c r="N558" s="2">
        <v>3</v>
      </c>
      <c r="O558" s="2">
        <v>0</v>
      </c>
      <c r="P558" s="2">
        <v>0</v>
      </c>
      <c r="Q558" s="2">
        <v>0</v>
      </c>
      <c r="R558" s="2">
        <v>0</v>
      </c>
      <c r="S558" s="2">
        <v>0</v>
      </c>
      <c r="T558" s="2">
        <v>3</v>
      </c>
      <c r="U558" s="2">
        <v>0</v>
      </c>
      <c r="V558" s="2">
        <v>0</v>
      </c>
      <c r="W558" s="2">
        <v>28</v>
      </c>
      <c r="X558" s="2">
        <v>0</v>
      </c>
      <c r="Y558" s="2">
        <v>0</v>
      </c>
      <c r="Z558" s="2">
        <v>1</v>
      </c>
      <c r="AA558" s="2">
        <v>2</v>
      </c>
      <c r="AB558" s="2">
        <v>2</v>
      </c>
      <c r="AC558" s="2">
        <v>1</v>
      </c>
      <c r="AD558" s="2">
        <v>0</v>
      </c>
      <c r="AE558" s="2">
        <v>0</v>
      </c>
      <c r="AF558" s="2">
        <v>0</v>
      </c>
    </row>
    <row r="559" spans="1:32" x14ac:dyDescent="0.25">
      <c r="A559">
        <v>558</v>
      </c>
      <c r="B559" s="2">
        <v>3</v>
      </c>
      <c r="C559" s="2">
        <v>21</v>
      </c>
      <c r="D559" s="2">
        <v>0</v>
      </c>
      <c r="E559" s="2">
        <v>1</v>
      </c>
      <c r="F559" s="2">
        <v>0</v>
      </c>
      <c r="G559" s="2">
        <v>0</v>
      </c>
      <c r="H559" s="2">
        <v>0</v>
      </c>
      <c r="I559" s="2">
        <v>0</v>
      </c>
      <c r="J559" s="2">
        <v>0</v>
      </c>
      <c r="K559" s="2">
        <v>5003</v>
      </c>
      <c r="L559" s="2">
        <v>4</v>
      </c>
      <c r="M559" s="2">
        <v>2</v>
      </c>
      <c r="N559" s="2">
        <v>1</v>
      </c>
      <c r="O559" s="2">
        <v>0</v>
      </c>
      <c r="P559" s="2">
        <v>0</v>
      </c>
      <c r="Q559" s="2">
        <v>0</v>
      </c>
      <c r="R559" s="2">
        <v>0</v>
      </c>
      <c r="S559" s="2">
        <v>0</v>
      </c>
      <c r="T559" s="2">
        <v>4</v>
      </c>
      <c r="U559" s="2">
        <v>0</v>
      </c>
      <c r="V559" s="2">
        <v>0</v>
      </c>
      <c r="W559" s="2">
        <v>29</v>
      </c>
      <c r="X559" s="2">
        <v>1</v>
      </c>
      <c r="Y559" s="2">
        <v>0</v>
      </c>
      <c r="Z559" s="2">
        <v>1</v>
      </c>
      <c r="AA559" s="2">
        <v>2</v>
      </c>
      <c r="AB559" s="2">
        <v>2</v>
      </c>
      <c r="AC559" s="2">
        <v>1</v>
      </c>
      <c r="AD559" s="2">
        <v>1</v>
      </c>
      <c r="AE559" s="2">
        <v>0</v>
      </c>
      <c r="AF559" s="2">
        <v>0</v>
      </c>
    </row>
    <row r="560" spans="1:32" x14ac:dyDescent="0.25">
      <c r="A560">
        <v>559</v>
      </c>
      <c r="B560" s="2">
        <v>0</v>
      </c>
      <c r="C560" s="2">
        <v>24</v>
      </c>
      <c r="D560" s="2">
        <v>1</v>
      </c>
      <c r="E560" s="2">
        <v>0</v>
      </c>
      <c r="F560" s="2">
        <v>0</v>
      </c>
      <c r="G560" s="2">
        <v>1</v>
      </c>
      <c r="H560" s="2">
        <v>0</v>
      </c>
      <c r="I560" s="2">
        <v>0</v>
      </c>
      <c r="J560" s="2">
        <v>0</v>
      </c>
      <c r="K560" s="2">
        <v>3552</v>
      </c>
      <c r="L560" s="2">
        <v>0</v>
      </c>
      <c r="M560" s="2">
        <v>3</v>
      </c>
      <c r="N560" s="2">
        <v>3</v>
      </c>
      <c r="O560" s="2">
        <v>0</v>
      </c>
      <c r="P560" s="2">
        <v>1</v>
      </c>
      <c r="Q560" s="2">
        <v>0</v>
      </c>
      <c r="R560" s="2">
        <v>0</v>
      </c>
      <c r="S560" s="2">
        <v>0</v>
      </c>
      <c r="T560" s="2">
        <v>4</v>
      </c>
      <c r="U560" s="2">
        <v>0</v>
      </c>
      <c r="V560" s="2">
        <v>0</v>
      </c>
      <c r="W560" s="2">
        <v>27</v>
      </c>
      <c r="X560" s="2">
        <v>1</v>
      </c>
      <c r="Y560" s="2">
        <v>0</v>
      </c>
      <c r="Z560" s="2">
        <v>1</v>
      </c>
      <c r="AA560" s="2">
        <v>1</v>
      </c>
      <c r="AB560" s="2">
        <v>2</v>
      </c>
      <c r="AC560" s="2">
        <v>1</v>
      </c>
      <c r="AD560" s="2">
        <v>0</v>
      </c>
      <c r="AE560" s="2">
        <v>0</v>
      </c>
      <c r="AF560" s="2">
        <v>0</v>
      </c>
    </row>
    <row r="561" spans="1:32" x14ac:dyDescent="0.25">
      <c r="A561">
        <v>560</v>
      </c>
      <c r="B561" s="2">
        <v>1</v>
      </c>
      <c r="C561" s="2">
        <v>18</v>
      </c>
      <c r="D561" s="2">
        <v>4</v>
      </c>
      <c r="E561" s="2">
        <v>0</v>
      </c>
      <c r="F561" s="2">
        <v>0</v>
      </c>
      <c r="G561" s="2">
        <v>1</v>
      </c>
      <c r="H561" s="2">
        <v>0</v>
      </c>
      <c r="I561" s="2">
        <v>0</v>
      </c>
      <c r="J561" s="2">
        <v>0</v>
      </c>
      <c r="K561" s="2">
        <v>1928</v>
      </c>
      <c r="L561" s="2">
        <v>0</v>
      </c>
      <c r="M561" s="2">
        <v>1</v>
      </c>
      <c r="N561" s="2">
        <v>2</v>
      </c>
      <c r="O561" s="2">
        <v>0</v>
      </c>
      <c r="P561" s="2">
        <v>1</v>
      </c>
      <c r="Q561" s="2">
        <v>0</v>
      </c>
      <c r="R561" s="2">
        <v>0</v>
      </c>
      <c r="S561" s="2">
        <v>0</v>
      </c>
      <c r="T561" s="2">
        <v>2</v>
      </c>
      <c r="U561" s="2">
        <v>1</v>
      </c>
      <c r="V561" s="2">
        <v>0</v>
      </c>
      <c r="W561" s="2">
        <v>31</v>
      </c>
      <c r="X561" s="2">
        <v>0</v>
      </c>
      <c r="Y561" s="2">
        <v>0</v>
      </c>
      <c r="Z561" s="2">
        <v>1</v>
      </c>
      <c r="AA561" s="2">
        <v>2</v>
      </c>
      <c r="AB561" s="2">
        <v>1</v>
      </c>
      <c r="AC561" s="2">
        <v>1</v>
      </c>
      <c r="AD561" s="2">
        <v>0</v>
      </c>
      <c r="AE561" s="2">
        <v>0</v>
      </c>
      <c r="AF561" s="2">
        <v>0</v>
      </c>
    </row>
    <row r="562" spans="1:32" x14ac:dyDescent="0.25">
      <c r="A562">
        <v>561</v>
      </c>
      <c r="B562" s="2">
        <v>0</v>
      </c>
      <c r="C562" s="2">
        <v>24</v>
      </c>
      <c r="D562" s="2">
        <v>2</v>
      </c>
      <c r="E562" s="2">
        <v>0</v>
      </c>
      <c r="F562" s="2">
        <v>1</v>
      </c>
      <c r="G562" s="2">
        <v>0</v>
      </c>
      <c r="H562" s="2">
        <v>0</v>
      </c>
      <c r="I562" s="2">
        <v>0</v>
      </c>
      <c r="J562" s="2">
        <v>0</v>
      </c>
      <c r="K562" s="2">
        <v>2964</v>
      </c>
      <c r="L562" s="2">
        <v>4</v>
      </c>
      <c r="M562" s="2">
        <v>4</v>
      </c>
      <c r="N562" s="2">
        <v>4</v>
      </c>
      <c r="O562" s="2">
        <v>0</v>
      </c>
      <c r="P562" s="2">
        <v>1</v>
      </c>
      <c r="Q562" s="2">
        <v>0</v>
      </c>
      <c r="R562" s="2">
        <v>0</v>
      </c>
      <c r="S562" s="2">
        <v>0</v>
      </c>
      <c r="T562" s="2">
        <v>4</v>
      </c>
      <c r="U562" s="2">
        <v>0</v>
      </c>
      <c r="V562" s="2">
        <v>1</v>
      </c>
      <c r="W562" s="2">
        <v>49</v>
      </c>
      <c r="X562" s="2">
        <v>1</v>
      </c>
      <c r="Y562" s="2">
        <v>0</v>
      </c>
      <c r="Z562" s="2">
        <v>0</v>
      </c>
      <c r="AA562" s="2">
        <v>1</v>
      </c>
      <c r="AB562" s="2">
        <v>2</v>
      </c>
      <c r="AC562" s="2">
        <v>2</v>
      </c>
      <c r="AD562" s="2">
        <v>1</v>
      </c>
      <c r="AE562" s="2">
        <v>0</v>
      </c>
      <c r="AF562" s="2">
        <v>1</v>
      </c>
    </row>
    <row r="563" spans="1:32" x14ac:dyDescent="0.25">
      <c r="A563">
        <v>562</v>
      </c>
      <c r="B563" s="2">
        <v>0</v>
      </c>
      <c r="C563" s="2">
        <v>24</v>
      </c>
      <c r="D563" s="2">
        <v>1</v>
      </c>
      <c r="E563" s="2">
        <v>0</v>
      </c>
      <c r="F563" s="2">
        <v>0</v>
      </c>
      <c r="G563" s="2">
        <v>0</v>
      </c>
      <c r="H563" s="2">
        <v>1</v>
      </c>
      <c r="I563" s="2">
        <v>0</v>
      </c>
      <c r="J563" s="2">
        <v>0</v>
      </c>
      <c r="K563" s="2">
        <v>1546</v>
      </c>
      <c r="L563" s="2">
        <v>0</v>
      </c>
      <c r="M563" s="2">
        <v>3</v>
      </c>
      <c r="N563" s="2">
        <v>4</v>
      </c>
      <c r="O563" s="2">
        <v>0</v>
      </c>
      <c r="P563" s="2">
        <v>1</v>
      </c>
      <c r="Q563" s="2">
        <v>0</v>
      </c>
      <c r="R563" s="2">
        <v>0</v>
      </c>
      <c r="S563" s="2">
        <v>1</v>
      </c>
      <c r="T563" s="2">
        <v>4</v>
      </c>
      <c r="U563" s="2">
        <v>0</v>
      </c>
      <c r="V563" s="2">
        <v>0</v>
      </c>
      <c r="W563" s="2">
        <v>24</v>
      </c>
      <c r="X563" s="2">
        <v>1</v>
      </c>
      <c r="Y563" s="2">
        <v>1</v>
      </c>
      <c r="Z563" s="2">
        <v>0</v>
      </c>
      <c r="AA563" s="2">
        <v>1</v>
      </c>
      <c r="AB563" s="2">
        <v>1</v>
      </c>
      <c r="AC563" s="2">
        <v>1</v>
      </c>
      <c r="AD563" s="2">
        <v>0</v>
      </c>
      <c r="AE563" s="2">
        <v>0</v>
      </c>
      <c r="AF563" s="2">
        <v>0</v>
      </c>
    </row>
    <row r="564" spans="1:32" x14ac:dyDescent="0.25">
      <c r="A564">
        <v>563</v>
      </c>
      <c r="B564" s="2">
        <v>2</v>
      </c>
      <c r="C564" s="2">
        <v>6</v>
      </c>
      <c r="D564" s="2">
        <v>3</v>
      </c>
      <c r="E564" s="2">
        <v>0</v>
      </c>
      <c r="F564" s="2">
        <v>0</v>
      </c>
      <c r="G564" s="2">
        <v>0</v>
      </c>
      <c r="H564" s="2">
        <v>1</v>
      </c>
      <c r="I564" s="2">
        <v>0</v>
      </c>
      <c r="J564" s="2">
        <v>0</v>
      </c>
      <c r="K564" s="2">
        <v>683</v>
      </c>
      <c r="L564" s="2">
        <v>0</v>
      </c>
      <c r="M564" s="2">
        <v>1</v>
      </c>
      <c r="N564" s="2">
        <v>2</v>
      </c>
      <c r="O564" s="2">
        <v>0</v>
      </c>
      <c r="P564" s="2">
        <v>0</v>
      </c>
      <c r="Q564" s="2">
        <v>0</v>
      </c>
      <c r="R564" s="2">
        <v>0</v>
      </c>
      <c r="S564" s="2">
        <v>0</v>
      </c>
      <c r="T564" s="2">
        <v>1</v>
      </c>
      <c r="U564" s="2">
        <v>0</v>
      </c>
      <c r="V564" s="2">
        <v>0</v>
      </c>
      <c r="W564" s="2">
        <v>29</v>
      </c>
      <c r="X564" s="2">
        <v>1</v>
      </c>
      <c r="Y564" s="2">
        <v>0</v>
      </c>
      <c r="Z564" s="2">
        <v>1</v>
      </c>
      <c r="AA564" s="2">
        <v>1</v>
      </c>
      <c r="AB564" s="2">
        <v>2</v>
      </c>
      <c r="AC564" s="2">
        <v>1</v>
      </c>
      <c r="AD564" s="2">
        <v>0</v>
      </c>
      <c r="AE564" s="2">
        <v>0</v>
      </c>
      <c r="AF564" s="2">
        <v>1</v>
      </c>
    </row>
    <row r="565" spans="1:32" x14ac:dyDescent="0.25">
      <c r="A565">
        <v>564</v>
      </c>
      <c r="B565" s="2">
        <v>1</v>
      </c>
      <c r="C565" s="2">
        <v>36</v>
      </c>
      <c r="D565" s="2">
        <v>2</v>
      </c>
      <c r="E565" s="2">
        <v>1</v>
      </c>
      <c r="F565" s="2">
        <v>0</v>
      </c>
      <c r="G565" s="2">
        <v>0</v>
      </c>
      <c r="H565" s="2">
        <v>0</v>
      </c>
      <c r="I565" s="2">
        <v>0</v>
      </c>
      <c r="J565" s="2">
        <v>0</v>
      </c>
      <c r="K565" s="2">
        <v>12389</v>
      </c>
      <c r="L565" s="2">
        <v>4</v>
      </c>
      <c r="M565" s="2">
        <v>2</v>
      </c>
      <c r="N565" s="2">
        <v>1</v>
      </c>
      <c r="O565" s="2">
        <v>0</v>
      </c>
      <c r="P565" s="2">
        <v>1</v>
      </c>
      <c r="Q565" s="2">
        <v>0</v>
      </c>
      <c r="R565" s="2">
        <v>0</v>
      </c>
      <c r="S565" s="2">
        <v>0</v>
      </c>
      <c r="T565" s="2">
        <v>4</v>
      </c>
      <c r="U565" s="2">
        <v>0</v>
      </c>
      <c r="V565" s="2">
        <v>1</v>
      </c>
      <c r="W565" s="2">
        <v>37</v>
      </c>
      <c r="X565" s="2">
        <v>0</v>
      </c>
      <c r="Y565" s="2">
        <v>0</v>
      </c>
      <c r="Z565" s="2">
        <v>0</v>
      </c>
      <c r="AA565" s="2">
        <v>1</v>
      </c>
      <c r="AB565" s="2">
        <v>2</v>
      </c>
      <c r="AC565" s="2">
        <v>1</v>
      </c>
      <c r="AD565" s="2">
        <v>1</v>
      </c>
      <c r="AE565" s="2">
        <v>0</v>
      </c>
      <c r="AF565" s="2">
        <v>0</v>
      </c>
    </row>
    <row r="566" spans="1:32" x14ac:dyDescent="0.25">
      <c r="A566">
        <v>565</v>
      </c>
      <c r="B566" s="2">
        <v>1</v>
      </c>
      <c r="C566" s="2">
        <v>24</v>
      </c>
      <c r="D566" s="2">
        <v>3</v>
      </c>
      <c r="E566" s="2">
        <v>0</v>
      </c>
      <c r="F566" s="2">
        <v>0</v>
      </c>
      <c r="G566" s="2">
        <v>0</v>
      </c>
      <c r="H566" s="2">
        <v>0</v>
      </c>
      <c r="I566" s="2">
        <v>0</v>
      </c>
      <c r="J566" s="2">
        <v>1</v>
      </c>
      <c r="K566" s="2">
        <v>4712</v>
      </c>
      <c r="L566" s="2">
        <v>4</v>
      </c>
      <c r="M566" s="2">
        <v>2</v>
      </c>
      <c r="N566" s="2">
        <v>4</v>
      </c>
      <c r="O566" s="2">
        <v>0</v>
      </c>
      <c r="P566" s="2">
        <v>1</v>
      </c>
      <c r="Q566" s="2">
        <v>0</v>
      </c>
      <c r="R566" s="2">
        <v>0</v>
      </c>
      <c r="S566" s="2">
        <v>0</v>
      </c>
      <c r="T566" s="2">
        <v>2</v>
      </c>
      <c r="U566" s="2">
        <v>0</v>
      </c>
      <c r="V566" s="2">
        <v>0</v>
      </c>
      <c r="W566" s="2">
        <v>37</v>
      </c>
      <c r="X566" s="2">
        <v>1</v>
      </c>
      <c r="Y566" s="2">
        <v>0</v>
      </c>
      <c r="Z566" s="2">
        <v>1</v>
      </c>
      <c r="AA566" s="2">
        <v>2</v>
      </c>
      <c r="AB566" s="2">
        <v>3</v>
      </c>
      <c r="AC566" s="2">
        <v>1</v>
      </c>
      <c r="AD566" s="2">
        <v>1</v>
      </c>
      <c r="AE566" s="2">
        <v>0</v>
      </c>
      <c r="AF566" s="2">
        <v>1</v>
      </c>
    </row>
    <row r="567" spans="1:32" x14ac:dyDescent="0.25">
      <c r="A567">
        <v>566</v>
      </c>
      <c r="B567" s="2">
        <v>1</v>
      </c>
      <c r="C567" s="2">
        <v>24</v>
      </c>
      <c r="D567" s="2">
        <v>3</v>
      </c>
      <c r="E567" s="2">
        <v>0</v>
      </c>
      <c r="F567" s="2">
        <v>0</v>
      </c>
      <c r="G567" s="2">
        <v>0</v>
      </c>
      <c r="H567" s="2">
        <v>1</v>
      </c>
      <c r="I567" s="2">
        <v>0</v>
      </c>
      <c r="J567" s="2">
        <v>0</v>
      </c>
      <c r="K567" s="2">
        <v>1553</v>
      </c>
      <c r="L567" s="2">
        <v>1</v>
      </c>
      <c r="M567" s="2">
        <v>3</v>
      </c>
      <c r="N567" s="2">
        <v>3</v>
      </c>
      <c r="O567" s="2">
        <v>0</v>
      </c>
      <c r="P567" s="2">
        <v>0</v>
      </c>
      <c r="Q567" s="2">
        <v>0</v>
      </c>
      <c r="R567" s="2">
        <v>0</v>
      </c>
      <c r="S567" s="2">
        <v>0</v>
      </c>
      <c r="T567" s="2">
        <v>2</v>
      </c>
      <c r="U567" s="2">
        <v>0</v>
      </c>
      <c r="V567" s="2">
        <v>0</v>
      </c>
      <c r="W567" s="2">
        <v>23</v>
      </c>
      <c r="X567" s="2">
        <v>0</v>
      </c>
      <c r="Y567" s="2">
        <v>1</v>
      </c>
      <c r="Z567" s="2">
        <v>0</v>
      </c>
      <c r="AA567" s="2">
        <v>2</v>
      </c>
      <c r="AB567" s="2">
        <v>2</v>
      </c>
      <c r="AC567" s="2">
        <v>1</v>
      </c>
      <c r="AD567" s="2">
        <v>1</v>
      </c>
      <c r="AE567" s="2">
        <v>0</v>
      </c>
      <c r="AF567" s="2">
        <v>1</v>
      </c>
    </row>
    <row r="568" spans="1:32" x14ac:dyDescent="0.25">
      <c r="A568">
        <v>567</v>
      </c>
      <c r="B568" s="2">
        <v>0</v>
      </c>
      <c r="C568" s="2">
        <v>12</v>
      </c>
      <c r="D568" s="2">
        <v>2</v>
      </c>
      <c r="E568" s="2">
        <v>1</v>
      </c>
      <c r="F568" s="2">
        <v>0</v>
      </c>
      <c r="G568" s="2">
        <v>0</v>
      </c>
      <c r="H568" s="2">
        <v>0</v>
      </c>
      <c r="I568" s="2">
        <v>0</v>
      </c>
      <c r="J568" s="2">
        <v>0</v>
      </c>
      <c r="K568" s="2">
        <v>1372</v>
      </c>
      <c r="L568" s="2">
        <v>0</v>
      </c>
      <c r="M568" s="2">
        <v>3</v>
      </c>
      <c r="N568" s="2">
        <v>2</v>
      </c>
      <c r="O568" s="2">
        <v>1</v>
      </c>
      <c r="P568" s="2">
        <v>0</v>
      </c>
      <c r="Q568" s="2">
        <v>0</v>
      </c>
      <c r="R568" s="2">
        <v>0</v>
      </c>
      <c r="S568" s="2">
        <v>0</v>
      </c>
      <c r="T568" s="2">
        <v>3</v>
      </c>
      <c r="U568" s="2">
        <v>0</v>
      </c>
      <c r="V568" s="2">
        <v>0</v>
      </c>
      <c r="W568" s="2">
        <v>36</v>
      </c>
      <c r="X568" s="2">
        <v>0</v>
      </c>
      <c r="Y568" s="2">
        <v>0</v>
      </c>
      <c r="Z568" s="2">
        <v>1</v>
      </c>
      <c r="AA568" s="2">
        <v>1</v>
      </c>
      <c r="AB568" s="2">
        <v>2</v>
      </c>
      <c r="AC568" s="2">
        <v>1</v>
      </c>
      <c r="AD568" s="2">
        <v>0</v>
      </c>
      <c r="AE568" s="2">
        <v>0</v>
      </c>
      <c r="AF568" s="2">
        <v>0</v>
      </c>
    </row>
    <row r="569" spans="1:32" x14ac:dyDescent="0.25">
      <c r="A569">
        <v>568</v>
      </c>
      <c r="B569" s="2">
        <v>3</v>
      </c>
      <c r="C569" s="2">
        <v>24</v>
      </c>
      <c r="D569" s="2">
        <v>4</v>
      </c>
      <c r="E569" s="2">
        <v>0</v>
      </c>
      <c r="F569" s="2">
        <v>0</v>
      </c>
      <c r="G569" s="2">
        <v>0</v>
      </c>
      <c r="H569" s="2">
        <v>1</v>
      </c>
      <c r="I569" s="2">
        <v>0</v>
      </c>
      <c r="J569" s="2">
        <v>0</v>
      </c>
      <c r="K569" s="2">
        <v>2578</v>
      </c>
      <c r="L569" s="2">
        <v>3</v>
      </c>
      <c r="M569" s="2">
        <v>4</v>
      </c>
      <c r="N569" s="2">
        <v>2</v>
      </c>
      <c r="O569" s="2">
        <v>0</v>
      </c>
      <c r="P569" s="2">
        <v>1</v>
      </c>
      <c r="Q569" s="2">
        <v>0</v>
      </c>
      <c r="R569" s="2">
        <v>0</v>
      </c>
      <c r="S569" s="2">
        <v>0</v>
      </c>
      <c r="T569" s="2">
        <v>2</v>
      </c>
      <c r="U569" s="2">
        <v>0</v>
      </c>
      <c r="V569" s="2">
        <v>0</v>
      </c>
      <c r="W569" s="2">
        <v>34</v>
      </c>
      <c r="X569" s="2">
        <v>0</v>
      </c>
      <c r="Y569" s="2">
        <v>0</v>
      </c>
      <c r="Z569" s="2">
        <v>1</v>
      </c>
      <c r="AA569" s="2">
        <v>1</v>
      </c>
      <c r="AB569" s="2">
        <v>2</v>
      </c>
      <c r="AC569" s="2">
        <v>1</v>
      </c>
      <c r="AD569" s="2">
        <v>0</v>
      </c>
      <c r="AE569" s="2">
        <v>0</v>
      </c>
      <c r="AF569" s="2">
        <v>1</v>
      </c>
    </row>
    <row r="570" spans="1:32" x14ac:dyDescent="0.25">
      <c r="A570">
        <v>569</v>
      </c>
      <c r="B570" s="2">
        <v>1</v>
      </c>
      <c r="C570" s="2">
        <v>48</v>
      </c>
      <c r="D570" s="2">
        <v>2</v>
      </c>
      <c r="E570" s="2">
        <v>0</v>
      </c>
      <c r="F570" s="2">
        <v>0</v>
      </c>
      <c r="G570" s="2">
        <v>0</v>
      </c>
      <c r="H570" s="2">
        <v>1</v>
      </c>
      <c r="I570" s="2">
        <v>0</v>
      </c>
      <c r="J570" s="2">
        <v>0</v>
      </c>
      <c r="K570" s="2">
        <v>3979</v>
      </c>
      <c r="L570" s="2">
        <v>4</v>
      </c>
      <c r="M570" s="2">
        <v>3</v>
      </c>
      <c r="N570" s="2">
        <v>4</v>
      </c>
      <c r="O570" s="2">
        <v>0</v>
      </c>
      <c r="P570" s="2">
        <v>1</v>
      </c>
      <c r="Q570" s="2">
        <v>0</v>
      </c>
      <c r="R570" s="2">
        <v>0</v>
      </c>
      <c r="S570" s="2">
        <v>0</v>
      </c>
      <c r="T570" s="2">
        <v>1</v>
      </c>
      <c r="U570" s="2">
        <v>0</v>
      </c>
      <c r="V570" s="2">
        <v>0</v>
      </c>
      <c r="W570" s="2">
        <v>41</v>
      </c>
      <c r="X570" s="2">
        <v>0</v>
      </c>
      <c r="Y570" s="2">
        <v>0</v>
      </c>
      <c r="Z570" s="2">
        <v>1</v>
      </c>
      <c r="AA570" s="2">
        <v>2</v>
      </c>
      <c r="AB570" s="2">
        <v>2</v>
      </c>
      <c r="AC570" s="2">
        <v>2</v>
      </c>
      <c r="AD570" s="2">
        <v>1</v>
      </c>
      <c r="AE570" s="2">
        <v>0</v>
      </c>
      <c r="AF570" s="2">
        <v>1</v>
      </c>
    </row>
    <row r="571" spans="1:32" x14ac:dyDescent="0.25">
      <c r="A571">
        <v>570</v>
      </c>
      <c r="B571" s="2">
        <v>0</v>
      </c>
      <c r="C571" s="2">
        <v>48</v>
      </c>
      <c r="D571" s="2">
        <v>2</v>
      </c>
      <c r="E571" s="2">
        <v>0</v>
      </c>
      <c r="F571" s="2">
        <v>0</v>
      </c>
      <c r="G571" s="2">
        <v>0</v>
      </c>
      <c r="H571" s="2">
        <v>1</v>
      </c>
      <c r="I571" s="2">
        <v>0</v>
      </c>
      <c r="J571" s="2">
        <v>0</v>
      </c>
      <c r="K571" s="2">
        <v>6758</v>
      </c>
      <c r="L571" s="2">
        <v>0</v>
      </c>
      <c r="M571" s="2">
        <v>2</v>
      </c>
      <c r="N571" s="2">
        <v>3</v>
      </c>
      <c r="O571" s="2">
        <v>0</v>
      </c>
      <c r="P571" s="2">
        <v>0</v>
      </c>
      <c r="Q571" s="2">
        <v>0</v>
      </c>
      <c r="R571" s="2">
        <v>0</v>
      </c>
      <c r="S571" s="2">
        <v>0</v>
      </c>
      <c r="T571" s="2">
        <v>2</v>
      </c>
      <c r="U571" s="2">
        <v>0</v>
      </c>
      <c r="V571" s="2">
        <v>0</v>
      </c>
      <c r="W571" s="2">
        <v>31</v>
      </c>
      <c r="X571" s="2">
        <v>0</v>
      </c>
      <c r="Y571" s="2">
        <v>0</v>
      </c>
      <c r="Z571" s="2">
        <v>1</v>
      </c>
      <c r="AA571" s="2">
        <v>1</v>
      </c>
      <c r="AB571" s="2">
        <v>2</v>
      </c>
      <c r="AC571" s="2">
        <v>1</v>
      </c>
      <c r="AD571" s="2">
        <v>1</v>
      </c>
      <c r="AE571" s="2">
        <v>0</v>
      </c>
      <c r="AF571" s="2">
        <v>0</v>
      </c>
    </row>
    <row r="572" spans="1:32" x14ac:dyDescent="0.25">
      <c r="A572">
        <v>571</v>
      </c>
      <c r="B572" s="2">
        <v>0</v>
      </c>
      <c r="C572" s="2">
        <v>24</v>
      </c>
      <c r="D572" s="2">
        <v>2</v>
      </c>
      <c r="E572" s="2">
        <v>0</v>
      </c>
      <c r="F572" s="2">
        <v>0</v>
      </c>
      <c r="G572" s="2">
        <v>1</v>
      </c>
      <c r="H572" s="2">
        <v>0</v>
      </c>
      <c r="I572" s="2">
        <v>0</v>
      </c>
      <c r="J572" s="2">
        <v>0</v>
      </c>
      <c r="K572" s="2">
        <v>3234</v>
      </c>
      <c r="L572" s="2">
        <v>0</v>
      </c>
      <c r="M572" s="2">
        <v>1</v>
      </c>
      <c r="N572" s="2">
        <v>4</v>
      </c>
      <c r="O572" s="2">
        <v>0</v>
      </c>
      <c r="P572" s="2">
        <v>0</v>
      </c>
      <c r="Q572" s="2">
        <v>0</v>
      </c>
      <c r="R572" s="2">
        <v>0</v>
      </c>
      <c r="S572" s="2">
        <v>0</v>
      </c>
      <c r="T572" s="2">
        <v>4</v>
      </c>
      <c r="U572" s="2">
        <v>1</v>
      </c>
      <c r="V572" s="2">
        <v>0</v>
      </c>
      <c r="W572" s="2">
        <v>23</v>
      </c>
      <c r="X572" s="2">
        <v>0</v>
      </c>
      <c r="Y572" s="2">
        <v>1</v>
      </c>
      <c r="Z572" s="2">
        <v>0</v>
      </c>
      <c r="AA572" s="2">
        <v>1</v>
      </c>
      <c r="AB572" s="2">
        <v>1</v>
      </c>
      <c r="AC572" s="2">
        <v>1</v>
      </c>
      <c r="AD572" s="2">
        <v>1</v>
      </c>
      <c r="AE572" s="2">
        <v>0</v>
      </c>
      <c r="AF572" s="2">
        <v>0</v>
      </c>
    </row>
    <row r="573" spans="1:32" x14ac:dyDescent="0.25">
      <c r="A573">
        <v>572</v>
      </c>
      <c r="B573" s="2">
        <v>3</v>
      </c>
      <c r="C573" s="2">
        <v>30</v>
      </c>
      <c r="D573" s="2">
        <v>4</v>
      </c>
      <c r="E573" s="2">
        <v>0</v>
      </c>
      <c r="F573" s="2">
        <v>0</v>
      </c>
      <c r="G573" s="2">
        <v>0</v>
      </c>
      <c r="H573" s="2">
        <v>1</v>
      </c>
      <c r="I573" s="2">
        <v>0</v>
      </c>
      <c r="J573" s="2">
        <v>0</v>
      </c>
      <c r="K573" s="2">
        <v>5954</v>
      </c>
      <c r="L573" s="2">
        <v>0</v>
      </c>
      <c r="M573" s="2">
        <v>3</v>
      </c>
      <c r="N573" s="2">
        <v>3</v>
      </c>
      <c r="O573" s="2">
        <v>0</v>
      </c>
      <c r="P573" s="2">
        <v>1</v>
      </c>
      <c r="Q573" s="2">
        <v>0</v>
      </c>
      <c r="R573" s="2">
        <v>1</v>
      </c>
      <c r="S573" s="2">
        <v>0</v>
      </c>
      <c r="T573" s="2">
        <v>2</v>
      </c>
      <c r="U573" s="2">
        <v>0</v>
      </c>
      <c r="V573" s="2">
        <v>0</v>
      </c>
      <c r="W573" s="2">
        <v>38</v>
      </c>
      <c r="X573" s="2">
        <v>0</v>
      </c>
      <c r="Y573" s="2">
        <v>0</v>
      </c>
      <c r="Z573" s="2">
        <v>1</v>
      </c>
      <c r="AA573" s="2">
        <v>1</v>
      </c>
      <c r="AB573" s="2">
        <v>2</v>
      </c>
      <c r="AC573" s="2">
        <v>1</v>
      </c>
      <c r="AD573" s="2">
        <v>0</v>
      </c>
      <c r="AE573" s="2">
        <v>0</v>
      </c>
      <c r="AF573" s="2">
        <v>1</v>
      </c>
    </row>
    <row r="574" spans="1:32" x14ac:dyDescent="0.25">
      <c r="A574">
        <v>573</v>
      </c>
      <c r="B574" s="2">
        <v>3</v>
      </c>
      <c r="C574" s="2">
        <v>24</v>
      </c>
      <c r="D574" s="2">
        <v>2</v>
      </c>
      <c r="E574" s="2">
        <v>0</v>
      </c>
      <c r="F574" s="2">
        <v>1</v>
      </c>
      <c r="G574" s="2">
        <v>0</v>
      </c>
      <c r="H574" s="2">
        <v>0</v>
      </c>
      <c r="I574" s="2">
        <v>0</v>
      </c>
      <c r="J574" s="2">
        <v>0</v>
      </c>
      <c r="K574" s="2">
        <v>5433</v>
      </c>
      <c r="L574" s="2">
        <v>4</v>
      </c>
      <c r="M574" s="2">
        <v>0</v>
      </c>
      <c r="N574" s="2">
        <v>2</v>
      </c>
      <c r="O574" s="2">
        <v>0</v>
      </c>
      <c r="P574" s="2">
        <v>0</v>
      </c>
      <c r="Q574" s="2">
        <v>0</v>
      </c>
      <c r="R574" s="2">
        <v>0</v>
      </c>
      <c r="S574" s="2">
        <v>0</v>
      </c>
      <c r="T574" s="2">
        <v>4</v>
      </c>
      <c r="U574" s="2">
        <v>0</v>
      </c>
      <c r="V574" s="2">
        <v>0</v>
      </c>
      <c r="W574" s="2">
        <v>26</v>
      </c>
      <c r="X574" s="2">
        <v>0</v>
      </c>
      <c r="Y574" s="2">
        <v>1</v>
      </c>
      <c r="Z574" s="2">
        <v>0</v>
      </c>
      <c r="AA574" s="2">
        <v>1</v>
      </c>
      <c r="AB574" s="2">
        <v>3</v>
      </c>
      <c r="AC574" s="2">
        <v>1</v>
      </c>
      <c r="AD574" s="2">
        <v>1</v>
      </c>
      <c r="AE574" s="2">
        <v>0</v>
      </c>
      <c r="AF574" s="2">
        <v>1</v>
      </c>
    </row>
    <row r="575" spans="1:32" x14ac:dyDescent="0.25">
      <c r="A575">
        <v>574</v>
      </c>
      <c r="B575" s="2">
        <v>0</v>
      </c>
      <c r="C575" s="2">
        <v>15</v>
      </c>
      <c r="D575" s="2">
        <v>2</v>
      </c>
      <c r="E575" s="2">
        <v>0</v>
      </c>
      <c r="F575" s="2">
        <v>0</v>
      </c>
      <c r="G575" s="2">
        <v>0</v>
      </c>
      <c r="H575" s="2">
        <v>0</v>
      </c>
      <c r="I575" s="2">
        <v>0</v>
      </c>
      <c r="J575" s="2">
        <v>1</v>
      </c>
      <c r="K575" s="2">
        <v>806</v>
      </c>
      <c r="L575" s="2">
        <v>0</v>
      </c>
      <c r="M575" s="2">
        <v>2</v>
      </c>
      <c r="N575" s="2">
        <v>4</v>
      </c>
      <c r="O575" s="2">
        <v>0</v>
      </c>
      <c r="P575" s="2">
        <v>0</v>
      </c>
      <c r="Q575" s="2">
        <v>0</v>
      </c>
      <c r="R575" s="2">
        <v>0</v>
      </c>
      <c r="S575" s="2">
        <v>0</v>
      </c>
      <c r="T575" s="2">
        <v>4</v>
      </c>
      <c r="U575" s="2">
        <v>0</v>
      </c>
      <c r="V575" s="2">
        <v>0</v>
      </c>
      <c r="W575" s="2">
        <v>22</v>
      </c>
      <c r="X575" s="2">
        <v>0</v>
      </c>
      <c r="Y575" s="2">
        <v>0</v>
      </c>
      <c r="Z575" s="2">
        <v>1</v>
      </c>
      <c r="AA575" s="2">
        <v>1</v>
      </c>
      <c r="AB575" s="2">
        <v>1</v>
      </c>
      <c r="AC575" s="2">
        <v>1</v>
      </c>
      <c r="AD575" s="2">
        <v>0</v>
      </c>
      <c r="AE575" s="2">
        <v>0</v>
      </c>
      <c r="AF575" s="2">
        <v>1</v>
      </c>
    </row>
    <row r="576" spans="1:32" x14ac:dyDescent="0.25">
      <c r="A576">
        <v>575</v>
      </c>
      <c r="B576" s="2">
        <v>1</v>
      </c>
      <c r="C576" s="2">
        <v>9</v>
      </c>
      <c r="D576" s="2">
        <v>2</v>
      </c>
      <c r="E576" s="2">
        <v>0</v>
      </c>
      <c r="F576" s="2">
        <v>0</v>
      </c>
      <c r="G576" s="2">
        <v>0</v>
      </c>
      <c r="H576" s="2">
        <v>1</v>
      </c>
      <c r="I576" s="2">
        <v>0</v>
      </c>
      <c r="J576" s="2">
        <v>0</v>
      </c>
      <c r="K576" s="2">
        <v>1082</v>
      </c>
      <c r="L576" s="2">
        <v>0</v>
      </c>
      <c r="M576" s="2">
        <v>4</v>
      </c>
      <c r="N576" s="2">
        <v>4</v>
      </c>
      <c r="O576" s="2">
        <v>0</v>
      </c>
      <c r="P576" s="2">
        <v>1</v>
      </c>
      <c r="Q576" s="2">
        <v>0</v>
      </c>
      <c r="R576" s="2">
        <v>0</v>
      </c>
      <c r="S576" s="2">
        <v>0</v>
      </c>
      <c r="T576" s="2">
        <v>4</v>
      </c>
      <c r="U576" s="2">
        <v>0</v>
      </c>
      <c r="V576" s="2">
        <v>0</v>
      </c>
      <c r="W576" s="2">
        <v>27</v>
      </c>
      <c r="X576" s="2">
        <v>0</v>
      </c>
      <c r="Y576" s="2">
        <v>0</v>
      </c>
      <c r="Z576" s="2">
        <v>1</v>
      </c>
      <c r="AA576" s="2">
        <v>2</v>
      </c>
      <c r="AB576" s="2">
        <v>1</v>
      </c>
      <c r="AC576" s="2">
        <v>1</v>
      </c>
      <c r="AD576" s="2">
        <v>0</v>
      </c>
      <c r="AE576" s="2">
        <v>0</v>
      </c>
      <c r="AF576" s="2">
        <v>1</v>
      </c>
    </row>
    <row r="577" spans="1:32" x14ac:dyDescent="0.25">
      <c r="A577">
        <v>576</v>
      </c>
      <c r="B577" s="2">
        <v>3</v>
      </c>
      <c r="C577" s="2">
        <v>15</v>
      </c>
      <c r="D577" s="2">
        <v>4</v>
      </c>
      <c r="E577" s="2">
        <v>0</v>
      </c>
      <c r="F577" s="2">
        <v>0</v>
      </c>
      <c r="G577" s="2">
        <v>1</v>
      </c>
      <c r="H577" s="2">
        <v>0</v>
      </c>
      <c r="I577" s="2">
        <v>0</v>
      </c>
      <c r="J577" s="2">
        <v>0</v>
      </c>
      <c r="K577" s="2">
        <v>2788</v>
      </c>
      <c r="L577" s="2">
        <v>0</v>
      </c>
      <c r="M577" s="2">
        <v>3</v>
      </c>
      <c r="N577" s="2">
        <v>2</v>
      </c>
      <c r="O577" s="2">
        <v>0</v>
      </c>
      <c r="P577" s="2">
        <v>0</v>
      </c>
      <c r="Q577" s="2">
        <v>0</v>
      </c>
      <c r="R577" s="2">
        <v>1</v>
      </c>
      <c r="S577" s="2">
        <v>0</v>
      </c>
      <c r="T577" s="2">
        <v>3</v>
      </c>
      <c r="U577" s="2">
        <v>0</v>
      </c>
      <c r="V577" s="2">
        <v>0</v>
      </c>
      <c r="W577" s="2">
        <v>24</v>
      </c>
      <c r="X577" s="2">
        <v>1</v>
      </c>
      <c r="Y577" s="2">
        <v>0</v>
      </c>
      <c r="Z577" s="2">
        <v>1</v>
      </c>
      <c r="AA577" s="2">
        <v>2</v>
      </c>
      <c r="AB577" s="2">
        <v>2</v>
      </c>
      <c r="AC577" s="2">
        <v>1</v>
      </c>
      <c r="AD577" s="2">
        <v>0</v>
      </c>
      <c r="AE577" s="2">
        <v>0</v>
      </c>
      <c r="AF577" s="2">
        <v>1</v>
      </c>
    </row>
    <row r="578" spans="1:32" x14ac:dyDescent="0.25">
      <c r="A578">
        <v>577</v>
      </c>
      <c r="B578" s="2">
        <v>1</v>
      </c>
      <c r="C578" s="2">
        <v>12</v>
      </c>
      <c r="D578" s="2">
        <v>2</v>
      </c>
      <c r="E578" s="2">
        <v>0</v>
      </c>
      <c r="F578" s="2">
        <v>0</v>
      </c>
      <c r="G578" s="2">
        <v>0</v>
      </c>
      <c r="H578" s="2">
        <v>1</v>
      </c>
      <c r="I578" s="2">
        <v>0</v>
      </c>
      <c r="J578" s="2">
        <v>0</v>
      </c>
      <c r="K578" s="2">
        <v>2930</v>
      </c>
      <c r="L578" s="2">
        <v>0</v>
      </c>
      <c r="M578" s="2">
        <v>3</v>
      </c>
      <c r="N578" s="2">
        <v>2</v>
      </c>
      <c r="O578" s="2">
        <v>0</v>
      </c>
      <c r="P578" s="2">
        <v>0</v>
      </c>
      <c r="Q578" s="2">
        <v>0</v>
      </c>
      <c r="R578" s="2">
        <v>0</v>
      </c>
      <c r="S578" s="2">
        <v>0</v>
      </c>
      <c r="T578" s="2">
        <v>1</v>
      </c>
      <c r="U578" s="2">
        <v>1</v>
      </c>
      <c r="V578" s="2">
        <v>0</v>
      </c>
      <c r="W578" s="2">
        <v>27</v>
      </c>
      <c r="X578" s="2">
        <v>0</v>
      </c>
      <c r="Y578" s="2">
        <v>0</v>
      </c>
      <c r="Z578" s="2">
        <v>1</v>
      </c>
      <c r="AA578" s="2">
        <v>1</v>
      </c>
      <c r="AB578" s="2">
        <v>2</v>
      </c>
      <c r="AC578" s="2">
        <v>1</v>
      </c>
      <c r="AD578" s="2">
        <v>0</v>
      </c>
      <c r="AE578" s="2">
        <v>0</v>
      </c>
      <c r="AF578" s="2">
        <v>1</v>
      </c>
    </row>
    <row r="579" spans="1:32" x14ac:dyDescent="0.25">
      <c r="A579">
        <v>578</v>
      </c>
      <c r="B579" s="2">
        <v>3</v>
      </c>
      <c r="C579" s="2">
        <v>24</v>
      </c>
      <c r="D579" s="2">
        <v>4</v>
      </c>
      <c r="E579" s="2">
        <v>0</v>
      </c>
      <c r="F579" s="2">
        <v>0</v>
      </c>
      <c r="G579" s="2">
        <v>0</v>
      </c>
      <c r="H579" s="2">
        <v>0</v>
      </c>
      <c r="I579" s="2">
        <v>1</v>
      </c>
      <c r="J579" s="2">
        <v>0</v>
      </c>
      <c r="K579" s="2">
        <v>1927</v>
      </c>
      <c r="L579" s="2">
        <v>4</v>
      </c>
      <c r="M579" s="2">
        <v>2</v>
      </c>
      <c r="N579" s="2">
        <v>3</v>
      </c>
      <c r="O579" s="2">
        <v>0</v>
      </c>
      <c r="P579" s="2">
        <v>0</v>
      </c>
      <c r="Q579" s="2">
        <v>0</v>
      </c>
      <c r="R579" s="2">
        <v>0</v>
      </c>
      <c r="S579" s="2">
        <v>0</v>
      </c>
      <c r="T579" s="2">
        <v>2</v>
      </c>
      <c r="U579" s="2">
        <v>0</v>
      </c>
      <c r="V579" s="2">
        <v>0</v>
      </c>
      <c r="W579" s="2">
        <v>33</v>
      </c>
      <c r="X579" s="2">
        <v>0</v>
      </c>
      <c r="Y579" s="2">
        <v>0</v>
      </c>
      <c r="Z579" s="2">
        <v>1</v>
      </c>
      <c r="AA579" s="2">
        <v>2</v>
      </c>
      <c r="AB579" s="2">
        <v>2</v>
      </c>
      <c r="AC579" s="2">
        <v>1</v>
      </c>
      <c r="AD579" s="2">
        <v>1</v>
      </c>
      <c r="AE579" s="2">
        <v>0</v>
      </c>
      <c r="AF579" s="2">
        <v>1</v>
      </c>
    </row>
    <row r="580" spans="1:32" x14ac:dyDescent="0.25">
      <c r="A580">
        <v>579</v>
      </c>
      <c r="B580" s="2">
        <v>1</v>
      </c>
      <c r="C580" s="2">
        <v>36</v>
      </c>
      <c r="D580" s="2">
        <v>4</v>
      </c>
      <c r="E580" s="2">
        <v>1</v>
      </c>
      <c r="F580" s="2">
        <v>0</v>
      </c>
      <c r="G580" s="2">
        <v>0</v>
      </c>
      <c r="H580" s="2">
        <v>0</v>
      </c>
      <c r="I580" s="2">
        <v>0</v>
      </c>
      <c r="J580" s="2">
        <v>0</v>
      </c>
      <c r="K580" s="2">
        <v>2820</v>
      </c>
      <c r="L580" s="2">
        <v>0</v>
      </c>
      <c r="M580" s="2">
        <v>1</v>
      </c>
      <c r="N580" s="2">
        <v>4</v>
      </c>
      <c r="O580" s="2">
        <v>1</v>
      </c>
      <c r="P580" s="2">
        <v>0</v>
      </c>
      <c r="Q580" s="2">
        <v>0</v>
      </c>
      <c r="R580" s="2">
        <v>0</v>
      </c>
      <c r="S580" s="2">
        <v>0</v>
      </c>
      <c r="T580" s="2">
        <v>4</v>
      </c>
      <c r="U580" s="2">
        <v>0</v>
      </c>
      <c r="V580" s="2">
        <v>0</v>
      </c>
      <c r="W580" s="2">
        <v>27</v>
      </c>
      <c r="X580" s="2">
        <v>0</v>
      </c>
      <c r="Y580" s="2">
        <v>0</v>
      </c>
      <c r="Z580" s="2">
        <v>1</v>
      </c>
      <c r="AA580" s="2">
        <v>2</v>
      </c>
      <c r="AB580" s="2">
        <v>2</v>
      </c>
      <c r="AC580" s="2">
        <v>1</v>
      </c>
      <c r="AD580" s="2">
        <v>0</v>
      </c>
      <c r="AE580" s="2">
        <v>0</v>
      </c>
      <c r="AF580" s="2">
        <v>0</v>
      </c>
    </row>
    <row r="581" spans="1:32" x14ac:dyDescent="0.25">
      <c r="A581">
        <v>580</v>
      </c>
      <c r="B581" s="2">
        <v>3</v>
      </c>
      <c r="C581" s="2">
        <v>24</v>
      </c>
      <c r="D581" s="2">
        <v>2</v>
      </c>
      <c r="E581" s="2">
        <v>0</v>
      </c>
      <c r="F581" s="2">
        <v>0</v>
      </c>
      <c r="G581" s="2">
        <v>0</v>
      </c>
      <c r="H581" s="2">
        <v>0</v>
      </c>
      <c r="I581" s="2">
        <v>0</v>
      </c>
      <c r="J581" s="2">
        <v>0</v>
      </c>
      <c r="K581" s="2">
        <v>937</v>
      </c>
      <c r="L581" s="2">
        <v>0</v>
      </c>
      <c r="M581" s="2">
        <v>1</v>
      </c>
      <c r="N581" s="2">
        <v>4</v>
      </c>
      <c r="O581" s="2">
        <v>0</v>
      </c>
      <c r="P581" s="2">
        <v>0</v>
      </c>
      <c r="Q581" s="2">
        <v>1</v>
      </c>
      <c r="R581" s="2">
        <v>0</v>
      </c>
      <c r="S581" s="2">
        <v>0</v>
      </c>
      <c r="T581" s="2">
        <v>3</v>
      </c>
      <c r="U581" s="2">
        <v>0</v>
      </c>
      <c r="V581" s="2">
        <v>0</v>
      </c>
      <c r="W581" s="2">
        <v>27</v>
      </c>
      <c r="X581" s="2">
        <v>0</v>
      </c>
      <c r="Y581" s="2">
        <v>0</v>
      </c>
      <c r="Z581" s="2">
        <v>1</v>
      </c>
      <c r="AA581" s="2">
        <v>2</v>
      </c>
      <c r="AB581" s="2">
        <v>1</v>
      </c>
      <c r="AC581" s="2">
        <v>1</v>
      </c>
      <c r="AD581" s="2">
        <v>0</v>
      </c>
      <c r="AE581" s="2">
        <v>0</v>
      </c>
      <c r="AF581" s="2">
        <v>1</v>
      </c>
    </row>
    <row r="582" spans="1:32" x14ac:dyDescent="0.25">
      <c r="A582">
        <v>581</v>
      </c>
      <c r="B582" s="2">
        <v>1</v>
      </c>
      <c r="C582" s="2">
        <v>18</v>
      </c>
      <c r="D582" s="2">
        <v>4</v>
      </c>
      <c r="E582" s="2">
        <v>1</v>
      </c>
      <c r="F582" s="2">
        <v>0</v>
      </c>
      <c r="G582" s="2">
        <v>0</v>
      </c>
      <c r="H582" s="2">
        <v>0</v>
      </c>
      <c r="I582" s="2">
        <v>0</v>
      </c>
      <c r="J582" s="2">
        <v>0</v>
      </c>
      <c r="K582" s="2">
        <v>1056</v>
      </c>
      <c r="L582" s="2">
        <v>0</v>
      </c>
      <c r="M582" s="2">
        <v>4</v>
      </c>
      <c r="N582" s="2">
        <v>3</v>
      </c>
      <c r="O582" s="2">
        <v>0</v>
      </c>
      <c r="P582" s="2">
        <v>1</v>
      </c>
      <c r="Q582" s="2">
        <v>0</v>
      </c>
      <c r="R582" s="2">
        <v>0</v>
      </c>
      <c r="S582" s="2">
        <v>1</v>
      </c>
      <c r="T582" s="2">
        <v>3</v>
      </c>
      <c r="U582" s="2">
        <v>1</v>
      </c>
      <c r="V582" s="2">
        <v>0</v>
      </c>
      <c r="W582" s="2">
        <v>30</v>
      </c>
      <c r="X582" s="2">
        <v>1</v>
      </c>
      <c r="Y582" s="2">
        <v>0</v>
      </c>
      <c r="Z582" s="2">
        <v>1</v>
      </c>
      <c r="AA582" s="2">
        <v>2</v>
      </c>
      <c r="AB582" s="2">
        <v>2</v>
      </c>
      <c r="AC582" s="2">
        <v>1</v>
      </c>
      <c r="AD582" s="2">
        <v>0</v>
      </c>
      <c r="AE582" s="2">
        <v>0</v>
      </c>
      <c r="AF582" s="2">
        <v>0</v>
      </c>
    </row>
    <row r="583" spans="1:32" x14ac:dyDescent="0.25">
      <c r="A583">
        <v>582</v>
      </c>
      <c r="B583" s="2">
        <v>1</v>
      </c>
      <c r="C583" s="2">
        <v>12</v>
      </c>
      <c r="D583" s="2">
        <v>4</v>
      </c>
      <c r="E583" s="2">
        <v>1</v>
      </c>
      <c r="F583" s="2">
        <v>0</v>
      </c>
      <c r="G583" s="2">
        <v>0</v>
      </c>
      <c r="H583" s="2">
        <v>0</v>
      </c>
      <c r="I583" s="2">
        <v>0</v>
      </c>
      <c r="J583" s="2">
        <v>0</v>
      </c>
      <c r="K583" s="2">
        <v>3124</v>
      </c>
      <c r="L583" s="2">
        <v>0</v>
      </c>
      <c r="M583" s="2">
        <v>1</v>
      </c>
      <c r="N583" s="2">
        <v>1</v>
      </c>
      <c r="O583" s="2">
        <v>0</v>
      </c>
      <c r="P583" s="2">
        <v>1</v>
      </c>
      <c r="Q583" s="2">
        <v>0</v>
      </c>
      <c r="R583" s="2">
        <v>0</v>
      </c>
      <c r="S583" s="2">
        <v>0</v>
      </c>
      <c r="T583" s="2">
        <v>3</v>
      </c>
      <c r="U583" s="2">
        <v>1</v>
      </c>
      <c r="V583" s="2">
        <v>0</v>
      </c>
      <c r="W583" s="2">
        <v>49</v>
      </c>
      <c r="X583" s="2">
        <v>1</v>
      </c>
      <c r="Y583" s="2">
        <v>0</v>
      </c>
      <c r="Z583" s="2">
        <v>1</v>
      </c>
      <c r="AA583" s="2">
        <v>2</v>
      </c>
      <c r="AB583" s="2">
        <v>1</v>
      </c>
      <c r="AC583" s="2">
        <v>2</v>
      </c>
      <c r="AD583" s="2">
        <v>0</v>
      </c>
      <c r="AE583" s="2">
        <v>0</v>
      </c>
      <c r="AF583" s="2">
        <v>1</v>
      </c>
    </row>
    <row r="584" spans="1:32" x14ac:dyDescent="0.25">
      <c r="A584">
        <v>583</v>
      </c>
      <c r="B584" s="2">
        <v>3</v>
      </c>
      <c r="C584" s="2">
        <v>9</v>
      </c>
      <c r="D584" s="2">
        <v>2</v>
      </c>
      <c r="E584" s="2">
        <v>0</v>
      </c>
      <c r="F584" s="2">
        <v>0</v>
      </c>
      <c r="G584" s="2">
        <v>1</v>
      </c>
      <c r="H584" s="2">
        <v>0</v>
      </c>
      <c r="I584" s="2">
        <v>0</v>
      </c>
      <c r="J584" s="2">
        <v>0</v>
      </c>
      <c r="K584" s="2">
        <v>1388</v>
      </c>
      <c r="L584" s="2">
        <v>0</v>
      </c>
      <c r="M584" s="2">
        <v>2</v>
      </c>
      <c r="N584" s="2">
        <v>4</v>
      </c>
      <c r="O584" s="2">
        <v>0</v>
      </c>
      <c r="P584" s="2">
        <v>0</v>
      </c>
      <c r="Q584" s="2">
        <v>0</v>
      </c>
      <c r="R584" s="2">
        <v>0</v>
      </c>
      <c r="S584" s="2">
        <v>0</v>
      </c>
      <c r="T584" s="2">
        <v>2</v>
      </c>
      <c r="U584" s="2">
        <v>1</v>
      </c>
      <c r="V584" s="2">
        <v>0</v>
      </c>
      <c r="W584" s="2">
        <v>26</v>
      </c>
      <c r="X584" s="2">
        <v>0</v>
      </c>
      <c r="Y584" s="2">
        <v>1</v>
      </c>
      <c r="Z584" s="2">
        <v>0</v>
      </c>
      <c r="AA584" s="2">
        <v>1</v>
      </c>
      <c r="AB584" s="2">
        <v>2</v>
      </c>
      <c r="AC584" s="2">
        <v>1</v>
      </c>
      <c r="AD584" s="2">
        <v>0</v>
      </c>
      <c r="AE584" s="2">
        <v>0</v>
      </c>
      <c r="AF584" s="2">
        <v>1</v>
      </c>
    </row>
    <row r="585" spans="1:32" x14ac:dyDescent="0.25">
      <c r="A585">
        <v>584</v>
      </c>
      <c r="B585" s="2">
        <v>1</v>
      </c>
      <c r="C585" s="2">
        <v>36</v>
      </c>
      <c r="D585" s="2">
        <v>2</v>
      </c>
      <c r="E585" s="2">
        <v>0</v>
      </c>
      <c r="F585" s="2">
        <v>0</v>
      </c>
      <c r="G585" s="2">
        <v>0</v>
      </c>
      <c r="H585" s="2">
        <v>0</v>
      </c>
      <c r="I585" s="2">
        <v>0</v>
      </c>
      <c r="J585" s="2">
        <v>0</v>
      </c>
      <c r="K585" s="2">
        <v>2384</v>
      </c>
      <c r="L585" s="2">
        <v>0</v>
      </c>
      <c r="M585" s="2">
        <v>1</v>
      </c>
      <c r="N585" s="2">
        <v>4</v>
      </c>
      <c r="O585" s="2">
        <v>0</v>
      </c>
      <c r="P585" s="2">
        <v>1</v>
      </c>
      <c r="Q585" s="2">
        <v>0</v>
      </c>
      <c r="R585" s="2">
        <v>0</v>
      </c>
      <c r="S585" s="2">
        <v>0</v>
      </c>
      <c r="T585" s="2">
        <v>1</v>
      </c>
      <c r="U585" s="2">
        <v>0</v>
      </c>
      <c r="V585" s="2">
        <v>1</v>
      </c>
      <c r="W585" s="2">
        <v>33</v>
      </c>
      <c r="X585" s="2">
        <v>0</v>
      </c>
      <c r="Y585" s="2">
        <v>1</v>
      </c>
      <c r="Z585" s="2">
        <v>0</v>
      </c>
      <c r="AA585" s="2">
        <v>1</v>
      </c>
      <c r="AB585" s="2">
        <v>1</v>
      </c>
      <c r="AC585" s="2">
        <v>1</v>
      </c>
      <c r="AD585" s="2">
        <v>0</v>
      </c>
      <c r="AE585" s="2">
        <v>0</v>
      </c>
      <c r="AF585" s="2">
        <v>0</v>
      </c>
    </row>
    <row r="586" spans="1:32" x14ac:dyDescent="0.25">
      <c r="A586">
        <v>585</v>
      </c>
      <c r="B586" s="2">
        <v>3</v>
      </c>
      <c r="C586" s="2">
        <v>12</v>
      </c>
      <c r="D586" s="2">
        <v>2</v>
      </c>
      <c r="E586" s="2">
        <v>1</v>
      </c>
      <c r="F586" s="2">
        <v>0</v>
      </c>
      <c r="G586" s="2">
        <v>0</v>
      </c>
      <c r="H586" s="2">
        <v>0</v>
      </c>
      <c r="I586" s="2">
        <v>0</v>
      </c>
      <c r="J586" s="2">
        <v>0</v>
      </c>
      <c r="K586" s="2">
        <v>2133</v>
      </c>
      <c r="L586" s="2">
        <v>4</v>
      </c>
      <c r="M586" s="2">
        <v>4</v>
      </c>
      <c r="N586" s="2">
        <v>4</v>
      </c>
      <c r="O586" s="2">
        <v>0</v>
      </c>
      <c r="P586" s="2">
        <v>0</v>
      </c>
      <c r="Q586" s="2">
        <v>0</v>
      </c>
      <c r="R586" s="2">
        <v>0</v>
      </c>
      <c r="S586" s="2">
        <v>0</v>
      </c>
      <c r="T586" s="2">
        <v>4</v>
      </c>
      <c r="U586" s="2">
        <v>0</v>
      </c>
      <c r="V586" s="2">
        <v>1</v>
      </c>
      <c r="W586" s="2">
        <v>52</v>
      </c>
      <c r="X586" s="2">
        <v>0</v>
      </c>
      <c r="Y586" s="2">
        <v>0</v>
      </c>
      <c r="Z586" s="2">
        <v>0</v>
      </c>
      <c r="AA586" s="2">
        <v>1</v>
      </c>
      <c r="AB586" s="2">
        <v>3</v>
      </c>
      <c r="AC586" s="2">
        <v>1</v>
      </c>
      <c r="AD586" s="2">
        <v>1</v>
      </c>
      <c r="AE586" s="2">
        <v>0</v>
      </c>
      <c r="AF586" s="2">
        <v>1</v>
      </c>
    </row>
    <row r="587" spans="1:32" x14ac:dyDescent="0.25">
      <c r="A587">
        <v>586</v>
      </c>
      <c r="B587" s="2">
        <v>0</v>
      </c>
      <c r="C587" s="2">
        <v>18</v>
      </c>
      <c r="D587" s="2">
        <v>2</v>
      </c>
      <c r="E587" s="2">
        <v>0</v>
      </c>
      <c r="F587" s="2">
        <v>0</v>
      </c>
      <c r="G587" s="2">
        <v>1</v>
      </c>
      <c r="H587" s="2">
        <v>0</v>
      </c>
      <c r="I587" s="2">
        <v>0</v>
      </c>
      <c r="J587" s="2">
        <v>0</v>
      </c>
      <c r="K587" s="2">
        <v>2039</v>
      </c>
      <c r="L587" s="2">
        <v>0</v>
      </c>
      <c r="M587" s="2">
        <v>2</v>
      </c>
      <c r="N587" s="2">
        <v>1</v>
      </c>
      <c r="O587" s="2">
        <v>0</v>
      </c>
      <c r="P587" s="2">
        <v>0</v>
      </c>
      <c r="Q587" s="2">
        <v>0</v>
      </c>
      <c r="R587" s="2">
        <v>0</v>
      </c>
      <c r="S587" s="2">
        <v>0</v>
      </c>
      <c r="T587" s="2">
        <v>4</v>
      </c>
      <c r="U587" s="2">
        <v>1</v>
      </c>
      <c r="V587" s="2">
        <v>0</v>
      </c>
      <c r="W587" s="2">
        <v>20</v>
      </c>
      <c r="X587" s="2">
        <v>1</v>
      </c>
      <c r="Y587" s="2">
        <v>1</v>
      </c>
      <c r="Z587" s="2">
        <v>0</v>
      </c>
      <c r="AA587" s="2">
        <v>1</v>
      </c>
      <c r="AB587" s="2">
        <v>2</v>
      </c>
      <c r="AC587" s="2">
        <v>1</v>
      </c>
      <c r="AD587" s="2">
        <v>0</v>
      </c>
      <c r="AE587" s="2">
        <v>0</v>
      </c>
      <c r="AF587" s="2">
        <v>0</v>
      </c>
    </row>
    <row r="588" spans="1:32" x14ac:dyDescent="0.25">
      <c r="A588">
        <v>587</v>
      </c>
      <c r="B588" s="2">
        <v>0</v>
      </c>
      <c r="C588" s="2">
        <v>9</v>
      </c>
      <c r="D588" s="2">
        <v>4</v>
      </c>
      <c r="E588" s="2">
        <v>1</v>
      </c>
      <c r="F588" s="2">
        <v>0</v>
      </c>
      <c r="G588" s="2">
        <v>0</v>
      </c>
      <c r="H588" s="2">
        <v>0</v>
      </c>
      <c r="I588" s="2">
        <v>0</v>
      </c>
      <c r="J588" s="2">
        <v>0</v>
      </c>
      <c r="K588" s="2">
        <v>2799</v>
      </c>
      <c r="L588" s="2">
        <v>0</v>
      </c>
      <c r="M588" s="2">
        <v>2</v>
      </c>
      <c r="N588" s="2">
        <v>2</v>
      </c>
      <c r="O588" s="2">
        <v>0</v>
      </c>
      <c r="P588" s="2">
        <v>1</v>
      </c>
      <c r="Q588" s="2">
        <v>0</v>
      </c>
      <c r="R588" s="2">
        <v>0</v>
      </c>
      <c r="S588" s="2">
        <v>0</v>
      </c>
      <c r="T588" s="2">
        <v>2</v>
      </c>
      <c r="U588" s="2">
        <v>1</v>
      </c>
      <c r="V588" s="2">
        <v>0</v>
      </c>
      <c r="W588" s="2">
        <v>36</v>
      </c>
      <c r="X588" s="2">
        <v>0</v>
      </c>
      <c r="Y588" s="2">
        <v>1</v>
      </c>
      <c r="Z588" s="2">
        <v>0</v>
      </c>
      <c r="AA588" s="2">
        <v>2</v>
      </c>
      <c r="AB588" s="2">
        <v>2</v>
      </c>
      <c r="AC588" s="2">
        <v>2</v>
      </c>
      <c r="AD588" s="2">
        <v>0</v>
      </c>
      <c r="AE588" s="2">
        <v>0</v>
      </c>
      <c r="AF588" s="2">
        <v>1</v>
      </c>
    </row>
    <row r="589" spans="1:32" x14ac:dyDescent="0.25">
      <c r="A589">
        <v>588</v>
      </c>
      <c r="B589" s="2">
        <v>0</v>
      </c>
      <c r="C589" s="2">
        <v>12</v>
      </c>
      <c r="D589" s="2">
        <v>2</v>
      </c>
      <c r="E589" s="2">
        <v>0</v>
      </c>
      <c r="F589" s="2">
        <v>0</v>
      </c>
      <c r="G589" s="2">
        <v>1</v>
      </c>
      <c r="H589" s="2">
        <v>0</v>
      </c>
      <c r="I589" s="2">
        <v>0</v>
      </c>
      <c r="J589" s="2">
        <v>0</v>
      </c>
      <c r="K589" s="2">
        <v>1289</v>
      </c>
      <c r="L589" s="2">
        <v>0</v>
      </c>
      <c r="M589" s="2">
        <v>2</v>
      </c>
      <c r="N589" s="2">
        <v>4</v>
      </c>
      <c r="O589" s="2">
        <v>0</v>
      </c>
      <c r="P589" s="2">
        <v>1</v>
      </c>
      <c r="Q589" s="2">
        <v>0</v>
      </c>
      <c r="R589" s="2">
        <v>0</v>
      </c>
      <c r="S589" s="2">
        <v>1</v>
      </c>
      <c r="T589" s="2">
        <v>1</v>
      </c>
      <c r="U589" s="2">
        <v>0</v>
      </c>
      <c r="V589" s="2">
        <v>0</v>
      </c>
      <c r="W589" s="2">
        <v>21</v>
      </c>
      <c r="X589" s="2">
        <v>0</v>
      </c>
      <c r="Y589" s="2">
        <v>0</v>
      </c>
      <c r="Z589" s="2">
        <v>1</v>
      </c>
      <c r="AA589" s="2">
        <v>1</v>
      </c>
      <c r="AB589" s="2">
        <v>1</v>
      </c>
      <c r="AC589" s="2">
        <v>1</v>
      </c>
      <c r="AD589" s="2">
        <v>0</v>
      </c>
      <c r="AE589" s="2">
        <v>0</v>
      </c>
      <c r="AF589" s="2">
        <v>1</v>
      </c>
    </row>
    <row r="590" spans="1:32" x14ac:dyDescent="0.25">
      <c r="A590">
        <v>589</v>
      </c>
      <c r="B590" s="2">
        <v>0</v>
      </c>
      <c r="C590" s="2">
        <v>18</v>
      </c>
      <c r="D590" s="2">
        <v>2</v>
      </c>
      <c r="E590" s="2">
        <v>0</v>
      </c>
      <c r="F590" s="2">
        <v>0</v>
      </c>
      <c r="G590" s="2">
        <v>0</v>
      </c>
      <c r="H590" s="2">
        <v>0</v>
      </c>
      <c r="I590" s="2">
        <v>0</v>
      </c>
      <c r="J590" s="2">
        <v>0</v>
      </c>
      <c r="K590" s="2">
        <v>1217</v>
      </c>
      <c r="L590" s="2">
        <v>0</v>
      </c>
      <c r="M590" s="2">
        <v>2</v>
      </c>
      <c r="N590" s="2">
        <v>4</v>
      </c>
      <c r="O590" s="2">
        <v>0</v>
      </c>
      <c r="P590" s="2">
        <v>0</v>
      </c>
      <c r="Q590" s="2">
        <v>1</v>
      </c>
      <c r="R590" s="2">
        <v>0</v>
      </c>
      <c r="S590" s="2">
        <v>0</v>
      </c>
      <c r="T590" s="2">
        <v>3</v>
      </c>
      <c r="U590" s="2">
        <v>1</v>
      </c>
      <c r="V590" s="2">
        <v>0</v>
      </c>
      <c r="W590" s="2">
        <v>47</v>
      </c>
      <c r="X590" s="2">
        <v>0</v>
      </c>
      <c r="Y590" s="2">
        <v>0</v>
      </c>
      <c r="Z590" s="2">
        <v>1</v>
      </c>
      <c r="AA590" s="2">
        <v>1</v>
      </c>
      <c r="AB590" s="2">
        <v>1</v>
      </c>
      <c r="AC590" s="2">
        <v>1</v>
      </c>
      <c r="AD590" s="2">
        <v>1</v>
      </c>
      <c r="AE590" s="2">
        <v>0</v>
      </c>
      <c r="AF590" s="2">
        <v>0</v>
      </c>
    </row>
    <row r="591" spans="1:32" x14ac:dyDescent="0.25">
      <c r="A591">
        <v>590</v>
      </c>
      <c r="B591" s="2">
        <v>0</v>
      </c>
      <c r="C591" s="2">
        <v>12</v>
      </c>
      <c r="D591" s="2">
        <v>4</v>
      </c>
      <c r="E591" s="2">
        <v>0</v>
      </c>
      <c r="F591" s="2">
        <v>0</v>
      </c>
      <c r="G591" s="2">
        <v>1</v>
      </c>
      <c r="H591" s="2">
        <v>0</v>
      </c>
      <c r="I591" s="2">
        <v>0</v>
      </c>
      <c r="J591" s="2">
        <v>0</v>
      </c>
      <c r="K591" s="2">
        <v>2246</v>
      </c>
      <c r="L591" s="2">
        <v>0</v>
      </c>
      <c r="M591" s="2">
        <v>4</v>
      </c>
      <c r="N591" s="2">
        <v>3</v>
      </c>
      <c r="O591" s="2">
        <v>0</v>
      </c>
      <c r="P591" s="2">
        <v>1</v>
      </c>
      <c r="Q591" s="2">
        <v>0</v>
      </c>
      <c r="R591" s="2">
        <v>0</v>
      </c>
      <c r="S591" s="2">
        <v>0</v>
      </c>
      <c r="T591" s="2">
        <v>3</v>
      </c>
      <c r="U591" s="2">
        <v>0</v>
      </c>
      <c r="V591" s="2">
        <v>0</v>
      </c>
      <c r="W591" s="2">
        <v>60</v>
      </c>
      <c r="X591" s="2">
        <v>0</v>
      </c>
      <c r="Y591" s="2">
        <v>0</v>
      </c>
      <c r="Z591" s="2">
        <v>1</v>
      </c>
      <c r="AA591" s="2">
        <v>2</v>
      </c>
      <c r="AB591" s="2">
        <v>2</v>
      </c>
      <c r="AC591" s="2">
        <v>1</v>
      </c>
      <c r="AD591" s="2">
        <v>0</v>
      </c>
      <c r="AE591" s="2">
        <v>0</v>
      </c>
      <c r="AF591" s="2">
        <v>0</v>
      </c>
    </row>
    <row r="592" spans="1:32" x14ac:dyDescent="0.25">
      <c r="A592">
        <v>591</v>
      </c>
      <c r="B592" s="2">
        <v>0</v>
      </c>
      <c r="C592" s="2">
        <v>12</v>
      </c>
      <c r="D592" s="2">
        <v>4</v>
      </c>
      <c r="E592" s="2">
        <v>0</v>
      </c>
      <c r="F592" s="2">
        <v>0</v>
      </c>
      <c r="G592" s="2">
        <v>0</v>
      </c>
      <c r="H592" s="2">
        <v>1</v>
      </c>
      <c r="I592" s="2">
        <v>0</v>
      </c>
      <c r="J592" s="2">
        <v>0</v>
      </c>
      <c r="K592" s="2">
        <v>385</v>
      </c>
      <c r="L592" s="2">
        <v>0</v>
      </c>
      <c r="M592" s="2">
        <v>3</v>
      </c>
      <c r="N592" s="2">
        <v>4</v>
      </c>
      <c r="O592" s="2">
        <v>0</v>
      </c>
      <c r="P592" s="2">
        <v>0</v>
      </c>
      <c r="Q592" s="2">
        <v>0</v>
      </c>
      <c r="R592" s="2">
        <v>0</v>
      </c>
      <c r="S592" s="2">
        <v>0</v>
      </c>
      <c r="T592" s="2">
        <v>3</v>
      </c>
      <c r="U592" s="2">
        <v>1</v>
      </c>
      <c r="V592" s="2">
        <v>0</v>
      </c>
      <c r="W592" s="2">
        <v>58</v>
      </c>
      <c r="X592" s="2">
        <v>0</v>
      </c>
      <c r="Y592" s="2">
        <v>0</v>
      </c>
      <c r="Z592" s="2">
        <v>1</v>
      </c>
      <c r="AA592" s="2">
        <v>4</v>
      </c>
      <c r="AB592" s="2">
        <v>1</v>
      </c>
      <c r="AC592" s="2">
        <v>1</v>
      </c>
      <c r="AD592" s="2">
        <v>1</v>
      </c>
      <c r="AE592" s="2">
        <v>0</v>
      </c>
      <c r="AF592" s="2">
        <v>1</v>
      </c>
    </row>
    <row r="593" spans="1:32" x14ac:dyDescent="0.25">
      <c r="A593">
        <v>592</v>
      </c>
      <c r="B593" s="2">
        <v>1</v>
      </c>
      <c r="C593" s="2">
        <v>24</v>
      </c>
      <c r="D593" s="2">
        <v>3</v>
      </c>
      <c r="E593" s="2">
        <v>1</v>
      </c>
      <c r="F593" s="2">
        <v>0</v>
      </c>
      <c r="G593" s="2">
        <v>0</v>
      </c>
      <c r="H593" s="2">
        <v>0</v>
      </c>
      <c r="I593" s="2">
        <v>0</v>
      </c>
      <c r="J593" s="2">
        <v>0</v>
      </c>
      <c r="K593" s="2">
        <v>1965</v>
      </c>
      <c r="L593" s="2">
        <v>4</v>
      </c>
      <c r="M593" s="2">
        <v>2</v>
      </c>
      <c r="N593" s="2">
        <v>4</v>
      </c>
      <c r="O593" s="2">
        <v>0</v>
      </c>
      <c r="P593" s="2">
        <v>0</v>
      </c>
      <c r="Q593" s="2">
        <v>0</v>
      </c>
      <c r="R593" s="2">
        <v>0</v>
      </c>
      <c r="S593" s="2">
        <v>0</v>
      </c>
      <c r="T593" s="2">
        <v>4</v>
      </c>
      <c r="U593" s="2">
        <v>0</v>
      </c>
      <c r="V593" s="2">
        <v>0</v>
      </c>
      <c r="W593" s="2">
        <v>42</v>
      </c>
      <c r="X593" s="2">
        <v>0</v>
      </c>
      <c r="Y593" s="2">
        <v>1</v>
      </c>
      <c r="Z593" s="2">
        <v>0</v>
      </c>
      <c r="AA593" s="2">
        <v>2</v>
      </c>
      <c r="AB593" s="2">
        <v>2</v>
      </c>
      <c r="AC593" s="2">
        <v>1</v>
      </c>
      <c r="AD593" s="2">
        <v>1</v>
      </c>
      <c r="AE593" s="2">
        <v>0</v>
      </c>
      <c r="AF593" s="2">
        <v>1</v>
      </c>
    </row>
    <row r="594" spans="1:32" x14ac:dyDescent="0.25">
      <c r="A594">
        <v>593</v>
      </c>
      <c r="B594" s="2">
        <v>3</v>
      </c>
      <c r="C594" s="2">
        <v>21</v>
      </c>
      <c r="D594" s="2">
        <v>2</v>
      </c>
      <c r="E594" s="2">
        <v>0</v>
      </c>
      <c r="F594" s="2">
        <v>0</v>
      </c>
      <c r="G594" s="2">
        <v>0</v>
      </c>
      <c r="H594" s="2">
        <v>0</v>
      </c>
      <c r="I594" s="2">
        <v>0</v>
      </c>
      <c r="J594" s="2">
        <v>1</v>
      </c>
      <c r="K594" s="2">
        <v>1572</v>
      </c>
      <c r="L594" s="2">
        <v>3</v>
      </c>
      <c r="M594" s="2">
        <v>4</v>
      </c>
      <c r="N594" s="2">
        <v>4</v>
      </c>
      <c r="O594" s="2">
        <v>0</v>
      </c>
      <c r="P594" s="2">
        <v>0</v>
      </c>
      <c r="Q594" s="2">
        <v>0</v>
      </c>
      <c r="R594" s="2">
        <v>0</v>
      </c>
      <c r="S594" s="2">
        <v>0</v>
      </c>
      <c r="T594" s="2">
        <v>4</v>
      </c>
      <c r="U594" s="2">
        <v>1</v>
      </c>
      <c r="V594" s="2">
        <v>0</v>
      </c>
      <c r="W594" s="2">
        <v>36</v>
      </c>
      <c r="X594" s="2">
        <v>1</v>
      </c>
      <c r="Y594" s="2">
        <v>0</v>
      </c>
      <c r="Z594" s="2">
        <v>1</v>
      </c>
      <c r="AA594" s="2">
        <v>1</v>
      </c>
      <c r="AB594" s="2">
        <v>1</v>
      </c>
      <c r="AC594" s="2">
        <v>1</v>
      </c>
      <c r="AD594" s="2">
        <v>0</v>
      </c>
      <c r="AE594" s="2">
        <v>0</v>
      </c>
      <c r="AF594" s="2">
        <v>1</v>
      </c>
    </row>
    <row r="595" spans="1:32" x14ac:dyDescent="0.25">
      <c r="A595">
        <v>594</v>
      </c>
      <c r="B595" s="2">
        <v>1</v>
      </c>
      <c r="C595" s="2">
        <v>24</v>
      </c>
      <c r="D595" s="2">
        <v>2</v>
      </c>
      <c r="E595" s="2">
        <v>1</v>
      </c>
      <c r="F595" s="2">
        <v>0</v>
      </c>
      <c r="G595" s="2">
        <v>0</v>
      </c>
      <c r="H595" s="2">
        <v>0</v>
      </c>
      <c r="I595" s="2">
        <v>0</v>
      </c>
      <c r="J595" s="2">
        <v>0</v>
      </c>
      <c r="K595" s="2">
        <v>2718</v>
      </c>
      <c r="L595" s="2">
        <v>0</v>
      </c>
      <c r="M595" s="2">
        <v>2</v>
      </c>
      <c r="N595" s="2">
        <v>3</v>
      </c>
      <c r="O595" s="2">
        <v>0</v>
      </c>
      <c r="P595" s="2">
        <v>0</v>
      </c>
      <c r="Q595" s="2">
        <v>0</v>
      </c>
      <c r="R595" s="2">
        <v>0</v>
      </c>
      <c r="S595" s="2">
        <v>0</v>
      </c>
      <c r="T595" s="2">
        <v>4</v>
      </c>
      <c r="U595" s="2">
        <v>0</v>
      </c>
      <c r="V595" s="2">
        <v>0</v>
      </c>
      <c r="W595" s="2">
        <v>20</v>
      </c>
      <c r="X595" s="2">
        <v>0</v>
      </c>
      <c r="Y595" s="2">
        <v>1</v>
      </c>
      <c r="Z595" s="2">
        <v>0</v>
      </c>
      <c r="AA595" s="2">
        <v>1</v>
      </c>
      <c r="AB595" s="2">
        <v>1</v>
      </c>
      <c r="AC595" s="2">
        <v>1</v>
      </c>
      <c r="AD595" s="2">
        <v>1</v>
      </c>
      <c r="AE595" s="2">
        <v>0</v>
      </c>
      <c r="AF595" s="2">
        <v>0</v>
      </c>
    </row>
    <row r="596" spans="1:32" x14ac:dyDescent="0.25">
      <c r="A596">
        <v>595</v>
      </c>
      <c r="B596" s="2">
        <v>0</v>
      </c>
      <c r="C596" s="2">
        <v>24</v>
      </c>
      <c r="D596" s="2">
        <v>1</v>
      </c>
      <c r="E596" s="2">
        <v>0</v>
      </c>
      <c r="F596" s="2">
        <v>0</v>
      </c>
      <c r="G596" s="2">
        <v>0</v>
      </c>
      <c r="H596" s="2">
        <v>0</v>
      </c>
      <c r="I596" s="2">
        <v>0</v>
      </c>
      <c r="J596" s="2">
        <v>0</v>
      </c>
      <c r="K596" s="2">
        <v>1358</v>
      </c>
      <c r="L596" s="2">
        <v>4</v>
      </c>
      <c r="M596" s="2">
        <v>4</v>
      </c>
      <c r="N596" s="2">
        <v>4</v>
      </c>
      <c r="O596" s="2">
        <v>0</v>
      </c>
      <c r="P596" s="2">
        <v>1</v>
      </c>
      <c r="Q596" s="2">
        <v>0</v>
      </c>
      <c r="R596" s="2">
        <v>0</v>
      </c>
      <c r="S596" s="2">
        <v>0</v>
      </c>
      <c r="T596" s="2">
        <v>3</v>
      </c>
      <c r="U596" s="2">
        <v>0</v>
      </c>
      <c r="V596" s="2">
        <v>0</v>
      </c>
      <c r="W596" s="2">
        <v>40</v>
      </c>
      <c r="X596" s="2">
        <v>1</v>
      </c>
      <c r="Y596" s="2">
        <v>0</v>
      </c>
      <c r="Z596" s="2">
        <v>1</v>
      </c>
      <c r="AA596" s="2">
        <v>1</v>
      </c>
      <c r="AB596" s="2">
        <v>3</v>
      </c>
      <c r="AC596" s="2">
        <v>1</v>
      </c>
      <c r="AD596" s="2">
        <v>1</v>
      </c>
      <c r="AE596" s="2">
        <v>0</v>
      </c>
      <c r="AF596" s="2">
        <v>0</v>
      </c>
    </row>
    <row r="597" spans="1:32" x14ac:dyDescent="0.25">
      <c r="A597">
        <v>596</v>
      </c>
      <c r="B597" s="2">
        <v>1</v>
      </c>
      <c r="C597" s="2">
        <v>6</v>
      </c>
      <c r="D597" s="2">
        <v>1</v>
      </c>
      <c r="E597" s="2">
        <v>1</v>
      </c>
      <c r="F597" s="2">
        <v>0</v>
      </c>
      <c r="G597" s="2">
        <v>0</v>
      </c>
      <c r="H597" s="2">
        <v>0</v>
      </c>
      <c r="I597" s="2">
        <v>0</v>
      </c>
      <c r="J597" s="2">
        <v>0</v>
      </c>
      <c r="K597" s="2">
        <v>931</v>
      </c>
      <c r="L597" s="2">
        <v>1</v>
      </c>
      <c r="M597" s="2">
        <v>1</v>
      </c>
      <c r="N597" s="2">
        <v>1</v>
      </c>
      <c r="O597" s="2">
        <v>0</v>
      </c>
      <c r="P597" s="2">
        <v>0</v>
      </c>
      <c r="Q597" s="2">
        <v>0</v>
      </c>
      <c r="R597" s="2">
        <v>0</v>
      </c>
      <c r="S597" s="2">
        <v>0</v>
      </c>
      <c r="T597" s="2">
        <v>1</v>
      </c>
      <c r="U597" s="2">
        <v>0</v>
      </c>
      <c r="V597" s="2">
        <v>0</v>
      </c>
      <c r="W597" s="2">
        <v>32</v>
      </c>
      <c r="X597" s="2">
        <v>1</v>
      </c>
      <c r="Y597" s="2">
        <v>0</v>
      </c>
      <c r="Z597" s="2">
        <v>1</v>
      </c>
      <c r="AA597" s="2">
        <v>1</v>
      </c>
      <c r="AB597" s="2">
        <v>1</v>
      </c>
      <c r="AC597" s="2">
        <v>1</v>
      </c>
      <c r="AD597" s="2">
        <v>0</v>
      </c>
      <c r="AE597" s="2">
        <v>0</v>
      </c>
      <c r="AF597" s="2">
        <v>0</v>
      </c>
    </row>
    <row r="598" spans="1:32" x14ac:dyDescent="0.25">
      <c r="A598">
        <v>597</v>
      </c>
      <c r="B598" s="2">
        <v>0</v>
      </c>
      <c r="C598" s="2">
        <v>24</v>
      </c>
      <c r="D598" s="2">
        <v>2</v>
      </c>
      <c r="E598" s="2">
        <v>1</v>
      </c>
      <c r="F598" s="2">
        <v>0</v>
      </c>
      <c r="G598" s="2">
        <v>0</v>
      </c>
      <c r="H598" s="2">
        <v>0</v>
      </c>
      <c r="I598" s="2">
        <v>0</v>
      </c>
      <c r="J598" s="2">
        <v>0</v>
      </c>
      <c r="K598" s="2">
        <v>1442</v>
      </c>
      <c r="L598" s="2">
        <v>0</v>
      </c>
      <c r="M598" s="2">
        <v>3</v>
      </c>
      <c r="N598" s="2">
        <v>4</v>
      </c>
      <c r="O598" s="2">
        <v>0</v>
      </c>
      <c r="P598" s="2">
        <v>0</v>
      </c>
      <c r="Q598" s="2">
        <v>0</v>
      </c>
      <c r="R598" s="2">
        <v>0</v>
      </c>
      <c r="S598" s="2">
        <v>0</v>
      </c>
      <c r="T598" s="2">
        <v>4</v>
      </c>
      <c r="U598" s="2">
        <v>0</v>
      </c>
      <c r="V598" s="2">
        <v>0</v>
      </c>
      <c r="W598" s="2">
        <v>23</v>
      </c>
      <c r="X598" s="2">
        <v>0</v>
      </c>
      <c r="Y598" s="2">
        <v>1</v>
      </c>
      <c r="Z598" s="2">
        <v>0</v>
      </c>
      <c r="AA598" s="2">
        <v>2</v>
      </c>
      <c r="AB598" s="2">
        <v>2</v>
      </c>
      <c r="AC598" s="2">
        <v>1</v>
      </c>
      <c r="AD598" s="2">
        <v>0</v>
      </c>
      <c r="AE598" s="2">
        <v>0</v>
      </c>
      <c r="AF598" s="2">
        <v>0</v>
      </c>
    </row>
    <row r="599" spans="1:32" x14ac:dyDescent="0.25">
      <c r="A599">
        <v>598</v>
      </c>
      <c r="B599" s="2">
        <v>1</v>
      </c>
      <c r="C599" s="2">
        <v>24</v>
      </c>
      <c r="D599" s="2">
        <v>0</v>
      </c>
      <c r="E599" s="2">
        <v>0</v>
      </c>
      <c r="F599" s="2">
        <v>0</v>
      </c>
      <c r="G599" s="2">
        <v>0</v>
      </c>
      <c r="H599" s="2">
        <v>0</v>
      </c>
      <c r="I599" s="2">
        <v>0</v>
      </c>
      <c r="J599" s="2">
        <v>1</v>
      </c>
      <c r="K599" s="2">
        <v>4241</v>
      </c>
      <c r="L599" s="2">
        <v>0</v>
      </c>
      <c r="M599" s="2">
        <v>2</v>
      </c>
      <c r="N599" s="2">
        <v>1</v>
      </c>
      <c r="O599" s="2">
        <v>0</v>
      </c>
      <c r="P599" s="2">
        <v>1</v>
      </c>
      <c r="Q599" s="2">
        <v>0</v>
      </c>
      <c r="R599" s="2">
        <v>0</v>
      </c>
      <c r="S599" s="2">
        <v>0</v>
      </c>
      <c r="T599" s="2">
        <v>4</v>
      </c>
      <c r="U599" s="2">
        <v>1</v>
      </c>
      <c r="V599" s="2">
        <v>0</v>
      </c>
      <c r="W599" s="2">
        <v>36</v>
      </c>
      <c r="X599" s="2">
        <v>0</v>
      </c>
      <c r="Y599" s="2">
        <v>0</v>
      </c>
      <c r="Z599" s="2">
        <v>1</v>
      </c>
      <c r="AA599" s="2">
        <v>3</v>
      </c>
      <c r="AB599" s="2">
        <v>1</v>
      </c>
      <c r="AC599" s="2">
        <v>1</v>
      </c>
      <c r="AD599" s="2">
        <v>1</v>
      </c>
      <c r="AE599" s="2">
        <v>0</v>
      </c>
      <c r="AF599" s="2">
        <v>0</v>
      </c>
    </row>
    <row r="600" spans="1:32" x14ac:dyDescent="0.25">
      <c r="A600">
        <v>599</v>
      </c>
      <c r="B600" s="2">
        <v>3</v>
      </c>
      <c r="C600" s="2">
        <v>18</v>
      </c>
      <c r="D600" s="2">
        <v>4</v>
      </c>
      <c r="E600" s="2">
        <v>1</v>
      </c>
      <c r="F600" s="2">
        <v>0</v>
      </c>
      <c r="G600" s="2">
        <v>0</v>
      </c>
      <c r="H600" s="2">
        <v>0</v>
      </c>
      <c r="I600" s="2">
        <v>0</v>
      </c>
      <c r="J600" s="2">
        <v>0</v>
      </c>
      <c r="K600" s="2">
        <v>2775</v>
      </c>
      <c r="L600" s="2">
        <v>0</v>
      </c>
      <c r="M600" s="2">
        <v>3</v>
      </c>
      <c r="N600" s="2">
        <v>2</v>
      </c>
      <c r="O600" s="2">
        <v>0</v>
      </c>
      <c r="P600" s="2">
        <v>1</v>
      </c>
      <c r="Q600" s="2">
        <v>0</v>
      </c>
      <c r="R600" s="2">
        <v>0</v>
      </c>
      <c r="S600" s="2">
        <v>0</v>
      </c>
      <c r="T600" s="2">
        <v>2</v>
      </c>
      <c r="U600" s="2">
        <v>0</v>
      </c>
      <c r="V600" s="2">
        <v>0</v>
      </c>
      <c r="W600" s="2">
        <v>31</v>
      </c>
      <c r="X600" s="2">
        <v>1</v>
      </c>
      <c r="Y600" s="2">
        <v>0</v>
      </c>
      <c r="Z600" s="2">
        <v>1</v>
      </c>
      <c r="AA600" s="2">
        <v>2</v>
      </c>
      <c r="AB600" s="2">
        <v>2</v>
      </c>
      <c r="AC600" s="2">
        <v>1</v>
      </c>
      <c r="AD600" s="2">
        <v>0</v>
      </c>
      <c r="AE600" s="2">
        <v>0</v>
      </c>
      <c r="AF600" s="2">
        <v>0</v>
      </c>
    </row>
    <row r="601" spans="1:32" x14ac:dyDescent="0.25">
      <c r="A601">
        <v>600</v>
      </c>
      <c r="B601" s="2">
        <v>3</v>
      </c>
      <c r="C601" s="2">
        <v>24</v>
      </c>
      <c r="D601" s="2">
        <v>3</v>
      </c>
      <c r="E601" s="2">
        <v>0</v>
      </c>
      <c r="F601" s="2">
        <v>0</v>
      </c>
      <c r="G601" s="2">
        <v>0</v>
      </c>
      <c r="H601" s="2">
        <v>0</v>
      </c>
      <c r="I601" s="2">
        <v>0</v>
      </c>
      <c r="J601" s="2">
        <v>1</v>
      </c>
      <c r="K601" s="2">
        <v>3863</v>
      </c>
      <c r="L601" s="2">
        <v>0</v>
      </c>
      <c r="M601" s="2">
        <v>2</v>
      </c>
      <c r="N601" s="2">
        <v>1</v>
      </c>
      <c r="O601" s="2">
        <v>0</v>
      </c>
      <c r="P601" s="2">
        <v>1</v>
      </c>
      <c r="Q601" s="2">
        <v>0</v>
      </c>
      <c r="R601" s="2">
        <v>0</v>
      </c>
      <c r="S601" s="2">
        <v>0</v>
      </c>
      <c r="T601" s="2">
        <v>2</v>
      </c>
      <c r="U601" s="2">
        <v>0</v>
      </c>
      <c r="V601" s="2">
        <v>1</v>
      </c>
      <c r="W601" s="2">
        <v>32</v>
      </c>
      <c r="X601" s="2">
        <v>0</v>
      </c>
      <c r="Y601" s="2">
        <v>0</v>
      </c>
      <c r="Z601" s="2">
        <v>0</v>
      </c>
      <c r="AA601" s="2">
        <v>1</v>
      </c>
      <c r="AB601" s="2">
        <v>2</v>
      </c>
      <c r="AC601" s="2">
        <v>1</v>
      </c>
      <c r="AD601" s="2">
        <v>0</v>
      </c>
      <c r="AE601" s="2">
        <v>0</v>
      </c>
      <c r="AF601" s="2">
        <v>1</v>
      </c>
    </row>
    <row r="602" spans="1:32" x14ac:dyDescent="0.25">
      <c r="A602">
        <v>601</v>
      </c>
      <c r="B602" s="2">
        <v>1</v>
      </c>
      <c r="C602" s="2">
        <v>7</v>
      </c>
      <c r="D602" s="2">
        <v>2</v>
      </c>
      <c r="E602" s="2">
        <v>0</v>
      </c>
      <c r="F602" s="2">
        <v>0</v>
      </c>
      <c r="G602" s="2">
        <v>0</v>
      </c>
      <c r="H602" s="2">
        <v>1</v>
      </c>
      <c r="I602" s="2">
        <v>0</v>
      </c>
      <c r="J602" s="2">
        <v>0</v>
      </c>
      <c r="K602" s="2">
        <v>2329</v>
      </c>
      <c r="L602" s="2">
        <v>0</v>
      </c>
      <c r="M602" s="2">
        <v>1</v>
      </c>
      <c r="N602" s="2">
        <v>1</v>
      </c>
      <c r="O602" s="2">
        <v>0</v>
      </c>
      <c r="P602" s="2">
        <v>0</v>
      </c>
      <c r="Q602" s="2">
        <v>0</v>
      </c>
      <c r="R602" s="2">
        <v>0</v>
      </c>
      <c r="S602" s="2">
        <v>1</v>
      </c>
      <c r="T602" s="2">
        <v>1</v>
      </c>
      <c r="U602" s="2">
        <v>1</v>
      </c>
      <c r="V602" s="2">
        <v>0</v>
      </c>
      <c r="W602" s="2">
        <v>45</v>
      </c>
      <c r="X602" s="2">
        <v>0</v>
      </c>
      <c r="Y602" s="2">
        <v>0</v>
      </c>
      <c r="Z602" s="2">
        <v>1</v>
      </c>
      <c r="AA602" s="2">
        <v>1</v>
      </c>
      <c r="AB602" s="2">
        <v>2</v>
      </c>
      <c r="AC602" s="2">
        <v>1</v>
      </c>
      <c r="AD602" s="2">
        <v>0</v>
      </c>
      <c r="AE602" s="2">
        <v>0</v>
      </c>
      <c r="AF602" s="2">
        <v>1</v>
      </c>
    </row>
    <row r="603" spans="1:32" x14ac:dyDescent="0.25">
      <c r="A603">
        <v>602</v>
      </c>
      <c r="B603" s="2">
        <v>1</v>
      </c>
      <c r="C603" s="2">
        <v>9</v>
      </c>
      <c r="D603" s="2">
        <v>2</v>
      </c>
      <c r="E603" s="2">
        <v>0</v>
      </c>
      <c r="F603" s="2">
        <v>0</v>
      </c>
      <c r="G603" s="2">
        <v>1</v>
      </c>
      <c r="H603" s="2">
        <v>0</v>
      </c>
      <c r="I603" s="2">
        <v>0</v>
      </c>
      <c r="J603" s="2">
        <v>0</v>
      </c>
      <c r="K603" s="2">
        <v>918</v>
      </c>
      <c r="L603" s="2">
        <v>0</v>
      </c>
      <c r="M603" s="2">
        <v>2</v>
      </c>
      <c r="N603" s="2">
        <v>4</v>
      </c>
      <c r="O603" s="2">
        <v>0</v>
      </c>
      <c r="P603" s="2">
        <v>0</v>
      </c>
      <c r="Q603" s="2">
        <v>0</v>
      </c>
      <c r="R603" s="2">
        <v>0</v>
      </c>
      <c r="S603" s="2">
        <v>0</v>
      </c>
      <c r="T603" s="2">
        <v>1</v>
      </c>
      <c r="U603" s="2">
        <v>0</v>
      </c>
      <c r="V603" s="2">
        <v>0</v>
      </c>
      <c r="W603" s="2">
        <v>30</v>
      </c>
      <c r="X603" s="2">
        <v>0</v>
      </c>
      <c r="Y603" s="2">
        <v>0</v>
      </c>
      <c r="Z603" s="2">
        <v>1</v>
      </c>
      <c r="AA603" s="2">
        <v>1</v>
      </c>
      <c r="AB603" s="2">
        <v>2</v>
      </c>
      <c r="AC603" s="2">
        <v>1</v>
      </c>
      <c r="AD603" s="2">
        <v>0</v>
      </c>
      <c r="AE603" s="2">
        <v>0</v>
      </c>
      <c r="AF603" s="2">
        <v>0</v>
      </c>
    </row>
    <row r="604" spans="1:32" x14ac:dyDescent="0.25">
      <c r="A604">
        <v>603</v>
      </c>
      <c r="B604" s="2">
        <v>1</v>
      </c>
      <c r="C604" s="2">
        <v>24</v>
      </c>
      <c r="D604" s="2">
        <v>1</v>
      </c>
      <c r="E604" s="2">
        <v>0</v>
      </c>
      <c r="F604" s="2">
        <v>0</v>
      </c>
      <c r="G604" s="2">
        <v>0</v>
      </c>
      <c r="H604" s="2">
        <v>0</v>
      </c>
      <c r="I604" s="2">
        <v>1</v>
      </c>
      <c r="J604" s="2">
        <v>0</v>
      </c>
      <c r="K604" s="2">
        <v>1837</v>
      </c>
      <c r="L604" s="2">
        <v>0</v>
      </c>
      <c r="M604" s="2">
        <v>3</v>
      </c>
      <c r="N604" s="2">
        <v>4</v>
      </c>
      <c r="O604" s="2">
        <v>0</v>
      </c>
      <c r="P604" s="2">
        <v>0</v>
      </c>
      <c r="Q604" s="2">
        <v>0</v>
      </c>
      <c r="R604" s="2">
        <v>0</v>
      </c>
      <c r="S604" s="2">
        <v>0</v>
      </c>
      <c r="T604" s="2">
        <v>4</v>
      </c>
      <c r="U604" s="2">
        <v>0</v>
      </c>
      <c r="V604" s="2">
        <v>1</v>
      </c>
      <c r="W604" s="2">
        <v>34</v>
      </c>
      <c r="X604" s="2">
        <v>1</v>
      </c>
      <c r="Y604" s="2">
        <v>0</v>
      </c>
      <c r="Z604" s="2">
        <v>0</v>
      </c>
      <c r="AA604" s="2">
        <v>1</v>
      </c>
      <c r="AB604" s="2">
        <v>1</v>
      </c>
      <c r="AC604" s="2">
        <v>1</v>
      </c>
      <c r="AD604" s="2">
        <v>0</v>
      </c>
      <c r="AE604" s="2">
        <v>0</v>
      </c>
      <c r="AF604" s="2">
        <v>0</v>
      </c>
    </row>
    <row r="605" spans="1:32" x14ac:dyDescent="0.25">
      <c r="A605">
        <v>604</v>
      </c>
      <c r="B605" s="2">
        <v>3</v>
      </c>
      <c r="C605" s="2">
        <v>36</v>
      </c>
      <c r="D605" s="2">
        <v>2</v>
      </c>
      <c r="E605" s="2">
        <v>0</v>
      </c>
      <c r="F605" s="2">
        <v>0</v>
      </c>
      <c r="G605" s="2">
        <v>1</v>
      </c>
      <c r="H605" s="2">
        <v>0</v>
      </c>
      <c r="I605" s="2">
        <v>0</v>
      </c>
      <c r="J605" s="2">
        <v>0</v>
      </c>
      <c r="K605" s="2">
        <v>3349</v>
      </c>
      <c r="L605" s="2">
        <v>0</v>
      </c>
      <c r="M605" s="2">
        <v>2</v>
      </c>
      <c r="N605" s="2">
        <v>4</v>
      </c>
      <c r="O605" s="2">
        <v>0</v>
      </c>
      <c r="P605" s="2">
        <v>0</v>
      </c>
      <c r="Q605" s="2">
        <v>0</v>
      </c>
      <c r="R605" s="2">
        <v>0</v>
      </c>
      <c r="S605" s="2">
        <v>0</v>
      </c>
      <c r="T605" s="2">
        <v>2</v>
      </c>
      <c r="U605" s="2">
        <v>0</v>
      </c>
      <c r="V605" s="2">
        <v>0</v>
      </c>
      <c r="W605" s="2">
        <v>28</v>
      </c>
      <c r="X605" s="2">
        <v>0</v>
      </c>
      <c r="Y605" s="2">
        <v>0</v>
      </c>
      <c r="Z605" s="2">
        <v>1</v>
      </c>
      <c r="AA605" s="2">
        <v>1</v>
      </c>
      <c r="AB605" s="2">
        <v>3</v>
      </c>
      <c r="AC605" s="2">
        <v>1</v>
      </c>
      <c r="AD605" s="2">
        <v>1</v>
      </c>
      <c r="AE605" s="2">
        <v>0</v>
      </c>
      <c r="AF605" s="2">
        <v>0</v>
      </c>
    </row>
    <row r="606" spans="1:32" x14ac:dyDescent="0.25">
      <c r="A606">
        <v>605</v>
      </c>
      <c r="B606" s="2">
        <v>2</v>
      </c>
      <c r="C606" s="2">
        <v>10</v>
      </c>
      <c r="D606" s="2">
        <v>2</v>
      </c>
      <c r="E606" s="2">
        <v>0</v>
      </c>
      <c r="F606" s="2">
        <v>0</v>
      </c>
      <c r="G606" s="2">
        <v>1</v>
      </c>
      <c r="H606" s="2">
        <v>0</v>
      </c>
      <c r="I606" s="2">
        <v>0</v>
      </c>
      <c r="J606" s="2">
        <v>0</v>
      </c>
      <c r="K606" s="2">
        <v>1275</v>
      </c>
      <c r="L606" s="2">
        <v>0</v>
      </c>
      <c r="M606" s="2">
        <v>1</v>
      </c>
      <c r="N606" s="2">
        <v>4</v>
      </c>
      <c r="O606" s="2">
        <v>0</v>
      </c>
      <c r="P606" s="2">
        <v>0</v>
      </c>
      <c r="Q606" s="2">
        <v>0</v>
      </c>
      <c r="R606" s="2">
        <v>0</v>
      </c>
      <c r="S606" s="2">
        <v>0</v>
      </c>
      <c r="T606" s="2">
        <v>2</v>
      </c>
      <c r="U606" s="2">
        <v>0</v>
      </c>
      <c r="V606" s="2">
        <v>0</v>
      </c>
      <c r="W606" s="2">
        <v>23</v>
      </c>
      <c r="X606" s="2">
        <v>0</v>
      </c>
      <c r="Y606" s="2">
        <v>0</v>
      </c>
      <c r="Z606" s="2">
        <v>1</v>
      </c>
      <c r="AA606" s="2">
        <v>1</v>
      </c>
      <c r="AB606" s="2">
        <v>2</v>
      </c>
      <c r="AC606" s="2">
        <v>1</v>
      </c>
      <c r="AD606" s="2">
        <v>0</v>
      </c>
      <c r="AE606" s="2">
        <v>0</v>
      </c>
      <c r="AF606" s="2">
        <v>1</v>
      </c>
    </row>
    <row r="607" spans="1:32" x14ac:dyDescent="0.25">
      <c r="A607">
        <v>606</v>
      </c>
      <c r="B607" s="2">
        <v>0</v>
      </c>
      <c r="C607" s="2">
        <v>24</v>
      </c>
      <c r="D607" s="2">
        <v>1</v>
      </c>
      <c r="E607" s="2">
        <v>0</v>
      </c>
      <c r="F607" s="2">
        <v>0</v>
      </c>
      <c r="G607" s="2">
        <v>1</v>
      </c>
      <c r="H607" s="2">
        <v>0</v>
      </c>
      <c r="I607" s="2">
        <v>0</v>
      </c>
      <c r="J607" s="2">
        <v>0</v>
      </c>
      <c r="K607" s="2">
        <v>2828</v>
      </c>
      <c r="L607" s="2">
        <v>2</v>
      </c>
      <c r="M607" s="2">
        <v>2</v>
      </c>
      <c r="N607" s="2">
        <v>4</v>
      </c>
      <c r="O607" s="2">
        <v>0</v>
      </c>
      <c r="P607" s="2">
        <v>1</v>
      </c>
      <c r="Q607" s="2">
        <v>0</v>
      </c>
      <c r="R607" s="2">
        <v>0</v>
      </c>
      <c r="S607" s="2">
        <v>0</v>
      </c>
      <c r="T607" s="2">
        <v>4</v>
      </c>
      <c r="U607" s="2">
        <v>1</v>
      </c>
      <c r="V607" s="2">
        <v>0</v>
      </c>
      <c r="W607" s="2">
        <v>22</v>
      </c>
      <c r="X607" s="2">
        <v>1</v>
      </c>
      <c r="Y607" s="2">
        <v>0</v>
      </c>
      <c r="Z607" s="2">
        <v>1</v>
      </c>
      <c r="AA607" s="2">
        <v>1</v>
      </c>
      <c r="AB607" s="2">
        <v>2</v>
      </c>
      <c r="AC607" s="2">
        <v>1</v>
      </c>
      <c r="AD607" s="2">
        <v>1</v>
      </c>
      <c r="AE607" s="2">
        <v>0</v>
      </c>
      <c r="AF607" s="2">
        <v>1</v>
      </c>
    </row>
    <row r="608" spans="1:32" x14ac:dyDescent="0.25">
      <c r="A608">
        <v>607</v>
      </c>
      <c r="B608" s="2">
        <v>3</v>
      </c>
      <c r="C608" s="2">
        <v>24</v>
      </c>
      <c r="D608" s="2">
        <v>4</v>
      </c>
      <c r="E608" s="2">
        <v>0</v>
      </c>
      <c r="F608" s="2">
        <v>0</v>
      </c>
      <c r="G608" s="2">
        <v>0</v>
      </c>
      <c r="H608" s="2">
        <v>0</v>
      </c>
      <c r="I608" s="2">
        <v>0</v>
      </c>
      <c r="J608" s="2">
        <v>1</v>
      </c>
      <c r="K608" s="2">
        <v>4526</v>
      </c>
      <c r="L608" s="2">
        <v>0</v>
      </c>
      <c r="M608" s="2">
        <v>2</v>
      </c>
      <c r="N608" s="2">
        <v>3</v>
      </c>
      <c r="O608" s="2">
        <v>0</v>
      </c>
      <c r="P608" s="2">
        <v>1</v>
      </c>
      <c r="Q608" s="2">
        <v>0</v>
      </c>
      <c r="R608" s="2">
        <v>0</v>
      </c>
      <c r="S608" s="2">
        <v>0</v>
      </c>
      <c r="T608" s="2">
        <v>2</v>
      </c>
      <c r="U608" s="2">
        <v>1</v>
      </c>
      <c r="V608" s="2">
        <v>0</v>
      </c>
      <c r="W608" s="2">
        <v>74</v>
      </c>
      <c r="X608" s="2">
        <v>0</v>
      </c>
      <c r="Y608" s="2">
        <v>0</v>
      </c>
      <c r="Z608" s="2">
        <v>1</v>
      </c>
      <c r="AA608" s="2">
        <v>1</v>
      </c>
      <c r="AB608" s="2">
        <v>3</v>
      </c>
      <c r="AC608" s="2">
        <v>1</v>
      </c>
      <c r="AD608" s="2">
        <v>1</v>
      </c>
      <c r="AE608" s="2">
        <v>0</v>
      </c>
      <c r="AF608" s="2">
        <v>1</v>
      </c>
    </row>
    <row r="609" spans="1:32" x14ac:dyDescent="0.25">
      <c r="A609">
        <v>608</v>
      </c>
      <c r="B609" s="2">
        <v>1</v>
      </c>
      <c r="C609" s="2">
        <v>36</v>
      </c>
      <c r="D609" s="2">
        <v>2</v>
      </c>
      <c r="E609" s="2">
        <v>0</v>
      </c>
      <c r="F609" s="2">
        <v>0</v>
      </c>
      <c r="G609" s="2">
        <v>0</v>
      </c>
      <c r="H609" s="2">
        <v>1</v>
      </c>
      <c r="I609" s="2">
        <v>0</v>
      </c>
      <c r="J609" s="2">
        <v>0</v>
      </c>
      <c r="K609" s="2">
        <v>2671</v>
      </c>
      <c r="L609" s="2">
        <v>1</v>
      </c>
      <c r="M609" s="2">
        <v>2</v>
      </c>
      <c r="N609" s="2">
        <v>4</v>
      </c>
      <c r="O609" s="2">
        <v>0</v>
      </c>
      <c r="P609" s="2">
        <v>0</v>
      </c>
      <c r="Q609" s="2">
        <v>0</v>
      </c>
      <c r="R609" s="2">
        <v>1</v>
      </c>
      <c r="S609" s="2">
        <v>0</v>
      </c>
      <c r="T609" s="2">
        <v>4</v>
      </c>
      <c r="U609" s="2">
        <v>0</v>
      </c>
      <c r="V609" s="2">
        <v>1</v>
      </c>
      <c r="W609" s="2">
        <v>50</v>
      </c>
      <c r="X609" s="2">
        <v>0</v>
      </c>
      <c r="Y609" s="2">
        <v>0</v>
      </c>
      <c r="Z609" s="2">
        <v>0</v>
      </c>
      <c r="AA609" s="2">
        <v>1</v>
      </c>
      <c r="AB609" s="2">
        <v>2</v>
      </c>
      <c r="AC609" s="2">
        <v>1</v>
      </c>
      <c r="AD609" s="2">
        <v>0</v>
      </c>
      <c r="AE609" s="2">
        <v>0</v>
      </c>
      <c r="AF609" s="2">
        <v>0</v>
      </c>
    </row>
    <row r="610" spans="1:32" x14ac:dyDescent="0.25">
      <c r="A610">
        <v>609</v>
      </c>
      <c r="B610" s="2">
        <v>3</v>
      </c>
      <c r="C610" s="2">
        <v>18</v>
      </c>
      <c r="D610" s="2">
        <v>2</v>
      </c>
      <c r="E610" s="2">
        <v>0</v>
      </c>
      <c r="F610" s="2">
        <v>0</v>
      </c>
      <c r="G610" s="2">
        <v>0</v>
      </c>
      <c r="H610" s="2">
        <v>1</v>
      </c>
      <c r="I610" s="2">
        <v>0</v>
      </c>
      <c r="J610" s="2">
        <v>0</v>
      </c>
      <c r="K610" s="2">
        <v>2051</v>
      </c>
      <c r="L610" s="2">
        <v>0</v>
      </c>
      <c r="M610" s="2">
        <v>1</v>
      </c>
      <c r="N610" s="2">
        <v>4</v>
      </c>
      <c r="O610" s="2">
        <v>0</v>
      </c>
      <c r="P610" s="2">
        <v>1</v>
      </c>
      <c r="Q610" s="2">
        <v>0</v>
      </c>
      <c r="R610" s="2">
        <v>0</v>
      </c>
      <c r="S610" s="2">
        <v>0</v>
      </c>
      <c r="T610" s="2">
        <v>1</v>
      </c>
      <c r="U610" s="2">
        <v>1</v>
      </c>
      <c r="V610" s="2">
        <v>0</v>
      </c>
      <c r="W610" s="2">
        <v>33</v>
      </c>
      <c r="X610" s="2">
        <v>0</v>
      </c>
      <c r="Y610" s="2">
        <v>0</v>
      </c>
      <c r="Z610" s="2">
        <v>1</v>
      </c>
      <c r="AA610" s="2">
        <v>1</v>
      </c>
      <c r="AB610" s="2">
        <v>2</v>
      </c>
      <c r="AC610" s="2">
        <v>1</v>
      </c>
      <c r="AD610" s="2">
        <v>0</v>
      </c>
      <c r="AE610" s="2">
        <v>0</v>
      </c>
      <c r="AF610" s="2">
        <v>1</v>
      </c>
    </row>
    <row r="611" spans="1:32" x14ac:dyDescent="0.25">
      <c r="A611">
        <v>610</v>
      </c>
      <c r="B611" s="2">
        <v>3</v>
      </c>
      <c r="C611" s="2">
        <v>15</v>
      </c>
      <c r="D611" s="2">
        <v>2</v>
      </c>
      <c r="E611" s="2">
        <v>0</v>
      </c>
      <c r="F611" s="2">
        <v>1</v>
      </c>
      <c r="G611" s="2">
        <v>0</v>
      </c>
      <c r="H611" s="2">
        <v>0</v>
      </c>
      <c r="I611" s="2">
        <v>0</v>
      </c>
      <c r="J611" s="2">
        <v>0</v>
      </c>
      <c r="K611" s="2">
        <v>1300</v>
      </c>
      <c r="L611" s="2">
        <v>4</v>
      </c>
      <c r="M611" s="2">
        <v>4</v>
      </c>
      <c r="N611" s="2">
        <v>4</v>
      </c>
      <c r="O611" s="2">
        <v>0</v>
      </c>
      <c r="P611" s="2">
        <v>1</v>
      </c>
      <c r="Q611" s="2">
        <v>0</v>
      </c>
      <c r="R611" s="2">
        <v>0</v>
      </c>
      <c r="S611" s="2">
        <v>0</v>
      </c>
      <c r="T611" s="2">
        <v>4</v>
      </c>
      <c r="U611" s="2">
        <v>0</v>
      </c>
      <c r="V611" s="2">
        <v>1</v>
      </c>
      <c r="W611" s="2">
        <v>45</v>
      </c>
      <c r="X611" s="2">
        <v>1</v>
      </c>
      <c r="Y611" s="2">
        <v>0</v>
      </c>
      <c r="Z611" s="2">
        <v>0</v>
      </c>
      <c r="AA611" s="2">
        <v>1</v>
      </c>
      <c r="AB611" s="2">
        <v>2</v>
      </c>
      <c r="AC611" s="2">
        <v>2</v>
      </c>
      <c r="AD611" s="2">
        <v>0</v>
      </c>
      <c r="AE611" s="2">
        <v>0</v>
      </c>
      <c r="AF611" s="2">
        <v>1</v>
      </c>
    </row>
    <row r="612" spans="1:32" x14ac:dyDescent="0.25">
      <c r="A612">
        <v>611</v>
      </c>
      <c r="B612" s="2">
        <v>0</v>
      </c>
      <c r="C612" s="2">
        <v>12</v>
      </c>
      <c r="D612" s="2">
        <v>2</v>
      </c>
      <c r="E612" s="2">
        <v>0</v>
      </c>
      <c r="F612" s="2">
        <v>0</v>
      </c>
      <c r="G612" s="2">
        <v>0</v>
      </c>
      <c r="H612" s="2">
        <v>0</v>
      </c>
      <c r="I612" s="2">
        <v>0</v>
      </c>
      <c r="J612" s="2">
        <v>0</v>
      </c>
      <c r="K612" s="2">
        <v>741</v>
      </c>
      <c r="L612" s="2">
        <v>1</v>
      </c>
      <c r="M612" s="2">
        <v>0</v>
      </c>
      <c r="N612" s="2">
        <v>4</v>
      </c>
      <c r="O612" s="2">
        <v>0</v>
      </c>
      <c r="P612" s="2">
        <v>0</v>
      </c>
      <c r="Q612" s="2">
        <v>0</v>
      </c>
      <c r="R612" s="2">
        <v>0</v>
      </c>
      <c r="S612" s="2">
        <v>0</v>
      </c>
      <c r="T612" s="2">
        <v>3</v>
      </c>
      <c r="U612" s="2">
        <v>0</v>
      </c>
      <c r="V612" s="2">
        <v>0</v>
      </c>
      <c r="W612" s="2">
        <v>22</v>
      </c>
      <c r="X612" s="2">
        <v>0</v>
      </c>
      <c r="Y612" s="2">
        <v>0</v>
      </c>
      <c r="Z612" s="2">
        <v>1</v>
      </c>
      <c r="AA612" s="2">
        <v>1</v>
      </c>
      <c r="AB612" s="2">
        <v>2</v>
      </c>
      <c r="AC612" s="2">
        <v>1</v>
      </c>
      <c r="AD612" s="2">
        <v>0</v>
      </c>
      <c r="AE612" s="2">
        <v>0</v>
      </c>
      <c r="AF612" s="2">
        <v>0</v>
      </c>
    </row>
    <row r="613" spans="1:32" x14ac:dyDescent="0.25">
      <c r="A613">
        <v>612</v>
      </c>
      <c r="B613" s="2">
        <v>2</v>
      </c>
      <c r="C613" s="2">
        <v>10</v>
      </c>
      <c r="D613" s="2">
        <v>2</v>
      </c>
      <c r="E613" s="2">
        <v>1</v>
      </c>
      <c r="F613" s="2">
        <v>0</v>
      </c>
      <c r="G613" s="2">
        <v>0</v>
      </c>
      <c r="H613" s="2">
        <v>0</v>
      </c>
      <c r="I613" s="2">
        <v>0</v>
      </c>
      <c r="J613" s="2">
        <v>0</v>
      </c>
      <c r="K613" s="2">
        <v>1240</v>
      </c>
      <c r="L613" s="2">
        <v>1</v>
      </c>
      <c r="M613" s="2">
        <v>4</v>
      </c>
      <c r="N613" s="2">
        <v>1</v>
      </c>
      <c r="O613" s="2">
        <v>0</v>
      </c>
      <c r="P613" s="2">
        <v>0</v>
      </c>
      <c r="Q613" s="2">
        <v>0</v>
      </c>
      <c r="R613" s="2">
        <v>0</v>
      </c>
      <c r="S613" s="2">
        <v>0</v>
      </c>
      <c r="T613" s="2">
        <v>4</v>
      </c>
      <c r="U613" s="2">
        <v>0</v>
      </c>
      <c r="V613" s="2">
        <v>1</v>
      </c>
      <c r="W613" s="2">
        <v>48</v>
      </c>
      <c r="X613" s="2">
        <v>0</v>
      </c>
      <c r="Y613" s="2">
        <v>0</v>
      </c>
      <c r="Z613" s="2">
        <v>0</v>
      </c>
      <c r="AA613" s="2">
        <v>1</v>
      </c>
      <c r="AB613" s="2">
        <v>1</v>
      </c>
      <c r="AC613" s="2">
        <v>2</v>
      </c>
      <c r="AD613" s="2">
        <v>0</v>
      </c>
      <c r="AE613" s="2">
        <v>0</v>
      </c>
      <c r="AF613" s="2">
        <v>0</v>
      </c>
    </row>
    <row r="614" spans="1:32" x14ac:dyDescent="0.25">
      <c r="A614">
        <v>613</v>
      </c>
      <c r="B614" s="2">
        <v>0</v>
      </c>
      <c r="C614" s="2">
        <v>21</v>
      </c>
      <c r="D614" s="2">
        <v>2</v>
      </c>
      <c r="E614" s="2">
        <v>0</v>
      </c>
      <c r="F614" s="2">
        <v>0</v>
      </c>
      <c r="G614" s="2">
        <v>0</v>
      </c>
      <c r="H614" s="2">
        <v>1</v>
      </c>
      <c r="I614" s="2">
        <v>0</v>
      </c>
      <c r="J614" s="2">
        <v>0</v>
      </c>
      <c r="K614" s="2">
        <v>3357</v>
      </c>
      <c r="L614" s="2">
        <v>3</v>
      </c>
      <c r="M614" s="2">
        <v>1</v>
      </c>
      <c r="N614" s="2">
        <v>4</v>
      </c>
      <c r="O614" s="2">
        <v>0</v>
      </c>
      <c r="P614" s="2">
        <v>0</v>
      </c>
      <c r="Q614" s="2">
        <v>0</v>
      </c>
      <c r="R614" s="2">
        <v>0</v>
      </c>
      <c r="S614" s="2">
        <v>0</v>
      </c>
      <c r="T614" s="2">
        <v>2</v>
      </c>
      <c r="U614" s="2">
        <v>0</v>
      </c>
      <c r="V614" s="2">
        <v>0</v>
      </c>
      <c r="W614" s="2">
        <v>29</v>
      </c>
      <c r="X614" s="2">
        <v>1</v>
      </c>
      <c r="Y614" s="2">
        <v>0</v>
      </c>
      <c r="Z614" s="2">
        <v>1</v>
      </c>
      <c r="AA614" s="2">
        <v>1</v>
      </c>
      <c r="AB614" s="2">
        <v>2</v>
      </c>
      <c r="AC614" s="2">
        <v>1</v>
      </c>
      <c r="AD614" s="2">
        <v>0</v>
      </c>
      <c r="AE614" s="2">
        <v>0</v>
      </c>
      <c r="AF614" s="2">
        <v>1</v>
      </c>
    </row>
    <row r="615" spans="1:32" x14ac:dyDescent="0.25">
      <c r="A615">
        <v>614</v>
      </c>
      <c r="B615" s="2">
        <v>0</v>
      </c>
      <c r="C615" s="2">
        <v>24</v>
      </c>
      <c r="D615" s="2">
        <v>1</v>
      </c>
      <c r="E615" s="2">
        <v>0</v>
      </c>
      <c r="F615" s="2">
        <v>1</v>
      </c>
      <c r="G615" s="2">
        <v>0</v>
      </c>
      <c r="H615" s="2">
        <v>0</v>
      </c>
      <c r="I615" s="2">
        <v>0</v>
      </c>
      <c r="J615" s="2">
        <v>0</v>
      </c>
      <c r="K615" s="2">
        <v>3632</v>
      </c>
      <c r="L615" s="2">
        <v>0</v>
      </c>
      <c r="M615" s="2">
        <v>2</v>
      </c>
      <c r="N615" s="2">
        <v>1</v>
      </c>
      <c r="O615" s="2">
        <v>0</v>
      </c>
      <c r="P615" s="2">
        <v>0</v>
      </c>
      <c r="Q615" s="2">
        <v>0</v>
      </c>
      <c r="R615" s="2">
        <v>0</v>
      </c>
      <c r="S615" s="2">
        <v>1</v>
      </c>
      <c r="T615" s="2">
        <v>4</v>
      </c>
      <c r="U615" s="2">
        <v>0</v>
      </c>
      <c r="V615" s="2">
        <v>0</v>
      </c>
      <c r="W615" s="2">
        <v>22</v>
      </c>
      <c r="X615" s="2">
        <v>1</v>
      </c>
      <c r="Y615" s="2">
        <v>1</v>
      </c>
      <c r="Z615" s="2">
        <v>0</v>
      </c>
      <c r="AA615" s="2">
        <v>1</v>
      </c>
      <c r="AB615" s="2">
        <v>2</v>
      </c>
      <c r="AC615" s="2">
        <v>1</v>
      </c>
      <c r="AD615" s="2">
        <v>0</v>
      </c>
      <c r="AE615" s="2">
        <v>1</v>
      </c>
      <c r="AF615" s="2">
        <v>1</v>
      </c>
    </row>
    <row r="616" spans="1:32" x14ac:dyDescent="0.25">
      <c r="A616">
        <v>615</v>
      </c>
      <c r="B616" s="2">
        <v>3</v>
      </c>
      <c r="C616" s="2">
        <v>18</v>
      </c>
      <c r="D616" s="2">
        <v>3</v>
      </c>
      <c r="E616" s="2">
        <v>0</v>
      </c>
      <c r="F616" s="2">
        <v>0</v>
      </c>
      <c r="G616" s="2">
        <v>1</v>
      </c>
      <c r="H616" s="2">
        <v>0</v>
      </c>
      <c r="I616" s="2">
        <v>0</v>
      </c>
      <c r="J616" s="2">
        <v>0</v>
      </c>
      <c r="K616" s="2">
        <v>1808</v>
      </c>
      <c r="L616" s="2">
        <v>0</v>
      </c>
      <c r="M616" s="2">
        <v>3</v>
      </c>
      <c r="N616" s="2">
        <v>4</v>
      </c>
      <c r="O616" s="2">
        <v>0</v>
      </c>
      <c r="P616" s="2">
        <v>0</v>
      </c>
      <c r="Q616" s="2">
        <v>0</v>
      </c>
      <c r="R616" s="2">
        <v>0</v>
      </c>
      <c r="S616" s="2">
        <v>0</v>
      </c>
      <c r="T616" s="2">
        <v>1</v>
      </c>
      <c r="U616" s="2">
        <v>1</v>
      </c>
      <c r="V616" s="2">
        <v>0</v>
      </c>
      <c r="W616" s="2">
        <v>22</v>
      </c>
      <c r="X616" s="2">
        <v>0</v>
      </c>
      <c r="Y616" s="2">
        <v>0</v>
      </c>
      <c r="Z616" s="2">
        <v>1</v>
      </c>
      <c r="AA616" s="2">
        <v>1</v>
      </c>
      <c r="AB616" s="2">
        <v>2</v>
      </c>
      <c r="AC616" s="2">
        <v>1</v>
      </c>
      <c r="AD616" s="2">
        <v>0</v>
      </c>
      <c r="AE616" s="2">
        <v>0</v>
      </c>
      <c r="AF616" s="2">
        <v>0</v>
      </c>
    </row>
    <row r="617" spans="1:32" x14ac:dyDescent="0.25">
      <c r="A617">
        <v>616</v>
      </c>
      <c r="B617" s="2">
        <v>1</v>
      </c>
      <c r="C617" s="2">
        <v>48</v>
      </c>
      <c r="D617" s="2">
        <v>0</v>
      </c>
      <c r="E617" s="2">
        <v>0</v>
      </c>
      <c r="F617" s="2">
        <v>0</v>
      </c>
      <c r="G617" s="2">
        <v>0</v>
      </c>
      <c r="H617" s="2">
        <v>0</v>
      </c>
      <c r="I617" s="2">
        <v>0</v>
      </c>
      <c r="J617" s="2">
        <v>1</v>
      </c>
      <c r="K617" s="2">
        <v>12204</v>
      </c>
      <c r="L617" s="2">
        <v>4</v>
      </c>
      <c r="M617" s="2">
        <v>2</v>
      </c>
      <c r="N617" s="2">
        <v>2</v>
      </c>
      <c r="O617" s="2">
        <v>0</v>
      </c>
      <c r="P617" s="2">
        <v>1</v>
      </c>
      <c r="Q617" s="2">
        <v>0</v>
      </c>
      <c r="R617" s="2">
        <v>0</v>
      </c>
      <c r="S617" s="2">
        <v>0</v>
      </c>
      <c r="T617" s="2">
        <v>2</v>
      </c>
      <c r="U617" s="2">
        <v>0</v>
      </c>
      <c r="V617" s="2">
        <v>0</v>
      </c>
      <c r="W617" s="2">
        <v>48</v>
      </c>
      <c r="X617" s="2">
        <v>1</v>
      </c>
      <c r="Y617" s="2">
        <v>0</v>
      </c>
      <c r="Z617" s="2">
        <v>1</v>
      </c>
      <c r="AA617" s="2">
        <v>1</v>
      </c>
      <c r="AB617" s="2">
        <v>3</v>
      </c>
      <c r="AC617" s="2">
        <v>1</v>
      </c>
      <c r="AD617" s="2">
        <v>1</v>
      </c>
      <c r="AE617" s="2">
        <v>0</v>
      </c>
      <c r="AF617" s="2">
        <v>1</v>
      </c>
    </row>
    <row r="618" spans="1:32" x14ac:dyDescent="0.25">
      <c r="A618">
        <v>617</v>
      </c>
      <c r="B618" s="2">
        <v>1</v>
      </c>
      <c r="C618" s="2">
        <v>60</v>
      </c>
      <c r="D618" s="2">
        <v>3</v>
      </c>
      <c r="E618" s="2">
        <v>0</v>
      </c>
      <c r="F618" s="2">
        <v>0</v>
      </c>
      <c r="G618" s="2">
        <v>0</v>
      </c>
      <c r="H618" s="2">
        <v>1</v>
      </c>
      <c r="I618" s="2">
        <v>0</v>
      </c>
      <c r="J618" s="2">
        <v>0</v>
      </c>
      <c r="K618" s="2">
        <v>9157</v>
      </c>
      <c r="L618" s="2">
        <v>4</v>
      </c>
      <c r="M618" s="2">
        <v>2</v>
      </c>
      <c r="N618" s="2">
        <v>2</v>
      </c>
      <c r="O618" s="2">
        <v>0</v>
      </c>
      <c r="P618" s="2">
        <v>1</v>
      </c>
      <c r="Q618" s="2">
        <v>0</v>
      </c>
      <c r="R618" s="2">
        <v>0</v>
      </c>
      <c r="S618" s="2">
        <v>0</v>
      </c>
      <c r="T618" s="2">
        <v>2</v>
      </c>
      <c r="U618" s="2">
        <v>0</v>
      </c>
      <c r="V618" s="2">
        <v>1</v>
      </c>
      <c r="W618" s="2">
        <v>27</v>
      </c>
      <c r="X618" s="2">
        <v>0</v>
      </c>
      <c r="Y618" s="2">
        <v>0</v>
      </c>
      <c r="Z618" s="2">
        <v>0</v>
      </c>
      <c r="AA618" s="2">
        <v>1</v>
      </c>
      <c r="AB618" s="2">
        <v>3</v>
      </c>
      <c r="AC618" s="2">
        <v>1</v>
      </c>
      <c r="AD618" s="2">
        <v>0</v>
      </c>
      <c r="AE618" s="2">
        <v>0</v>
      </c>
      <c r="AF618" s="2">
        <v>1</v>
      </c>
    </row>
    <row r="619" spans="1:32" x14ac:dyDescent="0.25">
      <c r="A619">
        <v>618</v>
      </c>
      <c r="B619" s="2">
        <v>0</v>
      </c>
      <c r="C619" s="2">
        <v>6</v>
      </c>
      <c r="D619" s="2">
        <v>4</v>
      </c>
      <c r="E619" s="2">
        <v>1</v>
      </c>
      <c r="F619" s="2">
        <v>0</v>
      </c>
      <c r="G619" s="2">
        <v>0</v>
      </c>
      <c r="H619" s="2">
        <v>0</v>
      </c>
      <c r="I619" s="2">
        <v>0</v>
      </c>
      <c r="J619" s="2">
        <v>0</v>
      </c>
      <c r="K619" s="2">
        <v>3676</v>
      </c>
      <c r="L619" s="2">
        <v>0</v>
      </c>
      <c r="M619" s="2">
        <v>2</v>
      </c>
      <c r="N619" s="2">
        <v>1</v>
      </c>
      <c r="O619" s="2">
        <v>0</v>
      </c>
      <c r="P619" s="2">
        <v>1</v>
      </c>
      <c r="Q619" s="2">
        <v>0</v>
      </c>
      <c r="R619" s="2">
        <v>0</v>
      </c>
      <c r="S619" s="2">
        <v>0</v>
      </c>
      <c r="T619" s="2">
        <v>3</v>
      </c>
      <c r="U619" s="2">
        <v>1</v>
      </c>
      <c r="V619" s="2">
        <v>0</v>
      </c>
      <c r="W619" s="2">
        <v>37</v>
      </c>
      <c r="X619" s="2">
        <v>0</v>
      </c>
      <c r="Y619" s="2">
        <v>1</v>
      </c>
      <c r="Z619" s="2">
        <v>0</v>
      </c>
      <c r="AA619" s="2">
        <v>3</v>
      </c>
      <c r="AB619" s="2">
        <v>2</v>
      </c>
      <c r="AC619" s="2">
        <v>2</v>
      </c>
      <c r="AD619" s="2">
        <v>0</v>
      </c>
      <c r="AE619" s="2">
        <v>0</v>
      </c>
      <c r="AF619" s="2">
        <v>1</v>
      </c>
    </row>
    <row r="620" spans="1:32" x14ac:dyDescent="0.25">
      <c r="A620">
        <v>619</v>
      </c>
      <c r="B620" s="2">
        <v>1</v>
      </c>
      <c r="C620" s="2">
        <v>30</v>
      </c>
      <c r="D620" s="2">
        <v>2</v>
      </c>
      <c r="E620" s="2">
        <v>0</v>
      </c>
      <c r="F620" s="2">
        <v>0</v>
      </c>
      <c r="G620" s="2">
        <v>1</v>
      </c>
      <c r="H620" s="2">
        <v>0</v>
      </c>
      <c r="I620" s="2">
        <v>0</v>
      </c>
      <c r="J620" s="2">
        <v>0</v>
      </c>
      <c r="K620" s="2">
        <v>3441</v>
      </c>
      <c r="L620" s="2">
        <v>1</v>
      </c>
      <c r="M620" s="2">
        <v>2</v>
      </c>
      <c r="N620" s="2">
        <v>2</v>
      </c>
      <c r="O620" s="2">
        <v>0</v>
      </c>
      <c r="P620" s="2">
        <v>0</v>
      </c>
      <c r="Q620" s="2">
        <v>0</v>
      </c>
      <c r="R620" s="2">
        <v>1</v>
      </c>
      <c r="S620" s="2">
        <v>0</v>
      </c>
      <c r="T620" s="2">
        <v>4</v>
      </c>
      <c r="U620" s="2">
        <v>0</v>
      </c>
      <c r="V620" s="2">
        <v>0</v>
      </c>
      <c r="W620" s="2">
        <v>21</v>
      </c>
      <c r="X620" s="2">
        <v>0</v>
      </c>
      <c r="Y620" s="2">
        <v>1</v>
      </c>
      <c r="Z620" s="2">
        <v>0</v>
      </c>
      <c r="AA620" s="2">
        <v>1</v>
      </c>
      <c r="AB620" s="2">
        <v>2</v>
      </c>
      <c r="AC620" s="2">
        <v>1</v>
      </c>
      <c r="AD620" s="2">
        <v>0</v>
      </c>
      <c r="AE620" s="2">
        <v>0</v>
      </c>
      <c r="AF620" s="2">
        <v>0</v>
      </c>
    </row>
    <row r="621" spans="1:32" x14ac:dyDescent="0.25">
      <c r="A621">
        <v>620</v>
      </c>
      <c r="B621" s="2">
        <v>3</v>
      </c>
      <c r="C621" s="2">
        <v>12</v>
      </c>
      <c r="D621" s="2">
        <v>2</v>
      </c>
      <c r="E621" s="2">
        <v>1</v>
      </c>
      <c r="F621" s="2">
        <v>0</v>
      </c>
      <c r="G621" s="2">
        <v>0</v>
      </c>
      <c r="H621" s="2">
        <v>0</v>
      </c>
      <c r="I621" s="2">
        <v>0</v>
      </c>
      <c r="J621" s="2">
        <v>0</v>
      </c>
      <c r="K621" s="2">
        <v>640</v>
      </c>
      <c r="L621" s="2">
        <v>0</v>
      </c>
      <c r="M621" s="2">
        <v>2</v>
      </c>
      <c r="N621" s="2">
        <v>4</v>
      </c>
      <c r="O621" s="2">
        <v>1</v>
      </c>
      <c r="P621" s="2">
        <v>0</v>
      </c>
      <c r="Q621" s="2">
        <v>0</v>
      </c>
      <c r="R621" s="2">
        <v>0</v>
      </c>
      <c r="S621" s="2">
        <v>0</v>
      </c>
      <c r="T621" s="2">
        <v>2</v>
      </c>
      <c r="U621" s="2">
        <v>1</v>
      </c>
      <c r="V621" s="2">
        <v>0</v>
      </c>
      <c r="W621" s="2">
        <v>49</v>
      </c>
      <c r="X621" s="2">
        <v>0</v>
      </c>
      <c r="Y621" s="2">
        <v>0</v>
      </c>
      <c r="Z621" s="2">
        <v>1</v>
      </c>
      <c r="AA621" s="2">
        <v>1</v>
      </c>
      <c r="AB621" s="2">
        <v>1</v>
      </c>
      <c r="AC621" s="2">
        <v>1</v>
      </c>
      <c r="AD621" s="2">
        <v>0</v>
      </c>
      <c r="AE621" s="2">
        <v>0</v>
      </c>
      <c r="AF621" s="2">
        <v>1</v>
      </c>
    </row>
    <row r="622" spans="1:32" x14ac:dyDescent="0.25">
      <c r="A622">
        <v>621</v>
      </c>
      <c r="B622" s="2">
        <v>1</v>
      </c>
      <c r="C622" s="2">
        <v>21</v>
      </c>
      <c r="D622" s="2">
        <v>4</v>
      </c>
      <c r="E622" s="2">
        <v>0</v>
      </c>
      <c r="F622" s="2">
        <v>0</v>
      </c>
      <c r="G622" s="2">
        <v>0</v>
      </c>
      <c r="H622" s="2">
        <v>0</v>
      </c>
      <c r="I622" s="2">
        <v>0</v>
      </c>
      <c r="J622" s="2">
        <v>1</v>
      </c>
      <c r="K622" s="2">
        <v>3652</v>
      </c>
      <c r="L622" s="2">
        <v>0</v>
      </c>
      <c r="M622" s="2">
        <v>3</v>
      </c>
      <c r="N622" s="2">
        <v>2</v>
      </c>
      <c r="O622" s="2">
        <v>0</v>
      </c>
      <c r="P622" s="2">
        <v>1</v>
      </c>
      <c r="Q622" s="2">
        <v>0</v>
      </c>
      <c r="R622" s="2">
        <v>0</v>
      </c>
      <c r="S622" s="2">
        <v>0</v>
      </c>
      <c r="T622" s="2">
        <v>3</v>
      </c>
      <c r="U622" s="2">
        <v>0</v>
      </c>
      <c r="V622" s="2">
        <v>0</v>
      </c>
      <c r="W622" s="2">
        <v>27</v>
      </c>
      <c r="X622" s="2">
        <v>0</v>
      </c>
      <c r="Y622" s="2">
        <v>0</v>
      </c>
      <c r="Z622" s="2">
        <v>1</v>
      </c>
      <c r="AA622" s="2">
        <v>2</v>
      </c>
      <c r="AB622" s="2">
        <v>2</v>
      </c>
      <c r="AC622" s="2">
        <v>1</v>
      </c>
      <c r="AD622" s="2">
        <v>0</v>
      </c>
      <c r="AE622" s="2">
        <v>0</v>
      </c>
      <c r="AF622" s="2">
        <v>1</v>
      </c>
    </row>
    <row r="623" spans="1:32" x14ac:dyDescent="0.25">
      <c r="A623">
        <v>622</v>
      </c>
      <c r="B623" s="2">
        <v>3</v>
      </c>
      <c r="C623" s="2">
        <v>18</v>
      </c>
      <c r="D623" s="2">
        <v>4</v>
      </c>
      <c r="E623" s="2">
        <v>1</v>
      </c>
      <c r="F623" s="2">
        <v>0</v>
      </c>
      <c r="G623" s="2">
        <v>0</v>
      </c>
      <c r="H623" s="2">
        <v>0</v>
      </c>
      <c r="I623" s="2">
        <v>0</v>
      </c>
      <c r="J623" s="2">
        <v>0</v>
      </c>
      <c r="K623" s="2">
        <v>1530</v>
      </c>
      <c r="L623" s="2">
        <v>0</v>
      </c>
      <c r="M623" s="2">
        <v>2</v>
      </c>
      <c r="N623" s="2">
        <v>3</v>
      </c>
      <c r="O623" s="2">
        <v>0</v>
      </c>
      <c r="P623" s="2">
        <v>1</v>
      </c>
      <c r="Q623" s="2">
        <v>0</v>
      </c>
      <c r="R623" s="2">
        <v>0</v>
      </c>
      <c r="S623" s="2">
        <v>0</v>
      </c>
      <c r="T623" s="2">
        <v>2</v>
      </c>
      <c r="U623" s="2">
        <v>0</v>
      </c>
      <c r="V623" s="2">
        <v>0</v>
      </c>
      <c r="W623" s="2">
        <v>32</v>
      </c>
      <c r="X623" s="2">
        <v>1</v>
      </c>
      <c r="Y623" s="2">
        <v>0</v>
      </c>
      <c r="Z623" s="2">
        <v>1</v>
      </c>
      <c r="AA623" s="2">
        <v>2</v>
      </c>
      <c r="AB623" s="2">
        <v>2</v>
      </c>
      <c r="AC623" s="2">
        <v>1</v>
      </c>
      <c r="AD623" s="2">
        <v>0</v>
      </c>
      <c r="AE623" s="2">
        <v>0</v>
      </c>
      <c r="AF623" s="2">
        <v>0</v>
      </c>
    </row>
    <row r="624" spans="1:32" x14ac:dyDescent="0.25">
      <c r="A624">
        <v>623</v>
      </c>
      <c r="B624" s="2">
        <v>3</v>
      </c>
      <c r="C624" s="2">
        <v>48</v>
      </c>
      <c r="D624" s="2">
        <v>2</v>
      </c>
      <c r="E624" s="2">
        <v>0</v>
      </c>
      <c r="F624" s="2">
        <v>0</v>
      </c>
      <c r="G624" s="2">
        <v>0</v>
      </c>
      <c r="H624" s="2">
        <v>0</v>
      </c>
      <c r="I624" s="2">
        <v>0</v>
      </c>
      <c r="J624" s="2">
        <v>1</v>
      </c>
      <c r="K624" s="2">
        <v>3914</v>
      </c>
      <c r="L624" s="2">
        <v>4</v>
      </c>
      <c r="M624" s="2">
        <v>2</v>
      </c>
      <c r="N624" s="2">
        <v>4</v>
      </c>
      <c r="O624" s="2">
        <v>1</v>
      </c>
      <c r="P624" s="2">
        <v>0</v>
      </c>
      <c r="Q624" s="2">
        <v>0</v>
      </c>
      <c r="R624" s="2">
        <v>0</v>
      </c>
      <c r="S624" s="2">
        <v>0</v>
      </c>
      <c r="T624" s="2">
        <v>2</v>
      </c>
      <c r="U624" s="2">
        <v>1</v>
      </c>
      <c r="V624" s="2">
        <v>0</v>
      </c>
      <c r="W624" s="2">
        <v>38</v>
      </c>
      <c r="X624" s="2">
        <v>1</v>
      </c>
      <c r="Y624" s="2">
        <v>0</v>
      </c>
      <c r="Z624" s="2">
        <v>1</v>
      </c>
      <c r="AA624" s="2">
        <v>1</v>
      </c>
      <c r="AB624" s="2">
        <v>2</v>
      </c>
      <c r="AC624" s="2">
        <v>1</v>
      </c>
      <c r="AD624" s="2">
        <v>0</v>
      </c>
      <c r="AE624" s="2">
        <v>0</v>
      </c>
      <c r="AF624" s="2">
        <v>0</v>
      </c>
    </row>
    <row r="625" spans="1:32" x14ac:dyDescent="0.25">
      <c r="A625">
        <v>624</v>
      </c>
      <c r="B625" s="2">
        <v>0</v>
      </c>
      <c r="C625" s="2">
        <v>12</v>
      </c>
      <c r="D625" s="2">
        <v>2</v>
      </c>
      <c r="E625" s="2">
        <v>0</v>
      </c>
      <c r="F625" s="2">
        <v>0</v>
      </c>
      <c r="G625" s="2">
        <v>1</v>
      </c>
      <c r="H625" s="2">
        <v>0</v>
      </c>
      <c r="I625" s="2">
        <v>0</v>
      </c>
      <c r="J625" s="2">
        <v>0</v>
      </c>
      <c r="K625" s="2">
        <v>1858</v>
      </c>
      <c r="L625" s="2">
        <v>0</v>
      </c>
      <c r="M625" s="2">
        <v>1</v>
      </c>
      <c r="N625" s="2">
        <v>4</v>
      </c>
      <c r="O625" s="2">
        <v>0</v>
      </c>
      <c r="P625" s="2">
        <v>0</v>
      </c>
      <c r="Q625" s="2">
        <v>0</v>
      </c>
      <c r="R625" s="2">
        <v>0</v>
      </c>
      <c r="S625" s="2">
        <v>0</v>
      </c>
      <c r="T625" s="2">
        <v>1</v>
      </c>
      <c r="U625" s="2">
        <v>0</v>
      </c>
      <c r="V625" s="2">
        <v>0</v>
      </c>
      <c r="W625" s="2">
        <v>22</v>
      </c>
      <c r="X625" s="2">
        <v>0</v>
      </c>
      <c r="Y625" s="2">
        <v>1</v>
      </c>
      <c r="Z625" s="2">
        <v>0</v>
      </c>
      <c r="AA625" s="2">
        <v>1</v>
      </c>
      <c r="AB625" s="2">
        <v>2</v>
      </c>
      <c r="AC625" s="2">
        <v>1</v>
      </c>
      <c r="AD625" s="2">
        <v>0</v>
      </c>
      <c r="AE625" s="2">
        <v>0</v>
      </c>
      <c r="AF625" s="2">
        <v>1</v>
      </c>
    </row>
    <row r="626" spans="1:32" x14ac:dyDescent="0.25">
      <c r="A626">
        <v>625</v>
      </c>
      <c r="B626" s="2">
        <v>0</v>
      </c>
      <c r="C626" s="2">
        <v>18</v>
      </c>
      <c r="D626" s="2">
        <v>2</v>
      </c>
      <c r="E626" s="2">
        <v>0</v>
      </c>
      <c r="F626" s="2">
        <v>0</v>
      </c>
      <c r="G626" s="2">
        <v>0</v>
      </c>
      <c r="H626" s="2">
        <v>1</v>
      </c>
      <c r="I626" s="2">
        <v>0</v>
      </c>
      <c r="J626" s="2">
        <v>0</v>
      </c>
      <c r="K626" s="2">
        <v>2600</v>
      </c>
      <c r="L626" s="2">
        <v>0</v>
      </c>
      <c r="M626" s="2">
        <v>2</v>
      </c>
      <c r="N626" s="2">
        <v>4</v>
      </c>
      <c r="O626" s="2">
        <v>0</v>
      </c>
      <c r="P626" s="2">
        <v>1</v>
      </c>
      <c r="Q626" s="2">
        <v>0</v>
      </c>
      <c r="R626" s="2">
        <v>0</v>
      </c>
      <c r="S626" s="2">
        <v>0</v>
      </c>
      <c r="T626" s="2">
        <v>4</v>
      </c>
      <c r="U626" s="2">
        <v>0</v>
      </c>
      <c r="V626" s="2">
        <v>1</v>
      </c>
      <c r="W626" s="2">
        <v>65</v>
      </c>
      <c r="X626" s="2">
        <v>0</v>
      </c>
      <c r="Y626" s="2">
        <v>0</v>
      </c>
      <c r="Z626" s="2">
        <v>0</v>
      </c>
      <c r="AA626" s="2">
        <v>2</v>
      </c>
      <c r="AB626" s="2">
        <v>2</v>
      </c>
      <c r="AC626" s="2">
        <v>1</v>
      </c>
      <c r="AD626" s="2">
        <v>0</v>
      </c>
      <c r="AE626" s="2">
        <v>0</v>
      </c>
      <c r="AF626" s="2">
        <v>0</v>
      </c>
    </row>
    <row r="627" spans="1:32" x14ac:dyDescent="0.25">
      <c r="A627">
        <v>626</v>
      </c>
      <c r="B627" s="2">
        <v>3</v>
      </c>
      <c r="C627" s="2">
        <v>15</v>
      </c>
      <c r="D627" s="2">
        <v>2</v>
      </c>
      <c r="E627" s="2">
        <v>0</v>
      </c>
      <c r="F627" s="2">
        <v>0</v>
      </c>
      <c r="G627" s="2">
        <v>0</v>
      </c>
      <c r="H627" s="2">
        <v>1</v>
      </c>
      <c r="I627" s="2">
        <v>0</v>
      </c>
      <c r="J627" s="2">
        <v>0</v>
      </c>
      <c r="K627" s="2">
        <v>1979</v>
      </c>
      <c r="L627" s="2">
        <v>4</v>
      </c>
      <c r="M627" s="2">
        <v>4</v>
      </c>
      <c r="N627" s="2">
        <v>4</v>
      </c>
      <c r="O627" s="2">
        <v>0</v>
      </c>
      <c r="P627" s="2">
        <v>1</v>
      </c>
      <c r="Q627" s="2">
        <v>0</v>
      </c>
      <c r="R627" s="2">
        <v>0</v>
      </c>
      <c r="S627" s="2">
        <v>0</v>
      </c>
      <c r="T627" s="2">
        <v>2</v>
      </c>
      <c r="U627" s="2">
        <v>0</v>
      </c>
      <c r="V627" s="2">
        <v>0</v>
      </c>
      <c r="W627" s="2">
        <v>35</v>
      </c>
      <c r="X627" s="2">
        <v>0</v>
      </c>
      <c r="Y627" s="2">
        <v>0</v>
      </c>
      <c r="Z627" s="2">
        <v>1</v>
      </c>
      <c r="AA627" s="2">
        <v>1</v>
      </c>
      <c r="AB627" s="2">
        <v>2</v>
      </c>
      <c r="AC627" s="2">
        <v>1</v>
      </c>
      <c r="AD627" s="2">
        <v>0</v>
      </c>
      <c r="AE627" s="2">
        <v>0</v>
      </c>
      <c r="AF627" s="2">
        <v>1</v>
      </c>
    </row>
    <row r="628" spans="1:32" x14ac:dyDescent="0.25">
      <c r="A628">
        <v>627</v>
      </c>
      <c r="B628" s="2">
        <v>2</v>
      </c>
      <c r="C628" s="2">
        <v>6</v>
      </c>
      <c r="D628" s="2">
        <v>2</v>
      </c>
      <c r="E628" s="2">
        <v>0</v>
      </c>
      <c r="F628" s="2">
        <v>0</v>
      </c>
      <c r="G628" s="2">
        <v>1</v>
      </c>
      <c r="H628" s="2">
        <v>0</v>
      </c>
      <c r="I628" s="2">
        <v>0</v>
      </c>
      <c r="J628" s="2">
        <v>0</v>
      </c>
      <c r="K628" s="2">
        <v>2116</v>
      </c>
      <c r="L628" s="2">
        <v>0</v>
      </c>
      <c r="M628" s="2">
        <v>2</v>
      </c>
      <c r="N628" s="2">
        <v>2</v>
      </c>
      <c r="O628" s="2">
        <v>0</v>
      </c>
      <c r="P628" s="2">
        <v>1</v>
      </c>
      <c r="Q628" s="2">
        <v>0</v>
      </c>
      <c r="R628" s="2">
        <v>0</v>
      </c>
      <c r="S628" s="2">
        <v>0</v>
      </c>
      <c r="T628" s="2">
        <v>2</v>
      </c>
      <c r="U628" s="2">
        <v>1</v>
      </c>
      <c r="V628" s="2">
        <v>0</v>
      </c>
      <c r="W628" s="2">
        <v>41</v>
      </c>
      <c r="X628" s="2">
        <v>0</v>
      </c>
      <c r="Y628" s="2">
        <v>0</v>
      </c>
      <c r="Z628" s="2">
        <v>1</v>
      </c>
      <c r="AA628" s="2">
        <v>1</v>
      </c>
      <c r="AB628" s="2">
        <v>2</v>
      </c>
      <c r="AC628" s="2">
        <v>1</v>
      </c>
      <c r="AD628" s="2">
        <v>1</v>
      </c>
      <c r="AE628" s="2">
        <v>0</v>
      </c>
      <c r="AF628" s="2">
        <v>1</v>
      </c>
    </row>
    <row r="629" spans="1:32" x14ac:dyDescent="0.25">
      <c r="A629">
        <v>628</v>
      </c>
      <c r="B629" s="2">
        <v>1</v>
      </c>
      <c r="C629" s="2">
        <v>9</v>
      </c>
      <c r="D629" s="2">
        <v>1</v>
      </c>
      <c r="E629" s="2">
        <v>1</v>
      </c>
      <c r="F629" s="2">
        <v>0</v>
      </c>
      <c r="G629" s="2">
        <v>0</v>
      </c>
      <c r="H629" s="2">
        <v>0</v>
      </c>
      <c r="I629" s="2">
        <v>0</v>
      </c>
      <c r="J629" s="2">
        <v>0</v>
      </c>
      <c r="K629" s="2">
        <v>1437</v>
      </c>
      <c r="L629" s="2">
        <v>1</v>
      </c>
      <c r="M629" s="2">
        <v>3</v>
      </c>
      <c r="N629" s="2">
        <v>2</v>
      </c>
      <c r="O629" s="2">
        <v>0</v>
      </c>
      <c r="P629" s="2">
        <v>1</v>
      </c>
      <c r="Q629" s="2">
        <v>0</v>
      </c>
      <c r="R629" s="2">
        <v>0</v>
      </c>
      <c r="S629" s="2">
        <v>0</v>
      </c>
      <c r="T629" s="2">
        <v>3</v>
      </c>
      <c r="U629" s="2">
        <v>0</v>
      </c>
      <c r="V629" s="2">
        <v>1</v>
      </c>
      <c r="W629" s="2">
        <v>29</v>
      </c>
      <c r="X629" s="2">
        <v>0</v>
      </c>
      <c r="Y629" s="2">
        <v>0</v>
      </c>
      <c r="Z629" s="2">
        <v>1</v>
      </c>
      <c r="AA629" s="2">
        <v>1</v>
      </c>
      <c r="AB629" s="2">
        <v>2</v>
      </c>
      <c r="AC629" s="2">
        <v>1</v>
      </c>
      <c r="AD629" s="2">
        <v>0</v>
      </c>
      <c r="AE629" s="2">
        <v>0</v>
      </c>
      <c r="AF629" s="2">
        <v>0</v>
      </c>
    </row>
    <row r="630" spans="1:32" x14ac:dyDescent="0.25">
      <c r="A630">
        <v>629</v>
      </c>
      <c r="B630" s="2">
        <v>3</v>
      </c>
      <c r="C630" s="2">
        <v>42</v>
      </c>
      <c r="D630" s="2">
        <v>4</v>
      </c>
      <c r="E630" s="2">
        <v>0</v>
      </c>
      <c r="F630" s="2">
        <v>0</v>
      </c>
      <c r="G630" s="2">
        <v>1</v>
      </c>
      <c r="H630" s="2">
        <v>0</v>
      </c>
      <c r="I630" s="2">
        <v>0</v>
      </c>
      <c r="J630" s="2">
        <v>0</v>
      </c>
      <c r="K630" s="2">
        <v>4042</v>
      </c>
      <c r="L630" s="2">
        <v>2</v>
      </c>
      <c r="M630" s="2">
        <v>2</v>
      </c>
      <c r="N630" s="2">
        <v>4</v>
      </c>
      <c r="O630" s="2">
        <v>0</v>
      </c>
      <c r="P630" s="2">
        <v>1</v>
      </c>
      <c r="Q630" s="2">
        <v>0</v>
      </c>
      <c r="R630" s="2">
        <v>0</v>
      </c>
      <c r="S630" s="2">
        <v>0</v>
      </c>
      <c r="T630" s="2">
        <v>4</v>
      </c>
      <c r="U630" s="2">
        <v>1</v>
      </c>
      <c r="V630" s="2">
        <v>0</v>
      </c>
      <c r="W630" s="2">
        <v>36</v>
      </c>
      <c r="X630" s="2">
        <v>0</v>
      </c>
      <c r="Y630" s="2">
        <v>0</v>
      </c>
      <c r="Z630" s="2">
        <v>1</v>
      </c>
      <c r="AA630" s="2">
        <v>2</v>
      </c>
      <c r="AB630" s="2">
        <v>2</v>
      </c>
      <c r="AC630" s="2">
        <v>1</v>
      </c>
      <c r="AD630" s="2">
        <v>1</v>
      </c>
      <c r="AE630" s="2">
        <v>0</v>
      </c>
      <c r="AF630" s="2">
        <v>1</v>
      </c>
    </row>
    <row r="631" spans="1:32" x14ac:dyDescent="0.25">
      <c r="A631">
        <v>630</v>
      </c>
      <c r="B631" s="2">
        <v>3</v>
      </c>
      <c r="C631" s="2">
        <v>9</v>
      </c>
      <c r="D631" s="2">
        <v>2</v>
      </c>
      <c r="E631" s="2">
        <v>0</v>
      </c>
      <c r="F631" s="2">
        <v>0</v>
      </c>
      <c r="G631" s="2">
        <v>0</v>
      </c>
      <c r="H631" s="2">
        <v>0</v>
      </c>
      <c r="I631" s="2">
        <v>1</v>
      </c>
      <c r="J631" s="2">
        <v>0</v>
      </c>
      <c r="K631" s="2">
        <v>3832</v>
      </c>
      <c r="L631" s="2">
        <v>4</v>
      </c>
      <c r="M631" s="2">
        <v>4</v>
      </c>
      <c r="N631" s="2">
        <v>1</v>
      </c>
      <c r="O631" s="2">
        <v>0</v>
      </c>
      <c r="P631" s="2">
        <v>1</v>
      </c>
      <c r="Q631" s="2">
        <v>0</v>
      </c>
      <c r="R631" s="2">
        <v>0</v>
      </c>
      <c r="S631" s="2">
        <v>0</v>
      </c>
      <c r="T631" s="2">
        <v>4</v>
      </c>
      <c r="U631" s="2">
        <v>1</v>
      </c>
      <c r="V631" s="2">
        <v>0</v>
      </c>
      <c r="W631" s="2">
        <v>64</v>
      </c>
      <c r="X631" s="2">
        <v>0</v>
      </c>
      <c r="Y631" s="2">
        <v>0</v>
      </c>
      <c r="Z631" s="2">
        <v>1</v>
      </c>
      <c r="AA631" s="2">
        <v>1</v>
      </c>
      <c r="AB631" s="2">
        <v>1</v>
      </c>
      <c r="AC631" s="2">
        <v>1</v>
      </c>
      <c r="AD631" s="2">
        <v>0</v>
      </c>
      <c r="AE631" s="2">
        <v>0</v>
      </c>
      <c r="AF631" s="2">
        <v>1</v>
      </c>
    </row>
    <row r="632" spans="1:32" x14ac:dyDescent="0.25">
      <c r="A632">
        <v>631</v>
      </c>
      <c r="B632" s="2">
        <v>0</v>
      </c>
      <c r="C632" s="2">
        <v>24</v>
      </c>
      <c r="D632" s="2">
        <v>2</v>
      </c>
      <c r="E632" s="2">
        <v>0</v>
      </c>
      <c r="F632" s="2">
        <v>0</v>
      </c>
      <c r="G632" s="2">
        <v>0</v>
      </c>
      <c r="H632" s="2">
        <v>1</v>
      </c>
      <c r="I632" s="2">
        <v>0</v>
      </c>
      <c r="J632" s="2">
        <v>0</v>
      </c>
      <c r="K632" s="2">
        <v>3660</v>
      </c>
      <c r="L632" s="2">
        <v>0</v>
      </c>
      <c r="M632" s="2">
        <v>2</v>
      </c>
      <c r="N632" s="2">
        <v>2</v>
      </c>
      <c r="O632" s="2">
        <v>0</v>
      </c>
      <c r="P632" s="2">
        <v>0</v>
      </c>
      <c r="Q632" s="2">
        <v>0</v>
      </c>
      <c r="R632" s="2">
        <v>0</v>
      </c>
      <c r="S632" s="2">
        <v>0</v>
      </c>
      <c r="T632" s="2">
        <v>4</v>
      </c>
      <c r="U632" s="2">
        <v>0</v>
      </c>
      <c r="V632" s="2">
        <v>0</v>
      </c>
      <c r="W632" s="2">
        <v>28</v>
      </c>
      <c r="X632" s="2">
        <v>0</v>
      </c>
      <c r="Y632" s="2">
        <v>0</v>
      </c>
      <c r="Z632" s="2">
        <v>1</v>
      </c>
      <c r="AA632" s="2">
        <v>1</v>
      </c>
      <c r="AB632" s="2">
        <v>2</v>
      </c>
      <c r="AC632" s="2">
        <v>1</v>
      </c>
      <c r="AD632" s="2">
        <v>0</v>
      </c>
      <c r="AE632" s="2">
        <v>0</v>
      </c>
      <c r="AF632" s="2">
        <v>1</v>
      </c>
    </row>
    <row r="633" spans="1:32" x14ac:dyDescent="0.25">
      <c r="A633">
        <v>632</v>
      </c>
      <c r="B633" s="2">
        <v>0</v>
      </c>
      <c r="C633" s="2">
        <v>18</v>
      </c>
      <c r="D633" s="2">
        <v>1</v>
      </c>
      <c r="E633" s="2">
        <v>0</v>
      </c>
      <c r="F633" s="2">
        <v>0</v>
      </c>
      <c r="G633" s="2">
        <v>1</v>
      </c>
      <c r="H633" s="2">
        <v>0</v>
      </c>
      <c r="I633" s="2">
        <v>0</v>
      </c>
      <c r="J633" s="2">
        <v>0</v>
      </c>
      <c r="K633" s="2">
        <v>1553</v>
      </c>
      <c r="L633" s="2">
        <v>0</v>
      </c>
      <c r="M633" s="2">
        <v>2</v>
      </c>
      <c r="N633" s="2">
        <v>4</v>
      </c>
      <c r="O633" s="2">
        <v>0</v>
      </c>
      <c r="P633" s="2">
        <v>1</v>
      </c>
      <c r="Q633" s="2">
        <v>0</v>
      </c>
      <c r="R633" s="2">
        <v>0</v>
      </c>
      <c r="S633" s="2">
        <v>0</v>
      </c>
      <c r="T633" s="2">
        <v>3</v>
      </c>
      <c r="U633" s="2">
        <v>0</v>
      </c>
      <c r="V633" s="2">
        <v>0</v>
      </c>
      <c r="W633" s="2">
        <v>44</v>
      </c>
      <c r="X633" s="2">
        <v>1</v>
      </c>
      <c r="Y633" s="2">
        <v>0</v>
      </c>
      <c r="Z633" s="2">
        <v>1</v>
      </c>
      <c r="AA633" s="2">
        <v>1</v>
      </c>
      <c r="AB633" s="2">
        <v>2</v>
      </c>
      <c r="AC633" s="2">
        <v>1</v>
      </c>
      <c r="AD633" s="2">
        <v>0</v>
      </c>
      <c r="AE633" s="2">
        <v>0</v>
      </c>
      <c r="AF633" s="2">
        <v>0</v>
      </c>
    </row>
    <row r="634" spans="1:32" x14ac:dyDescent="0.25">
      <c r="A634">
        <v>633</v>
      </c>
      <c r="B634" s="2">
        <v>1</v>
      </c>
      <c r="C634" s="2">
        <v>15</v>
      </c>
      <c r="D634" s="2">
        <v>2</v>
      </c>
      <c r="E634" s="2">
        <v>0</v>
      </c>
      <c r="F634" s="2">
        <v>0</v>
      </c>
      <c r="G634" s="2">
        <v>0</v>
      </c>
      <c r="H634" s="2">
        <v>1</v>
      </c>
      <c r="I634" s="2">
        <v>0</v>
      </c>
      <c r="J634" s="2">
        <v>0</v>
      </c>
      <c r="K634" s="2">
        <v>1444</v>
      </c>
      <c r="L634" s="2">
        <v>4</v>
      </c>
      <c r="M634" s="2">
        <v>1</v>
      </c>
      <c r="N634" s="2">
        <v>4</v>
      </c>
      <c r="O634" s="2">
        <v>0</v>
      </c>
      <c r="P634" s="2">
        <v>1</v>
      </c>
      <c r="Q634" s="2">
        <v>0</v>
      </c>
      <c r="R634" s="2">
        <v>0</v>
      </c>
      <c r="S634" s="2">
        <v>0</v>
      </c>
      <c r="T634" s="2">
        <v>1</v>
      </c>
      <c r="U634" s="2">
        <v>0</v>
      </c>
      <c r="V634" s="2">
        <v>0</v>
      </c>
      <c r="W634" s="2">
        <v>23</v>
      </c>
      <c r="X634" s="2">
        <v>0</v>
      </c>
      <c r="Y634" s="2">
        <v>0</v>
      </c>
      <c r="Z634" s="2">
        <v>1</v>
      </c>
      <c r="AA634" s="2">
        <v>1</v>
      </c>
      <c r="AB634" s="2">
        <v>2</v>
      </c>
      <c r="AC634" s="2">
        <v>1</v>
      </c>
      <c r="AD634" s="2">
        <v>0</v>
      </c>
      <c r="AE634" s="2">
        <v>0</v>
      </c>
      <c r="AF634" s="2">
        <v>1</v>
      </c>
    </row>
    <row r="635" spans="1:32" x14ac:dyDescent="0.25">
      <c r="A635">
        <v>634</v>
      </c>
      <c r="B635" s="2">
        <v>3</v>
      </c>
      <c r="C635" s="2">
        <v>9</v>
      </c>
      <c r="D635" s="2">
        <v>2</v>
      </c>
      <c r="E635" s="2">
        <v>0</v>
      </c>
      <c r="F635" s="2">
        <v>0</v>
      </c>
      <c r="G635" s="2">
        <v>1</v>
      </c>
      <c r="H635" s="2">
        <v>0</v>
      </c>
      <c r="I635" s="2">
        <v>0</v>
      </c>
      <c r="J635" s="2">
        <v>0</v>
      </c>
      <c r="K635" s="2">
        <v>1980</v>
      </c>
      <c r="L635" s="2">
        <v>0</v>
      </c>
      <c r="M635" s="2">
        <v>1</v>
      </c>
      <c r="N635" s="2">
        <v>2</v>
      </c>
      <c r="O635" s="2">
        <v>0</v>
      </c>
      <c r="P635" s="2">
        <v>0</v>
      </c>
      <c r="Q635" s="2">
        <v>0</v>
      </c>
      <c r="R635" s="2">
        <v>1</v>
      </c>
      <c r="S635" s="2">
        <v>0</v>
      </c>
      <c r="T635" s="2">
        <v>2</v>
      </c>
      <c r="U635" s="2">
        <v>0</v>
      </c>
      <c r="V635" s="2">
        <v>0</v>
      </c>
      <c r="W635" s="2">
        <v>19</v>
      </c>
      <c r="X635" s="2">
        <v>0</v>
      </c>
      <c r="Y635" s="2">
        <v>1</v>
      </c>
      <c r="Z635" s="2">
        <v>0</v>
      </c>
      <c r="AA635" s="2">
        <v>2</v>
      </c>
      <c r="AB635" s="2">
        <v>2</v>
      </c>
      <c r="AC635" s="2">
        <v>1</v>
      </c>
      <c r="AD635" s="2">
        <v>0</v>
      </c>
      <c r="AE635" s="2">
        <v>0</v>
      </c>
      <c r="AF635" s="2">
        <v>0</v>
      </c>
    </row>
    <row r="636" spans="1:32" x14ac:dyDescent="0.25">
      <c r="A636">
        <v>635</v>
      </c>
      <c r="B636" s="2">
        <v>1</v>
      </c>
      <c r="C636" s="2">
        <v>24</v>
      </c>
      <c r="D636" s="2">
        <v>2</v>
      </c>
      <c r="E636" s="2">
        <v>1</v>
      </c>
      <c r="F636" s="2">
        <v>0</v>
      </c>
      <c r="G636" s="2">
        <v>0</v>
      </c>
      <c r="H636" s="2">
        <v>0</v>
      </c>
      <c r="I636" s="2">
        <v>0</v>
      </c>
      <c r="J636" s="2">
        <v>0</v>
      </c>
      <c r="K636" s="2">
        <v>1355</v>
      </c>
      <c r="L636" s="2">
        <v>0</v>
      </c>
      <c r="M636" s="2">
        <v>1</v>
      </c>
      <c r="N636" s="2">
        <v>3</v>
      </c>
      <c r="O636" s="2">
        <v>0</v>
      </c>
      <c r="P636" s="2">
        <v>0</v>
      </c>
      <c r="Q636" s="2">
        <v>0</v>
      </c>
      <c r="R636" s="2">
        <v>0</v>
      </c>
      <c r="S636" s="2">
        <v>0</v>
      </c>
      <c r="T636" s="2">
        <v>4</v>
      </c>
      <c r="U636" s="2">
        <v>0</v>
      </c>
      <c r="V636" s="2">
        <v>0</v>
      </c>
      <c r="W636" s="2">
        <v>25</v>
      </c>
      <c r="X636" s="2">
        <v>0</v>
      </c>
      <c r="Y636" s="2">
        <v>0</v>
      </c>
      <c r="Z636" s="2">
        <v>1</v>
      </c>
      <c r="AA636" s="2">
        <v>1</v>
      </c>
      <c r="AB636" s="2">
        <v>1</v>
      </c>
      <c r="AC636" s="2">
        <v>1</v>
      </c>
      <c r="AD636" s="2">
        <v>1</v>
      </c>
      <c r="AE636" s="2">
        <v>0</v>
      </c>
      <c r="AF636" s="2">
        <v>0</v>
      </c>
    </row>
    <row r="637" spans="1:32" x14ac:dyDescent="0.25">
      <c r="A637">
        <v>636</v>
      </c>
      <c r="B637" s="2">
        <v>3</v>
      </c>
      <c r="C637" s="2">
        <v>12</v>
      </c>
      <c r="D637" s="2">
        <v>2</v>
      </c>
      <c r="E637" s="2">
        <v>0</v>
      </c>
      <c r="F637" s="2">
        <v>0</v>
      </c>
      <c r="G637" s="2">
        <v>0</v>
      </c>
      <c r="H637" s="2">
        <v>0</v>
      </c>
      <c r="I637" s="2">
        <v>1</v>
      </c>
      <c r="J637" s="2">
        <v>0</v>
      </c>
      <c r="K637" s="2">
        <v>1393</v>
      </c>
      <c r="L637" s="2">
        <v>0</v>
      </c>
      <c r="M637" s="2">
        <v>4</v>
      </c>
      <c r="N637" s="2">
        <v>4</v>
      </c>
      <c r="O637" s="2">
        <v>0</v>
      </c>
      <c r="P637" s="2">
        <v>1</v>
      </c>
      <c r="Q637" s="2">
        <v>0</v>
      </c>
      <c r="R637" s="2">
        <v>0</v>
      </c>
      <c r="S637" s="2">
        <v>0</v>
      </c>
      <c r="T637" s="2">
        <v>4</v>
      </c>
      <c r="U637" s="2">
        <v>0</v>
      </c>
      <c r="V637" s="2">
        <v>0</v>
      </c>
      <c r="W637" s="2">
        <v>47</v>
      </c>
      <c r="X637" s="2">
        <v>1</v>
      </c>
      <c r="Y637" s="2">
        <v>0</v>
      </c>
      <c r="Z637" s="2">
        <v>1</v>
      </c>
      <c r="AA637" s="2">
        <v>3</v>
      </c>
      <c r="AB637" s="2">
        <v>2</v>
      </c>
      <c r="AC637" s="2">
        <v>2</v>
      </c>
      <c r="AD637" s="2">
        <v>1</v>
      </c>
      <c r="AE637" s="2">
        <v>0</v>
      </c>
      <c r="AF637" s="2">
        <v>1</v>
      </c>
    </row>
    <row r="638" spans="1:32" x14ac:dyDescent="0.25">
      <c r="A638">
        <v>637</v>
      </c>
      <c r="B638" s="2">
        <v>3</v>
      </c>
      <c r="C638" s="2">
        <v>24</v>
      </c>
      <c r="D638" s="2">
        <v>2</v>
      </c>
      <c r="E638" s="2">
        <v>0</v>
      </c>
      <c r="F638" s="2">
        <v>0</v>
      </c>
      <c r="G638" s="2">
        <v>0</v>
      </c>
      <c r="H638" s="2">
        <v>1</v>
      </c>
      <c r="I638" s="2">
        <v>0</v>
      </c>
      <c r="J638" s="2">
        <v>0</v>
      </c>
      <c r="K638" s="2">
        <v>1376</v>
      </c>
      <c r="L638" s="2">
        <v>2</v>
      </c>
      <c r="M638" s="2">
        <v>3</v>
      </c>
      <c r="N638" s="2">
        <v>4</v>
      </c>
      <c r="O638" s="2">
        <v>0</v>
      </c>
      <c r="P638" s="2">
        <v>0</v>
      </c>
      <c r="Q638" s="2">
        <v>0</v>
      </c>
      <c r="R638" s="2">
        <v>0</v>
      </c>
      <c r="S638" s="2">
        <v>0</v>
      </c>
      <c r="T638" s="2">
        <v>1</v>
      </c>
      <c r="U638" s="2">
        <v>0</v>
      </c>
      <c r="V638" s="2">
        <v>0</v>
      </c>
      <c r="W638" s="2">
        <v>28</v>
      </c>
      <c r="X638" s="2">
        <v>0</v>
      </c>
      <c r="Y638" s="2">
        <v>0</v>
      </c>
      <c r="Z638" s="2">
        <v>1</v>
      </c>
      <c r="AA638" s="2">
        <v>1</v>
      </c>
      <c r="AB638" s="2">
        <v>2</v>
      </c>
      <c r="AC638" s="2">
        <v>1</v>
      </c>
      <c r="AD638" s="2">
        <v>0</v>
      </c>
      <c r="AE638" s="2">
        <v>0</v>
      </c>
      <c r="AF638" s="2">
        <v>1</v>
      </c>
    </row>
    <row r="639" spans="1:32" x14ac:dyDescent="0.25">
      <c r="A639">
        <v>638</v>
      </c>
      <c r="B639" s="2">
        <v>3</v>
      </c>
      <c r="C639" s="2">
        <v>60</v>
      </c>
      <c r="D639" s="2">
        <v>3</v>
      </c>
      <c r="E639" s="2">
        <v>0</v>
      </c>
      <c r="F639" s="2">
        <v>0</v>
      </c>
      <c r="G639" s="2">
        <v>0</v>
      </c>
      <c r="H639" s="2">
        <v>1</v>
      </c>
      <c r="I639" s="2">
        <v>0</v>
      </c>
      <c r="J639" s="2">
        <v>0</v>
      </c>
      <c r="K639" s="2">
        <v>15653</v>
      </c>
      <c r="L639" s="2">
        <v>0</v>
      </c>
      <c r="M639" s="2">
        <v>3</v>
      </c>
      <c r="N639" s="2">
        <v>2</v>
      </c>
      <c r="O639" s="2">
        <v>0</v>
      </c>
      <c r="P639" s="2">
        <v>1</v>
      </c>
      <c r="Q639" s="2">
        <v>0</v>
      </c>
      <c r="R639" s="2">
        <v>0</v>
      </c>
      <c r="S639" s="2">
        <v>0</v>
      </c>
      <c r="T639" s="2">
        <v>4</v>
      </c>
      <c r="U639" s="2">
        <v>0</v>
      </c>
      <c r="V639" s="2">
        <v>0</v>
      </c>
      <c r="W639" s="2">
        <v>21</v>
      </c>
      <c r="X639" s="2">
        <v>0</v>
      </c>
      <c r="Y639" s="2">
        <v>0</v>
      </c>
      <c r="Z639" s="2">
        <v>1</v>
      </c>
      <c r="AA639" s="2">
        <v>2</v>
      </c>
      <c r="AB639" s="2">
        <v>2</v>
      </c>
      <c r="AC639" s="2">
        <v>1</v>
      </c>
      <c r="AD639" s="2">
        <v>1</v>
      </c>
      <c r="AE639" s="2">
        <v>0</v>
      </c>
      <c r="AF639" s="2">
        <v>1</v>
      </c>
    </row>
    <row r="640" spans="1:32" x14ac:dyDescent="0.25">
      <c r="A640">
        <v>639</v>
      </c>
      <c r="B640" s="2">
        <v>3</v>
      </c>
      <c r="C640" s="2">
        <v>12</v>
      </c>
      <c r="D640" s="2">
        <v>2</v>
      </c>
      <c r="E640" s="2">
        <v>0</v>
      </c>
      <c r="F640" s="2">
        <v>0</v>
      </c>
      <c r="G640" s="2">
        <v>0</v>
      </c>
      <c r="H640" s="2">
        <v>1</v>
      </c>
      <c r="I640" s="2">
        <v>0</v>
      </c>
      <c r="J640" s="2">
        <v>0</v>
      </c>
      <c r="K640" s="2">
        <v>1493</v>
      </c>
      <c r="L640" s="2">
        <v>0</v>
      </c>
      <c r="M640" s="2">
        <v>1</v>
      </c>
      <c r="N640" s="2">
        <v>4</v>
      </c>
      <c r="O640" s="2">
        <v>0</v>
      </c>
      <c r="P640" s="2">
        <v>0</v>
      </c>
      <c r="Q640" s="2">
        <v>0</v>
      </c>
      <c r="R640" s="2">
        <v>0</v>
      </c>
      <c r="S640" s="2">
        <v>0</v>
      </c>
      <c r="T640" s="2">
        <v>3</v>
      </c>
      <c r="U640" s="2">
        <v>0</v>
      </c>
      <c r="V640" s="2">
        <v>0</v>
      </c>
      <c r="W640" s="2">
        <v>34</v>
      </c>
      <c r="X640" s="2">
        <v>0</v>
      </c>
      <c r="Y640" s="2">
        <v>0</v>
      </c>
      <c r="Z640" s="2">
        <v>1</v>
      </c>
      <c r="AA640" s="2">
        <v>1</v>
      </c>
      <c r="AB640" s="2">
        <v>2</v>
      </c>
      <c r="AC640" s="2">
        <v>2</v>
      </c>
      <c r="AD640" s="2">
        <v>0</v>
      </c>
      <c r="AE640" s="2">
        <v>0</v>
      </c>
      <c r="AF640" s="2">
        <v>1</v>
      </c>
    </row>
    <row r="641" spans="1:32" x14ac:dyDescent="0.25">
      <c r="A641">
        <v>640</v>
      </c>
      <c r="B641" s="2">
        <v>0</v>
      </c>
      <c r="C641" s="2">
        <v>42</v>
      </c>
      <c r="D641" s="2">
        <v>3</v>
      </c>
      <c r="E641" s="2">
        <v>0</v>
      </c>
      <c r="F641" s="2">
        <v>0</v>
      </c>
      <c r="G641" s="2">
        <v>0</v>
      </c>
      <c r="H641" s="2">
        <v>1</v>
      </c>
      <c r="I641" s="2">
        <v>0</v>
      </c>
      <c r="J641" s="2">
        <v>0</v>
      </c>
      <c r="K641" s="2">
        <v>4370</v>
      </c>
      <c r="L641" s="2">
        <v>0</v>
      </c>
      <c r="M641" s="2">
        <v>3</v>
      </c>
      <c r="N641" s="2">
        <v>3</v>
      </c>
      <c r="O641" s="2">
        <v>0</v>
      </c>
      <c r="P641" s="2">
        <v>1</v>
      </c>
      <c r="Q641" s="2">
        <v>0</v>
      </c>
      <c r="R641" s="2">
        <v>0</v>
      </c>
      <c r="S641" s="2">
        <v>0</v>
      </c>
      <c r="T641" s="2">
        <v>2</v>
      </c>
      <c r="U641" s="2">
        <v>0</v>
      </c>
      <c r="V641" s="2">
        <v>0</v>
      </c>
      <c r="W641" s="2">
        <v>26</v>
      </c>
      <c r="X641" s="2">
        <v>1</v>
      </c>
      <c r="Y641" s="2">
        <v>0</v>
      </c>
      <c r="Z641" s="2">
        <v>1</v>
      </c>
      <c r="AA641" s="2">
        <v>2</v>
      </c>
      <c r="AB641" s="2">
        <v>2</v>
      </c>
      <c r="AC641" s="2">
        <v>2</v>
      </c>
      <c r="AD641" s="2">
        <v>1</v>
      </c>
      <c r="AE641" s="2">
        <v>0</v>
      </c>
      <c r="AF641" s="2">
        <v>0</v>
      </c>
    </row>
    <row r="642" spans="1:32" x14ac:dyDescent="0.25">
      <c r="A642">
        <v>641</v>
      </c>
      <c r="B642" s="2">
        <v>0</v>
      </c>
      <c r="C642" s="2">
        <v>18</v>
      </c>
      <c r="D642" s="2">
        <v>2</v>
      </c>
      <c r="E642" s="2">
        <v>0</v>
      </c>
      <c r="F642" s="2">
        <v>0</v>
      </c>
      <c r="G642" s="2">
        <v>0</v>
      </c>
      <c r="H642" s="2">
        <v>0</v>
      </c>
      <c r="I642" s="2">
        <v>1</v>
      </c>
      <c r="J642" s="2">
        <v>0</v>
      </c>
      <c r="K642" s="2">
        <v>750</v>
      </c>
      <c r="L642" s="2">
        <v>0</v>
      </c>
      <c r="M642" s="2">
        <v>0</v>
      </c>
      <c r="N642" s="2">
        <v>4</v>
      </c>
      <c r="O642" s="2">
        <v>0</v>
      </c>
      <c r="P642" s="2">
        <v>0</v>
      </c>
      <c r="Q642" s="2">
        <v>0</v>
      </c>
      <c r="R642" s="2">
        <v>0</v>
      </c>
      <c r="S642" s="2">
        <v>0</v>
      </c>
      <c r="T642" s="2">
        <v>1</v>
      </c>
      <c r="U642" s="2">
        <v>1</v>
      </c>
      <c r="V642" s="2">
        <v>0</v>
      </c>
      <c r="W642" s="2">
        <v>27</v>
      </c>
      <c r="X642" s="2">
        <v>0</v>
      </c>
      <c r="Y642" s="2">
        <v>0</v>
      </c>
      <c r="Z642" s="2">
        <v>1</v>
      </c>
      <c r="AA642" s="2">
        <v>1</v>
      </c>
      <c r="AB642" s="2">
        <v>0</v>
      </c>
      <c r="AC642" s="2">
        <v>1</v>
      </c>
      <c r="AD642" s="2">
        <v>0</v>
      </c>
      <c r="AE642" s="2">
        <v>0</v>
      </c>
      <c r="AF642" s="2">
        <v>0</v>
      </c>
    </row>
    <row r="643" spans="1:32" x14ac:dyDescent="0.25">
      <c r="A643">
        <v>642</v>
      </c>
      <c r="B643" s="2">
        <v>1</v>
      </c>
      <c r="C643" s="2">
        <v>15</v>
      </c>
      <c r="D643" s="2">
        <v>2</v>
      </c>
      <c r="E643" s="2">
        <v>0</v>
      </c>
      <c r="F643" s="2">
        <v>0</v>
      </c>
      <c r="G643" s="2">
        <v>0</v>
      </c>
      <c r="H643" s="2">
        <v>0</v>
      </c>
      <c r="I643" s="2">
        <v>0</v>
      </c>
      <c r="J643" s="2">
        <v>0</v>
      </c>
      <c r="K643" s="2">
        <v>1308</v>
      </c>
      <c r="L643" s="2">
        <v>0</v>
      </c>
      <c r="M643" s="2">
        <v>4</v>
      </c>
      <c r="N643" s="2">
        <v>4</v>
      </c>
      <c r="O643" s="2">
        <v>0</v>
      </c>
      <c r="P643" s="2">
        <v>1</v>
      </c>
      <c r="Q643" s="2">
        <v>0</v>
      </c>
      <c r="R643" s="2">
        <v>0</v>
      </c>
      <c r="S643" s="2">
        <v>0</v>
      </c>
      <c r="T643" s="2">
        <v>4</v>
      </c>
      <c r="U643" s="2">
        <v>0</v>
      </c>
      <c r="V643" s="2">
        <v>0</v>
      </c>
      <c r="W643" s="2">
        <v>38</v>
      </c>
      <c r="X643" s="2">
        <v>0</v>
      </c>
      <c r="Y643" s="2">
        <v>0</v>
      </c>
      <c r="Z643" s="2">
        <v>1</v>
      </c>
      <c r="AA643" s="2">
        <v>2</v>
      </c>
      <c r="AB643" s="2">
        <v>1</v>
      </c>
      <c r="AC643" s="2">
        <v>1</v>
      </c>
      <c r="AD643" s="2">
        <v>0</v>
      </c>
      <c r="AE643" s="2">
        <v>0</v>
      </c>
      <c r="AF643" s="2">
        <v>1</v>
      </c>
    </row>
    <row r="644" spans="1:32" x14ac:dyDescent="0.25">
      <c r="A644">
        <v>643</v>
      </c>
      <c r="B644" s="2">
        <v>3</v>
      </c>
      <c r="C644" s="2">
        <v>15</v>
      </c>
      <c r="D644" s="2">
        <v>2</v>
      </c>
      <c r="E644" s="2">
        <v>0</v>
      </c>
      <c r="F644" s="2">
        <v>0</v>
      </c>
      <c r="G644" s="2">
        <v>0</v>
      </c>
      <c r="H644" s="2">
        <v>0</v>
      </c>
      <c r="I644" s="2">
        <v>1</v>
      </c>
      <c r="J644" s="2">
        <v>0</v>
      </c>
      <c r="K644" s="2">
        <v>4623</v>
      </c>
      <c r="L644" s="2">
        <v>1</v>
      </c>
      <c r="M644" s="2">
        <v>2</v>
      </c>
      <c r="N644" s="2">
        <v>3</v>
      </c>
      <c r="O644" s="2">
        <v>0</v>
      </c>
      <c r="P644" s="2">
        <v>1</v>
      </c>
      <c r="Q644" s="2">
        <v>0</v>
      </c>
      <c r="R644" s="2">
        <v>0</v>
      </c>
      <c r="S644" s="2">
        <v>0</v>
      </c>
      <c r="T644" s="2">
        <v>2</v>
      </c>
      <c r="U644" s="2">
        <v>0</v>
      </c>
      <c r="V644" s="2">
        <v>0</v>
      </c>
      <c r="W644" s="2">
        <v>40</v>
      </c>
      <c r="X644" s="2">
        <v>0</v>
      </c>
      <c r="Y644" s="2">
        <v>0</v>
      </c>
      <c r="Z644" s="2">
        <v>1</v>
      </c>
      <c r="AA644" s="2">
        <v>1</v>
      </c>
      <c r="AB644" s="2">
        <v>3</v>
      </c>
      <c r="AC644" s="2">
        <v>1</v>
      </c>
      <c r="AD644" s="2">
        <v>1</v>
      </c>
      <c r="AE644" s="2">
        <v>0</v>
      </c>
      <c r="AF644" s="2">
        <v>0</v>
      </c>
    </row>
    <row r="645" spans="1:32" x14ac:dyDescent="0.25">
      <c r="A645">
        <v>644</v>
      </c>
      <c r="B645" s="2">
        <v>3</v>
      </c>
      <c r="C645" s="2">
        <v>24</v>
      </c>
      <c r="D645" s="2">
        <v>4</v>
      </c>
      <c r="E645" s="2">
        <v>0</v>
      </c>
      <c r="F645" s="2">
        <v>0</v>
      </c>
      <c r="G645" s="2">
        <v>0</v>
      </c>
      <c r="H645" s="2">
        <v>1</v>
      </c>
      <c r="I645" s="2">
        <v>0</v>
      </c>
      <c r="J645" s="2">
        <v>0</v>
      </c>
      <c r="K645" s="2">
        <v>1851</v>
      </c>
      <c r="L645" s="2">
        <v>0</v>
      </c>
      <c r="M645" s="2">
        <v>3</v>
      </c>
      <c r="N645" s="2">
        <v>4</v>
      </c>
      <c r="O645" s="2">
        <v>0</v>
      </c>
      <c r="P645" s="2">
        <v>0</v>
      </c>
      <c r="Q645" s="2">
        <v>1</v>
      </c>
      <c r="R645" s="2">
        <v>0</v>
      </c>
      <c r="S645" s="2">
        <v>1</v>
      </c>
      <c r="T645" s="2">
        <v>2</v>
      </c>
      <c r="U645" s="2">
        <v>0</v>
      </c>
      <c r="V645" s="2">
        <v>0</v>
      </c>
      <c r="W645" s="2">
        <v>33</v>
      </c>
      <c r="X645" s="2">
        <v>0</v>
      </c>
      <c r="Y645" s="2">
        <v>0</v>
      </c>
      <c r="Z645" s="2">
        <v>1</v>
      </c>
      <c r="AA645" s="2">
        <v>2</v>
      </c>
      <c r="AB645" s="2">
        <v>2</v>
      </c>
      <c r="AC645" s="2">
        <v>1</v>
      </c>
      <c r="AD645" s="2">
        <v>1</v>
      </c>
      <c r="AE645" s="2">
        <v>0</v>
      </c>
      <c r="AF645" s="2">
        <v>1</v>
      </c>
    </row>
    <row r="646" spans="1:32" x14ac:dyDescent="0.25">
      <c r="A646">
        <v>645</v>
      </c>
      <c r="B646" s="2">
        <v>0</v>
      </c>
      <c r="C646" s="2">
        <v>18</v>
      </c>
      <c r="D646" s="2">
        <v>4</v>
      </c>
      <c r="E646" s="2">
        <v>0</v>
      </c>
      <c r="F646" s="2">
        <v>0</v>
      </c>
      <c r="G646" s="2">
        <v>0</v>
      </c>
      <c r="H646" s="2">
        <v>1</v>
      </c>
      <c r="I646" s="2">
        <v>0</v>
      </c>
      <c r="J646" s="2">
        <v>0</v>
      </c>
      <c r="K646" s="2">
        <v>1880</v>
      </c>
      <c r="L646" s="2">
        <v>0</v>
      </c>
      <c r="M646" s="2">
        <v>3</v>
      </c>
      <c r="N646" s="2">
        <v>4</v>
      </c>
      <c r="O646" s="2">
        <v>0</v>
      </c>
      <c r="P646" s="2">
        <v>0</v>
      </c>
      <c r="Q646" s="2">
        <v>1</v>
      </c>
      <c r="R646" s="2">
        <v>0</v>
      </c>
      <c r="S646" s="2">
        <v>0</v>
      </c>
      <c r="T646" s="2">
        <v>1</v>
      </c>
      <c r="U646" s="2">
        <v>0</v>
      </c>
      <c r="V646" s="2">
        <v>0</v>
      </c>
      <c r="W646" s="2">
        <v>32</v>
      </c>
      <c r="X646" s="2">
        <v>0</v>
      </c>
      <c r="Y646" s="2">
        <v>0</v>
      </c>
      <c r="Z646" s="2">
        <v>1</v>
      </c>
      <c r="AA646" s="2">
        <v>2</v>
      </c>
      <c r="AB646" s="2">
        <v>3</v>
      </c>
      <c r="AC646" s="2">
        <v>1</v>
      </c>
      <c r="AD646" s="2">
        <v>1</v>
      </c>
      <c r="AE646" s="2">
        <v>0</v>
      </c>
      <c r="AF646" s="2">
        <v>1</v>
      </c>
    </row>
    <row r="647" spans="1:32" x14ac:dyDescent="0.25">
      <c r="A647">
        <v>646</v>
      </c>
      <c r="B647" s="2">
        <v>3</v>
      </c>
      <c r="C647" s="2">
        <v>36</v>
      </c>
      <c r="D647" s="2">
        <v>3</v>
      </c>
      <c r="E647" s="2">
        <v>0</v>
      </c>
      <c r="F647" s="2">
        <v>0</v>
      </c>
      <c r="G647" s="2">
        <v>0</v>
      </c>
      <c r="H647" s="2">
        <v>0</v>
      </c>
      <c r="I647" s="2">
        <v>0</v>
      </c>
      <c r="J647" s="2">
        <v>1</v>
      </c>
      <c r="K647" s="2">
        <v>7980</v>
      </c>
      <c r="L647" s="2">
        <v>4</v>
      </c>
      <c r="M647" s="2">
        <v>1</v>
      </c>
      <c r="N647" s="2">
        <v>4</v>
      </c>
      <c r="O647" s="2">
        <v>0</v>
      </c>
      <c r="P647" s="2">
        <v>1</v>
      </c>
      <c r="Q647" s="2">
        <v>0</v>
      </c>
      <c r="R647" s="2">
        <v>0</v>
      </c>
      <c r="S647" s="2">
        <v>0</v>
      </c>
      <c r="T647" s="2">
        <v>4</v>
      </c>
      <c r="U647" s="2">
        <v>0</v>
      </c>
      <c r="V647" s="2">
        <v>0</v>
      </c>
      <c r="W647" s="2">
        <v>27</v>
      </c>
      <c r="X647" s="2">
        <v>0</v>
      </c>
      <c r="Y647" s="2">
        <v>1</v>
      </c>
      <c r="Z647" s="2">
        <v>0</v>
      </c>
      <c r="AA647" s="2">
        <v>2</v>
      </c>
      <c r="AB647" s="2">
        <v>2</v>
      </c>
      <c r="AC647" s="2">
        <v>1</v>
      </c>
      <c r="AD647" s="2">
        <v>1</v>
      </c>
      <c r="AE647" s="2">
        <v>0</v>
      </c>
      <c r="AF647" s="2">
        <v>0</v>
      </c>
    </row>
    <row r="648" spans="1:32" x14ac:dyDescent="0.25">
      <c r="A648">
        <v>647</v>
      </c>
      <c r="B648" s="2">
        <v>0</v>
      </c>
      <c r="C648" s="2">
        <v>30</v>
      </c>
      <c r="D648" s="2">
        <v>0</v>
      </c>
      <c r="E648" s="2">
        <v>0</v>
      </c>
      <c r="F648" s="2">
        <v>0</v>
      </c>
      <c r="G648" s="2">
        <v>1</v>
      </c>
      <c r="H648" s="2">
        <v>0</v>
      </c>
      <c r="I648" s="2">
        <v>0</v>
      </c>
      <c r="J648" s="2">
        <v>0</v>
      </c>
      <c r="K648" s="2">
        <v>4583</v>
      </c>
      <c r="L648" s="2">
        <v>0</v>
      </c>
      <c r="M648" s="2">
        <v>2</v>
      </c>
      <c r="N648" s="2">
        <v>2</v>
      </c>
      <c r="O648" s="2">
        <v>1</v>
      </c>
      <c r="P648" s="2">
        <v>0</v>
      </c>
      <c r="Q648" s="2">
        <v>0</v>
      </c>
      <c r="R648" s="2">
        <v>0</v>
      </c>
      <c r="S648" s="2">
        <v>1</v>
      </c>
      <c r="T648" s="2">
        <v>2</v>
      </c>
      <c r="U648" s="2">
        <v>1</v>
      </c>
      <c r="V648" s="2">
        <v>0</v>
      </c>
      <c r="W648" s="2">
        <v>32</v>
      </c>
      <c r="X648" s="2">
        <v>0</v>
      </c>
      <c r="Y648" s="2">
        <v>0</v>
      </c>
      <c r="Z648" s="2">
        <v>1</v>
      </c>
      <c r="AA648" s="2">
        <v>2</v>
      </c>
      <c r="AB648" s="2">
        <v>2</v>
      </c>
      <c r="AC648" s="2">
        <v>1</v>
      </c>
      <c r="AD648" s="2">
        <v>0</v>
      </c>
      <c r="AE648" s="2">
        <v>0</v>
      </c>
      <c r="AF648" s="2">
        <v>1</v>
      </c>
    </row>
    <row r="649" spans="1:32" x14ac:dyDescent="0.25">
      <c r="A649">
        <v>648</v>
      </c>
      <c r="B649" s="2">
        <v>3</v>
      </c>
      <c r="C649" s="2">
        <v>12</v>
      </c>
      <c r="D649" s="2">
        <v>2</v>
      </c>
      <c r="E649" s="2">
        <v>1</v>
      </c>
      <c r="F649" s="2">
        <v>0</v>
      </c>
      <c r="G649" s="2">
        <v>0</v>
      </c>
      <c r="H649" s="2">
        <v>0</v>
      </c>
      <c r="I649" s="2">
        <v>0</v>
      </c>
      <c r="J649" s="2">
        <v>0</v>
      </c>
      <c r="K649" s="2">
        <v>1386</v>
      </c>
      <c r="L649" s="2">
        <v>2</v>
      </c>
      <c r="M649" s="2">
        <v>2</v>
      </c>
      <c r="N649" s="2">
        <v>2</v>
      </c>
      <c r="O649" s="2">
        <v>0</v>
      </c>
      <c r="P649" s="2">
        <v>0</v>
      </c>
      <c r="Q649" s="2">
        <v>0</v>
      </c>
      <c r="R649" s="2">
        <v>0</v>
      </c>
      <c r="S649" s="2">
        <v>0</v>
      </c>
      <c r="T649" s="2">
        <v>2</v>
      </c>
      <c r="U649" s="2">
        <v>0</v>
      </c>
      <c r="V649" s="2">
        <v>0</v>
      </c>
      <c r="W649" s="2">
        <v>26</v>
      </c>
      <c r="X649" s="2">
        <v>0</v>
      </c>
      <c r="Y649" s="2">
        <v>0</v>
      </c>
      <c r="Z649" s="2">
        <v>1</v>
      </c>
      <c r="AA649" s="2">
        <v>1</v>
      </c>
      <c r="AB649" s="2">
        <v>2</v>
      </c>
      <c r="AC649" s="2">
        <v>1</v>
      </c>
      <c r="AD649" s="2">
        <v>0</v>
      </c>
      <c r="AE649" s="2">
        <v>0</v>
      </c>
      <c r="AF649" s="2">
        <v>0</v>
      </c>
    </row>
    <row r="650" spans="1:32" x14ac:dyDescent="0.25">
      <c r="A650">
        <v>649</v>
      </c>
      <c r="B650" s="2">
        <v>2</v>
      </c>
      <c r="C650" s="2">
        <v>24</v>
      </c>
      <c r="D650" s="2">
        <v>2</v>
      </c>
      <c r="E650" s="2">
        <v>1</v>
      </c>
      <c r="F650" s="2">
        <v>0</v>
      </c>
      <c r="G650" s="2">
        <v>0</v>
      </c>
      <c r="H650" s="2">
        <v>0</v>
      </c>
      <c r="I650" s="2">
        <v>0</v>
      </c>
      <c r="J650" s="2">
        <v>0</v>
      </c>
      <c r="K650" s="2">
        <v>947</v>
      </c>
      <c r="L650" s="2">
        <v>0</v>
      </c>
      <c r="M650" s="2">
        <v>3</v>
      </c>
      <c r="N650" s="2">
        <v>4</v>
      </c>
      <c r="O650" s="2">
        <v>0</v>
      </c>
      <c r="P650" s="2">
        <v>1</v>
      </c>
      <c r="Q650" s="2">
        <v>0</v>
      </c>
      <c r="R650" s="2">
        <v>0</v>
      </c>
      <c r="S650" s="2">
        <v>0</v>
      </c>
      <c r="T650" s="2">
        <v>3</v>
      </c>
      <c r="U650" s="2">
        <v>0</v>
      </c>
      <c r="V650" s="2">
        <v>1</v>
      </c>
      <c r="W650" s="2">
        <v>38</v>
      </c>
      <c r="X650" s="2">
        <v>1</v>
      </c>
      <c r="Y650" s="2">
        <v>0</v>
      </c>
      <c r="Z650" s="2">
        <v>0</v>
      </c>
      <c r="AA650" s="2">
        <v>1</v>
      </c>
      <c r="AB650" s="2">
        <v>2</v>
      </c>
      <c r="AC650" s="2">
        <v>2</v>
      </c>
      <c r="AD650" s="2">
        <v>0</v>
      </c>
      <c r="AE650" s="2">
        <v>0</v>
      </c>
      <c r="AF650" s="2">
        <v>0</v>
      </c>
    </row>
    <row r="651" spans="1:32" x14ac:dyDescent="0.25">
      <c r="A651">
        <v>650</v>
      </c>
      <c r="B651" s="2">
        <v>0</v>
      </c>
      <c r="C651" s="2">
        <v>12</v>
      </c>
      <c r="D651" s="2">
        <v>2</v>
      </c>
      <c r="E651" s="2">
        <v>0</v>
      </c>
      <c r="F651" s="2">
        <v>0</v>
      </c>
      <c r="G651" s="2">
        <v>0</v>
      </c>
      <c r="H651" s="2">
        <v>0</v>
      </c>
      <c r="I651" s="2">
        <v>1</v>
      </c>
      <c r="J651" s="2">
        <v>0</v>
      </c>
      <c r="K651" s="2">
        <v>684</v>
      </c>
      <c r="L651" s="2">
        <v>0</v>
      </c>
      <c r="M651" s="2">
        <v>2</v>
      </c>
      <c r="N651" s="2">
        <v>4</v>
      </c>
      <c r="O651" s="2">
        <v>0</v>
      </c>
      <c r="P651" s="2">
        <v>1</v>
      </c>
      <c r="Q651" s="2">
        <v>0</v>
      </c>
      <c r="R651" s="2">
        <v>0</v>
      </c>
      <c r="S651" s="2">
        <v>0</v>
      </c>
      <c r="T651" s="2">
        <v>4</v>
      </c>
      <c r="U651" s="2">
        <v>0</v>
      </c>
      <c r="V651" s="2">
        <v>0</v>
      </c>
      <c r="W651" s="2">
        <v>40</v>
      </c>
      <c r="X651" s="2">
        <v>0</v>
      </c>
      <c r="Y651" s="2">
        <v>1</v>
      </c>
      <c r="Z651" s="2">
        <v>0</v>
      </c>
      <c r="AA651" s="2">
        <v>1</v>
      </c>
      <c r="AB651" s="2">
        <v>1</v>
      </c>
      <c r="AC651" s="2">
        <v>2</v>
      </c>
      <c r="AD651" s="2">
        <v>0</v>
      </c>
      <c r="AE651" s="2">
        <v>0</v>
      </c>
      <c r="AF651" s="2">
        <v>0</v>
      </c>
    </row>
    <row r="652" spans="1:32" x14ac:dyDescent="0.25">
      <c r="A652">
        <v>651</v>
      </c>
      <c r="B652" s="2">
        <v>0</v>
      </c>
      <c r="C652" s="2">
        <v>48</v>
      </c>
      <c r="D652" s="2">
        <v>2</v>
      </c>
      <c r="E652" s="2">
        <v>0</v>
      </c>
      <c r="F652" s="2">
        <v>0</v>
      </c>
      <c r="G652" s="2">
        <v>0</v>
      </c>
      <c r="H652" s="2">
        <v>0</v>
      </c>
      <c r="I652" s="2">
        <v>1</v>
      </c>
      <c r="J652" s="2">
        <v>0</v>
      </c>
      <c r="K652" s="2">
        <v>7476</v>
      </c>
      <c r="L652" s="2">
        <v>0</v>
      </c>
      <c r="M652" s="2">
        <v>3</v>
      </c>
      <c r="N652" s="2">
        <v>4</v>
      </c>
      <c r="O652" s="2">
        <v>0</v>
      </c>
      <c r="P652" s="2">
        <v>1</v>
      </c>
      <c r="Q652" s="2">
        <v>0</v>
      </c>
      <c r="R652" s="2">
        <v>0</v>
      </c>
      <c r="S652" s="2">
        <v>0</v>
      </c>
      <c r="T652" s="2">
        <v>1</v>
      </c>
      <c r="U652" s="2">
        <v>0</v>
      </c>
      <c r="V652" s="2">
        <v>1</v>
      </c>
      <c r="W652" s="2">
        <v>50</v>
      </c>
      <c r="X652" s="2">
        <v>0</v>
      </c>
      <c r="Y652" s="2">
        <v>0</v>
      </c>
      <c r="Z652" s="2">
        <v>0</v>
      </c>
      <c r="AA652" s="2">
        <v>1</v>
      </c>
      <c r="AB652" s="2">
        <v>3</v>
      </c>
      <c r="AC652" s="2">
        <v>1</v>
      </c>
      <c r="AD652" s="2">
        <v>1</v>
      </c>
      <c r="AE652" s="2">
        <v>0</v>
      </c>
      <c r="AF652" s="2">
        <v>1</v>
      </c>
    </row>
    <row r="653" spans="1:32" x14ac:dyDescent="0.25">
      <c r="A653">
        <v>652</v>
      </c>
      <c r="B653" s="2">
        <v>1</v>
      </c>
      <c r="C653" s="2">
        <v>12</v>
      </c>
      <c r="D653" s="2">
        <v>2</v>
      </c>
      <c r="E653" s="2">
        <v>0</v>
      </c>
      <c r="F653" s="2">
        <v>0</v>
      </c>
      <c r="G653" s="2">
        <v>1</v>
      </c>
      <c r="H653" s="2">
        <v>0</v>
      </c>
      <c r="I653" s="2">
        <v>0</v>
      </c>
      <c r="J653" s="2">
        <v>0</v>
      </c>
      <c r="K653" s="2">
        <v>1922</v>
      </c>
      <c r="L653" s="2">
        <v>0</v>
      </c>
      <c r="M653" s="2">
        <v>2</v>
      </c>
      <c r="N653" s="2">
        <v>4</v>
      </c>
      <c r="O653" s="2">
        <v>0</v>
      </c>
      <c r="P653" s="2">
        <v>1</v>
      </c>
      <c r="Q653" s="2">
        <v>0</v>
      </c>
      <c r="R653" s="2">
        <v>0</v>
      </c>
      <c r="S653" s="2">
        <v>0</v>
      </c>
      <c r="T653" s="2">
        <v>2</v>
      </c>
      <c r="U653" s="2">
        <v>0</v>
      </c>
      <c r="V653" s="2">
        <v>0</v>
      </c>
      <c r="W653" s="2">
        <v>37</v>
      </c>
      <c r="X653" s="2">
        <v>0</v>
      </c>
      <c r="Y653" s="2">
        <v>0</v>
      </c>
      <c r="Z653" s="2">
        <v>1</v>
      </c>
      <c r="AA653" s="2">
        <v>1</v>
      </c>
      <c r="AB653" s="2">
        <v>1</v>
      </c>
      <c r="AC653" s="2">
        <v>1</v>
      </c>
      <c r="AD653" s="2">
        <v>0</v>
      </c>
      <c r="AE653" s="2">
        <v>0</v>
      </c>
      <c r="AF653" s="2">
        <v>0</v>
      </c>
    </row>
    <row r="654" spans="1:32" x14ac:dyDescent="0.25">
      <c r="A654">
        <v>653</v>
      </c>
      <c r="B654" s="2">
        <v>0</v>
      </c>
      <c r="C654" s="2">
        <v>24</v>
      </c>
      <c r="D654" s="2">
        <v>2</v>
      </c>
      <c r="E654" s="2">
        <v>1</v>
      </c>
      <c r="F654" s="2">
        <v>0</v>
      </c>
      <c r="G654" s="2">
        <v>0</v>
      </c>
      <c r="H654" s="2">
        <v>0</v>
      </c>
      <c r="I654" s="2">
        <v>0</v>
      </c>
      <c r="J654" s="2">
        <v>0</v>
      </c>
      <c r="K654" s="2">
        <v>2303</v>
      </c>
      <c r="L654" s="2">
        <v>0</v>
      </c>
      <c r="M654" s="2">
        <v>4</v>
      </c>
      <c r="N654" s="2">
        <v>4</v>
      </c>
      <c r="O654" s="2">
        <v>0</v>
      </c>
      <c r="P654" s="2">
        <v>1</v>
      </c>
      <c r="Q654" s="2">
        <v>0</v>
      </c>
      <c r="R654" s="2">
        <v>1</v>
      </c>
      <c r="S654" s="2">
        <v>0</v>
      </c>
      <c r="T654" s="2">
        <v>1</v>
      </c>
      <c r="U654" s="2">
        <v>1</v>
      </c>
      <c r="V654" s="2">
        <v>0</v>
      </c>
      <c r="W654" s="2">
        <v>45</v>
      </c>
      <c r="X654" s="2">
        <v>0</v>
      </c>
      <c r="Y654" s="2">
        <v>0</v>
      </c>
      <c r="Z654" s="2">
        <v>1</v>
      </c>
      <c r="AA654" s="2">
        <v>1</v>
      </c>
      <c r="AB654" s="2">
        <v>2</v>
      </c>
      <c r="AC654" s="2">
        <v>1</v>
      </c>
      <c r="AD654" s="2">
        <v>0</v>
      </c>
      <c r="AE654" s="2">
        <v>0</v>
      </c>
      <c r="AF654" s="2">
        <v>0</v>
      </c>
    </row>
    <row r="655" spans="1:32" x14ac:dyDescent="0.25">
      <c r="A655">
        <v>654</v>
      </c>
      <c r="B655" s="2">
        <v>1</v>
      </c>
      <c r="C655" s="2">
        <v>36</v>
      </c>
      <c r="D655" s="2">
        <v>3</v>
      </c>
      <c r="E655" s="2">
        <v>1</v>
      </c>
      <c r="F655" s="2">
        <v>0</v>
      </c>
      <c r="G655" s="2">
        <v>0</v>
      </c>
      <c r="H655" s="2">
        <v>0</v>
      </c>
      <c r="I655" s="2">
        <v>0</v>
      </c>
      <c r="J655" s="2">
        <v>0</v>
      </c>
      <c r="K655" s="2">
        <v>8086</v>
      </c>
      <c r="L655" s="2">
        <v>1</v>
      </c>
      <c r="M655" s="2">
        <v>4</v>
      </c>
      <c r="N655" s="2">
        <v>2</v>
      </c>
      <c r="O655" s="2">
        <v>0</v>
      </c>
      <c r="P655" s="2">
        <v>1</v>
      </c>
      <c r="Q655" s="2">
        <v>0</v>
      </c>
      <c r="R655" s="2">
        <v>0</v>
      </c>
      <c r="S655" s="2">
        <v>0</v>
      </c>
      <c r="T655" s="2">
        <v>4</v>
      </c>
      <c r="U655" s="2">
        <v>0</v>
      </c>
      <c r="V655" s="2">
        <v>0</v>
      </c>
      <c r="W655" s="2">
        <v>42</v>
      </c>
      <c r="X655" s="2">
        <v>0</v>
      </c>
      <c r="Y655" s="2">
        <v>0</v>
      </c>
      <c r="Z655" s="2">
        <v>1</v>
      </c>
      <c r="AA655" s="2">
        <v>4</v>
      </c>
      <c r="AB655" s="2">
        <v>3</v>
      </c>
      <c r="AC655" s="2">
        <v>1</v>
      </c>
      <c r="AD655" s="2">
        <v>1</v>
      </c>
      <c r="AE655" s="2">
        <v>0</v>
      </c>
      <c r="AF655" s="2">
        <v>0</v>
      </c>
    </row>
    <row r="656" spans="1:32" x14ac:dyDescent="0.25">
      <c r="A656">
        <v>655</v>
      </c>
      <c r="B656" s="2">
        <v>3</v>
      </c>
      <c r="C656" s="2">
        <v>24</v>
      </c>
      <c r="D656" s="2">
        <v>4</v>
      </c>
      <c r="E656" s="2">
        <v>0</v>
      </c>
      <c r="F656" s="2">
        <v>1</v>
      </c>
      <c r="G656" s="2">
        <v>0</v>
      </c>
      <c r="H656" s="2">
        <v>0</v>
      </c>
      <c r="I656" s="2">
        <v>0</v>
      </c>
      <c r="J656" s="2">
        <v>0</v>
      </c>
      <c r="K656" s="2">
        <v>2346</v>
      </c>
      <c r="L656" s="2">
        <v>0</v>
      </c>
      <c r="M656" s="2">
        <v>3</v>
      </c>
      <c r="N656" s="2">
        <v>4</v>
      </c>
      <c r="O656" s="2">
        <v>0</v>
      </c>
      <c r="P656" s="2">
        <v>1</v>
      </c>
      <c r="Q656" s="2">
        <v>0</v>
      </c>
      <c r="R656" s="2">
        <v>0</v>
      </c>
      <c r="S656" s="2">
        <v>0</v>
      </c>
      <c r="T656" s="2">
        <v>3</v>
      </c>
      <c r="U656" s="2">
        <v>0</v>
      </c>
      <c r="V656" s="2">
        <v>0</v>
      </c>
      <c r="W656" s="2">
        <v>35</v>
      </c>
      <c r="X656" s="2">
        <v>0</v>
      </c>
      <c r="Y656" s="2">
        <v>0</v>
      </c>
      <c r="Z656" s="2">
        <v>1</v>
      </c>
      <c r="AA656" s="2">
        <v>2</v>
      </c>
      <c r="AB656" s="2">
        <v>2</v>
      </c>
      <c r="AC656" s="2">
        <v>1</v>
      </c>
      <c r="AD656" s="2">
        <v>1</v>
      </c>
      <c r="AE656" s="2">
        <v>0</v>
      </c>
      <c r="AF656" s="2">
        <v>1</v>
      </c>
    </row>
    <row r="657" spans="1:32" x14ac:dyDescent="0.25">
      <c r="A657">
        <v>656</v>
      </c>
      <c r="B657" s="2">
        <v>0</v>
      </c>
      <c r="C657" s="2">
        <v>14</v>
      </c>
      <c r="D657" s="2">
        <v>2</v>
      </c>
      <c r="E657" s="2">
        <v>1</v>
      </c>
      <c r="F657" s="2">
        <v>0</v>
      </c>
      <c r="G657" s="2">
        <v>0</v>
      </c>
      <c r="H657" s="2">
        <v>0</v>
      </c>
      <c r="I657" s="2">
        <v>0</v>
      </c>
      <c r="J657" s="2">
        <v>0</v>
      </c>
      <c r="K657" s="2">
        <v>3973</v>
      </c>
      <c r="L657" s="2">
        <v>0</v>
      </c>
      <c r="M657" s="2">
        <v>0</v>
      </c>
      <c r="N657" s="2">
        <v>1</v>
      </c>
      <c r="O657" s="2">
        <v>0</v>
      </c>
      <c r="P657" s="2">
        <v>1</v>
      </c>
      <c r="Q657" s="2">
        <v>0</v>
      </c>
      <c r="R657" s="2">
        <v>0</v>
      </c>
      <c r="S657" s="2">
        <v>0</v>
      </c>
      <c r="T657" s="2">
        <v>4</v>
      </c>
      <c r="U657" s="2">
        <v>0</v>
      </c>
      <c r="V657" s="2">
        <v>1</v>
      </c>
      <c r="W657" s="2">
        <v>22</v>
      </c>
      <c r="X657" s="2">
        <v>0</v>
      </c>
      <c r="Y657" s="2">
        <v>0</v>
      </c>
      <c r="Z657" s="2">
        <v>0</v>
      </c>
      <c r="AA657" s="2">
        <v>1</v>
      </c>
      <c r="AB657" s="2">
        <v>2</v>
      </c>
      <c r="AC657" s="2">
        <v>1</v>
      </c>
      <c r="AD657" s="2">
        <v>0</v>
      </c>
      <c r="AE657" s="2">
        <v>0</v>
      </c>
      <c r="AF657" s="2">
        <v>1</v>
      </c>
    </row>
    <row r="658" spans="1:32" x14ac:dyDescent="0.25">
      <c r="A658">
        <v>657</v>
      </c>
      <c r="B658" s="2">
        <v>1</v>
      </c>
      <c r="C658" s="2">
        <v>12</v>
      </c>
      <c r="D658" s="2">
        <v>2</v>
      </c>
      <c r="E658" s="2">
        <v>1</v>
      </c>
      <c r="F658" s="2">
        <v>0</v>
      </c>
      <c r="G658" s="2">
        <v>0</v>
      </c>
      <c r="H658" s="2">
        <v>0</v>
      </c>
      <c r="I658" s="2">
        <v>0</v>
      </c>
      <c r="J658" s="2">
        <v>0</v>
      </c>
      <c r="K658" s="2">
        <v>888</v>
      </c>
      <c r="L658" s="2">
        <v>0</v>
      </c>
      <c r="M658" s="2">
        <v>4</v>
      </c>
      <c r="N658" s="2">
        <v>4</v>
      </c>
      <c r="O658" s="2">
        <v>0</v>
      </c>
      <c r="P658" s="2">
        <v>1</v>
      </c>
      <c r="Q658" s="2">
        <v>0</v>
      </c>
      <c r="R658" s="2">
        <v>0</v>
      </c>
      <c r="S658" s="2">
        <v>0</v>
      </c>
      <c r="T658" s="2">
        <v>4</v>
      </c>
      <c r="U658" s="2">
        <v>0</v>
      </c>
      <c r="V658" s="2">
        <v>0</v>
      </c>
      <c r="W658" s="2">
        <v>41</v>
      </c>
      <c r="X658" s="2">
        <v>1</v>
      </c>
      <c r="Y658" s="2">
        <v>0</v>
      </c>
      <c r="Z658" s="2">
        <v>1</v>
      </c>
      <c r="AA658" s="2">
        <v>1</v>
      </c>
      <c r="AB658" s="2">
        <v>1</v>
      </c>
      <c r="AC658" s="2">
        <v>2</v>
      </c>
      <c r="AD658" s="2">
        <v>0</v>
      </c>
      <c r="AE658" s="2">
        <v>0</v>
      </c>
      <c r="AF658" s="2">
        <v>0</v>
      </c>
    </row>
    <row r="659" spans="1:32" x14ac:dyDescent="0.25">
      <c r="A659">
        <v>658</v>
      </c>
      <c r="B659" s="2">
        <v>3</v>
      </c>
      <c r="C659" s="2">
        <v>48</v>
      </c>
      <c r="D659" s="2">
        <v>2</v>
      </c>
      <c r="E659" s="2">
        <v>0</v>
      </c>
      <c r="F659" s="2">
        <v>0</v>
      </c>
      <c r="G659" s="2">
        <v>0</v>
      </c>
      <c r="H659" s="2">
        <v>1</v>
      </c>
      <c r="I659" s="2">
        <v>0</v>
      </c>
      <c r="J659" s="2">
        <v>0</v>
      </c>
      <c r="K659" s="2">
        <v>10222</v>
      </c>
      <c r="L659" s="2">
        <v>4</v>
      </c>
      <c r="M659" s="2">
        <v>3</v>
      </c>
      <c r="N659" s="2">
        <v>4</v>
      </c>
      <c r="O659" s="2">
        <v>0</v>
      </c>
      <c r="P659" s="2">
        <v>1</v>
      </c>
      <c r="Q659" s="2">
        <v>0</v>
      </c>
      <c r="R659" s="2">
        <v>0</v>
      </c>
      <c r="S659" s="2">
        <v>0</v>
      </c>
      <c r="T659" s="2">
        <v>3</v>
      </c>
      <c r="U659" s="2">
        <v>0</v>
      </c>
      <c r="V659" s="2">
        <v>0</v>
      </c>
      <c r="W659" s="2">
        <v>37</v>
      </c>
      <c r="X659" s="2">
        <v>1</v>
      </c>
      <c r="Y659" s="2">
        <v>0</v>
      </c>
      <c r="Z659" s="2">
        <v>1</v>
      </c>
      <c r="AA659" s="2">
        <v>1</v>
      </c>
      <c r="AB659" s="2">
        <v>2</v>
      </c>
      <c r="AC659" s="2">
        <v>1</v>
      </c>
      <c r="AD659" s="2">
        <v>1</v>
      </c>
      <c r="AE659" s="2">
        <v>0</v>
      </c>
      <c r="AF659" s="2">
        <v>1</v>
      </c>
    </row>
    <row r="660" spans="1:32" x14ac:dyDescent="0.25">
      <c r="A660">
        <v>659</v>
      </c>
      <c r="B660" s="2">
        <v>1</v>
      </c>
      <c r="C660" s="2">
        <v>30</v>
      </c>
      <c r="D660" s="2">
        <v>0</v>
      </c>
      <c r="E660" s="2">
        <v>0</v>
      </c>
      <c r="F660" s="2">
        <v>0</v>
      </c>
      <c r="G660" s="2">
        <v>0</v>
      </c>
      <c r="H660" s="2">
        <v>0</v>
      </c>
      <c r="I660" s="2">
        <v>0</v>
      </c>
      <c r="J660" s="2">
        <v>1</v>
      </c>
      <c r="K660" s="2">
        <v>4221</v>
      </c>
      <c r="L660" s="2">
        <v>0</v>
      </c>
      <c r="M660" s="2">
        <v>2</v>
      </c>
      <c r="N660" s="2">
        <v>2</v>
      </c>
      <c r="O660" s="2">
        <v>0</v>
      </c>
      <c r="P660" s="2">
        <v>0</v>
      </c>
      <c r="Q660" s="2">
        <v>0</v>
      </c>
      <c r="R660" s="2">
        <v>0</v>
      </c>
      <c r="S660" s="2">
        <v>0</v>
      </c>
      <c r="T660" s="2">
        <v>1</v>
      </c>
      <c r="U660" s="2">
        <v>0</v>
      </c>
      <c r="V660" s="2">
        <v>0</v>
      </c>
      <c r="W660" s="2">
        <v>28</v>
      </c>
      <c r="X660" s="2">
        <v>0</v>
      </c>
      <c r="Y660" s="2">
        <v>0</v>
      </c>
      <c r="Z660" s="2">
        <v>1</v>
      </c>
      <c r="AA660" s="2">
        <v>2</v>
      </c>
      <c r="AB660" s="2">
        <v>2</v>
      </c>
      <c r="AC660" s="2">
        <v>1</v>
      </c>
      <c r="AD660" s="2">
        <v>0</v>
      </c>
      <c r="AE660" s="2">
        <v>0</v>
      </c>
      <c r="AF660" s="2">
        <v>1</v>
      </c>
    </row>
    <row r="661" spans="1:32" x14ac:dyDescent="0.25">
      <c r="A661">
        <v>660</v>
      </c>
      <c r="B661" s="2">
        <v>1</v>
      </c>
      <c r="C661" s="2">
        <v>18</v>
      </c>
      <c r="D661" s="2">
        <v>4</v>
      </c>
      <c r="E661" s="2">
        <v>0</v>
      </c>
      <c r="F661" s="2">
        <v>0</v>
      </c>
      <c r="G661" s="2">
        <v>1</v>
      </c>
      <c r="H661" s="2">
        <v>0</v>
      </c>
      <c r="I661" s="2">
        <v>0</v>
      </c>
      <c r="J661" s="2">
        <v>0</v>
      </c>
      <c r="K661" s="2">
        <v>6361</v>
      </c>
      <c r="L661" s="2">
        <v>0</v>
      </c>
      <c r="M661" s="2">
        <v>4</v>
      </c>
      <c r="N661" s="2">
        <v>2</v>
      </c>
      <c r="O661" s="2">
        <v>0</v>
      </c>
      <c r="P661" s="2">
        <v>1</v>
      </c>
      <c r="Q661" s="2">
        <v>0</v>
      </c>
      <c r="R661" s="2">
        <v>0</v>
      </c>
      <c r="S661" s="2">
        <v>0</v>
      </c>
      <c r="T661" s="2">
        <v>1</v>
      </c>
      <c r="U661" s="2">
        <v>0</v>
      </c>
      <c r="V661" s="2">
        <v>1</v>
      </c>
      <c r="W661" s="2">
        <v>41</v>
      </c>
      <c r="X661" s="2">
        <v>0</v>
      </c>
      <c r="Y661" s="2">
        <v>0</v>
      </c>
      <c r="Z661" s="2">
        <v>1</v>
      </c>
      <c r="AA661" s="2">
        <v>1</v>
      </c>
      <c r="AB661" s="2">
        <v>2</v>
      </c>
      <c r="AC661" s="2">
        <v>1</v>
      </c>
      <c r="AD661" s="2">
        <v>1</v>
      </c>
      <c r="AE661" s="2">
        <v>0</v>
      </c>
      <c r="AF661" s="2">
        <v>1</v>
      </c>
    </row>
    <row r="662" spans="1:32" x14ac:dyDescent="0.25">
      <c r="A662">
        <v>661</v>
      </c>
      <c r="B662" s="2">
        <v>2</v>
      </c>
      <c r="C662" s="2">
        <v>12</v>
      </c>
      <c r="D662" s="2">
        <v>2</v>
      </c>
      <c r="E662" s="2">
        <v>0</v>
      </c>
      <c r="F662" s="2">
        <v>0</v>
      </c>
      <c r="G662" s="2">
        <v>0</v>
      </c>
      <c r="H662" s="2">
        <v>1</v>
      </c>
      <c r="I662" s="2">
        <v>0</v>
      </c>
      <c r="J662" s="2">
        <v>0</v>
      </c>
      <c r="K662" s="2">
        <v>1297</v>
      </c>
      <c r="L662" s="2">
        <v>0</v>
      </c>
      <c r="M662" s="2">
        <v>2</v>
      </c>
      <c r="N662" s="2">
        <v>3</v>
      </c>
      <c r="O662" s="2">
        <v>0</v>
      </c>
      <c r="P662" s="2">
        <v>0</v>
      </c>
      <c r="Q662" s="2">
        <v>1</v>
      </c>
      <c r="R662" s="2">
        <v>0</v>
      </c>
      <c r="S662" s="2">
        <v>0</v>
      </c>
      <c r="T662" s="2">
        <v>4</v>
      </c>
      <c r="U662" s="2">
        <v>1</v>
      </c>
      <c r="V662" s="2">
        <v>0</v>
      </c>
      <c r="W662" s="2">
        <v>23</v>
      </c>
      <c r="X662" s="2">
        <v>0</v>
      </c>
      <c r="Y662" s="2">
        <v>1</v>
      </c>
      <c r="Z662" s="2">
        <v>0</v>
      </c>
      <c r="AA662" s="2">
        <v>1</v>
      </c>
      <c r="AB662" s="2">
        <v>2</v>
      </c>
      <c r="AC662" s="2">
        <v>1</v>
      </c>
      <c r="AD662" s="2">
        <v>0</v>
      </c>
      <c r="AE662" s="2">
        <v>0</v>
      </c>
      <c r="AF662" s="2">
        <v>1</v>
      </c>
    </row>
    <row r="663" spans="1:32" x14ac:dyDescent="0.25">
      <c r="A663">
        <v>662</v>
      </c>
      <c r="B663" s="2">
        <v>0</v>
      </c>
      <c r="C663" s="2">
        <v>12</v>
      </c>
      <c r="D663" s="2">
        <v>2</v>
      </c>
      <c r="E663" s="2">
        <v>1</v>
      </c>
      <c r="F663" s="2">
        <v>0</v>
      </c>
      <c r="G663" s="2">
        <v>0</v>
      </c>
      <c r="H663" s="2">
        <v>0</v>
      </c>
      <c r="I663" s="2">
        <v>0</v>
      </c>
      <c r="J663" s="2">
        <v>0</v>
      </c>
      <c r="K663" s="2">
        <v>900</v>
      </c>
      <c r="L663" s="2">
        <v>4</v>
      </c>
      <c r="M663" s="2">
        <v>2</v>
      </c>
      <c r="N663" s="2">
        <v>4</v>
      </c>
      <c r="O663" s="2">
        <v>0</v>
      </c>
      <c r="P663" s="2">
        <v>0</v>
      </c>
      <c r="Q663" s="2">
        <v>1</v>
      </c>
      <c r="R663" s="2">
        <v>0</v>
      </c>
      <c r="S663" s="2">
        <v>0</v>
      </c>
      <c r="T663" s="2">
        <v>2</v>
      </c>
      <c r="U663" s="2">
        <v>0</v>
      </c>
      <c r="V663" s="2">
        <v>0</v>
      </c>
      <c r="W663" s="2">
        <v>23</v>
      </c>
      <c r="X663" s="2">
        <v>0</v>
      </c>
      <c r="Y663" s="2">
        <v>0</v>
      </c>
      <c r="Z663" s="2">
        <v>1</v>
      </c>
      <c r="AA663" s="2">
        <v>1</v>
      </c>
      <c r="AB663" s="2">
        <v>2</v>
      </c>
      <c r="AC663" s="2">
        <v>1</v>
      </c>
      <c r="AD663" s="2">
        <v>0</v>
      </c>
      <c r="AE663" s="2">
        <v>0</v>
      </c>
      <c r="AF663" s="2">
        <v>0</v>
      </c>
    </row>
    <row r="664" spans="1:32" x14ac:dyDescent="0.25">
      <c r="A664">
        <v>663</v>
      </c>
      <c r="B664" s="2">
        <v>3</v>
      </c>
      <c r="C664" s="2">
        <v>21</v>
      </c>
      <c r="D664" s="2">
        <v>2</v>
      </c>
      <c r="E664" s="2">
        <v>0</v>
      </c>
      <c r="F664" s="2">
        <v>0</v>
      </c>
      <c r="G664" s="2">
        <v>1</v>
      </c>
      <c r="H664" s="2">
        <v>0</v>
      </c>
      <c r="I664" s="2">
        <v>0</v>
      </c>
      <c r="J664" s="2">
        <v>0</v>
      </c>
      <c r="K664" s="2">
        <v>2241</v>
      </c>
      <c r="L664" s="2">
        <v>0</v>
      </c>
      <c r="M664" s="2">
        <v>4</v>
      </c>
      <c r="N664" s="2">
        <v>4</v>
      </c>
      <c r="O664" s="2">
        <v>0</v>
      </c>
      <c r="P664" s="2">
        <v>1</v>
      </c>
      <c r="Q664" s="2">
        <v>0</v>
      </c>
      <c r="R664" s="2">
        <v>0</v>
      </c>
      <c r="S664" s="2">
        <v>0</v>
      </c>
      <c r="T664" s="2">
        <v>2</v>
      </c>
      <c r="U664" s="2">
        <v>1</v>
      </c>
      <c r="V664" s="2">
        <v>0</v>
      </c>
      <c r="W664" s="2">
        <v>50</v>
      </c>
      <c r="X664" s="2">
        <v>0</v>
      </c>
      <c r="Y664" s="2">
        <v>0</v>
      </c>
      <c r="Z664" s="2">
        <v>1</v>
      </c>
      <c r="AA664" s="2">
        <v>2</v>
      </c>
      <c r="AB664" s="2">
        <v>2</v>
      </c>
      <c r="AC664" s="2">
        <v>1</v>
      </c>
      <c r="AD664" s="2">
        <v>0</v>
      </c>
      <c r="AE664" s="2">
        <v>0</v>
      </c>
      <c r="AF664" s="2">
        <v>1</v>
      </c>
    </row>
    <row r="665" spans="1:32" x14ac:dyDescent="0.25">
      <c r="A665">
        <v>664</v>
      </c>
      <c r="B665" s="2">
        <v>1</v>
      </c>
      <c r="C665" s="2">
        <v>6</v>
      </c>
      <c r="D665" s="2">
        <v>3</v>
      </c>
      <c r="E665" s="2">
        <v>0</v>
      </c>
      <c r="F665" s="2">
        <v>0</v>
      </c>
      <c r="G665" s="2">
        <v>1</v>
      </c>
      <c r="H665" s="2">
        <v>0</v>
      </c>
      <c r="I665" s="2">
        <v>0</v>
      </c>
      <c r="J665" s="2">
        <v>0</v>
      </c>
      <c r="K665" s="2">
        <v>1050</v>
      </c>
      <c r="L665" s="2">
        <v>0</v>
      </c>
      <c r="M665" s="2">
        <v>0</v>
      </c>
      <c r="N665" s="2">
        <v>4</v>
      </c>
      <c r="O665" s="2">
        <v>0</v>
      </c>
      <c r="P665" s="2">
        <v>1</v>
      </c>
      <c r="Q665" s="2">
        <v>0</v>
      </c>
      <c r="R665" s="2">
        <v>0</v>
      </c>
      <c r="S665" s="2">
        <v>0</v>
      </c>
      <c r="T665" s="2">
        <v>1</v>
      </c>
      <c r="U665" s="2">
        <v>0</v>
      </c>
      <c r="V665" s="2">
        <v>0</v>
      </c>
      <c r="W665" s="2">
        <v>35</v>
      </c>
      <c r="X665" s="2">
        <v>1</v>
      </c>
      <c r="Y665" s="2">
        <v>0</v>
      </c>
      <c r="Z665" s="2">
        <v>1</v>
      </c>
      <c r="AA665" s="2">
        <v>2</v>
      </c>
      <c r="AB665" s="2">
        <v>3</v>
      </c>
      <c r="AC665" s="2">
        <v>1</v>
      </c>
      <c r="AD665" s="2">
        <v>1</v>
      </c>
      <c r="AE665" s="2">
        <v>0</v>
      </c>
      <c r="AF665" s="2">
        <v>1</v>
      </c>
    </row>
    <row r="666" spans="1:32" x14ac:dyDescent="0.25">
      <c r="A666">
        <v>665</v>
      </c>
      <c r="B666" s="2">
        <v>2</v>
      </c>
      <c r="C666" s="2">
        <v>6</v>
      </c>
      <c r="D666" s="2">
        <v>4</v>
      </c>
      <c r="E666" s="2">
        <v>0</v>
      </c>
      <c r="F666" s="2">
        <v>0</v>
      </c>
      <c r="G666" s="2">
        <v>0</v>
      </c>
      <c r="H666" s="2">
        <v>0</v>
      </c>
      <c r="I666" s="2">
        <v>1</v>
      </c>
      <c r="J666" s="2">
        <v>0</v>
      </c>
      <c r="K666" s="2">
        <v>1047</v>
      </c>
      <c r="L666" s="2">
        <v>0</v>
      </c>
      <c r="M666" s="2">
        <v>2</v>
      </c>
      <c r="N666" s="2">
        <v>2</v>
      </c>
      <c r="O666" s="2">
        <v>0</v>
      </c>
      <c r="P666" s="2">
        <v>0</v>
      </c>
      <c r="Q666" s="2">
        <v>0</v>
      </c>
      <c r="R666" s="2">
        <v>0</v>
      </c>
      <c r="S666" s="2">
        <v>0</v>
      </c>
      <c r="T666" s="2">
        <v>4</v>
      </c>
      <c r="U666" s="2">
        <v>0</v>
      </c>
      <c r="V666" s="2">
        <v>0</v>
      </c>
      <c r="W666" s="2">
        <v>50</v>
      </c>
      <c r="X666" s="2">
        <v>0</v>
      </c>
      <c r="Y666" s="2">
        <v>0</v>
      </c>
      <c r="Z666" s="2">
        <v>1</v>
      </c>
      <c r="AA666" s="2">
        <v>1</v>
      </c>
      <c r="AB666" s="2">
        <v>1</v>
      </c>
      <c r="AC666" s="2">
        <v>1</v>
      </c>
      <c r="AD666" s="2">
        <v>0</v>
      </c>
      <c r="AE666" s="2">
        <v>0</v>
      </c>
      <c r="AF666" s="2">
        <v>1</v>
      </c>
    </row>
    <row r="667" spans="1:32" x14ac:dyDescent="0.25">
      <c r="A667">
        <v>666</v>
      </c>
      <c r="B667" s="2">
        <v>3</v>
      </c>
      <c r="C667" s="2">
        <v>24</v>
      </c>
      <c r="D667" s="2">
        <v>4</v>
      </c>
      <c r="E667" s="2">
        <v>0</v>
      </c>
      <c r="F667" s="2">
        <v>0</v>
      </c>
      <c r="G667" s="2">
        <v>0</v>
      </c>
      <c r="H667" s="2">
        <v>0</v>
      </c>
      <c r="I667" s="2">
        <v>0</v>
      </c>
      <c r="J667" s="2">
        <v>0</v>
      </c>
      <c r="K667" s="2">
        <v>6314</v>
      </c>
      <c r="L667" s="2">
        <v>0</v>
      </c>
      <c r="M667" s="2">
        <v>0</v>
      </c>
      <c r="N667" s="2">
        <v>4</v>
      </c>
      <c r="O667" s="2">
        <v>0</v>
      </c>
      <c r="P667" s="2">
        <v>1</v>
      </c>
      <c r="Q667" s="2">
        <v>0</v>
      </c>
      <c r="R667" s="2">
        <v>1</v>
      </c>
      <c r="S667" s="2">
        <v>0</v>
      </c>
      <c r="T667" s="2">
        <v>2</v>
      </c>
      <c r="U667" s="2">
        <v>0</v>
      </c>
      <c r="V667" s="2">
        <v>1</v>
      </c>
      <c r="W667" s="2">
        <v>27</v>
      </c>
      <c r="X667" s="2">
        <v>1</v>
      </c>
      <c r="Y667" s="2">
        <v>0</v>
      </c>
      <c r="Z667" s="2">
        <v>1</v>
      </c>
      <c r="AA667" s="2">
        <v>2</v>
      </c>
      <c r="AB667" s="2">
        <v>3</v>
      </c>
      <c r="AC667" s="2">
        <v>1</v>
      </c>
      <c r="AD667" s="2">
        <v>1</v>
      </c>
      <c r="AE667" s="2">
        <v>0</v>
      </c>
      <c r="AF667" s="2">
        <v>1</v>
      </c>
    </row>
    <row r="668" spans="1:32" x14ac:dyDescent="0.25">
      <c r="A668">
        <v>667</v>
      </c>
      <c r="B668" s="2">
        <v>1</v>
      </c>
      <c r="C668" s="2">
        <v>30</v>
      </c>
      <c r="D668" s="2">
        <v>1</v>
      </c>
      <c r="E668" s="2">
        <v>0</v>
      </c>
      <c r="F668" s="2">
        <v>0</v>
      </c>
      <c r="G668" s="2">
        <v>1</v>
      </c>
      <c r="H668" s="2">
        <v>0</v>
      </c>
      <c r="I668" s="2">
        <v>0</v>
      </c>
      <c r="J668" s="2">
        <v>0</v>
      </c>
      <c r="K668" s="2">
        <v>3496</v>
      </c>
      <c r="L668" s="2">
        <v>3</v>
      </c>
      <c r="M668" s="2">
        <v>2</v>
      </c>
      <c r="N668" s="2">
        <v>4</v>
      </c>
      <c r="O668" s="2">
        <v>0</v>
      </c>
      <c r="P668" s="2">
        <v>1</v>
      </c>
      <c r="Q668" s="2">
        <v>0</v>
      </c>
      <c r="R668" s="2">
        <v>0</v>
      </c>
      <c r="S668" s="2">
        <v>0</v>
      </c>
      <c r="T668" s="2">
        <v>2</v>
      </c>
      <c r="U668" s="2">
        <v>0</v>
      </c>
      <c r="V668" s="2">
        <v>0</v>
      </c>
      <c r="W668" s="2">
        <v>34</v>
      </c>
      <c r="X668" s="2">
        <v>1</v>
      </c>
      <c r="Y668" s="2">
        <v>0</v>
      </c>
      <c r="Z668" s="2">
        <v>1</v>
      </c>
      <c r="AA668" s="2">
        <v>1</v>
      </c>
      <c r="AB668" s="2">
        <v>2</v>
      </c>
      <c r="AC668" s="2">
        <v>2</v>
      </c>
      <c r="AD668" s="2">
        <v>1</v>
      </c>
      <c r="AE668" s="2">
        <v>0</v>
      </c>
      <c r="AF668" s="2">
        <v>1</v>
      </c>
    </row>
    <row r="669" spans="1:32" x14ac:dyDescent="0.25">
      <c r="A669">
        <v>668</v>
      </c>
      <c r="B669" s="2">
        <v>3</v>
      </c>
      <c r="C669" s="2">
        <v>48</v>
      </c>
      <c r="D669" s="2">
        <v>1</v>
      </c>
      <c r="E669" s="2">
        <v>0</v>
      </c>
      <c r="F669" s="2">
        <v>0</v>
      </c>
      <c r="G669" s="2">
        <v>0</v>
      </c>
      <c r="H669" s="2">
        <v>0</v>
      </c>
      <c r="I669" s="2">
        <v>0</v>
      </c>
      <c r="J669" s="2">
        <v>1</v>
      </c>
      <c r="K669" s="2">
        <v>3609</v>
      </c>
      <c r="L669" s="2">
        <v>0</v>
      </c>
      <c r="M669" s="2">
        <v>2</v>
      </c>
      <c r="N669" s="2">
        <v>1</v>
      </c>
      <c r="O669" s="2">
        <v>0</v>
      </c>
      <c r="P669" s="2">
        <v>0</v>
      </c>
      <c r="Q669" s="2">
        <v>0</v>
      </c>
      <c r="R669" s="2">
        <v>0</v>
      </c>
      <c r="S669" s="2">
        <v>0</v>
      </c>
      <c r="T669" s="2">
        <v>1</v>
      </c>
      <c r="U669" s="2">
        <v>1</v>
      </c>
      <c r="V669" s="2">
        <v>0</v>
      </c>
      <c r="W669" s="2">
        <v>27</v>
      </c>
      <c r="X669" s="2">
        <v>1</v>
      </c>
      <c r="Y669" s="2">
        <v>0</v>
      </c>
      <c r="Z669" s="2">
        <v>1</v>
      </c>
      <c r="AA669" s="2">
        <v>1</v>
      </c>
      <c r="AB669" s="2">
        <v>2</v>
      </c>
      <c r="AC669" s="2">
        <v>1</v>
      </c>
      <c r="AD669" s="2">
        <v>0</v>
      </c>
      <c r="AE669" s="2">
        <v>0</v>
      </c>
      <c r="AF669" s="2">
        <v>1</v>
      </c>
    </row>
    <row r="670" spans="1:32" x14ac:dyDescent="0.25">
      <c r="A670">
        <v>669</v>
      </c>
      <c r="B670" s="2">
        <v>0</v>
      </c>
      <c r="C670" s="2">
        <v>12</v>
      </c>
      <c r="D670" s="2">
        <v>4</v>
      </c>
      <c r="E670" s="2">
        <v>1</v>
      </c>
      <c r="F670" s="2">
        <v>0</v>
      </c>
      <c r="G670" s="2">
        <v>0</v>
      </c>
      <c r="H670" s="2">
        <v>0</v>
      </c>
      <c r="I670" s="2">
        <v>0</v>
      </c>
      <c r="J670" s="2">
        <v>0</v>
      </c>
      <c r="K670" s="2">
        <v>4843</v>
      </c>
      <c r="L670" s="2">
        <v>0</v>
      </c>
      <c r="M670" s="2">
        <v>4</v>
      </c>
      <c r="N670" s="2">
        <v>3</v>
      </c>
      <c r="O670" s="2">
        <v>0</v>
      </c>
      <c r="P670" s="2">
        <v>1</v>
      </c>
      <c r="Q670" s="2">
        <v>0</v>
      </c>
      <c r="R670" s="2">
        <v>1</v>
      </c>
      <c r="S670" s="2">
        <v>0</v>
      </c>
      <c r="T670" s="2">
        <v>4</v>
      </c>
      <c r="U670" s="2">
        <v>0</v>
      </c>
      <c r="V670" s="2">
        <v>0</v>
      </c>
      <c r="W670" s="2">
        <v>43</v>
      </c>
      <c r="X670" s="2">
        <v>0</v>
      </c>
      <c r="Y670" s="2">
        <v>1</v>
      </c>
      <c r="Z670" s="2">
        <v>0</v>
      </c>
      <c r="AA670" s="2">
        <v>2</v>
      </c>
      <c r="AB670" s="2">
        <v>2</v>
      </c>
      <c r="AC670" s="2">
        <v>1</v>
      </c>
      <c r="AD670" s="2">
        <v>1</v>
      </c>
      <c r="AE670" s="2">
        <v>0</v>
      </c>
      <c r="AF670" s="2">
        <v>0</v>
      </c>
    </row>
    <row r="671" spans="1:32" x14ac:dyDescent="0.25">
      <c r="A671">
        <v>670</v>
      </c>
      <c r="B671" s="2">
        <v>2</v>
      </c>
      <c r="C671" s="2">
        <v>30</v>
      </c>
      <c r="D671" s="2">
        <v>4</v>
      </c>
      <c r="E671" s="2">
        <v>0</v>
      </c>
      <c r="F671" s="2">
        <v>0</v>
      </c>
      <c r="G671" s="2">
        <v>0</v>
      </c>
      <c r="H671" s="2">
        <v>1</v>
      </c>
      <c r="I671" s="2">
        <v>0</v>
      </c>
      <c r="J671" s="2">
        <v>0</v>
      </c>
      <c r="K671" s="2">
        <v>3017</v>
      </c>
      <c r="L671" s="2">
        <v>0</v>
      </c>
      <c r="M671" s="2">
        <v>4</v>
      </c>
      <c r="N671" s="2">
        <v>4</v>
      </c>
      <c r="O671" s="2">
        <v>0</v>
      </c>
      <c r="P671" s="2">
        <v>1</v>
      </c>
      <c r="Q671" s="2">
        <v>0</v>
      </c>
      <c r="R671" s="2">
        <v>0</v>
      </c>
      <c r="S671" s="2">
        <v>0</v>
      </c>
      <c r="T671" s="2">
        <v>4</v>
      </c>
      <c r="U671" s="2">
        <v>0</v>
      </c>
      <c r="V671" s="2">
        <v>0</v>
      </c>
      <c r="W671" s="2">
        <v>47</v>
      </c>
      <c r="X671" s="2">
        <v>0</v>
      </c>
      <c r="Y671" s="2">
        <v>0</v>
      </c>
      <c r="Z671" s="2">
        <v>1</v>
      </c>
      <c r="AA671" s="2">
        <v>1</v>
      </c>
      <c r="AB671" s="2">
        <v>2</v>
      </c>
      <c r="AC671" s="2">
        <v>1</v>
      </c>
      <c r="AD671" s="2">
        <v>0</v>
      </c>
      <c r="AE671" s="2">
        <v>0</v>
      </c>
      <c r="AF671" s="2">
        <v>1</v>
      </c>
    </row>
    <row r="672" spans="1:32" x14ac:dyDescent="0.25">
      <c r="A672">
        <v>671</v>
      </c>
      <c r="B672" s="2">
        <v>3</v>
      </c>
      <c r="C672" s="2">
        <v>24</v>
      </c>
      <c r="D672" s="2">
        <v>4</v>
      </c>
      <c r="E672" s="2">
        <v>0</v>
      </c>
      <c r="F672" s="2">
        <v>0</v>
      </c>
      <c r="G672" s="2">
        <v>0</v>
      </c>
      <c r="H672" s="2">
        <v>0</v>
      </c>
      <c r="I672" s="2">
        <v>0</v>
      </c>
      <c r="J672" s="2">
        <v>1</v>
      </c>
      <c r="K672" s="2">
        <v>4139</v>
      </c>
      <c r="L672" s="2">
        <v>1</v>
      </c>
      <c r="M672" s="2">
        <v>2</v>
      </c>
      <c r="N672" s="2">
        <v>3</v>
      </c>
      <c r="O672" s="2">
        <v>0</v>
      </c>
      <c r="P672" s="2">
        <v>1</v>
      </c>
      <c r="Q672" s="2">
        <v>0</v>
      </c>
      <c r="R672" s="2">
        <v>0</v>
      </c>
      <c r="S672" s="2">
        <v>0</v>
      </c>
      <c r="T672" s="2">
        <v>3</v>
      </c>
      <c r="U672" s="2">
        <v>0</v>
      </c>
      <c r="V672" s="2">
        <v>0</v>
      </c>
      <c r="W672" s="2">
        <v>27</v>
      </c>
      <c r="X672" s="2">
        <v>0</v>
      </c>
      <c r="Y672" s="2">
        <v>0</v>
      </c>
      <c r="Z672" s="2">
        <v>1</v>
      </c>
      <c r="AA672" s="2">
        <v>2</v>
      </c>
      <c r="AB672" s="2">
        <v>1</v>
      </c>
      <c r="AC672" s="2">
        <v>1</v>
      </c>
      <c r="AD672" s="2">
        <v>1</v>
      </c>
      <c r="AE672" s="2">
        <v>0</v>
      </c>
      <c r="AF672" s="2">
        <v>1</v>
      </c>
    </row>
    <row r="673" spans="1:32" x14ac:dyDescent="0.25">
      <c r="A673">
        <v>672</v>
      </c>
      <c r="B673" s="2">
        <v>3</v>
      </c>
      <c r="C673" s="2">
        <v>36</v>
      </c>
      <c r="D673" s="2">
        <v>2</v>
      </c>
      <c r="E673" s="2">
        <v>0</v>
      </c>
      <c r="F673" s="2">
        <v>0</v>
      </c>
      <c r="G673" s="2">
        <v>0</v>
      </c>
      <c r="H673" s="2">
        <v>0</v>
      </c>
      <c r="I673" s="2">
        <v>0</v>
      </c>
      <c r="J673" s="2">
        <v>1</v>
      </c>
      <c r="K673" s="2">
        <v>5742</v>
      </c>
      <c r="L673" s="2">
        <v>1</v>
      </c>
      <c r="M673" s="2">
        <v>3</v>
      </c>
      <c r="N673" s="2">
        <v>2</v>
      </c>
      <c r="O673" s="2">
        <v>0</v>
      </c>
      <c r="P673" s="2">
        <v>1</v>
      </c>
      <c r="Q673" s="2">
        <v>0</v>
      </c>
      <c r="R673" s="2">
        <v>0</v>
      </c>
      <c r="S673" s="2">
        <v>0</v>
      </c>
      <c r="T673" s="2">
        <v>2</v>
      </c>
      <c r="U673" s="2">
        <v>0</v>
      </c>
      <c r="V673" s="2">
        <v>0</v>
      </c>
      <c r="W673" s="2">
        <v>31</v>
      </c>
      <c r="X673" s="2">
        <v>0</v>
      </c>
      <c r="Y673" s="2">
        <v>0</v>
      </c>
      <c r="Z673" s="2">
        <v>1</v>
      </c>
      <c r="AA673" s="2">
        <v>2</v>
      </c>
      <c r="AB673" s="2">
        <v>2</v>
      </c>
      <c r="AC673" s="2">
        <v>1</v>
      </c>
      <c r="AD673" s="2">
        <v>1</v>
      </c>
      <c r="AE673" s="2">
        <v>0</v>
      </c>
      <c r="AF673" s="2">
        <v>1</v>
      </c>
    </row>
    <row r="674" spans="1:32" x14ac:dyDescent="0.25">
      <c r="A674">
        <v>673</v>
      </c>
      <c r="B674" s="2">
        <v>3</v>
      </c>
      <c r="C674" s="2">
        <v>60</v>
      </c>
      <c r="D674" s="2">
        <v>2</v>
      </c>
      <c r="E674" s="2">
        <v>1</v>
      </c>
      <c r="F674" s="2">
        <v>0</v>
      </c>
      <c r="G674" s="2">
        <v>0</v>
      </c>
      <c r="H674" s="2">
        <v>0</v>
      </c>
      <c r="I674" s="2">
        <v>0</v>
      </c>
      <c r="J674" s="2">
        <v>0</v>
      </c>
      <c r="K674" s="2">
        <v>10366</v>
      </c>
      <c r="L674" s="2">
        <v>0</v>
      </c>
      <c r="M674" s="2">
        <v>4</v>
      </c>
      <c r="N674" s="2">
        <v>2</v>
      </c>
      <c r="O674" s="2">
        <v>0</v>
      </c>
      <c r="P674" s="2">
        <v>1</v>
      </c>
      <c r="Q674" s="2">
        <v>0</v>
      </c>
      <c r="R674" s="2">
        <v>0</v>
      </c>
      <c r="S674" s="2">
        <v>0</v>
      </c>
      <c r="T674" s="2">
        <v>4</v>
      </c>
      <c r="U674" s="2">
        <v>0</v>
      </c>
      <c r="V674" s="2">
        <v>0</v>
      </c>
      <c r="W674" s="2">
        <v>42</v>
      </c>
      <c r="X674" s="2">
        <v>0</v>
      </c>
      <c r="Y674" s="2">
        <v>0</v>
      </c>
      <c r="Z674" s="2">
        <v>1</v>
      </c>
      <c r="AA674" s="2">
        <v>1</v>
      </c>
      <c r="AB674" s="2">
        <v>3</v>
      </c>
      <c r="AC674" s="2">
        <v>1</v>
      </c>
      <c r="AD674" s="2">
        <v>1</v>
      </c>
      <c r="AE674" s="2">
        <v>0</v>
      </c>
      <c r="AF674" s="2">
        <v>1</v>
      </c>
    </row>
    <row r="675" spans="1:32" x14ac:dyDescent="0.25">
      <c r="A675">
        <v>674</v>
      </c>
      <c r="B675" s="2">
        <v>3</v>
      </c>
      <c r="C675" s="2">
        <v>6</v>
      </c>
      <c r="D675" s="2">
        <v>4</v>
      </c>
      <c r="E675" s="2">
        <v>1</v>
      </c>
      <c r="F675" s="2">
        <v>0</v>
      </c>
      <c r="G675" s="2">
        <v>0</v>
      </c>
      <c r="H675" s="2">
        <v>0</v>
      </c>
      <c r="I675" s="2">
        <v>0</v>
      </c>
      <c r="J675" s="2">
        <v>0</v>
      </c>
      <c r="K675" s="2">
        <v>2080</v>
      </c>
      <c r="L675" s="2">
        <v>2</v>
      </c>
      <c r="M675" s="2">
        <v>2</v>
      </c>
      <c r="N675" s="2">
        <v>1</v>
      </c>
      <c r="O675" s="2">
        <v>0</v>
      </c>
      <c r="P675" s="2">
        <v>0</v>
      </c>
      <c r="Q675" s="2">
        <v>1</v>
      </c>
      <c r="R675" s="2">
        <v>0</v>
      </c>
      <c r="S675" s="2">
        <v>0</v>
      </c>
      <c r="T675" s="2">
        <v>2</v>
      </c>
      <c r="U675" s="2">
        <v>0</v>
      </c>
      <c r="V675" s="2">
        <v>0</v>
      </c>
      <c r="W675" s="2">
        <v>24</v>
      </c>
      <c r="X675" s="2">
        <v>0</v>
      </c>
      <c r="Y675" s="2">
        <v>0</v>
      </c>
      <c r="Z675" s="2">
        <v>1</v>
      </c>
      <c r="AA675" s="2">
        <v>1</v>
      </c>
      <c r="AB675" s="2">
        <v>2</v>
      </c>
      <c r="AC675" s="2">
        <v>1</v>
      </c>
      <c r="AD675" s="2">
        <v>0</v>
      </c>
      <c r="AE675" s="2">
        <v>0</v>
      </c>
      <c r="AF675" s="2">
        <v>1</v>
      </c>
    </row>
    <row r="676" spans="1:32" x14ac:dyDescent="0.25">
      <c r="A676">
        <v>675</v>
      </c>
      <c r="B676" s="2">
        <v>3</v>
      </c>
      <c r="C676" s="2">
        <v>21</v>
      </c>
      <c r="D676" s="2">
        <v>3</v>
      </c>
      <c r="E676" s="2">
        <v>0</v>
      </c>
      <c r="F676" s="2">
        <v>0</v>
      </c>
      <c r="G676" s="2">
        <v>0</v>
      </c>
      <c r="H676" s="2">
        <v>0</v>
      </c>
      <c r="I676" s="2">
        <v>0</v>
      </c>
      <c r="J676" s="2">
        <v>1</v>
      </c>
      <c r="K676" s="2">
        <v>2580</v>
      </c>
      <c r="L676" s="2">
        <v>2</v>
      </c>
      <c r="M676" s="2">
        <v>1</v>
      </c>
      <c r="N676" s="2">
        <v>4</v>
      </c>
      <c r="O676" s="2">
        <v>0</v>
      </c>
      <c r="P676" s="2">
        <v>1</v>
      </c>
      <c r="Q676" s="2">
        <v>0</v>
      </c>
      <c r="R676" s="2">
        <v>0</v>
      </c>
      <c r="S676" s="2">
        <v>0</v>
      </c>
      <c r="T676" s="2">
        <v>2</v>
      </c>
      <c r="U676" s="2">
        <v>1</v>
      </c>
      <c r="V676" s="2">
        <v>0</v>
      </c>
      <c r="W676" s="2">
        <v>41</v>
      </c>
      <c r="X676" s="2">
        <v>1</v>
      </c>
      <c r="Y676" s="2">
        <v>0</v>
      </c>
      <c r="Z676" s="2">
        <v>1</v>
      </c>
      <c r="AA676" s="2">
        <v>1</v>
      </c>
      <c r="AB676" s="2">
        <v>1</v>
      </c>
      <c r="AC676" s="2">
        <v>2</v>
      </c>
      <c r="AD676" s="2">
        <v>0</v>
      </c>
      <c r="AE676" s="2">
        <v>0</v>
      </c>
      <c r="AF676" s="2">
        <v>0</v>
      </c>
    </row>
    <row r="677" spans="1:32" x14ac:dyDescent="0.25">
      <c r="A677">
        <v>676</v>
      </c>
      <c r="B677" s="2">
        <v>3</v>
      </c>
      <c r="C677" s="2">
        <v>30</v>
      </c>
      <c r="D677" s="2">
        <v>4</v>
      </c>
      <c r="E677" s="2">
        <v>0</v>
      </c>
      <c r="F677" s="2">
        <v>0</v>
      </c>
      <c r="G677" s="2">
        <v>0</v>
      </c>
      <c r="H677" s="2">
        <v>1</v>
      </c>
      <c r="I677" s="2">
        <v>0</v>
      </c>
      <c r="J677" s="2">
        <v>0</v>
      </c>
      <c r="K677" s="2">
        <v>4530</v>
      </c>
      <c r="L677" s="2">
        <v>0</v>
      </c>
      <c r="M677" s="2">
        <v>3</v>
      </c>
      <c r="N677" s="2">
        <v>4</v>
      </c>
      <c r="O677" s="2">
        <v>0</v>
      </c>
      <c r="P677" s="2">
        <v>0</v>
      </c>
      <c r="Q677" s="2">
        <v>0</v>
      </c>
      <c r="R677" s="2">
        <v>0</v>
      </c>
      <c r="S677" s="2">
        <v>0</v>
      </c>
      <c r="T677" s="2">
        <v>4</v>
      </c>
      <c r="U677" s="2">
        <v>0</v>
      </c>
      <c r="V677" s="2">
        <v>0</v>
      </c>
      <c r="W677" s="2">
        <v>26</v>
      </c>
      <c r="X677" s="2">
        <v>0</v>
      </c>
      <c r="Y677" s="2">
        <v>1</v>
      </c>
      <c r="Z677" s="2">
        <v>0</v>
      </c>
      <c r="AA677" s="2">
        <v>1</v>
      </c>
      <c r="AB677" s="2">
        <v>3</v>
      </c>
      <c r="AC677" s="2">
        <v>1</v>
      </c>
      <c r="AD677" s="2">
        <v>1</v>
      </c>
      <c r="AE677" s="2">
        <v>0</v>
      </c>
      <c r="AF677" s="2">
        <v>1</v>
      </c>
    </row>
    <row r="678" spans="1:32" x14ac:dyDescent="0.25">
      <c r="A678">
        <v>677</v>
      </c>
      <c r="B678" s="2">
        <v>3</v>
      </c>
      <c r="C678" s="2">
        <v>24</v>
      </c>
      <c r="D678" s="2">
        <v>4</v>
      </c>
      <c r="E678" s="2">
        <v>0</v>
      </c>
      <c r="F678" s="2">
        <v>0</v>
      </c>
      <c r="G678" s="2">
        <v>1</v>
      </c>
      <c r="H678" s="2">
        <v>0</v>
      </c>
      <c r="I678" s="2">
        <v>0</v>
      </c>
      <c r="J678" s="2">
        <v>0</v>
      </c>
      <c r="K678" s="2">
        <v>5150</v>
      </c>
      <c r="L678" s="2">
        <v>0</v>
      </c>
      <c r="M678" s="2">
        <v>4</v>
      </c>
      <c r="N678" s="2">
        <v>4</v>
      </c>
      <c r="O678" s="2">
        <v>0</v>
      </c>
      <c r="P678" s="2">
        <v>1</v>
      </c>
      <c r="Q678" s="2">
        <v>0</v>
      </c>
      <c r="R678" s="2">
        <v>0</v>
      </c>
      <c r="S678" s="2">
        <v>0</v>
      </c>
      <c r="T678" s="2">
        <v>4</v>
      </c>
      <c r="U678" s="2">
        <v>0</v>
      </c>
      <c r="V678" s="2">
        <v>0</v>
      </c>
      <c r="W678" s="2">
        <v>33</v>
      </c>
      <c r="X678" s="2">
        <v>0</v>
      </c>
      <c r="Y678" s="2">
        <v>0</v>
      </c>
      <c r="Z678" s="2">
        <v>1</v>
      </c>
      <c r="AA678" s="2">
        <v>1</v>
      </c>
      <c r="AB678" s="2">
        <v>2</v>
      </c>
      <c r="AC678" s="2">
        <v>1</v>
      </c>
      <c r="AD678" s="2">
        <v>1</v>
      </c>
      <c r="AE678" s="2">
        <v>0</v>
      </c>
      <c r="AF678" s="2">
        <v>1</v>
      </c>
    </row>
    <row r="679" spans="1:32" x14ac:dyDescent="0.25">
      <c r="A679">
        <v>678</v>
      </c>
      <c r="B679" s="2">
        <v>1</v>
      </c>
      <c r="C679" s="2">
        <v>72</v>
      </c>
      <c r="D679" s="2">
        <v>2</v>
      </c>
      <c r="E679" s="2">
        <v>0</v>
      </c>
      <c r="F679" s="2">
        <v>0</v>
      </c>
      <c r="G679" s="2">
        <v>0</v>
      </c>
      <c r="H679" s="2">
        <v>1</v>
      </c>
      <c r="I679" s="2">
        <v>0</v>
      </c>
      <c r="J679" s="2">
        <v>0</v>
      </c>
      <c r="K679" s="2">
        <v>5595</v>
      </c>
      <c r="L679" s="2">
        <v>1</v>
      </c>
      <c r="M679" s="2">
        <v>2</v>
      </c>
      <c r="N679" s="2">
        <v>2</v>
      </c>
      <c r="O679" s="2">
        <v>0</v>
      </c>
      <c r="P679" s="2">
        <v>0</v>
      </c>
      <c r="Q679" s="2">
        <v>1</v>
      </c>
      <c r="R679" s="2">
        <v>0</v>
      </c>
      <c r="S679" s="2">
        <v>0</v>
      </c>
      <c r="T679" s="2">
        <v>2</v>
      </c>
      <c r="U679" s="2">
        <v>0</v>
      </c>
      <c r="V679" s="2">
        <v>0</v>
      </c>
      <c r="W679" s="2">
        <v>24</v>
      </c>
      <c r="X679" s="2">
        <v>0</v>
      </c>
      <c r="Y679" s="2">
        <v>0</v>
      </c>
      <c r="Z679" s="2">
        <v>1</v>
      </c>
      <c r="AA679" s="2">
        <v>1</v>
      </c>
      <c r="AB679" s="2">
        <v>2</v>
      </c>
      <c r="AC679" s="2">
        <v>1</v>
      </c>
      <c r="AD679" s="2">
        <v>0</v>
      </c>
      <c r="AE679" s="2">
        <v>0</v>
      </c>
      <c r="AF679" s="2">
        <v>0</v>
      </c>
    </row>
    <row r="680" spans="1:32" x14ac:dyDescent="0.25">
      <c r="A680">
        <v>679</v>
      </c>
      <c r="B680" s="2">
        <v>0</v>
      </c>
      <c r="C680" s="2">
        <v>24</v>
      </c>
      <c r="D680" s="2">
        <v>2</v>
      </c>
      <c r="E680" s="2">
        <v>0</v>
      </c>
      <c r="F680" s="2">
        <v>0</v>
      </c>
      <c r="G680" s="2">
        <v>0</v>
      </c>
      <c r="H680" s="2">
        <v>1</v>
      </c>
      <c r="I680" s="2">
        <v>0</v>
      </c>
      <c r="J680" s="2">
        <v>0</v>
      </c>
      <c r="K680" s="2">
        <v>2384</v>
      </c>
      <c r="L680" s="2">
        <v>0</v>
      </c>
      <c r="M680" s="2">
        <v>4</v>
      </c>
      <c r="N680" s="2">
        <v>4</v>
      </c>
      <c r="O680" s="2">
        <v>0</v>
      </c>
      <c r="P680" s="2">
        <v>1</v>
      </c>
      <c r="Q680" s="2">
        <v>0</v>
      </c>
      <c r="R680" s="2">
        <v>0</v>
      </c>
      <c r="S680" s="2">
        <v>0</v>
      </c>
      <c r="T680" s="2">
        <v>4</v>
      </c>
      <c r="U680" s="2">
        <v>1</v>
      </c>
      <c r="V680" s="2">
        <v>0</v>
      </c>
      <c r="W680" s="2">
        <v>64</v>
      </c>
      <c r="X680" s="2">
        <v>1</v>
      </c>
      <c r="Y680" s="2">
        <v>1</v>
      </c>
      <c r="Z680" s="2">
        <v>0</v>
      </c>
      <c r="AA680" s="2">
        <v>1</v>
      </c>
      <c r="AB680" s="2">
        <v>1</v>
      </c>
      <c r="AC680" s="2">
        <v>1</v>
      </c>
      <c r="AD680" s="2">
        <v>0</v>
      </c>
      <c r="AE680" s="2">
        <v>0</v>
      </c>
      <c r="AF680" s="2">
        <v>1</v>
      </c>
    </row>
    <row r="681" spans="1:32" x14ac:dyDescent="0.25">
      <c r="A681">
        <v>680</v>
      </c>
      <c r="B681" s="2">
        <v>3</v>
      </c>
      <c r="C681" s="2">
        <v>18</v>
      </c>
      <c r="D681" s="2">
        <v>2</v>
      </c>
      <c r="E681" s="2">
        <v>0</v>
      </c>
      <c r="F681" s="2">
        <v>0</v>
      </c>
      <c r="G681" s="2">
        <v>0</v>
      </c>
      <c r="H681" s="2">
        <v>1</v>
      </c>
      <c r="I681" s="2">
        <v>0</v>
      </c>
      <c r="J681" s="2">
        <v>0</v>
      </c>
      <c r="K681" s="2">
        <v>1453</v>
      </c>
      <c r="L681" s="2">
        <v>0</v>
      </c>
      <c r="M681" s="2">
        <v>1</v>
      </c>
      <c r="N681" s="2">
        <v>3</v>
      </c>
      <c r="O681" s="2">
        <v>0</v>
      </c>
      <c r="P681" s="2">
        <v>0</v>
      </c>
      <c r="Q681" s="2">
        <v>0</v>
      </c>
      <c r="R681" s="2">
        <v>0</v>
      </c>
      <c r="S681" s="2">
        <v>0</v>
      </c>
      <c r="T681" s="2">
        <v>1</v>
      </c>
      <c r="U681" s="2">
        <v>1</v>
      </c>
      <c r="V681" s="2">
        <v>0</v>
      </c>
      <c r="W681" s="2">
        <v>26</v>
      </c>
      <c r="X681" s="2">
        <v>0</v>
      </c>
      <c r="Y681" s="2">
        <v>0</v>
      </c>
      <c r="Z681" s="2">
        <v>1</v>
      </c>
      <c r="AA681" s="2">
        <v>1</v>
      </c>
      <c r="AB681" s="2">
        <v>2</v>
      </c>
      <c r="AC681" s="2">
        <v>1</v>
      </c>
      <c r="AD681" s="2">
        <v>0</v>
      </c>
      <c r="AE681" s="2">
        <v>0</v>
      </c>
      <c r="AF681" s="2">
        <v>1</v>
      </c>
    </row>
    <row r="682" spans="1:32" x14ac:dyDescent="0.25">
      <c r="A682">
        <v>681</v>
      </c>
      <c r="B682" s="2">
        <v>3</v>
      </c>
      <c r="C682" s="2">
        <v>6</v>
      </c>
      <c r="D682" s="2">
        <v>2</v>
      </c>
      <c r="E682" s="2">
        <v>0</v>
      </c>
      <c r="F682" s="2">
        <v>0</v>
      </c>
      <c r="G682" s="2">
        <v>0</v>
      </c>
      <c r="H682" s="2">
        <v>0</v>
      </c>
      <c r="I682" s="2">
        <v>1</v>
      </c>
      <c r="J682" s="2">
        <v>0</v>
      </c>
      <c r="K682" s="2">
        <v>1538</v>
      </c>
      <c r="L682" s="2">
        <v>0</v>
      </c>
      <c r="M682" s="2">
        <v>1</v>
      </c>
      <c r="N682" s="2">
        <v>1</v>
      </c>
      <c r="O682" s="2">
        <v>0</v>
      </c>
      <c r="P682" s="2">
        <v>0</v>
      </c>
      <c r="Q682" s="2">
        <v>0</v>
      </c>
      <c r="R682" s="2">
        <v>0</v>
      </c>
      <c r="S682" s="2">
        <v>0</v>
      </c>
      <c r="T682" s="2">
        <v>2</v>
      </c>
      <c r="U682" s="2">
        <v>0</v>
      </c>
      <c r="V682" s="2">
        <v>1</v>
      </c>
      <c r="W682" s="2">
        <v>56</v>
      </c>
      <c r="X682" s="2">
        <v>0</v>
      </c>
      <c r="Y682" s="2">
        <v>0</v>
      </c>
      <c r="Z682" s="2">
        <v>1</v>
      </c>
      <c r="AA682" s="2">
        <v>1</v>
      </c>
      <c r="AB682" s="2">
        <v>2</v>
      </c>
      <c r="AC682" s="2">
        <v>1</v>
      </c>
      <c r="AD682" s="2">
        <v>0</v>
      </c>
      <c r="AE682" s="2">
        <v>0</v>
      </c>
      <c r="AF682" s="2">
        <v>1</v>
      </c>
    </row>
    <row r="683" spans="1:32" x14ac:dyDescent="0.25">
      <c r="A683">
        <v>682</v>
      </c>
      <c r="B683" s="2">
        <v>3</v>
      </c>
      <c r="C683" s="2">
        <v>12</v>
      </c>
      <c r="D683" s="2">
        <v>2</v>
      </c>
      <c r="E683" s="2">
        <v>0</v>
      </c>
      <c r="F683" s="2">
        <v>0</v>
      </c>
      <c r="G683" s="2">
        <v>0</v>
      </c>
      <c r="H683" s="2">
        <v>1</v>
      </c>
      <c r="I683" s="2">
        <v>0</v>
      </c>
      <c r="J683" s="2">
        <v>0</v>
      </c>
      <c r="K683" s="2">
        <v>2279</v>
      </c>
      <c r="L683" s="2">
        <v>4</v>
      </c>
      <c r="M683" s="2">
        <v>2</v>
      </c>
      <c r="N683" s="2">
        <v>4</v>
      </c>
      <c r="O683" s="2">
        <v>0</v>
      </c>
      <c r="P683" s="2">
        <v>1</v>
      </c>
      <c r="Q683" s="2">
        <v>0</v>
      </c>
      <c r="R683" s="2">
        <v>0</v>
      </c>
      <c r="S683" s="2">
        <v>0</v>
      </c>
      <c r="T683" s="2">
        <v>4</v>
      </c>
      <c r="U683" s="2">
        <v>0</v>
      </c>
      <c r="V683" s="2">
        <v>1</v>
      </c>
      <c r="W683" s="2">
        <v>37</v>
      </c>
      <c r="X683" s="2">
        <v>0</v>
      </c>
      <c r="Y683" s="2">
        <v>0</v>
      </c>
      <c r="Z683" s="2">
        <v>0</v>
      </c>
      <c r="AA683" s="2">
        <v>1</v>
      </c>
      <c r="AB683" s="2">
        <v>2</v>
      </c>
      <c r="AC683" s="2">
        <v>1</v>
      </c>
      <c r="AD683" s="2">
        <v>1</v>
      </c>
      <c r="AE683" s="2">
        <v>0</v>
      </c>
      <c r="AF683" s="2">
        <v>1</v>
      </c>
    </row>
    <row r="684" spans="1:32" x14ac:dyDescent="0.25">
      <c r="A684">
        <v>683</v>
      </c>
      <c r="B684" s="2">
        <v>3</v>
      </c>
      <c r="C684" s="2">
        <v>15</v>
      </c>
      <c r="D684" s="2">
        <v>3</v>
      </c>
      <c r="E684" s="2">
        <v>0</v>
      </c>
      <c r="F684" s="2">
        <v>0</v>
      </c>
      <c r="G684" s="2">
        <v>0</v>
      </c>
      <c r="H684" s="2">
        <v>1</v>
      </c>
      <c r="I684" s="2">
        <v>0</v>
      </c>
      <c r="J684" s="2">
        <v>0</v>
      </c>
      <c r="K684" s="2">
        <v>1478</v>
      </c>
      <c r="L684" s="2">
        <v>0</v>
      </c>
      <c r="M684" s="2">
        <v>2</v>
      </c>
      <c r="N684" s="2">
        <v>4</v>
      </c>
      <c r="O684" s="2">
        <v>0</v>
      </c>
      <c r="P684" s="2">
        <v>0</v>
      </c>
      <c r="Q684" s="2">
        <v>1</v>
      </c>
      <c r="R684" s="2">
        <v>0</v>
      </c>
      <c r="S684" s="2">
        <v>0</v>
      </c>
      <c r="T684" s="2">
        <v>3</v>
      </c>
      <c r="U684" s="2">
        <v>1</v>
      </c>
      <c r="V684" s="2">
        <v>0</v>
      </c>
      <c r="W684" s="2">
        <v>33</v>
      </c>
      <c r="X684" s="2">
        <v>1</v>
      </c>
      <c r="Y684" s="2">
        <v>0</v>
      </c>
      <c r="Z684" s="2">
        <v>1</v>
      </c>
      <c r="AA684" s="2">
        <v>2</v>
      </c>
      <c r="AB684" s="2">
        <v>2</v>
      </c>
      <c r="AC684" s="2">
        <v>1</v>
      </c>
      <c r="AD684" s="2">
        <v>0</v>
      </c>
      <c r="AE684" s="2">
        <v>0</v>
      </c>
      <c r="AF684" s="2">
        <v>1</v>
      </c>
    </row>
    <row r="685" spans="1:32" x14ac:dyDescent="0.25">
      <c r="A685">
        <v>684</v>
      </c>
      <c r="B685" s="2">
        <v>3</v>
      </c>
      <c r="C685" s="2">
        <v>24</v>
      </c>
      <c r="D685" s="2">
        <v>4</v>
      </c>
      <c r="E685" s="2">
        <v>0</v>
      </c>
      <c r="F685" s="2">
        <v>0</v>
      </c>
      <c r="G685" s="2">
        <v>0</v>
      </c>
      <c r="H685" s="2">
        <v>1</v>
      </c>
      <c r="I685" s="2">
        <v>0</v>
      </c>
      <c r="J685" s="2">
        <v>0</v>
      </c>
      <c r="K685" s="2">
        <v>5103</v>
      </c>
      <c r="L685" s="2">
        <v>0</v>
      </c>
      <c r="M685" s="2">
        <v>1</v>
      </c>
      <c r="N685" s="2">
        <v>3</v>
      </c>
      <c r="O685" s="2">
        <v>0</v>
      </c>
      <c r="P685" s="2">
        <v>0</v>
      </c>
      <c r="Q685" s="2">
        <v>1</v>
      </c>
      <c r="R685" s="2">
        <v>0</v>
      </c>
      <c r="S685" s="2">
        <v>0</v>
      </c>
      <c r="T685" s="2">
        <v>3</v>
      </c>
      <c r="U685" s="2">
        <v>0</v>
      </c>
      <c r="V685" s="2">
        <v>1</v>
      </c>
      <c r="W685" s="2">
        <v>47</v>
      </c>
      <c r="X685" s="2">
        <v>0</v>
      </c>
      <c r="Y685" s="2">
        <v>0</v>
      </c>
      <c r="Z685" s="2">
        <v>0</v>
      </c>
      <c r="AA685" s="2">
        <v>3</v>
      </c>
      <c r="AB685" s="2">
        <v>2</v>
      </c>
      <c r="AC685" s="2">
        <v>1</v>
      </c>
      <c r="AD685" s="2">
        <v>1</v>
      </c>
      <c r="AE685" s="2">
        <v>0</v>
      </c>
      <c r="AF685" s="2">
        <v>1</v>
      </c>
    </row>
    <row r="686" spans="1:32" x14ac:dyDescent="0.25">
      <c r="A686">
        <v>685</v>
      </c>
      <c r="B686" s="2">
        <v>1</v>
      </c>
      <c r="C686" s="2">
        <v>36</v>
      </c>
      <c r="D686" s="2">
        <v>3</v>
      </c>
      <c r="E686" s="2">
        <v>0</v>
      </c>
      <c r="F686" s="2">
        <v>0</v>
      </c>
      <c r="G686" s="2">
        <v>0</v>
      </c>
      <c r="H686" s="2">
        <v>0</v>
      </c>
      <c r="I686" s="2">
        <v>0</v>
      </c>
      <c r="J686" s="2">
        <v>1</v>
      </c>
      <c r="K686" s="2">
        <v>9857</v>
      </c>
      <c r="L686" s="2">
        <v>1</v>
      </c>
      <c r="M686" s="2">
        <v>3</v>
      </c>
      <c r="N686" s="2">
        <v>1</v>
      </c>
      <c r="O686" s="2">
        <v>0</v>
      </c>
      <c r="P686" s="2">
        <v>1</v>
      </c>
      <c r="Q686" s="2">
        <v>0</v>
      </c>
      <c r="R686" s="2">
        <v>0</v>
      </c>
      <c r="S686" s="2">
        <v>0</v>
      </c>
      <c r="T686" s="2">
        <v>3</v>
      </c>
      <c r="U686" s="2">
        <v>0</v>
      </c>
      <c r="V686" s="2">
        <v>0</v>
      </c>
      <c r="W686" s="2">
        <v>31</v>
      </c>
      <c r="X686" s="2">
        <v>0</v>
      </c>
      <c r="Y686" s="2">
        <v>0</v>
      </c>
      <c r="Z686" s="2">
        <v>1</v>
      </c>
      <c r="AA686" s="2">
        <v>2</v>
      </c>
      <c r="AB686" s="2">
        <v>1</v>
      </c>
      <c r="AC686" s="2">
        <v>2</v>
      </c>
      <c r="AD686" s="2">
        <v>1</v>
      </c>
      <c r="AE686" s="2">
        <v>0</v>
      </c>
      <c r="AF686" s="2">
        <v>1</v>
      </c>
    </row>
    <row r="687" spans="1:32" x14ac:dyDescent="0.25">
      <c r="A687">
        <v>686</v>
      </c>
      <c r="B687" s="2">
        <v>3</v>
      </c>
      <c r="C687" s="2">
        <v>60</v>
      </c>
      <c r="D687" s="2">
        <v>2</v>
      </c>
      <c r="E687" s="2">
        <v>1</v>
      </c>
      <c r="F687" s="2">
        <v>0</v>
      </c>
      <c r="G687" s="2">
        <v>0</v>
      </c>
      <c r="H687" s="2">
        <v>0</v>
      </c>
      <c r="I687" s="2">
        <v>0</v>
      </c>
      <c r="J687" s="2">
        <v>0</v>
      </c>
      <c r="K687" s="2">
        <v>6527</v>
      </c>
      <c r="L687" s="2">
        <v>4</v>
      </c>
      <c r="M687" s="2">
        <v>2</v>
      </c>
      <c r="N687" s="2">
        <v>4</v>
      </c>
      <c r="O687" s="2">
        <v>0</v>
      </c>
      <c r="P687" s="2">
        <v>1</v>
      </c>
      <c r="Q687" s="2">
        <v>0</v>
      </c>
      <c r="R687" s="2">
        <v>0</v>
      </c>
      <c r="S687" s="2">
        <v>0</v>
      </c>
      <c r="T687" s="2">
        <v>4</v>
      </c>
      <c r="U687" s="2">
        <v>0</v>
      </c>
      <c r="V687" s="2">
        <v>1</v>
      </c>
      <c r="W687" s="2">
        <v>34</v>
      </c>
      <c r="X687" s="2">
        <v>0</v>
      </c>
      <c r="Y687" s="2">
        <v>0</v>
      </c>
      <c r="Z687" s="2">
        <v>0</v>
      </c>
      <c r="AA687" s="2">
        <v>1</v>
      </c>
      <c r="AB687" s="2">
        <v>2</v>
      </c>
      <c r="AC687" s="2">
        <v>2</v>
      </c>
      <c r="AD687" s="2">
        <v>1</v>
      </c>
      <c r="AE687" s="2">
        <v>0</v>
      </c>
      <c r="AF687" s="2">
        <v>1</v>
      </c>
    </row>
    <row r="688" spans="1:32" x14ac:dyDescent="0.25">
      <c r="A688">
        <v>687</v>
      </c>
      <c r="B688" s="2">
        <v>2</v>
      </c>
      <c r="C688" s="2">
        <v>10</v>
      </c>
      <c r="D688" s="2">
        <v>4</v>
      </c>
      <c r="E688" s="2">
        <v>0</v>
      </c>
      <c r="F688" s="2">
        <v>0</v>
      </c>
      <c r="G688" s="2">
        <v>0</v>
      </c>
      <c r="H688" s="2">
        <v>1</v>
      </c>
      <c r="I688" s="2">
        <v>0</v>
      </c>
      <c r="J688" s="2">
        <v>0</v>
      </c>
      <c r="K688" s="2">
        <v>1347</v>
      </c>
      <c r="L688" s="2">
        <v>4</v>
      </c>
      <c r="M688" s="2">
        <v>3</v>
      </c>
      <c r="N688" s="2">
        <v>4</v>
      </c>
      <c r="O688" s="2">
        <v>0</v>
      </c>
      <c r="P688" s="2">
        <v>1</v>
      </c>
      <c r="Q688" s="2">
        <v>0</v>
      </c>
      <c r="R688" s="2">
        <v>0</v>
      </c>
      <c r="S688" s="2">
        <v>0</v>
      </c>
      <c r="T688" s="2">
        <v>2</v>
      </c>
      <c r="U688" s="2">
        <v>0</v>
      </c>
      <c r="V688" s="2">
        <v>0</v>
      </c>
      <c r="W688" s="2">
        <v>27</v>
      </c>
      <c r="X688" s="2">
        <v>0</v>
      </c>
      <c r="Y688" s="2">
        <v>0</v>
      </c>
      <c r="Z688" s="2">
        <v>1</v>
      </c>
      <c r="AA688" s="2">
        <v>2</v>
      </c>
      <c r="AB688" s="2">
        <v>2</v>
      </c>
      <c r="AC688" s="2">
        <v>1</v>
      </c>
      <c r="AD688" s="2">
        <v>1</v>
      </c>
      <c r="AE688" s="2">
        <v>0</v>
      </c>
      <c r="AF688" s="2">
        <v>1</v>
      </c>
    </row>
    <row r="689" spans="1:32" x14ac:dyDescent="0.25">
      <c r="A689">
        <v>688</v>
      </c>
      <c r="B689" s="2">
        <v>1</v>
      </c>
      <c r="C689" s="2">
        <v>36</v>
      </c>
      <c r="D689" s="2">
        <v>3</v>
      </c>
      <c r="E689" s="2">
        <v>1</v>
      </c>
      <c r="F689" s="2">
        <v>0</v>
      </c>
      <c r="G689" s="2">
        <v>0</v>
      </c>
      <c r="H689" s="2">
        <v>0</v>
      </c>
      <c r="I689" s="2">
        <v>0</v>
      </c>
      <c r="J689" s="2">
        <v>0</v>
      </c>
      <c r="K689" s="2">
        <v>2862</v>
      </c>
      <c r="L689" s="2">
        <v>1</v>
      </c>
      <c r="M689" s="2">
        <v>4</v>
      </c>
      <c r="N689" s="2">
        <v>4</v>
      </c>
      <c r="O689" s="2">
        <v>0</v>
      </c>
      <c r="P689" s="2">
        <v>1</v>
      </c>
      <c r="Q689" s="2">
        <v>0</v>
      </c>
      <c r="R689" s="2">
        <v>0</v>
      </c>
      <c r="S689" s="2">
        <v>0</v>
      </c>
      <c r="T689" s="2">
        <v>3</v>
      </c>
      <c r="U689" s="2">
        <v>0</v>
      </c>
      <c r="V689" s="2">
        <v>1</v>
      </c>
      <c r="W689" s="2">
        <v>30</v>
      </c>
      <c r="X689" s="2">
        <v>0</v>
      </c>
      <c r="Y689" s="2">
        <v>0</v>
      </c>
      <c r="Z689" s="2">
        <v>0</v>
      </c>
      <c r="AA689" s="2">
        <v>1</v>
      </c>
      <c r="AB689" s="2">
        <v>2</v>
      </c>
      <c r="AC689" s="2">
        <v>1</v>
      </c>
      <c r="AD689" s="2">
        <v>0</v>
      </c>
      <c r="AE689" s="2">
        <v>0</v>
      </c>
      <c r="AF689" s="2">
        <v>1</v>
      </c>
    </row>
    <row r="690" spans="1:32" x14ac:dyDescent="0.25">
      <c r="A690">
        <v>689</v>
      </c>
      <c r="B690" s="2">
        <v>3</v>
      </c>
      <c r="C690" s="2">
        <v>9</v>
      </c>
      <c r="D690" s="2">
        <v>2</v>
      </c>
      <c r="E690" s="2">
        <v>0</v>
      </c>
      <c r="F690" s="2">
        <v>0</v>
      </c>
      <c r="G690" s="2">
        <v>0</v>
      </c>
      <c r="H690" s="2">
        <v>1</v>
      </c>
      <c r="I690" s="2">
        <v>0</v>
      </c>
      <c r="J690" s="2">
        <v>0</v>
      </c>
      <c r="K690" s="2">
        <v>2753</v>
      </c>
      <c r="L690" s="2">
        <v>1</v>
      </c>
      <c r="M690" s="2">
        <v>4</v>
      </c>
      <c r="N690" s="2">
        <v>3</v>
      </c>
      <c r="O690" s="2">
        <v>0</v>
      </c>
      <c r="P690" s="2">
        <v>1</v>
      </c>
      <c r="Q690" s="2">
        <v>0</v>
      </c>
      <c r="R690" s="2">
        <v>1</v>
      </c>
      <c r="S690" s="2">
        <v>0</v>
      </c>
      <c r="T690" s="2">
        <v>4</v>
      </c>
      <c r="U690" s="2">
        <v>0</v>
      </c>
      <c r="V690" s="2">
        <v>0</v>
      </c>
      <c r="W690" s="2">
        <v>35</v>
      </c>
      <c r="X690" s="2">
        <v>0</v>
      </c>
      <c r="Y690" s="2">
        <v>0</v>
      </c>
      <c r="Z690" s="2">
        <v>1</v>
      </c>
      <c r="AA690" s="2">
        <v>1</v>
      </c>
      <c r="AB690" s="2">
        <v>2</v>
      </c>
      <c r="AC690" s="2">
        <v>1</v>
      </c>
      <c r="AD690" s="2">
        <v>1</v>
      </c>
      <c r="AE690" s="2">
        <v>0</v>
      </c>
      <c r="AF690" s="2">
        <v>1</v>
      </c>
    </row>
    <row r="691" spans="1:32" x14ac:dyDescent="0.25">
      <c r="A691">
        <v>690</v>
      </c>
      <c r="B691" s="2">
        <v>0</v>
      </c>
      <c r="C691" s="2">
        <v>12</v>
      </c>
      <c r="D691" s="2">
        <v>2</v>
      </c>
      <c r="E691" s="2">
        <v>1</v>
      </c>
      <c r="F691" s="2">
        <v>0</v>
      </c>
      <c r="G691" s="2">
        <v>0</v>
      </c>
      <c r="H691" s="2">
        <v>0</v>
      </c>
      <c r="I691" s="2">
        <v>0</v>
      </c>
      <c r="J691" s="2">
        <v>0</v>
      </c>
      <c r="K691" s="2">
        <v>3651</v>
      </c>
      <c r="L691" s="2">
        <v>3</v>
      </c>
      <c r="M691" s="2">
        <v>2</v>
      </c>
      <c r="N691" s="2">
        <v>1</v>
      </c>
      <c r="O691" s="2">
        <v>0</v>
      </c>
      <c r="P691" s="2">
        <v>1</v>
      </c>
      <c r="Q691" s="2">
        <v>0</v>
      </c>
      <c r="R691" s="2">
        <v>0</v>
      </c>
      <c r="S691" s="2">
        <v>0</v>
      </c>
      <c r="T691" s="2">
        <v>3</v>
      </c>
      <c r="U691" s="2">
        <v>0</v>
      </c>
      <c r="V691" s="2">
        <v>0</v>
      </c>
      <c r="W691" s="2">
        <v>31</v>
      </c>
      <c r="X691" s="2">
        <v>0</v>
      </c>
      <c r="Y691" s="2">
        <v>0</v>
      </c>
      <c r="Z691" s="2">
        <v>1</v>
      </c>
      <c r="AA691" s="2">
        <v>1</v>
      </c>
      <c r="AB691" s="2">
        <v>2</v>
      </c>
      <c r="AC691" s="2">
        <v>2</v>
      </c>
      <c r="AD691" s="2">
        <v>0</v>
      </c>
      <c r="AE691" s="2">
        <v>0</v>
      </c>
      <c r="AF691" s="2">
        <v>1</v>
      </c>
    </row>
    <row r="692" spans="1:32" x14ac:dyDescent="0.25">
      <c r="A692">
        <v>691</v>
      </c>
      <c r="B692" s="2">
        <v>0</v>
      </c>
      <c r="C692" s="2">
        <v>15</v>
      </c>
      <c r="D692" s="2">
        <v>4</v>
      </c>
      <c r="E692" s="2">
        <v>0</v>
      </c>
      <c r="F692" s="2">
        <v>0</v>
      </c>
      <c r="G692" s="2">
        <v>1</v>
      </c>
      <c r="H692" s="2">
        <v>0</v>
      </c>
      <c r="I692" s="2">
        <v>0</v>
      </c>
      <c r="J692" s="2">
        <v>0</v>
      </c>
      <c r="K692" s="2">
        <v>975</v>
      </c>
      <c r="L692" s="2">
        <v>0</v>
      </c>
      <c r="M692" s="2">
        <v>2</v>
      </c>
      <c r="N692" s="2">
        <v>2</v>
      </c>
      <c r="O692" s="2">
        <v>1</v>
      </c>
      <c r="P692" s="2">
        <v>0</v>
      </c>
      <c r="Q692" s="2">
        <v>0</v>
      </c>
      <c r="R692" s="2">
        <v>0</v>
      </c>
      <c r="S692" s="2">
        <v>0</v>
      </c>
      <c r="T692" s="2">
        <v>3</v>
      </c>
      <c r="U692" s="2">
        <v>0</v>
      </c>
      <c r="V692" s="2">
        <v>0</v>
      </c>
      <c r="W692" s="2">
        <v>25</v>
      </c>
      <c r="X692" s="2">
        <v>0</v>
      </c>
      <c r="Y692" s="2">
        <v>0</v>
      </c>
      <c r="Z692" s="2">
        <v>1</v>
      </c>
      <c r="AA692" s="2">
        <v>2</v>
      </c>
      <c r="AB692" s="2">
        <v>2</v>
      </c>
      <c r="AC692" s="2">
        <v>1</v>
      </c>
      <c r="AD692" s="2">
        <v>0</v>
      </c>
      <c r="AE692" s="2">
        <v>0</v>
      </c>
      <c r="AF692" s="2">
        <v>1</v>
      </c>
    </row>
    <row r="693" spans="1:32" x14ac:dyDescent="0.25">
      <c r="A693">
        <v>692</v>
      </c>
      <c r="B693" s="2">
        <v>1</v>
      </c>
      <c r="C693" s="2">
        <v>15</v>
      </c>
      <c r="D693" s="2">
        <v>2</v>
      </c>
      <c r="E693" s="2">
        <v>0</v>
      </c>
      <c r="F693" s="2">
        <v>0</v>
      </c>
      <c r="G693" s="2">
        <v>0</v>
      </c>
      <c r="H693" s="2">
        <v>0</v>
      </c>
      <c r="I693" s="2">
        <v>0</v>
      </c>
      <c r="J693" s="2">
        <v>0</v>
      </c>
      <c r="K693" s="2">
        <v>2631</v>
      </c>
      <c r="L693" s="2">
        <v>1</v>
      </c>
      <c r="M693" s="2">
        <v>2</v>
      </c>
      <c r="N693" s="2">
        <v>3</v>
      </c>
      <c r="O693" s="2">
        <v>0</v>
      </c>
      <c r="P693" s="2">
        <v>0</v>
      </c>
      <c r="Q693" s="2">
        <v>0</v>
      </c>
      <c r="R693" s="2">
        <v>0</v>
      </c>
      <c r="S693" s="2">
        <v>0</v>
      </c>
      <c r="T693" s="2">
        <v>2</v>
      </c>
      <c r="U693" s="2">
        <v>1</v>
      </c>
      <c r="V693" s="2">
        <v>0</v>
      </c>
      <c r="W693" s="2">
        <v>25</v>
      </c>
      <c r="X693" s="2">
        <v>0</v>
      </c>
      <c r="Y693" s="2">
        <v>0</v>
      </c>
      <c r="Z693" s="2">
        <v>1</v>
      </c>
      <c r="AA693" s="2">
        <v>1</v>
      </c>
      <c r="AB693" s="2">
        <v>1</v>
      </c>
      <c r="AC693" s="2">
        <v>1</v>
      </c>
      <c r="AD693" s="2">
        <v>0</v>
      </c>
      <c r="AE693" s="2">
        <v>0</v>
      </c>
      <c r="AF693" s="2">
        <v>1</v>
      </c>
    </row>
    <row r="694" spans="1:32" x14ac:dyDescent="0.25">
      <c r="A694">
        <v>693</v>
      </c>
      <c r="B694" s="2">
        <v>1</v>
      </c>
      <c r="C694" s="2">
        <v>24</v>
      </c>
      <c r="D694" s="2">
        <v>2</v>
      </c>
      <c r="E694" s="2">
        <v>0</v>
      </c>
      <c r="F694" s="2">
        <v>0</v>
      </c>
      <c r="G694" s="2">
        <v>0</v>
      </c>
      <c r="H694" s="2">
        <v>1</v>
      </c>
      <c r="I694" s="2">
        <v>0</v>
      </c>
      <c r="J694" s="2">
        <v>0</v>
      </c>
      <c r="K694" s="2">
        <v>2896</v>
      </c>
      <c r="L694" s="2">
        <v>1</v>
      </c>
      <c r="M694" s="2">
        <v>1</v>
      </c>
      <c r="N694" s="2">
        <v>2</v>
      </c>
      <c r="O694" s="2">
        <v>0</v>
      </c>
      <c r="P694" s="2">
        <v>1</v>
      </c>
      <c r="Q694" s="2">
        <v>0</v>
      </c>
      <c r="R694" s="2">
        <v>0</v>
      </c>
      <c r="S694" s="2">
        <v>0</v>
      </c>
      <c r="T694" s="2">
        <v>1</v>
      </c>
      <c r="U694" s="2">
        <v>0</v>
      </c>
      <c r="V694" s="2">
        <v>0</v>
      </c>
      <c r="W694" s="2">
        <v>29</v>
      </c>
      <c r="X694" s="2">
        <v>0</v>
      </c>
      <c r="Y694" s="2">
        <v>0</v>
      </c>
      <c r="Z694" s="2">
        <v>1</v>
      </c>
      <c r="AA694" s="2">
        <v>1</v>
      </c>
      <c r="AB694" s="2">
        <v>2</v>
      </c>
      <c r="AC694" s="2">
        <v>1</v>
      </c>
      <c r="AD694" s="2">
        <v>0</v>
      </c>
      <c r="AE694" s="2">
        <v>0</v>
      </c>
      <c r="AF694" s="2">
        <v>1</v>
      </c>
    </row>
    <row r="695" spans="1:32" x14ac:dyDescent="0.25">
      <c r="A695">
        <v>694</v>
      </c>
      <c r="B695" s="2">
        <v>0</v>
      </c>
      <c r="C695" s="2">
        <v>6</v>
      </c>
      <c r="D695" s="2">
        <v>4</v>
      </c>
      <c r="E695" s="2">
        <v>1</v>
      </c>
      <c r="F695" s="2">
        <v>0</v>
      </c>
      <c r="G695" s="2">
        <v>0</v>
      </c>
      <c r="H695" s="2">
        <v>0</v>
      </c>
      <c r="I695" s="2">
        <v>0</v>
      </c>
      <c r="J695" s="2">
        <v>0</v>
      </c>
      <c r="K695" s="2">
        <v>4716</v>
      </c>
      <c r="L695" s="2">
        <v>4</v>
      </c>
      <c r="M695" s="2">
        <v>1</v>
      </c>
      <c r="N695" s="2">
        <v>1</v>
      </c>
      <c r="O695" s="2">
        <v>0</v>
      </c>
      <c r="P695" s="2">
        <v>1</v>
      </c>
      <c r="Q695" s="2">
        <v>0</v>
      </c>
      <c r="R695" s="2">
        <v>0</v>
      </c>
      <c r="S695" s="2">
        <v>0</v>
      </c>
      <c r="T695" s="2">
        <v>3</v>
      </c>
      <c r="U695" s="2">
        <v>1</v>
      </c>
      <c r="V695" s="2">
        <v>0</v>
      </c>
      <c r="W695" s="2">
        <v>44</v>
      </c>
      <c r="X695" s="2">
        <v>0</v>
      </c>
      <c r="Y695" s="2">
        <v>0</v>
      </c>
      <c r="Z695" s="2">
        <v>1</v>
      </c>
      <c r="AA695" s="2">
        <v>2</v>
      </c>
      <c r="AB695" s="2">
        <v>1</v>
      </c>
      <c r="AC695" s="2">
        <v>2</v>
      </c>
      <c r="AD695" s="2">
        <v>0</v>
      </c>
      <c r="AE695" s="2">
        <v>0</v>
      </c>
      <c r="AF695" s="2">
        <v>1</v>
      </c>
    </row>
    <row r="696" spans="1:32" x14ac:dyDescent="0.25">
      <c r="A696">
        <v>695</v>
      </c>
      <c r="B696" s="2">
        <v>3</v>
      </c>
      <c r="C696" s="2">
        <v>24</v>
      </c>
      <c r="D696" s="2">
        <v>2</v>
      </c>
      <c r="E696" s="2">
        <v>0</v>
      </c>
      <c r="F696" s="2">
        <v>0</v>
      </c>
      <c r="G696" s="2">
        <v>0</v>
      </c>
      <c r="H696" s="2">
        <v>1</v>
      </c>
      <c r="I696" s="2">
        <v>0</v>
      </c>
      <c r="J696" s="2">
        <v>0</v>
      </c>
      <c r="K696" s="2">
        <v>2284</v>
      </c>
      <c r="L696" s="2">
        <v>0</v>
      </c>
      <c r="M696" s="2">
        <v>3</v>
      </c>
      <c r="N696" s="2">
        <v>4</v>
      </c>
      <c r="O696" s="2">
        <v>0</v>
      </c>
      <c r="P696" s="2">
        <v>1</v>
      </c>
      <c r="Q696" s="2">
        <v>0</v>
      </c>
      <c r="R696" s="2">
        <v>0</v>
      </c>
      <c r="S696" s="2">
        <v>0</v>
      </c>
      <c r="T696" s="2">
        <v>2</v>
      </c>
      <c r="U696" s="2">
        <v>0</v>
      </c>
      <c r="V696" s="2">
        <v>0</v>
      </c>
      <c r="W696" s="2">
        <v>28</v>
      </c>
      <c r="X696" s="2">
        <v>0</v>
      </c>
      <c r="Y696" s="2">
        <v>0</v>
      </c>
      <c r="Z696" s="2">
        <v>1</v>
      </c>
      <c r="AA696" s="2">
        <v>1</v>
      </c>
      <c r="AB696" s="2">
        <v>2</v>
      </c>
      <c r="AC696" s="2">
        <v>1</v>
      </c>
      <c r="AD696" s="2">
        <v>1</v>
      </c>
      <c r="AE696" s="2">
        <v>0</v>
      </c>
      <c r="AF696" s="2">
        <v>1</v>
      </c>
    </row>
    <row r="697" spans="1:32" x14ac:dyDescent="0.25">
      <c r="A697">
        <v>696</v>
      </c>
      <c r="B697" s="2">
        <v>3</v>
      </c>
      <c r="C697" s="2">
        <v>6</v>
      </c>
      <c r="D697" s="2">
        <v>2</v>
      </c>
      <c r="E697" s="2">
        <v>0</v>
      </c>
      <c r="F697" s="2">
        <v>1</v>
      </c>
      <c r="G697" s="2">
        <v>0</v>
      </c>
      <c r="H697" s="2">
        <v>0</v>
      </c>
      <c r="I697" s="2">
        <v>0</v>
      </c>
      <c r="J697" s="2">
        <v>0</v>
      </c>
      <c r="K697" s="2">
        <v>1236</v>
      </c>
      <c r="L697" s="2">
        <v>2</v>
      </c>
      <c r="M697" s="2">
        <v>2</v>
      </c>
      <c r="N697" s="2">
        <v>2</v>
      </c>
      <c r="O697" s="2">
        <v>0</v>
      </c>
      <c r="P697" s="2">
        <v>1</v>
      </c>
      <c r="Q697" s="2">
        <v>0</v>
      </c>
      <c r="R697" s="2">
        <v>0</v>
      </c>
      <c r="S697" s="2">
        <v>0</v>
      </c>
      <c r="T697" s="2">
        <v>4</v>
      </c>
      <c r="U697" s="2">
        <v>0</v>
      </c>
      <c r="V697" s="2">
        <v>0</v>
      </c>
      <c r="W697" s="2">
        <v>50</v>
      </c>
      <c r="X697" s="2">
        <v>0</v>
      </c>
      <c r="Y697" s="2">
        <v>1</v>
      </c>
      <c r="Z697" s="2">
        <v>0</v>
      </c>
      <c r="AA697" s="2">
        <v>1</v>
      </c>
      <c r="AB697" s="2">
        <v>2</v>
      </c>
      <c r="AC697" s="2">
        <v>1</v>
      </c>
      <c r="AD697" s="2">
        <v>0</v>
      </c>
      <c r="AE697" s="2">
        <v>0</v>
      </c>
      <c r="AF697" s="2">
        <v>1</v>
      </c>
    </row>
    <row r="698" spans="1:32" x14ac:dyDescent="0.25">
      <c r="A698">
        <v>697</v>
      </c>
      <c r="B698" s="2">
        <v>1</v>
      </c>
      <c r="C698" s="2">
        <v>12</v>
      </c>
      <c r="D698" s="2">
        <v>2</v>
      </c>
      <c r="E698" s="2">
        <v>0</v>
      </c>
      <c r="F698" s="2">
        <v>0</v>
      </c>
      <c r="G698" s="2">
        <v>0</v>
      </c>
      <c r="H698" s="2">
        <v>1</v>
      </c>
      <c r="I698" s="2">
        <v>0</v>
      </c>
      <c r="J698" s="2">
        <v>0</v>
      </c>
      <c r="K698" s="2">
        <v>1103</v>
      </c>
      <c r="L698" s="2">
        <v>0</v>
      </c>
      <c r="M698" s="2">
        <v>3</v>
      </c>
      <c r="N698" s="2">
        <v>4</v>
      </c>
      <c r="O698" s="2">
        <v>0</v>
      </c>
      <c r="P698" s="2">
        <v>1</v>
      </c>
      <c r="Q698" s="2">
        <v>0</v>
      </c>
      <c r="R698" s="2">
        <v>0</v>
      </c>
      <c r="S698" s="2">
        <v>1</v>
      </c>
      <c r="T698" s="2">
        <v>3</v>
      </c>
      <c r="U698" s="2">
        <v>1</v>
      </c>
      <c r="V698" s="2">
        <v>0</v>
      </c>
      <c r="W698" s="2">
        <v>29</v>
      </c>
      <c r="X698" s="2">
        <v>0</v>
      </c>
      <c r="Y698" s="2">
        <v>0</v>
      </c>
      <c r="Z698" s="2">
        <v>1</v>
      </c>
      <c r="AA698" s="2">
        <v>2</v>
      </c>
      <c r="AB698" s="2">
        <v>2</v>
      </c>
      <c r="AC698" s="2">
        <v>1</v>
      </c>
      <c r="AD698" s="2">
        <v>0</v>
      </c>
      <c r="AE698" s="2">
        <v>1</v>
      </c>
      <c r="AF698" s="2">
        <v>1</v>
      </c>
    </row>
    <row r="699" spans="1:32" x14ac:dyDescent="0.25">
      <c r="A699">
        <v>698</v>
      </c>
      <c r="B699" s="2">
        <v>3</v>
      </c>
      <c r="C699" s="2">
        <v>12</v>
      </c>
      <c r="D699" s="2">
        <v>4</v>
      </c>
      <c r="E699" s="2">
        <v>1</v>
      </c>
      <c r="F699" s="2">
        <v>0</v>
      </c>
      <c r="G699" s="2">
        <v>0</v>
      </c>
      <c r="H699" s="2">
        <v>0</v>
      </c>
      <c r="I699" s="2">
        <v>0</v>
      </c>
      <c r="J699" s="2">
        <v>0</v>
      </c>
      <c r="K699" s="2">
        <v>926</v>
      </c>
      <c r="L699" s="2">
        <v>0</v>
      </c>
      <c r="M699" s="2">
        <v>0</v>
      </c>
      <c r="N699" s="2">
        <v>1</v>
      </c>
      <c r="O699" s="2">
        <v>0</v>
      </c>
      <c r="P699" s="2">
        <v>0</v>
      </c>
      <c r="Q699" s="2">
        <v>0</v>
      </c>
      <c r="R699" s="2">
        <v>0</v>
      </c>
      <c r="S699" s="2">
        <v>0</v>
      </c>
      <c r="T699" s="2">
        <v>2</v>
      </c>
      <c r="U699" s="2">
        <v>0</v>
      </c>
      <c r="V699" s="2">
        <v>0</v>
      </c>
      <c r="W699" s="2">
        <v>38</v>
      </c>
      <c r="X699" s="2">
        <v>0</v>
      </c>
      <c r="Y699" s="2">
        <v>0</v>
      </c>
      <c r="Z699" s="2">
        <v>1</v>
      </c>
      <c r="AA699" s="2">
        <v>1</v>
      </c>
      <c r="AB699" s="2">
        <v>0</v>
      </c>
      <c r="AC699" s="2">
        <v>1</v>
      </c>
      <c r="AD699" s="2">
        <v>0</v>
      </c>
      <c r="AE699" s="2">
        <v>0</v>
      </c>
      <c r="AF699" s="2">
        <v>1</v>
      </c>
    </row>
    <row r="700" spans="1:32" x14ac:dyDescent="0.25">
      <c r="A700">
        <v>699</v>
      </c>
      <c r="B700" s="2">
        <v>3</v>
      </c>
      <c r="C700" s="2">
        <v>18</v>
      </c>
      <c r="D700" s="2">
        <v>4</v>
      </c>
      <c r="E700" s="2">
        <v>0</v>
      </c>
      <c r="F700" s="2">
        <v>0</v>
      </c>
      <c r="G700" s="2">
        <v>0</v>
      </c>
      <c r="H700" s="2">
        <v>1</v>
      </c>
      <c r="I700" s="2">
        <v>0</v>
      </c>
      <c r="J700" s="2">
        <v>0</v>
      </c>
      <c r="K700" s="2">
        <v>1800</v>
      </c>
      <c r="L700" s="2">
        <v>0</v>
      </c>
      <c r="M700" s="2">
        <v>2</v>
      </c>
      <c r="N700" s="2">
        <v>4</v>
      </c>
      <c r="O700" s="2">
        <v>0</v>
      </c>
      <c r="P700" s="2">
        <v>1</v>
      </c>
      <c r="Q700" s="2">
        <v>0</v>
      </c>
      <c r="R700" s="2">
        <v>0</v>
      </c>
      <c r="S700" s="2">
        <v>0</v>
      </c>
      <c r="T700" s="2">
        <v>2</v>
      </c>
      <c r="U700" s="2">
        <v>0</v>
      </c>
      <c r="V700" s="2">
        <v>0</v>
      </c>
      <c r="W700" s="2">
        <v>24</v>
      </c>
      <c r="X700" s="2">
        <v>0</v>
      </c>
      <c r="Y700" s="2">
        <v>0</v>
      </c>
      <c r="Z700" s="2">
        <v>1</v>
      </c>
      <c r="AA700" s="2">
        <v>2</v>
      </c>
      <c r="AB700" s="2">
        <v>2</v>
      </c>
      <c r="AC700" s="2">
        <v>1</v>
      </c>
      <c r="AD700" s="2">
        <v>0</v>
      </c>
      <c r="AE700" s="2">
        <v>0</v>
      </c>
      <c r="AF700" s="2">
        <v>1</v>
      </c>
    </row>
    <row r="701" spans="1:32" x14ac:dyDescent="0.25">
      <c r="A701">
        <v>700</v>
      </c>
      <c r="B701" s="2">
        <v>2</v>
      </c>
      <c r="C701" s="2">
        <v>15</v>
      </c>
      <c r="D701" s="2">
        <v>2</v>
      </c>
      <c r="E701" s="2">
        <v>0</v>
      </c>
      <c r="F701" s="2">
        <v>0</v>
      </c>
      <c r="G701" s="2">
        <v>0</v>
      </c>
      <c r="H701" s="2">
        <v>0</v>
      </c>
      <c r="I701" s="2">
        <v>1</v>
      </c>
      <c r="J701" s="2">
        <v>0</v>
      </c>
      <c r="K701" s="2">
        <v>1905</v>
      </c>
      <c r="L701" s="2">
        <v>0</v>
      </c>
      <c r="M701" s="2">
        <v>4</v>
      </c>
      <c r="N701" s="2">
        <v>4</v>
      </c>
      <c r="O701" s="2">
        <v>0</v>
      </c>
      <c r="P701" s="2">
        <v>1</v>
      </c>
      <c r="Q701" s="2">
        <v>0</v>
      </c>
      <c r="R701" s="2">
        <v>0</v>
      </c>
      <c r="S701" s="2">
        <v>0</v>
      </c>
      <c r="T701" s="2">
        <v>4</v>
      </c>
      <c r="U701" s="2">
        <v>0</v>
      </c>
      <c r="V701" s="2">
        <v>0</v>
      </c>
      <c r="W701" s="2">
        <v>40</v>
      </c>
      <c r="X701" s="2">
        <v>0</v>
      </c>
      <c r="Y701" s="2">
        <v>1</v>
      </c>
      <c r="Z701" s="2">
        <v>0</v>
      </c>
      <c r="AA701" s="2">
        <v>1</v>
      </c>
      <c r="AB701" s="2">
        <v>3</v>
      </c>
      <c r="AC701" s="2">
        <v>1</v>
      </c>
      <c r="AD701" s="2">
        <v>1</v>
      </c>
      <c r="AE701" s="2">
        <v>0</v>
      </c>
      <c r="AF701" s="2">
        <v>1</v>
      </c>
    </row>
    <row r="702" spans="1:32" x14ac:dyDescent="0.25">
      <c r="A702">
        <v>701</v>
      </c>
      <c r="B702" s="2">
        <v>3</v>
      </c>
      <c r="C702" s="2">
        <v>12</v>
      </c>
      <c r="D702" s="2">
        <v>2</v>
      </c>
      <c r="E702" s="2">
        <v>0</v>
      </c>
      <c r="F702" s="2">
        <v>0</v>
      </c>
      <c r="G702" s="2">
        <v>1</v>
      </c>
      <c r="H702" s="2">
        <v>0</v>
      </c>
      <c r="I702" s="2">
        <v>0</v>
      </c>
      <c r="J702" s="2">
        <v>0</v>
      </c>
      <c r="K702" s="2">
        <v>1123</v>
      </c>
      <c r="L702" s="2">
        <v>2</v>
      </c>
      <c r="M702" s="2">
        <v>2</v>
      </c>
      <c r="N702" s="2">
        <v>4</v>
      </c>
      <c r="O702" s="2">
        <v>0</v>
      </c>
      <c r="P702" s="2">
        <v>0</v>
      </c>
      <c r="Q702" s="2">
        <v>0</v>
      </c>
      <c r="R702" s="2">
        <v>0</v>
      </c>
      <c r="S702" s="2">
        <v>0</v>
      </c>
      <c r="T702" s="2">
        <v>4</v>
      </c>
      <c r="U702" s="2">
        <v>0</v>
      </c>
      <c r="V702" s="2">
        <v>0</v>
      </c>
      <c r="W702" s="2">
        <v>29</v>
      </c>
      <c r="X702" s="2">
        <v>0</v>
      </c>
      <c r="Y702" s="2">
        <v>1</v>
      </c>
      <c r="Z702" s="2">
        <v>0</v>
      </c>
      <c r="AA702" s="2">
        <v>1</v>
      </c>
      <c r="AB702" s="2">
        <v>1</v>
      </c>
      <c r="AC702" s="2">
        <v>1</v>
      </c>
      <c r="AD702" s="2">
        <v>0</v>
      </c>
      <c r="AE702" s="2">
        <v>0</v>
      </c>
      <c r="AF702" s="2">
        <v>0</v>
      </c>
    </row>
    <row r="703" spans="1:32" x14ac:dyDescent="0.25">
      <c r="A703">
        <v>702</v>
      </c>
      <c r="B703" s="2">
        <v>0</v>
      </c>
      <c r="C703" s="2">
        <v>48</v>
      </c>
      <c r="D703" s="2">
        <v>4</v>
      </c>
      <c r="E703" s="2">
        <v>0</v>
      </c>
      <c r="F703" s="2">
        <v>1</v>
      </c>
      <c r="G703" s="2">
        <v>0</v>
      </c>
      <c r="H703" s="2">
        <v>0</v>
      </c>
      <c r="I703" s="2">
        <v>0</v>
      </c>
      <c r="J703" s="2">
        <v>0</v>
      </c>
      <c r="K703" s="2">
        <v>6331</v>
      </c>
      <c r="L703" s="2">
        <v>0</v>
      </c>
      <c r="M703" s="2">
        <v>4</v>
      </c>
      <c r="N703" s="2">
        <v>4</v>
      </c>
      <c r="O703" s="2">
        <v>0</v>
      </c>
      <c r="P703" s="2">
        <v>1</v>
      </c>
      <c r="Q703" s="2">
        <v>0</v>
      </c>
      <c r="R703" s="2">
        <v>0</v>
      </c>
      <c r="S703" s="2">
        <v>0</v>
      </c>
      <c r="T703" s="2">
        <v>4</v>
      </c>
      <c r="U703" s="2">
        <v>0</v>
      </c>
      <c r="V703" s="2">
        <v>1</v>
      </c>
      <c r="W703" s="2">
        <v>46</v>
      </c>
      <c r="X703" s="2">
        <v>0</v>
      </c>
      <c r="Y703" s="2">
        <v>0</v>
      </c>
      <c r="Z703" s="2">
        <v>0</v>
      </c>
      <c r="AA703" s="2">
        <v>2</v>
      </c>
      <c r="AB703" s="2">
        <v>2</v>
      </c>
      <c r="AC703" s="2">
        <v>1</v>
      </c>
      <c r="AD703" s="2">
        <v>1</v>
      </c>
      <c r="AE703" s="2">
        <v>0</v>
      </c>
      <c r="AF703" s="2">
        <v>0</v>
      </c>
    </row>
    <row r="704" spans="1:32" x14ac:dyDescent="0.25">
      <c r="A704">
        <v>703</v>
      </c>
      <c r="B704" s="2">
        <v>2</v>
      </c>
      <c r="C704" s="2">
        <v>24</v>
      </c>
      <c r="D704" s="2">
        <v>2</v>
      </c>
      <c r="E704" s="2">
        <v>0</v>
      </c>
      <c r="F704" s="2">
        <v>0</v>
      </c>
      <c r="G704" s="2">
        <v>0</v>
      </c>
      <c r="H704" s="2">
        <v>1</v>
      </c>
      <c r="I704" s="2">
        <v>0</v>
      </c>
      <c r="J704" s="2">
        <v>0</v>
      </c>
      <c r="K704" s="2">
        <v>1377</v>
      </c>
      <c r="L704" s="2">
        <v>1</v>
      </c>
      <c r="M704" s="2">
        <v>4</v>
      </c>
      <c r="N704" s="2">
        <v>4</v>
      </c>
      <c r="O704" s="2">
        <v>0</v>
      </c>
      <c r="P704" s="2">
        <v>0</v>
      </c>
      <c r="Q704" s="2">
        <v>0</v>
      </c>
      <c r="R704" s="2">
        <v>0</v>
      </c>
      <c r="S704" s="2">
        <v>0</v>
      </c>
      <c r="T704" s="2">
        <v>2</v>
      </c>
      <c r="U704" s="2">
        <v>0</v>
      </c>
      <c r="V704" s="2">
        <v>1</v>
      </c>
      <c r="W704" s="2">
        <v>47</v>
      </c>
      <c r="X704" s="2">
        <v>0</v>
      </c>
      <c r="Y704" s="2">
        <v>0</v>
      </c>
      <c r="Z704" s="2">
        <v>0</v>
      </c>
      <c r="AA704" s="2">
        <v>1</v>
      </c>
      <c r="AB704" s="2">
        <v>2</v>
      </c>
      <c r="AC704" s="2">
        <v>1</v>
      </c>
      <c r="AD704" s="2">
        <v>1</v>
      </c>
      <c r="AE704" s="2">
        <v>0</v>
      </c>
      <c r="AF704" s="2">
        <v>1</v>
      </c>
    </row>
    <row r="705" spans="1:32" x14ac:dyDescent="0.25">
      <c r="A705">
        <v>704</v>
      </c>
      <c r="B705" s="2">
        <v>1</v>
      </c>
      <c r="C705" s="2">
        <v>30</v>
      </c>
      <c r="D705" s="2">
        <v>3</v>
      </c>
      <c r="E705" s="2">
        <v>0</v>
      </c>
      <c r="F705" s="2">
        <v>0</v>
      </c>
      <c r="G705" s="2">
        <v>0</v>
      </c>
      <c r="H705" s="2">
        <v>0</v>
      </c>
      <c r="I705" s="2">
        <v>0</v>
      </c>
      <c r="J705" s="2">
        <v>1</v>
      </c>
      <c r="K705" s="2">
        <v>2503</v>
      </c>
      <c r="L705" s="2">
        <v>1</v>
      </c>
      <c r="M705" s="2">
        <v>4</v>
      </c>
      <c r="N705" s="2">
        <v>4</v>
      </c>
      <c r="O705" s="2">
        <v>0</v>
      </c>
      <c r="P705" s="2">
        <v>1</v>
      </c>
      <c r="Q705" s="2">
        <v>0</v>
      </c>
      <c r="R705" s="2">
        <v>0</v>
      </c>
      <c r="S705" s="2">
        <v>0</v>
      </c>
      <c r="T705" s="2">
        <v>2</v>
      </c>
      <c r="U705" s="2">
        <v>0</v>
      </c>
      <c r="V705" s="2">
        <v>0</v>
      </c>
      <c r="W705" s="2">
        <v>41</v>
      </c>
      <c r="X705" s="2">
        <v>1</v>
      </c>
      <c r="Y705" s="2">
        <v>0</v>
      </c>
      <c r="Z705" s="2">
        <v>1</v>
      </c>
      <c r="AA705" s="2">
        <v>2</v>
      </c>
      <c r="AB705" s="2">
        <v>2</v>
      </c>
      <c r="AC705" s="2">
        <v>1</v>
      </c>
      <c r="AD705" s="2">
        <v>0</v>
      </c>
      <c r="AE705" s="2">
        <v>0</v>
      </c>
      <c r="AF705" s="2">
        <v>1</v>
      </c>
    </row>
    <row r="706" spans="1:32" x14ac:dyDescent="0.25">
      <c r="A706">
        <v>705</v>
      </c>
      <c r="B706" s="2">
        <v>1</v>
      </c>
      <c r="C706" s="2">
        <v>27</v>
      </c>
      <c r="D706" s="2">
        <v>2</v>
      </c>
      <c r="E706" s="2">
        <v>0</v>
      </c>
      <c r="F706" s="2">
        <v>0</v>
      </c>
      <c r="G706" s="2">
        <v>0</v>
      </c>
      <c r="H706" s="2">
        <v>0</v>
      </c>
      <c r="I706" s="2">
        <v>0</v>
      </c>
      <c r="J706" s="2">
        <v>1</v>
      </c>
      <c r="K706" s="2">
        <v>2528</v>
      </c>
      <c r="L706" s="2">
        <v>0</v>
      </c>
      <c r="M706" s="2">
        <v>1</v>
      </c>
      <c r="N706" s="2">
        <v>4</v>
      </c>
      <c r="O706" s="2">
        <v>0</v>
      </c>
      <c r="P706" s="2">
        <v>0</v>
      </c>
      <c r="Q706" s="2">
        <v>0</v>
      </c>
      <c r="R706" s="2">
        <v>0</v>
      </c>
      <c r="S706" s="2">
        <v>0</v>
      </c>
      <c r="T706" s="2">
        <v>1</v>
      </c>
      <c r="U706" s="2">
        <v>0</v>
      </c>
      <c r="V706" s="2">
        <v>0</v>
      </c>
      <c r="W706" s="2">
        <v>32</v>
      </c>
      <c r="X706" s="2">
        <v>0</v>
      </c>
      <c r="Y706" s="2">
        <v>0</v>
      </c>
      <c r="Z706" s="2">
        <v>1</v>
      </c>
      <c r="AA706" s="2">
        <v>1</v>
      </c>
      <c r="AB706" s="2">
        <v>2</v>
      </c>
      <c r="AC706" s="2">
        <v>2</v>
      </c>
      <c r="AD706" s="2">
        <v>1</v>
      </c>
      <c r="AE706" s="2">
        <v>0</v>
      </c>
      <c r="AF706" s="2">
        <v>1</v>
      </c>
    </row>
    <row r="707" spans="1:32" x14ac:dyDescent="0.25">
      <c r="A707">
        <v>706</v>
      </c>
      <c r="B707" s="2">
        <v>3</v>
      </c>
      <c r="C707" s="2">
        <v>15</v>
      </c>
      <c r="D707" s="2">
        <v>2</v>
      </c>
      <c r="E707" s="2">
        <v>1</v>
      </c>
      <c r="F707" s="2">
        <v>0</v>
      </c>
      <c r="G707" s="2">
        <v>0</v>
      </c>
      <c r="H707" s="2">
        <v>0</v>
      </c>
      <c r="I707" s="2">
        <v>0</v>
      </c>
      <c r="J707" s="2">
        <v>0</v>
      </c>
      <c r="K707" s="2">
        <v>5324</v>
      </c>
      <c r="L707" s="2">
        <v>2</v>
      </c>
      <c r="M707" s="2">
        <v>4</v>
      </c>
      <c r="N707" s="2">
        <v>1</v>
      </c>
      <c r="O707" s="2">
        <v>0</v>
      </c>
      <c r="P707" s="2">
        <v>0</v>
      </c>
      <c r="Q707" s="2">
        <v>0</v>
      </c>
      <c r="R707" s="2">
        <v>0</v>
      </c>
      <c r="S707" s="2">
        <v>0</v>
      </c>
      <c r="T707" s="2">
        <v>4</v>
      </c>
      <c r="U707" s="2">
        <v>0</v>
      </c>
      <c r="V707" s="2">
        <v>1</v>
      </c>
      <c r="W707" s="2">
        <v>35</v>
      </c>
      <c r="X707" s="2">
        <v>0</v>
      </c>
      <c r="Y707" s="2">
        <v>0</v>
      </c>
      <c r="Z707" s="2">
        <v>0</v>
      </c>
      <c r="AA707" s="2">
        <v>1</v>
      </c>
      <c r="AB707" s="2">
        <v>2</v>
      </c>
      <c r="AC707" s="2">
        <v>1</v>
      </c>
      <c r="AD707" s="2">
        <v>0</v>
      </c>
      <c r="AE707" s="2">
        <v>0</v>
      </c>
      <c r="AF707" s="2">
        <v>1</v>
      </c>
    </row>
    <row r="708" spans="1:32" x14ac:dyDescent="0.25">
      <c r="A708">
        <v>707</v>
      </c>
      <c r="B708" s="2">
        <v>1</v>
      </c>
      <c r="C708" s="2">
        <v>48</v>
      </c>
      <c r="D708" s="2">
        <v>2</v>
      </c>
      <c r="E708" s="2">
        <v>1</v>
      </c>
      <c r="F708" s="2">
        <v>0</v>
      </c>
      <c r="G708" s="2">
        <v>0</v>
      </c>
      <c r="H708" s="2">
        <v>0</v>
      </c>
      <c r="I708" s="2">
        <v>0</v>
      </c>
      <c r="J708" s="2">
        <v>0</v>
      </c>
      <c r="K708" s="2">
        <v>6560</v>
      </c>
      <c r="L708" s="2">
        <v>1</v>
      </c>
      <c r="M708" s="2">
        <v>3</v>
      </c>
      <c r="N708" s="2">
        <v>3</v>
      </c>
      <c r="O708" s="2">
        <v>0</v>
      </c>
      <c r="P708" s="2">
        <v>1</v>
      </c>
      <c r="Q708" s="2">
        <v>0</v>
      </c>
      <c r="R708" s="2">
        <v>0</v>
      </c>
      <c r="S708" s="2">
        <v>0</v>
      </c>
      <c r="T708" s="2">
        <v>2</v>
      </c>
      <c r="U708" s="2">
        <v>0</v>
      </c>
      <c r="V708" s="2">
        <v>0</v>
      </c>
      <c r="W708" s="2">
        <v>24</v>
      </c>
      <c r="X708" s="2">
        <v>0</v>
      </c>
      <c r="Y708" s="2">
        <v>0</v>
      </c>
      <c r="Z708" s="2">
        <v>1</v>
      </c>
      <c r="AA708" s="2">
        <v>1</v>
      </c>
      <c r="AB708" s="2">
        <v>2</v>
      </c>
      <c r="AC708" s="2">
        <v>1</v>
      </c>
      <c r="AD708" s="2">
        <v>0</v>
      </c>
      <c r="AE708" s="2">
        <v>0</v>
      </c>
      <c r="AF708" s="2">
        <v>0</v>
      </c>
    </row>
    <row r="709" spans="1:32" x14ac:dyDescent="0.25">
      <c r="A709">
        <v>708</v>
      </c>
      <c r="B709" s="2">
        <v>1</v>
      </c>
      <c r="C709" s="2">
        <v>12</v>
      </c>
      <c r="D709" s="2">
        <v>0</v>
      </c>
      <c r="E709" s="2">
        <v>0</v>
      </c>
      <c r="F709" s="2">
        <v>0</v>
      </c>
      <c r="G709" s="2">
        <v>1</v>
      </c>
      <c r="H709" s="2">
        <v>0</v>
      </c>
      <c r="I709" s="2">
        <v>0</v>
      </c>
      <c r="J709" s="2">
        <v>0</v>
      </c>
      <c r="K709" s="2">
        <v>2969</v>
      </c>
      <c r="L709" s="2">
        <v>0</v>
      </c>
      <c r="M709" s="2">
        <v>1</v>
      </c>
      <c r="N709" s="2">
        <v>4</v>
      </c>
      <c r="O709" s="2">
        <v>0</v>
      </c>
      <c r="P709" s="2">
        <v>0</v>
      </c>
      <c r="Q709" s="2">
        <v>0</v>
      </c>
      <c r="R709" s="2">
        <v>0</v>
      </c>
      <c r="S709" s="2">
        <v>0</v>
      </c>
      <c r="T709" s="2">
        <v>3</v>
      </c>
      <c r="U709" s="2">
        <v>0</v>
      </c>
      <c r="V709" s="2">
        <v>0</v>
      </c>
      <c r="W709" s="2">
        <v>25</v>
      </c>
      <c r="X709" s="2">
        <v>0</v>
      </c>
      <c r="Y709" s="2">
        <v>1</v>
      </c>
      <c r="Z709" s="2">
        <v>0</v>
      </c>
      <c r="AA709" s="2">
        <v>2</v>
      </c>
      <c r="AB709" s="2">
        <v>2</v>
      </c>
      <c r="AC709" s="2">
        <v>1</v>
      </c>
      <c r="AD709" s="2">
        <v>0</v>
      </c>
      <c r="AE709" s="2">
        <v>0</v>
      </c>
      <c r="AF709" s="2">
        <v>0</v>
      </c>
    </row>
    <row r="710" spans="1:32" x14ac:dyDescent="0.25">
      <c r="A710">
        <v>709</v>
      </c>
      <c r="B710" s="2">
        <v>1</v>
      </c>
      <c r="C710" s="2">
        <v>9</v>
      </c>
      <c r="D710" s="2">
        <v>2</v>
      </c>
      <c r="E710" s="2">
        <v>0</v>
      </c>
      <c r="F710" s="2">
        <v>0</v>
      </c>
      <c r="G710" s="2">
        <v>0</v>
      </c>
      <c r="H710" s="2">
        <v>1</v>
      </c>
      <c r="I710" s="2">
        <v>0</v>
      </c>
      <c r="J710" s="2">
        <v>0</v>
      </c>
      <c r="K710" s="2">
        <v>1206</v>
      </c>
      <c r="L710" s="2">
        <v>0</v>
      </c>
      <c r="M710" s="2">
        <v>4</v>
      </c>
      <c r="N710" s="2">
        <v>4</v>
      </c>
      <c r="O710" s="2">
        <v>0</v>
      </c>
      <c r="P710" s="2">
        <v>0</v>
      </c>
      <c r="Q710" s="2">
        <v>0</v>
      </c>
      <c r="R710" s="2">
        <v>0</v>
      </c>
      <c r="S710" s="2">
        <v>0</v>
      </c>
      <c r="T710" s="2">
        <v>4</v>
      </c>
      <c r="U710" s="2">
        <v>1</v>
      </c>
      <c r="V710" s="2">
        <v>0</v>
      </c>
      <c r="W710" s="2">
        <v>25</v>
      </c>
      <c r="X710" s="2">
        <v>0</v>
      </c>
      <c r="Y710" s="2">
        <v>0</v>
      </c>
      <c r="Z710" s="2">
        <v>1</v>
      </c>
      <c r="AA710" s="2">
        <v>1</v>
      </c>
      <c r="AB710" s="2">
        <v>2</v>
      </c>
      <c r="AC710" s="2">
        <v>1</v>
      </c>
      <c r="AD710" s="2">
        <v>0</v>
      </c>
      <c r="AE710" s="2">
        <v>0</v>
      </c>
      <c r="AF710" s="2">
        <v>1</v>
      </c>
    </row>
    <row r="711" spans="1:32" x14ac:dyDescent="0.25">
      <c r="A711">
        <v>710</v>
      </c>
      <c r="B711" s="2">
        <v>1</v>
      </c>
      <c r="C711" s="2">
        <v>9</v>
      </c>
      <c r="D711" s="2">
        <v>2</v>
      </c>
      <c r="E711" s="2">
        <v>0</v>
      </c>
      <c r="F711" s="2">
        <v>0</v>
      </c>
      <c r="G711" s="2">
        <v>0</v>
      </c>
      <c r="H711" s="2">
        <v>1</v>
      </c>
      <c r="I711" s="2">
        <v>0</v>
      </c>
      <c r="J711" s="2">
        <v>0</v>
      </c>
      <c r="K711" s="2">
        <v>2118</v>
      </c>
      <c r="L711" s="2">
        <v>0</v>
      </c>
      <c r="M711" s="2">
        <v>2</v>
      </c>
      <c r="N711" s="2">
        <v>2</v>
      </c>
      <c r="O711" s="2">
        <v>0</v>
      </c>
      <c r="P711" s="2">
        <v>1</v>
      </c>
      <c r="Q711" s="2">
        <v>0</v>
      </c>
      <c r="R711" s="2">
        <v>0</v>
      </c>
      <c r="S711" s="2">
        <v>0</v>
      </c>
      <c r="T711" s="2">
        <v>2</v>
      </c>
      <c r="U711" s="2">
        <v>1</v>
      </c>
      <c r="V711" s="2">
        <v>0</v>
      </c>
      <c r="W711" s="2">
        <v>37</v>
      </c>
      <c r="X711" s="2">
        <v>0</v>
      </c>
      <c r="Y711" s="2">
        <v>0</v>
      </c>
      <c r="Z711" s="2">
        <v>1</v>
      </c>
      <c r="AA711" s="2">
        <v>1</v>
      </c>
      <c r="AB711" s="2">
        <v>1</v>
      </c>
      <c r="AC711" s="2">
        <v>2</v>
      </c>
      <c r="AD711" s="2">
        <v>0</v>
      </c>
      <c r="AE711" s="2">
        <v>0</v>
      </c>
      <c r="AF711" s="2">
        <v>1</v>
      </c>
    </row>
    <row r="712" spans="1:32" x14ac:dyDescent="0.25">
      <c r="A712">
        <v>711</v>
      </c>
      <c r="B712" s="2">
        <v>3</v>
      </c>
      <c r="C712" s="2">
        <v>18</v>
      </c>
      <c r="D712" s="2">
        <v>4</v>
      </c>
      <c r="E712" s="2">
        <v>0</v>
      </c>
      <c r="F712" s="2">
        <v>0</v>
      </c>
      <c r="G712" s="2">
        <v>0</v>
      </c>
      <c r="H712" s="2">
        <v>1</v>
      </c>
      <c r="I712" s="2">
        <v>0</v>
      </c>
      <c r="J712" s="2">
        <v>0</v>
      </c>
      <c r="K712" s="2">
        <v>629</v>
      </c>
      <c r="L712" s="2">
        <v>2</v>
      </c>
      <c r="M712" s="2">
        <v>4</v>
      </c>
      <c r="N712" s="2">
        <v>4</v>
      </c>
      <c r="O712" s="2">
        <v>0</v>
      </c>
      <c r="P712" s="2">
        <v>1</v>
      </c>
      <c r="Q712" s="2">
        <v>0</v>
      </c>
      <c r="R712" s="2">
        <v>0</v>
      </c>
      <c r="S712" s="2">
        <v>0</v>
      </c>
      <c r="T712" s="2">
        <v>3</v>
      </c>
      <c r="U712" s="2">
        <v>0</v>
      </c>
      <c r="V712" s="2">
        <v>0</v>
      </c>
      <c r="W712" s="2">
        <v>32</v>
      </c>
      <c r="X712" s="2">
        <v>1</v>
      </c>
      <c r="Y712" s="2">
        <v>0</v>
      </c>
      <c r="Z712" s="2">
        <v>1</v>
      </c>
      <c r="AA712" s="2">
        <v>2</v>
      </c>
      <c r="AB712" s="2">
        <v>3</v>
      </c>
      <c r="AC712" s="2">
        <v>1</v>
      </c>
      <c r="AD712" s="2">
        <v>1</v>
      </c>
      <c r="AE712" s="2">
        <v>0</v>
      </c>
      <c r="AF712" s="2">
        <v>1</v>
      </c>
    </row>
    <row r="713" spans="1:32" x14ac:dyDescent="0.25">
      <c r="A713">
        <v>712</v>
      </c>
      <c r="B713" s="2">
        <v>0</v>
      </c>
      <c r="C713" s="2">
        <v>6</v>
      </c>
      <c r="D713" s="2">
        <v>1</v>
      </c>
      <c r="E713" s="2">
        <v>0</v>
      </c>
      <c r="F713" s="2">
        <v>0</v>
      </c>
      <c r="G713" s="2">
        <v>0</v>
      </c>
      <c r="H713" s="2">
        <v>0</v>
      </c>
      <c r="I713" s="2">
        <v>1</v>
      </c>
      <c r="J713" s="2">
        <v>0</v>
      </c>
      <c r="K713" s="2">
        <v>1198</v>
      </c>
      <c r="L713" s="2">
        <v>0</v>
      </c>
      <c r="M713" s="2">
        <v>4</v>
      </c>
      <c r="N713" s="2">
        <v>4</v>
      </c>
      <c r="O713" s="2">
        <v>0</v>
      </c>
      <c r="P713" s="2">
        <v>0</v>
      </c>
      <c r="Q713" s="2">
        <v>0</v>
      </c>
      <c r="R713" s="2">
        <v>0</v>
      </c>
      <c r="S713" s="2">
        <v>0</v>
      </c>
      <c r="T713" s="2">
        <v>4</v>
      </c>
      <c r="U713" s="2">
        <v>0</v>
      </c>
      <c r="V713" s="2">
        <v>1</v>
      </c>
      <c r="W713" s="2">
        <v>35</v>
      </c>
      <c r="X713" s="2">
        <v>0</v>
      </c>
      <c r="Y713" s="2">
        <v>0</v>
      </c>
      <c r="Z713" s="2">
        <v>0</v>
      </c>
      <c r="AA713" s="2">
        <v>1</v>
      </c>
      <c r="AB713" s="2">
        <v>2</v>
      </c>
      <c r="AC713" s="2">
        <v>1</v>
      </c>
      <c r="AD713" s="2">
        <v>0</v>
      </c>
      <c r="AE713" s="2">
        <v>0</v>
      </c>
      <c r="AF713" s="2">
        <v>0</v>
      </c>
    </row>
    <row r="714" spans="1:32" x14ac:dyDescent="0.25">
      <c r="A714">
        <v>713</v>
      </c>
      <c r="B714" s="2">
        <v>3</v>
      </c>
      <c r="C714" s="2">
        <v>21</v>
      </c>
      <c r="D714" s="2">
        <v>2</v>
      </c>
      <c r="E714" s="2">
        <v>0</v>
      </c>
      <c r="F714" s="2">
        <v>1</v>
      </c>
      <c r="G714" s="2">
        <v>0</v>
      </c>
      <c r="H714" s="2">
        <v>0</v>
      </c>
      <c r="I714" s="2">
        <v>0</v>
      </c>
      <c r="J714" s="2">
        <v>0</v>
      </c>
      <c r="K714" s="2">
        <v>2476</v>
      </c>
      <c r="L714" s="2">
        <v>4</v>
      </c>
      <c r="M714" s="2">
        <v>4</v>
      </c>
      <c r="N714" s="2">
        <v>4</v>
      </c>
      <c r="O714" s="2">
        <v>0</v>
      </c>
      <c r="P714" s="2">
        <v>1</v>
      </c>
      <c r="Q714" s="2">
        <v>0</v>
      </c>
      <c r="R714" s="2">
        <v>0</v>
      </c>
      <c r="S714" s="2">
        <v>0</v>
      </c>
      <c r="T714" s="2">
        <v>4</v>
      </c>
      <c r="U714" s="2">
        <v>1</v>
      </c>
      <c r="V714" s="2">
        <v>0</v>
      </c>
      <c r="W714" s="2">
        <v>46</v>
      </c>
      <c r="X714" s="2">
        <v>0</v>
      </c>
      <c r="Y714" s="2">
        <v>0</v>
      </c>
      <c r="Z714" s="2">
        <v>1</v>
      </c>
      <c r="AA714" s="2">
        <v>1</v>
      </c>
      <c r="AB714" s="2">
        <v>3</v>
      </c>
      <c r="AC714" s="2">
        <v>1</v>
      </c>
      <c r="AD714" s="2">
        <v>1</v>
      </c>
      <c r="AE714" s="2">
        <v>0</v>
      </c>
      <c r="AF714" s="2">
        <v>1</v>
      </c>
    </row>
    <row r="715" spans="1:32" x14ac:dyDescent="0.25">
      <c r="A715">
        <v>714</v>
      </c>
      <c r="B715" s="2">
        <v>0</v>
      </c>
      <c r="C715" s="2">
        <v>9</v>
      </c>
      <c r="D715" s="2">
        <v>4</v>
      </c>
      <c r="E715" s="2">
        <v>0</v>
      </c>
      <c r="F715" s="2">
        <v>0</v>
      </c>
      <c r="G715" s="2">
        <v>0</v>
      </c>
      <c r="H715" s="2">
        <v>1</v>
      </c>
      <c r="I715" s="2">
        <v>0</v>
      </c>
      <c r="J715" s="2">
        <v>0</v>
      </c>
      <c r="K715" s="2">
        <v>1138</v>
      </c>
      <c r="L715" s="2">
        <v>0</v>
      </c>
      <c r="M715" s="2">
        <v>2</v>
      </c>
      <c r="N715" s="2">
        <v>4</v>
      </c>
      <c r="O715" s="2">
        <v>0</v>
      </c>
      <c r="P715" s="2">
        <v>1</v>
      </c>
      <c r="Q715" s="2">
        <v>0</v>
      </c>
      <c r="R715" s="2">
        <v>0</v>
      </c>
      <c r="S715" s="2">
        <v>0</v>
      </c>
      <c r="T715" s="2">
        <v>4</v>
      </c>
      <c r="U715" s="2">
        <v>1</v>
      </c>
      <c r="V715" s="2">
        <v>0</v>
      </c>
      <c r="W715" s="2">
        <v>25</v>
      </c>
      <c r="X715" s="2">
        <v>0</v>
      </c>
      <c r="Y715" s="2">
        <v>0</v>
      </c>
      <c r="Z715" s="2">
        <v>1</v>
      </c>
      <c r="AA715" s="2">
        <v>2</v>
      </c>
      <c r="AB715" s="2">
        <v>1</v>
      </c>
      <c r="AC715" s="2">
        <v>1</v>
      </c>
      <c r="AD715" s="2">
        <v>0</v>
      </c>
      <c r="AE715" s="2">
        <v>0</v>
      </c>
      <c r="AF715" s="2">
        <v>1</v>
      </c>
    </row>
    <row r="716" spans="1:32" x14ac:dyDescent="0.25">
      <c r="A716">
        <v>715</v>
      </c>
      <c r="B716" s="2">
        <v>1</v>
      </c>
      <c r="C716" s="2">
        <v>60</v>
      </c>
      <c r="D716" s="2">
        <v>2</v>
      </c>
      <c r="E716" s="2">
        <v>1</v>
      </c>
      <c r="F716" s="2">
        <v>0</v>
      </c>
      <c r="G716" s="2">
        <v>0</v>
      </c>
      <c r="H716" s="2">
        <v>0</v>
      </c>
      <c r="I716" s="2">
        <v>0</v>
      </c>
      <c r="J716" s="2">
        <v>0</v>
      </c>
      <c r="K716" s="2">
        <v>14027</v>
      </c>
      <c r="L716" s="2">
        <v>0</v>
      </c>
      <c r="M716" s="2">
        <v>3</v>
      </c>
      <c r="N716" s="2">
        <v>4</v>
      </c>
      <c r="O716" s="2">
        <v>0</v>
      </c>
      <c r="P716" s="2">
        <v>1</v>
      </c>
      <c r="Q716" s="2">
        <v>0</v>
      </c>
      <c r="R716" s="2">
        <v>0</v>
      </c>
      <c r="S716" s="2">
        <v>0</v>
      </c>
      <c r="T716" s="2">
        <v>2</v>
      </c>
      <c r="U716" s="2">
        <v>0</v>
      </c>
      <c r="V716" s="2">
        <v>1</v>
      </c>
      <c r="W716" s="2">
        <v>27</v>
      </c>
      <c r="X716" s="2">
        <v>0</v>
      </c>
      <c r="Y716" s="2">
        <v>0</v>
      </c>
      <c r="Z716" s="2">
        <v>1</v>
      </c>
      <c r="AA716" s="2">
        <v>1</v>
      </c>
      <c r="AB716" s="2">
        <v>3</v>
      </c>
      <c r="AC716" s="2">
        <v>1</v>
      </c>
      <c r="AD716" s="2">
        <v>1</v>
      </c>
      <c r="AE716" s="2">
        <v>0</v>
      </c>
      <c r="AF716" s="2">
        <v>0</v>
      </c>
    </row>
    <row r="717" spans="1:32" x14ac:dyDescent="0.25">
      <c r="A717">
        <v>716</v>
      </c>
      <c r="B717" s="2">
        <v>3</v>
      </c>
      <c r="C717" s="2">
        <v>30</v>
      </c>
      <c r="D717" s="2">
        <v>4</v>
      </c>
      <c r="E717" s="2">
        <v>0</v>
      </c>
      <c r="F717" s="2">
        <v>1</v>
      </c>
      <c r="G717" s="2">
        <v>0</v>
      </c>
      <c r="H717" s="2">
        <v>0</v>
      </c>
      <c r="I717" s="2">
        <v>0</v>
      </c>
      <c r="J717" s="2">
        <v>0</v>
      </c>
      <c r="K717" s="2">
        <v>7596</v>
      </c>
      <c r="L717" s="2">
        <v>4</v>
      </c>
      <c r="M717" s="2">
        <v>4</v>
      </c>
      <c r="N717" s="2">
        <v>1</v>
      </c>
      <c r="O717" s="2">
        <v>0</v>
      </c>
      <c r="P717" s="2">
        <v>1</v>
      </c>
      <c r="Q717" s="2">
        <v>0</v>
      </c>
      <c r="R717" s="2">
        <v>0</v>
      </c>
      <c r="S717" s="2">
        <v>0</v>
      </c>
      <c r="T717" s="2">
        <v>4</v>
      </c>
      <c r="U717" s="2">
        <v>0</v>
      </c>
      <c r="V717" s="2">
        <v>0</v>
      </c>
      <c r="W717" s="2">
        <v>63</v>
      </c>
      <c r="X717" s="2">
        <v>0</v>
      </c>
      <c r="Y717" s="2">
        <v>0</v>
      </c>
      <c r="Z717" s="2">
        <v>1</v>
      </c>
      <c r="AA717" s="2">
        <v>2</v>
      </c>
      <c r="AB717" s="2">
        <v>2</v>
      </c>
      <c r="AC717" s="2">
        <v>1</v>
      </c>
      <c r="AD717" s="2">
        <v>0</v>
      </c>
      <c r="AE717" s="2">
        <v>0</v>
      </c>
      <c r="AF717" s="2">
        <v>1</v>
      </c>
    </row>
    <row r="718" spans="1:32" x14ac:dyDescent="0.25">
      <c r="A718">
        <v>717</v>
      </c>
      <c r="B718" s="2">
        <v>3</v>
      </c>
      <c r="C718" s="2">
        <v>30</v>
      </c>
      <c r="D718" s="2">
        <v>4</v>
      </c>
      <c r="E718" s="2">
        <v>0</v>
      </c>
      <c r="F718" s="2">
        <v>0</v>
      </c>
      <c r="G718" s="2">
        <v>0</v>
      </c>
      <c r="H718" s="2">
        <v>1</v>
      </c>
      <c r="I718" s="2">
        <v>0</v>
      </c>
      <c r="J718" s="2">
        <v>0</v>
      </c>
      <c r="K718" s="2">
        <v>3077</v>
      </c>
      <c r="L718" s="2">
        <v>4</v>
      </c>
      <c r="M718" s="2">
        <v>4</v>
      </c>
      <c r="N718" s="2">
        <v>3</v>
      </c>
      <c r="O718" s="2">
        <v>0</v>
      </c>
      <c r="P718" s="2">
        <v>1</v>
      </c>
      <c r="Q718" s="2">
        <v>0</v>
      </c>
      <c r="R718" s="2">
        <v>0</v>
      </c>
      <c r="S718" s="2">
        <v>0</v>
      </c>
      <c r="T718" s="2">
        <v>2</v>
      </c>
      <c r="U718" s="2">
        <v>0</v>
      </c>
      <c r="V718" s="2">
        <v>0</v>
      </c>
      <c r="W718" s="2">
        <v>40</v>
      </c>
      <c r="X718" s="2">
        <v>0</v>
      </c>
      <c r="Y718" s="2">
        <v>0</v>
      </c>
      <c r="Z718" s="2">
        <v>1</v>
      </c>
      <c r="AA718" s="2">
        <v>2</v>
      </c>
      <c r="AB718" s="2">
        <v>2</v>
      </c>
      <c r="AC718" s="2">
        <v>2</v>
      </c>
      <c r="AD718" s="2">
        <v>1</v>
      </c>
      <c r="AE718" s="2">
        <v>0</v>
      </c>
      <c r="AF718" s="2">
        <v>1</v>
      </c>
    </row>
    <row r="719" spans="1:32" x14ac:dyDescent="0.25">
      <c r="A719">
        <v>718</v>
      </c>
      <c r="B719" s="2">
        <v>3</v>
      </c>
      <c r="C719" s="2">
        <v>18</v>
      </c>
      <c r="D719" s="2">
        <v>2</v>
      </c>
      <c r="E719" s="2">
        <v>0</v>
      </c>
      <c r="F719" s="2">
        <v>0</v>
      </c>
      <c r="G719" s="2">
        <v>0</v>
      </c>
      <c r="H719" s="2">
        <v>1</v>
      </c>
      <c r="I719" s="2">
        <v>0</v>
      </c>
      <c r="J719" s="2">
        <v>0</v>
      </c>
      <c r="K719" s="2">
        <v>1505</v>
      </c>
      <c r="L719" s="2">
        <v>0</v>
      </c>
      <c r="M719" s="2">
        <v>2</v>
      </c>
      <c r="N719" s="2">
        <v>4</v>
      </c>
      <c r="O719" s="2">
        <v>0</v>
      </c>
      <c r="P719" s="2">
        <v>1</v>
      </c>
      <c r="Q719" s="2">
        <v>0</v>
      </c>
      <c r="R719" s="2">
        <v>0</v>
      </c>
      <c r="S719" s="2">
        <v>0</v>
      </c>
      <c r="T719" s="2">
        <v>2</v>
      </c>
      <c r="U719" s="2">
        <v>0</v>
      </c>
      <c r="V719" s="2">
        <v>1</v>
      </c>
      <c r="W719" s="2">
        <v>32</v>
      </c>
      <c r="X719" s="2">
        <v>0</v>
      </c>
      <c r="Y719" s="2">
        <v>0</v>
      </c>
      <c r="Z719" s="2">
        <v>0</v>
      </c>
      <c r="AA719" s="2">
        <v>1</v>
      </c>
      <c r="AB719" s="2">
        <v>3</v>
      </c>
      <c r="AC719" s="2">
        <v>1</v>
      </c>
      <c r="AD719" s="2">
        <v>1</v>
      </c>
      <c r="AE719" s="2">
        <v>0</v>
      </c>
      <c r="AF719" s="2">
        <v>1</v>
      </c>
    </row>
    <row r="720" spans="1:32" x14ac:dyDescent="0.25">
      <c r="A720">
        <v>719</v>
      </c>
      <c r="B720" s="2">
        <v>2</v>
      </c>
      <c r="C720" s="2">
        <v>24</v>
      </c>
      <c r="D720" s="2">
        <v>4</v>
      </c>
      <c r="E720" s="2">
        <v>0</v>
      </c>
      <c r="F720" s="2">
        <v>0</v>
      </c>
      <c r="G720" s="2">
        <v>0</v>
      </c>
      <c r="H720" s="2">
        <v>1</v>
      </c>
      <c r="I720" s="2">
        <v>0</v>
      </c>
      <c r="J720" s="2">
        <v>0</v>
      </c>
      <c r="K720" s="2">
        <v>3148</v>
      </c>
      <c r="L720" s="2">
        <v>4</v>
      </c>
      <c r="M720" s="2">
        <v>2</v>
      </c>
      <c r="N720" s="2">
        <v>3</v>
      </c>
      <c r="O720" s="2">
        <v>0</v>
      </c>
      <c r="P720" s="2">
        <v>1</v>
      </c>
      <c r="Q720" s="2">
        <v>0</v>
      </c>
      <c r="R720" s="2">
        <v>0</v>
      </c>
      <c r="S720" s="2">
        <v>0</v>
      </c>
      <c r="T720" s="2">
        <v>2</v>
      </c>
      <c r="U720" s="2">
        <v>0</v>
      </c>
      <c r="V720" s="2">
        <v>0</v>
      </c>
      <c r="W720" s="2">
        <v>31</v>
      </c>
      <c r="X720" s="2">
        <v>0</v>
      </c>
      <c r="Y720" s="2">
        <v>0</v>
      </c>
      <c r="Z720" s="2">
        <v>1</v>
      </c>
      <c r="AA720" s="2">
        <v>2</v>
      </c>
      <c r="AB720" s="2">
        <v>2</v>
      </c>
      <c r="AC720" s="2">
        <v>1</v>
      </c>
      <c r="AD720" s="2">
        <v>1</v>
      </c>
      <c r="AE720" s="2">
        <v>0</v>
      </c>
      <c r="AF720" s="2">
        <v>1</v>
      </c>
    </row>
    <row r="721" spans="1:32" x14ac:dyDescent="0.25">
      <c r="A721">
        <v>720</v>
      </c>
      <c r="B721" s="2">
        <v>1</v>
      </c>
      <c r="C721" s="2">
        <v>20</v>
      </c>
      <c r="D721" s="2">
        <v>0</v>
      </c>
      <c r="E721" s="2">
        <v>0</v>
      </c>
      <c r="F721" s="2">
        <v>1</v>
      </c>
      <c r="G721" s="2">
        <v>0</v>
      </c>
      <c r="H721" s="2">
        <v>0</v>
      </c>
      <c r="I721" s="2">
        <v>0</v>
      </c>
      <c r="J721" s="2">
        <v>0</v>
      </c>
      <c r="K721" s="2">
        <v>6148</v>
      </c>
      <c r="L721" s="2">
        <v>1</v>
      </c>
      <c r="M721" s="2">
        <v>4</v>
      </c>
      <c r="N721" s="2">
        <v>3</v>
      </c>
      <c r="O721" s="2">
        <v>0</v>
      </c>
      <c r="P721" s="2">
        <v>0</v>
      </c>
      <c r="Q721" s="2">
        <v>1</v>
      </c>
      <c r="R721" s="2">
        <v>0</v>
      </c>
      <c r="S721" s="2">
        <v>0</v>
      </c>
      <c r="T721" s="2">
        <v>4</v>
      </c>
      <c r="U721" s="2">
        <v>0</v>
      </c>
      <c r="V721" s="2">
        <v>0</v>
      </c>
      <c r="W721" s="2">
        <v>31</v>
      </c>
      <c r="X721" s="2">
        <v>1</v>
      </c>
      <c r="Y721" s="2">
        <v>0</v>
      </c>
      <c r="Z721" s="2">
        <v>1</v>
      </c>
      <c r="AA721" s="2">
        <v>2</v>
      </c>
      <c r="AB721" s="2">
        <v>2</v>
      </c>
      <c r="AC721" s="2">
        <v>1</v>
      </c>
      <c r="AD721" s="2">
        <v>1</v>
      </c>
      <c r="AE721" s="2">
        <v>0</v>
      </c>
      <c r="AF721" s="2">
        <v>1</v>
      </c>
    </row>
    <row r="722" spans="1:32" x14ac:dyDescent="0.25">
      <c r="A722">
        <v>721</v>
      </c>
      <c r="B722" s="2">
        <v>2</v>
      </c>
      <c r="C722" s="2">
        <v>9</v>
      </c>
      <c r="D722" s="2">
        <v>0</v>
      </c>
      <c r="E722" s="2">
        <v>0</v>
      </c>
      <c r="F722" s="2">
        <v>0</v>
      </c>
      <c r="G722" s="2">
        <v>0</v>
      </c>
      <c r="H722" s="2">
        <v>1</v>
      </c>
      <c r="I722" s="2">
        <v>0</v>
      </c>
      <c r="J722" s="2">
        <v>0</v>
      </c>
      <c r="K722" s="2">
        <v>1337</v>
      </c>
      <c r="L722" s="2">
        <v>0</v>
      </c>
      <c r="M722" s="2">
        <v>1</v>
      </c>
      <c r="N722" s="2">
        <v>4</v>
      </c>
      <c r="O722" s="2">
        <v>0</v>
      </c>
      <c r="P722" s="2">
        <v>1</v>
      </c>
      <c r="Q722" s="2">
        <v>0</v>
      </c>
      <c r="R722" s="2">
        <v>0</v>
      </c>
      <c r="S722" s="2">
        <v>0</v>
      </c>
      <c r="T722" s="2">
        <v>2</v>
      </c>
      <c r="U722" s="2">
        <v>0</v>
      </c>
      <c r="V722" s="2">
        <v>0</v>
      </c>
      <c r="W722" s="2">
        <v>34</v>
      </c>
      <c r="X722" s="2">
        <v>0</v>
      </c>
      <c r="Y722" s="2">
        <v>0</v>
      </c>
      <c r="Z722" s="2">
        <v>1</v>
      </c>
      <c r="AA722" s="2">
        <v>2</v>
      </c>
      <c r="AB722" s="2">
        <v>3</v>
      </c>
      <c r="AC722" s="2">
        <v>1</v>
      </c>
      <c r="AD722" s="2">
        <v>1</v>
      </c>
      <c r="AE722" s="2">
        <v>0</v>
      </c>
      <c r="AF722" s="2">
        <v>0</v>
      </c>
    </row>
    <row r="723" spans="1:32" x14ac:dyDescent="0.25">
      <c r="A723">
        <v>722</v>
      </c>
      <c r="B723" s="2">
        <v>1</v>
      </c>
      <c r="C723" s="2">
        <v>6</v>
      </c>
      <c r="D723" s="2">
        <v>1</v>
      </c>
      <c r="E723" s="2">
        <v>0</v>
      </c>
      <c r="F723" s="2">
        <v>0</v>
      </c>
      <c r="G723" s="2">
        <v>0</v>
      </c>
      <c r="H723" s="2">
        <v>0</v>
      </c>
      <c r="I723" s="2">
        <v>1</v>
      </c>
      <c r="J723" s="2">
        <v>0</v>
      </c>
      <c r="K723" s="2">
        <v>433</v>
      </c>
      <c r="L723" s="2">
        <v>3</v>
      </c>
      <c r="M723" s="2">
        <v>1</v>
      </c>
      <c r="N723" s="2">
        <v>4</v>
      </c>
      <c r="O723" s="2">
        <v>0</v>
      </c>
      <c r="P723" s="2">
        <v>0</v>
      </c>
      <c r="Q723" s="2">
        <v>0</v>
      </c>
      <c r="R723" s="2">
        <v>0</v>
      </c>
      <c r="S723" s="2">
        <v>0</v>
      </c>
      <c r="T723" s="2">
        <v>2</v>
      </c>
      <c r="U723" s="2">
        <v>0</v>
      </c>
      <c r="V723" s="2">
        <v>0</v>
      </c>
      <c r="W723" s="2">
        <v>24</v>
      </c>
      <c r="X723" s="2">
        <v>1</v>
      </c>
      <c r="Y723" s="2">
        <v>1</v>
      </c>
      <c r="Z723" s="2">
        <v>0</v>
      </c>
      <c r="AA723" s="2">
        <v>1</v>
      </c>
      <c r="AB723" s="2">
        <v>2</v>
      </c>
      <c r="AC723" s="2">
        <v>2</v>
      </c>
      <c r="AD723" s="2">
        <v>0</v>
      </c>
      <c r="AE723" s="2">
        <v>0</v>
      </c>
      <c r="AF723" s="2">
        <v>0</v>
      </c>
    </row>
    <row r="724" spans="1:32" x14ac:dyDescent="0.25">
      <c r="A724">
        <v>723</v>
      </c>
      <c r="B724" s="2">
        <v>0</v>
      </c>
      <c r="C724" s="2">
        <v>12</v>
      </c>
      <c r="D724" s="2">
        <v>2</v>
      </c>
      <c r="E724" s="2">
        <v>1</v>
      </c>
      <c r="F724" s="2">
        <v>0</v>
      </c>
      <c r="G724" s="2">
        <v>0</v>
      </c>
      <c r="H724" s="2">
        <v>0</v>
      </c>
      <c r="I724" s="2">
        <v>0</v>
      </c>
      <c r="J724" s="2">
        <v>0</v>
      </c>
      <c r="K724" s="2">
        <v>1228</v>
      </c>
      <c r="L724" s="2">
        <v>0</v>
      </c>
      <c r="M724" s="2">
        <v>2</v>
      </c>
      <c r="N724" s="2">
        <v>4</v>
      </c>
      <c r="O724" s="2">
        <v>0</v>
      </c>
      <c r="P724" s="2">
        <v>0</v>
      </c>
      <c r="Q724" s="2">
        <v>0</v>
      </c>
      <c r="R724" s="2">
        <v>0</v>
      </c>
      <c r="S724" s="2">
        <v>0</v>
      </c>
      <c r="T724" s="2">
        <v>2</v>
      </c>
      <c r="U724" s="2">
        <v>1</v>
      </c>
      <c r="V724" s="2">
        <v>0</v>
      </c>
      <c r="W724" s="2">
        <v>24</v>
      </c>
      <c r="X724" s="2">
        <v>0</v>
      </c>
      <c r="Y724" s="2">
        <v>0</v>
      </c>
      <c r="Z724" s="2">
        <v>1</v>
      </c>
      <c r="AA724" s="2">
        <v>1</v>
      </c>
      <c r="AB724" s="2">
        <v>1</v>
      </c>
      <c r="AC724" s="2">
        <v>1</v>
      </c>
      <c r="AD724" s="2">
        <v>0</v>
      </c>
      <c r="AE724" s="2">
        <v>0</v>
      </c>
      <c r="AF724" s="2">
        <v>0</v>
      </c>
    </row>
    <row r="725" spans="1:32" x14ac:dyDescent="0.25">
      <c r="A725">
        <v>724</v>
      </c>
      <c r="B725" s="2">
        <v>1</v>
      </c>
      <c r="C725" s="2">
        <v>9</v>
      </c>
      <c r="D725" s="2">
        <v>2</v>
      </c>
      <c r="E725" s="2">
        <v>0</v>
      </c>
      <c r="F725" s="2">
        <v>0</v>
      </c>
      <c r="G725" s="2">
        <v>0</v>
      </c>
      <c r="H725" s="2">
        <v>1</v>
      </c>
      <c r="I725" s="2">
        <v>0</v>
      </c>
      <c r="J725" s="2">
        <v>0</v>
      </c>
      <c r="K725" s="2">
        <v>790</v>
      </c>
      <c r="L725" s="2">
        <v>2</v>
      </c>
      <c r="M725" s="2">
        <v>2</v>
      </c>
      <c r="N725" s="2">
        <v>4</v>
      </c>
      <c r="O725" s="2">
        <v>0</v>
      </c>
      <c r="P725" s="2">
        <v>0</v>
      </c>
      <c r="Q725" s="2">
        <v>0</v>
      </c>
      <c r="R725" s="2">
        <v>0</v>
      </c>
      <c r="S725" s="2">
        <v>0</v>
      </c>
      <c r="T725" s="2">
        <v>3</v>
      </c>
      <c r="U725" s="2">
        <v>1</v>
      </c>
      <c r="V725" s="2">
        <v>0</v>
      </c>
      <c r="W725" s="2">
        <v>66</v>
      </c>
      <c r="X725" s="2">
        <v>0</v>
      </c>
      <c r="Y725" s="2">
        <v>0</v>
      </c>
      <c r="Z725" s="2">
        <v>1</v>
      </c>
      <c r="AA725" s="2">
        <v>1</v>
      </c>
      <c r="AB725" s="2">
        <v>1</v>
      </c>
      <c r="AC725" s="2">
        <v>1</v>
      </c>
      <c r="AD725" s="2">
        <v>0</v>
      </c>
      <c r="AE725" s="2">
        <v>0</v>
      </c>
      <c r="AF725" s="2">
        <v>1</v>
      </c>
    </row>
    <row r="726" spans="1:32" x14ac:dyDescent="0.25">
      <c r="A726">
        <v>725</v>
      </c>
      <c r="B726" s="2">
        <v>3</v>
      </c>
      <c r="C726" s="2">
        <v>27</v>
      </c>
      <c r="D726" s="2">
        <v>2</v>
      </c>
      <c r="E726" s="2">
        <v>1</v>
      </c>
      <c r="F726" s="2">
        <v>0</v>
      </c>
      <c r="G726" s="2">
        <v>0</v>
      </c>
      <c r="H726" s="2">
        <v>0</v>
      </c>
      <c r="I726" s="2">
        <v>0</v>
      </c>
      <c r="J726" s="2">
        <v>0</v>
      </c>
      <c r="K726" s="2">
        <v>2570</v>
      </c>
      <c r="L726" s="2">
        <v>0</v>
      </c>
      <c r="M726" s="2">
        <v>2</v>
      </c>
      <c r="N726" s="2">
        <v>3</v>
      </c>
      <c r="O726" s="2">
        <v>0</v>
      </c>
      <c r="P726" s="2">
        <v>0</v>
      </c>
      <c r="Q726" s="2">
        <v>0</v>
      </c>
      <c r="R726" s="2">
        <v>0</v>
      </c>
      <c r="S726" s="2">
        <v>0</v>
      </c>
      <c r="T726" s="2">
        <v>3</v>
      </c>
      <c r="U726" s="2">
        <v>1</v>
      </c>
      <c r="V726" s="2">
        <v>0</v>
      </c>
      <c r="W726" s="2">
        <v>21</v>
      </c>
      <c r="X726" s="2">
        <v>0</v>
      </c>
      <c r="Y726" s="2">
        <v>1</v>
      </c>
      <c r="Z726" s="2">
        <v>0</v>
      </c>
      <c r="AA726" s="2">
        <v>1</v>
      </c>
      <c r="AB726" s="2">
        <v>2</v>
      </c>
      <c r="AC726" s="2">
        <v>1</v>
      </c>
      <c r="AD726" s="2">
        <v>0</v>
      </c>
      <c r="AE726" s="2">
        <v>0</v>
      </c>
      <c r="AF726" s="2">
        <v>0</v>
      </c>
    </row>
    <row r="727" spans="1:32" x14ac:dyDescent="0.25">
      <c r="A727">
        <v>726</v>
      </c>
      <c r="B727" s="2">
        <v>3</v>
      </c>
      <c r="C727" s="2">
        <v>6</v>
      </c>
      <c r="D727" s="2">
        <v>4</v>
      </c>
      <c r="E727" s="2">
        <v>1</v>
      </c>
      <c r="F727" s="2">
        <v>0</v>
      </c>
      <c r="G727" s="2">
        <v>0</v>
      </c>
      <c r="H727" s="2">
        <v>0</v>
      </c>
      <c r="I727" s="2">
        <v>0</v>
      </c>
      <c r="J727" s="2">
        <v>0</v>
      </c>
      <c r="K727" s="2">
        <v>250</v>
      </c>
      <c r="L727" s="2">
        <v>3</v>
      </c>
      <c r="M727" s="2">
        <v>2</v>
      </c>
      <c r="N727" s="2">
        <v>2</v>
      </c>
      <c r="O727" s="2">
        <v>0</v>
      </c>
      <c r="P727" s="2">
        <v>0</v>
      </c>
      <c r="Q727" s="2">
        <v>0</v>
      </c>
      <c r="R727" s="2">
        <v>0</v>
      </c>
      <c r="S727" s="2">
        <v>0</v>
      </c>
      <c r="T727" s="2">
        <v>2</v>
      </c>
      <c r="U727" s="2">
        <v>1</v>
      </c>
      <c r="V727" s="2">
        <v>0</v>
      </c>
      <c r="W727" s="2">
        <v>41</v>
      </c>
      <c r="X727" s="2">
        <v>1</v>
      </c>
      <c r="Y727" s="2">
        <v>0</v>
      </c>
      <c r="Z727" s="2">
        <v>1</v>
      </c>
      <c r="AA727" s="2">
        <v>2</v>
      </c>
      <c r="AB727" s="2">
        <v>1</v>
      </c>
      <c r="AC727" s="2">
        <v>1</v>
      </c>
      <c r="AD727" s="2">
        <v>0</v>
      </c>
      <c r="AE727" s="2">
        <v>0</v>
      </c>
      <c r="AF727" s="2">
        <v>1</v>
      </c>
    </row>
    <row r="728" spans="1:32" x14ac:dyDescent="0.25">
      <c r="A728">
        <v>727</v>
      </c>
      <c r="B728" s="2">
        <v>3</v>
      </c>
      <c r="C728" s="2">
        <v>15</v>
      </c>
      <c r="D728" s="2">
        <v>4</v>
      </c>
      <c r="E728" s="2">
        <v>0</v>
      </c>
      <c r="F728" s="2">
        <v>0</v>
      </c>
      <c r="G728" s="2">
        <v>0</v>
      </c>
      <c r="H728" s="2">
        <v>1</v>
      </c>
      <c r="I728" s="2">
        <v>0</v>
      </c>
      <c r="J728" s="2">
        <v>0</v>
      </c>
      <c r="K728" s="2">
        <v>1316</v>
      </c>
      <c r="L728" s="2">
        <v>2</v>
      </c>
      <c r="M728" s="2">
        <v>2</v>
      </c>
      <c r="N728" s="2">
        <v>2</v>
      </c>
      <c r="O728" s="2">
        <v>0</v>
      </c>
      <c r="P728" s="2">
        <v>0</v>
      </c>
      <c r="Q728" s="2">
        <v>1</v>
      </c>
      <c r="R728" s="2">
        <v>0</v>
      </c>
      <c r="S728" s="2">
        <v>0</v>
      </c>
      <c r="T728" s="2">
        <v>2</v>
      </c>
      <c r="U728" s="2">
        <v>0</v>
      </c>
      <c r="V728" s="2">
        <v>0</v>
      </c>
      <c r="W728" s="2">
        <v>47</v>
      </c>
      <c r="X728" s="2">
        <v>0</v>
      </c>
      <c r="Y728" s="2">
        <v>0</v>
      </c>
      <c r="Z728" s="2">
        <v>1</v>
      </c>
      <c r="AA728" s="2">
        <v>2</v>
      </c>
      <c r="AB728" s="2">
        <v>1</v>
      </c>
      <c r="AC728" s="2">
        <v>1</v>
      </c>
      <c r="AD728" s="2">
        <v>0</v>
      </c>
      <c r="AE728" s="2">
        <v>0</v>
      </c>
      <c r="AF728" s="2">
        <v>1</v>
      </c>
    </row>
    <row r="729" spans="1:32" x14ac:dyDescent="0.25">
      <c r="A729">
        <v>728</v>
      </c>
      <c r="B729" s="2">
        <v>0</v>
      </c>
      <c r="C729" s="2">
        <v>18</v>
      </c>
      <c r="D729" s="2">
        <v>2</v>
      </c>
      <c r="E729" s="2">
        <v>0</v>
      </c>
      <c r="F729" s="2">
        <v>0</v>
      </c>
      <c r="G729" s="2">
        <v>0</v>
      </c>
      <c r="H729" s="2">
        <v>1</v>
      </c>
      <c r="I729" s="2">
        <v>0</v>
      </c>
      <c r="J729" s="2">
        <v>0</v>
      </c>
      <c r="K729" s="2">
        <v>1882</v>
      </c>
      <c r="L729" s="2">
        <v>0</v>
      </c>
      <c r="M729" s="2">
        <v>2</v>
      </c>
      <c r="N729" s="2">
        <v>4</v>
      </c>
      <c r="O729" s="2">
        <v>0</v>
      </c>
      <c r="P729" s="2">
        <v>0</v>
      </c>
      <c r="Q729" s="2">
        <v>0</v>
      </c>
      <c r="R729" s="2">
        <v>0</v>
      </c>
      <c r="S729" s="2">
        <v>0</v>
      </c>
      <c r="T729" s="2">
        <v>4</v>
      </c>
      <c r="U729" s="2">
        <v>0</v>
      </c>
      <c r="V729" s="2">
        <v>0</v>
      </c>
      <c r="W729" s="2">
        <v>25</v>
      </c>
      <c r="X729" s="2">
        <v>1</v>
      </c>
      <c r="Y729" s="2">
        <v>1</v>
      </c>
      <c r="Z729" s="2">
        <v>0</v>
      </c>
      <c r="AA729" s="2">
        <v>2</v>
      </c>
      <c r="AB729" s="2">
        <v>2</v>
      </c>
      <c r="AC729" s="2">
        <v>1</v>
      </c>
      <c r="AD729" s="2">
        <v>0</v>
      </c>
      <c r="AE729" s="2">
        <v>0</v>
      </c>
      <c r="AF729" s="2">
        <v>0</v>
      </c>
    </row>
    <row r="730" spans="1:32" x14ac:dyDescent="0.25">
      <c r="A730">
        <v>729</v>
      </c>
      <c r="B730" s="2">
        <v>1</v>
      </c>
      <c r="C730" s="2">
        <v>48</v>
      </c>
      <c r="D730" s="2">
        <v>1</v>
      </c>
      <c r="E730" s="2">
        <v>0</v>
      </c>
      <c r="F730" s="2">
        <v>0</v>
      </c>
      <c r="G730" s="2">
        <v>0</v>
      </c>
      <c r="H730" s="2">
        <v>0</v>
      </c>
      <c r="I730" s="2">
        <v>0</v>
      </c>
      <c r="J730" s="2">
        <v>1</v>
      </c>
      <c r="K730" s="2">
        <v>6416</v>
      </c>
      <c r="L730" s="2">
        <v>0</v>
      </c>
      <c r="M730" s="2">
        <v>4</v>
      </c>
      <c r="N730" s="2">
        <v>4</v>
      </c>
      <c r="O730" s="2">
        <v>0</v>
      </c>
      <c r="P730" s="2">
        <v>0</v>
      </c>
      <c r="Q730" s="2">
        <v>0</v>
      </c>
      <c r="R730" s="2">
        <v>0</v>
      </c>
      <c r="S730" s="2">
        <v>0</v>
      </c>
      <c r="T730" s="2">
        <v>3</v>
      </c>
      <c r="U730" s="2">
        <v>0</v>
      </c>
      <c r="V730" s="2">
        <v>1</v>
      </c>
      <c r="W730" s="2">
        <v>59</v>
      </c>
      <c r="X730" s="2">
        <v>0</v>
      </c>
      <c r="Y730" s="2">
        <v>1</v>
      </c>
      <c r="Z730" s="2">
        <v>0</v>
      </c>
      <c r="AA730" s="2">
        <v>1</v>
      </c>
      <c r="AB730" s="2">
        <v>2</v>
      </c>
      <c r="AC730" s="2">
        <v>1</v>
      </c>
      <c r="AD730" s="2">
        <v>0</v>
      </c>
      <c r="AE730" s="2">
        <v>0</v>
      </c>
      <c r="AF730" s="2">
        <v>0</v>
      </c>
    </row>
    <row r="731" spans="1:32" x14ac:dyDescent="0.25">
      <c r="A731">
        <v>730</v>
      </c>
      <c r="B731" s="2">
        <v>2</v>
      </c>
      <c r="C731" s="2">
        <v>24</v>
      </c>
      <c r="D731" s="2">
        <v>4</v>
      </c>
      <c r="E731" s="2">
        <v>0</v>
      </c>
      <c r="F731" s="2">
        <v>0</v>
      </c>
      <c r="G731" s="2">
        <v>0</v>
      </c>
      <c r="H731" s="2">
        <v>0</v>
      </c>
      <c r="I731" s="2">
        <v>0</v>
      </c>
      <c r="J731" s="2">
        <v>1</v>
      </c>
      <c r="K731" s="2">
        <v>1275</v>
      </c>
      <c r="L731" s="2">
        <v>3</v>
      </c>
      <c r="M731" s="2">
        <v>2</v>
      </c>
      <c r="N731" s="2">
        <v>2</v>
      </c>
      <c r="O731" s="2">
        <v>1</v>
      </c>
      <c r="P731" s="2">
        <v>0</v>
      </c>
      <c r="Q731" s="2">
        <v>0</v>
      </c>
      <c r="R731" s="2">
        <v>0</v>
      </c>
      <c r="S731" s="2">
        <v>0</v>
      </c>
      <c r="T731" s="2">
        <v>4</v>
      </c>
      <c r="U731" s="2">
        <v>1</v>
      </c>
      <c r="V731" s="2">
        <v>0</v>
      </c>
      <c r="W731" s="2">
        <v>36</v>
      </c>
      <c r="X731" s="2">
        <v>0</v>
      </c>
      <c r="Y731" s="2">
        <v>0</v>
      </c>
      <c r="Z731" s="2">
        <v>1</v>
      </c>
      <c r="AA731" s="2">
        <v>2</v>
      </c>
      <c r="AB731" s="2">
        <v>2</v>
      </c>
      <c r="AC731" s="2">
        <v>1</v>
      </c>
      <c r="AD731" s="2">
        <v>1</v>
      </c>
      <c r="AE731" s="2">
        <v>0</v>
      </c>
      <c r="AF731" s="2">
        <v>1</v>
      </c>
    </row>
    <row r="732" spans="1:32" x14ac:dyDescent="0.25">
      <c r="A732">
        <v>731</v>
      </c>
      <c r="B732" s="2">
        <v>1</v>
      </c>
      <c r="C732" s="2">
        <v>24</v>
      </c>
      <c r="D732" s="2">
        <v>3</v>
      </c>
      <c r="E732" s="2">
        <v>0</v>
      </c>
      <c r="F732" s="2">
        <v>0</v>
      </c>
      <c r="G732" s="2">
        <v>0</v>
      </c>
      <c r="H732" s="2">
        <v>1</v>
      </c>
      <c r="I732" s="2">
        <v>0</v>
      </c>
      <c r="J732" s="2">
        <v>0</v>
      </c>
      <c r="K732" s="2">
        <v>6403</v>
      </c>
      <c r="L732" s="2">
        <v>0</v>
      </c>
      <c r="M732" s="2">
        <v>1</v>
      </c>
      <c r="N732" s="2">
        <v>1</v>
      </c>
      <c r="O732" s="2">
        <v>0</v>
      </c>
      <c r="P732" s="2">
        <v>1</v>
      </c>
      <c r="Q732" s="2">
        <v>0</v>
      </c>
      <c r="R732" s="2">
        <v>0</v>
      </c>
      <c r="S732" s="2">
        <v>0</v>
      </c>
      <c r="T732" s="2">
        <v>2</v>
      </c>
      <c r="U732" s="2">
        <v>0</v>
      </c>
      <c r="V732" s="2">
        <v>0</v>
      </c>
      <c r="W732" s="2">
        <v>33</v>
      </c>
      <c r="X732" s="2">
        <v>0</v>
      </c>
      <c r="Y732" s="2">
        <v>0</v>
      </c>
      <c r="Z732" s="2">
        <v>1</v>
      </c>
      <c r="AA732" s="2">
        <v>1</v>
      </c>
      <c r="AB732" s="2">
        <v>2</v>
      </c>
      <c r="AC732" s="2">
        <v>1</v>
      </c>
      <c r="AD732" s="2">
        <v>0</v>
      </c>
      <c r="AE732" s="2">
        <v>0</v>
      </c>
      <c r="AF732" s="2">
        <v>1</v>
      </c>
    </row>
    <row r="733" spans="1:32" x14ac:dyDescent="0.25">
      <c r="A733">
        <v>732</v>
      </c>
      <c r="B733" s="2">
        <v>0</v>
      </c>
      <c r="C733" s="2">
        <v>24</v>
      </c>
      <c r="D733" s="2">
        <v>2</v>
      </c>
      <c r="E733" s="2">
        <v>0</v>
      </c>
      <c r="F733" s="2">
        <v>0</v>
      </c>
      <c r="G733" s="2">
        <v>0</v>
      </c>
      <c r="H733" s="2">
        <v>1</v>
      </c>
      <c r="I733" s="2">
        <v>0</v>
      </c>
      <c r="J733" s="2">
        <v>0</v>
      </c>
      <c r="K733" s="2">
        <v>1987</v>
      </c>
      <c r="L733" s="2">
        <v>0</v>
      </c>
      <c r="M733" s="2">
        <v>2</v>
      </c>
      <c r="N733" s="2">
        <v>2</v>
      </c>
      <c r="O733" s="2">
        <v>0</v>
      </c>
      <c r="P733" s="2">
        <v>1</v>
      </c>
      <c r="Q733" s="2">
        <v>0</v>
      </c>
      <c r="R733" s="2">
        <v>0</v>
      </c>
      <c r="S733" s="2">
        <v>0</v>
      </c>
      <c r="T733" s="2">
        <v>4</v>
      </c>
      <c r="U733" s="2">
        <v>1</v>
      </c>
      <c r="V733" s="2">
        <v>0</v>
      </c>
      <c r="W733" s="2">
        <v>21</v>
      </c>
      <c r="X733" s="2">
        <v>0</v>
      </c>
      <c r="Y733" s="2">
        <v>1</v>
      </c>
      <c r="Z733" s="2">
        <v>0</v>
      </c>
      <c r="AA733" s="2">
        <v>1</v>
      </c>
      <c r="AB733" s="2">
        <v>1</v>
      </c>
      <c r="AC733" s="2">
        <v>2</v>
      </c>
      <c r="AD733" s="2">
        <v>0</v>
      </c>
      <c r="AE733" s="2">
        <v>0</v>
      </c>
      <c r="AF733" s="2">
        <v>0</v>
      </c>
    </row>
    <row r="734" spans="1:32" x14ac:dyDescent="0.25">
      <c r="A734">
        <v>733</v>
      </c>
      <c r="B734" s="2">
        <v>1</v>
      </c>
      <c r="C734" s="2">
        <v>8</v>
      </c>
      <c r="D734" s="2">
        <v>2</v>
      </c>
      <c r="E734" s="2">
        <v>0</v>
      </c>
      <c r="F734" s="2">
        <v>0</v>
      </c>
      <c r="G734" s="2">
        <v>0</v>
      </c>
      <c r="H734" s="2">
        <v>1</v>
      </c>
      <c r="I734" s="2">
        <v>0</v>
      </c>
      <c r="J734" s="2">
        <v>0</v>
      </c>
      <c r="K734" s="2">
        <v>760</v>
      </c>
      <c r="L734" s="2">
        <v>0</v>
      </c>
      <c r="M734" s="2">
        <v>3</v>
      </c>
      <c r="N734" s="2">
        <v>4</v>
      </c>
      <c r="O734" s="2">
        <v>0</v>
      </c>
      <c r="P734" s="2">
        <v>0</v>
      </c>
      <c r="Q734" s="2">
        <v>0</v>
      </c>
      <c r="R734" s="2">
        <v>0</v>
      </c>
      <c r="S734" s="2">
        <v>1</v>
      </c>
      <c r="T734" s="2">
        <v>2</v>
      </c>
      <c r="U734" s="2">
        <v>1</v>
      </c>
      <c r="V734" s="2">
        <v>0</v>
      </c>
      <c r="W734" s="2">
        <v>44</v>
      </c>
      <c r="X734" s="2">
        <v>0</v>
      </c>
      <c r="Y734" s="2">
        <v>0</v>
      </c>
      <c r="Z734" s="2">
        <v>1</v>
      </c>
      <c r="AA734" s="2">
        <v>1</v>
      </c>
      <c r="AB734" s="2">
        <v>1</v>
      </c>
      <c r="AC734" s="2">
        <v>1</v>
      </c>
      <c r="AD734" s="2">
        <v>0</v>
      </c>
      <c r="AE734" s="2">
        <v>0</v>
      </c>
      <c r="AF734" s="2">
        <v>1</v>
      </c>
    </row>
    <row r="735" spans="1:32" x14ac:dyDescent="0.25">
      <c r="A735">
        <v>734</v>
      </c>
      <c r="B735" s="2">
        <v>3</v>
      </c>
      <c r="C735" s="2">
        <v>24</v>
      </c>
      <c r="D735" s="2">
        <v>2</v>
      </c>
      <c r="E735" s="2">
        <v>0</v>
      </c>
      <c r="F735" s="2">
        <v>1</v>
      </c>
      <c r="G735" s="2">
        <v>0</v>
      </c>
      <c r="H735" s="2">
        <v>0</v>
      </c>
      <c r="I735" s="2">
        <v>0</v>
      </c>
      <c r="J735" s="2">
        <v>0</v>
      </c>
      <c r="K735" s="2">
        <v>2603</v>
      </c>
      <c r="L735" s="2">
        <v>3</v>
      </c>
      <c r="M735" s="2">
        <v>2</v>
      </c>
      <c r="N735" s="2">
        <v>2</v>
      </c>
      <c r="O735" s="2">
        <v>0</v>
      </c>
      <c r="P735" s="2">
        <v>0</v>
      </c>
      <c r="Q735" s="2">
        <v>0</v>
      </c>
      <c r="R735" s="2">
        <v>0</v>
      </c>
      <c r="S735" s="2">
        <v>0</v>
      </c>
      <c r="T735" s="2">
        <v>4</v>
      </c>
      <c r="U735" s="2">
        <v>0</v>
      </c>
      <c r="V735" s="2">
        <v>0</v>
      </c>
      <c r="W735" s="2">
        <v>28</v>
      </c>
      <c r="X735" s="2">
        <v>0</v>
      </c>
      <c r="Y735" s="2">
        <v>1</v>
      </c>
      <c r="Z735" s="2">
        <v>0</v>
      </c>
      <c r="AA735" s="2">
        <v>1</v>
      </c>
      <c r="AB735" s="2">
        <v>2</v>
      </c>
      <c r="AC735" s="2">
        <v>1</v>
      </c>
      <c r="AD735" s="2">
        <v>1</v>
      </c>
      <c r="AE735" s="2">
        <v>0</v>
      </c>
      <c r="AF735" s="2">
        <v>1</v>
      </c>
    </row>
    <row r="736" spans="1:32" x14ac:dyDescent="0.25">
      <c r="A736">
        <v>735</v>
      </c>
      <c r="B736" s="2">
        <v>3</v>
      </c>
      <c r="C736" s="2">
        <v>4</v>
      </c>
      <c r="D736" s="2">
        <v>4</v>
      </c>
      <c r="E736" s="2">
        <v>1</v>
      </c>
      <c r="F736" s="2">
        <v>0</v>
      </c>
      <c r="G736" s="2">
        <v>0</v>
      </c>
      <c r="H736" s="2">
        <v>0</v>
      </c>
      <c r="I736" s="2">
        <v>0</v>
      </c>
      <c r="J736" s="2">
        <v>0</v>
      </c>
      <c r="K736" s="2">
        <v>3380</v>
      </c>
      <c r="L736" s="2">
        <v>0</v>
      </c>
      <c r="M736" s="2">
        <v>3</v>
      </c>
      <c r="N736" s="2">
        <v>1</v>
      </c>
      <c r="O736" s="2">
        <v>0</v>
      </c>
      <c r="P736" s="2">
        <v>0</v>
      </c>
      <c r="Q736" s="2">
        <v>0</v>
      </c>
      <c r="R736" s="2">
        <v>0</v>
      </c>
      <c r="S736" s="2">
        <v>0</v>
      </c>
      <c r="T736" s="2">
        <v>1</v>
      </c>
      <c r="U736" s="2">
        <v>1</v>
      </c>
      <c r="V736" s="2">
        <v>0</v>
      </c>
      <c r="W736" s="2">
        <v>37</v>
      </c>
      <c r="X736" s="2">
        <v>0</v>
      </c>
      <c r="Y736" s="2">
        <v>0</v>
      </c>
      <c r="Z736" s="2">
        <v>1</v>
      </c>
      <c r="AA736" s="2">
        <v>1</v>
      </c>
      <c r="AB736" s="2">
        <v>2</v>
      </c>
      <c r="AC736" s="2">
        <v>2</v>
      </c>
      <c r="AD736" s="2">
        <v>0</v>
      </c>
      <c r="AE736" s="2">
        <v>0</v>
      </c>
      <c r="AF736" s="2">
        <v>1</v>
      </c>
    </row>
    <row r="737" spans="1:32" x14ac:dyDescent="0.25">
      <c r="A737">
        <v>736</v>
      </c>
      <c r="B737" s="2">
        <v>1</v>
      </c>
      <c r="C737" s="2">
        <v>36</v>
      </c>
      <c r="D737" s="2">
        <v>1</v>
      </c>
      <c r="E737" s="2">
        <v>0</v>
      </c>
      <c r="F737" s="2">
        <v>0</v>
      </c>
      <c r="G737" s="2">
        <v>0</v>
      </c>
      <c r="H737" s="2">
        <v>0</v>
      </c>
      <c r="I737" s="2">
        <v>0</v>
      </c>
      <c r="J737" s="2">
        <v>0</v>
      </c>
      <c r="K737" s="2">
        <v>3990</v>
      </c>
      <c r="L737" s="2">
        <v>4</v>
      </c>
      <c r="M737" s="2">
        <v>1</v>
      </c>
      <c r="N737" s="2">
        <v>3</v>
      </c>
      <c r="O737" s="2">
        <v>0</v>
      </c>
      <c r="P737" s="2">
        <v>0</v>
      </c>
      <c r="Q737" s="2">
        <v>0</v>
      </c>
      <c r="R737" s="2">
        <v>0</v>
      </c>
      <c r="S737" s="2">
        <v>0</v>
      </c>
      <c r="T737" s="2">
        <v>2</v>
      </c>
      <c r="U737" s="2">
        <v>0</v>
      </c>
      <c r="V737" s="2">
        <v>1</v>
      </c>
      <c r="W737" s="2">
        <v>29</v>
      </c>
      <c r="X737" s="2">
        <v>1</v>
      </c>
      <c r="Y737" s="2">
        <v>0</v>
      </c>
      <c r="Z737" s="2">
        <v>1</v>
      </c>
      <c r="AA737" s="2">
        <v>1</v>
      </c>
      <c r="AB737" s="2">
        <v>0</v>
      </c>
      <c r="AC737" s="2">
        <v>1</v>
      </c>
      <c r="AD737" s="2">
        <v>0</v>
      </c>
      <c r="AE737" s="2">
        <v>0</v>
      </c>
      <c r="AF737" s="2">
        <v>1</v>
      </c>
    </row>
    <row r="738" spans="1:32" x14ac:dyDescent="0.25">
      <c r="A738">
        <v>737</v>
      </c>
      <c r="B738" s="2">
        <v>1</v>
      </c>
      <c r="C738" s="2">
        <v>24</v>
      </c>
      <c r="D738" s="2">
        <v>2</v>
      </c>
      <c r="E738" s="2">
        <v>0</v>
      </c>
      <c r="F738" s="2">
        <v>1</v>
      </c>
      <c r="G738" s="2">
        <v>0</v>
      </c>
      <c r="H738" s="2">
        <v>0</v>
      </c>
      <c r="I738" s="2">
        <v>0</v>
      </c>
      <c r="J738" s="2">
        <v>0</v>
      </c>
      <c r="K738" s="2">
        <v>11560</v>
      </c>
      <c r="L738" s="2">
        <v>0</v>
      </c>
      <c r="M738" s="2">
        <v>2</v>
      </c>
      <c r="N738" s="2">
        <v>1</v>
      </c>
      <c r="O738" s="2">
        <v>0</v>
      </c>
      <c r="P738" s="2">
        <v>0</v>
      </c>
      <c r="Q738" s="2">
        <v>0</v>
      </c>
      <c r="R738" s="2">
        <v>0</v>
      </c>
      <c r="S738" s="2">
        <v>0</v>
      </c>
      <c r="T738" s="2">
        <v>4</v>
      </c>
      <c r="U738" s="2">
        <v>0</v>
      </c>
      <c r="V738" s="2">
        <v>0</v>
      </c>
      <c r="W738" s="2">
        <v>23</v>
      </c>
      <c r="X738" s="2">
        <v>0</v>
      </c>
      <c r="Y738" s="2">
        <v>1</v>
      </c>
      <c r="Z738" s="2">
        <v>0</v>
      </c>
      <c r="AA738" s="2">
        <v>2</v>
      </c>
      <c r="AB738" s="2">
        <v>3</v>
      </c>
      <c r="AC738" s="2">
        <v>1</v>
      </c>
      <c r="AD738" s="2">
        <v>0</v>
      </c>
      <c r="AE738" s="2">
        <v>0</v>
      </c>
      <c r="AF738" s="2">
        <v>0</v>
      </c>
    </row>
    <row r="739" spans="1:32" x14ac:dyDescent="0.25">
      <c r="A739">
        <v>738</v>
      </c>
      <c r="B739" s="2">
        <v>0</v>
      </c>
      <c r="C739" s="2">
        <v>18</v>
      </c>
      <c r="D739" s="2">
        <v>2</v>
      </c>
      <c r="E739" s="2">
        <v>1</v>
      </c>
      <c r="F739" s="2">
        <v>0</v>
      </c>
      <c r="G739" s="2">
        <v>0</v>
      </c>
      <c r="H739" s="2">
        <v>0</v>
      </c>
      <c r="I739" s="2">
        <v>0</v>
      </c>
      <c r="J739" s="2">
        <v>0</v>
      </c>
      <c r="K739" s="2">
        <v>4380</v>
      </c>
      <c r="L739" s="2">
        <v>1</v>
      </c>
      <c r="M739" s="2">
        <v>2</v>
      </c>
      <c r="N739" s="2">
        <v>3</v>
      </c>
      <c r="O739" s="2">
        <v>0</v>
      </c>
      <c r="P739" s="2">
        <v>1</v>
      </c>
      <c r="Q739" s="2">
        <v>0</v>
      </c>
      <c r="R739" s="2">
        <v>0</v>
      </c>
      <c r="S739" s="2">
        <v>0</v>
      </c>
      <c r="T739" s="2">
        <v>4</v>
      </c>
      <c r="U739" s="2">
        <v>0</v>
      </c>
      <c r="V739" s="2">
        <v>0</v>
      </c>
      <c r="W739" s="2">
        <v>35</v>
      </c>
      <c r="X739" s="2">
        <v>0</v>
      </c>
      <c r="Y739" s="2">
        <v>0</v>
      </c>
      <c r="Z739" s="2">
        <v>1</v>
      </c>
      <c r="AA739" s="2">
        <v>1</v>
      </c>
      <c r="AB739" s="2">
        <v>1</v>
      </c>
      <c r="AC739" s="2">
        <v>2</v>
      </c>
      <c r="AD739" s="2">
        <v>1</v>
      </c>
      <c r="AE739" s="2">
        <v>0</v>
      </c>
      <c r="AF739" s="2">
        <v>1</v>
      </c>
    </row>
    <row r="740" spans="1:32" x14ac:dyDescent="0.25">
      <c r="A740">
        <v>739</v>
      </c>
      <c r="B740" s="2">
        <v>3</v>
      </c>
      <c r="C740" s="2">
        <v>6</v>
      </c>
      <c r="D740" s="2">
        <v>4</v>
      </c>
      <c r="E740" s="2">
        <v>1</v>
      </c>
      <c r="F740" s="2">
        <v>0</v>
      </c>
      <c r="G740" s="2">
        <v>0</v>
      </c>
      <c r="H740" s="2">
        <v>0</v>
      </c>
      <c r="I740" s="2">
        <v>0</v>
      </c>
      <c r="J740" s="2">
        <v>0</v>
      </c>
      <c r="K740" s="2">
        <v>6761</v>
      </c>
      <c r="L740" s="2">
        <v>0</v>
      </c>
      <c r="M740" s="2">
        <v>3</v>
      </c>
      <c r="N740" s="2">
        <v>1</v>
      </c>
      <c r="O740" s="2">
        <v>0</v>
      </c>
      <c r="P740" s="2">
        <v>1</v>
      </c>
      <c r="Q740" s="2">
        <v>0</v>
      </c>
      <c r="R740" s="2">
        <v>0</v>
      </c>
      <c r="S740" s="2">
        <v>0</v>
      </c>
      <c r="T740" s="2">
        <v>3</v>
      </c>
      <c r="U740" s="2">
        <v>0</v>
      </c>
      <c r="V740" s="2">
        <v>1</v>
      </c>
      <c r="W740" s="2">
        <v>45</v>
      </c>
      <c r="X740" s="2">
        <v>0</v>
      </c>
      <c r="Y740" s="2">
        <v>0</v>
      </c>
      <c r="Z740" s="2">
        <v>1</v>
      </c>
      <c r="AA740" s="2">
        <v>2</v>
      </c>
      <c r="AB740" s="2">
        <v>3</v>
      </c>
      <c r="AC740" s="2">
        <v>2</v>
      </c>
      <c r="AD740" s="2">
        <v>1</v>
      </c>
      <c r="AE740" s="2">
        <v>0</v>
      </c>
      <c r="AF740" s="2">
        <v>1</v>
      </c>
    </row>
    <row r="741" spans="1:32" x14ac:dyDescent="0.25">
      <c r="A741">
        <v>740</v>
      </c>
      <c r="B741" s="2">
        <v>1</v>
      </c>
      <c r="C741" s="2">
        <v>30</v>
      </c>
      <c r="D741" s="2">
        <v>0</v>
      </c>
      <c r="E741" s="2">
        <v>0</v>
      </c>
      <c r="F741" s="2">
        <v>0</v>
      </c>
      <c r="G741" s="2">
        <v>0</v>
      </c>
      <c r="H741" s="2">
        <v>0</v>
      </c>
      <c r="I741" s="2">
        <v>0</v>
      </c>
      <c r="J741" s="2">
        <v>1</v>
      </c>
      <c r="K741" s="2">
        <v>4280</v>
      </c>
      <c r="L741" s="2">
        <v>1</v>
      </c>
      <c r="M741" s="2">
        <v>2</v>
      </c>
      <c r="N741" s="2">
        <v>4</v>
      </c>
      <c r="O741" s="2">
        <v>0</v>
      </c>
      <c r="P741" s="2">
        <v>0</v>
      </c>
      <c r="Q741" s="2">
        <v>0</v>
      </c>
      <c r="R741" s="2">
        <v>0</v>
      </c>
      <c r="S741" s="2">
        <v>0</v>
      </c>
      <c r="T741" s="2">
        <v>4</v>
      </c>
      <c r="U741" s="2">
        <v>0</v>
      </c>
      <c r="V741" s="2">
        <v>0</v>
      </c>
      <c r="W741" s="2">
        <v>26</v>
      </c>
      <c r="X741" s="2">
        <v>0</v>
      </c>
      <c r="Y741" s="2">
        <v>1</v>
      </c>
      <c r="Z741" s="2">
        <v>0</v>
      </c>
      <c r="AA741" s="2">
        <v>2</v>
      </c>
      <c r="AB741" s="2">
        <v>1</v>
      </c>
      <c r="AC741" s="2">
        <v>1</v>
      </c>
      <c r="AD741" s="2">
        <v>0</v>
      </c>
      <c r="AE741" s="2">
        <v>0</v>
      </c>
      <c r="AF741" s="2">
        <v>0</v>
      </c>
    </row>
    <row r="742" spans="1:32" x14ac:dyDescent="0.25">
      <c r="A742">
        <v>741</v>
      </c>
      <c r="B742" s="2">
        <v>0</v>
      </c>
      <c r="C742" s="2">
        <v>24</v>
      </c>
      <c r="D742" s="2">
        <v>1</v>
      </c>
      <c r="E742" s="2">
        <v>1</v>
      </c>
      <c r="F742" s="2">
        <v>0</v>
      </c>
      <c r="G742" s="2">
        <v>0</v>
      </c>
      <c r="H742" s="2">
        <v>0</v>
      </c>
      <c r="I742" s="2">
        <v>0</v>
      </c>
      <c r="J742" s="2">
        <v>0</v>
      </c>
      <c r="K742" s="2">
        <v>2325</v>
      </c>
      <c r="L742" s="2">
        <v>1</v>
      </c>
      <c r="M742" s="2">
        <v>3</v>
      </c>
      <c r="N742" s="2">
        <v>2</v>
      </c>
      <c r="O742" s="2">
        <v>0</v>
      </c>
      <c r="P742" s="2">
        <v>1</v>
      </c>
      <c r="Q742" s="2">
        <v>0</v>
      </c>
      <c r="R742" s="2">
        <v>0</v>
      </c>
      <c r="S742" s="2">
        <v>0</v>
      </c>
      <c r="T742" s="2">
        <v>3</v>
      </c>
      <c r="U742" s="2">
        <v>0</v>
      </c>
      <c r="V742" s="2">
        <v>0</v>
      </c>
      <c r="W742" s="2">
        <v>32</v>
      </c>
      <c r="X742" s="2">
        <v>1</v>
      </c>
      <c r="Y742" s="2">
        <v>0</v>
      </c>
      <c r="Z742" s="2">
        <v>1</v>
      </c>
      <c r="AA742" s="2">
        <v>1</v>
      </c>
      <c r="AB742" s="2">
        <v>2</v>
      </c>
      <c r="AC742" s="2">
        <v>1</v>
      </c>
      <c r="AD742" s="2">
        <v>0</v>
      </c>
      <c r="AE742" s="2">
        <v>0</v>
      </c>
      <c r="AF742" s="2">
        <v>1</v>
      </c>
    </row>
    <row r="743" spans="1:32" x14ac:dyDescent="0.25">
      <c r="A743">
        <v>742</v>
      </c>
      <c r="B743" s="2">
        <v>1</v>
      </c>
      <c r="C743" s="2">
        <v>10</v>
      </c>
      <c r="D743" s="2">
        <v>1</v>
      </c>
      <c r="E743" s="2">
        <v>0</v>
      </c>
      <c r="F743" s="2">
        <v>0</v>
      </c>
      <c r="G743" s="2">
        <v>0</v>
      </c>
      <c r="H743" s="2">
        <v>1</v>
      </c>
      <c r="I743" s="2">
        <v>0</v>
      </c>
      <c r="J743" s="2">
        <v>0</v>
      </c>
      <c r="K743" s="2">
        <v>1048</v>
      </c>
      <c r="L743" s="2">
        <v>0</v>
      </c>
      <c r="M743" s="2">
        <v>2</v>
      </c>
      <c r="N743" s="2">
        <v>4</v>
      </c>
      <c r="O743" s="2">
        <v>0</v>
      </c>
      <c r="P743" s="2">
        <v>1</v>
      </c>
      <c r="Q743" s="2">
        <v>0</v>
      </c>
      <c r="R743" s="2">
        <v>0</v>
      </c>
      <c r="S743" s="2">
        <v>0</v>
      </c>
      <c r="T743" s="2">
        <v>4</v>
      </c>
      <c r="U743" s="2">
        <v>1</v>
      </c>
      <c r="V743" s="2">
        <v>0</v>
      </c>
      <c r="W743" s="2">
        <v>23</v>
      </c>
      <c r="X743" s="2">
        <v>1</v>
      </c>
      <c r="Y743" s="2">
        <v>0</v>
      </c>
      <c r="Z743" s="2">
        <v>1</v>
      </c>
      <c r="AA743" s="2">
        <v>1</v>
      </c>
      <c r="AB743" s="2">
        <v>1</v>
      </c>
      <c r="AC743" s="2">
        <v>1</v>
      </c>
      <c r="AD743" s="2">
        <v>0</v>
      </c>
      <c r="AE743" s="2">
        <v>0</v>
      </c>
      <c r="AF743" s="2">
        <v>1</v>
      </c>
    </row>
    <row r="744" spans="1:32" x14ac:dyDescent="0.25">
      <c r="A744">
        <v>743</v>
      </c>
      <c r="B744" s="2">
        <v>3</v>
      </c>
      <c r="C744" s="2">
        <v>21</v>
      </c>
      <c r="D744" s="2">
        <v>2</v>
      </c>
      <c r="E744" s="2">
        <v>0</v>
      </c>
      <c r="F744" s="2">
        <v>0</v>
      </c>
      <c r="G744" s="2">
        <v>0</v>
      </c>
      <c r="H744" s="2">
        <v>1</v>
      </c>
      <c r="I744" s="2">
        <v>0</v>
      </c>
      <c r="J744" s="2">
        <v>0</v>
      </c>
      <c r="K744" s="2">
        <v>3160</v>
      </c>
      <c r="L744" s="2">
        <v>4</v>
      </c>
      <c r="M744" s="2">
        <v>4</v>
      </c>
      <c r="N744" s="2">
        <v>4</v>
      </c>
      <c r="O744" s="2">
        <v>0</v>
      </c>
      <c r="P744" s="2">
        <v>1</v>
      </c>
      <c r="Q744" s="2">
        <v>0</v>
      </c>
      <c r="R744" s="2">
        <v>0</v>
      </c>
      <c r="S744" s="2">
        <v>0</v>
      </c>
      <c r="T744" s="2">
        <v>3</v>
      </c>
      <c r="U744" s="2">
        <v>0</v>
      </c>
      <c r="V744" s="2">
        <v>0</v>
      </c>
      <c r="W744" s="2">
        <v>41</v>
      </c>
      <c r="X744" s="2">
        <v>0</v>
      </c>
      <c r="Y744" s="2">
        <v>0</v>
      </c>
      <c r="Z744" s="2">
        <v>1</v>
      </c>
      <c r="AA744" s="2">
        <v>1</v>
      </c>
      <c r="AB744" s="2">
        <v>2</v>
      </c>
      <c r="AC744" s="2">
        <v>1</v>
      </c>
      <c r="AD744" s="2">
        <v>1</v>
      </c>
      <c r="AE744" s="2">
        <v>0</v>
      </c>
      <c r="AF744" s="2">
        <v>1</v>
      </c>
    </row>
    <row r="745" spans="1:32" x14ac:dyDescent="0.25">
      <c r="A745">
        <v>744</v>
      </c>
      <c r="B745" s="2">
        <v>0</v>
      </c>
      <c r="C745" s="2">
        <v>24</v>
      </c>
      <c r="D745" s="2">
        <v>1</v>
      </c>
      <c r="E745" s="2">
        <v>0</v>
      </c>
      <c r="F745" s="2">
        <v>0</v>
      </c>
      <c r="G745" s="2">
        <v>1</v>
      </c>
      <c r="H745" s="2">
        <v>0</v>
      </c>
      <c r="I745" s="2">
        <v>0</v>
      </c>
      <c r="J745" s="2">
        <v>0</v>
      </c>
      <c r="K745" s="2">
        <v>2483</v>
      </c>
      <c r="L745" s="2">
        <v>2</v>
      </c>
      <c r="M745" s="2">
        <v>2</v>
      </c>
      <c r="N745" s="2">
        <v>4</v>
      </c>
      <c r="O745" s="2">
        <v>0</v>
      </c>
      <c r="P745" s="2">
        <v>1</v>
      </c>
      <c r="Q745" s="2">
        <v>0</v>
      </c>
      <c r="R745" s="2">
        <v>0</v>
      </c>
      <c r="S745" s="2">
        <v>0</v>
      </c>
      <c r="T745" s="2">
        <v>4</v>
      </c>
      <c r="U745" s="2">
        <v>1</v>
      </c>
      <c r="V745" s="2">
        <v>0</v>
      </c>
      <c r="W745" s="2">
        <v>22</v>
      </c>
      <c r="X745" s="2">
        <v>1</v>
      </c>
      <c r="Y745" s="2">
        <v>0</v>
      </c>
      <c r="Z745" s="2">
        <v>1</v>
      </c>
      <c r="AA745" s="2">
        <v>1</v>
      </c>
      <c r="AB745" s="2">
        <v>2</v>
      </c>
      <c r="AC745" s="2">
        <v>1</v>
      </c>
      <c r="AD745" s="2">
        <v>1</v>
      </c>
      <c r="AE745" s="2">
        <v>0</v>
      </c>
      <c r="AF745" s="2">
        <v>1</v>
      </c>
    </row>
    <row r="746" spans="1:32" x14ac:dyDescent="0.25">
      <c r="A746">
        <v>745</v>
      </c>
      <c r="B746" s="2">
        <v>0</v>
      </c>
      <c r="C746" s="2">
        <v>39</v>
      </c>
      <c r="D746" s="2">
        <v>4</v>
      </c>
      <c r="E746" s="2">
        <v>0</v>
      </c>
      <c r="F746" s="2">
        <v>0</v>
      </c>
      <c r="G746" s="2">
        <v>1</v>
      </c>
      <c r="H746" s="2">
        <v>0</v>
      </c>
      <c r="I746" s="2">
        <v>0</v>
      </c>
      <c r="J746" s="2">
        <v>0</v>
      </c>
      <c r="K746" s="2">
        <v>14179</v>
      </c>
      <c r="L746" s="2">
        <v>4</v>
      </c>
      <c r="M746" s="2">
        <v>3</v>
      </c>
      <c r="N746" s="2">
        <v>4</v>
      </c>
      <c r="O746" s="2">
        <v>0</v>
      </c>
      <c r="P746" s="2">
        <v>1</v>
      </c>
      <c r="Q746" s="2">
        <v>0</v>
      </c>
      <c r="R746" s="2">
        <v>0</v>
      </c>
      <c r="S746" s="2">
        <v>0</v>
      </c>
      <c r="T746" s="2">
        <v>4</v>
      </c>
      <c r="U746" s="2">
        <v>0</v>
      </c>
      <c r="V746" s="2">
        <v>0</v>
      </c>
      <c r="W746" s="2">
        <v>30</v>
      </c>
      <c r="X746" s="2">
        <v>0</v>
      </c>
      <c r="Y746" s="2">
        <v>0</v>
      </c>
      <c r="Z746" s="2">
        <v>1</v>
      </c>
      <c r="AA746" s="2">
        <v>2</v>
      </c>
      <c r="AB746" s="2">
        <v>3</v>
      </c>
      <c r="AC746" s="2">
        <v>1</v>
      </c>
      <c r="AD746" s="2">
        <v>1</v>
      </c>
      <c r="AE746" s="2">
        <v>0</v>
      </c>
      <c r="AF746" s="2">
        <v>1</v>
      </c>
    </row>
    <row r="747" spans="1:32" x14ac:dyDescent="0.25">
      <c r="A747">
        <v>746</v>
      </c>
      <c r="B747" s="2">
        <v>0</v>
      </c>
      <c r="C747" s="2">
        <v>13</v>
      </c>
      <c r="D747" s="2">
        <v>4</v>
      </c>
      <c r="E747" s="2">
        <v>0</v>
      </c>
      <c r="F747" s="2">
        <v>0</v>
      </c>
      <c r="G747" s="2">
        <v>0</v>
      </c>
      <c r="H747" s="2">
        <v>0</v>
      </c>
      <c r="I747" s="2">
        <v>0</v>
      </c>
      <c r="J747" s="2">
        <v>1</v>
      </c>
      <c r="K747" s="2">
        <v>1797</v>
      </c>
      <c r="L747" s="2">
        <v>0</v>
      </c>
      <c r="M747" s="2">
        <v>1</v>
      </c>
      <c r="N747" s="2">
        <v>3</v>
      </c>
      <c r="O747" s="2">
        <v>0</v>
      </c>
      <c r="P747" s="2">
        <v>1</v>
      </c>
      <c r="Q747" s="2">
        <v>0</v>
      </c>
      <c r="R747" s="2">
        <v>0</v>
      </c>
      <c r="S747" s="2">
        <v>0</v>
      </c>
      <c r="T747" s="2">
        <v>1</v>
      </c>
      <c r="U747" s="2">
        <v>0</v>
      </c>
      <c r="V747" s="2">
        <v>0</v>
      </c>
      <c r="W747" s="2">
        <v>28</v>
      </c>
      <c r="X747" s="2">
        <v>1</v>
      </c>
      <c r="Y747" s="2">
        <v>0</v>
      </c>
      <c r="Z747" s="2">
        <v>1</v>
      </c>
      <c r="AA747" s="2">
        <v>2</v>
      </c>
      <c r="AB747" s="2">
        <v>1</v>
      </c>
      <c r="AC747" s="2">
        <v>1</v>
      </c>
      <c r="AD747" s="2">
        <v>0</v>
      </c>
      <c r="AE747" s="2">
        <v>0</v>
      </c>
      <c r="AF747" s="2">
        <v>1</v>
      </c>
    </row>
    <row r="748" spans="1:32" x14ac:dyDescent="0.25">
      <c r="A748">
        <v>747</v>
      </c>
      <c r="B748" s="2">
        <v>0</v>
      </c>
      <c r="C748" s="2">
        <v>15</v>
      </c>
      <c r="D748" s="2">
        <v>2</v>
      </c>
      <c r="E748" s="2">
        <v>1</v>
      </c>
      <c r="F748" s="2">
        <v>0</v>
      </c>
      <c r="G748" s="2">
        <v>0</v>
      </c>
      <c r="H748" s="2">
        <v>0</v>
      </c>
      <c r="I748" s="2">
        <v>0</v>
      </c>
      <c r="J748" s="2">
        <v>0</v>
      </c>
      <c r="K748" s="2">
        <v>2511</v>
      </c>
      <c r="L748" s="2">
        <v>0</v>
      </c>
      <c r="M748" s="2">
        <v>0</v>
      </c>
      <c r="N748" s="2">
        <v>1</v>
      </c>
      <c r="O748" s="2">
        <v>0</v>
      </c>
      <c r="P748" s="2">
        <v>0</v>
      </c>
      <c r="Q748" s="2">
        <v>0</v>
      </c>
      <c r="R748" s="2">
        <v>0</v>
      </c>
      <c r="S748" s="2">
        <v>0</v>
      </c>
      <c r="T748" s="2">
        <v>4</v>
      </c>
      <c r="U748" s="2">
        <v>0</v>
      </c>
      <c r="V748" s="2">
        <v>0</v>
      </c>
      <c r="W748" s="2">
        <v>23</v>
      </c>
      <c r="X748" s="2">
        <v>0</v>
      </c>
      <c r="Y748" s="2">
        <v>1</v>
      </c>
      <c r="Z748" s="2">
        <v>0</v>
      </c>
      <c r="AA748" s="2">
        <v>1</v>
      </c>
      <c r="AB748" s="2">
        <v>2</v>
      </c>
      <c r="AC748" s="2">
        <v>1</v>
      </c>
      <c r="AD748" s="2">
        <v>0</v>
      </c>
      <c r="AE748" s="2">
        <v>0</v>
      </c>
      <c r="AF748" s="2">
        <v>1</v>
      </c>
    </row>
    <row r="749" spans="1:32" x14ac:dyDescent="0.25">
      <c r="A749">
        <v>748</v>
      </c>
      <c r="B749" s="2">
        <v>0</v>
      </c>
      <c r="C749" s="2">
        <v>12</v>
      </c>
      <c r="D749" s="2">
        <v>2</v>
      </c>
      <c r="E749" s="2">
        <v>1</v>
      </c>
      <c r="F749" s="2">
        <v>0</v>
      </c>
      <c r="G749" s="2">
        <v>0</v>
      </c>
      <c r="H749" s="2">
        <v>0</v>
      </c>
      <c r="I749" s="2">
        <v>0</v>
      </c>
      <c r="J749" s="2">
        <v>0</v>
      </c>
      <c r="K749" s="2">
        <v>1274</v>
      </c>
      <c r="L749" s="2">
        <v>0</v>
      </c>
      <c r="M749" s="2">
        <v>1</v>
      </c>
      <c r="N749" s="2">
        <v>3</v>
      </c>
      <c r="O749" s="2">
        <v>0</v>
      </c>
      <c r="P749" s="2">
        <v>0</v>
      </c>
      <c r="Q749" s="2">
        <v>0</v>
      </c>
      <c r="R749" s="2">
        <v>0</v>
      </c>
      <c r="S749" s="2">
        <v>0</v>
      </c>
      <c r="T749" s="2">
        <v>1</v>
      </c>
      <c r="U749" s="2">
        <v>1</v>
      </c>
      <c r="V749" s="2">
        <v>0</v>
      </c>
      <c r="W749" s="2">
        <v>37</v>
      </c>
      <c r="X749" s="2">
        <v>0</v>
      </c>
      <c r="Y749" s="2">
        <v>0</v>
      </c>
      <c r="Z749" s="2">
        <v>1</v>
      </c>
      <c r="AA749" s="2">
        <v>1</v>
      </c>
      <c r="AB749" s="2">
        <v>1</v>
      </c>
      <c r="AC749" s="2">
        <v>1</v>
      </c>
      <c r="AD749" s="2">
        <v>0</v>
      </c>
      <c r="AE749" s="2">
        <v>0</v>
      </c>
      <c r="AF749" s="2">
        <v>0</v>
      </c>
    </row>
    <row r="750" spans="1:32" x14ac:dyDescent="0.25">
      <c r="A750">
        <v>749</v>
      </c>
      <c r="B750" s="2">
        <v>3</v>
      </c>
      <c r="C750" s="2">
        <v>21</v>
      </c>
      <c r="D750" s="2">
        <v>2</v>
      </c>
      <c r="E750" s="2">
        <v>0</v>
      </c>
      <c r="F750" s="2">
        <v>1</v>
      </c>
      <c r="G750" s="2">
        <v>0</v>
      </c>
      <c r="H750" s="2">
        <v>0</v>
      </c>
      <c r="I750" s="2">
        <v>0</v>
      </c>
      <c r="J750" s="2">
        <v>0</v>
      </c>
      <c r="K750" s="2">
        <v>5248</v>
      </c>
      <c r="L750" s="2">
        <v>4</v>
      </c>
      <c r="M750" s="2">
        <v>2</v>
      </c>
      <c r="N750" s="2">
        <v>1</v>
      </c>
      <c r="O750" s="2">
        <v>0</v>
      </c>
      <c r="P750" s="2">
        <v>1</v>
      </c>
      <c r="Q750" s="2">
        <v>0</v>
      </c>
      <c r="R750" s="2">
        <v>0</v>
      </c>
      <c r="S750" s="2">
        <v>0</v>
      </c>
      <c r="T750" s="2">
        <v>3</v>
      </c>
      <c r="U750" s="2">
        <v>0</v>
      </c>
      <c r="V750" s="2">
        <v>0</v>
      </c>
      <c r="W750" s="2">
        <v>26</v>
      </c>
      <c r="X750" s="2">
        <v>0</v>
      </c>
      <c r="Y750" s="2">
        <v>0</v>
      </c>
      <c r="Z750" s="2">
        <v>1</v>
      </c>
      <c r="AA750" s="2">
        <v>1</v>
      </c>
      <c r="AB750" s="2">
        <v>2</v>
      </c>
      <c r="AC750" s="2">
        <v>1</v>
      </c>
      <c r="AD750" s="2">
        <v>0</v>
      </c>
      <c r="AE750" s="2">
        <v>0</v>
      </c>
      <c r="AF750" s="2">
        <v>1</v>
      </c>
    </row>
    <row r="751" spans="1:32" x14ac:dyDescent="0.25">
      <c r="A751">
        <v>750</v>
      </c>
      <c r="B751" s="2">
        <v>3</v>
      </c>
      <c r="C751" s="2">
        <v>15</v>
      </c>
      <c r="D751" s="2">
        <v>2</v>
      </c>
      <c r="E751" s="2">
        <v>0</v>
      </c>
      <c r="F751" s="2">
        <v>1</v>
      </c>
      <c r="G751" s="2">
        <v>0</v>
      </c>
      <c r="H751" s="2">
        <v>0</v>
      </c>
      <c r="I751" s="2">
        <v>0</v>
      </c>
      <c r="J751" s="2">
        <v>0</v>
      </c>
      <c r="K751" s="2">
        <v>3029</v>
      </c>
      <c r="L751" s="2">
        <v>0</v>
      </c>
      <c r="M751" s="2">
        <v>3</v>
      </c>
      <c r="N751" s="2">
        <v>2</v>
      </c>
      <c r="O751" s="2">
        <v>0</v>
      </c>
      <c r="P751" s="2">
        <v>1</v>
      </c>
      <c r="Q751" s="2">
        <v>0</v>
      </c>
      <c r="R751" s="2">
        <v>0</v>
      </c>
      <c r="S751" s="2">
        <v>0</v>
      </c>
      <c r="T751" s="2">
        <v>2</v>
      </c>
      <c r="U751" s="2">
        <v>0</v>
      </c>
      <c r="V751" s="2">
        <v>0</v>
      </c>
      <c r="W751" s="2">
        <v>33</v>
      </c>
      <c r="X751" s="2">
        <v>0</v>
      </c>
      <c r="Y751" s="2">
        <v>0</v>
      </c>
      <c r="Z751" s="2">
        <v>1</v>
      </c>
      <c r="AA751" s="2">
        <v>1</v>
      </c>
      <c r="AB751" s="2">
        <v>2</v>
      </c>
      <c r="AC751" s="2">
        <v>1</v>
      </c>
      <c r="AD751" s="2">
        <v>0</v>
      </c>
      <c r="AE751" s="2">
        <v>0</v>
      </c>
      <c r="AF751" s="2">
        <v>1</v>
      </c>
    </row>
    <row r="752" spans="1:32" x14ac:dyDescent="0.25">
      <c r="A752">
        <v>751</v>
      </c>
      <c r="B752" s="2">
        <v>0</v>
      </c>
      <c r="C752" s="2">
        <v>6</v>
      </c>
      <c r="D752" s="2">
        <v>2</v>
      </c>
      <c r="E752" s="2">
        <v>0</v>
      </c>
      <c r="F752" s="2">
        <v>0</v>
      </c>
      <c r="G752" s="2">
        <v>1</v>
      </c>
      <c r="H752" s="2">
        <v>0</v>
      </c>
      <c r="I752" s="2">
        <v>0</v>
      </c>
      <c r="J752" s="2">
        <v>0</v>
      </c>
      <c r="K752" s="2">
        <v>428</v>
      </c>
      <c r="L752" s="2">
        <v>0</v>
      </c>
      <c r="M752" s="2">
        <v>4</v>
      </c>
      <c r="N752" s="2">
        <v>2</v>
      </c>
      <c r="O752" s="2">
        <v>0</v>
      </c>
      <c r="P752" s="2">
        <v>0</v>
      </c>
      <c r="Q752" s="2">
        <v>0</v>
      </c>
      <c r="R752" s="2">
        <v>0</v>
      </c>
      <c r="S752" s="2">
        <v>0</v>
      </c>
      <c r="T752" s="2">
        <v>1</v>
      </c>
      <c r="U752" s="2">
        <v>0</v>
      </c>
      <c r="V752" s="2">
        <v>0</v>
      </c>
      <c r="W752" s="2">
        <v>49</v>
      </c>
      <c r="X752" s="2">
        <v>1</v>
      </c>
      <c r="Y752" s="2">
        <v>0</v>
      </c>
      <c r="Z752" s="2">
        <v>1</v>
      </c>
      <c r="AA752" s="2">
        <v>1</v>
      </c>
      <c r="AB752" s="2">
        <v>2</v>
      </c>
      <c r="AC752" s="2">
        <v>1</v>
      </c>
      <c r="AD752" s="2">
        <v>1</v>
      </c>
      <c r="AE752" s="2">
        <v>0</v>
      </c>
      <c r="AF752" s="2">
        <v>1</v>
      </c>
    </row>
    <row r="753" spans="1:32" x14ac:dyDescent="0.25">
      <c r="A753">
        <v>752</v>
      </c>
      <c r="B753" s="2">
        <v>0</v>
      </c>
      <c r="C753" s="2">
        <v>18</v>
      </c>
      <c r="D753" s="2">
        <v>2</v>
      </c>
      <c r="E753" s="2">
        <v>1</v>
      </c>
      <c r="F753" s="2">
        <v>0</v>
      </c>
      <c r="G753" s="2">
        <v>0</v>
      </c>
      <c r="H753" s="2">
        <v>0</v>
      </c>
      <c r="I753" s="2">
        <v>0</v>
      </c>
      <c r="J753" s="2">
        <v>0</v>
      </c>
      <c r="K753" s="2">
        <v>976</v>
      </c>
      <c r="L753" s="2">
        <v>0</v>
      </c>
      <c r="M753" s="2">
        <v>1</v>
      </c>
      <c r="N753" s="2">
        <v>1</v>
      </c>
      <c r="O753" s="2">
        <v>0</v>
      </c>
      <c r="P753" s="2">
        <v>0</v>
      </c>
      <c r="Q753" s="2">
        <v>0</v>
      </c>
      <c r="R753" s="2">
        <v>0</v>
      </c>
      <c r="S753" s="2">
        <v>0</v>
      </c>
      <c r="T753" s="2">
        <v>2</v>
      </c>
      <c r="U753" s="2">
        <v>0</v>
      </c>
      <c r="V753" s="2">
        <v>0</v>
      </c>
      <c r="W753" s="2">
        <v>23</v>
      </c>
      <c r="X753" s="2">
        <v>0</v>
      </c>
      <c r="Y753" s="2">
        <v>0</v>
      </c>
      <c r="Z753" s="2">
        <v>1</v>
      </c>
      <c r="AA753" s="2">
        <v>1</v>
      </c>
      <c r="AB753" s="2">
        <v>1</v>
      </c>
      <c r="AC753" s="2">
        <v>1</v>
      </c>
      <c r="AD753" s="2">
        <v>0</v>
      </c>
      <c r="AE753" s="2">
        <v>0</v>
      </c>
      <c r="AF753" s="2">
        <v>0</v>
      </c>
    </row>
    <row r="754" spans="1:32" x14ac:dyDescent="0.25">
      <c r="A754">
        <v>753</v>
      </c>
      <c r="B754" s="2">
        <v>1</v>
      </c>
      <c r="C754" s="2">
        <v>12</v>
      </c>
      <c r="D754" s="2">
        <v>2</v>
      </c>
      <c r="E754" s="2">
        <v>0</v>
      </c>
      <c r="F754" s="2">
        <v>0</v>
      </c>
      <c r="G754" s="2">
        <v>0</v>
      </c>
      <c r="H754" s="2">
        <v>0</v>
      </c>
      <c r="I754" s="2">
        <v>0</v>
      </c>
      <c r="J754" s="2">
        <v>1</v>
      </c>
      <c r="K754" s="2">
        <v>841</v>
      </c>
      <c r="L754" s="2">
        <v>1</v>
      </c>
      <c r="M754" s="2">
        <v>3</v>
      </c>
      <c r="N754" s="2">
        <v>2</v>
      </c>
      <c r="O754" s="2">
        <v>0</v>
      </c>
      <c r="P754" s="2">
        <v>0</v>
      </c>
      <c r="Q754" s="2">
        <v>0</v>
      </c>
      <c r="R754" s="2">
        <v>0</v>
      </c>
      <c r="S754" s="2">
        <v>0</v>
      </c>
      <c r="T754" s="2">
        <v>4</v>
      </c>
      <c r="U754" s="2">
        <v>1</v>
      </c>
      <c r="V754" s="2">
        <v>0</v>
      </c>
      <c r="W754" s="2">
        <v>23</v>
      </c>
      <c r="X754" s="2">
        <v>0</v>
      </c>
      <c r="Y754" s="2">
        <v>1</v>
      </c>
      <c r="Z754" s="2">
        <v>0</v>
      </c>
      <c r="AA754" s="2">
        <v>1</v>
      </c>
      <c r="AB754" s="2">
        <v>1</v>
      </c>
      <c r="AC754" s="2">
        <v>1</v>
      </c>
      <c r="AD754" s="2">
        <v>0</v>
      </c>
      <c r="AE754" s="2">
        <v>0</v>
      </c>
      <c r="AF754" s="2">
        <v>1</v>
      </c>
    </row>
    <row r="755" spans="1:32" x14ac:dyDescent="0.25">
      <c r="A755">
        <v>754</v>
      </c>
      <c r="B755" s="2">
        <v>3</v>
      </c>
      <c r="C755" s="2">
        <v>30</v>
      </c>
      <c r="D755" s="2">
        <v>4</v>
      </c>
      <c r="E755" s="2">
        <v>0</v>
      </c>
      <c r="F755" s="2">
        <v>0</v>
      </c>
      <c r="G755" s="2">
        <v>0</v>
      </c>
      <c r="H755" s="2">
        <v>1</v>
      </c>
      <c r="I755" s="2">
        <v>0</v>
      </c>
      <c r="J755" s="2">
        <v>0</v>
      </c>
      <c r="K755" s="2">
        <v>5771</v>
      </c>
      <c r="L755" s="2">
        <v>0</v>
      </c>
      <c r="M755" s="2">
        <v>3</v>
      </c>
      <c r="N755" s="2">
        <v>4</v>
      </c>
      <c r="O755" s="2">
        <v>0</v>
      </c>
      <c r="P755" s="2">
        <v>0</v>
      </c>
      <c r="Q755" s="2">
        <v>0</v>
      </c>
      <c r="R755" s="2">
        <v>0</v>
      </c>
      <c r="S755" s="2">
        <v>0</v>
      </c>
      <c r="T755" s="2">
        <v>2</v>
      </c>
      <c r="U755" s="2">
        <v>0</v>
      </c>
      <c r="V755" s="2">
        <v>0</v>
      </c>
      <c r="W755" s="2">
        <v>25</v>
      </c>
      <c r="X755" s="2">
        <v>0</v>
      </c>
      <c r="Y755" s="2">
        <v>0</v>
      </c>
      <c r="Z755" s="2">
        <v>1</v>
      </c>
      <c r="AA755" s="2">
        <v>2</v>
      </c>
      <c r="AB755" s="2">
        <v>2</v>
      </c>
      <c r="AC755" s="2">
        <v>1</v>
      </c>
      <c r="AD755" s="2">
        <v>0</v>
      </c>
      <c r="AE755" s="2">
        <v>0</v>
      </c>
      <c r="AF755" s="2">
        <v>1</v>
      </c>
    </row>
    <row r="756" spans="1:32" x14ac:dyDescent="0.25">
      <c r="A756">
        <v>755</v>
      </c>
      <c r="B756" s="2">
        <v>3</v>
      </c>
      <c r="C756" s="2">
        <v>12</v>
      </c>
      <c r="D756" s="2">
        <v>3</v>
      </c>
      <c r="E756" s="2">
        <v>0</v>
      </c>
      <c r="F756" s="2">
        <v>0</v>
      </c>
      <c r="G756" s="2">
        <v>0</v>
      </c>
      <c r="H756" s="2">
        <v>0</v>
      </c>
      <c r="I756" s="2">
        <v>0</v>
      </c>
      <c r="J756" s="2">
        <v>0</v>
      </c>
      <c r="K756" s="2">
        <v>1555</v>
      </c>
      <c r="L756" s="2">
        <v>3</v>
      </c>
      <c r="M756" s="2">
        <v>4</v>
      </c>
      <c r="N756" s="2">
        <v>4</v>
      </c>
      <c r="O756" s="2">
        <v>0</v>
      </c>
      <c r="P756" s="2">
        <v>1</v>
      </c>
      <c r="Q756" s="2">
        <v>0</v>
      </c>
      <c r="R756" s="2">
        <v>0</v>
      </c>
      <c r="S756" s="2">
        <v>0</v>
      </c>
      <c r="T756" s="2">
        <v>4</v>
      </c>
      <c r="U756" s="2">
        <v>0</v>
      </c>
      <c r="V756" s="2">
        <v>1</v>
      </c>
      <c r="W756" s="2">
        <v>55</v>
      </c>
      <c r="X756" s="2">
        <v>0</v>
      </c>
      <c r="Y756" s="2">
        <v>0</v>
      </c>
      <c r="Z756" s="2">
        <v>0</v>
      </c>
      <c r="AA756" s="2">
        <v>2</v>
      </c>
      <c r="AB756" s="2">
        <v>2</v>
      </c>
      <c r="AC756" s="2">
        <v>2</v>
      </c>
      <c r="AD756" s="2">
        <v>0</v>
      </c>
      <c r="AE756" s="2">
        <v>0</v>
      </c>
      <c r="AF756" s="2">
        <v>0</v>
      </c>
    </row>
    <row r="757" spans="1:32" x14ac:dyDescent="0.25">
      <c r="A757">
        <v>756</v>
      </c>
      <c r="B757" s="2">
        <v>0</v>
      </c>
      <c r="C757" s="2">
        <v>24</v>
      </c>
      <c r="D757" s="2">
        <v>2</v>
      </c>
      <c r="E757" s="2">
        <v>1</v>
      </c>
      <c r="F757" s="2">
        <v>0</v>
      </c>
      <c r="G757" s="2">
        <v>0</v>
      </c>
      <c r="H757" s="2">
        <v>0</v>
      </c>
      <c r="I757" s="2">
        <v>0</v>
      </c>
      <c r="J757" s="2">
        <v>0</v>
      </c>
      <c r="K757" s="2">
        <v>1285</v>
      </c>
      <c r="L757" s="2">
        <v>4</v>
      </c>
      <c r="M757" s="2">
        <v>3</v>
      </c>
      <c r="N757" s="2">
        <v>4</v>
      </c>
      <c r="O757" s="2">
        <v>0</v>
      </c>
      <c r="P757" s="2">
        <v>0</v>
      </c>
      <c r="Q757" s="2">
        <v>0</v>
      </c>
      <c r="R757" s="2">
        <v>0</v>
      </c>
      <c r="S757" s="2">
        <v>0</v>
      </c>
      <c r="T757" s="2">
        <v>4</v>
      </c>
      <c r="U757" s="2">
        <v>0</v>
      </c>
      <c r="V757" s="2">
        <v>1</v>
      </c>
      <c r="W757" s="2">
        <v>32</v>
      </c>
      <c r="X757" s="2">
        <v>0</v>
      </c>
      <c r="Y757" s="2">
        <v>1</v>
      </c>
      <c r="Z757" s="2">
        <v>0</v>
      </c>
      <c r="AA757" s="2">
        <v>1</v>
      </c>
      <c r="AB757" s="2">
        <v>2</v>
      </c>
      <c r="AC757" s="2">
        <v>1</v>
      </c>
      <c r="AD757" s="2">
        <v>0</v>
      </c>
      <c r="AE757" s="2">
        <v>0</v>
      </c>
      <c r="AF757" s="2">
        <v>0</v>
      </c>
    </row>
    <row r="758" spans="1:32" x14ac:dyDescent="0.25">
      <c r="A758">
        <v>757</v>
      </c>
      <c r="B758" s="2">
        <v>2</v>
      </c>
      <c r="C758" s="2">
        <v>6</v>
      </c>
      <c r="D758" s="2">
        <v>4</v>
      </c>
      <c r="E758" s="2">
        <v>1</v>
      </c>
      <c r="F758" s="2">
        <v>0</v>
      </c>
      <c r="G758" s="2">
        <v>0</v>
      </c>
      <c r="H758" s="2">
        <v>0</v>
      </c>
      <c r="I758" s="2">
        <v>0</v>
      </c>
      <c r="J758" s="2">
        <v>0</v>
      </c>
      <c r="K758" s="2">
        <v>1299</v>
      </c>
      <c r="L758" s="2">
        <v>0</v>
      </c>
      <c r="M758" s="2">
        <v>2</v>
      </c>
      <c r="N758" s="2">
        <v>1</v>
      </c>
      <c r="O758" s="2">
        <v>0</v>
      </c>
      <c r="P758" s="2">
        <v>1</v>
      </c>
      <c r="Q758" s="2">
        <v>0</v>
      </c>
      <c r="R758" s="2">
        <v>0</v>
      </c>
      <c r="S758" s="2">
        <v>0</v>
      </c>
      <c r="T758" s="2">
        <v>1</v>
      </c>
      <c r="U758" s="2">
        <v>1</v>
      </c>
      <c r="V758" s="2">
        <v>0</v>
      </c>
      <c r="W758" s="2">
        <v>74</v>
      </c>
      <c r="X758" s="2">
        <v>0</v>
      </c>
      <c r="Y758" s="2">
        <v>0</v>
      </c>
      <c r="Z758" s="2">
        <v>1</v>
      </c>
      <c r="AA758" s="2">
        <v>3</v>
      </c>
      <c r="AB758" s="2">
        <v>0</v>
      </c>
      <c r="AC758" s="2">
        <v>2</v>
      </c>
      <c r="AD758" s="2">
        <v>0</v>
      </c>
      <c r="AE758" s="2">
        <v>1</v>
      </c>
      <c r="AF758" s="2">
        <v>1</v>
      </c>
    </row>
    <row r="759" spans="1:32" x14ac:dyDescent="0.25">
      <c r="A759">
        <v>758</v>
      </c>
      <c r="B759" s="2">
        <v>2</v>
      </c>
      <c r="C759" s="2">
        <v>15</v>
      </c>
      <c r="D759" s="2">
        <v>4</v>
      </c>
      <c r="E759" s="2">
        <v>0</v>
      </c>
      <c r="F759" s="2">
        <v>0</v>
      </c>
      <c r="G759" s="2">
        <v>0</v>
      </c>
      <c r="H759" s="2">
        <v>1</v>
      </c>
      <c r="I759" s="2">
        <v>0</v>
      </c>
      <c r="J759" s="2">
        <v>0</v>
      </c>
      <c r="K759" s="2">
        <v>1271</v>
      </c>
      <c r="L759" s="2">
        <v>4</v>
      </c>
      <c r="M759" s="2">
        <v>2</v>
      </c>
      <c r="N759" s="2">
        <v>3</v>
      </c>
      <c r="O759" s="2">
        <v>0</v>
      </c>
      <c r="P759" s="2">
        <v>1</v>
      </c>
      <c r="Q759" s="2">
        <v>0</v>
      </c>
      <c r="R759" s="2">
        <v>0</v>
      </c>
      <c r="S759" s="2">
        <v>0</v>
      </c>
      <c r="T759" s="2">
        <v>4</v>
      </c>
      <c r="U759" s="2">
        <v>0</v>
      </c>
      <c r="V759" s="2">
        <v>1</v>
      </c>
      <c r="W759" s="2">
        <v>39</v>
      </c>
      <c r="X759" s="2">
        <v>0</v>
      </c>
      <c r="Y759" s="2">
        <v>0</v>
      </c>
      <c r="Z759" s="2">
        <v>0</v>
      </c>
      <c r="AA759" s="2">
        <v>2</v>
      </c>
      <c r="AB759" s="2">
        <v>2</v>
      </c>
      <c r="AC759" s="2">
        <v>1</v>
      </c>
      <c r="AD759" s="2">
        <v>1</v>
      </c>
      <c r="AE759" s="2">
        <v>0</v>
      </c>
      <c r="AF759" s="2">
        <v>0</v>
      </c>
    </row>
    <row r="760" spans="1:32" x14ac:dyDescent="0.25">
      <c r="A760">
        <v>759</v>
      </c>
      <c r="B760" s="2">
        <v>3</v>
      </c>
      <c r="C760" s="2">
        <v>24</v>
      </c>
      <c r="D760" s="2">
        <v>2</v>
      </c>
      <c r="E760" s="2">
        <v>1</v>
      </c>
      <c r="F760" s="2">
        <v>0</v>
      </c>
      <c r="G760" s="2">
        <v>0</v>
      </c>
      <c r="H760" s="2">
        <v>0</v>
      </c>
      <c r="I760" s="2">
        <v>0</v>
      </c>
      <c r="J760" s="2">
        <v>0</v>
      </c>
      <c r="K760" s="2">
        <v>1393</v>
      </c>
      <c r="L760" s="2">
        <v>0</v>
      </c>
      <c r="M760" s="2">
        <v>2</v>
      </c>
      <c r="N760" s="2">
        <v>2</v>
      </c>
      <c r="O760" s="2">
        <v>0</v>
      </c>
      <c r="P760" s="2">
        <v>1</v>
      </c>
      <c r="Q760" s="2">
        <v>0</v>
      </c>
      <c r="R760" s="2">
        <v>0</v>
      </c>
      <c r="S760" s="2">
        <v>1</v>
      </c>
      <c r="T760" s="2">
        <v>2</v>
      </c>
      <c r="U760" s="2">
        <v>1</v>
      </c>
      <c r="V760" s="2">
        <v>0</v>
      </c>
      <c r="W760" s="2">
        <v>31</v>
      </c>
      <c r="X760" s="2">
        <v>0</v>
      </c>
      <c r="Y760" s="2">
        <v>0</v>
      </c>
      <c r="Z760" s="2">
        <v>1</v>
      </c>
      <c r="AA760" s="2">
        <v>1</v>
      </c>
      <c r="AB760" s="2">
        <v>2</v>
      </c>
      <c r="AC760" s="2">
        <v>1</v>
      </c>
      <c r="AD760" s="2">
        <v>1</v>
      </c>
      <c r="AE760" s="2">
        <v>0</v>
      </c>
      <c r="AF760" s="2">
        <v>1</v>
      </c>
    </row>
    <row r="761" spans="1:32" x14ac:dyDescent="0.25">
      <c r="A761">
        <v>760</v>
      </c>
      <c r="B761" s="2">
        <v>0</v>
      </c>
      <c r="C761" s="2">
        <v>12</v>
      </c>
      <c r="D761" s="2">
        <v>4</v>
      </c>
      <c r="E761" s="2">
        <v>1</v>
      </c>
      <c r="F761" s="2">
        <v>0</v>
      </c>
      <c r="G761" s="2">
        <v>0</v>
      </c>
      <c r="H761" s="2">
        <v>0</v>
      </c>
      <c r="I761" s="2">
        <v>0</v>
      </c>
      <c r="J761" s="2">
        <v>0</v>
      </c>
      <c r="K761" s="2">
        <v>691</v>
      </c>
      <c r="L761" s="2">
        <v>0</v>
      </c>
      <c r="M761" s="2">
        <v>4</v>
      </c>
      <c r="N761" s="2">
        <v>4</v>
      </c>
      <c r="O761" s="2">
        <v>0</v>
      </c>
      <c r="P761" s="2">
        <v>1</v>
      </c>
      <c r="Q761" s="2">
        <v>0</v>
      </c>
      <c r="R761" s="2">
        <v>0</v>
      </c>
      <c r="S761" s="2">
        <v>0</v>
      </c>
      <c r="T761" s="2">
        <v>3</v>
      </c>
      <c r="U761" s="2">
        <v>0</v>
      </c>
      <c r="V761" s="2">
        <v>0</v>
      </c>
      <c r="W761" s="2">
        <v>35</v>
      </c>
      <c r="X761" s="2">
        <v>0</v>
      </c>
      <c r="Y761" s="2">
        <v>0</v>
      </c>
      <c r="Z761" s="2">
        <v>1</v>
      </c>
      <c r="AA761" s="2">
        <v>2</v>
      </c>
      <c r="AB761" s="2">
        <v>2</v>
      </c>
      <c r="AC761" s="2">
        <v>1</v>
      </c>
      <c r="AD761" s="2">
        <v>0</v>
      </c>
      <c r="AE761" s="2">
        <v>0</v>
      </c>
      <c r="AF761" s="2">
        <v>0</v>
      </c>
    </row>
    <row r="762" spans="1:32" x14ac:dyDescent="0.25">
      <c r="A762">
        <v>761</v>
      </c>
      <c r="B762" s="2">
        <v>3</v>
      </c>
      <c r="C762" s="2">
        <v>15</v>
      </c>
      <c r="D762" s="2">
        <v>4</v>
      </c>
      <c r="E762" s="2">
        <v>1</v>
      </c>
      <c r="F762" s="2">
        <v>0</v>
      </c>
      <c r="G762" s="2">
        <v>0</v>
      </c>
      <c r="H762" s="2">
        <v>0</v>
      </c>
      <c r="I762" s="2">
        <v>0</v>
      </c>
      <c r="J762" s="2">
        <v>0</v>
      </c>
      <c r="K762" s="2">
        <v>5045</v>
      </c>
      <c r="L762" s="2">
        <v>4</v>
      </c>
      <c r="M762" s="2">
        <v>4</v>
      </c>
      <c r="N762" s="2">
        <v>1</v>
      </c>
      <c r="O762" s="2">
        <v>0</v>
      </c>
      <c r="P762" s="2">
        <v>0</v>
      </c>
      <c r="Q762" s="2">
        <v>0</v>
      </c>
      <c r="R762" s="2">
        <v>0</v>
      </c>
      <c r="S762" s="2">
        <v>0</v>
      </c>
      <c r="T762" s="2">
        <v>4</v>
      </c>
      <c r="U762" s="2">
        <v>0</v>
      </c>
      <c r="V762" s="2">
        <v>0</v>
      </c>
      <c r="W762" s="2">
        <v>59</v>
      </c>
      <c r="X762" s="2">
        <v>0</v>
      </c>
      <c r="Y762" s="2">
        <v>0</v>
      </c>
      <c r="Z762" s="2">
        <v>1</v>
      </c>
      <c r="AA762" s="2">
        <v>1</v>
      </c>
      <c r="AB762" s="2">
        <v>2</v>
      </c>
      <c r="AC762" s="2">
        <v>1</v>
      </c>
      <c r="AD762" s="2">
        <v>1</v>
      </c>
      <c r="AE762" s="2">
        <v>0</v>
      </c>
      <c r="AF762" s="2">
        <v>1</v>
      </c>
    </row>
    <row r="763" spans="1:32" x14ac:dyDescent="0.25">
      <c r="A763">
        <v>762</v>
      </c>
      <c r="B763" s="2">
        <v>0</v>
      </c>
      <c r="C763" s="2">
        <v>18</v>
      </c>
      <c r="D763" s="2">
        <v>4</v>
      </c>
      <c r="E763" s="2">
        <v>0</v>
      </c>
      <c r="F763" s="2">
        <v>0</v>
      </c>
      <c r="G763" s="2">
        <v>1</v>
      </c>
      <c r="H763" s="2">
        <v>0</v>
      </c>
      <c r="I763" s="2">
        <v>0</v>
      </c>
      <c r="J763" s="2">
        <v>0</v>
      </c>
      <c r="K763" s="2">
        <v>2124</v>
      </c>
      <c r="L763" s="2">
        <v>0</v>
      </c>
      <c r="M763" s="2">
        <v>2</v>
      </c>
      <c r="N763" s="2">
        <v>4</v>
      </c>
      <c r="O763" s="2">
        <v>0</v>
      </c>
      <c r="P763" s="2">
        <v>0</v>
      </c>
      <c r="Q763" s="2">
        <v>0</v>
      </c>
      <c r="R763" s="2">
        <v>0</v>
      </c>
      <c r="S763" s="2">
        <v>0</v>
      </c>
      <c r="T763" s="2">
        <v>4</v>
      </c>
      <c r="U763" s="2">
        <v>1</v>
      </c>
      <c r="V763" s="2">
        <v>0</v>
      </c>
      <c r="W763" s="2">
        <v>24</v>
      </c>
      <c r="X763" s="2">
        <v>0</v>
      </c>
      <c r="Y763" s="2">
        <v>1</v>
      </c>
      <c r="Z763" s="2">
        <v>0</v>
      </c>
      <c r="AA763" s="2">
        <v>2</v>
      </c>
      <c r="AB763" s="2">
        <v>2</v>
      </c>
      <c r="AC763" s="2">
        <v>1</v>
      </c>
      <c r="AD763" s="2">
        <v>0</v>
      </c>
      <c r="AE763" s="2">
        <v>0</v>
      </c>
      <c r="AF763" s="2">
        <v>0</v>
      </c>
    </row>
    <row r="764" spans="1:32" x14ac:dyDescent="0.25">
      <c r="A764">
        <v>763</v>
      </c>
      <c r="B764" s="2">
        <v>0</v>
      </c>
      <c r="C764" s="2">
        <v>12</v>
      </c>
      <c r="D764" s="2">
        <v>2</v>
      </c>
      <c r="E764" s="2">
        <v>0</v>
      </c>
      <c r="F764" s="2">
        <v>0</v>
      </c>
      <c r="G764" s="2">
        <v>0</v>
      </c>
      <c r="H764" s="2">
        <v>1</v>
      </c>
      <c r="I764" s="2">
        <v>0</v>
      </c>
      <c r="J764" s="2">
        <v>0</v>
      </c>
      <c r="K764" s="2">
        <v>2214</v>
      </c>
      <c r="L764" s="2">
        <v>0</v>
      </c>
      <c r="M764" s="2">
        <v>2</v>
      </c>
      <c r="N764" s="2">
        <v>4</v>
      </c>
      <c r="O764" s="2">
        <v>0</v>
      </c>
      <c r="P764" s="2">
        <v>1</v>
      </c>
      <c r="Q764" s="2">
        <v>0</v>
      </c>
      <c r="R764" s="2">
        <v>0</v>
      </c>
      <c r="S764" s="2">
        <v>0</v>
      </c>
      <c r="T764" s="2">
        <v>3</v>
      </c>
      <c r="U764" s="2">
        <v>0</v>
      </c>
      <c r="V764" s="2">
        <v>0</v>
      </c>
      <c r="W764" s="2">
        <v>24</v>
      </c>
      <c r="X764" s="2">
        <v>0</v>
      </c>
      <c r="Y764" s="2">
        <v>0</v>
      </c>
      <c r="Z764" s="2">
        <v>1</v>
      </c>
      <c r="AA764" s="2">
        <v>1</v>
      </c>
      <c r="AB764" s="2">
        <v>1</v>
      </c>
      <c r="AC764" s="2">
        <v>1</v>
      </c>
      <c r="AD764" s="2">
        <v>0</v>
      </c>
      <c r="AE764" s="2">
        <v>0</v>
      </c>
      <c r="AF764" s="2">
        <v>1</v>
      </c>
    </row>
    <row r="765" spans="1:32" x14ac:dyDescent="0.25">
      <c r="A765">
        <v>764</v>
      </c>
      <c r="B765" s="2">
        <v>3</v>
      </c>
      <c r="C765" s="2">
        <v>21</v>
      </c>
      <c r="D765" s="2">
        <v>4</v>
      </c>
      <c r="E765" s="2">
        <v>1</v>
      </c>
      <c r="F765" s="2">
        <v>0</v>
      </c>
      <c r="G765" s="2">
        <v>0</v>
      </c>
      <c r="H765" s="2">
        <v>0</v>
      </c>
      <c r="I765" s="2">
        <v>0</v>
      </c>
      <c r="J765" s="2">
        <v>0</v>
      </c>
      <c r="K765" s="2">
        <v>12680</v>
      </c>
      <c r="L765" s="2">
        <v>4</v>
      </c>
      <c r="M765" s="2">
        <v>4</v>
      </c>
      <c r="N765" s="2">
        <v>4</v>
      </c>
      <c r="O765" s="2">
        <v>0</v>
      </c>
      <c r="P765" s="2">
        <v>1</v>
      </c>
      <c r="Q765" s="2">
        <v>0</v>
      </c>
      <c r="R765" s="2">
        <v>0</v>
      </c>
      <c r="S765" s="2">
        <v>0</v>
      </c>
      <c r="T765" s="2">
        <v>4</v>
      </c>
      <c r="U765" s="2">
        <v>0</v>
      </c>
      <c r="V765" s="2">
        <v>1</v>
      </c>
      <c r="W765" s="2">
        <v>30</v>
      </c>
      <c r="X765" s="2">
        <v>0</v>
      </c>
      <c r="Y765" s="2">
        <v>0</v>
      </c>
      <c r="Z765" s="2">
        <v>0</v>
      </c>
      <c r="AA765" s="2">
        <v>1</v>
      </c>
      <c r="AB765" s="2">
        <v>3</v>
      </c>
      <c r="AC765" s="2">
        <v>1</v>
      </c>
      <c r="AD765" s="2">
        <v>1</v>
      </c>
      <c r="AE765" s="2">
        <v>0</v>
      </c>
      <c r="AF765" s="2">
        <v>0</v>
      </c>
    </row>
    <row r="766" spans="1:32" x14ac:dyDescent="0.25">
      <c r="A766">
        <v>765</v>
      </c>
      <c r="B766" s="2">
        <v>3</v>
      </c>
      <c r="C766" s="2">
        <v>24</v>
      </c>
      <c r="D766" s="2">
        <v>4</v>
      </c>
      <c r="E766" s="2">
        <v>1</v>
      </c>
      <c r="F766" s="2">
        <v>0</v>
      </c>
      <c r="G766" s="2">
        <v>0</v>
      </c>
      <c r="H766" s="2">
        <v>0</v>
      </c>
      <c r="I766" s="2">
        <v>0</v>
      </c>
      <c r="J766" s="2">
        <v>0</v>
      </c>
      <c r="K766" s="2">
        <v>2463</v>
      </c>
      <c r="L766" s="2">
        <v>1</v>
      </c>
      <c r="M766" s="2">
        <v>3</v>
      </c>
      <c r="N766" s="2">
        <v>4</v>
      </c>
      <c r="O766" s="2">
        <v>0</v>
      </c>
      <c r="P766" s="2">
        <v>0</v>
      </c>
      <c r="Q766" s="2">
        <v>1</v>
      </c>
      <c r="R766" s="2">
        <v>0</v>
      </c>
      <c r="S766" s="2">
        <v>0</v>
      </c>
      <c r="T766" s="2">
        <v>3</v>
      </c>
      <c r="U766" s="2">
        <v>0</v>
      </c>
      <c r="V766" s="2">
        <v>0</v>
      </c>
      <c r="W766" s="2">
        <v>27</v>
      </c>
      <c r="X766" s="2">
        <v>0</v>
      </c>
      <c r="Y766" s="2">
        <v>0</v>
      </c>
      <c r="Z766" s="2">
        <v>1</v>
      </c>
      <c r="AA766" s="2">
        <v>2</v>
      </c>
      <c r="AB766" s="2">
        <v>2</v>
      </c>
      <c r="AC766" s="2">
        <v>1</v>
      </c>
      <c r="AD766" s="2">
        <v>1</v>
      </c>
      <c r="AE766" s="2">
        <v>0</v>
      </c>
      <c r="AF766" s="2">
        <v>1</v>
      </c>
    </row>
    <row r="767" spans="1:32" x14ac:dyDescent="0.25">
      <c r="A767">
        <v>766</v>
      </c>
      <c r="B767" s="2">
        <v>1</v>
      </c>
      <c r="C767" s="2">
        <v>12</v>
      </c>
      <c r="D767" s="2">
        <v>2</v>
      </c>
      <c r="E767" s="2">
        <v>0</v>
      </c>
      <c r="F767" s="2">
        <v>0</v>
      </c>
      <c r="G767" s="2">
        <v>0</v>
      </c>
      <c r="H767" s="2">
        <v>1</v>
      </c>
      <c r="I767" s="2">
        <v>0</v>
      </c>
      <c r="J767" s="2">
        <v>0</v>
      </c>
      <c r="K767" s="2">
        <v>1155</v>
      </c>
      <c r="L767" s="2">
        <v>0</v>
      </c>
      <c r="M767" s="2">
        <v>4</v>
      </c>
      <c r="N767" s="2">
        <v>3</v>
      </c>
      <c r="O767" s="2">
        <v>0</v>
      </c>
      <c r="P767" s="2">
        <v>0</v>
      </c>
      <c r="Q767" s="2">
        <v>1</v>
      </c>
      <c r="R767" s="2">
        <v>0</v>
      </c>
      <c r="S767" s="2">
        <v>1</v>
      </c>
      <c r="T767" s="2">
        <v>3</v>
      </c>
      <c r="U767" s="2">
        <v>1</v>
      </c>
      <c r="V767" s="2">
        <v>0</v>
      </c>
      <c r="W767" s="2">
        <v>40</v>
      </c>
      <c r="X767" s="2">
        <v>1</v>
      </c>
      <c r="Y767" s="2">
        <v>0</v>
      </c>
      <c r="Z767" s="2">
        <v>1</v>
      </c>
      <c r="AA767" s="2">
        <v>2</v>
      </c>
      <c r="AB767" s="2">
        <v>1</v>
      </c>
      <c r="AC767" s="2">
        <v>1</v>
      </c>
      <c r="AD767" s="2">
        <v>0</v>
      </c>
      <c r="AE767" s="2">
        <v>0</v>
      </c>
      <c r="AF767" s="2">
        <v>1</v>
      </c>
    </row>
    <row r="768" spans="1:32" x14ac:dyDescent="0.25">
      <c r="A768">
        <v>767</v>
      </c>
      <c r="B768" s="2">
        <v>0</v>
      </c>
      <c r="C768" s="2">
        <v>30</v>
      </c>
      <c r="D768" s="2">
        <v>2</v>
      </c>
      <c r="E768" s="2">
        <v>0</v>
      </c>
      <c r="F768" s="2">
        <v>0</v>
      </c>
      <c r="G768" s="2">
        <v>1</v>
      </c>
      <c r="H768" s="2">
        <v>0</v>
      </c>
      <c r="I768" s="2">
        <v>0</v>
      </c>
      <c r="J768" s="2">
        <v>0</v>
      </c>
      <c r="K768" s="2">
        <v>3108</v>
      </c>
      <c r="L768" s="2">
        <v>0</v>
      </c>
      <c r="M768" s="2">
        <v>1</v>
      </c>
      <c r="N768" s="2">
        <v>2</v>
      </c>
      <c r="O768" s="2">
        <v>1</v>
      </c>
      <c r="P768" s="2">
        <v>0</v>
      </c>
      <c r="Q768" s="2">
        <v>0</v>
      </c>
      <c r="R768" s="2">
        <v>0</v>
      </c>
      <c r="S768" s="2">
        <v>0</v>
      </c>
      <c r="T768" s="2">
        <v>4</v>
      </c>
      <c r="U768" s="2">
        <v>0</v>
      </c>
      <c r="V768" s="2">
        <v>0</v>
      </c>
      <c r="W768" s="2">
        <v>31</v>
      </c>
      <c r="X768" s="2">
        <v>0</v>
      </c>
      <c r="Y768" s="2">
        <v>0</v>
      </c>
      <c r="Z768" s="2">
        <v>1</v>
      </c>
      <c r="AA768" s="2">
        <v>1</v>
      </c>
      <c r="AB768" s="2">
        <v>1</v>
      </c>
      <c r="AC768" s="2">
        <v>1</v>
      </c>
      <c r="AD768" s="2">
        <v>0</v>
      </c>
      <c r="AE768" s="2">
        <v>0</v>
      </c>
      <c r="AF768" s="2">
        <v>0</v>
      </c>
    </row>
    <row r="769" spans="1:32" x14ac:dyDescent="0.25">
      <c r="A769">
        <v>768</v>
      </c>
      <c r="B769" s="2">
        <v>3</v>
      </c>
      <c r="C769" s="2">
        <v>10</v>
      </c>
      <c r="D769" s="2">
        <v>2</v>
      </c>
      <c r="E769" s="2">
        <v>0</v>
      </c>
      <c r="F769" s="2">
        <v>1</v>
      </c>
      <c r="G769" s="2">
        <v>0</v>
      </c>
      <c r="H769" s="2">
        <v>0</v>
      </c>
      <c r="I769" s="2">
        <v>0</v>
      </c>
      <c r="J769" s="2">
        <v>0</v>
      </c>
      <c r="K769" s="2">
        <v>2901</v>
      </c>
      <c r="L769" s="2">
        <v>4</v>
      </c>
      <c r="M769" s="2">
        <v>1</v>
      </c>
      <c r="N769" s="2">
        <v>1</v>
      </c>
      <c r="O769" s="2">
        <v>0</v>
      </c>
      <c r="P769" s="2">
        <v>0</v>
      </c>
      <c r="Q769" s="2">
        <v>0</v>
      </c>
      <c r="R769" s="2">
        <v>0</v>
      </c>
      <c r="S769" s="2">
        <v>0</v>
      </c>
      <c r="T769" s="2">
        <v>4</v>
      </c>
      <c r="U769" s="2">
        <v>1</v>
      </c>
      <c r="V769" s="2">
        <v>0</v>
      </c>
      <c r="W769" s="2">
        <v>31</v>
      </c>
      <c r="X769" s="2">
        <v>0</v>
      </c>
      <c r="Y769" s="2">
        <v>1</v>
      </c>
      <c r="Z769" s="2">
        <v>0</v>
      </c>
      <c r="AA769" s="2">
        <v>1</v>
      </c>
      <c r="AB769" s="2">
        <v>2</v>
      </c>
      <c r="AC769" s="2">
        <v>1</v>
      </c>
      <c r="AD769" s="2">
        <v>0</v>
      </c>
      <c r="AE769" s="2">
        <v>0</v>
      </c>
      <c r="AF769" s="2">
        <v>1</v>
      </c>
    </row>
    <row r="770" spans="1:32" x14ac:dyDescent="0.25">
      <c r="A770">
        <v>769</v>
      </c>
      <c r="B770" s="2">
        <v>1</v>
      </c>
      <c r="C770" s="2">
        <v>12</v>
      </c>
      <c r="D770" s="2">
        <v>4</v>
      </c>
      <c r="E770" s="2">
        <v>0</v>
      </c>
      <c r="F770" s="2">
        <v>0</v>
      </c>
      <c r="G770" s="2">
        <v>1</v>
      </c>
      <c r="H770" s="2">
        <v>0</v>
      </c>
      <c r="I770" s="2">
        <v>0</v>
      </c>
      <c r="J770" s="2">
        <v>0</v>
      </c>
      <c r="K770" s="2">
        <v>3617</v>
      </c>
      <c r="L770" s="2">
        <v>0</v>
      </c>
      <c r="M770" s="2">
        <v>4</v>
      </c>
      <c r="N770" s="2">
        <v>1</v>
      </c>
      <c r="O770" s="2">
        <v>0</v>
      </c>
      <c r="P770" s="2">
        <v>1</v>
      </c>
      <c r="Q770" s="2">
        <v>0</v>
      </c>
      <c r="R770" s="2">
        <v>0</v>
      </c>
      <c r="S770" s="2">
        <v>0</v>
      </c>
      <c r="T770" s="2">
        <v>4</v>
      </c>
      <c r="U770" s="2">
        <v>0</v>
      </c>
      <c r="V770" s="2">
        <v>0</v>
      </c>
      <c r="W770" s="2">
        <v>28</v>
      </c>
      <c r="X770" s="2">
        <v>0</v>
      </c>
      <c r="Y770" s="2">
        <v>1</v>
      </c>
      <c r="Z770" s="2">
        <v>0</v>
      </c>
      <c r="AA770" s="2">
        <v>3</v>
      </c>
      <c r="AB770" s="2">
        <v>2</v>
      </c>
      <c r="AC770" s="2">
        <v>1</v>
      </c>
      <c r="AD770" s="2">
        <v>1</v>
      </c>
      <c r="AE770" s="2">
        <v>0</v>
      </c>
      <c r="AF770" s="2">
        <v>1</v>
      </c>
    </row>
    <row r="771" spans="1:32" x14ac:dyDescent="0.25">
      <c r="A771">
        <v>770</v>
      </c>
      <c r="B771" s="2">
        <v>3</v>
      </c>
      <c r="C771" s="2">
        <v>12</v>
      </c>
      <c r="D771" s="2">
        <v>4</v>
      </c>
      <c r="E771" s="2">
        <v>0</v>
      </c>
      <c r="F771" s="2">
        <v>0</v>
      </c>
      <c r="G771" s="2">
        <v>0</v>
      </c>
      <c r="H771" s="2">
        <v>1</v>
      </c>
      <c r="I771" s="2">
        <v>0</v>
      </c>
      <c r="J771" s="2">
        <v>0</v>
      </c>
      <c r="K771" s="2">
        <v>1655</v>
      </c>
      <c r="L771" s="2">
        <v>0</v>
      </c>
      <c r="M771" s="2">
        <v>4</v>
      </c>
      <c r="N771" s="2">
        <v>2</v>
      </c>
      <c r="O771" s="2">
        <v>0</v>
      </c>
      <c r="P771" s="2">
        <v>1</v>
      </c>
      <c r="Q771" s="2">
        <v>0</v>
      </c>
      <c r="R771" s="2">
        <v>0</v>
      </c>
      <c r="S771" s="2">
        <v>0</v>
      </c>
      <c r="T771" s="2">
        <v>4</v>
      </c>
      <c r="U771" s="2">
        <v>1</v>
      </c>
      <c r="V771" s="2">
        <v>0</v>
      </c>
      <c r="W771" s="2">
        <v>63</v>
      </c>
      <c r="X771" s="2">
        <v>0</v>
      </c>
      <c r="Y771" s="2">
        <v>0</v>
      </c>
      <c r="Z771" s="2">
        <v>1</v>
      </c>
      <c r="AA771" s="2">
        <v>2</v>
      </c>
      <c r="AB771" s="2">
        <v>1</v>
      </c>
      <c r="AC771" s="2">
        <v>1</v>
      </c>
      <c r="AD771" s="2">
        <v>1</v>
      </c>
      <c r="AE771" s="2">
        <v>0</v>
      </c>
      <c r="AF771" s="2">
        <v>1</v>
      </c>
    </row>
    <row r="772" spans="1:32" x14ac:dyDescent="0.25">
      <c r="A772">
        <v>771</v>
      </c>
      <c r="B772" s="2">
        <v>0</v>
      </c>
      <c r="C772" s="2">
        <v>24</v>
      </c>
      <c r="D772" s="2">
        <v>2</v>
      </c>
      <c r="E772" s="2">
        <v>0</v>
      </c>
      <c r="F772" s="2">
        <v>1</v>
      </c>
      <c r="G772" s="2">
        <v>0</v>
      </c>
      <c r="H772" s="2">
        <v>0</v>
      </c>
      <c r="I772" s="2">
        <v>0</v>
      </c>
      <c r="J772" s="2">
        <v>0</v>
      </c>
      <c r="K772" s="2">
        <v>2812</v>
      </c>
      <c r="L772" s="2">
        <v>4</v>
      </c>
      <c r="M772" s="2">
        <v>4</v>
      </c>
      <c r="N772" s="2">
        <v>2</v>
      </c>
      <c r="O772" s="2">
        <v>0</v>
      </c>
      <c r="P772" s="2">
        <v>0</v>
      </c>
      <c r="Q772" s="2">
        <v>0</v>
      </c>
      <c r="R772" s="2">
        <v>0</v>
      </c>
      <c r="S772" s="2">
        <v>0</v>
      </c>
      <c r="T772" s="2">
        <v>4</v>
      </c>
      <c r="U772" s="2">
        <v>1</v>
      </c>
      <c r="V772" s="2">
        <v>0</v>
      </c>
      <c r="W772" s="2">
        <v>26</v>
      </c>
      <c r="X772" s="2">
        <v>0</v>
      </c>
      <c r="Y772" s="2">
        <v>1</v>
      </c>
      <c r="Z772" s="2">
        <v>0</v>
      </c>
      <c r="AA772" s="2">
        <v>1</v>
      </c>
      <c r="AB772" s="2">
        <v>2</v>
      </c>
      <c r="AC772" s="2">
        <v>1</v>
      </c>
      <c r="AD772" s="2">
        <v>0</v>
      </c>
      <c r="AE772" s="2">
        <v>0</v>
      </c>
      <c r="AF772" s="2">
        <v>1</v>
      </c>
    </row>
    <row r="773" spans="1:32" x14ac:dyDescent="0.25">
      <c r="A773">
        <v>772</v>
      </c>
      <c r="B773" s="2">
        <v>0</v>
      </c>
      <c r="C773" s="2">
        <v>36</v>
      </c>
      <c r="D773" s="2">
        <v>4</v>
      </c>
      <c r="E773" s="2">
        <v>0</v>
      </c>
      <c r="F773" s="2">
        <v>0</v>
      </c>
      <c r="G773" s="2">
        <v>0</v>
      </c>
      <c r="H773" s="2">
        <v>0</v>
      </c>
      <c r="I773" s="2">
        <v>1</v>
      </c>
      <c r="J773" s="2">
        <v>0</v>
      </c>
      <c r="K773" s="2">
        <v>8065</v>
      </c>
      <c r="L773" s="2">
        <v>0</v>
      </c>
      <c r="M773" s="2">
        <v>2</v>
      </c>
      <c r="N773" s="2">
        <v>3</v>
      </c>
      <c r="O773" s="2">
        <v>0</v>
      </c>
      <c r="P773" s="2">
        <v>0</v>
      </c>
      <c r="Q773" s="2">
        <v>0</v>
      </c>
      <c r="R773" s="2">
        <v>0</v>
      </c>
      <c r="S773" s="2">
        <v>0</v>
      </c>
      <c r="T773" s="2">
        <v>2</v>
      </c>
      <c r="U773" s="2">
        <v>0</v>
      </c>
      <c r="V773" s="2">
        <v>1</v>
      </c>
      <c r="W773" s="2">
        <v>25</v>
      </c>
      <c r="X773" s="2">
        <v>0</v>
      </c>
      <c r="Y773" s="2">
        <v>0</v>
      </c>
      <c r="Z773" s="2">
        <v>1</v>
      </c>
      <c r="AA773" s="2">
        <v>2</v>
      </c>
      <c r="AB773" s="2">
        <v>3</v>
      </c>
      <c r="AC773" s="2">
        <v>1</v>
      </c>
      <c r="AD773" s="2">
        <v>1</v>
      </c>
      <c r="AE773" s="2">
        <v>0</v>
      </c>
      <c r="AF773" s="2">
        <v>0</v>
      </c>
    </row>
    <row r="774" spans="1:32" x14ac:dyDescent="0.25">
      <c r="A774">
        <v>773</v>
      </c>
      <c r="B774" s="2">
        <v>3</v>
      </c>
      <c r="C774" s="2">
        <v>21</v>
      </c>
      <c r="D774" s="2">
        <v>4</v>
      </c>
      <c r="E774" s="2">
        <v>0</v>
      </c>
      <c r="F774" s="2">
        <v>1</v>
      </c>
      <c r="G774" s="2">
        <v>0</v>
      </c>
      <c r="H774" s="2">
        <v>0</v>
      </c>
      <c r="I774" s="2">
        <v>0</v>
      </c>
      <c r="J774" s="2">
        <v>0</v>
      </c>
      <c r="K774" s="2">
        <v>3275</v>
      </c>
      <c r="L774" s="2">
        <v>0</v>
      </c>
      <c r="M774" s="2">
        <v>4</v>
      </c>
      <c r="N774" s="2">
        <v>1</v>
      </c>
      <c r="O774" s="2">
        <v>0</v>
      </c>
      <c r="P774" s="2">
        <v>1</v>
      </c>
      <c r="Q774" s="2">
        <v>0</v>
      </c>
      <c r="R774" s="2">
        <v>0</v>
      </c>
      <c r="S774" s="2">
        <v>0</v>
      </c>
      <c r="T774" s="2">
        <v>4</v>
      </c>
      <c r="U774" s="2">
        <v>0</v>
      </c>
      <c r="V774" s="2">
        <v>0</v>
      </c>
      <c r="W774" s="2">
        <v>36</v>
      </c>
      <c r="X774" s="2">
        <v>0</v>
      </c>
      <c r="Y774" s="2">
        <v>0</v>
      </c>
      <c r="Z774" s="2">
        <v>1</v>
      </c>
      <c r="AA774" s="2">
        <v>1</v>
      </c>
      <c r="AB774" s="2">
        <v>3</v>
      </c>
      <c r="AC774" s="2">
        <v>1</v>
      </c>
      <c r="AD774" s="2">
        <v>1</v>
      </c>
      <c r="AE774" s="2">
        <v>0</v>
      </c>
      <c r="AF774" s="2">
        <v>1</v>
      </c>
    </row>
    <row r="775" spans="1:32" x14ac:dyDescent="0.25">
      <c r="A775">
        <v>774</v>
      </c>
      <c r="B775" s="2">
        <v>3</v>
      </c>
      <c r="C775" s="2">
        <v>24</v>
      </c>
      <c r="D775" s="2">
        <v>4</v>
      </c>
      <c r="E775" s="2">
        <v>0</v>
      </c>
      <c r="F775" s="2">
        <v>0</v>
      </c>
      <c r="G775" s="2">
        <v>0</v>
      </c>
      <c r="H775" s="2">
        <v>1</v>
      </c>
      <c r="I775" s="2">
        <v>0</v>
      </c>
      <c r="J775" s="2">
        <v>0</v>
      </c>
      <c r="K775" s="2">
        <v>2223</v>
      </c>
      <c r="L775" s="2">
        <v>1</v>
      </c>
      <c r="M775" s="2">
        <v>4</v>
      </c>
      <c r="N775" s="2">
        <v>4</v>
      </c>
      <c r="O775" s="2">
        <v>0</v>
      </c>
      <c r="P775" s="2">
        <v>1</v>
      </c>
      <c r="Q775" s="2">
        <v>0</v>
      </c>
      <c r="R775" s="2">
        <v>0</v>
      </c>
      <c r="S775" s="2">
        <v>0</v>
      </c>
      <c r="T775" s="2">
        <v>4</v>
      </c>
      <c r="U775" s="2">
        <v>0</v>
      </c>
      <c r="V775" s="2">
        <v>0</v>
      </c>
      <c r="W775" s="2">
        <v>52</v>
      </c>
      <c r="X775" s="2">
        <v>1</v>
      </c>
      <c r="Y775" s="2">
        <v>0</v>
      </c>
      <c r="Z775" s="2">
        <v>1</v>
      </c>
      <c r="AA775" s="2">
        <v>2</v>
      </c>
      <c r="AB775" s="2">
        <v>2</v>
      </c>
      <c r="AC775" s="2">
        <v>1</v>
      </c>
      <c r="AD775" s="2">
        <v>0</v>
      </c>
      <c r="AE775" s="2">
        <v>0</v>
      </c>
      <c r="AF775" s="2">
        <v>1</v>
      </c>
    </row>
    <row r="776" spans="1:32" x14ac:dyDescent="0.25">
      <c r="A776">
        <v>775</v>
      </c>
      <c r="B776" s="2">
        <v>2</v>
      </c>
      <c r="C776" s="2">
        <v>12</v>
      </c>
      <c r="D776" s="2">
        <v>4</v>
      </c>
      <c r="E776" s="2">
        <v>1</v>
      </c>
      <c r="F776" s="2">
        <v>0</v>
      </c>
      <c r="G776" s="2">
        <v>0</v>
      </c>
      <c r="H776" s="2">
        <v>0</v>
      </c>
      <c r="I776" s="2">
        <v>0</v>
      </c>
      <c r="J776" s="2">
        <v>0</v>
      </c>
      <c r="K776" s="2">
        <v>1480</v>
      </c>
      <c r="L776" s="2">
        <v>2</v>
      </c>
      <c r="M776" s="2">
        <v>0</v>
      </c>
      <c r="N776" s="2">
        <v>2</v>
      </c>
      <c r="O776" s="2">
        <v>0</v>
      </c>
      <c r="P776" s="2">
        <v>1</v>
      </c>
      <c r="Q776" s="2">
        <v>0</v>
      </c>
      <c r="R776" s="2">
        <v>0</v>
      </c>
      <c r="S776" s="2">
        <v>0</v>
      </c>
      <c r="T776" s="2">
        <v>4</v>
      </c>
      <c r="U776" s="2">
        <v>0</v>
      </c>
      <c r="V776" s="2">
        <v>1</v>
      </c>
      <c r="W776" s="2">
        <v>66</v>
      </c>
      <c r="X776" s="2">
        <v>1</v>
      </c>
      <c r="Y776" s="2">
        <v>0</v>
      </c>
      <c r="Z776" s="2">
        <v>0</v>
      </c>
      <c r="AA776" s="2">
        <v>3</v>
      </c>
      <c r="AB776" s="2">
        <v>0</v>
      </c>
      <c r="AC776" s="2">
        <v>1</v>
      </c>
      <c r="AD776" s="2">
        <v>0</v>
      </c>
      <c r="AE776" s="2">
        <v>0</v>
      </c>
      <c r="AF776" s="2">
        <v>1</v>
      </c>
    </row>
    <row r="777" spans="1:32" x14ac:dyDescent="0.25">
      <c r="A777">
        <v>776</v>
      </c>
      <c r="B777" s="2">
        <v>0</v>
      </c>
      <c r="C777" s="2">
        <v>24</v>
      </c>
      <c r="D777" s="2">
        <v>2</v>
      </c>
      <c r="E777" s="2">
        <v>1</v>
      </c>
      <c r="F777" s="2">
        <v>0</v>
      </c>
      <c r="G777" s="2">
        <v>0</v>
      </c>
      <c r="H777" s="2">
        <v>0</v>
      </c>
      <c r="I777" s="2">
        <v>0</v>
      </c>
      <c r="J777" s="2">
        <v>0</v>
      </c>
      <c r="K777" s="2">
        <v>1371</v>
      </c>
      <c r="L777" s="2">
        <v>4</v>
      </c>
      <c r="M777" s="2">
        <v>2</v>
      </c>
      <c r="N777" s="2">
        <v>4</v>
      </c>
      <c r="O777" s="2">
        <v>0</v>
      </c>
      <c r="P777" s="2">
        <v>0</v>
      </c>
      <c r="Q777" s="2">
        <v>0</v>
      </c>
      <c r="R777" s="2">
        <v>0</v>
      </c>
      <c r="S777" s="2">
        <v>0</v>
      </c>
      <c r="T777" s="2">
        <v>4</v>
      </c>
      <c r="U777" s="2">
        <v>1</v>
      </c>
      <c r="V777" s="2">
        <v>0</v>
      </c>
      <c r="W777" s="2">
        <v>25</v>
      </c>
      <c r="X777" s="2">
        <v>0</v>
      </c>
      <c r="Y777" s="2">
        <v>1</v>
      </c>
      <c r="Z777" s="2">
        <v>0</v>
      </c>
      <c r="AA777" s="2">
        <v>1</v>
      </c>
      <c r="AB777" s="2">
        <v>2</v>
      </c>
      <c r="AC777" s="2">
        <v>1</v>
      </c>
      <c r="AD777" s="2">
        <v>0</v>
      </c>
      <c r="AE777" s="2">
        <v>0</v>
      </c>
      <c r="AF777" s="2">
        <v>0</v>
      </c>
    </row>
    <row r="778" spans="1:32" x14ac:dyDescent="0.25">
      <c r="A778">
        <v>777</v>
      </c>
      <c r="B778" s="2">
        <v>3</v>
      </c>
      <c r="C778" s="2">
        <v>36</v>
      </c>
      <c r="D778" s="2">
        <v>4</v>
      </c>
      <c r="E778" s="2">
        <v>1</v>
      </c>
      <c r="F778" s="2">
        <v>0</v>
      </c>
      <c r="G778" s="2">
        <v>0</v>
      </c>
      <c r="H778" s="2">
        <v>0</v>
      </c>
      <c r="I778" s="2">
        <v>0</v>
      </c>
      <c r="J778" s="2">
        <v>0</v>
      </c>
      <c r="K778" s="2">
        <v>3535</v>
      </c>
      <c r="L778" s="2">
        <v>0</v>
      </c>
      <c r="M778" s="2">
        <v>3</v>
      </c>
      <c r="N778" s="2">
        <v>4</v>
      </c>
      <c r="O778" s="2">
        <v>0</v>
      </c>
      <c r="P778" s="2">
        <v>1</v>
      </c>
      <c r="Q778" s="2">
        <v>0</v>
      </c>
      <c r="R778" s="2">
        <v>0</v>
      </c>
      <c r="S778" s="2">
        <v>0</v>
      </c>
      <c r="T778" s="2">
        <v>4</v>
      </c>
      <c r="U778" s="2">
        <v>0</v>
      </c>
      <c r="V778" s="2">
        <v>0</v>
      </c>
      <c r="W778" s="2">
        <v>37</v>
      </c>
      <c r="X778" s="2">
        <v>0</v>
      </c>
      <c r="Y778" s="2">
        <v>0</v>
      </c>
      <c r="Z778" s="2">
        <v>1</v>
      </c>
      <c r="AA778" s="2">
        <v>2</v>
      </c>
      <c r="AB778" s="2">
        <v>2</v>
      </c>
      <c r="AC778" s="2">
        <v>1</v>
      </c>
      <c r="AD778" s="2">
        <v>1</v>
      </c>
      <c r="AE778" s="2">
        <v>0</v>
      </c>
      <c r="AF778" s="2">
        <v>1</v>
      </c>
    </row>
    <row r="779" spans="1:32" x14ac:dyDescent="0.25">
      <c r="A779">
        <v>778</v>
      </c>
      <c r="B779" s="2">
        <v>0</v>
      </c>
      <c r="C779" s="2">
        <v>18</v>
      </c>
      <c r="D779" s="2">
        <v>2</v>
      </c>
      <c r="E779" s="2">
        <v>0</v>
      </c>
      <c r="F779" s="2">
        <v>0</v>
      </c>
      <c r="G779" s="2">
        <v>0</v>
      </c>
      <c r="H779" s="2">
        <v>1</v>
      </c>
      <c r="I779" s="2">
        <v>0</v>
      </c>
      <c r="J779" s="2">
        <v>0</v>
      </c>
      <c r="K779" s="2">
        <v>3509</v>
      </c>
      <c r="L779" s="2">
        <v>0</v>
      </c>
      <c r="M779" s="2">
        <v>3</v>
      </c>
      <c r="N779" s="2">
        <v>4</v>
      </c>
      <c r="O779" s="2">
        <v>0</v>
      </c>
      <c r="P779" s="2">
        <v>0</v>
      </c>
      <c r="Q779" s="2">
        <v>0</v>
      </c>
      <c r="R779" s="2">
        <v>0</v>
      </c>
      <c r="S779" s="2">
        <v>1</v>
      </c>
      <c r="T779" s="2">
        <v>1</v>
      </c>
      <c r="U779" s="2">
        <v>1</v>
      </c>
      <c r="V779" s="2">
        <v>0</v>
      </c>
      <c r="W779" s="2">
        <v>25</v>
      </c>
      <c r="X779" s="2">
        <v>0</v>
      </c>
      <c r="Y779" s="2">
        <v>0</v>
      </c>
      <c r="Z779" s="2">
        <v>1</v>
      </c>
      <c r="AA779" s="2">
        <v>1</v>
      </c>
      <c r="AB779" s="2">
        <v>2</v>
      </c>
      <c r="AC779" s="2">
        <v>1</v>
      </c>
      <c r="AD779" s="2">
        <v>0</v>
      </c>
      <c r="AE779" s="2">
        <v>0</v>
      </c>
      <c r="AF779" s="2">
        <v>1</v>
      </c>
    </row>
    <row r="780" spans="1:32" x14ac:dyDescent="0.25">
      <c r="A780">
        <v>779</v>
      </c>
      <c r="B780" s="2">
        <v>3</v>
      </c>
      <c r="C780" s="2">
        <v>36</v>
      </c>
      <c r="D780" s="2">
        <v>4</v>
      </c>
      <c r="E780" s="2">
        <v>0</v>
      </c>
      <c r="F780" s="2">
        <v>1</v>
      </c>
      <c r="G780" s="2">
        <v>0</v>
      </c>
      <c r="H780" s="2">
        <v>0</v>
      </c>
      <c r="I780" s="2">
        <v>0</v>
      </c>
      <c r="J780" s="2">
        <v>0</v>
      </c>
      <c r="K780" s="2">
        <v>5711</v>
      </c>
      <c r="L780" s="2">
        <v>3</v>
      </c>
      <c r="M780" s="2">
        <v>4</v>
      </c>
      <c r="N780" s="2">
        <v>4</v>
      </c>
      <c r="O780" s="2">
        <v>0</v>
      </c>
      <c r="P780" s="2">
        <v>1</v>
      </c>
      <c r="Q780" s="2">
        <v>0</v>
      </c>
      <c r="R780" s="2">
        <v>0</v>
      </c>
      <c r="S780" s="2">
        <v>0</v>
      </c>
      <c r="T780" s="2">
        <v>2</v>
      </c>
      <c r="U780" s="2">
        <v>0</v>
      </c>
      <c r="V780" s="2">
        <v>0</v>
      </c>
      <c r="W780" s="2">
        <v>38</v>
      </c>
      <c r="X780" s="2">
        <v>0</v>
      </c>
      <c r="Y780" s="2">
        <v>0</v>
      </c>
      <c r="Z780" s="2">
        <v>1</v>
      </c>
      <c r="AA780" s="2">
        <v>2</v>
      </c>
      <c r="AB780" s="2">
        <v>3</v>
      </c>
      <c r="AC780" s="2">
        <v>1</v>
      </c>
      <c r="AD780" s="2">
        <v>1</v>
      </c>
      <c r="AE780" s="2">
        <v>0</v>
      </c>
      <c r="AF780" s="2">
        <v>1</v>
      </c>
    </row>
    <row r="781" spans="1:32" x14ac:dyDescent="0.25">
      <c r="A781">
        <v>780</v>
      </c>
      <c r="B781" s="2">
        <v>1</v>
      </c>
      <c r="C781" s="2">
        <v>18</v>
      </c>
      <c r="D781" s="2">
        <v>2</v>
      </c>
      <c r="E781" s="2">
        <v>0</v>
      </c>
      <c r="F781" s="2">
        <v>0</v>
      </c>
      <c r="G781" s="2">
        <v>0</v>
      </c>
      <c r="H781" s="2">
        <v>0</v>
      </c>
      <c r="I781" s="2">
        <v>0</v>
      </c>
      <c r="J781" s="2">
        <v>0</v>
      </c>
      <c r="K781" s="2">
        <v>3872</v>
      </c>
      <c r="L781" s="2">
        <v>0</v>
      </c>
      <c r="M781" s="2">
        <v>0</v>
      </c>
      <c r="N781" s="2">
        <v>2</v>
      </c>
      <c r="O781" s="2">
        <v>0</v>
      </c>
      <c r="P781" s="2">
        <v>0</v>
      </c>
      <c r="Q781" s="2">
        <v>0</v>
      </c>
      <c r="R781" s="2">
        <v>0</v>
      </c>
      <c r="S781" s="2">
        <v>0</v>
      </c>
      <c r="T781" s="2">
        <v>4</v>
      </c>
      <c r="U781" s="2">
        <v>0</v>
      </c>
      <c r="V781" s="2">
        <v>0</v>
      </c>
      <c r="W781" s="2">
        <v>67</v>
      </c>
      <c r="X781" s="2">
        <v>0</v>
      </c>
      <c r="Y781" s="2">
        <v>0</v>
      </c>
      <c r="Z781" s="2">
        <v>1</v>
      </c>
      <c r="AA781" s="2">
        <v>1</v>
      </c>
      <c r="AB781" s="2">
        <v>2</v>
      </c>
      <c r="AC781" s="2">
        <v>1</v>
      </c>
      <c r="AD781" s="2">
        <v>1</v>
      </c>
      <c r="AE781" s="2">
        <v>0</v>
      </c>
      <c r="AF781" s="2">
        <v>1</v>
      </c>
    </row>
    <row r="782" spans="1:32" x14ac:dyDescent="0.25">
      <c r="A782">
        <v>781</v>
      </c>
      <c r="B782" s="2">
        <v>1</v>
      </c>
      <c r="C782" s="2">
        <v>39</v>
      </c>
      <c r="D782" s="2">
        <v>4</v>
      </c>
      <c r="E782" s="2">
        <v>0</v>
      </c>
      <c r="F782" s="2">
        <v>0</v>
      </c>
      <c r="G782" s="2">
        <v>0</v>
      </c>
      <c r="H782" s="2">
        <v>1</v>
      </c>
      <c r="I782" s="2">
        <v>0</v>
      </c>
      <c r="J782" s="2">
        <v>0</v>
      </c>
      <c r="K782" s="2">
        <v>4933</v>
      </c>
      <c r="L782" s="2">
        <v>0</v>
      </c>
      <c r="M782" s="2">
        <v>3</v>
      </c>
      <c r="N782" s="2">
        <v>2</v>
      </c>
      <c r="O782" s="2">
        <v>0</v>
      </c>
      <c r="P782" s="2">
        <v>1</v>
      </c>
      <c r="Q782" s="2">
        <v>0</v>
      </c>
      <c r="R782" s="2">
        <v>0</v>
      </c>
      <c r="S782" s="2">
        <v>1</v>
      </c>
      <c r="T782" s="2">
        <v>2</v>
      </c>
      <c r="U782" s="2">
        <v>1</v>
      </c>
      <c r="V782" s="2">
        <v>0</v>
      </c>
      <c r="W782" s="2">
        <v>25</v>
      </c>
      <c r="X782" s="2">
        <v>0</v>
      </c>
      <c r="Y782" s="2">
        <v>0</v>
      </c>
      <c r="Z782" s="2">
        <v>1</v>
      </c>
      <c r="AA782" s="2">
        <v>2</v>
      </c>
      <c r="AB782" s="2">
        <v>2</v>
      </c>
      <c r="AC782" s="2">
        <v>1</v>
      </c>
      <c r="AD782" s="2">
        <v>0</v>
      </c>
      <c r="AE782" s="2">
        <v>0</v>
      </c>
      <c r="AF782" s="2">
        <v>0</v>
      </c>
    </row>
    <row r="783" spans="1:32" x14ac:dyDescent="0.25">
      <c r="A783">
        <v>782</v>
      </c>
      <c r="B783" s="2">
        <v>3</v>
      </c>
      <c r="C783" s="2">
        <v>24</v>
      </c>
      <c r="D783" s="2">
        <v>4</v>
      </c>
      <c r="E783" s="2">
        <v>1</v>
      </c>
      <c r="F783" s="2">
        <v>0</v>
      </c>
      <c r="G783" s="2">
        <v>0</v>
      </c>
      <c r="H783" s="2">
        <v>0</v>
      </c>
      <c r="I783" s="2">
        <v>0</v>
      </c>
      <c r="J783" s="2">
        <v>0</v>
      </c>
      <c r="K783" s="2">
        <v>1940</v>
      </c>
      <c r="L783" s="2">
        <v>3</v>
      </c>
      <c r="M783" s="2">
        <v>4</v>
      </c>
      <c r="N783" s="2">
        <v>4</v>
      </c>
      <c r="O783" s="2">
        <v>0</v>
      </c>
      <c r="P783" s="2">
        <v>1</v>
      </c>
      <c r="Q783" s="2">
        <v>0</v>
      </c>
      <c r="R783" s="2">
        <v>0</v>
      </c>
      <c r="S783" s="2">
        <v>0</v>
      </c>
      <c r="T783" s="2">
        <v>4</v>
      </c>
      <c r="U783" s="2">
        <v>1</v>
      </c>
      <c r="V783" s="2">
        <v>0</v>
      </c>
      <c r="W783" s="2">
        <v>60</v>
      </c>
      <c r="X783" s="2">
        <v>0</v>
      </c>
      <c r="Y783" s="2">
        <v>0</v>
      </c>
      <c r="Z783" s="2">
        <v>1</v>
      </c>
      <c r="AA783" s="2">
        <v>1</v>
      </c>
      <c r="AB783" s="2">
        <v>2</v>
      </c>
      <c r="AC783" s="2">
        <v>1</v>
      </c>
      <c r="AD783" s="2">
        <v>1</v>
      </c>
      <c r="AE783" s="2">
        <v>0</v>
      </c>
      <c r="AF783" s="2">
        <v>1</v>
      </c>
    </row>
    <row r="784" spans="1:32" x14ac:dyDescent="0.25">
      <c r="A784">
        <v>783</v>
      </c>
      <c r="B784" s="2">
        <v>1</v>
      </c>
      <c r="C784" s="2">
        <v>12</v>
      </c>
      <c r="D784" s="2">
        <v>0</v>
      </c>
      <c r="E784" s="2">
        <v>0</v>
      </c>
      <c r="F784" s="2">
        <v>0</v>
      </c>
      <c r="G784" s="2">
        <v>0</v>
      </c>
      <c r="H784" s="2">
        <v>0</v>
      </c>
      <c r="I784" s="2">
        <v>0</v>
      </c>
      <c r="J784" s="2">
        <v>0</v>
      </c>
      <c r="K784" s="2">
        <v>1410</v>
      </c>
      <c r="L784" s="2">
        <v>0</v>
      </c>
      <c r="M784" s="2">
        <v>2</v>
      </c>
      <c r="N784" s="2">
        <v>2</v>
      </c>
      <c r="O784" s="2">
        <v>0</v>
      </c>
      <c r="P784" s="2">
        <v>1</v>
      </c>
      <c r="Q784" s="2">
        <v>0</v>
      </c>
      <c r="R784" s="2">
        <v>0</v>
      </c>
      <c r="S784" s="2">
        <v>0</v>
      </c>
      <c r="T784" s="2">
        <v>2</v>
      </c>
      <c r="U784" s="2">
        <v>1</v>
      </c>
      <c r="V784" s="2">
        <v>0</v>
      </c>
      <c r="W784" s="2">
        <v>31</v>
      </c>
      <c r="X784" s="2">
        <v>0</v>
      </c>
      <c r="Y784" s="2">
        <v>0</v>
      </c>
      <c r="Z784" s="2">
        <v>1</v>
      </c>
      <c r="AA784" s="2">
        <v>1</v>
      </c>
      <c r="AB784" s="2">
        <v>1</v>
      </c>
      <c r="AC784" s="2">
        <v>1</v>
      </c>
      <c r="AD784" s="2">
        <v>1</v>
      </c>
      <c r="AE784" s="2">
        <v>0</v>
      </c>
      <c r="AF784" s="2">
        <v>1</v>
      </c>
    </row>
    <row r="785" spans="1:32" x14ac:dyDescent="0.25">
      <c r="A785">
        <v>784</v>
      </c>
      <c r="B785" s="2">
        <v>1</v>
      </c>
      <c r="C785" s="2">
        <v>12</v>
      </c>
      <c r="D785" s="2">
        <v>2</v>
      </c>
      <c r="E785" s="2">
        <v>1</v>
      </c>
      <c r="F785" s="2">
        <v>0</v>
      </c>
      <c r="G785" s="2">
        <v>0</v>
      </c>
      <c r="H785" s="2">
        <v>0</v>
      </c>
      <c r="I785" s="2">
        <v>0</v>
      </c>
      <c r="J785" s="2">
        <v>0</v>
      </c>
      <c r="K785" s="2">
        <v>836</v>
      </c>
      <c r="L785" s="2">
        <v>1</v>
      </c>
      <c r="M785" s="2">
        <v>1</v>
      </c>
      <c r="N785" s="2">
        <v>4</v>
      </c>
      <c r="O785" s="2">
        <v>0</v>
      </c>
      <c r="P785" s="2">
        <v>0</v>
      </c>
      <c r="Q785" s="2">
        <v>0</v>
      </c>
      <c r="R785" s="2">
        <v>0</v>
      </c>
      <c r="S785" s="2">
        <v>0</v>
      </c>
      <c r="T785" s="2">
        <v>2</v>
      </c>
      <c r="U785" s="2">
        <v>0</v>
      </c>
      <c r="V785" s="2">
        <v>0</v>
      </c>
      <c r="W785" s="2">
        <v>23</v>
      </c>
      <c r="X785" s="2">
        <v>1</v>
      </c>
      <c r="Y785" s="2">
        <v>0</v>
      </c>
      <c r="Z785" s="2">
        <v>1</v>
      </c>
      <c r="AA785" s="2">
        <v>1</v>
      </c>
      <c r="AB785" s="2">
        <v>1</v>
      </c>
      <c r="AC785" s="2">
        <v>1</v>
      </c>
      <c r="AD785" s="2">
        <v>0</v>
      </c>
      <c r="AE785" s="2">
        <v>0</v>
      </c>
      <c r="AF785" s="2">
        <v>0</v>
      </c>
    </row>
    <row r="786" spans="1:32" x14ac:dyDescent="0.25">
      <c r="A786">
        <v>785</v>
      </c>
      <c r="B786" s="2">
        <v>1</v>
      </c>
      <c r="C786" s="2">
        <v>20</v>
      </c>
      <c r="D786" s="2">
        <v>2</v>
      </c>
      <c r="E786" s="2">
        <v>0</v>
      </c>
      <c r="F786" s="2">
        <v>1</v>
      </c>
      <c r="G786" s="2">
        <v>0</v>
      </c>
      <c r="H786" s="2">
        <v>0</v>
      </c>
      <c r="I786" s="2">
        <v>0</v>
      </c>
      <c r="J786" s="2">
        <v>0</v>
      </c>
      <c r="K786" s="2">
        <v>6468</v>
      </c>
      <c r="L786" s="2">
        <v>4</v>
      </c>
      <c r="M786" s="2">
        <v>0</v>
      </c>
      <c r="N786" s="2">
        <v>1</v>
      </c>
      <c r="O786" s="2">
        <v>1</v>
      </c>
      <c r="P786" s="2">
        <v>0</v>
      </c>
      <c r="Q786" s="2">
        <v>0</v>
      </c>
      <c r="R786" s="2">
        <v>0</v>
      </c>
      <c r="S786" s="2">
        <v>0</v>
      </c>
      <c r="T786" s="2">
        <v>4</v>
      </c>
      <c r="U786" s="2">
        <v>1</v>
      </c>
      <c r="V786" s="2">
        <v>0</v>
      </c>
      <c r="W786" s="2">
        <v>60</v>
      </c>
      <c r="X786" s="2">
        <v>0</v>
      </c>
      <c r="Y786" s="2">
        <v>0</v>
      </c>
      <c r="Z786" s="2">
        <v>1</v>
      </c>
      <c r="AA786" s="2">
        <v>1</v>
      </c>
      <c r="AB786" s="2">
        <v>3</v>
      </c>
      <c r="AC786" s="2">
        <v>1</v>
      </c>
      <c r="AD786" s="2">
        <v>1</v>
      </c>
      <c r="AE786" s="2">
        <v>0</v>
      </c>
      <c r="AF786" s="2">
        <v>1</v>
      </c>
    </row>
    <row r="787" spans="1:32" x14ac:dyDescent="0.25">
      <c r="A787">
        <v>786</v>
      </c>
      <c r="B787" s="2">
        <v>1</v>
      </c>
      <c r="C787" s="2">
        <v>18</v>
      </c>
      <c r="D787" s="2">
        <v>2</v>
      </c>
      <c r="E787" s="2">
        <v>0</v>
      </c>
      <c r="F787" s="2">
        <v>0</v>
      </c>
      <c r="G787" s="2">
        <v>0</v>
      </c>
      <c r="H787" s="2">
        <v>0</v>
      </c>
      <c r="I787" s="2">
        <v>0</v>
      </c>
      <c r="J787" s="2">
        <v>1</v>
      </c>
      <c r="K787" s="2">
        <v>1941</v>
      </c>
      <c r="L787" s="2">
        <v>3</v>
      </c>
      <c r="M787" s="2">
        <v>2</v>
      </c>
      <c r="N787" s="2">
        <v>4</v>
      </c>
      <c r="O787" s="2">
        <v>0</v>
      </c>
      <c r="P787" s="2">
        <v>1</v>
      </c>
      <c r="Q787" s="2">
        <v>0</v>
      </c>
      <c r="R787" s="2">
        <v>0</v>
      </c>
      <c r="S787" s="2">
        <v>0</v>
      </c>
      <c r="T787" s="2">
        <v>2</v>
      </c>
      <c r="U787" s="2">
        <v>0</v>
      </c>
      <c r="V787" s="2">
        <v>0</v>
      </c>
      <c r="W787" s="2">
        <v>35</v>
      </c>
      <c r="X787" s="2">
        <v>0</v>
      </c>
      <c r="Y787" s="2">
        <v>0</v>
      </c>
      <c r="Z787" s="2">
        <v>1</v>
      </c>
      <c r="AA787" s="2">
        <v>1</v>
      </c>
      <c r="AB787" s="2">
        <v>1</v>
      </c>
      <c r="AC787" s="2">
        <v>1</v>
      </c>
      <c r="AD787" s="2">
        <v>1</v>
      </c>
      <c r="AE787" s="2">
        <v>0</v>
      </c>
      <c r="AF787" s="2">
        <v>1</v>
      </c>
    </row>
    <row r="788" spans="1:32" x14ac:dyDescent="0.25">
      <c r="A788">
        <v>787</v>
      </c>
      <c r="B788" s="2">
        <v>3</v>
      </c>
      <c r="C788" s="2">
        <v>22</v>
      </c>
      <c r="D788" s="2">
        <v>2</v>
      </c>
      <c r="E788" s="2">
        <v>0</v>
      </c>
      <c r="F788" s="2">
        <v>0</v>
      </c>
      <c r="G788" s="2">
        <v>0</v>
      </c>
      <c r="H788" s="2">
        <v>1</v>
      </c>
      <c r="I788" s="2">
        <v>0</v>
      </c>
      <c r="J788" s="2">
        <v>0</v>
      </c>
      <c r="K788" s="2">
        <v>2675</v>
      </c>
      <c r="L788" s="2">
        <v>2</v>
      </c>
      <c r="M788" s="2">
        <v>4</v>
      </c>
      <c r="N788" s="2">
        <v>3</v>
      </c>
      <c r="O788" s="2">
        <v>0</v>
      </c>
      <c r="P788" s="2">
        <v>1</v>
      </c>
      <c r="Q788" s="2">
        <v>0</v>
      </c>
      <c r="R788" s="2">
        <v>0</v>
      </c>
      <c r="S788" s="2">
        <v>0</v>
      </c>
      <c r="T788" s="2">
        <v>4</v>
      </c>
      <c r="U788" s="2">
        <v>0</v>
      </c>
      <c r="V788" s="2">
        <v>0</v>
      </c>
      <c r="W788" s="2">
        <v>40</v>
      </c>
      <c r="X788" s="2">
        <v>0</v>
      </c>
      <c r="Y788" s="2">
        <v>0</v>
      </c>
      <c r="Z788" s="2">
        <v>1</v>
      </c>
      <c r="AA788" s="2">
        <v>1</v>
      </c>
      <c r="AB788" s="2">
        <v>2</v>
      </c>
      <c r="AC788" s="2">
        <v>1</v>
      </c>
      <c r="AD788" s="2">
        <v>0</v>
      </c>
      <c r="AE788" s="2">
        <v>0</v>
      </c>
      <c r="AF788" s="2">
        <v>1</v>
      </c>
    </row>
    <row r="789" spans="1:32" x14ac:dyDescent="0.25">
      <c r="A789">
        <v>788</v>
      </c>
      <c r="B789" s="2">
        <v>3</v>
      </c>
      <c r="C789" s="2">
        <v>48</v>
      </c>
      <c r="D789" s="2">
        <v>4</v>
      </c>
      <c r="E789" s="2">
        <v>0</v>
      </c>
      <c r="F789" s="2">
        <v>1</v>
      </c>
      <c r="G789" s="2">
        <v>0</v>
      </c>
      <c r="H789" s="2">
        <v>0</v>
      </c>
      <c r="I789" s="2">
        <v>0</v>
      </c>
      <c r="J789" s="2">
        <v>0</v>
      </c>
      <c r="K789" s="2">
        <v>2751</v>
      </c>
      <c r="L789" s="2">
        <v>4</v>
      </c>
      <c r="M789" s="2">
        <v>4</v>
      </c>
      <c r="N789" s="2">
        <v>4</v>
      </c>
      <c r="O789" s="2">
        <v>0</v>
      </c>
      <c r="P789" s="2">
        <v>1</v>
      </c>
      <c r="Q789" s="2">
        <v>0</v>
      </c>
      <c r="R789" s="2">
        <v>0</v>
      </c>
      <c r="S789" s="2">
        <v>0</v>
      </c>
      <c r="T789" s="2">
        <v>3</v>
      </c>
      <c r="U789" s="2">
        <v>0</v>
      </c>
      <c r="V789" s="2">
        <v>0</v>
      </c>
      <c r="W789" s="2">
        <v>38</v>
      </c>
      <c r="X789" s="2">
        <v>0</v>
      </c>
      <c r="Y789" s="2">
        <v>0</v>
      </c>
      <c r="Z789" s="2">
        <v>1</v>
      </c>
      <c r="AA789" s="2">
        <v>2</v>
      </c>
      <c r="AB789" s="2">
        <v>2</v>
      </c>
      <c r="AC789" s="2">
        <v>2</v>
      </c>
      <c r="AD789" s="2">
        <v>1</v>
      </c>
      <c r="AE789" s="2">
        <v>0</v>
      </c>
      <c r="AF789" s="2">
        <v>1</v>
      </c>
    </row>
    <row r="790" spans="1:32" x14ac:dyDescent="0.25">
      <c r="A790">
        <v>789</v>
      </c>
      <c r="B790" s="2">
        <v>1</v>
      </c>
      <c r="C790" s="2">
        <v>48</v>
      </c>
      <c r="D790" s="2">
        <v>3</v>
      </c>
      <c r="E790" s="2">
        <v>0</v>
      </c>
      <c r="F790" s="2">
        <v>0</v>
      </c>
      <c r="G790" s="2">
        <v>0</v>
      </c>
      <c r="H790" s="2">
        <v>0</v>
      </c>
      <c r="I790" s="2">
        <v>1</v>
      </c>
      <c r="J790" s="2">
        <v>0</v>
      </c>
      <c r="K790" s="2">
        <v>6224</v>
      </c>
      <c r="L790" s="2">
        <v>0</v>
      </c>
      <c r="M790" s="2">
        <v>4</v>
      </c>
      <c r="N790" s="2">
        <v>4</v>
      </c>
      <c r="O790" s="2">
        <v>0</v>
      </c>
      <c r="P790" s="2">
        <v>1</v>
      </c>
      <c r="Q790" s="2">
        <v>0</v>
      </c>
      <c r="R790" s="2">
        <v>0</v>
      </c>
      <c r="S790" s="2">
        <v>0</v>
      </c>
      <c r="T790" s="2">
        <v>4</v>
      </c>
      <c r="U790" s="2">
        <v>0</v>
      </c>
      <c r="V790" s="2">
        <v>1</v>
      </c>
      <c r="W790" s="2">
        <v>50</v>
      </c>
      <c r="X790" s="2">
        <v>0</v>
      </c>
      <c r="Y790" s="2">
        <v>0</v>
      </c>
      <c r="Z790" s="2">
        <v>0</v>
      </c>
      <c r="AA790" s="2">
        <v>1</v>
      </c>
      <c r="AB790" s="2">
        <v>2</v>
      </c>
      <c r="AC790" s="2">
        <v>1</v>
      </c>
      <c r="AD790" s="2">
        <v>0</v>
      </c>
      <c r="AE790" s="2">
        <v>0</v>
      </c>
      <c r="AF790" s="2">
        <v>0</v>
      </c>
    </row>
    <row r="791" spans="1:32" x14ac:dyDescent="0.25">
      <c r="A791">
        <v>790</v>
      </c>
      <c r="B791" s="2">
        <v>0</v>
      </c>
      <c r="C791" s="2">
        <v>40</v>
      </c>
      <c r="D791" s="2">
        <v>4</v>
      </c>
      <c r="E791" s="2">
        <v>0</v>
      </c>
      <c r="F791" s="2">
        <v>0</v>
      </c>
      <c r="G791" s="2">
        <v>0</v>
      </c>
      <c r="H791" s="2">
        <v>0</v>
      </c>
      <c r="I791" s="2">
        <v>1</v>
      </c>
      <c r="J791" s="2">
        <v>0</v>
      </c>
      <c r="K791" s="2">
        <v>5998</v>
      </c>
      <c r="L791" s="2">
        <v>0</v>
      </c>
      <c r="M791" s="2">
        <v>2</v>
      </c>
      <c r="N791" s="2">
        <v>4</v>
      </c>
      <c r="O791" s="2">
        <v>0</v>
      </c>
      <c r="P791" s="2">
        <v>1</v>
      </c>
      <c r="Q791" s="2">
        <v>0</v>
      </c>
      <c r="R791" s="2">
        <v>0</v>
      </c>
      <c r="S791" s="2">
        <v>0</v>
      </c>
      <c r="T791" s="2">
        <v>3</v>
      </c>
      <c r="U791" s="2">
        <v>0</v>
      </c>
      <c r="V791" s="2">
        <v>1</v>
      </c>
      <c r="W791" s="2">
        <v>27</v>
      </c>
      <c r="X791" s="2">
        <v>1</v>
      </c>
      <c r="Y791" s="2">
        <v>0</v>
      </c>
      <c r="Z791" s="2">
        <v>1</v>
      </c>
      <c r="AA791" s="2">
        <v>1</v>
      </c>
      <c r="AB791" s="2">
        <v>2</v>
      </c>
      <c r="AC791" s="2">
        <v>1</v>
      </c>
      <c r="AD791" s="2">
        <v>1</v>
      </c>
      <c r="AE791" s="2">
        <v>0</v>
      </c>
      <c r="AF791" s="2">
        <v>0</v>
      </c>
    </row>
    <row r="792" spans="1:32" x14ac:dyDescent="0.25">
      <c r="A792">
        <v>791</v>
      </c>
      <c r="B792" s="2">
        <v>1</v>
      </c>
      <c r="C792" s="2">
        <v>21</v>
      </c>
      <c r="D792" s="2">
        <v>2</v>
      </c>
      <c r="E792" s="2">
        <v>0</v>
      </c>
      <c r="F792" s="2">
        <v>0</v>
      </c>
      <c r="G792" s="2">
        <v>0</v>
      </c>
      <c r="H792" s="2">
        <v>0</v>
      </c>
      <c r="I792" s="2">
        <v>0</v>
      </c>
      <c r="J792" s="2">
        <v>1</v>
      </c>
      <c r="K792" s="2">
        <v>1188</v>
      </c>
      <c r="L792" s="2">
        <v>0</v>
      </c>
      <c r="M792" s="2">
        <v>4</v>
      </c>
      <c r="N792" s="2">
        <v>2</v>
      </c>
      <c r="O792" s="2">
        <v>0</v>
      </c>
      <c r="P792" s="2">
        <v>0</v>
      </c>
      <c r="Q792" s="2">
        <v>0</v>
      </c>
      <c r="R792" s="2">
        <v>0</v>
      </c>
      <c r="S792" s="2">
        <v>0</v>
      </c>
      <c r="T792" s="2">
        <v>4</v>
      </c>
      <c r="U792" s="2">
        <v>0</v>
      </c>
      <c r="V792" s="2">
        <v>0</v>
      </c>
      <c r="W792" s="2">
        <v>39</v>
      </c>
      <c r="X792" s="2">
        <v>0</v>
      </c>
      <c r="Y792" s="2">
        <v>0</v>
      </c>
      <c r="Z792" s="2">
        <v>1</v>
      </c>
      <c r="AA792" s="2">
        <v>1</v>
      </c>
      <c r="AB792" s="2">
        <v>2</v>
      </c>
      <c r="AC792" s="2">
        <v>2</v>
      </c>
      <c r="AD792" s="2">
        <v>0</v>
      </c>
      <c r="AE792" s="2">
        <v>0</v>
      </c>
      <c r="AF792" s="2">
        <v>0</v>
      </c>
    </row>
    <row r="793" spans="1:32" x14ac:dyDescent="0.25">
      <c r="A793">
        <v>792</v>
      </c>
      <c r="B793" s="2">
        <v>3</v>
      </c>
      <c r="C793" s="2">
        <v>24</v>
      </c>
      <c r="D793" s="2">
        <v>2</v>
      </c>
      <c r="E793" s="2">
        <v>0</v>
      </c>
      <c r="F793" s="2">
        <v>1</v>
      </c>
      <c r="G793" s="2">
        <v>0</v>
      </c>
      <c r="H793" s="2">
        <v>0</v>
      </c>
      <c r="I793" s="2">
        <v>0</v>
      </c>
      <c r="J793" s="2">
        <v>0</v>
      </c>
      <c r="K793" s="2">
        <v>6313</v>
      </c>
      <c r="L793" s="2">
        <v>4</v>
      </c>
      <c r="M793" s="2">
        <v>4</v>
      </c>
      <c r="N793" s="2">
        <v>3</v>
      </c>
      <c r="O793" s="2">
        <v>0</v>
      </c>
      <c r="P793" s="2">
        <v>1</v>
      </c>
      <c r="Q793" s="2">
        <v>0</v>
      </c>
      <c r="R793" s="2">
        <v>0</v>
      </c>
      <c r="S793" s="2">
        <v>0</v>
      </c>
      <c r="T793" s="2">
        <v>4</v>
      </c>
      <c r="U793" s="2">
        <v>0</v>
      </c>
      <c r="V793" s="2">
        <v>0</v>
      </c>
      <c r="W793" s="2">
        <v>41</v>
      </c>
      <c r="X793" s="2">
        <v>0</v>
      </c>
      <c r="Y793" s="2">
        <v>0</v>
      </c>
      <c r="Z793" s="2">
        <v>1</v>
      </c>
      <c r="AA793" s="2">
        <v>1</v>
      </c>
      <c r="AB793" s="2">
        <v>3</v>
      </c>
      <c r="AC793" s="2">
        <v>2</v>
      </c>
      <c r="AD793" s="2">
        <v>1</v>
      </c>
      <c r="AE793" s="2">
        <v>0</v>
      </c>
      <c r="AF793" s="2">
        <v>1</v>
      </c>
    </row>
    <row r="794" spans="1:32" x14ac:dyDescent="0.25">
      <c r="A794">
        <v>793</v>
      </c>
      <c r="B794" s="2">
        <v>3</v>
      </c>
      <c r="C794" s="2">
        <v>6</v>
      </c>
      <c r="D794" s="2">
        <v>4</v>
      </c>
      <c r="E794" s="2">
        <v>0</v>
      </c>
      <c r="F794" s="2">
        <v>0</v>
      </c>
      <c r="G794" s="2">
        <v>1</v>
      </c>
      <c r="H794" s="2">
        <v>0</v>
      </c>
      <c r="I794" s="2">
        <v>0</v>
      </c>
      <c r="J794" s="2">
        <v>0</v>
      </c>
      <c r="K794" s="2">
        <v>1221</v>
      </c>
      <c r="L794" s="2">
        <v>4</v>
      </c>
      <c r="M794" s="2">
        <v>2</v>
      </c>
      <c r="N794" s="2">
        <v>1</v>
      </c>
      <c r="O794" s="2">
        <v>0</v>
      </c>
      <c r="P794" s="2">
        <v>0</v>
      </c>
      <c r="Q794" s="2">
        <v>1</v>
      </c>
      <c r="R794" s="2">
        <v>0</v>
      </c>
      <c r="S794" s="2">
        <v>0</v>
      </c>
      <c r="T794" s="2">
        <v>2</v>
      </c>
      <c r="U794" s="2">
        <v>0</v>
      </c>
      <c r="V794" s="2">
        <v>0</v>
      </c>
      <c r="W794" s="2">
        <v>27</v>
      </c>
      <c r="X794" s="2">
        <v>0</v>
      </c>
      <c r="Y794" s="2">
        <v>0</v>
      </c>
      <c r="Z794" s="2">
        <v>1</v>
      </c>
      <c r="AA794" s="2">
        <v>2</v>
      </c>
      <c r="AB794" s="2">
        <v>2</v>
      </c>
      <c r="AC794" s="2">
        <v>1</v>
      </c>
      <c r="AD794" s="2">
        <v>0</v>
      </c>
      <c r="AE794" s="2">
        <v>0</v>
      </c>
      <c r="AF794" s="2">
        <v>1</v>
      </c>
    </row>
    <row r="795" spans="1:32" x14ac:dyDescent="0.25">
      <c r="A795">
        <v>794</v>
      </c>
      <c r="B795" s="2">
        <v>2</v>
      </c>
      <c r="C795" s="2">
        <v>24</v>
      </c>
      <c r="D795" s="2">
        <v>2</v>
      </c>
      <c r="E795" s="2">
        <v>0</v>
      </c>
      <c r="F795" s="2">
        <v>0</v>
      </c>
      <c r="G795" s="2">
        <v>1</v>
      </c>
      <c r="H795" s="2">
        <v>0</v>
      </c>
      <c r="I795" s="2">
        <v>0</v>
      </c>
      <c r="J795" s="2">
        <v>0</v>
      </c>
      <c r="K795" s="2">
        <v>2892</v>
      </c>
      <c r="L795" s="2">
        <v>0</v>
      </c>
      <c r="M795" s="2">
        <v>4</v>
      </c>
      <c r="N795" s="2">
        <v>3</v>
      </c>
      <c r="O795" s="2">
        <v>1</v>
      </c>
      <c r="P795" s="2">
        <v>0</v>
      </c>
      <c r="Q795" s="2">
        <v>0</v>
      </c>
      <c r="R795" s="2">
        <v>0</v>
      </c>
      <c r="S795" s="2">
        <v>0</v>
      </c>
      <c r="T795" s="2">
        <v>4</v>
      </c>
      <c r="U795" s="2">
        <v>0</v>
      </c>
      <c r="V795" s="2">
        <v>1</v>
      </c>
      <c r="W795" s="2">
        <v>51</v>
      </c>
      <c r="X795" s="2">
        <v>0</v>
      </c>
      <c r="Y795" s="2">
        <v>0</v>
      </c>
      <c r="Z795" s="2">
        <v>0</v>
      </c>
      <c r="AA795" s="2">
        <v>1</v>
      </c>
      <c r="AB795" s="2">
        <v>2</v>
      </c>
      <c r="AC795" s="2">
        <v>1</v>
      </c>
      <c r="AD795" s="2">
        <v>0</v>
      </c>
      <c r="AE795" s="2">
        <v>0</v>
      </c>
      <c r="AF795" s="2">
        <v>1</v>
      </c>
    </row>
    <row r="796" spans="1:32" x14ac:dyDescent="0.25">
      <c r="A796">
        <v>795</v>
      </c>
      <c r="B796" s="2">
        <v>3</v>
      </c>
      <c r="C796" s="2">
        <v>24</v>
      </c>
      <c r="D796" s="2">
        <v>2</v>
      </c>
      <c r="E796" s="2">
        <v>0</v>
      </c>
      <c r="F796" s="2">
        <v>0</v>
      </c>
      <c r="G796" s="2">
        <v>1</v>
      </c>
      <c r="H796" s="2">
        <v>0</v>
      </c>
      <c r="I796" s="2">
        <v>0</v>
      </c>
      <c r="J796" s="2">
        <v>0</v>
      </c>
      <c r="K796" s="2">
        <v>3062</v>
      </c>
      <c r="L796" s="2">
        <v>2</v>
      </c>
      <c r="M796" s="2">
        <v>4</v>
      </c>
      <c r="N796" s="2">
        <v>4</v>
      </c>
      <c r="O796" s="2">
        <v>0</v>
      </c>
      <c r="P796" s="2">
        <v>1</v>
      </c>
      <c r="Q796" s="2">
        <v>0</v>
      </c>
      <c r="R796" s="2">
        <v>0</v>
      </c>
      <c r="S796" s="2">
        <v>0</v>
      </c>
      <c r="T796" s="2">
        <v>3</v>
      </c>
      <c r="U796" s="2">
        <v>0</v>
      </c>
      <c r="V796" s="2">
        <v>1</v>
      </c>
      <c r="W796" s="2">
        <v>32</v>
      </c>
      <c r="X796" s="2">
        <v>0</v>
      </c>
      <c r="Y796" s="2">
        <v>1</v>
      </c>
      <c r="Z796" s="2">
        <v>0</v>
      </c>
      <c r="AA796" s="2">
        <v>1</v>
      </c>
      <c r="AB796" s="2">
        <v>2</v>
      </c>
      <c r="AC796" s="2">
        <v>1</v>
      </c>
      <c r="AD796" s="2">
        <v>1</v>
      </c>
      <c r="AE796" s="2">
        <v>0</v>
      </c>
      <c r="AF796" s="2">
        <v>1</v>
      </c>
    </row>
    <row r="797" spans="1:32" x14ac:dyDescent="0.25">
      <c r="A797">
        <v>796</v>
      </c>
      <c r="B797" s="2">
        <v>3</v>
      </c>
      <c r="C797" s="2">
        <v>9</v>
      </c>
      <c r="D797" s="2">
        <v>2</v>
      </c>
      <c r="E797" s="2">
        <v>0</v>
      </c>
      <c r="F797" s="2">
        <v>0</v>
      </c>
      <c r="G797" s="2">
        <v>1</v>
      </c>
      <c r="H797" s="2">
        <v>0</v>
      </c>
      <c r="I797" s="2">
        <v>0</v>
      </c>
      <c r="J797" s="2">
        <v>0</v>
      </c>
      <c r="K797" s="2">
        <v>2301</v>
      </c>
      <c r="L797" s="2">
        <v>1</v>
      </c>
      <c r="M797" s="2">
        <v>1</v>
      </c>
      <c r="N797" s="2">
        <v>2</v>
      </c>
      <c r="O797" s="2">
        <v>0</v>
      </c>
      <c r="P797" s="2">
        <v>0</v>
      </c>
      <c r="Q797" s="2">
        <v>0</v>
      </c>
      <c r="R797" s="2">
        <v>0</v>
      </c>
      <c r="S797" s="2">
        <v>0</v>
      </c>
      <c r="T797" s="2">
        <v>4</v>
      </c>
      <c r="U797" s="2">
        <v>0</v>
      </c>
      <c r="V797" s="2">
        <v>0</v>
      </c>
      <c r="W797" s="2">
        <v>22</v>
      </c>
      <c r="X797" s="2">
        <v>0</v>
      </c>
      <c r="Y797" s="2">
        <v>1</v>
      </c>
      <c r="Z797" s="2">
        <v>0</v>
      </c>
      <c r="AA797" s="2">
        <v>1</v>
      </c>
      <c r="AB797" s="2">
        <v>2</v>
      </c>
      <c r="AC797" s="2">
        <v>1</v>
      </c>
      <c r="AD797" s="2">
        <v>0</v>
      </c>
      <c r="AE797" s="2">
        <v>0</v>
      </c>
      <c r="AF797" s="2">
        <v>1</v>
      </c>
    </row>
    <row r="798" spans="1:32" x14ac:dyDescent="0.25">
      <c r="A798">
        <v>797</v>
      </c>
      <c r="B798" s="2">
        <v>0</v>
      </c>
      <c r="C798" s="2">
        <v>18</v>
      </c>
      <c r="D798" s="2">
        <v>2</v>
      </c>
      <c r="E798" s="2">
        <v>0</v>
      </c>
      <c r="F798" s="2">
        <v>1</v>
      </c>
      <c r="G798" s="2">
        <v>0</v>
      </c>
      <c r="H798" s="2">
        <v>0</v>
      </c>
      <c r="I798" s="2">
        <v>0</v>
      </c>
      <c r="J798" s="2">
        <v>0</v>
      </c>
      <c r="K798" s="2">
        <v>7511</v>
      </c>
      <c r="L798" s="2">
        <v>4</v>
      </c>
      <c r="M798" s="2">
        <v>4</v>
      </c>
      <c r="N798" s="2">
        <v>1</v>
      </c>
      <c r="O798" s="2">
        <v>0</v>
      </c>
      <c r="P798" s="2">
        <v>1</v>
      </c>
      <c r="Q798" s="2">
        <v>0</v>
      </c>
      <c r="R798" s="2">
        <v>0</v>
      </c>
      <c r="S798" s="2">
        <v>0</v>
      </c>
      <c r="T798" s="2">
        <v>4</v>
      </c>
      <c r="U798" s="2">
        <v>0</v>
      </c>
      <c r="V798" s="2">
        <v>0</v>
      </c>
      <c r="W798" s="2">
        <v>51</v>
      </c>
      <c r="X798" s="2">
        <v>0</v>
      </c>
      <c r="Y798" s="2">
        <v>0</v>
      </c>
      <c r="Z798" s="2">
        <v>0</v>
      </c>
      <c r="AA798" s="2">
        <v>1</v>
      </c>
      <c r="AB798" s="2">
        <v>2</v>
      </c>
      <c r="AC798" s="2">
        <v>2</v>
      </c>
      <c r="AD798" s="2">
        <v>1</v>
      </c>
      <c r="AE798" s="2">
        <v>0</v>
      </c>
      <c r="AF798" s="2">
        <v>0</v>
      </c>
    </row>
    <row r="799" spans="1:32" x14ac:dyDescent="0.25">
      <c r="A799">
        <v>798</v>
      </c>
      <c r="B799" s="2">
        <v>3</v>
      </c>
      <c r="C799" s="2">
        <v>12</v>
      </c>
      <c r="D799" s="2">
        <v>4</v>
      </c>
      <c r="E799" s="2">
        <v>0</v>
      </c>
      <c r="F799" s="2">
        <v>0</v>
      </c>
      <c r="G799" s="2">
        <v>1</v>
      </c>
      <c r="H799" s="2">
        <v>0</v>
      </c>
      <c r="I799" s="2">
        <v>0</v>
      </c>
      <c r="J799" s="2">
        <v>0</v>
      </c>
      <c r="K799" s="2">
        <v>1258</v>
      </c>
      <c r="L799" s="2">
        <v>0</v>
      </c>
      <c r="M799" s="2">
        <v>1</v>
      </c>
      <c r="N799" s="2">
        <v>2</v>
      </c>
      <c r="O799" s="2">
        <v>0</v>
      </c>
      <c r="P799" s="2">
        <v>0</v>
      </c>
      <c r="Q799" s="2">
        <v>0</v>
      </c>
      <c r="R799" s="2">
        <v>0</v>
      </c>
      <c r="S799" s="2">
        <v>0</v>
      </c>
      <c r="T799" s="2">
        <v>4</v>
      </c>
      <c r="U799" s="2">
        <v>0</v>
      </c>
      <c r="V799" s="2">
        <v>0</v>
      </c>
      <c r="W799" s="2">
        <v>22</v>
      </c>
      <c r="X799" s="2">
        <v>0</v>
      </c>
      <c r="Y799" s="2">
        <v>1</v>
      </c>
      <c r="Z799" s="2">
        <v>0</v>
      </c>
      <c r="AA799" s="2">
        <v>2</v>
      </c>
      <c r="AB799" s="2">
        <v>1</v>
      </c>
      <c r="AC799" s="2">
        <v>1</v>
      </c>
      <c r="AD799" s="2">
        <v>0</v>
      </c>
      <c r="AE799" s="2">
        <v>0</v>
      </c>
      <c r="AF799" s="2">
        <v>1</v>
      </c>
    </row>
    <row r="800" spans="1:32" x14ac:dyDescent="0.25">
      <c r="A800">
        <v>799</v>
      </c>
      <c r="B800" s="2">
        <v>3</v>
      </c>
      <c r="C800" s="2">
        <v>24</v>
      </c>
      <c r="D800" s="2">
        <v>3</v>
      </c>
      <c r="E800" s="2">
        <v>1</v>
      </c>
      <c r="F800" s="2">
        <v>0</v>
      </c>
      <c r="G800" s="2">
        <v>0</v>
      </c>
      <c r="H800" s="2">
        <v>0</v>
      </c>
      <c r="I800" s="2">
        <v>0</v>
      </c>
      <c r="J800" s="2">
        <v>0</v>
      </c>
      <c r="K800" s="2">
        <v>717</v>
      </c>
      <c r="L800" s="2">
        <v>4</v>
      </c>
      <c r="M800" s="2">
        <v>4</v>
      </c>
      <c r="N800" s="2">
        <v>4</v>
      </c>
      <c r="O800" s="2">
        <v>0</v>
      </c>
      <c r="P800" s="2">
        <v>0</v>
      </c>
      <c r="Q800" s="2">
        <v>1</v>
      </c>
      <c r="R800" s="2">
        <v>0</v>
      </c>
      <c r="S800" s="2">
        <v>0</v>
      </c>
      <c r="T800" s="2">
        <v>4</v>
      </c>
      <c r="U800" s="2">
        <v>0</v>
      </c>
      <c r="V800" s="2">
        <v>0</v>
      </c>
      <c r="W800" s="2">
        <v>54</v>
      </c>
      <c r="X800" s="2">
        <v>0</v>
      </c>
      <c r="Y800" s="2">
        <v>0</v>
      </c>
      <c r="Z800" s="2">
        <v>1</v>
      </c>
      <c r="AA800" s="2">
        <v>2</v>
      </c>
      <c r="AB800" s="2">
        <v>2</v>
      </c>
      <c r="AC800" s="2">
        <v>1</v>
      </c>
      <c r="AD800" s="2">
        <v>1</v>
      </c>
      <c r="AE800" s="2">
        <v>0</v>
      </c>
      <c r="AF800" s="2">
        <v>1</v>
      </c>
    </row>
    <row r="801" spans="1:32" x14ac:dyDescent="0.25">
      <c r="A801">
        <v>800</v>
      </c>
      <c r="B801" s="2">
        <v>1</v>
      </c>
      <c r="C801" s="2">
        <v>9</v>
      </c>
      <c r="D801" s="2">
        <v>2</v>
      </c>
      <c r="E801" s="2">
        <v>1</v>
      </c>
      <c r="F801" s="2">
        <v>0</v>
      </c>
      <c r="G801" s="2">
        <v>0</v>
      </c>
      <c r="H801" s="2">
        <v>0</v>
      </c>
      <c r="I801" s="2">
        <v>0</v>
      </c>
      <c r="J801" s="2">
        <v>0</v>
      </c>
      <c r="K801" s="2">
        <v>1549</v>
      </c>
      <c r="L801" s="2">
        <v>4</v>
      </c>
      <c r="M801" s="2">
        <v>1</v>
      </c>
      <c r="N801" s="2">
        <v>4</v>
      </c>
      <c r="O801" s="2">
        <v>0</v>
      </c>
      <c r="P801" s="2">
        <v>1</v>
      </c>
      <c r="Q801" s="2">
        <v>0</v>
      </c>
      <c r="R801" s="2">
        <v>0</v>
      </c>
      <c r="S801" s="2">
        <v>0</v>
      </c>
      <c r="T801" s="2">
        <v>2</v>
      </c>
      <c r="U801" s="2">
        <v>1</v>
      </c>
      <c r="V801" s="2">
        <v>0</v>
      </c>
      <c r="W801" s="2">
        <v>35</v>
      </c>
      <c r="X801" s="2">
        <v>0</v>
      </c>
      <c r="Y801" s="2">
        <v>0</v>
      </c>
      <c r="Z801" s="2">
        <v>1</v>
      </c>
      <c r="AA801" s="2">
        <v>1</v>
      </c>
      <c r="AB801" s="2">
        <v>0</v>
      </c>
      <c r="AC801" s="2">
        <v>1</v>
      </c>
      <c r="AD801" s="2">
        <v>0</v>
      </c>
      <c r="AE801" s="2">
        <v>0</v>
      </c>
      <c r="AF801" s="2">
        <v>1</v>
      </c>
    </row>
    <row r="802" spans="1:32" x14ac:dyDescent="0.25">
      <c r="A802">
        <v>801</v>
      </c>
      <c r="B802" s="2">
        <v>3</v>
      </c>
      <c r="C802" s="2">
        <v>24</v>
      </c>
      <c r="D802" s="2">
        <v>4</v>
      </c>
      <c r="E802" s="2">
        <v>0</v>
      </c>
      <c r="F802" s="2">
        <v>0</v>
      </c>
      <c r="G802" s="2">
        <v>0</v>
      </c>
      <c r="H802" s="2">
        <v>0</v>
      </c>
      <c r="I802" s="2">
        <v>1</v>
      </c>
      <c r="J802" s="2">
        <v>0</v>
      </c>
      <c r="K802" s="2">
        <v>1597</v>
      </c>
      <c r="L802" s="2">
        <v>0</v>
      </c>
      <c r="M802" s="2">
        <v>4</v>
      </c>
      <c r="N802" s="2">
        <v>4</v>
      </c>
      <c r="O802" s="2">
        <v>0</v>
      </c>
      <c r="P802" s="2">
        <v>1</v>
      </c>
      <c r="Q802" s="2">
        <v>0</v>
      </c>
      <c r="R802" s="2">
        <v>0</v>
      </c>
      <c r="S802" s="2">
        <v>0</v>
      </c>
      <c r="T802" s="2">
        <v>4</v>
      </c>
      <c r="U802" s="2">
        <v>0</v>
      </c>
      <c r="V802" s="2">
        <v>1</v>
      </c>
      <c r="W802" s="2">
        <v>54</v>
      </c>
      <c r="X802" s="2">
        <v>0</v>
      </c>
      <c r="Y802" s="2">
        <v>0</v>
      </c>
      <c r="Z802" s="2">
        <v>0</v>
      </c>
      <c r="AA802" s="2">
        <v>2</v>
      </c>
      <c r="AB802" s="2">
        <v>2</v>
      </c>
      <c r="AC802" s="2">
        <v>2</v>
      </c>
      <c r="AD802" s="2">
        <v>0</v>
      </c>
      <c r="AE802" s="2">
        <v>0</v>
      </c>
      <c r="AF802" s="2">
        <v>1</v>
      </c>
    </row>
    <row r="803" spans="1:32" x14ac:dyDescent="0.25">
      <c r="A803">
        <v>802</v>
      </c>
      <c r="B803" s="2">
        <v>1</v>
      </c>
      <c r="C803" s="2">
        <v>18</v>
      </c>
      <c r="D803" s="2">
        <v>4</v>
      </c>
      <c r="E803" s="2">
        <v>0</v>
      </c>
      <c r="F803" s="2">
        <v>0</v>
      </c>
      <c r="G803" s="2">
        <v>0</v>
      </c>
      <c r="H803" s="2">
        <v>1</v>
      </c>
      <c r="I803" s="2">
        <v>0</v>
      </c>
      <c r="J803" s="2">
        <v>0</v>
      </c>
      <c r="K803" s="2">
        <v>1795</v>
      </c>
      <c r="L803" s="2">
        <v>0</v>
      </c>
      <c r="M803" s="2">
        <v>4</v>
      </c>
      <c r="N803" s="2">
        <v>3</v>
      </c>
      <c r="O803" s="2">
        <v>0</v>
      </c>
      <c r="P803" s="2">
        <v>0</v>
      </c>
      <c r="Q803" s="2">
        <v>0</v>
      </c>
      <c r="R803" s="2">
        <v>0</v>
      </c>
      <c r="S803" s="2">
        <v>1</v>
      </c>
      <c r="T803" s="2">
        <v>4</v>
      </c>
      <c r="U803" s="2">
        <v>1</v>
      </c>
      <c r="V803" s="2">
        <v>0</v>
      </c>
      <c r="W803" s="2">
        <v>48</v>
      </c>
      <c r="X803" s="2">
        <v>1</v>
      </c>
      <c r="Y803" s="2">
        <v>1</v>
      </c>
      <c r="Z803" s="2">
        <v>0</v>
      </c>
      <c r="AA803" s="2">
        <v>2</v>
      </c>
      <c r="AB803" s="2">
        <v>1</v>
      </c>
      <c r="AC803" s="2">
        <v>1</v>
      </c>
      <c r="AD803" s="2">
        <v>1</v>
      </c>
      <c r="AE803" s="2">
        <v>0</v>
      </c>
      <c r="AF803" s="2">
        <v>1</v>
      </c>
    </row>
    <row r="804" spans="1:32" x14ac:dyDescent="0.25">
      <c r="A804">
        <v>803</v>
      </c>
      <c r="B804" s="2">
        <v>0</v>
      </c>
      <c r="C804" s="2">
        <v>20</v>
      </c>
      <c r="D804" s="2">
        <v>4</v>
      </c>
      <c r="E804" s="2">
        <v>0</v>
      </c>
      <c r="F804" s="2">
        <v>0</v>
      </c>
      <c r="G804" s="2">
        <v>1</v>
      </c>
      <c r="H804" s="2">
        <v>0</v>
      </c>
      <c r="I804" s="2">
        <v>0</v>
      </c>
      <c r="J804" s="2">
        <v>0</v>
      </c>
      <c r="K804" s="2">
        <v>4272</v>
      </c>
      <c r="L804" s="2">
        <v>0</v>
      </c>
      <c r="M804" s="2">
        <v>4</v>
      </c>
      <c r="N804" s="2">
        <v>1</v>
      </c>
      <c r="O804" s="2">
        <v>0</v>
      </c>
      <c r="P804" s="2">
        <v>0</v>
      </c>
      <c r="Q804" s="2">
        <v>0</v>
      </c>
      <c r="R804" s="2">
        <v>0</v>
      </c>
      <c r="S804" s="2">
        <v>0</v>
      </c>
      <c r="T804" s="2">
        <v>4</v>
      </c>
      <c r="U804" s="2">
        <v>0</v>
      </c>
      <c r="V804" s="2">
        <v>0</v>
      </c>
      <c r="W804" s="2">
        <v>24</v>
      </c>
      <c r="X804" s="2">
        <v>0</v>
      </c>
      <c r="Y804" s="2">
        <v>0</v>
      </c>
      <c r="Z804" s="2">
        <v>1</v>
      </c>
      <c r="AA804" s="2">
        <v>2</v>
      </c>
      <c r="AB804" s="2">
        <v>2</v>
      </c>
      <c r="AC804" s="2">
        <v>1</v>
      </c>
      <c r="AD804" s="2">
        <v>0</v>
      </c>
      <c r="AE804" s="2">
        <v>0</v>
      </c>
      <c r="AF804" s="2">
        <v>1</v>
      </c>
    </row>
    <row r="805" spans="1:32" x14ac:dyDescent="0.25">
      <c r="A805">
        <v>804</v>
      </c>
      <c r="B805" s="2">
        <v>3</v>
      </c>
      <c r="C805" s="2">
        <v>12</v>
      </c>
      <c r="D805" s="2">
        <v>4</v>
      </c>
      <c r="E805" s="2">
        <v>0</v>
      </c>
      <c r="F805" s="2">
        <v>0</v>
      </c>
      <c r="G805" s="2">
        <v>0</v>
      </c>
      <c r="H805" s="2">
        <v>1</v>
      </c>
      <c r="I805" s="2">
        <v>0</v>
      </c>
      <c r="J805" s="2">
        <v>0</v>
      </c>
      <c r="K805" s="2">
        <v>976</v>
      </c>
      <c r="L805" s="2">
        <v>4</v>
      </c>
      <c r="M805" s="2">
        <v>4</v>
      </c>
      <c r="N805" s="2">
        <v>4</v>
      </c>
      <c r="O805" s="2">
        <v>0</v>
      </c>
      <c r="P805" s="2">
        <v>1</v>
      </c>
      <c r="Q805" s="2">
        <v>0</v>
      </c>
      <c r="R805" s="2">
        <v>0</v>
      </c>
      <c r="S805" s="2">
        <v>0</v>
      </c>
      <c r="T805" s="2">
        <v>4</v>
      </c>
      <c r="U805" s="2">
        <v>0</v>
      </c>
      <c r="V805" s="2">
        <v>0</v>
      </c>
      <c r="W805" s="2">
        <v>35</v>
      </c>
      <c r="X805" s="2">
        <v>0</v>
      </c>
      <c r="Y805" s="2">
        <v>0</v>
      </c>
      <c r="Z805" s="2">
        <v>1</v>
      </c>
      <c r="AA805" s="2">
        <v>2</v>
      </c>
      <c r="AB805" s="2">
        <v>2</v>
      </c>
      <c r="AC805" s="2">
        <v>1</v>
      </c>
      <c r="AD805" s="2">
        <v>0</v>
      </c>
      <c r="AE805" s="2">
        <v>0</v>
      </c>
      <c r="AF805" s="2">
        <v>1</v>
      </c>
    </row>
    <row r="806" spans="1:32" x14ac:dyDescent="0.25">
      <c r="A806">
        <v>805</v>
      </c>
      <c r="B806" s="2">
        <v>1</v>
      </c>
      <c r="C806" s="2">
        <v>12</v>
      </c>
      <c r="D806" s="2">
        <v>2</v>
      </c>
      <c r="E806" s="2">
        <v>1</v>
      </c>
      <c r="F806" s="2">
        <v>0</v>
      </c>
      <c r="G806" s="2">
        <v>0</v>
      </c>
      <c r="H806" s="2">
        <v>0</v>
      </c>
      <c r="I806" s="2">
        <v>0</v>
      </c>
      <c r="J806" s="2">
        <v>0</v>
      </c>
      <c r="K806" s="2">
        <v>7472</v>
      </c>
      <c r="L806" s="2">
        <v>4</v>
      </c>
      <c r="M806" s="2">
        <v>0</v>
      </c>
      <c r="N806" s="2">
        <v>1</v>
      </c>
      <c r="O806" s="2">
        <v>0</v>
      </c>
      <c r="P806" s="2">
        <v>0</v>
      </c>
      <c r="Q806" s="2">
        <v>0</v>
      </c>
      <c r="R806" s="2">
        <v>0</v>
      </c>
      <c r="S806" s="2">
        <v>0</v>
      </c>
      <c r="T806" s="2">
        <v>2</v>
      </c>
      <c r="U806" s="2">
        <v>1</v>
      </c>
      <c r="V806" s="2">
        <v>0</v>
      </c>
      <c r="W806" s="2">
        <v>24</v>
      </c>
      <c r="X806" s="2">
        <v>0</v>
      </c>
      <c r="Y806" s="2">
        <v>1</v>
      </c>
      <c r="Z806" s="2">
        <v>0</v>
      </c>
      <c r="AA806" s="2">
        <v>1</v>
      </c>
      <c r="AB806" s="2">
        <v>0</v>
      </c>
      <c r="AC806" s="2">
        <v>1</v>
      </c>
      <c r="AD806" s="2">
        <v>0</v>
      </c>
      <c r="AE806" s="2">
        <v>0</v>
      </c>
      <c r="AF806" s="2">
        <v>1</v>
      </c>
    </row>
    <row r="807" spans="1:32" x14ac:dyDescent="0.25">
      <c r="A807">
        <v>806</v>
      </c>
      <c r="B807" s="2">
        <v>0</v>
      </c>
      <c r="C807" s="2">
        <v>36</v>
      </c>
      <c r="D807" s="2">
        <v>2</v>
      </c>
      <c r="E807" s="2">
        <v>1</v>
      </c>
      <c r="F807" s="2">
        <v>0</v>
      </c>
      <c r="G807" s="2">
        <v>0</v>
      </c>
      <c r="H807" s="2">
        <v>0</v>
      </c>
      <c r="I807" s="2">
        <v>0</v>
      </c>
      <c r="J807" s="2">
        <v>0</v>
      </c>
      <c r="K807" s="2">
        <v>9271</v>
      </c>
      <c r="L807" s="2">
        <v>0</v>
      </c>
      <c r="M807" s="2">
        <v>3</v>
      </c>
      <c r="N807" s="2">
        <v>2</v>
      </c>
      <c r="O807" s="2">
        <v>0</v>
      </c>
      <c r="P807" s="2">
        <v>1</v>
      </c>
      <c r="Q807" s="2">
        <v>0</v>
      </c>
      <c r="R807" s="2">
        <v>0</v>
      </c>
      <c r="S807" s="2">
        <v>0</v>
      </c>
      <c r="T807" s="2">
        <v>1</v>
      </c>
      <c r="U807" s="2">
        <v>0</v>
      </c>
      <c r="V807" s="2">
        <v>0</v>
      </c>
      <c r="W807" s="2">
        <v>24</v>
      </c>
      <c r="X807" s="2">
        <v>0</v>
      </c>
      <c r="Y807" s="2">
        <v>0</v>
      </c>
      <c r="Z807" s="2">
        <v>1</v>
      </c>
      <c r="AA807" s="2">
        <v>1</v>
      </c>
      <c r="AB807" s="2">
        <v>2</v>
      </c>
      <c r="AC807" s="2">
        <v>1</v>
      </c>
      <c r="AD807" s="2">
        <v>1</v>
      </c>
      <c r="AE807" s="2">
        <v>0</v>
      </c>
      <c r="AF807" s="2">
        <v>0</v>
      </c>
    </row>
    <row r="808" spans="1:32" x14ac:dyDescent="0.25">
      <c r="A808">
        <v>807</v>
      </c>
      <c r="B808" s="2">
        <v>1</v>
      </c>
      <c r="C808" s="2">
        <v>6</v>
      </c>
      <c r="D808" s="2">
        <v>2</v>
      </c>
      <c r="E808" s="2">
        <v>0</v>
      </c>
      <c r="F808" s="2">
        <v>0</v>
      </c>
      <c r="G808" s="2">
        <v>0</v>
      </c>
      <c r="H808" s="2">
        <v>1</v>
      </c>
      <c r="I808" s="2">
        <v>0</v>
      </c>
      <c r="J808" s="2">
        <v>0</v>
      </c>
      <c r="K808" s="2">
        <v>590</v>
      </c>
      <c r="L808" s="2">
        <v>0</v>
      </c>
      <c r="M808" s="2">
        <v>1</v>
      </c>
      <c r="N808" s="2">
        <v>3</v>
      </c>
      <c r="O808" s="2">
        <v>0</v>
      </c>
      <c r="P808" s="2">
        <v>0</v>
      </c>
      <c r="Q808" s="2">
        <v>1</v>
      </c>
      <c r="R808" s="2">
        <v>0</v>
      </c>
      <c r="S808" s="2">
        <v>0</v>
      </c>
      <c r="T808" s="2">
        <v>3</v>
      </c>
      <c r="U808" s="2">
        <v>1</v>
      </c>
      <c r="V808" s="2">
        <v>0</v>
      </c>
      <c r="W808" s="2">
        <v>26</v>
      </c>
      <c r="X808" s="2">
        <v>0</v>
      </c>
      <c r="Y808" s="2">
        <v>0</v>
      </c>
      <c r="Z808" s="2">
        <v>1</v>
      </c>
      <c r="AA808" s="2">
        <v>1</v>
      </c>
      <c r="AB808" s="2">
        <v>1</v>
      </c>
      <c r="AC808" s="2">
        <v>1</v>
      </c>
      <c r="AD808" s="2">
        <v>0</v>
      </c>
      <c r="AE808" s="2">
        <v>1</v>
      </c>
      <c r="AF808" s="2">
        <v>1</v>
      </c>
    </row>
    <row r="809" spans="1:32" x14ac:dyDescent="0.25">
      <c r="A809">
        <v>808</v>
      </c>
      <c r="B809" s="2">
        <v>3</v>
      </c>
      <c r="C809" s="2">
        <v>12</v>
      </c>
      <c r="D809" s="2">
        <v>4</v>
      </c>
      <c r="E809" s="2">
        <v>0</v>
      </c>
      <c r="F809" s="2">
        <v>0</v>
      </c>
      <c r="G809" s="2">
        <v>0</v>
      </c>
      <c r="H809" s="2">
        <v>1</v>
      </c>
      <c r="I809" s="2">
        <v>0</v>
      </c>
      <c r="J809" s="2">
        <v>0</v>
      </c>
      <c r="K809" s="2">
        <v>930</v>
      </c>
      <c r="L809" s="2">
        <v>4</v>
      </c>
      <c r="M809" s="2">
        <v>4</v>
      </c>
      <c r="N809" s="2">
        <v>4</v>
      </c>
      <c r="O809" s="2">
        <v>0</v>
      </c>
      <c r="P809" s="2">
        <v>1</v>
      </c>
      <c r="Q809" s="2">
        <v>0</v>
      </c>
      <c r="R809" s="2">
        <v>0</v>
      </c>
      <c r="S809" s="2">
        <v>0</v>
      </c>
      <c r="T809" s="2">
        <v>4</v>
      </c>
      <c r="U809" s="2">
        <v>1</v>
      </c>
      <c r="V809" s="2">
        <v>0</v>
      </c>
      <c r="W809" s="2">
        <v>65</v>
      </c>
      <c r="X809" s="2">
        <v>0</v>
      </c>
      <c r="Y809" s="2">
        <v>0</v>
      </c>
      <c r="Z809" s="2">
        <v>1</v>
      </c>
      <c r="AA809" s="2">
        <v>4</v>
      </c>
      <c r="AB809" s="2">
        <v>2</v>
      </c>
      <c r="AC809" s="2">
        <v>1</v>
      </c>
      <c r="AD809" s="2">
        <v>0</v>
      </c>
      <c r="AE809" s="2">
        <v>0</v>
      </c>
      <c r="AF809" s="2">
        <v>1</v>
      </c>
    </row>
    <row r="810" spans="1:32" x14ac:dyDescent="0.25">
      <c r="A810">
        <v>809</v>
      </c>
      <c r="B810" s="2">
        <v>1</v>
      </c>
      <c r="C810" s="2">
        <v>42</v>
      </c>
      <c r="D810" s="2">
        <v>1</v>
      </c>
      <c r="E810" s="2">
        <v>0</v>
      </c>
      <c r="F810" s="2">
        <v>1</v>
      </c>
      <c r="G810" s="2">
        <v>0</v>
      </c>
      <c r="H810" s="2">
        <v>0</v>
      </c>
      <c r="I810" s="2">
        <v>0</v>
      </c>
      <c r="J810" s="2">
        <v>0</v>
      </c>
      <c r="K810" s="2">
        <v>9283</v>
      </c>
      <c r="L810" s="2">
        <v>0</v>
      </c>
      <c r="M810" s="2">
        <v>0</v>
      </c>
      <c r="N810" s="2">
        <v>1</v>
      </c>
      <c r="O810" s="2">
        <v>0</v>
      </c>
      <c r="P810" s="2">
        <v>1</v>
      </c>
      <c r="Q810" s="2">
        <v>0</v>
      </c>
      <c r="R810" s="2">
        <v>0</v>
      </c>
      <c r="S810" s="2">
        <v>0</v>
      </c>
      <c r="T810" s="2">
        <v>2</v>
      </c>
      <c r="U810" s="2">
        <v>0</v>
      </c>
      <c r="V810" s="2">
        <v>1</v>
      </c>
      <c r="W810" s="2">
        <v>55</v>
      </c>
      <c r="X810" s="2">
        <v>1</v>
      </c>
      <c r="Y810" s="2">
        <v>0</v>
      </c>
      <c r="Z810" s="2">
        <v>0</v>
      </c>
      <c r="AA810" s="2">
        <v>1</v>
      </c>
      <c r="AB810" s="2">
        <v>3</v>
      </c>
      <c r="AC810" s="2">
        <v>1</v>
      </c>
      <c r="AD810" s="2">
        <v>1</v>
      </c>
      <c r="AE810" s="2">
        <v>0</v>
      </c>
      <c r="AF810" s="2">
        <v>1</v>
      </c>
    </row>
    <row r="811" spans="1:32" x14ac:dyDescent="0.25">
      <c r="A811">
        <v>810</v>
      </c>
      <c r="B811" s="2">
        <v>1</v>
      </c>
      <c r="C811" s="2">
        <v>15</v>
      </c>
      <c r="D811" s="2">
        <v>0</v>
      </c>
      <c r="E811" s="2">
        <v>1</v>
      </c>
      <c r="F811" s="2">
        <v>0</v>
      </c>
      <c r="G811" s="2">
        <v>0</v>
      </c>
      <c r="H811" s="2">
        <v>0</v>
      </c>
      <c r="I811" s="2">
        <v>0</v>
      </c>
      <c r="J811" s="2">
        <v>0</v>
      </c>
      <c r="K811" s="2">
        <v>1778</v>
      </c>
      <c r="L811" s="2">
        <v>0</v>
      </c>
      <c r="M811" s="2">
        <v>1</v>
      </c>
      <c r="N811" s="2">
        <v>2</v>
      </c>
      <c r="O811" s="2">
        <v>0</v>
      </c>
      <c r="P811" s="2">
        <v>0</v>
      </c>
      <c r="Q811" s="2">
        <v>0</v>
      </c>
      <c r="R811" s="2">
        <v>0</v>
      </c>
      <c r="S811" s="2">
        <v>0</v>
      </c>
      <c r="T811" s="2">
        <v>1</v>
      </c>
      <c r="U811" s="2">
        <v>1</v>
      </c>
      <c r="V811" s="2">
        <v>0</v>
      </c>
      <c r="W811" s="2">
        <v>26</v>
      </c>
      <c r="X811" s="2">
        <v>0</v>
      </c>
      <c r="Y811" s="2">
        <v>1</v>
      </c>
      <c r="Z811" s="2">
        <v>0</v>
      </c>
      <c r="AA811" s="2">
        <v>2</v>
      </c>
      <c r="AB811" s="2">
        <v>0</v>
      </c>
      <c r="AC811" s="2">
        <v>1</v>
      </c>
      <c r="AD811" s="2">
        <v>0</v>
      </c>
      <c r="AE811" s="2">
        <v>0</v>
      </c>
      <c r="AF811" s="2">
        <v>0</v>
      </c>
    </row>
    <row r="812" spans="1:32" x14ac:dyDescent="0.25">
      <c r="A812">
        <v>811</v>
      </c>
      <c r="B812" s="2">
        <v>1</v>
      </c>
      <c r="C812" s="2">
        <v>8</v>
      </c>
      <c r="D812" s="2">
        <v>2</v>
      </c>
      <c r="E812" s="2">
        <v>0</v>
      </c>
      <c r="F812" s="2">
        <v>0</v>
      </c>
      <c r="G812" s="2">
        <v>0</v>
      </c>
      <c r="H812" s="2">
        <v>0</v>
      </c>
      <c r="I812" s="2">
        <v>0</v>
      </c>
      <c r="J812" s="2">
        <v>1</v>
      </c>
      <c r="K812" s="2">
        <v>907</v>
      </c>
      <c r="L812" s="2">
        <v>0</v>
      </c>
      <c r="M812" s="2">
        <v>1</v>
      </c>
      <c r="N812" s="2">
        <v>3</v>
      </c>
      <c r="O812" s="2">
        <v>0</v>
      </c>
      <c r="P812" s="2">
        <v>0</v>
      </c>
      <c r="Q812" s="2">
        <v>1</v>
      </c>
      <c r="R812" s="2">
        <v>0</v>
      </c>
      <c r="S812" s="2">
        <v>0</v>
      </c>
      <c r="T812" s="2">
        <v>2</v>
      </c>
      <c r="U812" s="2">
        <v>1</v>
      </c>
      <c r="V812" s="2">
        <v>0</v>
      </c>
      <c r="W812" s="2">
        <v>26</v>
      </c>
      <c r="X812" s="2">
        <v>0</v>
      </c>
      <c r="Y812" s="2">
        <v>0</v>
      </c>
      <c r="Z812" s="2">
        <v>1</v>
      </c>
      <c r="AA812" s="2">
        <v>1</v>
      </c>
      <c r="AB812" s="2">
        <v>2</v>
      </c>
      <c r="AC812" s="2">
        <v>1</v>
      </c>
      <c r="AD812" s="2">
        <v>1</v>
      </c>
      <c r="AE812" s="2">
        <v>0</v>
      </c>
      <c r="AF812" s="2">
        <v>1</v>
      </c>
    </row>
    <row r="813" spans="1:32" x14ac:dyDescent="0.25">
      <c r="A813">
        <v>812</v>
      </c>
      <c r="B813" s="2">
        <v>1</v>
      </c>
      <c r="C813" s="2">
        <v>6</v>
      </c>
      <c r="D813" s="2">
        <v>2</v>
      </c>
      <c r="E813" s="2">
        <v>0</v>
      </c>
      <c r="F813" s="2">
        <v>0</v>
      </c>
      <c r="G813" s="2">
        <v>0</v>
      </c>
      <c r="H813" s="2">
        <v>1</v>
      </c>
      <c r="I813" s="2">
        <v>0</v>
      </c>
      <c r="J813" s="2">
        <v>0</v>
      </c>
      <c r="K813" s="2">
        <v>484</v>
      </c>
      <c r="L813" s="2">
        <v>0</v>
      </c>
      <c r="M813" s="2">
        <v>3</v>
      </c>
      <c r="N813" s="2">
        <v>3</v>
      </c>
      <c r="O813" s="2">
        <v>0</v>
      </c>
      <c r="P813" s="2">
        <v>0</v>
      </c>
      <c r="Q813" s="2">
        <v>1</v>
      </c>
      <c r="R813" s="2">
        <v>0</v>
      </c>
      <c r="S813" s="2">
        <v>1</v>
      </c>
      <c r="T813" s="2">
        <v>3</v>
      </c>
      <c r="U813" s="2">
        <v>1</v>
      </c>
      <c r="V813" s="2">
        <v>0</v>
      </c>
      <c r="W813" s="2">
        <v>28</v>
      </c>
      <c r="X813" s="2">
        <v>1</v>
      </c>
      <c r="Y813" s="2">
        <v>0</v>
      </c>
      <c r="Z813" s="2">
        <v>1</v>
      </c>
      <c r="AA813" s="2">
        <v>1</v>
      </c>
      <c r="AB813" s="2">
        <v>1</v>
      </c>
      <c r="AC813" s="2">
        <v>1</v>
      </c>
      <c r="AD813" s="2">
        <v>0</v>
      </c>
      <c r="AE813" s="2">
        <v>0</v>
      </c>
      <c r="AF813" s="2">
        <v>1</v>
      </c>
    </row>
    <row r="814" spans="1:32" x14ac:dyDescent="0.25">
      <c r="A814">
        <v>813</v>
      </c>
      <c r="B814" s="2">
        <v>0</v>
      </c>
      <c r="C814" s="2">
        <v>36</v>
      </c>
      <c r="D814" s="2">
        <v>4</v>
      </c>
      <c r="E814" s="2">
        <v>0</v>
      </c>
      <c r="F814" s="2">
        <v>1</v>
      </c>
      <c r="G814" s="2">
        <v>0</v>
      </c>
      <c r="H814" s="2">
        <v>0</v>
      </c>
      <c r="I814" s="2">
        <v>0</v>
      </c>
      <c r="J814" s="2">
        <v>0</v>
      </c>
      <c r="K814" s="2">
        <v>9629</v>
      </c>
      <c r="L814" s="2">
        <v>0</v>
      </c>
      <c r="M814" s="2">
        <v>3</v>
      </c>
      <c r="N814" s="2">
        <v>4</v>
      </c>
      <c r="O814" s="2">
        <v>0</v>
      </c>
      <c r="P814" s="2">
        <v>1</v>
      </c>
      <c r="Q814" s="2">
        <v>0</v>
      </c>
      <c r="R814" s="2">
        <v>0</v>
      </c>
      <c r="S814" s="2">
        <v>0</v>
      </c>
      <c r="T814" s="2">
        <v>4</v>
      </c>
      <c r="U814" s="2">
        <v>0</v>
      </c>
      <c r="V814" s="2">
        <v>0</v>
      </c>
      <c r="W814" s="2">
        <v>24</v>
      </c>
      <c r="X814" s="2">
        <v>0</v>
      </c>
      <c r="Y814" s="2">
        <v>0</v>
      </c>
      <c r="Z814" s="2">
        <v>1</v>
      </c>
      <c r="AA814" s="2">
        <v>2</v>
      </c>
      <c r="AB814" s="2">
        <v>2</v>
      </c>
      <c r="AC814" s="2">
        <v>1</v>
      </c>
      <c r="AD814" s="2">
        <v>1</v>
      </c>
      <c r="AE814" s="2">
        <v>0</v>
      </c>
      <c r="AF814" s="2">
        <v>0</v>
      </c>
    </row>
    <row r="815" spans="1:32" x14ac:dyDescent="0.25">
      <c r="A815">
        <v>814</v>
      </c>
      <c r="B815" s="2">
        <v>0</v>
      </c>
      <c r="C815" s="2">
        <v>48</v>
      </c>
      <c r="D815" s="2">
        <v>2</v>
      </c>
      <c r="E815" s="2">
        <v>0</v>
      </c>
      <c r="F815" s="2">
        <v>0</v>
      </c>
      <c r="G815" s="2">
        <v>0</v>
      </c>
      <c r="H815" s="2">
        <v>0</v>
      </c>
      <c r="I815" s="2">
        <v>0</v>
      </c>
      <c r="J815" s="2">
        <v>0</v>
      </c>
      <c r="K815" s="2">
        <v>3051</v>
      </c>
      <c r="L815" s="2">
        <v>0</v>
      </c>
      <c r="M815" s="2">
        <v>2</v>
      </c>
      <c r="N815" s="2">
        <v>3</v>
      </c>
      <c r="O815" s="2">
        <v>0</v>
      </c>
      <c r="P815" s="2">
        <v>1</v>
      </c>
      <c r="Q815" s="2">
        <v>0</v>
      </c>
      <c r="R815" s="2">
        <v>0</v>
      </c>
      <c r="S815" s="2">
        <v>0</v>
      </c>
      <c r="T815" s="2">
        <v>4</v>
      </c>
      <c r="U815" s="2">
        <v>0</v>
      </c>
      <c r="V815" s="2">
        <v>0</v>
      </c>
      <c r="W815" s="2">
        <v>54</v>
      </c>
      <c r="X815" s="2">
        <v>0</v>
      </c>
      <c r="Y815" s="2">
        <v>0</v>
      </c>
      <c r="Z815" s="2">
        <v>1</v>
      </c>
      <c r="AA815" s="2">
        <v>1</v>
      </c>
      <c r="AB815" s="2">
        <v>2</v>
      </c>
      <c r="AC815" s="2">
        <v>1</v>
      </c>
      <c r="AD815" s="2">
        <v>0</v>
      </c>
      <c r="AE815" s="2">
        <v>0</v>
      </c>
      <c r="AF815" s="2">
        <v>0</v>
      </c>
    </row>
    <row r="816" spans="1:32" x14ac:dyDescent="0.25">
      <c r="A816">
        <v>815</v>
      </c>
      <c r="B816" s="2">
        <v>0</v>
      </c>
      <c r="C816" s="2">
        <v>48</v>
      </c>
      <c r="D816" s="2">
        <v>2</v>
      </c>
      <c r="E816" s="2">
        <v>1</v>
      </c>
      <c r="F816" s="2">
        <v>0</v>
      </c>
      <c r="G816" s="2">
        <v>0</v>
      </c>
      <c r="H816" s="2">
        <v>0</v>
      </c>
      <c r="I816" s="2">
        <v>0</v>
      </c>
      <c r="J816" s="2">
        <v>0</v>
      </c>
      <c r="K816" s="2">
        <v>3931</v>
      </c>
      <c r="L816" s="2">
        <v>0</v>
      </c>
      <c r="M816" s="2">
        <v>3</v>
      </c>
      <c r="N816" s="2">
        <v>4</v>
      </c>
      <c r="O816" s="2">
        <v>0</v>
      </c>
      <c r="P816" s="2">
        <v>1</v>
      </c>
      <c r="Q816" s="2">
        <v>0</v>
      </c>
      <c r="R816" s="2">
        <v>0</v>
      </c>
      <c r="S816" s="2">
        <v>0</v>
      </c>
      <c r="T816" s="2">
        <v>4</v>
      </c>
      <c r="U816" s="2">
        <v>0</v>
      </c>
      <c r="V816" s="2">
        <v>1</v>
      </c>
      <c r="W816" s="2">
        <v>46</v>
      </c>
      <c r="X816" s="2">
        <v>0</v>
      </c>
      <c r="Y816" s="2">
        <v>0</v>
      </c>
      <c r="Z816" s="2">
        <v>0</v>
      </c>
      <c r="AA816" s="2">
        <v>1</v>
      </c>
      <c r="AB816" s="2">
        <v>2</v>
      </c>
      <c r="AC816" s="2">
        <v>2</v>
      </c>
      <c r="AD816" s="2">
        <v>0</v>
      </c>
      <c r="AE816" s="2">
        <v>0</v>
      </c>
      <c r="AF816" s="2">
        <v>0</v>
      </c>
    </row>
    <row r="817" spans="1:32" x14ac:dyDescent="0.25">
      <c r="A817">
        <v>816</v>
      </c>
      <c r="B817" s="2">
        <v>1</v>
      </c>
      <c r="C817" s="2">
        <v>36</v>
      </c>
      <c r="D817" s="2">
        <v>3</v>
      </c>
      <c r="E817" s="2">
        <v>1</v>
      </c>
      <c r="F817" s="2">
        <v>0</v>
      </c>
      <c r="G817" s="2">
        <v>0</v>
      </c>
      <c r="H817" s="2">
        <v>0</v>
      </c>
      <c r="I817" s="2">
        <v>0</v>
      </c>
      <c r="J817" s="2">
        <v>0</v>
      </c>
      <c r="K817" s="2">
        <v>7432</v>
      </c>
      <c r="L817" s="2">
        <v>0</v>
      </c>
      <c r="M817" s="2">
        <v>2</v>
      </c>
      <c r="N817" s="2">
        <v>2</v>
      </c>
      <c r="O817" s="2">
        <v>0</v>
      </c>
      <c r="P817" s="2">
        <v>0</v>
      </c>
      <c r="Q817" s="2">
        <v>0</v>
      </c>
      <c r="R817" s="2">
        <v>0</v>
      </c>
      <c r="S817" s="2">
        <v>0</v>
      </c>
      <c r="T817" s="2">
        <v>2</v>
      </c>
      <c r="U817" s="2">
        <v>0</v>
      </c>
      <c r="V817" s="2">
        <v>0</v>
      </c>
      <c r="W817" s="2">
        <v>54</v>
      </c>
      <c r="X817" s="2">
        <v>0</v>
      </c>
      <c r="Y817" s="2">
        <v>1</v>
      </c>
      <c r="Z817" s="2">
        <v>0</v>
      </c>
      <c r="AA817" s="2">
        <v>1</v>
      </c>
      <c r="AB817" s="2">
        <v>2</v>
      </c>
      <c r="AC817" s="2">
        <v>1</v>
      </c>
      <c r="AD817" s="2">
        <v>0</v>
      </c>
      <c r="AE817" s="2">
        <v>0</v>
      </c>
      <c r="AF817" s="2">
        <v>1</v>
      </c>
    </row>
    <row r="818" spans="1:32" x14ac:dyDescent="0.25">
      <c r="A818">
        <v>817</v>
      </c>
      <c r="B818" s="2">
        <v>3</v>
      </c>
      <c r="C818" s="2">
        <v>6</v>
      </c>
      <c r="D818" s="2">
        <v>2</v>
      </c>
      <c r="E818" s="2">
        <v>0</v>
      </c>
      <c r="F818" s="2">
        <v>0</v>
      </c>
      <c r="G818" s="2">
        <v>0</v>
      </c>
      <c r="H818" s="2">
        <v>0</v>
      </c>
      <c r="I818" s="2">
        <v>0</v>
      </c>
      <c r="J818" s="2">
        <v>0</v>
      </c>
      <c r="K818" s="2">
        <v>1338</v>
      </c>
      <c r="L818" s="2">
        <v>2</v>
      </c>
      <c r="M818" s="2">
        <v>2</v>
      </c>
      <c r="N818" s="2">
        <v>1</v>
      </c>
      <c r="O818" s="2">
        <v>1</v>
      </c>
      <c r="P818" s="2">
        <v>0</v>
      </c>
      <c r="Q818" s="2">
        <v>0</v>
      </c>
      <c r="R818" s="2">
        <v>0</v>
      </c>
      <c r="S818" s="2">
        <v>0</v>
      </c>
      <c r="T818" s="2">
        <v>4</v>
      </c>
      <c r="U818" s="2">
        <v>1</v>
      </c>
      <c r="V818" s="2">
        <v>0</v>
      </c>
      <c r="W818" s="2">
        <v>62</v>
      </c>
      <c r="X818" s="2">
        <v>0</v>
      </c>
      <c r="Y818" s="2">
        <v>0</v>
      </c>
      <c r="Z818" s="2">
        <v>1</v>
      </c>
      <c r="AA818" s="2">
        <v>1</v>
      </c>
      <c r="AB818" s="2">
        <v>2</v>
      </c>
      <c r="AC818" s="2">
        <v>1</v>
      </c>
      <c r="AD818" s="2">
        <v>0</v>
      </c>
      <c r="AE818" s="2">
        <v>0</v>
      </c>
      <c r="AF818" s="2">
        <v>1</v>
      </c>
    </row>
    <row r="819" spans="1:32" x14ac:dyDescent="0.25">
      <c r="A819">
        <v>818</v>
      </c>
      <c r="B819" s="2">
        <v>3</v>
      </c>
      <c r="C819" s="2">
        <v>6</v>
      </c>
      <c r="D819" s="2">
        <v>4</v>
      </c>
      <c r="E819" s="2">
        <v>0</v>
      </c>
      <c r="F819" s="2">
        <v>0</v>
      </c>
      <c r="G819" s="2">
        <v>0</v>
      </c>
      <c r="H819" s="2">
        <v>1</v>
      </c>
      <c r="I819" s="2">
        <v>0</v>
      </c>
      <c r="J819" s="2">
        <v>0</v>
      </c>
      <c r="K819" s="2">
        <v>1554</v>
      </c>
      <c r="L819" s="2">
        <v>0</v>
      </c>
      <c r="M819" s="2">
        <v>3</v>
      </c>
      <c r="N819" s="2">
        <v>1</v>
      </c>
      <c r="O819" s="2">
        <v>0</v>
      </c>
      <c r="P819" s="2">
        <v>0</v>
      </c>
      <c r="Q819" s="2">
        <v>0</v>
      </c>
      <c r="R819" s="2">
        <v>0</v>
      </c>
      <c r="S819" s="2">
        <v>0</v>
      </c>
      <c r="T819" s="2">
        <v>2</v>
      </c>
      <c r="U819" s="2">
        <v>0</v>
      </c>
      <c r="V819" s="2">
        <v>0</v>
      </c>
      <c r="W819" s="2">
        <v>24</v>
      </c>
      <c r="X819" s="2">
        <v>0</v>
      </c>
      <c r="Y819" s="2">
        <v>1</v>
      </c>
      <c r="Z819" s="2">
        <v>0</v>
      </c>
      <c r="AA819" s="2">
        <v>2</v>
      </c>
      <c r="AB819" s="2">
        <v>2</v>
      </c>
      <c r="AC819" s="2">
        <v>1</v>
      </c>
      <c r="AD819" s="2">
        <v>1</v>
      </c>
      <c r="AE819" s="2">
        <v>0</v>
      </c>
      <c r="AF819" s="2">
        <v>1</v>
      </c>
    </row>
    <row r="820" spans="1:32" x14ac:dyDescent="0.25">
      <c r="A820">
        <v>819</v>
      </c>
      <c r="B820" s="2">
        <v>0</v>
      </c>
      <c r="C820" s="2">
        <v>36</v>
      </c>
      <c r="D820" s="2">
        <v>2</v>
      </c>
      <c r="E820" s="2">
        <v>0</v>
      </c>
      <c r="F820" s="2">
        <v>0</v>
      </c>
      <c r="G820" s="2">
        <v>0</v>
      </c>
      <c r="H820" s="2">
        <v>0</v>
      </c>
      <c r="I820" s="2">
        <v>0</v>
      </c>
      <c r="J820" s="2">
        <v>0</v>
      </c>
      <c r="K820" s="2">
        <v>15857</v>
      </c>
      <c r="L820" s="2">
        <v>0</v>
      </c>
      <c r="M820" s="2">
        <v>0</v>
      </c>
      <c r="N820" s="2">
        <v>2</v>
      </c>
      <c r="O820" s="2">
        <v>1</v>
      </c>
      <c r="P820" s="2">
        <v>0</v>
      </c>
      <c r="Q820" s="2">
        <v>0</v>
      </c>
      <c r="R820" s="2">
        <v>1</v>
      </c>
      <c r="S820" s="2">
        <v>0</v>
      </c>
      <c r="T820" s="2">
        <v>3</v>
      </c>
      <c r="U820" s="2">
        <v>0</v>
      </c>
      <c r="V820" s="2">
        <v>0</v>
      </c>
      <c r="W820" s="2">
        <v>43</v>
      </c>
      <c r="X820" s="2">
        <v>0</v>
      </c>
      <c r="Y820" s="2">
        <v>0</v>
      </c>
      <c r="Z820" s="2">
        <v>1</v>
      </c>
      <c r="AA820" s="2">
        <v>1</v>
      </c>
      <c r="AB820" s="2">
        <v>3</v>
      </c>
      <c r="AC820" s="2">
        <v>1</v>
      </c>
      <c r="AD820" s="2">
        <v>0</v>
      </c>
      <c r="AE820" s="2">
        <v>0</v>
      </c>
      <c r="AF820" s="2">
        <v>1</v>
      </c>
    </row>
    <row r="821" spans="1:32" x14ac:dyDescent="0.25">
      <c r="A821">
        <v>820</v>
      </c>
      <c r="B821" s="2">
        <v>0</v>
      </c>
      <c r="C821" s="2">
        <v>18</v>
      </c>
      <c r="D821" s="2">
        <v>2</v>
      </c>
      <c r="E821" s="2">
        <v>0</v>
      </c>
      <c r="F821" s="2">
        <v>0</v>
      </c>
      <c r="G821" s="2">
        <v>0</v>
      </c>
      <c r="H821" s="2">
        <v>1</v>
      </c>
      <c r="I821" s="2">
        <v>0</v>
      </c>
      <c r="J821" s="2">
        <v>0</v>
      </c>
      <c r="K821" s="2">
        <v>1345</v>
      </c>
      <c r="L821" s="2">
        <v>0</v>
      </c>
      <c r="M821" s="2">
        <v>2</v>
      </c>
      <c r="N821" s="2">
        <v>4</v>
      </c>
      <c r="O821" s="2">
        <v>0</v>
      </c>
      <c r="P821" s="2">
        <v>0</v>
      </c>
      <c r="Q821" s="2">
        <v>1</v>
      </c>
      <c r="R821" s="2">
        <v>0</v>
      </c>
      <c r="S821" s="2">
        <v>0</v>
      </c>
      <c r="T821" s="2">
        <v>3</v>
      </c>
      <c r="U821" s="2">
        <v>1</v>
      </c>
      <c r="V821" s="2">
        <v>0</v>
      </c>
      <c r="W821" s="2">
        <v>26</v>
      </c>
      <c r="X821" s="2">
        <v>1</v>
      </c>
      <c r="Y821" s="2">
        <v>0</v>
      </c>
      <c r="Z821" s="2">
        <v>1</v>
      </c>
      <c r="AA821" s="2">
        <v>1</v>
      </c>
      <c r="AB821" s="2">
        <v>2</v>
      </c>
      <c r="AC821" s="2">
        <v>1</v>
      </c>
      <c r="AD821" s="2">
        <v>0</v>
      </c>
      <c r="AE821" s="2">
        <v>0</v>
      </c>
      <c r="AF821" s="2">
        <v>0</v>
      </c>
    </row>
    <row r="822" spans="1:32" x14ac:dyDescent="0.25">
      <c r="A822">
        <v>821</v>
      </c>
      <c r="B822" s="2">
        <v>3</v>
      </c>
      <c r="C822" s="2">
        <v>12</v>
      </c>
      <c r="D822" s="2">
        <v>2</v>
      </c>
      <c r="E822" s="2">
        <v>1</v>
      </c>
      <c r="F822" s="2">
        <v>0</v>
      </c>
      <c r="G822" s="2">
        <v>0</v>
      </c>
      <c r="H822" s="2">
        <v>0</v>
      </c>
      <c r="I822" s="2">
        <v>0</v>
      </c>
      <c r="J822" s="2">
        <v>0</v>
      </c>
      <c r="K822" s="2">
        <v>1101</v>
      </c>
      <c r="L822" s="2">
        <v>0</v>
      </c>
      <c r="M822" s="2">
        <v>2</v>
      </c>
      <c r="N822" s="2">
        <v>3</v>
      </c>
      <c r="O822" s="2">
        <v>0</v>
      </c>
      <c r="P822" s="2">
        <v>0</v>
      </c>
      <c r="Q822" s="2">
        <v>1</v>
      </c>
      <c r="R822" s="2">
        <v>0</v>
      </c>
      <c r="S822" s="2">
        <v>0</v>
      </c>
      <c r="T822" s="2">
        <v>2</v>
      </c>
      <c r="U822" s="2">
        <v>1</v>
      </c>
      <c r="V822" s="2">
        <v>0</v>
      </c>
      <c r="W822" s="2">
        <v>27</v>
      </c>
      <c r="X822" s="2">
        <v>0</v>
      </c>
      <c r="Y822" s="2">
        <v>0</v>
      </c>
      <c r="Z822" s="2">
        <v>1</v>
      </c>
      <c r="AA822" s="2">
        <v>2</v>
      </c>
      <c r="AB822" s="2">
        <v>2</v>
      </c>
      <c r="AC822" s="2">
        <v>1</v>
      </c>
      <c r="AD822" s="2">
        <v>1</v>
      </c>
      <c r="AE822" s="2">
        <v>0</v>
      </c>
      <c r="AF822" s="2">
        <v>1</v>
      </c>
    </row>
    <row r="823" spans="1:32" x14ac:dyDescent="0.25">
      <c r="A823">
        <v>822</v>
      </c>
      <c r="B823" s="2">
        <v>2</v>
      </c>
      <c r="C823" s="2">
        <v>12</v>
      </c>
      <c r="D823" s="2">
        <v>2</v>
      </c>
      <c r="E823" s="2">
        <v>0</v>
      </c>
      <c r="F823" s="2">
        <v>0</v>
      </c>
      <c r="G823" s="2">
        <v>0</v>
      </c>
      <c r="H823" s="2">
        <v>1</v>
      </c>
      <c r="I823" s="2">
        <v>0</v>
      </c>
      <c r="J823" s="2">
        <v>0</v>
      </c>
      <c r="K823" s="2">
        <v>3016</v>
      </c>
      <c r="L823" s="2">
        <v>0</v>
      </c>
      <c r="M823" s="2">
        <v>2</v>
      </c>
      <c r="N823" s="2">
        <v>3</v>
      </c>
      <c r="O823" s="2">
        <v>0</v>
      </c>
      <c r="P823" s="2">
        <v>0</v>
      </c>
      <c r="Q823" s="2">
        <v>1</v>
      </c>
      <c r="R823" s="2">
        <v>0</v>
      </c>
      <c r="S823" s="2">
        <v>0</v>
      </c>
      <c r="T823" s="2">
        <v>1</v>
      </c>
      <c r="U823" s="2">
        <v>0</v>
      </c>
      <c r="V823" s="2">
        <v>0</v>
      </c>
      <c r="W823" s="2">
        <v>24</v>
      </c>
      <c r="X823" s="2">
        <v>0</v>
      </c>
      <c r="Y823" s="2">
        <v>0</v>
      </c>
      <c r="Z823" s="2">
        <v>1</v>
      </c>
      <c r="AA823" s="2">
        <v>1</v>
      </c>
      <c r="AB823" s="2">
        <v>2</v>
      </c>
      <c r="AC823" s="2">
        <v>1</v>
      </c>
      <c r="AD823" s="2">
        <v>0</v>
      </c>
      <c r="AE823" s="2">
        <v>0</v>
      </c>
      <c r="AF823" s="2">
        <v>1</v>
      </c>
    </row>
    <row r="824" spans="1:32" x14ac:dyDescent="0.25">
      <c r="A824">
        <v>823</v>
      </c>
      <c r="B824" s="2">
        <v>0</v>
      </c>
      <c r="C824" s="2">
        <v>36</v>
      </c>
      <c r="D824" s="2">
        <v>2</v>
      </c>
      <c r="E824" s="2">
        <v>0</v>
      </c>
      <c r="F824" s="2">
        <v>0</v>
      </c>
      <c r="G824" s="2">
        <v>1</v>
      </c>
      <c r="H824" s="2">
        <v>0</v>
      </c>
      <c r="I824" s="2">
        <v>0</v>
      </c>
      <c r="J824" s="2">
        <v>0</v>
      </c>
      <c r="K824" s="2">
        <v>2712</v>
      </c>
      <c r="L824" s="2">
        <v>0</v>
      </c>
      <c r="M824" s="2">
        <v>4</v>
      </c>
      <c r="N824" s="2">
        <v>2</v>
      </c>
      <c r="O824" s="2">
        <v>0</v>
      </c>
      <c r="P824" s="2">
        <v>1</v>
      </c>
      <c r="Q824" s="2">
        <v>0</v>
      </c>
      <c r="R824" s="2">
        <v>0</v>
      </c>
      <c r="S824" s="2">
        <v>0</v>
      </c>
      <c r="T824" s="2">
        <v>2</v>
      </c>
      <c r="U824" s="2">
        <v>0</v>
      </c>
      <c r="V824" s="2">
        <v>0</v>
      </c>
      <c r="W824" s="2">
        <v>41</v>
      </c>
      <c r="X824" s="2">
        <v>1</v>
      </c>
      <c r="Y824" s="2">
        <v>0</v>
      </c>
      <c r="Z824" s="2">
        <v>1</v>
      </c>
      <c r="AA824" s="2">
        <v>1</v>
      </c>
      <c r="AB824" s="2">
        <v>2</v>
      </c>
      <c r="AC824" s="2">
        <v>2</v>
      </c>
      <c r="AD824" s="2">
        <v>0</v>
      </c>
      <c r="AE824" s="2">
        <v>0</v>
      </c>
      <c r="AF824" s="2">
        <v>0</v>
      </c>
    </row>
    <row r="825" spans="1:32" x14ac:dyDescent="0.25">
      <c r="A825">
        <v>824</v>
      </c>
      <c r="B825" s="2">
        <v>0</v>
      </c>
      <c r="C825" s="2">
        <v>8</v>
      </c>
      <c r="D825" s="2">
        <v>4</v>
      </c>
      <c r="E825" s="2">
        <v>1</v>
      </c>
      <c r="F825" s="2">
        <v>0</v>
      </c>
      <c r="G825" s="2">
        <v>0</v>
      </c>
      <c r="H825" s="2">
        <v>0</v>
      </c>
      <c r="I825" s="2">
        <v>0</v>
      </c>
      <c r="J825" s="2">
        <v>0</v>
      </c>
      <c r="K825" s="2">
        <v>731</v>
      </c>
      <c r="L825" s="2">
        <v>0</v>
      </c>
      <c r="M825" s="2">
        <v>4</v>
      </c>
      <c r="N825" s="2">
        <v>4</v>
      </c>
      <c r="O825" s="2">
        <v>0</v>
      </c>
      <c r="P825" s="2">
        <v>1</v>
      </c>
      <c r="Q825" s="2">
        <v>0</v>
      </c>
      <c r="R825" s="2">
        <v>0</v>
      </c>
      <c r="S825" s="2">
        <v>0</v>
      </c>
      <c r="T825" s="2">
        <v>4</v>
      </c>
      <c r="U825" s="2">
        <v>1</v>
      </c>
      <c r="V825" s="2">
        <v>0</v>
      </c>
      <c r="W825" s="2">
        <v>47</v>
      </c>
      <c r="X825" s="2">
        <v>0</v>
      </c>
      <c r="Y825" s="2">
        <v>0</v>
      </c>
      <c r="Z825" s="2">
        <v>1</v>
      </c>
      <c r="AA825" s="2">
        <v>2</v>
      </c>
      <c r="AB825" s="2">
        <v>1</v>
      </c>
      <c r="AC825" s="2">
        <v>1</v>
      </c>
      <c r="AD825" s="2">
        <v>0</v>
      </c>
      <c r="AE825" s="2">
        <v>0</v>
      </c>
      <c r="AF825" s="2">
        <v>1</v>
      </c>
    </row>
    <row r="826" spans="1:32" x14ac:dyDescent="0.25">
      <c r="A826">
        <v>825</v>
      </c>
      <c r="B826" s="2">
        <v>3</v>
      </c>
      <c r="C826" s="2">
        <v>18</v>
      </c>
      <c r="D826" s="2">
        <v>4</v>
      </c>
      <c r="E826" s="2">
        <v>0</v>
      </c>
      <c r="F826" s="2">
        <v>0</v>
      </c>
      <c r="G826" s="2">
        <v>1</v>
      </c>
      <c r="H826" s="2">
        <v>0</v>
      </c>
      <c r="I826" s="2">
        <v>0</v>
      </c>
      <c r="J826" s="2">
        <v>0</v>
      </c>
      <c r="K826" s="2">
        <v>3780</v>
      </c>
      <c r="L826" s="2">
        <v>0</v>
      </c>
      <c r="M826" s="2">
        <v>1</v>
      </c>
      <c r="N826" s="2">
        <v>3</v>
      </c>
      <c r="O826" s="2">
        <v>1</v>
      </c>
      <c r="P826" s="2">
        <v>0</v>
      </c>
      <c r="Q826" s="2">
        <v>0</v>
      </c>
      <c r="R826" s="2">
        <v>0</v>
      </c>
      <c r="S826" s="2">
        <v>0</v>
      </c>
      <c r="T826" s="2">
        <v>2</v>
      </c>
      <c r="U826" s="2">
        <v>0</v>
      </c>
      <c r="V826" s="2">
        <v>0</v>
      </c>
      <c r="W826" s="2">
        <v>35</v>
      </c>
      <c r="X826" s="2">
        <v>0</v>
      </c>
      <c r="Y826" s="2">
        <v>0</v>
      </c>
      <c r="Z826" s="2">
        <v>1</v>
      </c>
      <c r="AA826" s="2">
        <v>2</v>
      </c>
      <c r="AB826" s="2">
        <v>3</v>
      </c>
      <c r="AC826" s="2">
        <v>1</v>
      </c>
      <c r="AD826" s="2">
        <v>1</v>
      </c>
      <c r="AE826" s="2">
        <v>0</v>
      </c>
      <c r="AF826" s="2">
        <v>1</v>
      </c>
    </row>
    <row r="827" spans="1:32" x14ac:dyDescent="0.25">
      <c r="A827">
        <v>826</v>
      </c>
      <c r="B827" s="2">
        <v>0</v>
      </c>
      <c r="C827" s="2">
        <v>21</v>
      </c>
      <c r="D827" s="2">
        <v>4</v>
      </c>
      <c r="E827" s="2">
        <v>1</v>
      </c>
      <c r="F827" s="2">
        <v>0</v>
      </c>
      <c r="G827" s="2">
        <v>0</v>
      </c>
      <c r="H827" s="2">
        <v>0</v>
      </c>
      <c r="I827" s="2">
        <v>0</v>
      </c>
      <c r="J827" s="2">
        <v>0</v>
      </c>
      <c r="K827" s="2">
        <v>1602</v>
      </c>
      <c r="L827" s="2">
        <v>0</v>
      </c>
      <c r="M827" s="2">
        <v>4</v>
      </c>
      <c r="N827" s="2">
        <v>4</v>
      </c>
      <c r="O827" s="2">
        <v>0</v>
      </c>
      <c r="P827" s="2">
        <v>0</v>
      </c>
      <c r="Q827" s="2">
        <v>1</v>
      </c>
      <c r="R827" s="2">
        <v>0</v>
      </c>
      <c r="S827" s="2">
        <v>0</v>
      </c>
      <c r="T827" s="2">
        <v>3</v>
      </c>
      <c r="U827" s="2">
        <v>0</v>
      </c>
      <c r="V827" s="2">
        <v>0</v>
      </c>
      <c r="W827" s="2">
        <v>30</v>
      </c>
      <c r="X827" s="2">
        <v>0</v>
      </c>
      <c r="Y827" s="2">
        <v>0</v>
      </c>
      <c r="Z827" s="2">
        <v>1</v>
      </c>
      <c r="AA827" s="2">
        <v>2</v>
      </c>
      <c r="AB827" s="2">
        <v>2</v>
      </c>
      <c r="AC827" s="2">
        <v>1</v>
      </c>
      <c r="AD827" s="2">
        <v>1</v>
      </c>
      <c r="AE827" s="2">
        <v>0</v>
      </c>
      <c r="AF827" s="2">
        <v>1</v>
      </c>
    </row>
    <row r="828" spans="1:32" x14ac:dyDescent="0.25">
      <c r="A828">
        <v>827</v>
      </c>
      <c r="B828" s="2">
        <v>0</v>
      </c>
      <c r="C828" s="2">
        <v>18</v>
      </c>
      <c r="D828" s="2">
        <v>4</v>
      </c>
      <c r="E828" s="2">
        <v>1</v>
      </c>
      <c r="F828" s="2">
        <v>0</v>
      </c>
      <c r="G828" s="2">
        <v>0</v>
      </c>
      <c r="H828" s="2">
        <v>0</v>
      </c>
      <c r="I828" s="2">
        <v>0</v>
      </c>
      <c r="J828" s="2">
        <v>0</v>
      </c>
      <c r="K828" s="2">
        <v>3966</v>
      </c>
      <c r="L828" s="2">
        <v>0</v>
      </c>
      <c r="M828" s="2">
        <v>4</v>
      </c>
      <c r="N828" s="2">
        <v>1</v>
      </c>
      <c r="O828" s="2">
        <v>0</v>
      </c>
      <c r="P828" s="2">
        <v>0</v>
      </c>
      <c r="Q828" s="2">
        <v>0</v>
      </c>
      <c r="R828" s="2">
        <v>0</v>
      </c>
      <c r="S828" s="2">
        <v>0</v>
      </c>
      <c r="T828" s="2">
        <v>4</v>
      </c>
      <c r="U828" s="2">
        <v>1</v>
      </c>
      <c r="V828" s="2">
        <v>0</v>
      </c>
      <c r="W828" s="2">
        <v>33</v>
      </c>
      <c r="X828" s="2">
        <v>1</v>
      </c>
      <c r="Y828" s="2">
        <v>1</v>
      </c>
      <c r="Z828" s="2">
        <v>0</v>
      </c>
      <c r="AA828" s="2">
        <v>3</v>
      </c>
      <c r="AB828" s="2">
        <v>2</v>
      </c>
      <c r="AC828" s="2">
        <v>1</v>
      </c>
      <c r="AD828" s="2">
        <v>1</v>
      </c>
      <c r="AE828" s="2">
        <v>0</v>
      </c>
      <c r="AF828" s="2">
        <v>0</v>
      </c>
    </row>
    <row r="829" spans="1:32" x14ac:dyDescent="0.25">
      <c r="A829">
        <v>828</v>
      </c>
      <c r="B829" s="2">
        <v>3</v>
      </c>
      <c r="C829" s="2">
        <v>18</v>
      </c>
      <c r="D829" s="2">
        <v>0</v>
      </c>
      <c r="E829" s="2">
        <v>0</v>
      </c>
      <c r="F829" s="2">
        <v>0</v>
      </c>
      <c r="G829" s="2">
        <v>0</v>
      </c>
      <c r="H829" s="2">
        <v>0</v>
      </c>
      <c r="I829" s="2">
        <v>0</v>
      </c>
      <c r="J829" s="2">
        <v>1</v>
      </c>
      <c r="K829" s="2">
        <v>4165</v>
      </c>
      <c r="L829" s="2">
        <v>0</v>
      </c>
      <c r="M829" s="2">
        <v>2</v>
      </c>
      <c r="N829" s="2">
        <v>2</v>
      </c>
      <c r="O829" s="2">
        <v>0</v>
      </c>
      <c r="P829" s="2">
        <v>1</v>
      </c>
      <c r="Q829" s="2">
        <v>0</v>
      </c>
      <c r="R829" s="2">
        <v>0</v>
      </c>
      <c r="S829" s="2">
        <v>0</v>
      </c>
      <c r="T829" s="2">
        <v>2</v>
      </c>
      <c r="U829" s="2">
        <v>0</v>
      </c>
      <c r="V829" s="2">
        <v>0</v>
      </c>
      <c r="W829" s="2">
        <v>36</v>
      </c>
      <c r="X829" s="2">
        <v>1</v>
      </c>
      <c r="Y829" s="2">
        <v>0</v>
      </c>
      <c r="Z829" s="2">
        <v>1</v>
      </c>
      <c r="AA829" s="2">
        <v>2</v>
      </c>
      <c r="AB829" s="2">
        <v>2</v>
      </c>
      <c r="AC829" s="2">
        <v>2</v>
      </c>
      <c r="AD829" s="2">
        <v>0</v>
      </c>
      <c r="AE829" s="2">
        <v>0</v>
      </c>
      <c r="AF829" s="2">
        <v>0</v>
      </c>
    </row>
    <row r="830" spans="1:32" x14ac:dyDescent="0.25">
      <c r="A830">
        <v>829</v>
      </c>
      <c r="B830" s="2">
        <v>0</v>
      </c>
      <c r="C830" s="2">
        <v>36</v>
      </c>
      <c r="D830" s="2">
        <v>2</v>
      </c>
      <c r="E830" s="2">
        <v>0</v>
      </c>
      <c r="F830" s="2">
        <v>1</v>
      </c>
      <c r="G830" s="2">
        <v>0</v>
      </c>
      <c r="H830" s="2">
        <v>0</v>
      </c>
      <c r="I830" s="2">
        <v>0</v>
      </c>
      <c r="J830" s="2">
        <v>0</v>
      </c>
      <c r="K830" s="2">
        <v>8335</v>
      </c>
      <c r="L830" s="2">
        <v>4</v>
      </c>
      <c r="M830" s="2">
        <v>4</v>
      </c>
      <c r="N830" s="2">
        <v>3</v>
      </c>
      <c r="O830" s="2">
        <v>0</v>
      </c>
      <c r="P830" s="2">
        <v>1</v>
      </c>
      <c r="Q830" s="2">
        <v>0</v>
      </c>
      <c r="R830" s="2">
        <v>0</v>
      </c>
      <c r="S830" s="2">
        <v>0</v>
      </c>
      <c r="T830" s="2">
        <v>4</v>
      </c>
      <c r="U830" s="2">
        <v>0</v>
      </c>
      <c r="V830" s="2">
        <v>1</v>
      </c>
      <c r="W830" s="2">
        <v>47</v>
      </c>
      <c r="X830" s="2">
        <v>0</v>
      </c>
      <c r="Y830" s="2">
        <v>0</v>
      </c>
      <c r="Z830" s="2">
        <v>0</v>
      </c>
      <c r="AA830" s="2">
        <v>1</v>
      </c>
      <c r="AB830" s="2">
        <v>2</v>
      </c>
      <c r="AC830" s="2">
        <v>1</v>
      </c>
      <c r="AD830" s="2">
        <v>0</v>
      </c>
      <c r="AE830" s="2">
        <v>0</v>
      </c>
      <c r="AF830" s="2">
        <v>0</v>
      </c>
    </row>
    <row r="831" spans="1:32" x14ac:dyDescent="0.25">
      <c r="A831">
        <v>830</v>
      </c>
      <c r="B831" s="2">
        <v>1</v>
      </c>
      <c r="C831" s="2">
        <v>48</v>
      </c>
      <c r="D831" s="2">
        <v>3</v>
      </c>
      <c r="E831" s="2">
        <v>0</v>
      </c>
      <c r="F831" s="2">
        <v>0</v>
      </c>
      <c r="G831" s="2">
        <v>0</v>
      </c>
      <c r="H831" s="2">
        <v>0</v>
      </c>
      <c r="I831" s="2">
        <v>0</v>
      </c>
      <c r="J831" s="2">
        <v>1</v>
      </c>
      <c r="K831" s="2">
        <v>6681</v>
      </c>
      <c r="L831" s="2">
        <v>4</v>
      </c>
      <c r="M831" s="2">
        <v>2</v>
      </c>
      <c r="N831" s="2">
        <v>4</v>
      </c>
      <c r="O831" s="2">
        <v>0</v>
      </c>
      <c r="P831" s="2">
        <v>1</v>
      </c>
      <c r="Q831" s="2">
        <v>0</v>
      </c>
      <c r="R831" s="2">
        <v>0</v>
      </c>
      <c r="S831" s="2">
        <v>0</v>
      </c>
      <c r="T831" s="2">
        <v>4</v>
      </c>
      <c r="U831" s="2">
        <v>0</v>
      </c>
      <c r="V831" s="2">
        <v>1</v>
      </c>
      <c r="W831" s="2">
        <v>38</v>
      </c>
      <c r="X831" s="2">
        <v>0</v>
      </c>
      <c r="Y831" s="2">
        <v>0</v>
      </c>
      <c r="Z831" s="2">
        <v>0</v>
      </c>
      <c r="AA831" s="2">
        <v>1</v>
      </c>
      <c r="AB831" s="2">
        <v>2</v>
      </c>
      <c r="AC831" s="2">
        <v>2</v>
      </c>
      <c r="AD831" s="2">
        <v>1</v>
      </c>
      <c r="AE831" s="2">
        <v>0</v>
      </c>
      <c r="AF831" s="2">
        <v>1</v>
      </c>
    </row>
    <row r="832" spans="1:32" x14ac:dyDescent="0.25">
      <c r="A832">
        <v>831</v>
      </c>
      <c r="B832" s="2">
        <v>3</v>
      </c>
      <c r="C832" s="2">
        <v>24</v>
      </c>
      <c r="D832" s="2">
        <v>3</v>
      </c>
      <c r="E832" s="2">
        <v>0</v>
      </c>
      <c r="F832" s="2">
        <v>0</v>
      </c>
      <c r="G832" s="2">
        <v>0</v>
      </c>
      <c r="H832" s="2">
        <v>0</v>
      </c>
      <c r="I832" s="2">
        <v>0</v>
      </c>
      <c r="J832" s="2">
        <v>1</v>
      </c>
      <c r="K832" s="2">
        <v>2375</v>
      </c>
      <c r="L832" s="2">
        <v>2</v>
      </c>
      <c r="M832" s="2">
        <v>2</v>
      </c>
      <c r="N832" s="2">
        <v>4</v>
      </c>
      <c r="O832" s="2">
        <v>0</v>
      </c>
      <c r="P832" s="2">
        <v>1</v>
      </c>
      <c r="Q832" s="2">
        <v>0</v>
      </c>
      <c r="R832" s="2">
        <v>0</v>
      </c>
      <c r="S832" s="2">
        <v>0</v>
      </c>
      <c r="T832" s="2">
        <v>2</v>
      </c>
      <c r="U832" s="2">
        <v>0</v>
      </c>
      <c r="V832" s="2">
        <v>0</v>
      </c>
      <c r="W832" s="2">
        <v>44</v>
      </c>
      <c r="X832" s="2">
        <v>0</v>
      </c>
      <c r="Y832" s="2">
        <v>0</v>
      </c>
      <c r="Z832" s="2">
        <v>1</v>
      </c>
      <c r="AA832" s="2">
        <v>2</v>
      </c>
      <c r="AB832" s="2">
        <v>2</v>
      </c>
      <c r="AC832" s="2">
        <v>2</v>
      </c>
      <c r="AD832" s="2">
        <v>1</v>
      </c>
      <c r="AE832" s="2">
        <v>0</v>
      </c>
      <c r="AF832" s="2">
        <v>1</v>
      </c>
    </row>
    <row r="833" spans="1:32" x14ac:dyDescent="0.25">
      <c r="A833">
        <v>832</v>
      </c>
      <c r="B833" s="2">
        <v>0</v>
      </c>
      <c r="C833" s="2">
        <v>18</v>
      </c>
      <c r="D833" s="2">
        <v>2</v>
      </c>
      <c r="E833" s="2">
        <v>1</v>
      </c>
      <c r="F833" s="2">
        <v>0</v>
      </c>
      <c r="G833" s="2">
        <v>0</v>
      </c>
      <c r="H833" s="2">
        <v>0</v>
      </c>
      <c r="I833" s="2">
        <v>0</v>
      </c>
      <c r="J833" s="2">
        <v>0</v>
      </c>
      <c r="K833" s="2">
        <v>1216</v>
      </c>
      <c r="L833" s="2">
        <v>0</v>
      </c>
      <c r="M833" s="2">
        <v>1</v>
      </c>
      <c r="N833" s="2">
        <v>4</v>
      </c>
      <c r="O833" s="2">
        <v>0</v>
      </c>
      <c r="P833" s="2">
        <v>0</v>
      </c>
      <c r="Q833" s="2">
        <v>0</v>
      </c>
      <c r="R833" s="2">
        <v>0</v>
      </c>
      <c r="S833" s="2">
        <v>0</v>
      </c>
      <c r="T833" s="2">
        <v>3</v>
      </c>
      <c r="U833" s="2">
        <v>0</v>
      </c>
      <c r="V833" s="2">
        <v>0</v>
      </c>
      <c r="W833" s="2">
        <v>23</v>
      </c>
      <c r="X833" s="2">
        <v>0</v>
      </c>
      <c r="Y833" s="2">
        <v>1</v>
      </c>
      <c r="Z833" s="2">
        <v>0</v>
      </c>
      <c r="AA833" s="2">
        <v>1</v>
      </c>
      <c r="AB833" s="2">
        <v>2</v>
      </c>
      <c r="AC833" s="2">
        <v>1</v>
      </c>
      <c r="AD833" s="2">
        <v>1</v>
      </c>
      <c r="AE833" s="2">
        <v>0</v>
      </c>
      <c r="AF833" s="2">
        <v>0</v>
      </c>
    </row>
    <row r="834" spans="1:32" x14ac:dyDescent="0.25">
      <c r="A834">
        <v>833</v>
      </c>
      <c r="B834" s="2">
        <v>0</v>
      </c>
      <c r="C834" s="2">
        <v>45</v>
      </c>
      <c r="D834" s="2">
        <v>0</v>
      </c>
      <c r="E834" s="2">
        <v>0</v>
      </c>
      <c r="F834" s="2">
        <v>0</v>
      </c>
      <c r="G834" s="2">
        <v>0</v>
      </c>
      <c r="H834" s="2">
        <v>0</v>
      </c>
      <c r="I834" s="2">
        <v>0</v>
      </c>
      <c r="J834" s="2">
        <v>1</v>
      </c>
      <c r="K834" s="2">
        <v>11816</v>
      </c>
      <c r="L834" s="2">
        <v>0</v>
      </c>
      <c r="M834" s="2">
        <v>4</v>
      </c>
      <c r="N834" s="2">
        <v>2</v>
      </c>
      <c r="O834" s="2">
        <v>0</v>
      </c>
      <c r="P834" s="2">
        <v>1</v>
      </c>
      <c r="Q834" s="2">
        <v>0</v>
      </c>
      <c r="R834" s="2">
        <v>0</v>
      </c>
      <c r="S834" s="2">
        <v>0</v>
      </c>
      <c r="T834" s="2">
        <v>4</v>
      </c>
      <c r="U834" s="2">
        <v>0</v>
      </c>
      <c r="V834" s="2">
        <v>0</v>
      </c>
      <c r="W834" s="2">
        <v>29</v>
      </c>
      <c r="X834" s="2">
        <v>0</v>
      </c>
      <c r="Y834" s="2">
        <v>1</v>
      </c>
      <c r="Z834" s="2">
        <v>0</v>
      </c>
      <c r="AA834" s="2">
        <v>2</v>
      </c>
      <c r="AB834" s="2">
        <v>2</v>
      </c>
      <c r="AC834" s="2">
        <v>1</v>
      </c>
      <c r="AD834" s="2">
        <v>0</v>
      </c>
      <c r="AE834" s="2">
        <v>0</v>
      </c>
      <c r="AF834" s="2">
        <v>0</v>
      </c>
    </row>
    <row r="835" spans="1:32" x14ac:dyDescent="0.25">
      <c r="A835">
        <v>834</v>
      </c>
      <c r="B835" s="2">
        <v>1</v>
      </c>
      <c r="C835" s="2">
        <v>24</v>
      </c>
      <c r="D835" s="2">
        <v>2</v>
      </c>
      <c r="E835" s="2">
        <v>0</v>
      </c>
      <c r="F835" s="2">
        <v>0</v>
      </c>
      <c r="G835" s="2">
        <v>0</v>
      </c>
      <c r="H835" s="2">
        <v>1</v>
      </c>
      <c r="I835" s="2">
        <v>0</v>
      </c>
      <c r="J835" s="2">
        <v>0</v>
      </c>
      <c r="K835" s="2">
        <v>5084</v>
      </c>
      <c r="L835" s="2">
        <v>4</v>
      </c>
      <c r="M835" s="2">
        <v>4</v>
      </c>
      <c r="N835" s="2">
        <v>2</v>
      </c>
      <c r="O835" s="2">
        <v>0</v>
      </c>
      <c r="P835" s="2">
        <v>0</v>
      </c>
      <c r="Q835" s="2">
        <v>0</v>
      </c>
      <c r="R835" s="2">
        <v>0</v>
      </c>
      <c r="S835" s="2">
        <v>0</v>
      </c>
      <c r="T835" s="2">
        <v>4</v>
      </c>
      <c r="U835" s="2">
        <v>0</v>
      </c>
      <c r="V835" s="2">
        <v>0</v>
      </c>
      <c r="W835" s="2">
        <v>42</v>
      </c>
      <c r="X835" s="2">
        <v>0</v>
      </c>
      <c r="Y835" s="2">
        <v>0</v>
      </c>
      <c r="Z835" s="2">
        <v>1</v>
      </c>
      <c r="AA835" s="2">
        <v>1</v>
      </c>
      <c r="AB835" s="2">
        <v>2</v>
      </c>
      <c r="AC835" s="2">
        <v>1</v>
      </c>
      <c r="AD835" s="2">
        <v>1</v>
      </c>
      <c r="AE835" s="2">
        <v>0</v>
      </c>
      <c r="AF835" s="2">
        <v>1</v>
      </c>
    </row>
    <row r="836" spans="1:32" x14ac:dyDescent="0.25">
      <c r="A836">
        <v>835</v>
      </c>
      <c r="B836" s="2">
        <v>2</v>
      </c>
      <c r="C836" s="2">
        <v>15</v>
      </c>
      <c r="D836" s="2">
        <v>2</v>
      </c>
      <c r="E836" s="2">
        <v>0</v>
      </c>
      <c r="F836" s="2">
        <v>0</v>
      </c>
      <c r="G836" s="2">
        <v>0</v>
      </c>
      <c r="H836" s="2">
        <v>1</v>
      </c>
      <c r="I836" s="2">
        <v>0</v>
      </c>
      <c r="J836" s="2">
        <v>0</v>
      </c>
      <c r="K836" s="2">
        <v>2327</v>
      </c>
      <c r="L836" s="2">
        <v>0</v>
      </c>
      <c r="M836" s="2">
        <v>1</v>
      </c>
      <c r="N836" s="2">
        <v>2</v>
      </c>
      <c r="O836" s="2">
        <v>0</v>
      </c>
      <c r="P836" s="2">
        <v>0</v>
      </c>
      <c r="Q836" s="2">
        <v>0</v>
      </c>
      <c r="R836" s="2">
        <v>0</v>
      </c>
      <c r="S836" s="2">
        <v>0</v>
      </c>
      <c r="T836" s="2">
        <v>3</v>
      </c>
      <c r="U836" s="2">
        <v>1</v>
      </c>
      <c r="V836" s="2">
        <v>0</v>
      </c>
      <c r="W836" s="2">
        <v>25</v>
      </c>
      <c r="X836" s="2">
        <v>0</v>
      </c>
      <c r="Y836" s="2">
        <v>0</v>
      </c>
      <c r="Z836" s="2">
        <v>1</v>
      </c>
      <c r="AA836" s="2">
        <v>1</v>
      </c>
      <c r="AB836" s="2">
        <v>1</v>
      </c>
      <c r="AC836" s="2">
        <v>1</v>
      </c>
      <c r="AD836" s="2">
        <v>0</v>
      </c>
      <c r="AE836" s="2">
        <v>0</v>
      </c>
      <c r="AF836" s="2">
        <v>0</v>
      </c>
    </row>
    <row r="837" spans="1:32" x14ac:dyDescent="0.25">
      <c r="A837">
        <v>836</v>
      </c>
      <c r="B837" s="2">
        <v>0</v>
      </c>
      <c r="C837" s="2">
        <v>12</v>
      </c>
      <c r="D837" s="2">
        <v>0</v>
      </c>
      <c r="E837" s="2">
        <v>1</v>
      </c>
      <c r="F837" s="2">
        <v>0</v>
      </c>
      <c r="G837" s="2">
        <v>0</v>
      </c>
      <c r="H837" s="2">
        <v>0</v>
      </c>
      <c r="I837" s="2">
        <v>0</v>
      </c>
      <c r="J837" s="2">
        <v>0</v>
      </c>
      <c r="K837" s="2">
        <v>1082</v>
      </c>
      <c r="L837" s="2">
        <v>0</v>
      </c>
      <c r="M837" s="2">
        <v>2</v>
      </c>
      <c r="N837" s="2">
        <v>4</v>
      </c>
      <c r="O837" s="2">
        <v>0</v>
      </c>
      <c r="P837" s="2">
        <v>1</v>
      </c>
      <c r="Q837" s="2">
        <v>0</v>
      </c>
      <c r="R837" s="2">
        <v>0</v>
      </c>
      <c r="S837" s="2">
        <v>0</v>
      </c>
      <c r="T837" s="2">
        <v>4</v>
      </c>
      <c r="U837" s="2">
        <v>0</v>
      </c>
      <c r="V837" s="2">
        <v>0</v>
      </c>
      <c r="W837" s="2">
        <v>48</v>
      </c>
      <c r="X837" s="2">
        <v>1</v>
      </c>
      <c r="Y837" s="2">
        <v>0</v>
      </c>
      <c r="Z837" s="2">
        <v>1</v>
      </c>
      <c r="AA837" s="2">
        <v>2</v>
      </c>
      <c r="AB837" s="2">
        <v>2</v>
      </c>
      <c r="AC837" s="2">
        <v>1</v>
      </c>
      <c r="AD837" s="2">
        <v>0</v>
      </c>
      <c r="AE837" s="2">
        <v>0</v>
      </c>
      <c r="AF837" s="2">
        <v>0</v>
      </c>
    </row>
    <row r="838" spans="1:32" x14ac:dyDescent="0.25">
      <c r="A838">
        <v>837</v>
      </c>
      <c r="B838" s="2">
        <v>3</v>
      </c>
      <c r="C838" s="2">
        <v>12</v>
      </c>
      <c r="D838" s="2">
        <v>2</v>
      </c>
      <c r="E838" s="2">
        <v>0</v>
      </c>
      <c r="F838" s="2">
        <v>0</v>
      </c>
      <c r="G838" s="2">
        <v>0</v>
      </c>
      <c r="H838" s="2">
        <v>1</v>
      </c>
      <c r="I838" s="2">
        <v>0</v>
      </c>
      <c r="J838" s="2">
        <v>0</v>
      </c>
      <c r="K838" s="2">
        <v>886</v>
      </c>
      <c r="L838" s="2">
        <v>4</v>
      </c>
      <c r="M838" s="2">
        <v>2</v>
      </c>
      <c r="N838" s="2">
        <v>4</v>
      </c>
      <c r="O838" s="2">
        <v>0</v>
      </c>
      <c r="P838" s="2">
        <v>0</v>
      </c>
      <c r="Q838" s="2">
        <v>0</v>
      </c>
      <c r="R838" s="2">
        <v>0</v>
      </c>
      <c r="S838" s="2">
        <v>0</v>
      </c>
      <c r="T838" s="2">
        <v>2</v>
      </c>
      <c r="U838" s="2">
        <v>0</v>
      </c>
      <c r="V838" s="2">
        <v>0</v>
      </c>
      <c r="W838" s="2">
        <v>21</v>
      </c>
      <c r="X838" s="2">
        <v>0</v>
      </c>
      <c r="Y838" s="2">
        <v>0</v>
      </c>
      <c r="Z838" s="2">
        <v>1</v>
      </c>
      <c r="AA838" s="2">
        <v>1</v>
      </c>
      <c r="AB838" s="2">
        <v>2</v>
      </c>
      <c r="AC838" s="2">
        <v>1</v>
      </c>
      <c r="AD838" s="2">
        <v>0</v>
      </c>
      <c r="AE838" s="2">
        <v>0</v>
      </c>
      <c r="AF838" s="2">
        <v>1</v>
      </c>
    </row>
    <row r="839" spans="1:32" x14ac:dyDescent="0.25">
      <c r="A839">
        <v>838</v>
      </c>
      <c r="B839" s="2">
        <v>3</v>
      </c>
      <c r="C839" s="2">
        <v>4</v>
      </c>
      <c r="D839" s="2">
        <v>2</v>
      </c>
      <c r="E839" s="2">
        <v>0</v>
      </c>
      <c r="F839" s="2">
        <v>0</v>
      </c>
      <c r="G839" s="2">
        <v>1</v>
      </c>
      <c r="H839" s="2">
        <v>0</v>
      </c>
      <c r="I839" s="2">
        <v>0</v>
      </c>
      <c r="J839" s="2">
        <v>0</v>
      </c>
      <c r="K839" s="2">
        <v>601</v>
      </c>
      <c r="L839" s="2">
        <v>0</v>
      </c>
      <c r="M839" s="2">
        <v>1</v>
      </c>
      <c r="N839" s="2">
        <v>1</v>
      </c>
      <c r="O839" s="2">
        <v>0</v>
      </c>
      <c r="P839" s="2">
        <v>0</v>
      </c>
      <c r="Q839" s="2">
        <v>0</v>
      </c>
      <c r="R839" s="2">
        <v>0</v>
      </c>
      <c r="S839" s="2">
        <v>0</v>
      </c>
      <c r="T839" s="2">
        <v>3</v>
      </c>
      <c r="U839" s="2">
        <v>1</v>
      </c>
      <c r="V839" s="2">
        <v>0</v>
      </c>
      <c r="W839" s="2">
        <v>23</v>
      </c>
      <c r="X839" s="2">
        <v>0</v>
      </c>
      <c r="Y839" s="2">
        <v>1</v>
      </c>
      <c r="Z839" s="2">
        <v>0</v>
      </c>
      <c r="AA839" s="2">
        <v>1</v>
      </c>
      <c r="AB839" s="2">
        <v>1</v>
      </c>
      <c r="AC839" s="2">
        <v>2</v>
      </c>
      <c r="AD839" s="2">
        <v>0</v>
      </c>
      <c r="AE839" s="2">
        <v>0</v>
      </c>
      <c r="AF839" s="2">
        <v>1</v>
      </c>
    </row>
    <row r="840" spans="1:32" x14ac:dyDescent="0.25">
      <c r="A840">
        <v>839</v>
      </c>
      <c r="B840" s="2">
        <v>0</v>
      </c>
      <c r="C840" s="2">
        <v>24</v>
      </c>
      <c r="D840" s="2">
        <v>4</v>
      </c>
      <c r="E840" s="2">
        <v>0</v>
      </c>
      <c r="F840" s="2">
        <v>1</v>
      </c>
      <c r="G840" s="2">
        <v>0</v>
      </c>
      <c r="H840" s="2">
        <v>0</v>
      </c>
      <c r="I840" s="2">
        <v>0</v>
      </c>
      <c r="J840" s="2">
        <v>0</v>
      </c>
      <c r="K840" s="2">
        <v>2957</v>
      </c>
      <c r="L840" s="2">
        <v>0</v>
      </c>
      <c r="M840" s="2">
        <v>4</v>
      </c>
      <c r="N840" s="2">
        <v>4</v>
      </c>
      <c r="O840" s="2">
        <v>0</v>
      </c>
      <c r="P840" s="2">
        <v>1</v>
      </c>
      <c r="Q840" s="2">
        <v>0</v>
      </c>
      <c r="R840" s="2">
        <v>0</v>
      </c>
      <c r="S840" s="2">
        <v>0</v>
      </c>
      <c r="T840" s="2">
        <v>4</v>
      </c>
      <c r="U840" s="2">
        <v>0</v>
      </c>
      <c r="V840" s="2">
        <v>0</v>
      </c>
      <c r="W840" s="2">
        <v>63</v>
      </c>
      <c r="X840" s="2">
        <v>0</v>
      </c>
      <c r="Y840" s="2">
        <v>0</v>
      </c>
      <c r="Z840" s="2">
        <v>1</v>
      </c>
      <c r="AA840" s="2">
        <v>2</v>
      </c>
      <c r="AB840" s="2">
        <v>2</v>
      </c>
      <c r="AC840" s="2">
        <v>1</v>
      </c>
      <c r="AD840" s="2">
        <v>1</v>
      </c>
      <c r="AE840" s="2">
        <v>0</v>
      </c>
      <c r="AF840" s="2">
        <v>1</v>
      </c>
    </row>
    <row r="841" spans="1:32" x14ac:dyDescent="0.25">
      <c r="A841">
        <v>840</v>
      </c>
      <c r="B841" s="2">
        <v>3</v>
      </c>
      <c r="C841" s="2">
        <v>24</v>
      </c>
      <c r="D841" s="2">
        <v>4</v>
      </c>
      <c r="E841" s="2">
        <v>0</v>
      </c>
      <c r="F841" s="2">
        <v>0</v>
      </c>
      <c r="G841" s="2">
        <v>0</v>
      </c>
      <c r="H841" s="2">
        <v>1</v>
      </c>
      <c r="I841" s="2">
        <v>0</v>
      </c>
      <c r="J841" s="2">
        <v>0</v>
      </c>
      <c r="K841" s="2">
        <v>2611</v>
      </c>
      <c r="L841" s="2">
        <v>0</v>
      </c>
      <c r="M841" s="2">
        <v>4</v>
      </c>
      <c r="N841" s="2">
        <v>4</v>
      </c>
      <c r="O841" s="2">
        <v>0</v>
      </c>
      <c r="P841" s="2">
        <v>0</v>
      </c>
      <c r="Q841" s="2">
        <v>1</v>
      </c>
      <c r="R841" s="2">
        <v>1</v>
      </c>
      <c r="S841" s="2">
        <v>0</v>
      </c>
      <c r="T841" s="2">
        <v>3</v>
      </c>
      <c r="U841" s="2">
        <v>1</v>
      </c>
      <c r="V841" s="2">
        <v>0</v>
      </c>
      <c r="W841" s="2">
        <v>46</v>
      </c>
      <c r="X841" s="2">
        <v>0</v>
      </c>
      <c r="Y841" s="2">
        <v>0</v>
      </c>
      <c r="Z841" s="2">
        <v>1</v>
      </c>
      <c r="AA841" s="2">
        <v>2</v>
      </c>
      <c r="AB841" s="2">
        <v>2</v>
      </c>
      <c r="AC841" s="2">
        <v>1</v>
      </c>
      <c r="AD841" s="2">
        <v>0</v>
      </c>
      <c r="AE841" s="2">
        <v>0</v>
      </c>
      <c r="AF841" s="2">
        <v>1</v>
      </c>
    </row>
    <row r="842" spans="1:32" x14ac:dyDescent="0.25">
      <c r="A842">
        <v>841</v>
      </c>
      <c r="B842" s="2">
        <v>0</v>
      </c>
      <c r="C842" s="2">
        <v>36</v>
      </c>
      <c r="D842" s="2">
        <v>2</v>
      </c>
      <c r="E842" s="2">
        <v>0</v>
      </c>
      <c r="F842" s="2">
        <v>0</v>
      </c>
      <c r="G842" s="2">
        <v>1</v>
      </c>
      <c r="H842" s="2">
        <v>0</v>
      </c>
      <c r="I842" s="2">
        <v>0</v>
      </c>
      <c r="J842" s="2">
        <v>0</v>
      </c>
      <c r="K842" s="2">
        <v>5179</v>
      </c>
      <c r="L842" s="2">
        <v>0</v>
      </c>
      <c r="M842" s="2">
        <v>3</v>
      </c>
      <c r="N842" s="2">
        <v>4</v>
      </c>
      <c r="O842" s="2">
        <v>0</v>
      </c>
      <c r="P842" s="2">
        <v>1</v>
      </c>
      <c r="Q842" s="2">
        <v>0</v>
      </c>
      <c r="R842" s="2">
        <v>0</v>
      </c>
      <c r="S842" s="2">
        <v>0</v>
      </c>
      <c r="T842" s="2">
        <v>2</v>
      </c>
      <c r="U842" s="2">
        <v>0</v>
      </c>
      <c r="V842" s="2">
        <v>0</v>
      </c>
      <c r="W842" s="2">
        <v>29</v>
      </c>
      <c r="X842" s="2">
        <v>0</v>
      </c>
      <c r="Y842" s="2">
        <v>0</v>
      </c>
      <c r="Z842" s="2">
        <v>1</v>
      </c>
      <c r="AA842" s="2">
        <v>1</v>
      </c>
      <c r="AB842" s="2">
        <v>2</v>
      </c>
      <c r="AC842" s="2">
        <v>1</v>
      </c>
      <c r="AD842" s="2">
        <v>0</v>
      </c>
      <c r="AE842" s="2">
        <v>0</v>
      </c>
      <c r="AF842" s="2">
        <v>0</v>
      </c>
    </row>
    <row r="843" spans="1:32" x14ac:dyDescent="0.25">
      <c r="A843">
        <v>842</v>
      </c>
      <c r="B843" s="2">
        <v>3</v>
      </c>
      <c r="C843" s="2">
        <v>21</v>
      </c>
      <c r="D843" s="2">
        <v>3</v>
      </c>
      <c r="E843" s="2">
        <v>0</v>
      </c>
      <c r="F843" s="2">
        <v>1</v>
      </c>
      <c r="G843" s="2">
        <v>0</v>
      </c>
      <c r="H843" s="2">
        <v>0</v>
      </c>
      <c r="I843" s="2">
        <v>0</v>
      </c>
      <c r="J843" s="2">
        <v>0</v>
      </c>
      <c r="K843" s="2">
        <v>2993</v>
      </c>
      <c r="L843" s="2">
        <v>0</v>
      </c>
      <c r="M843" s="2">
        <v>2</v>
      </c>
      <c r="N843" s="2">
        <v>3</v>
      </c>
      <c r="O843" s="2">
        <v>0</v>
      </c>
      <c r="P843" s="2">
        <v>1</v>
      </c>
      <c r="Q843" s="2">
        <v>0</v>
      </c>
      <c r="R843" s="2">
        <v>0</v>
      </c>
      <c r="S843" s="2">
        <v>0</v>
      </c>
      <c r="T843" s="2">
        <v>2</v>
      </c>
      <c r="U843" s="2">
        <v>1</v>
      </c>
      <c r="V843" s="2">
        <v>0</v>
      </c>
      <c r="W843" s="2">
        <v>28</v>
      </c>
      <c r="X843" s="2">
        <v>1</v>
      </c>
      <c r="Y843" s="2">
        <v>0</v>
      </c>
      <c r="Z843" s="2">
        <v>1</v>
      </c>
      <c r="AA843" s="2">
        <v>2</v>
      </c>
      <c r="AB843" s="2">
        <v>1</v>
      </c>
      <c r="AC843" s="2">
        <v>1</v>
      </c>
      <c r="AD843" s="2">
        <v>0</v>
      </c>
      <c r="AE843" s="2">
        <v>0</v>
      </c>
      <c r="AF843" s="2">
        <v>1</v>
      </c>
    </row>
    <row r="844" spans="1:32" x14ac:dyDescent="0.25">
      <c r="A844">
        <v>843</v>
      </c>
      <c r="B844" s="2">
        <v>3</v>
      </c>
      <c r="C844" s="2">
        <v>18</v>
      </c>
      <c r="D844" s="2">
        <v>2</v>
      </c>
      <c r="E844" s="2">
        <v>0</v>
      </c>
      <c r="F844" s="2">
        <v>0</v>
      </c>
      <c r="G844" s="2">
        <v>0</v>
      </c>
      <c r="H844" s="2">
        <v>0</v>
      </c>
      <c r="I844" s="2">
        <v>0</v>
      </c>
      <c r="J844" s="2">
        <v>0</v>
      </c>
      <c r="K844" s="2">
        <v>1943</v>
      </c>
      <c r="L844" s="2">
        <v>0</v>
      </c>
      <c r="M844" s="2">
        <v>1</v>
      </c>
      <c r="N844" s="2">
        <v>4</v>
      </c>
      <c r="O844" s="2">
        <v>0</v>
      </c>
      <c r="P844" s="2">
        <v>0</v>
      </c>
      <c r="Q844" s="2">
        <v>0</v>
      </c>
      <c r="R844" s="2">
        <v>0</v>
      </c>
      <c r="S844" s="2">
        <v>0</v>
      </c>
      <c r="T844" s="2">
        <v>4</v>
      </c>
      <c r="U844" s="2">
        <v>1</v>
      </c>
      <c r="V844" s="2">
        <v>0</v>
      </c>
      <c r="W844" s="2">
        <v>23</v>
      </c>
      <c r="X844" s="2">
        <v>0</v>
      </c>
      <c r="Y844" s="2">
        <v>0</v>
      </c>
      <c r="Z844" s="2">
        <v>1</v>
      </c>
      <c r="AA844" s="2">
        <v>1</v>
      </c>
      <c r="AB844" s="2">
        <v>2</v>
      </c>
      <c r="AC844" s="2">
        <v>1</v>
      </c>
      <c r="AD844" s="2">
        <v>0</v>
      </c>
      <c r="AE844" s="2">
        <v>0</v>
      </c>
      <c r="AF844" s="2">
        <v>0</v>
      </c>
    </row>
    <row r="845" spans="1:32" x14ac:dyDescent="0.25">
      <c r="A845">
        <v>844</v>
      </c>
      <c r="B845" s="2">
        <v>3</v>
      </c>
      <c r="C845" s="2">
        <v>24</v>
      </c>
      <c r="D845" s="2">
        <v>1</v>
      </c>
      <c r="E845" s="2">
        <v>0</v>
      </c>
      <c r="F845" s="2">
        <v>0</v>
      </c>
      <c r="G845" s="2">
        <v>0</v>
      </c>
      <c r="H845" s="2">
        <v>0</v>
      </c>
      <c r="I845" s="2">
        <v>0</v>
      </c>
      <c r="J845" s="2">
        <v>1</v>
      </c>
      <c r="K845" s="2">
        <v>1559</v>
      </c>
      <c r="L845" s="2">
        <v>0</v>
      </c>
      <c r="M845" s="2">
        <v>3</v>
      </c>
      <c r="N845" s="2">
        <v>4</v>
      </c>
      <c r="O845" s="2">
        <v>0</v>
      </c>
      <c r="P845" s="2">
        <v>1</v>
      </c>
      <c r="Q845" s="2">
        <v>0</v>
      </c>
      <c r="R845" s="2">
        <v>0</v>
      </c>
      <c r="S845" s="2">
        <v>0</v>
      </c>
      <c r="T845" s="2">
        <v>4</v>
      </c>
      <c r="U845" s="2">
        <v>0</v>
      </c>
      <c r="V845" s="2">
        <v>0</v>
      </c>
      <c r="W845" s="2">
        <v>50</v>
      </c>
      <c r="X845" s="2">
        <v>1</v>
      </c>
      <c r="Y845" s="2">
        <v>0</v>
      </c>
      <c r="Z845" s="2">
        <v>1</v>
      </c>
      <c r="AA845" s="2">
        <v>1</v>
      </c>
      <c r="AB845" s="2">
        <v>2</v>
      </c>
      <c r="AC845" s="2">
        <v>1</v>
      </c>
      <c r="AD845" s="2">
        <v>1</v>
      </c>
      <c r="AE845" s="2">
        <v>0</v>
      </c>
      <c r="AF845" s="2">
        <v>1</v>
      </c>
    </row>
    <row r="846" spans="1:32" x14ac:dyDescent="0.25">
      <c r="A846">
        <v>845</v>
      </c>
      <c r="B846" s="2">
        <v>3</v>
      </c>
      <c r="C846" s="2">
        <v>18</v>
      </c>
      <c r="D846" s="2">
        <v>2</v>
      </c>
      <c r="E846" s="2">
        <v>0</v>
      </c>
      <c r="F846" s="2">
        <v>0</v>
      </c>
      <c r="G846" s="2">
        <v>1</v>
      </c>
      <c r="H846" s="2">
        <v>0</v>
      </c>
      <c r="I846" s="2">
        <v>0</v>
      </c>
      <c r="J846" s="2">
        <v>0</v>
      </c>
      <c r="K846" s="2">
        <v>3422</v>
      </c>
      <c r="L846" s="2">
        <v>0</v>
      </c>
      <c r="M846" s="2">
        <v>4</v>
      </c>
      <c r="N846" s="2">
        <v>4</v>
      </c>
      <c r="O846" s="2">
        <v>0</v>
      </c>
      <c r="P846" s="2">
        <v>1</v>
      </c>
      <c r="Q846" s="2">
        <v>0</v>
      </c>
      <c r="R846" s="2">
        <v>0</v>
      </c>
      <c r="S846" s="2">
        <v>0</v>
      </c>
      <c r="T846" s="2">
        <v>4</v>
      </c>
      <c r="U846" s="2">
        <v>0</v>
      </c>
      <c r="V846" s="2">
        <v>0</v>
      </c>
      <c r="W846" s="2">
        <v>47</v>
      </c>
      <c r="X846" s="2">
        <v>1</v>
      </c>
      <c r="Y846" s="2">
        <v>0</v>
      </c>
      <c r="Z846" s="2">
        <v>1</v>
      </c>
      <c r="AA846" s="2">
        <v>3</v>
      </c>
      <c r="AB846" s="2">
        <v>2</v>
      </c>
      <c r="AC846" s="2">
        <v>2</v>
      </c>
      <c r="AD846" s="2">
        <v>1</v>
      </c>
      <c r="AE846" s="2">
        <v>0</v>
      </c>
      <c r="AF846" s="2">
        <v>1</v>
      </c>
    </row>
    <row r="847" spans="1:32" x14ac:dyDescent="0.25">
      <c r="A847">
        <v>846</v>
      </c>
      <c r="B847" s="2">
        <v>1</v>
      </c>
      <c r="C847" s="2">
        <v>21</v>
      </c>
      <c r="D847" s="2">
        <v>2</v>
      </c>
      <c r="E847" s="2">
        <v>0</v>
      </c>
      <c r="F847" s="2">
        <v>0</v>
      </c>
      <c r="G847" s="2">
        <v>1</v>
      </c>
      <c r="H847" s="2">
        <v>0</v>
      </c>
      <c r="I847" s="2">
        <v>0</v>
      </c>
      <c r="J847" s="2">
        <v>0</v>
      </c>
      <c r="K847" s="2">
        <v>3976</v>
      </c>
      <c r="L847" s="2">
        <v>4</v>
      </c>
      <c r="M847" s="2">
        <v>3</v>
      </c>
      <c r="N847" s="2">
        <v>2</v>
      </c>
      <c r="O847" s="2">
        <v>0</v>
      </c>
      <c r="P847" s="2">
        <v>1</v>
      </c>
      <c r="Q847" s="2">
        <v>0</v>
      </c>
      <c r="R847" s="2">
        <v>0</v>
      </c>
      <c r="S847" s="2">
        <v>0</v>
      </c>
      <c r="T847" s="2">
        <v>3</v>
      </c>
      <c r="U847" s="2">
        <v>0</v>
      </c>
      <c r="V847" s="2">
        <v>0</v>
      </c>
      <c r="W847" s="2">
        <v>35</v>
      </c>
      <c r="X847" s="2">
        <v>0</v>
      </c>
      <c r="Y847" s="2">
        <v>0</v>
      </c>
      <c r="Z847" s="2">
        <v>1</v>
      </c>
      <c r="AA847" s="2">
        <v>1</v>
      </c>
      <c r="AB847" s="2">
        <v>2</v>
      </c>
      <c r="AC847" s="2">
        <v>1</v>
      </c>
      <c r="AD847" s="2">
        <v>1</v>
      </c>
      <c r="AE847" s="2">
        <v>0</v>
      </c>
      <c r="AF847" s="2">
        <v>1</v>
      </c>
    </row>
    <row r="848" spans="1:32" x14ac:dyDescent="0.25">
      <c r="A848">
        <v>847</v>
      </c>
      <c r="B848" s="2">
        <v>3</v>
      </c>
      <c r="C848" s="2">
        <v>18</v>
      </c>
      <c r="D848" s="2">
        <v>2</v>
      </c>
      <c r="E848" s="2">
        <v>1</v>
      </c>
      <c r="F848" s="2">
        <v>0</v>
      </c>
      <c r="G848" s="2">
        <v>0</v>
      </c>
      <c r="H848" s="2">
        <v>0</v>
      </c>
      <c r="I848" s="2">
        <v>0</v>
      </c>
      <c r="J848" s="2">
        <v>0</v>
      </c>
      <c r="K848" s="2">
        <v>6761</v>
      </c>
      <c r="L848" s="2">
        <v>4</v>
      </c>
      <c r="M848" s="2">
        <v>2</v>
      </c>
      <c r="N848" s="2">
        <v>2</v>
      </c>
      <c r="O848" s="2">
        <v>0</v>
      </c>
      <c r="P848" s="2">
        <v>1</v>
      </c>
      <c r="Q848" s="2">
        <v>0</v>
      </c>
      <c r="R848" s="2">
        <v>0</v>
      </c>
      <c r="S848" s="2">
        <v>0</v>
      </c>
      <c r="T848" s="2">
        <v>4</v>
      </c>
      <c r="U848" s="2">
        <v>0</v>
      </c>
      <c r="V848" s="2">
        <v>0</v>
      </c>
      <c r="W848" s="2">
        <v>68</v>
      </c>
      <c r="X848" s="2">
        <v>0</v>
      </c>
      <c r="Y848" s="2">
        <v>1</v>
      </c>
      <c r="Z848" s="2">
        <v>0</v>
      </c>
      <c r="AA848" s="2">
        <v>2</v>
      </c>
      <c r="AB848" s="2">
        <v>2</v>
      </c>
      <c r="AC848" s="2">
        <v>1</v>
      </c>
      <c r="AD848" s="2">
        <v>0</v>
      </c>
      <c r="AE848" s="2">
        <v>0</v>
      </c>
      <c r="AF848" s="2">
        <v>0</v>
      </c>
    </row>
    <row r="849" spans="1:32" x14ac:dyDescent="0.25">
      <c r="A849">
        <v>848</v>
      </c>
      <c r="B849" s="2">
        <v>3</v>
      </c>
      <c r="C849" s="2">
        <v>24</v>
      </c>
      <c r="D849" s="2">
        <v>2</v>
      </c>
      <c r="E849" s="2">
        <v>1</v>
      </c>
      <c r="F849" s="2">
        <v>0</v>
      </c>
      <c r="G849" s="2">
        <v>0</v>
      </c>
      <c r="H849" s="2">
        <v>0</v>
      </c>
      <c r="I849" s="2">
        <v>0</v>
      </c>
      <c r="J849" s="2">
        <v>0</v>
      </c>
      <c r="K849" s="2">
        <v>1249</v>
      </c>
      <c r="L849" s="2">
        <v>0</v>
      </c>
      <c r="M849" s="2">
        <v>1</v>
      </c>
      <c r="N849" s="2">
        <v>4</v>
      </c>
      <c r="O849" s="2">
        <v>0</v>
      </c>
      <c r="P849" s="2">
        <v>0</v>
      </c>
      <c r="Q849" s="2">
        <v>1</v>
      </c>
      <c r="R849" s="2">
        <v>0</v>
      </c>
      <c r="S849" s="2">
        <v>0</v>
      </c>
      <c r="T849" s="2">
        <v>2</v>
      </c>
      <c r="U849" s="2">
        <v>1</v>
      </c>
      <c r="V849" s="2">
        <v>0</v>
      </c>
      <c r="W849" s="2">
        <v>28</v>
      </c>
      <c r="X849" s="2">
        <v>0</v>
      </c>
      <c r="Y849" s="2">
        <v>0</v>
      </c>
      <c r="Z849" s="2">
        <v>1</v>
      </c>
      <c r="AA849" s="2">
        <v>1</v>
      </c>
      <c r="AB849" s="2">
        <v>2</v>
      </c>
      <c r="AC849" s="2">
        <v>1</v>
      </c>
      <c r="AD849" s="2">
        <v>0</v>
      </c>
      <c r="AE849" s="2">
        <v>0</v>
      </c>
      <c r="AF849" s="2">
        <v>1</v>
      </c>
    </row>
    <row r="850" spans="1:32" x14ac:dyDescent="0.25">
      <c r="A850">
        <v>849</v>
      </c>
      <c r="B850" s="2">
        <v>0</v>
      </c>
      <c r="C850" s="2">
        <v>9</v>
      </c>
      <c r="D850" s="2">
        <v>2</v>
      </c>
      <c r="E850" s="2">
        <v>0</v>
      </c>
      <c r="F850" s="2">
        <v>0</v>
      </c>
      <c r="G850" s="2">
        <v>0</v>
      </c>
      <c r="H850" s="2">
        <v>1</v>
      </c>
      <c r="I850" s="2">
        <v>0</v>
      </c>
      <c r="J850" s="2">
        <v>0</v>
      </c>
      <c r="K850" s="2">
        <v>1364</v>
      </c>
      <c r="L850" s="2">
        <v>0</v>
      </c>
      <c r="M850" s="2">
        <v>3</v>
      </c>
      <c r="N850" s="2">
        <v>3</v>
      </c>
      <c r="O850" s="2">
        <v>0</v>
      </c>
      <c r="P850" s="2">
        <v>1</v>
      </c>
      <c r="Q850" s="2">
        <v>0</v>
      </c>
      <c r="R850" s="2">
        <v>0</v>
      </c>
      <c r="S850" s="2">
        <v>0</v>
      </c>
      <c r="T850" s="2">
        <v>4</v>
      </c>
      <c r="U850" s="2">
        <v>1</v>
      </c>
      <c r="V850" s="2">
        <v>0</v>
      </c>
      <c r="W850" s="2">
        <v>59</v>
      </c>
      <c r="X850" s="2">
        <v>0</v>
      </c>
      <c r="Y850" s="2">
        <v>0</v>
      </c>
      <c r="Z850" s="2">
        <v>1</v>
      </c>
      <c r="AA850" s="2">
        <v>1</v>
      </c>
      <c r="AB850" s="2">
        <v>2</v>
      </c>
      <c r="AC850" s="2">
        <v>1</v>
      </c>
      <c r="AD850" s="2">
        <v>0</v>
      </c>
      <c r="AE850" s="2">
        <v>0</v>
      </c>
      <c r="AF850" s="2">
        <v>1</v>
      </c>
    </row>
    <row r="851" spans="1:32" x14ac:dyDescent="0.25">
      <c r="A851">
        <v>850</v>
      </c>
      <c r="B851" s="2">
        <v>0</v>
      </c>
      <c r="C851" s="2">
        <v>12</v>
      </c>
      <c r="D851" s="2">
        <v>2</v>
      </c>
      <c r="E851" s="2">
        <v>0</v>
      </c>
      <c r="F851" s="2">
        <v>0</v>
      </c>
      <c r="G851" s="2">
        <v>0</v>
      </c>
      <c r="H851" s="2">
        <v>1</v>
      </c>
      <c r="I851" s="2">
        <v>0</v>
      </c>
      <c r="J851" s="2">
        <v>0</v>
      </c>
      <c r="K851" s="2">
        <v>709</v>
      </c>
      <c r="L851" s="2">
        <v>0</v>
      </c>
      <c r="M851" s="2">
        <v>4</v>
      </c>
      <c r="N851" s="2">
        <v>4</v>
      </c>
      <c r="O851" s="2">
        <v>0</v>
      </c>
      <c r="P851" s="2">
        <v>1</v>
      </c>
      <c r="Q851" s="2">
        <v>0</v>
      </c>
      <c r="R851" s="2">
        <v>0</v>
      </c>
      <c r="S851" s="2">
        <v>0</v>
      </c>
      <c r="T851" s="2">
        <v>4</v>
      </c>
      <c r="U851" s="2">
        <v>1</v>
      </c>
      <c r="V851" s="2">
        <v>0</v>
      </c>
      <c r="W851" s="2">
        <v>57</v>
      </c>
      <c r="X851" s="2">
        <v>1</v>
      </c>
      <c r="Y851" s="2">
        <v>0</v>
      </c>
      <c r="Z851" s="2">
        <v>1</v>
      </c>
      <c r="AA851" s="2">
        <v>1</v>
      </c>
      <c r="AB851" s="2">
        <v>1</v>
      </c>
      <c r="AC851" s="2">
        <v>1</v>
      </c>
      <c r="AD851" s="2">
        <v>0</v>
      </c>
      <c r="AE851" s="2">
        <v>0</v>
      </c>
      <c r="AF851" s="2">
        <v>0</v>
      </c>
    </row>
    <row r="852" spans="1:32" x14ac:dyDescent="0.25">
      <c r="A852">
        <v>851</v>
      </c>
      <c r="B852" s="2">
        <v>0</v>
      </c>
      <c r="C852" s="2">
        <v>20</v>
      </c>
      <c r="D852" s="2">
        <v>4</v>
      </c>
      <c r="E852" s="2">
        <v>1</v>
      </c>
      <c r="F852" s="2">
        <v>0</v>
      </c>
      <c r="G852" s="2">
        <v>0</v>
      </c>
      <c r="H852" s="2">
        <v>0</v>
      </c>
      <c r="I852" s="2">
        <v>0</v>
      </c>
      <c r="J852" s="2">
        <v>0</v>
      </c>
      <c r="K852" s="2">
        <v>2235</v>
      </c>
      <c r="L852" s="2">
        <v>0</v>
      </c>
      <c r="M852" s="2">
        <v>2</v>
      </c>
      <c r="N852" s="2">
        <v>4</v>
      </c>
      <c r="O852" s="2">
        <v>0</v>
      </c>
      <c r="P852" s="2">
        <v>0</v>
      </c>
      <c r="Q852" s="2">
        <v>1</v>
      </c>
      <c r="R852" s="2">
        <v>0</v>
      </c>
      <c r="S852" s="2">
        <v>1</v>
      </c>
      <c r="T852" s="2">
        <v>2</v>
      </c>
      <c r="U852" s="2">
        <v>0</v>
      </c>
      <c r="V852" s="2">
        <v>0</v>
      </c>
      <c r="W852" s="2">
        <v>33</v>
      </c>
      <c r="X852" s="2">
        <v>1</v>
      </c>
      <c r="Y852" s="2">
        <v>1</v>
      </c>
      <c r="Z852" s="2">
        <v>0</v>
      </c>
      <c r="AA852" s="2">
        <v>2</v>
      </c>
      <c r="AB852" s="2">
        <v>2</v>
      </c>
      <c r="AC852" s="2">
        <v>1</v>
      </c>
      <c r="AD852" s="2">
        <v>0</v>
      </c>
      <c r="AE852" s="2">
        <v>1</v>
      </c>
      <c r="AF852" s="2">
        <v>0</v>
      </c>
    </row>
    <row r="853" spans="1:32" x14ac:dyDescent="0.25">
      <c r="A853">
        <v>852</v>
      </c>
      <c r="B853" s="2">
        <v>3</v>
      </c>
      <c r="C853" s="2">
        <v>24</v>
      </c>
      <c r="D853" s="2">
        <v>4</v>
      </c>
      <c r="E853" s="2">
        <v>0</v>
      </c>
      <c r="F853" s="2">
        <v>1</v>
      </c>
      <c r="G853" s="2">
        <v>0</v>
      </c>
      <c r="H853" s="2">
        <v>0</v>
      </c>
      <c r="I853" s="2">
        <v>0</v>
      </c>
      <c r="J853" s="2">
        <v>0</v>
      </c>
      <c r="K853" s="2">
        <v>4042</v>
      </c>
      <c r="L853" s="2">
        <v>4</v>
      </c>
      <c r="M853" s="2">
        <v>3</v>
      </c>
      <c r="N853" s="2">
        <v>3</v>
      </c>
      <c r="O853" s="2">
        <v>0</v>
      </c>
      <c r="P853" s="2">
        <v>1</v>
      </c>
      <c r="Q853" s="2">
        <v>0</v>
      </c>
      <c r="R853" s="2">
        <v>0</v>
      </c>
      <c r="S853" s="2">
        <v>0</v>
      </c>
      <c r="T853" s="2">
        <v>4</v>
      </c>
      <c r="U853" s="2">
        <v>0</v>
      </c>
      <c r="V853" s="2">
        <v>0</v>
      </c>
      <c r="W853" s="2">
        <v>43</v>
      </c>
      <c r="X853" s="2">
        <v>0</v>
      </c>
      <c r="Y853" s="2">
        <v>0</v>
      </c>
      <c r="Z853" s="2">
        <v>1</v>
      </c>
      <c r="AA853" s="2">
        <v>2</v>
      </c>
      <c r="AB853" s="2">
        <v>2</v>
      </c>
      <c r="AC853" s="2">
        <v>1</v>
      </c>
      <c r="AD853" s="2">
        <v>1</v>
      </c>
      <c r="AE853" s="2">
        <v>0</v>
      </c>
      <c r="AF853" s="2">
        <v>1</v>
      </c>
    </row>
    <row r="854" spans="1:32" x14ac:dyDescent="0.25">
      <c r="A854">
        <v>853</v>
      </c>
      <c r="B854" s="2">
        <v>3</v>
      </c>
      <c r="C854" s="2">
        <v>15</v>
      </c>
      <c r="D854" s="2">
        <v>4</v>
      </c>
      <c r="E854" s="2">
        <v>0</v>
      </c>
      <c r="F854" s="2">
        <v>0</v>
      </c>
      <c r="G854" s="2">
        <v>0</v>
      </c>
      <c r="H854" s="2">
        <v>1</v>
      </c>
      <c r="I854" s="2">
        <v>0</v>
      </c>
      <c r="J854" s="2">
        <v>0</v>
      </c>
      <c r="K854" s="2">
        <v>1471</v>
      </c>
      <c r="L854" s="2">
        <v>0</v>
      </c>
      <c r="M854" s="2">
        <v>2</v>
      </c>
      <c r="N854" s="2">
        <v>4</v>
      </c>
      <c r="O854" s="2">
        <v>0</v>
      </c>
      <c r="P854" s="2">
        <v>1</v>
      </c>
      <c r="Q854" s="2">
        <v>0</v>
      </c>
      <c r="R854" s="2">
        <v>0</v>
      </c>
      <c r="S854" s="2">
        <v>0</v>
      </c>
      <c r="T854" s="2">
        <v>4</v>
      </c>
      <c r="U854" s="2">
        <v>0</v>
      </c>
      <c r="V854" s="2">
        <v>1</v>
      </c>
      <c r="W854" s="2">
        <v>35</v>
      </c>
      <c r="X854" s="2">
        <v>0</v>
      </c>
      <c r="Y854" s="2">
        <v>0</v>
      </c>
      <c r="Z854" s="2">
        <v>0</v>
      </c>
      <c r="AA854" s="2">
        <v>2</v>
      </c>
      <c r="AB854" s="2">
        <v>2</v>
      </c>
      <c r="AC854" s="2">
        <v>1</v>
      </c>
      <c r="AD854" s="2">
        <v>1</v>
      </c>
      <c r="AE854" s="2">
        <v>0</v>
      </c>
      <c r="AF854" s="2">
        <v>1</v>
      </c>
    </row>
    <row r="855" spans="1:32" x14ac:dyDescent="0.25">
      <c r="A855">
        <v>854</v>
      </c>
      <c r="B855" s="2">
        <v>0</v>
      </c>
      <c r="C855" s="2">
        <v>18</v>
      </c>
      <c r="D855" s="2">
        <v>1</v>
      </c>
      <c r="E855" s="2">
        <v>1</v>
      </c>
      <c r="F855" s="2">
        <v>0</v>
      </c>
      <c r="G855" s="2">
        <v>0</v>
      </c>
      <c r="H855" s="2">
        <v>0</v>
      </c>
      <c r="I855" s="2">
        <v>0</v>
      </c>
      <c r="J855" s="2">
        <v>0</v>
      </c>
      <c r="K855" s="2">
        <v>1442</v>
      </c>
      <c r="L855" s="2">
        <v>0</v>
      </c>
      <c r="M855" s="2">
        <v>3</v>
      </c>
      <c r="N855" s="2">
        <v>4</v>
      </c>
      <c r="O855" s="2">
        <v>0</v>
      </c>
      <c r="P855" s="2">
        <v>1</v>
      </c>
      <c r="Q855" s="2">
        <v>0</v>
      </c>
      <c r="R855" s="2">
        <v>0</v>
      </c>
      <c r="S855" s="2">
        <v>0</v>
      </c>
      <c r="T855" s="2">
        <v>4</v>
      </c>
      <c r="U855" s="2">
        <v>0</v>
      </c>
      <c r="V855" s="2">
        <v>1</v>
      </c>
      <c r="W855" s="2">
        <v>32</v>
      </c>
      <c r="X855" s="2">
        <v>0</v>
      </c>
      <c r="Y855" s="2">
        <v>0</v>
      </c>
      <c r="Z855" s="2">
        <v>0</v>
      </c>
      <c r="AA855" s="2">
        <v>2</v>
      </c>
      <c r="AB855" s="2">
        <v>1</v>
      </c>
      <c r="AC855" s="2">
        <v>2</v>
      </c>
      <c r="AD855" s="2">
        <v>0</v>
      </c>
      <c r="AE855" s="2">
        <v>0</v>
      </c>
      <c r="AF855" s="2">
        <v>0</v>
      </c>
    </row>
    <row r="856" spans="1:32" x14ac:dyDescent="0.25">
      <c r="A856">
        <v>855</v>
      </c>
      <c r="B856" s="2">
        <v>3</v>
      </c>
      <c r="C856" s="2">
        <v>36</v>
      </c>
      <c r="D856" s="2">
        <v>3</v>
      </c>
      <c r="E856" s="2">
        <v>1</v>
      </c>
      <c r="F856" s="2">
        <v>0</v>
      </c>
      <c r="G856" s="2">
        <v>0</v>
      </c>
      <c r="H856" s="2">
        <v>0</v>
      </c>
      <c r="I856" s="2">
        <v>0</v>
      </c>
      <c r="J856" s="2">
        <v>0</v>
      </c>
      <c r="K856" s="2">
        <v>10875</v>
      </c>
      <c r="L856" s="2">
        <v>0</v>
      </c>
      <c r="M856" s="2">
        <v>4</v>
      </c>
      <c r="N856" s="2">
        <v>2</v>
      </c>
      <c r="O856" s="2">
        <v>0</v>
      </c>
      <c r="P856" s="2">
        <v>1</v>
      </c>
      <c r="Q856" s="2">
        <v>0</v>
      </c>
      <c r="R856" s="2">
        <v>0</v>
      </c>
      <c r="S856" s="2">
        <v>0</v>
      </c>
      <c r="T856" s="2">
        <v>2</v>
      </c>
      <c r="U856" s="2">
        <v>0</v>
      </c>
      <c r="V856" s="2">
        <v>0</v>
      </c>
      <c r="W856" s="2">
        <v>45</v>
      </c>
      <c r="X856" s="2">
        <v>0</v>
      </c>
      <c r="Y856" s="2">
        <v>0</v>
      </c>
      <c r="Z856" s="2">
        <v>1</v>
      </c>
      <c r="AA856" s="2">
        <v>2</v>
      </c>
      <c r="AB856" s="2">
        <v>2</v>
      </c>
      <c r="AC856" s="2">
        <v>2</v>
      </c>
      <c r="AD856" s="2">
        <v>1</v>
      </c>
      <c r="AE856" s="2">
        <v>0</v>
      </c>
      <c r="AF856" s="2">
        <v>1</v>
      </c>
    </row>
    <row r="857" spans="1:32" x14ac:dyDescent="0.25">
      <c r="A857">
        <v>856</v>
      </c>
      <c r="B857" s="2">
        <v>3</v>
      </c>
      <c r="C857" s="2">
        <v>24</v>
      </c>
      <c r="D857" s="2">
        <v>2</v>
      </c>
      <c r="E857" s="2">
        <v>1</v>
      </c>
      <c r="F857" s="2">
        <v>0</v>
      </c>
      <c r="G857" s="2">
        <v>0</v>
      </c>
      <c r="H857" s="2">
        <v>0</v>
      </c>
      <c r="I857" s="2">
        <v>0</v>
      </c>
      <c r="J857" s="2">
        <v>0</v>
      </c>
      <c r="K857" s="2">
        <v>1474</v>
      </c>
      <c r="L857" s="2">
        <v>1</v>
      </c>
      <c r="M857" s="2">
        <v>1</v>
      </c>
      <c r="N857" s="2">
        <v>4</v>
      </c>
      <c r="O857" s="2">
        <v>0</v>
      </c>
      <c r="P857" s="2">
        <v>0</v>
      </c>
      <c r="Q857" s="2">
        <v>1</v>
      </c>
      <c r="R857" s="2">
        <v>0</v>
      </c>
      <c r="S857" s="2">
        <v>0</v>
      </c>
      <c r="T857" s="2">
        <v>3</v>
      </c>
      <c r="U857" s="2">
        <v>1</v>
      </c>
      <c r="V857" s="2">
        <v>0</v>
      </c>
      <c r="W857" s="2">
        <v>33</v>
      </c>
      <c r="X857" s="2">
        <v>0</v>
      </c>
      <c r="Y857" s="2">
        <v>0</v>
      </c>
      <c r="Z857" s="2">
        <v>1</v>
      </c>
      <c r="AA857" s="2">
        <v>1</v>
      </c>
      <c r="AB857" s="2">
        <v>2</v>
      </c>
      <c r="AC857" s="2">
        <v>1</v>
      </c>
      <c r="AD857" s="2">
        <v>1</v>
      </c>
      <c r="AE857" s="2">
        <v>0</v>
      </c>
      <c r="AF857" s="2">
        <v>1</v>
      </c>
    </row>
    <row r="858" spans="1:32" x14ac:dyDescent="0.25">
      <c r="A858">
        <v>857</v>
      </c>
      <c r="B858" s="2">
        <v>3</v>
      </c>
      <c r="C858" s="2">
        <v>10</v>
      </c>
      <c r="D858" s="2">
        <v>2</v>
      </c>
      <c r="E858" s="2">
        <v>0</v>
      </c>
      <c r="F858" s="2">
        <v>0</v>
      </c>
      <c r="G858" s="2">
        <v>0</v>
      </c>
      <c r="H858" s="2">
        <v>0</v>
      </c>
      <c r="I858" s="2">
        <v>0</v>
      </c>
      <c r="J858" s="2">
        <v>0</v>
      </c>
      <c r="K858" s="2">
        <v>894</v>
      </c>
      <c r="L858" s="2">
        <v>4</v>
      </c>
      <c r="M858" s="2">
        <v>3</v>
      </c>
      <c r="N858" s="2">
        <v>4</v>
      </c>
      <c r="O858" s="2">
        <v>0</v>
      </c>
      <c r="P858" s="2">
        <v>0</v>
      </c>
      <c r="Q858" s="2">
        <v>0</v>
      </c>
      <c r="R858" s="2">
        <v>0</v>
      </c>
      <c r="S858" s="2">
        <v>0</v>
      </c>
      <c r="T858" s="2">
        <v>3</v>
      </c>
      <c r="U858" s="2">
        <v>0</v>
      </c>
      <c r="V858" s="2">
        <v>0</v>
      </c>
      <c r="W858" s="2">
        <v>40</v>
      </c>
      <c r="X858" s="2">
        <v>0</v>
      </c>
      <c r="Y858" s="2">
        <v>0</v>
      </c>
      <c r="Z858" s="2">
        <v>1</v>
      </c>
      <c r="AA858" s="2">
        <v>1</v>
      </c>
      <c r="AB858" s="2">
        <v>2</v>
      </c>
      <c r="AC858" s="2">
        <v>1</v>
      </c>
      <c r="AD858" s="2">
        <v>1</v>
      </c>
      <c r="AE858" s="2">
        <v>0</v>
      </c>
      <c r="AF858" s="2">
        <v>1</v>
      </c>
    </row>
    <row r="859" spans="1:32" x14ac:dyDescent="0.25">
      <c r="A859">
        <v>858</v>
      </c>
      <c r="B859" s="2">
        <v>3</v>
      </c>
      <c r="C859" s="2">
        <v>15</v>
      </c>
      <c r="D859" s="2">
        <v>4</v>
      </c>
      <c r="E859" s="2">
        <v>0</v>
      </c>
      <c r="F859" s="2">
        <v>0</v>
      </c>
      <c r="G859" s="2">
        <v>1</v>
      </c>
      <c r="H859" s="2">
        <v>0</v>
      </c>
      <c r="I859" s="2">
        <v>0</v>
      </c>
      <c r="J859" s="2">
        <v>0</v>
      </c>
      <c r="K859" s="2">
        <v>3343</v>
      </c>
      <c r="L859" s="2">
        <v>0</v>
      </c>
      <c r="M859" s="2">
        <v>2</v>
      </c>
      <c r="N859" s="2">
        <v>4</v>
      </c>
      <c r="O859" s="2">
        <v>0</v>
      </c>
      <c r="P859" s="2">
        <v>1</v>
      </c>
      <c r="Q859" s="2">
        <v>0</v>
      </c>
      <c r="R859" s="2">
        <v>0</v>
      </c>
      <c r="S859" s="2">
        <v>0</v>
      </c>
      <c r="T859" s="2">
        <v>2</v>
      </c>
      <c r="U859" s="2">
        <v>0</v>
      </c>
      <c r="V859" s="2">
        <v>1</v>
      </c>
      <c r="W859" s="2">
        <v>28</v>
      </c>
      <c r="X859" s="2">
        <v>0</v>
      </c>
      <c r="Y859" s="2">
        <v>0</v>
      </c>
      <c r="Z859" s="2">
        <v>0</v>
      </c>
      <c r="AA859" s="2">
        <v>1</v>
      </c>
      <c r="AB859" s="2">
        <v>2</v>
      </c>
      <c r="AC859" s="2">
        <v>1</v>
      </c>
      <c r="AD859" s="2">
        <v>1</v>
      </c>
      <c r="AE859" s="2">
        <v>0</v>
      </c>
      <c r="AF859" s="2">
        <v>1</v>
      </c>
    </row>
    <row r="860" spans="1:32" x14ac:dyDescent="0.25">
      <c r="A860">
        <v>859</v>
      </c>
      <c r="B860" s="2">
        <v>0</v>
      </c>
      <c r="C860" s="2">
        <v>15</v>
      </c>
      <c r="D860" s="2">
        <v>2</v>
      </c>
      <c r="E860" s="2">
        <v>1</v>
      </c>
      <c r="F860" s="2">
        <v>0</v>
      </c>
      <c r="G860" s="2">
        <v>0</v>
      </c>
      <c r="H860" s="2">
        <v>0</v>
      </c>
      <c r="I860" s="2">
        <v>0</v>
      </c>
      <c r="J860" s="2">
        <v>0</v>
      </c>
      <c r="K860" s="2">
        <v>3959</v>
      </c>
      <c r="L860" s="2">
        <v>0</v>
      </c>
      <c r="M860" s="2">
        <v>2</v>
      </c>
      <c r="N860" s="2">
        <v>3</v>
      </c>
      <c r="O860" s="2">
        <v>0</v>
      </c>
      <c r="P860" s="2">
        <v>0</v>
      </c>
      <c r="Q860" s="2">
        <v>0</v>
      </c>
      <c r="R860" s="2">
        <v>0</v>
      </c>
      <c r="S860" s="2">
        <v>0</v>
      </c>
      <c r="T860" s="2">
        <v>2</v>
      </c>
      <c r="U860" s="2">
        <v>0</v>
      </c>
      <c r="V860" s="2">
        <v>0</v>
      </c>
      <c r="W860" s="2">
        <v>29</v>
      </c>
      <c r="X860" s="2">
        <v>0</v>
      </c>
      <c r="Y860" s="2">
        <v>0</v>
      </c>
      <c r="Z860" s="2">
        <v>1</v>
      </c>
      <c r="AA860" s="2">
        <v>1</v>
      </c>
      <c r="AB860" s="2">
        <v>2</v>
      </c>
      <c r="AC860" s="2">
        <v>1</v>
      </c>
      <c r="AD860" s="2">
        <v>1</v>
      </c>
      <c r="AE860" s="2">
        <v>0</v>
      </c>
      <c r="AF860" s="2">
        <v>0</v>
      </c>
    </row>
    <row r="861" spans="1:32" x14ac:dyDescent="0.25">
      <c r="A861">
        <v>860</v>
      </c>
      <c r="B861" s="2">
        <v>3</v>
      </c>
      <c r="C861" s="2">
        <v>9</v>
      </c>
      <c r="D861" s="2">
        <v>2</v>
      </c>
      <c r="E861" s="2">
        <v>1</v>
      </c>
      <c r="F861" s="2">
        <v>0</v>
      </c>
      <c r="G861" s="2">
        <v>0</v>
      </c>
      <c r="H861" s="2">
        <v>0</v>
      </c>
      <c r="I861" s="2">
        <v>0</v>
      </c>
      <c r="J861" s="2">
        <v>0</v>
      </c>
      <c r="K861" s="2">
        <v>3577</v>
      </c>
      <c r="L861" s="2">
        <v>1</v>
      </c>
      <c r="M861" s="2">
        <v>2</v>
      </c>
      <c r="N861" s="2">
        <v>1</v>
      </c>
      <c r="O861" s="2">
        <v>0</v>
      </c>
      <c r="P861" s="2">
        <v>1</v>
      </c>
      <c r="Q861" s="2">
        <v>0</v>
      </c>
      <c r="R861" s="2">
        <v>0</v>
      </c>
      <c r="S861" s="2">
        <v>1</v>
      </c>
      <c r="T861" s="2">
        <v>2</v>
      </c>
      <c r="U861" s="2">
        <v>1</v>
      </c>
      <c r="V861" s="2">
        <v>0</v>
      </c>
      <c r="W861" s="2">
        <v>26</v>
      </c>
      <c r="X861" s="2">
        <v>0</v>
      </c>
      <c r="Y861" s="2">
        <v>1</v>
      </c>
      <c r="Z861" s="2">
        <v>0</v>
      </c>
      <c r="AA861" s="2">
        <v>1</v>
      </c>
      <c r="AB861" s="2">
        <v>2</v>
      </c>
      <c r="AC861" s="2">
        <v>2</v>
      </c>
      <c r="AD861" s="2">
        <v>0</v>
      </c>
      <c r="AE861" s="2">
        <v>1</v>
      </c>
      <c r="AF861" s="2">
        <v>1</v>
      </c>
    </row>
    <row r="862" spans="1:32" x14ac:dyDescent="0.25">
      <c r="A862">
        <v>861</v>
      </c>
      <c r="B862" s="2">
        <v>3</v>
      </c>
      <c r="C862" s="2">
        <v>24</v>
      </c>
      <c r="D862" s="2">
        <v>4</v>
      </c>
      <c r="E862" s="2">
        <v>0</v>
      </c>
      <c r="F862" s="2">
        <v>1</v>
      </c>
      <c r="G862" s="2">
        <v>0</v>
      </c>
      <c r="H862" s="2">
        <v>0</v>
      </c>
      <c r="I862" s="2">
        <v>0</v>
      </c>
      <c r="J862" s="2">
        <v>0</v>
      </c>
      <c r="K862" s="2">
        <v>5804</v>
      </c>
      <c r="L862" s="2">
        <v>3</v>
      </c>
      <c r="M862" s="2">
        <v>2</v>
      </c>
      <c r="N862" s="2">
        <v>4</v>
      </c>
      <c r="O862" s="2">
        <v>0</v>
      </c>
      <c r="P862" s="2">
        <v>1</v>
      </c>
      <c r="Q862" s="2">
        <v>0</v>
      </c>
      <c r="R862" s="2">
        <v>0</v>
      </c>
      <c r="S862" s="2">
        <v>0</v>
      </c>
      <c r="T862" s="2">
        <v>2</v>
      </c>
      <c r="U862" s="2">
        <v>1</v>
      </c>
      <c r="V862" s="2">
        <v>0</v>
      </c>
      <c r="W862" s="2">
        <v>27</v>
      </c>
      <c r="X862" s="2">
        <v>0</v>
      </c>
      <c r="Y862" s="2">
        <v>0</v>
      </c>
      <c r="Z862" s="2">
        <v>1</v>
      </c>
      <c r="AA862" s="2">
        <v>2</v>
      </c>
      <c r="AB862" s="2">
        <v>2</v>
      </c>
      <c r="AC862" s="2">
        <v>1</v>
      </c>
      <c r="AD862" s="2">
        <v>0</v>
      </c>
      <c r="AE862" s="2">
        <v>0</v>
      </c>
      <c r="AF862" s="2">
        <v>1</v>
      </c>
    </row>
    <row r="863" spans="1:32" x14ac:dyDescent="0.25">
      <c r="A863">
        <v>862</v>
      </c>
      <c r="B863" s="2">
        <v>3</v>
      </c>
      <c r="C863" s="2">
        <v>18</v>
      </c>
      <c r="D863" s="2">
        <v>3</v>
      </c>
      <c r="E863" s="2">
        <v>0</v>
      </c>
      <c r="F863" s="2">
        <v>0</v>
      </c>
      <c r="G863" s="2">
        <v>0</v>
      </c>
      <c r="H863" s="2">
        <v>0</v>
      </c>
      <c r="I863" s="2">
        <v>0</v>
      </c>
      <c r="J863" s="2">
        <v>1</v>
      </c>
      <c r="K863" s="2">
        <v>2169</v>
      </c>
      <c r="L863" s="2">
        <v>0</v>
      </c>
      <c r="M863" s="2">
        <v>2</v>
      </c>
      <c r="N863" s="2">
        <v>4</v>
      </c>
      <c r="O863" s="2">
        <v>0</v>
      </c>
      <c r="P863" s="2">
        <v>0</v>
      </c>
      <c r="Q863" s="2">
        <v>1</v>
      </c>
      <c r="R863" s="2">
        <v>0</v>
      </c>
      <c r="S863" s="2">
        <v>0</v>
      </c>
      <c r="T863" s="2">
        <v>2</v>
      </c>
      <c r="U863" s="2">
        <v>0</v>
      </c>
      <c r="V863" s="2">
        <v>0</v>
      </c>
      <c r="W863" s="2">
        <v>28</v>
      </c>
      <c r="X863" s="2">
        <v>0</v>
      </c>
      <c r="Y863" s="2">
        <v>0</v>
      </c>
      <c r="Z863" s="2">
        <v>1</v>
      </c>
      <c r="AA863" s="2">
        <v>1</v>
      </c>
      <c r="AB863" s="2">
        <v>2</v>
      </c>
      <c r="AC863" s="2">
        <v>1</v>
      </c>
      <c r="AD863" s="2">
        <v>1</v>
      </c>
      <c r="AE863" s="2">
        <v>0</v>
      </c>
      <c r="AF863" s="2">
        <v>0</v>
      </c>
    </row>
    <row r="864" spans="1:32" x14ac:dyDescent="0.25">
      <c r="A864">
        <v>863</v>
      </c>
      <c r="B864" s="2">
        <v>0</v>
      </c>
      <c r="C864" s="2">
        <v>24</v>
      </c>
      <c r="D864" s="2">
        <v>2</v>
      </c>
      <c r="E864" s="2">
        <v>0</v>
      </c>
      <c r="F864" s="2">
        <v>0</v>
      </c>
      <c r="G864" s="2">
        <v>0</v>
      </c>
      <c r="H864" s="2">
        <v>1</v>
      </c>
      <c r="I864" s="2">
        <v>0</v>
      </c>
      <c r="J864" s="2">
        <v>0</v>
      </c>
      <c r="K864" s="2">
        <v>2439</v>
      </c>
      <c r="L864" s="2">
        <v>0</v>
      </c>
      <c r="M864" s="2">
        <v>1</v>
      </c>
      <c r="N864" s="2">
        <v>4</v>
      </c>
      <c r="O864" s="2">
        <v>0</v>
      </c>
      <c r="P864" s="2">
        <v>0</v>
      </c>
      <c r="Q864" s="2">
        <v>0</v>
      </c>
      <c r="R864" s="2">
        <v>0</v>
      </c>
      <c r="S864" s="2">
        <v>0</v>
      </c>
      <c r="T864" s="2">
        <v>4</v>
      </c>
      <c r="U864" s="2">
        <v>1</v>
      </c>
      <c r="V864" s="2">
        <v>0</v>
      </c>
      <c r="W864" s="2">
        <v>35</v>
      </c>
      <c r="X864" s="2">
        <v>0</v>
      </c>
      <c r="Y864" s="2">
        <v>0</v>
      </c>
      <c r="Z864" s="2">
        <v>1</v>
      </c>
      <c r="AA864" s="2">
        <v>1</v>
      </c>
      <c r="AB864" s="2">
        <v>2</v>
      </c>
      <c r="AC864" s="2">
        <v>1</v>
      </c>
      <c r="AD864" s="2">
        <v>1</v>
      </c>
      <c r="AE864" s="2">
        <v>0</v>
      </c>
      <c r="AF864" s="2">
        <v>0</v>
      </c>
    </row>
    <row r="865" spans="1:32" x14ac:dyDescent="0.25">
      <c r="A865">
        <v>864</v>
      </c>
      <c r="B865" s="2">
        <v>3</v>
      </c>
      <c r="C865" s="2">
        <v>27</v>
      </c>
      <c r="D865" s="2">
        <v>4</v>
      </c>
      <c r="E865" s="2">
        <v>0</v>
      </c>
      <c r="F865" s="2">
        <v>0</v>
      </c>
      <c r="G865" s="2">
        <v>1</v>
      </c>
      <c r="H865" s="2">
        <v>0</v>
      </c>
      <c r="I865" s="2">
        <v>0</v>
      </c>
      <c r="J865" s="2">
        <v>0</v>
      </c>
      <c r="K865" s="2">
        <v>4526</v>
      </c>
      <c r="L865" s="2">
        <v>3</v>
      </c>
      <c r="M865" s="2">
        <v>1</v>
      </c>
      <c r="N865" s="2">
        <v>4</v>
      </c>
      <c r="O865" s="2">
        <v>0</v>
      </c>
      <c r="P865" s="2">
        <v>1</v>
      </c>
      <c r="Q865" s="2">
        <v>0</v>
      </c>
      <c r="R865" s="2">
        <v>0</v>
      </c>
      <c r="S865" s="2">
        <v>0</v>
      </c>
      <c r="T865" s="2">
        <v>2</v>
      </c>
      <c r="U865" s="2">
        <v>1</v>
      </c>
      <c r="V865" s="2">
        <v>0</v>
      </c>
      <c r="W865" s="2">
        <v>32</v>
      </c>
      <c r="X865" s="2">
        <v>1</v>
      </c>
      <c r="Y865" s="2">
        <v>0</v>
      </c>
      <c r="Z865" s="2">
        <v>1</v>
      </c>
      <c r="AA865" s="2">
        <v>2</v>
      </c>
      <c r="AB865" s="2">
        <v>1</v>
      </c>
      <c r="AC865" s="2">
        <v>2</v>
      </c>
      <c r="AD865" s="2">
        <v>1</v>
      </c>
      <c r="AE865" s="2">
        <v>0</v>
      </c>
      <c r="AF865" s="2">
        <v>1</v>
      </c>
    </row>
    <row r="866" spans="1:32" x14ac:dyDescent="0.25">
      <c r="A866">
        <v>865</v>
      </c>
      <c r="B866" s="2">
        <v>3</v>
      </c>
      <c r="C866" s="2">
        <v>10</v>
      </c>
      <c r="D866" s="2">
        <v>2</v>
      </c>
      <c r="E866" s="2">
        <v>0</v>
      </c>
      <c r="F866" s="2">
        <v>0</v>
      </c>
      <c r="G866" s="2">
        <v>1</v>
      </c>
      <c r="H866" s="2">
        <v>0</v>
      </c>
      <c r="I866" s="2">
        <v>0</v>
      </c>
      <c r="J866" s="2">
        <v>0</v>
      </c>
      <c r="K866" s="2">
        <v>2210</v>
      </c>
      <c r="L866" s="2">
        <v>0</v>
      </c>
      <c r="M866" s="2">
        <v>2</v>
      </c>
      <c r="N866" s="2">
        <v>2</v>
      </c>
      <c r="O866" s="2">
        <v>0</v>
      </c>
      <c r="P866" s="2">
        <v>1</v>
      </c>
      <c r="Q866" s="2">
        <v>0</v>
      </c>
      <c r="R866" s="2">
        <v>0</v>
      </c>
      <c r="S866" s="2">
        <v>0</v>
      </c>
      <c r="T866" s="2">
        <v>2</v>
      </c>
      <c r="U866" s="2">
        <v>1</v>
      </c>
      <c r="V866" s="2">
        <v>0</v>
      </c>
      <c r="W866" s="2">
        <v>25</v>
      </c>
      <c r="X866" s="2">
        <v>1</v>
      </c>
      <c r="Y866" s="2">
        <v>1</v>
      </c>
      <c r="Z866" s="2">
        <v>0</v>
      </c>
      <c r="AA866" s="2">
        <v>1</v>
      </c>
      <c r="AB866" s="2">
        <v>1</v>
      </c>
      <c r="AC866" s="2">
        <v>1</v>
      </c>
      <c r="AD866" s="2">
        <v>0</v>
      </c>
      <c r="AE866" s="2">
        <v>0</v>
      </c>
      <c r="AF866" s="2">
        <v>0</v>
      </c>
    </row>
    <row r="867" spans="1:32" x14ac:dyDescent="0.25">
      <c r="A867">
        <v>866</v>
      </c>
      <c r="B867" s="2">
        <v>3</v>
      </c>
      <c r="C867" s="2">
        <v>15</v>
      </c>
      <c r="D867" s="2">
        <v>2</v>
      </c>
      <c r="E867" s="2">
        <v>0</v>
      </c>
      <c r="F867" s="2">
        <v>0</v>
      </c>
      <c r="G867" s="2">
        <v>1</v>
      </c>
      <c r="H867" s="2">
        <v>0</v>
      </c>
      <c r="I867" s="2">
        <v>0</v>
      </c>
      <c r="J867" s="2">
        <v>0</v>
      </c>
      <c r="K867" s="2">
        <v>2221</v>
      </c>
      <c r="L867" s="2">
        <v>2</v>
      </c>
      <c r="M867" s="2">
        <v>2</v>
      </c>
      <c r="N867" s="2">
        <v>2</v>
      </c>
      <c r="O867" s="2">
        <v>0</v>
      </c>
      <c r="P867" s="2">
        <v>0</v>
      </c>
      <c r="Q867" s="2">
        <v>0</v>
      </c>
      <c r="R867" s="2">
        <v>0</v>
      </c>
      <c r="S867" s="2">
        <v>0</v>
      </c>
      <c r="T867" s="2">
        <v>4</v>
      </c>
      <c r="U867" s="2">
        <v>0</v>
      </c>
      <c r="V867" s="2">
        <v>0</v>
      </c>
      <c r="W867" s="2">
        <v>20</v>
      </c>
      <c r="X867" s="2">
        <v>0</v>
      </c>
      <c r="Y867" s="2">
        <v>1</v>
      </c>
      <c r="Z867" s="2">
        <v>0</v>
      </c>
      <c r="AA867" s="2">
        <v>1</v>
      </c>
      <c r="AB867" s="2">
        <v>2</v>
      </c>
      <c r="AC867" s="2">
        <v>1</v>
      </c>
      <c r="AD867" s="2">
        <v>0</v>
      </c>
      <c r="AE867" s="2">
        <v>0</v>
      </c>
      <c r="AF867" s="2">
        <v>1</v>
      </c>
    </row>
    <row r="868" spans="1:32" x14ac:dyDescent="0.25">
      <c r="A868">
        <v>867</v>
      </c>
      <c r="B868" s="2">
        <v>0</v>
      </c>
      <c r="C868" s="2">
        <v>18</v>
      </c>
      <c r="D868" s="2">
        <v>2</v>
      </c>
      <c r="E868" s="2">
        <v>0</v>
      </c>
      <c r="F868" s="2">
        <v>0</v>
      </c>
      <c r="G868" s="2">
        <v>0</v>
      </c>
      <c r="H868" s="2">
        <v>1</v>
      </c>
      <c r="I868" s="2">
        <v>0</v>
      </c>
      <c r="J868" s="2">
        <v>0</v>
      </c>
      <c r="K868" s="2">
        <v>2389</v>
      </c>
      <c r="L868" s="2">
        <v>0</v>
      </c>
      <c r="M868" s="2">
        <v>1</v>
      </c>
      <c r="N868" s="2">
        <v>4</v>
      </c>
      <c r="O868" s="2">
        <v>0</v>
      </c>
      <c r="P868" s="2">
        <v>0</v>
      </c>
      <c r="Q868" s="2">
        <v>0</v>
      </c>
      <c r="R868" s="2">
        <v>0</v>
      </c>
      <c r="S868" s="2">
        <v>0</v>
      </c>
      <c r="T868" s="2">
        <v>1</v>
      </c>
      <c r="U868" s="2">
        <v>0</v>
      </c>
      <c r="V868" s="2">
        <v>0</v>
      </c>
      <c r="W868" s="2">
        <v>27</v>
      </c>
      <c r="X868" s="2">
        <v>1</v>
      </c>
      <c r="Y868" s="2">
        <v>0</v>
      </c>
      <c r="Z868" s="2">
        <v>1</v>
      </c>
      <c r="AA868" s="2">
        <v>1</v>
      </c>
      <c r="AB868" s="2">
        <v>2</v>
      </c>
      <c r="AC868" s="2">
        <v>1</v>
      </c>
      <c r="AD868" s="2">
        <v>0</v>
      </c>
      <c r="AE868" s="2">
        <v>0</v>
      </c>
      <c r="AF868" s="2">
        <v>1</v>
      </c>
    </row>
    <row r="869" spans="1:32" x14ac:dyDescent="0.25">
      <c r="A869">
        <v>868</v>
      </c>
      <c r="B869" s="2">
        <v>3</v>
      </c>
      <c r="C869" s="2">
        <v>12</v>
      </c>
      <c r="D869" s="2">
        <v>4</v>
      </c>
      <c r="E869" s="2">
        <v>0</v>
      </c>
      <c r="F869" s="2">
        <v>0</v>
      </c>
      <c r="G869" s="2">
        <v>1</v>
      </c>
      <c r="H869" s="2">
        <v>0</v>
      </c>
      <c r="I869" s="2">
        <v>0</v>
      </c>
      <c r="J869" s="2">
        <v>0</v>
      </c>
      <c r="K869" s="2">
        <v>3331</v>
      </c>
      <c r="L869" s="2">
        <v>0</v>
      </c>
      <c r="M869" s="2">
        <v>4</v>
      </c>
      <c r="N869" s="2">
        <v>2</v>
      </c>
      <c r="O869" s="2">
        <v>0</v>
      </c>
      <c r="P869" s="2">
        <v>1</v>
      </c>
      <c r="Q869" s="2">
        <v>0</v>
      </c>
      <c r="R869" s="2">
        <v>0</v>
      </c>
      <c r="S869" s="2">
        <v>0</v>
      </c>
      <c r="T869" s="2">
        <v>4</v>
      </c>
      <c r="U869" s="2">
        <v>0</v>
      </c>
      <c r="V869" s="2">
        <v>0</v>
      </c>
      <c r="W869" s="2">
        <v>42</v>
      </c>
      <c r="X869" s="2">
        <v>1</v>
      </c>
      <c r="Y869" s="2">
        <v>0</v>
      </c>
      <c r="Z869" s="2">
        <v>1</v>
      </c>
      <c r="AA869" s="2">
        <v>1</v>
      </c>
      <c r="AB869" s="2">
        <v>2</v>
      </c>
      <c r="AC869" s="2">
        <v>1</v>
      </c>
      <c r="AD869" s="2">
        <v>0</v>
      </c>
      <c r="AE869" s="2">
        <v>0</v>
      </c>
      <c r="AF869" s="2">
        <v>1</v>
      </c>
    </row>
    <row r="870" spans="1:32" x14ac:dyDescent="0.25">
      <c r="A870">
        <v>869</v>
      </c>
      <c r="B870" s="2">
        <v>3</v>
      </c>
      <c r="C870" s="2">
        <v>36</v>
      </c>
      <c r="D870" s="2">
        <v>2</v>
      </c>
      <c r="E870" s="2">
        <v>0</v>
      </c>
      <c r="F870" s="2">
        <v>0</v>
      </c>
      <c r="G870" s="2">
        <v>0</v>
      </c>
      <c r="H870" s="2">
        <v>0</v>
      </c>
      <c r="I870" s="2">
        <v>0</v>
      </c>
      <c r="J870" s="2">
        <v>1</v>
      </c>
      <c r="K870" s="2">
        <v>7409</v>
      </c>
      <c r="L870" s="2">
        <v>4</v>
      </c>
      <c r="M870" s="2">
        <v>4</v>
      </c>
      <c r="N870" s="2">
        <v>3</v>
      </c>
      <c r="O870" s="2">
        <v>0</v>
      </c>
      <c r="P870" s="2">
        <v>1</v>
      </c>
      <c r="Q870" s="2">
        <v>0</v>
      </c>
      <c r="R870" s="2">
        <v>0</v>
      </c>
      <c r="S870" s="2">
        <v>0</v>
      </c>
      <c r="T870" s="2">
        <v>2</v>
      </c>
      <c r="U870" s="2">
        <v>0</v>
      </c>
      <c r="V870" s="2">
        <v>0</v>
      </c>
      <c r="W870" s="2">
        <v>37</v>
      </c>
      <c r="X870" s="2">
        <v>0</v>
      </c>
      <c r="Y870" s="2">
        <v>0</v>
      </c>
      <c r="Z870" s="2">
        <v>1</v>
      </c>
      <c r="AA870" s="2">
        <v>2</v>
      </c>
      <c r="AB870" s="2">
        <v>2</v>
      </c>
      <c r="AC870" s="2">
        <v>1</v>
      </c>
      <c r="AD870" s="2">
        <v>0</v>
      </c>
      <c r="AE870" s="2">
        <v>0</v>
      </c>
      <c r="AF870" s="2">
        <v>1</v>
      </c>
    </row>
    <row r="871" spans="1:32" x14ac:dyDescent="0.25">
      <c r="A871">
        <v>870</v>
      </c>
      <c r="B871" s="2">
        <v>0</v>
      </c>
      <c r="C871" s="2">
        <v>12</v>
      </c>
      <c r="D871" s="2">
        <v>2</v>
      </c>
      <c r="E871" s="2">
        <v>0</v>
      </c>
      <c r="F871" s="2">
        <v>0</v>
      </c>
      <c r="G871" s="2">
        <v>1</v>
      </c>
      <c r="H871" s="2">
        <v>0</v>
      </c>
      <c r="I871" s="2">
        <v>0</v>
      </c>
      <c r="J871" s="2">
        <v>0</v>
      </c>
      <c r="K871" s="2">
        <v>652</v>
      </c>
      <c r="L871" s="2">
        <v>0</v>
      </c>
      <c r="M871" s="2">
        <v>4</v>
      </c>
      <c r="N871" s="2">
        <v>4</v>
      </c>
      <c r="O871" s="2">
        <v>0</v>
      </c>
      <c r="P871" s="2">
        <v>0</v>
      </c>
      <c r="Q871" s="2">
        <v>0</v>
      </c>
      <c r="R871" s="2">
        <v>0</v>
      </c>
      <c r="S871" s="2">
        <v>0</v>
      </c>
      <c r="T871" s="2">
        <v>4</v>
      </c>
      <c r="U871" s="2">
        <v>0</v>
      </c>
      <c r="V871" s="2">
        <v>0</v>
      </c>
      <c r="W871" s="2">
        <v>24</v>
      </c>
      <c r="X871" s="2">
        <v>0</v>
      </c>
      <c r="Y871" s="2">
        <v>1</v>
      </c>
      <c r="Z871" s="2">
        <v>0</v>
      </c>
      <c r="AA871" s="2">
        <v>1</v>
      </c>
      <c r="AB871" s="2">
        <v>2</v>
      </c>
      <c r="AC871" s="2">
        <v>1</v>
      </c>
      <c r="AD871" s="2">
        <v>0</v>
      </c>
      <c r="AE871" s="2">
        <v>0</v>
      </c>
      <c r="AF871" s="2">
        <v>1</v>
      </c>
    </row>
    <row r="872" spans="1:32" x14ac:dyDescent="0.25">
      <c r="A872">
        <v>871</v>
      </c>
      <c r="B872" s="2">
        <v>3</v>
      </c>
      <c r="C872" s="2">
        <v>36</v>
      </c>
      <c r="D872" s="2">
        <v>3</v>
      </c>
      <c r="E872" s="2">
        <v>0</v>
      </c>
      <c r="F872" s="2">
        <v>0</v>
      </c>
      <c r="G872" s="2">
        <v>1</v>
      </c>
      <c r="H872" s="2">
        <v>0</v>
      </c>
      <c r="I872" s="2">
        <v>0</v>
      </c>
      <c r="J872" s="2">
        <v>0</v>
      </c>
      <c r="K872" s="2">
        <v>7678</v>
      </c>
      <c r="L872" s="2">
        <v>2</v>
      </c>
      <c r="M872" s="2">
        <v>3</v>
      </c>
      <c r="N872" s="2">
        <v>2</v>
      </c>
      <c r="O872" s="2">
        <v>0</v>
      </c>
      <c r="P872" s="2">
        <v>0</v>
      </c>
      <c r="Q872" s="2">
        <v>0</v>
      </c>
      <c r="R872" s="2">
        <v>0</v>
      </c>
      <c r="S872" s="2">
        <v>0</v>
      </c>
      <c r="T872" s="2">
        <v>4</v>
      </c>
      <c r="U872" s="2">
        <v>0</v>
      </c>
      <c r="V872" s="2">
        <v>0</v>
      </c>
      <c r="W872" s="2">
        <v>40</v>
      </c>
      <c r="X872" s="2">
        <v>0</v>
      </c>
      <c r="Y872" s="2">
        <v>0</v>
      </c>
      <c r="Z872" s="2">
        <v>1</v>
      </c>
      <c r="AA872" s="2">
        <v>2</v>
      </c>
      <c r="AB872" s="2">
        <v>2</v>
      </c>
      <c r="AC872" s="2">
        <v>1</v>
      </c>
      <c r="AD872" s="2">
        <v>1</v>
      </c>
      <c r="AE872" s="2">
        <v>0</v>
      </c>
      <c r="AF872" s="2">
        <v>1</v>
      </c>
    </row>
    <row r="873" spans="1:32" x14ac:dyDescent="0.25">
      <c r="A873">
        <v>872</v>
      </c>
      <c r="B873" s="2">
        <v>2</v>
      </c>
      <c r="C873" s="2">
        <v>6</v>
      </c>
      <c r="D873" s="2">
        <v>4</v>
      </c>
      <c r="E873" s="2">
        <v>1</v>
      </c>
      <c r="F873" s="2">
        <v>0</v>
      </c>
      <c r="G873" s="2">
        <v>0</v>
      </c>
      <c r="H873" s="2">
        <v>0</v>
      </c>
      <c r="I873" s="2">
        <v>0</v>
      </c>
      <c r="J873" s="2">
        <v>0</v>
      </c>
      <c r="K873" s="2">
        <v>1343</v>
      </c>
      <c r="L873" s="2">
        <v>0</v>
      </c>
      <c r="M873" s="2">
        <v>4</v>
      </c>
      <c r="N873" s="2">
        <v>1</v>
      </c>
      <c r="O873" s="2">
        <v>0</v>
      </c>
      <c r="P873" s="2">
        <v>1</v>
      </c>
      <c r="Q873" s="2">
        <v>0</v>
      </c>
      <c r="R873" s="2">
        <v>0</v>
      </c>
      <c r="S873" s="2">
        <v>0</v>
      </c>
      <c r="T873" s="2">
        <v>4</v>
      </c>
      <c r="U873" s="2">
        <v>1</v>
      </c>
      <c r="V873" s="2">
        <v>0</v>
      </c>
      <c r="W873" s="2">
        <v>46</v>
      </c>
      <c r="X873" s="2">
        <v>0</v>
      </c>
      <c r="Y873" s="2">
        <v>0</v>
      </c>
      <c r="Z873" s="2">
        <v>1</v>
      </c>
      <c r="AA873" s="2">
        <v>2</v>
      </c>
      <c r="AB873" s="2">
        <v>2</v>
      </c>
      <c r="AC873" s="2">
        <v>2</v>
      </c>
      <c r="AD873" s="2">
        <v>0</v>
      </c>
      <c r="AE873" s="2">
        <v>1</v>
      </c>
      <c r="AF873" s="2">
        <v>1</v>
      </c>
    </row>
    <row r="874" spans="1:32" x14ac:dyDescent="0.25">
      <c r="A874">
        <v>873</v>
      </c>
      <c r="B874" s="2">
        <v>0</v>
      </c>
      <c r="C874" s="2">
        <v>24</v>
      </c>
      <c r="D874" s="2">
        <v>4</v>
      </c>
      <c r="E874" s="2">
        <v>0</v>
      </c>
      <c r="F874" s="2">
        <v>0</v>
      </c>
      <c r="G874" s="2">
        <v>0</v>
      </c>
      <c r="H874" s="2">
        <v>0</v>
      </c>
      <c r="I874" s="2">
        <v>0</v>
      </c>
      <c r="J874" s="2">
        <v>1</v>
      </c>
      <c r="K874" s="2">
        <v>1382</v>
      </c>
      <c r="L874" s="2">
        <v>1</v>
      </c>
      <c r="M874" s="2">
        <v>3</v>
      </c>
      <c r="N874" s="2">
        <v>4</v>
      </c>
      <c r="O874" s="2">
        <v>0</v>
      </c>
      <c r="P874" s="2">
        <v>1</v>
      </c>
      <c r="Q874" s="2">
        <v>0</v>
      </c>
      <c r="R874" s="2">
        <v>0</v>
      </c>
      <c r="S874" s="2">
        <v>0</v>
      </c>
      <c r="T874" s="2">
        <v>1</v>
      </c>
      <c r="U874" s="2">
        <v>1</v>
      </c>
      <c r="V874" s="2">
        <v>0</v>
      </c>
      <c r="W874" s="2">
        <v>26</v>
      </c>
      <c r="X874" s="2">
        <v>0</v>
      </c>
      <c r="Y874" s="2">
        <v>0</v>
      </c>
      <c r="Z874" s="2">
        <v>1</v>
      </c>
      <c r="AA874" s="2">
        <v>2</v>
      </c>
      <c r="AB874" s="2">
        <v>2</v>
      </c>
      <c r="AC874" s="2">
        <v>1</v>
      </c>
      <c r="AD874" s="2">
        <v>1</v>
      </c>
      <c r="AE874" s="2">
        <v>0</v>
      </c>
      <c r="AF874" s="2">
        <v>1</v>
      </c>
    </row>
    <row r="875" spans="1:32" x14ac:dyDescent="0.25">
      <c r="A875">
        <v>874</v>
      </c>
      <c r="B875" s="2">
        <v>3</v>
      </c>
      <c r="C875" s="2">
        <v>15</v>
      </c>
      <c r="D875" s="2">
        <v>2</v>
      </c>
      <c r="E875" s="2">
        <v>0</v>
      </c>
      <c r="F875" s="2">
        <v>0</v>
      </c>
      <c r="G875" s="2">
        <v>0</v>
      </c>
      <c r="H875" s="2">
        <v>0</v>
      </c>
      <c r="I875" s="2">
        <v>0</v>
      </c>
      <c r="J875" s="2">
        <v>0</v>
      </c>
      <c r="K875" s="2">
        <v>874</v>
      </c>
      <c r="L875" s="2">
        <v>4</v>
      </c>
      <c r="M875" s="2">
        <v>1</v>
      </c>
      <c r="N875" s="2">
        <v>4</v>
      </c>
      <c r="O875" s="2">
        <v>0</v>
      </c>
      <c r="P875" s="2">
        <v>0</v>
      </c>
      <c r="Q875" s="2">
        <v>0</v>
      </c>
      <c r="R875" s="2">
        <v>0</v>
      </c>
      <c r="S875" s="2">
        <v>0</v>
      </c>
      <c r="T875" s="2">
        <v>1</v>
      </c>
      <c r="U875" s="2">
        <v>1</v>
      </c>
      <c r="V875" s="2">
        <v>0</v>
      </c>
      <c r="W875" s="2">
        <v>24</v>
      </c>
      <c r="X875" s="2">
        <v>0</v>
      </c>
      <c r="Y875" s="2">
        <v>0</v>
      </c>
      <c r="Z875" s="2">
        <v>1</v>
      </c>
      <c r="AA875" s="2">
        <v>1</v>
      </c>
      <c r="AB875" s="2">
        <v>2</v>
      </c>
      <c r="AC875" s="2">
        <v>1</v>
      </c>
      <c r="AD875" s="2">
        <v>0</v>
      </c>
      <c r="AE875" s="2">
        <v>0</v>
      </c>
      <c r="AF875" s="2">
        <v>1</v>
      </c>
    </row>
    <row r="876" spans="1:32" x14ac:dyDescent="0.25">
      <c r="A876">
        <v>875</v>
      </c>
      <c r="B876" s="2">
        <v>0</v>
      </c>
      <c r="C876" s="2">
        <v>12</v>
      </c>
      <c r="D876" s="2">
        <v>2</v>
      </c>
      <c r="E876" s="2">
        <v>0</v>
      </c>
      <c r="F876" s="2">
        <v>0</v>
      </c>
      <c r="G876" s="2">
        <v>1</v>
      </c>
      <c r="H876" s="2">
        <v>0</v>
      </c>
      <c r="I876" s="2">
        <v>0</v>
      </c>
      <c r="J876" s="2">
        <v>0</v>
      </c>
      <c r="K876" s="2">
        <v>3590</v>
      </c>
      <c r="L876" s="2">
        <v>0</v>
      </c>
      <c r="M876" s="2">
        <v>2</v>
      </c>
      <c r="N876" s="2">
        <v>2</v>
      </c>
      <c r="O876" s="2">
        <v>0</v>
      </c>
      <c r="P876" s="2">
        <v>1</v>
      </c>
      <c r="Q876" s="2">
        <v>0</v>
      </c>
      <c r="R876" s="2">
        <v>1</v>
      </c>
      <c r="S876" s="2">
        <v>0</v>
      </c>
      <c r="T876" s="2">
        <v>2</v>
      </c>
      <c r="U876" s="2">
        <v>0</v>
      </c>
      <c r="V876" s="2">
        <v>0</v>
      </c>
      <c r="W876" s="2">
        <v>29</v>
      </c>
      <c r="X876" s="2">
        <v>0</v>
      </c>
      <c r="Y876" s="2">
        <v>0</v>
      </c>
      <c r="Z876" s="2">
        <v>1</v>
      </c>
      <c r="AA876" s="2">
        <v>1</v>
      </c>
      <c r="AB876" s="2">
        <v>1</v>
      </c>
      <c r="AC876" s="2">
        <v>2</v>
      </c>
      <c r="AD876" s="2">
        <v>0</v>
      </c>
      <c r="AE876" s="2">
        <v>0</v>
      </c>
      <c r="AF876" s="2">
        <v>1</v>
      </c>
    </row>
    <row r="877" spans="1:32" x14ac:dyDescent="0.25">
      <c r="A877">
        <v>876</v>
      </c>
      <c r="B877" s="2">
        <v>1</v>
      </c>
      <c r="C877" s="2">
        <v>11</v>
      </c>
      <c r="D877" s="2">
        <v>4</v>
      </c>
      <c r="E877" s="2">
        <v>1</v>
      </c>
      <c r="F877" s="2">
        <v>0</v>
      </c>
      <c r="G877" s="2">
        <v>0</v>
      </c>
      <c r="H877" s="2">
        <v>0</v>
      </c>
      <c r="I877" s="2">
        <v>0</v>
      </c>
      <c r="J877" s="2">
        <v>0</v>
      </c>
      <c r="K877" s="2">
        <v>1322</v>
      </c>
      <c r="L877" s="2">
        <v>3</v>
      </c>
      <c r="M877" s="2">
        <v>2</v>
      </c>
      <c r="N877" s="2">
        <v>4</v>
      </c>
      <c r="O877" s="2">
        <v>0</v>
      </c>
      <c r="P877" s="2">
        <v>0</v>
      </c>
      <c r="Q877" s="2">
        <v>0</v>
      </c>
      <c r="R877" s="2">
        <v>0</v>
      </c>
      <c r="S877" s="2">
        <v>0</v>
      </c>
      <c r="T877" s="2">
        <v>4</v>
      </c>
      <c r="U877" s="2">
        <v>0</v>
      </c>
      <c r="V877" s="2">
        <v>0</v>
      </c>
      <c r="W877" s="2">
        <v>40</v>
      </c>
      <c r="X877" s="2">
        <v>0</v>
      </c>
      <c r="Y877" s="2">
        <v>0</v>
      </c>
      <c r="Z877" s="2">
        <v>1</v>
      </c>
      <c r="AA877" s="2">
        <v>2</v>
      </c>
      <c r="AB877" s="2">
        <v>2</v>
      </c>
      <c r="AC877" s="2">
        <v>1</v>
      </c>
      <c r="AD877" s="2">
        <v>0</v>
      </c>
      <c r="AE877" s="2">
        <v>0</v>
      </c>
      <c r="AF877" s="2">
        <v>1</v>
      </c>
    </row>
    <row r="878" spans="1:32" x14ac:dyDescent="0.25">
      <c r="A878">
        <v>877</v>
      </c>
      <c r="B878" s="2">
        <v>0</v>
      </c>
      <c r="C878" s="2">
        <v>18</v>
      </c>
      <c r="D878" s="2">
        <v>1</v>
      </c>
      <c r="E878" s="2">
        <v>0</v>
      </c>
      <c r="F878" s="2">
        <v>0</v>
      </c>
      <c r="G878" s="2">
        <v>0</v>
      </c>
      <c r="H878" s="2">
        <v>1</v>
      </c>
      <c r="I878" s="2">
        <v>0</v>
      </c>
      <c r="J878" s="2">
        <v>0</v>
      </c>
      <c r="K878" s="2">
        <v>1940</v>
      </c>
      <c r="L878" s="2">
        <v>0</v>
      </c>
      <c r="M878" s="2">
        <v>1</v>
      </c>
      <c r="N878" s="2">
        <v>3</v>
      </c>
      <c r="O878" s="2">
        <v>0</v>
      </c>
      <c r="P878" s="2">
        <v>1</v>
      </c>
      <c r="Q878" s="2">
        <v>0</v>
      </c>
      <c r="R878" s="2">
        <v>1</v>
      </c>
      <c r="S878" s="2">
        <v>0</v>
      </c>
      <c r="T878" s="2">
        <v>4</v>
      </c>
      <c r="U878" s="2">
        <v>0</v>
      </c>
      <c r="V878" s="2">
        <v>1</v>
      </c>
      <c r="W878" s="2">
        <v>36</v>
      </c>
      <c r="X878" s="2">
        <v>1</v>
      </c>
      <c r="Y878" s="2">
        <v>0</v>
      </c>
      <c r="Z878" s="2">
        <v>0</v>
      </c>
      <c r="AA878" s="2">
        <v>1</v>
      </c>
      <c r="AB878" s="2">
        <v>3</v>
      </c>
      <c r="AC878" s="2">
        <v>1</v>
      </c>
      <c r="AD878" s="2">
        <v>1</v>
      </c>
      <c r="AE878" s="2">
        <v>0</v>
      </c>
      <c r="AF878" s="2">
        <v>1</v>
      </c>
    </row>
    <row r="879" spans="1:32" x14ac:dyDescent="0.25">
      <c r="A879">
        <v>878</v>
      </c>
      <c r="B879" s="2">
        <v>3</v>
      </c>
      <c r="C879" s="2">
        <v>36</v>
      </c>
      <c r="D879" s="2">
        <v>2</v>
      </c>
      <c r="E879" s="2">
        <v>0</v>
      </c>
      <c r="F879" s="2">
        <v>0</v>
      </c>
      <c r="G879" s="2">
        <v>0</v>
      </c>
      <c r="H879" s="2">
        <v>1</v>
      </c>
      <c r="I879" s="2">
        <v>0</v>
      </c>
      <c r="J879" s="2">
        <v>0</v>
      </c>
      <c r="K879" s="2">
        <v>3595</v>
      </c>
      <c r="L879" s="2">
        <v>0</v>
      </c>
      <c r="M879" s="2">
        <v>4</v>
      </c>
      <c r="N879" s="2">
        <v>4</v>
      </c>
      <c r="O879" s="2">
        <v>0</v>
      </c>
      <c r="P879" s="2">
        <v>1</v>
      </c>
      <c r="Q879" s="2">
        <v>0</v>
      </c>
      <c r="R879" s="2">
        <v>0</v>
      </c>
      <c r="S879" s="2">
        <v>0</v>
      </c>
      <c r="T879" s="2">
        <v>2</v>
      </c>
      <c r="U879" s="2">
        <v>0</v>
      </c>
      <c r="V879" s="2">
        <v>0</v>
      </c>
      <c r="W879" s="2">
        <v>28</v>
      </c>
      <c r="X879" s="2">
        <v>0</v>
      </c>
      <c r="Y879" s="2">
        <v>0</v>
      </c>
      <c r="Z879" s="2">
        <v>1</v>
      </c>
      <c r="AA879" s="2">
        <v>1</v>
      </c>
      <c r="AB879" s="2">
        <v>2</v>
      </c>
      <c r="AC879" s="2">
        <v>1</v>
      </c>
      <c r="AD879" s="2">
        <v>0</v>
      </c>
      <c r="AE879" s="2">
        <v>0</v>
      </c>
      <c r="AF879" s="2">
        <v>1</v>
      </c>
    </row>
    <row r="880" spans="1:32" x14ac:dyDescent="0.25">
      <c r="A880">
        <v>879</v>
      </c>
      <c r="B880" s="2">
        <v>0</v>
      </c>
      <c r="C880" s="2">
        <v>9</v>
      </c>
      <c r="D880" s="2">
        <v>2</v>
      </c>
      <c r="E880" s="2">
        <v>1</v>
      </c>
      <c r="F880" s="2">
        <v>0</v>
      </c>
      <c r="G880" s="2">
        <v>0</v>
      </c>
      <c r="H880" s="2">
        <v>0</v>
      </c>
      <c r="I880" s="2">
        <v>0</v>
      </c>
      <c r="J880" s="2">
        <v>0</v>
      </c>
      <c r="K880" s="2">
        <v>1422</v>
      </c>
      <c r="L880" s="2">
        <v>0</v>
      </c>
      <c r="M880" s="2">
        <v>1</v>
      </c>
      <c r="N880" s="2">
        <v>3</v>
      </c>
      <c r="O880" s="2">
        <v>0</v>
      </c>
      <c r="P880" s="2">
        <v>1</v>
      </c>
      <c r="Q880" s="2">
        <v>0</v>
      </c>
      <c r="R880" s="2">
        <v>0</v>
      </c>
      <c r="S880" s="2">
        <v>0</v>
      </c>
      <c r="T880" s="2">
        <v>2</v>
      </c>
      <c r="U880" s="2">
        <v>0</v>
      </c>
      <c r="V880" s="2">
        <v>1</v>
      </c>
      <c r="W880" s="2">
        <v>27</v>
      </c>
      <c r="X880" s="2">
        <v>0</v>
      </c>
      <c r="Y880" s="2">
        <v>0</v>
      </c>
      <c r="Z880" s="2">
        <v>0</v>
      </c>
      <c r="AA880" s="2">
        <v>1</v>
      </c>
      <c r="AB880" s="2">
        <v>3</v>
      </c>
      <c r="AC880" s="2">
        <v>1</v>
      </c>
      <c r="AD880" s="2">
        <v>1</v>
      </c>
      <c r="AE880" s="2">
        <v>0</v>
      </c>
      <c r="AF880" s="2">
        <v>0</v>
      </c>
    </row>
    <row r="881" spans="1:32" x14ac:dyDescent="0.25">
      <c r="A881">
        <v>880</v>
      </c>
      <c r="B881" s="2">
        <v>3</v>
      </c>
      <c r="C881" s="2">
        <v>30</v>
      </c>
      <c r="D881" s="2">
        <v>4</v>
      </c>
      <c r="E881" s="2">
        <v>0</v>
      </c>
      <c r="F881" s="2">
        <v>0</v>
      </c>
      <c r="G881" s="2">
        <v>0</v>
      </c>
      <c r="H881" s="2">
        <v>1</v>
      </c>
      <c r="I881" s="2">
        <v>0</v>
      </c>
      <c r="J881" s="2">
        <v>0</v>
      </c>
      <c r="K881" s="2">
        <v>6742</v>
      </c>
      <c r="L881" s="2">
        <v>4</v>
      </c>
      <c r="M881" s="2">
        <v>3</v>
      </c>
      <c r="N881" s="2">
        <v>2</v>
      </c>
      <c r="O881" s="2">
        <v>0</v>
      </c>
      <c r="P881" s="2">
        <v>1</v>
      </c>
      <c r="Q881" s="2">
        <v>0</v>
      </c>
      <c r="R881" s="2">
        <v>0</v>
      </c>
      <c r="S881" s="2">
        <v>0</v>
      </c>
      <c r="T881" s="2">
        <v>3</v>
      </c>
      <c r="U881" s="2">
        <v>0</v>
      </c>
      <c r="V881" s="2">
        <v>0</v>
      </c>
      <c r="W881" s="2">
        <v>36</v>
      </c>
      <c r="X881" s="2">
        <v>0</v>
      </c>
      <c r="Y881" s="2">
        <v>0</v>
      </c>
      <c r="Z881" s="2">
        <v>1</v>
      </c>
      <c r="AA881" s="2">
        <v>2</v>
      </c>
      <c r="AB881" s="2">
        <v>2</v>
      </c>
      <c r="AC881" s="2">
        <v>1</v>
      </c>
      <c r="AD881" s="2">
        <v>0</v>
      </c>
      <c r="AE881" s="2">
        <v>0</v>
      </c>
      <c r="AF881" s="2">
        <v>1</v>
      </c>
    </row>
    <row r="882" spans="1:32" x14ac:dyDescent="0.25">
      <c r="A882">
        <v>881</v>
      </c>
      <c r="B882" s="2">
        <v>3</v>
      </c>
      <c r="C882" s="2">
        <v>24</v>
      </c>
      <c r="D882" s="2">
        <v>2</v>
      </c>
      <c r="E882" s="2">
        <v>0</v>
      </c>
      <c r="F882" s="2">
        <v>1</v>
      </c>
      <c r="G882" s="2">
        <v>0</v>
      </c>
      <c r="H882" s="2">
        <v>0</v>
      </c>
      <c r="I882" s="2">
        <v>0</v>
      </c>
      <c r="J882" s="2">
        <v>0</v>
      </c>
      <c r="K882" s="2">
        <v>7814</v>
      </c>
      <c r="L882" s="2">
        <v>0</v>
      </c>
      <c r="M882" s="2">
        <v>3</v>
      </c>
      <c r="N882" s="2">
        <v>3</v>
      </c>
      <c r="O882" s="2">
        <v>0</v>
      </c>
      <c r="P882" s="2">
        <v>1</v>
      </c>
      <c r="Q882" s="2">
        <v>0</v>
      </c>
      <c r="R882" s="2">
        <v>0</v>
      </c>
      <c r="S882" s="2">
        <v>0</v>
      </c>
      <c r="T882" s="2">
        <v>3</v>
      </c>
      <c r="U882" s="2">
        <v>0</v>
      </c>
      <c r="V882" s="2">
        <v>0</v>
      </c>
      <c r="W882" s="2">
        <v>38</v>
      </c>
      <c r="X882" s="2">
        <v>0</v>
      </c>
      <c r="Y882" s="2">
        <v>0</v>
      </c>
      <c r="Z882" s="2">
        <v>1</v>
      </c>
      <c r="AA882" s="2">
        <v>1</v>
      </c>
      <c r="AB882" s="2">
        <v>3</v>
      </c>
      <c r="AC882" s="2">
        <v>1</v>
      </c>
      <c r="AD882" s="2">
        <v>1</v>
      </c>
      <c r="AE882" s="2">
        <v>0</v>
      </c>
      <c r="AF882" s="2">
        <v>1</v>
      </c>
    </row>
    <row r="883" spans="1:32" x14ac:dyDescent="0.25">
      <c r="A883">
        <v>882</v>
      </c>
      <c r="B883" s="2">
        <v>3</v>
      </c>
      <c r="C883" s="2">
        <v>24</v>
      </c>
      <c r="D883" s="2">
        <v>2</v>
      </c>
      <c r="E883" s="2">
        <v>0</v>
      </c>
      <c r="F883" s="2">
        <v>1</v>
      </c>
      <c r="G883" s="2">
        <v>0</v>
      </c>
      <c r="H883" s="2">
        <v>0</v>
      </c>
      <c r="I883" s="2">
        <v>0</v>
      </c>
      <c r="J883" s="2">
        <v>0</v>
      </c>
      <c r="K883" s="2">
        <v>9277</v>
      </c>
      <c r="L883" s="2">
        <v>4</v>
      </c>
      <c r="M883" s="2">
        <v>2</v>
      </c>
      <c r="N883" s="2">
        <v>2</v>
      </c>
      <c r="O883" s="2">
        <v>1</v>
      </c>
      <c r="P883" s="2">
        <v>0</v>
      </c>
      <c r="Q883" s="2">
        <v>0</v>
      </c>
      <c r="R883" s="2">
        <v>0</v>
      </c>
      <c r="S883" s="2">
        <v>0</v>
      </c>
      <c r="T883" s="2">
        <v>4</v>
      </c>
      <c r="U883" s="2">
        <v>0</v>
      </c>
      <c r="V883" s="2">
        <v>1</v>
      </c>
      <c r="W883" s="2">
        <v>48</v>
      </c>
      <c r="X883" s="2">
        <v>0</v>
      </c>
      <c r="Y883" s="2">
        <v>0</v>
      </c>
      <c r="Z883" s="2">
        <v>0</v>
      </c>
      <c r="AA883" s="2">
        <v>1</v>
      </c>
      <c r="AB883" s="2">
        <v>2</v>
      </c>
      <c r="AC883" s="2">
        <v>1</v>
      </c>
      <c r="AD883" s="2">
        <v>1</v>
      </c>
      <c r="AE883" s="2">
        <v>0</v>
      </c>
      <c r="AF883" s="2">
        <v>1</v>
      </c>
    </row>
    <row r="884" spans="1:32" x14ac:dyDescent="0.25">
      <c r="A884">
        <v>883</v>
      </c>
      <c r="B884" s="2">
        <v>1</v>
      </c>
      <c r="C884" s="2">
        <v>30</v>
      </c>
      <c r="D884" s="2">
        <v>4</v>
      </c>
      <c r="E884" s="2">
        <v>1</v>
      </c>
      <c r="F884" s="2">
        <v>0</v>
      </c>
      <c r="G884" s="2">
        <v>0</v>
      </c>
      <c r="H884" s="2">
        <v>0</v>
      </c>
      <c r="I884" s="2">
        <v>0</v>
      </c>
      <c r="J884" s="2">
        <v>0</v>
      </c>
      <c r="K884" s="2">
        <v>2181</v>
      </c>
      <c r="L884" s="2">
        <v>4</v>
      </c>
      <c r="M884" s="2">
        <v>4</v>
      </c>
      <c r="N884" s="2">
        <v>4</v>
      </c>
      <c r="O884" s="2">
        <v>0</v>
      </c>
      <c r="P884" s="2">
        <v>1</v>
      </c>
      <c r="Q884" s="2">
        <v>0</v>
      </c>
      <c r="R884" s="2">
        <v>0</v>
      </c>
      <c r="S884" s="2">
        <v>0</v>
      </c>
      <c r="T884" s="2">
        <v>4</v>
      </c>
      <c r="U884" s="2">
        <v>1</v>
      </c>
      <c r="V884" s="2">
        <v>0</v>
      </c>
      <c r="W884" s="2">
        <v>36</v>
      </c>
      <c r="X884" s="2">
        <v>0</v>
      </c>
      <c r="Y884" s="2">
        <v>0</v>
      </c>
      <c r="Z884" s="2">
        <v>1</v>
      </c>
      <c r="AA884" s="2">
        <v>2</v>
      </c>
      <c r="AB884" s="2">
        <v>2</v>
      </c>
      <c r="AC884" s="2">
        <v>1</v>
      </c>
      <c r="AD884" s="2">
        <v>0</v>
      </c>
      <c r="AE884" s="2">
        <v>0</v>
      </c>
      <c r="AF884" s="2">
        <v>1</v>
      </c>
    </row>
    <row r="885" spans="1:32" x14ac:dyDescent="0.25">
      <c r="A885">
        <v>884</v>
      </c>
      <c r="B885" s="2">
        <v>3</v>
      </c>
      <c r="C885" s="2">
        <v>18</v>
      </c>
      <c r="D885" s="2">
        <v>4</v>
      </c>
      <c r="E885" s="2">
        <v>0</v>
      </c>
      <c r="F885" s="2">
        <v>0</v>
      </c>
      <c r="G885" s="2">
        <v>0</v>
      </c>
      <c r="H885" s="2">
        <v>1</v>
      </c>
      <c r="I885" s="2">
        <v>0</v>
      </c>
      <c r="J885" s="2">
        <v>0</v>
      </c>
      <c r="K885" s="2">
        <v>1098</v>
      </c>
      <c r="L885" s="2">
        <v>0</v>
      </c>
      <c r="M885" s="2">
        <v>0</v>
      </c>
      <c r="N885" s="2">
        <v>4</v>
      </c>
      <c r="O885" s="2">
        <v>0</v>
      </c>
      <c r="P885" s="2">
        <v>0</v>
      </c>
      <c r="Q885" s="2">
        <v>0</v>
      </c>
      <c r="R885" s="2">
        <v>0</v>
      </c>
      <c r="S885" s="2">
        <v>0</v>
      </c>
      <c r="T885" s="2">
        <v>4</v>
      </c>
      <c r="U885" s="2">
        <v>0</v>
      </c>
      <c r="V885" s="2">
        <v>0</v>
      </c>
      <c r="W885" s="2">
        <v>65</v>
      </c>
      <c r="X885" s="2">
        <v>0</v>
      </c>
      <c r="Y885" s="2">
        <v>0</v>
      </c>
      <c r="Z885" s="2">
        <v>1</v>
      </c>
      <c r="AA885" s="2">
        <v>2</v>
      </c>
      <c r="AB885" s="2">
        <v>0</v>
      </c>
      <c r="AC885" s="2">
        <v>1</v>
      </c>
      <c r="AD885" s="2">
        <v>0</v>
      </c>
      <c r="AE885" s="2">
        <v>0</v>
      </c>
      <c r="AF885" s="2">
        <v>1</v>
      </c>
    </row>
    <row r="886" spans="1:32" x14ac:dyDescent="0.25">
      <c r="A886">
        <v>885</v>
      </c>
      <c r="B886" s="2">
        <v>1</v>
      </c>
      <c r="C886" s="2">
        <v>24</v>
      </c>
      <c r="D886" s="2">
        <v>2</v>
      </c>
      <c r="E886" s="2">
        <v>0</v>
      </c>
      <c r="F886" s="2">
        <v>0</v>
      </c>
      <c r="G886" s="2">
        <v>1</v>
      </c>
      <c r="H886" s="2">
        <v>0</v>
      </c>
      <c r="I886" s="2">
        <v>0</v>
      </c>
      <c r="J886" s="2">
        <v>0</v>
      </c>
      <c r="K886" s="2">
        <v>4057</v>
      </c>
      <c r="L886" s="2">
        <v>0</v>
      </c>
      <c r="M886" s="2">
        <v>3</v>
      </c>
      <c r="N886" s="2">
        <v>3</v>
      </c>
      <c r="O886" s="2">
        <v>1</v>
      </c>
      <c r="P886" s="2">
        <v>0</v>
      </c>
      <c r="Q886" s="2">
        <v>0</v>
      </c>
      <c r="R886" s="2">
        <v>0</v>
      </c>
      <c r="S886" s="2">
        <v>0</v>
      </c>
      <c r="T886" s="2">
        <v>3</v>
      </c>
      <c r="U886" s="2">
        <v>0</v>
      </c>
      <c r="V886" s="2">
        <v>0</v>
      </c>
      <c r="W886" s="2">
        <v>43</v>
      </c>
      <c r="X886" s="2">
        <v>0</v>
      </c>
      <c r="Y886" s="2">
        <v>0</v>
      </c>
      <c r="Z886" s="2">
        <v>1</v>
      </c>
      <c r="AA886" s="2">
        <v>1</v>
      </c>
      <c r="AB886" s="2">
        <v>2</v>
      </c>
      <c r="AC886" s="2">
        <v>1</v>
      </c>
      <c r="AD886" s="2">
        <v>1</v>
      </c>
      <c r="AE886" s="2">
        <v>0</v>
      </c>
      <c r="AF886" s="2">
        <v>0</v>
      </c>
    </row>
    <row r="887" spans="1:32" x14ac:dyDescent="0.25">
      <c r="A887">
        <v>886</v>
      </c>
      <c r="B887" s="2">
        <v>0</v>
      </c>
      <c r="C887" s="2">
        <v>12</v>
      </c>
      <c r="D887" s="2">
        <v>2</v>
      </c>
      <c r="E887" s="2">
        <v>0</v>
      </c>
      <c r="F887" s="2">
        <v>0</v>
      </c>
      <c r="G887" s="2">
        <v>0</v>
      </c>
      <c r="H887" s="2">
        <v>0</v>
      </c>
      <c r="I887" s="2">
        <v>1</v>
      </c>
      <c r="J887" s="2">
        <v>0</v>
      </c>
      <c r="K887" s="2">
        <v>795</v>
      </c>
      <c r="L887" s="2">
        <v>0</v>
      </c>
      <c r="M887" s="2">
        <v>1</v>
      </c>
      <c r="N887" s="2">
        <v>4</v>
      </c>
      <c r="O887" s="2">
        <v>0</v>
      </c>
      <c r="P887" s="2">
        <v>0</v>
      </c>
      <c r="Q887" s="2">
        <v>0</v>
      </c>
      <c r="R887" s="2">
        <v>0</v>
      </c>
      <c r="S887" s="2">
        <v>0</v>
      </c>
      <c r="T887" s="2">
        <v>4</v>
      </c>
      <c r="U887" s="2">
        <v>0</v>
      </c>
      <c r="V887" s="2">
        <v>0</v>
      </c>
      <c r="W887" s="2">
        <v>53</v>
      </c>
      <c r="X887" s="2">
        <v>0</v>
      </c>
      <c r="Y887" s="2">
        <v>0</v>
      </c>
      <c r="Z887" s="2">
        <v>1</v>
      </c>
      <c r="AA887" s="2">
        <v>1</v>
      </c>
      <c r="AB887" s="2">
        <v>2</v>
      </c>
      <c r="AC887" s="2">
        <v>1</v>
      </c>
      <c r="AD887" s="2">
        <v>0</v>
      </c>
      <c r="AE887" s="2">
        <v>0</v>
      </c>
      <c r="AF887" s="2">
        <v>0</v>
      </c>
    </row>
    <row r="888" spans="1:32" x14ac:dyDescent="0.25">
      <c r="A888">
        <v>887</v>
      </c>
      <c r="B888" s="2">
        <v>1</v>
      </c>
      <c r="C888" s="2">
        <v>24</v>
      </c>
      <c r="D888" s="2">
        <v>4</v>
      </c>
      <c r="E888" s="2">
        <v>0</v>
      </c>
      <c r="F888" s="2">
        <v>0</v>
      </c>
      <c r="G888" s="2">
        <v>0</v>
      </c>
      <c r="H888" s="2">
        <v>0</v>
      </c>
      <c r="I888" s="2">
        <v>0</v>
      </c>
      <c r="J888" s="2">
        <v>1</v>
      </c>
      <c r="K888" s="2">
        <v>2825</v>
      </c>
      <c r="L888" s="2">
        <v>4</v>
      </c>
      <c r="M888" s="2">
        <v>3</v>
      </c>
      <c r="N888" s="2">
        <v>4</v>
      </c>
      <c r="O888" s="2">
        <v>0</v>
      </c>
      <c r="P888" s="2">
        <v>1</v>
      </c>
      <c r="Q888" s="2">
        <v>0</v>
      </c>
      <c r="R888" s="2">
        <v>0</v>
      </c>
      <c r="S888" s="2">
        <v>0</v>
      </c>
      <c r="T888" s="2">
        <v>3</v>
      </c>
      <c r="U888" s="2">
        <v>0</v>
      </c>
      <c r="V888" s="2">
        <v>1</v>
      </c>
      <c r="W888" s="2">
        <v>34</v>
      </c>
      <c r="X888" s="2">
        <v>0</v>
      </c>
      <c r="Y888" s="2">
        <v>0</v>
      </c>
      <c r="Z888" s="2">
        <v>1</v>
      </c>
      <c r="AA888" s="2">
        <v>2</v>
      </c>
      <c r="AB888" s="2">
        <v>2</v>
      </c>
      <c r="AC888" s="2">
        <v>2</v>
      </c>
      <c r="AD888" s="2">
        <v>1</v>
      </c>
      <c r="AE888" s="2">
        <v>0</v>
      </c>
      <c r="AF888" s="2">
        <v>1</v>
      </c>
    </row>
    <row r="889" spans="1:32" x14ac:dyDescent="0.25">
      <c r="A889">
        <v>888</v>
      </c>
      <c r="B889" s="2">
        <v>1</v>
      </c>
      <c r="C889" s="2">
        <v>48</v>
      </c>
      <c r="D889" s="2">
        <v>2</v>
      </c>
      <c r="E889" s="2">
        <v>0</v>
      </c>
      <c r="F889" s="2">
        <v>0</v>
      </c>
      <c r="G889" s="2">
        <v>0</v>
      </c>
      <c r="H889" s="2">
        <v>0</v>
      </c>
      <c r="I889" s="2">
        <v>0</v>
      </c>
      <c r="J889" s="2">
        <v>1</v>
      </c>
      <c r="K889" s="2">
        <v>15672</v>
      </c>
      <c r="L889" s="2">
        <v>0</v>
      </c>
      <c r="M889" s="2">
        <v>2</v>
      </c>
      <c r="N889" s="2">
        <v>2</v>
      </c>
      <c r="O889" s="2">
        <v>0</v>
      </c>
      <c r="P889" s="2">
        <v>1</v>
      </c>
      <c r="Q889" s="2">
        <v>0</v>
      </c>
      <c r="R889" s="2">
        <v>0</v>
      </c>
      <c r="S889" s="2">
        <v>0</v>
      </c>
      <c r="T889" s="2">
        <v>2</v>
      </c>
      <c r="U889" s="2">
        <v>0</v>
      </c>
      <c r="V889" s="2">
        <v>0</v>
      </c>
      <c r="W889" s="2">
        <v>23</v>
      </c>
      <c r="X889" s="2">
        <v>0</v>
      </c>
      <c r="Y889" s="2">
        <v>0</v>
      </c>
      <c r="Z889" s="2">
        <v>1</v>
      </c>
      <c r="AA889" s="2">
        <v>1</v>
      </c>
      <c r="AB889" s="2">
        <v>2</v>
      </c>
      <c r="AC889" s="2">
        <v>1</v>
      </c>
      <c r="AD889" s="2">
        <v>1</v>
      </c>
      <c r="AE889" s="2">
        <v>0</v>
      </c>
      <c r="AF889" s="2">
        <v>0</v>
      </c>
    </row>
    <row r="890" spans="1:32" x14ac:dyDescent="0.25">
      <c r="A890">
        <v>889</v>
      </c>
      <c r="B890" s="2">
        <v>3</v>
      </c>
      <c r="C890" s="2">
        <v>36</v>
      </c>
      <c r="D890" s="2">
        <v>4</v>
      </c>
      <c r="E890" s="2">
        <v>1</v>
      </c>
      <c r="F890" s="2">
        <v>0</v>
      </c>
      <c r="G890" s="2">
        <v>0</v>
      </c>
      <c r="H890" s="2">
        <v>0</v>
      </c>
      <c r="I890" s="2">
        <v>0</v>
      </c>
      <c r="J890" s="2">
        <v>0</v>
      </c>
      <c r="K890" s="2">
        <v>6614</v>
      </c>
      <c r="L890" s="2">
        <v>0</v>
      </c>
      <c r="M890" s="2">
        <v>4</v>
      </c>
      <c r="N890" s="2">
        <v>4</v>
      </c>
      <c r="O890" s="2">
        <v>0</v>
      </c>
      <c r="P890" s="2">
        <v>1</v>
      </c>
      <c r="Q890" s="2">
        <v>0</v>
      </c>
      <c r="R890" s="2">
        <v>0</v>
      </c>
      <c r="S890" s="2">
        <v>0</v>
      </c>
      <c r="T890" s="2">
        <v>4</v>
      </c>
      <c r="U890" s="2">
        <v>0</v>
      </c>
      <c r="V890" s="2">
        <v>0</v>
      </c>
      <c r="W890" s="2">
        <v>34</v>
      </c>
      <c r="X890" s="2">
        <v>0</v>
      </c>
      <c r="Y890" s="2">
        <v>0</v>
      </c>
      <c r="Z890" s="2">
        <v>1</v>
      </c>
      <c r="AA890" s="2">
        <v>2</v>
      </c>
      <c r="AB890" s="2">
        <v>3</v>
      </c>
      <c r="AC890" s="2">
        <v>1</v>
      </c>
      <c r="AD890" s="2">
        <v>1</v>
      </c>
      <c r="AE890" s="2">
        <v>0</v>
      </c>
      <c r="AF890" s="2">
        <v>1</v>
      </c>
    </row>
    <row r="891" spans="1:32" x14ac:dyDescent="0.25">
      <c r="A891">
        <v>890</v>
      </c>
      <c r="B891" s="2">
        <v>3</v>
      </c>
      <c r="C891" s="2">
        <v>28</v>
      </c>
      <c r="D891" s="2">
        <v>1</v>
      </c>
      <c r="E891" s="2">
        <v>0</v>
      </c>
      <c r="F891" s="2">
        <v>1</v>
      </c>
      <c r="G891" s="2">
        <v>0</v>
      </c>
      <c r="H891" s="2">
        <v>0</v>
      </c>
      <c r="I891" s="2">
        <v>0</v>
      </c>
      <c r="J891" s="2">
        <v>0</v>
      </c>
      <c r="K891" s="2">
        <v>7824</v>
      </c>
      <c r="L891" s="2">
        <v>4</v>
      </c>
      <c r="M891" s="2">
        <v>1</v>
      </c>
      <c r="N891" s="2">
        <v>3</v>
      </c>
      <c r="O891" s="2">
        <v>0</v>
      </c>
      <c r="P891" s="2">
        <v>1</v>
      </c>
      <c r="Q891" s="2">
        <v>0</v>
      </c>
      <c r="R891" s="2">
        <v>0</v>
      </c>
      <c r="S891" s="2">
        <v>1</v>
      </c>
      <c r="T891" s="2">
        <v>4</v>
      </c>
      <c r="U891" s="2">
        <v>1</v>
      </c>
      <c r="V891" s="2">
        <v>0</v>
      </c>
      <c r="W891" s="2">
        <v>40</v>
      </c>
      <c r="X891" s="2">
        <v>1</v>
      </c>
      <c r="Y891" s="2">
        <v>1</v>
      </c>
      <c r="Z891" s="2">
        <v>0</v>
      </c>
      <c r="AA891" s="2">
        <v>2</v>
      </c>
      <c r="AB891" s="2">
        <v>2</v>
      </c>
      <c r="AC891" s="2">
        <v>2</v>
      </c>
      <c r="AD891" s="2">
        <v>1</v>
      </c>
      <c r="AE891" s="2">
        <v>0</v>
      </c>
      <c r="AF891" s="2">
        <v>1</v>
      </c>
    </row>
    <row r="892" spans="1:32" x14ac:dyDescent="0.25">
      <c r="A892">
        <v>891</v>
      </c>
      <c r="B892" s="2">
        <v>0</v>
      </c>
      <c r="C892" s="2">
        <v>27</v>
      </c>
      <c r="D892" s="2">
        <v>4</v>
      </c>
      <c r="E892" s="2">
        <v>0</v>
      </c>
      <c r="F892" s="2">
        <v>0</v>
      </c>
      <c r="G892" s="2">
        <v>0</v>
      </c>
      <c r="H892" s="2">
        <v>0</v>
      </c>
      <c r="I892" s="2">
        <v>0</v>
      </c>
      <c r="J892" s="2">
        <v>1</v>
      </c>
      <c r="K892" s="2">
        <v>2442</v>
      </c>
      <c r="L892" s="2">
        <v>0</v>
      </c>
      <c r="M892" s="2">
        <v>4</v>
      </c>
      <c r="N892" s="2">
        <v>4</v>
      </c>
      <c r="O892" s="2">
        <v>0</v>
      </c>
      <c r="P892" s="2">
        <v>1</v>
      </c>
      <c r="Q892" s="2">
        <v>0</v>
      </c>
      <c r="R892" s="2">
        <v>0</v>
      </c>
      <c r="S892" s="2">
        <v>0</v>
      </c>
      <c r="T892" s="2">
        <v>4</v>
      </c>
      <c r="U892" s="2">
        <v>0</v>
      </c>
      <c r="V892" s="2">
        <v>0</v>
      </c>
      <c r="W892" s="2">
        <v>43</v>
      </c>
      <c r="X892" s="2">
        <v>1</v>
      </c>
      <c r="Y892" s="2">
        <v>0</v>
      </c>
      <c r="Z892" s="2">
        <v>1</v>
      </c>
      <c r="AA892" s="2">
        <v>4</v>
      </c>
      <c r="AB892" s="2">
        <v>3</v>
      </c>
      <c r="AC892" s="2">
        <v>2</v>
      </c>
      <c r="AD892" s="2">
        <v>1</v>
      </c>
      <c r="AE892" s="2">
        <v>0</v>
      </c>
      <c r="AF892" s="2">
        <v>1</v>
      </c>
    </row>
    <row r="893" spans="1:32" x14ac:dyDescent="0.25">
      <c r="A893">
        <v>892</v>
      </c>
      <c r="B893" s="2">
        <v>3</v>
      </c>
      <c r="C893" s="2">
        <v>15</v>
      </c>
      <c r="D893" s="2">
        <v>4</v>
      </c>
      <c r="E893" s="2">
        <v>0</v>
      </c>
      <c r="F893" s="2">
        <v>0</v>
      </c>
      <c r="G893" s="2">
        <v>0</v>
      </c>
      <c r="H893" s="2">
        <v>1</v>
      </c>
      <c r="I893" s="2">
        <v>0</v>
      </c>
      <c r="J893" s="2">
        <v>0</v>
      </c>
      <c r="K893" s="2">
        <v>1829</v>
      </c>
      <c r="L893" s="2">
        <v>0</v>
      </c>
      <c r="M893" s="2">
        <v>4</v>
      </c>
      <c r="N893" s="2">
        <v>4</v>
      </c>
      <c r="O893" s="2">
        <v>0</v>
      </c>
      <c r="P893" s="2">
        <v>1</v>
      </c>
      <c r="Q893" s="2">
        <v>0</v>
      </c>
      <c r="R893" s="2">
        <v>0</v>
      </c>
      <c r="S893" s="2">
        <v>0</v>
      </c>
      <c r="T893" s="2">
        <v>4</v>
      </c>
      <c r="U893" s="2">
        <v>0</v>
      </c>
      <c r="V893" s="2">
        <v>0</v>
      </c>
      <c r="W893" s="2">
        <v>46</v>
      </c>
      <c r="X893" s="2">
        <v>0</v>
      </c>
      <c r="Y893" s="2">
        <v>0</v>
      </c>
      <c r="Z893" s="2">
        <v>1</v>
      </c>
      <c r="AA893" s="2">
        <v>2</v>
      </c>
      <c r="AB893" s="2">
        <v>2</v>
      </c>
      <c r="AC893" s="2">
        <v>1</v>
      </c>
      <c r="AD893" s="2">
        <v>1</v>
      </c>
      <c r="AE893" s="2">
        <v>0</v>
      </c>
      <c r="AF893" s="2">
        <v>1</v>
      </c>
    </row>
    <row r="894" spans="1:32" x14ac:dyDescent="0.25">
      <c r="A894">
        <v>893</v>
      </c>
      <c r="B894" s="2">
        <v>0</v>
      </c>
      <c r="C894" s="2">
        <v>12</v>
      </c>
      <c r="D894" s="2">
        <v>4</v>
      </c>
      <c r="E894" s="2">
        <v>1</v>
      </c>
      <c r="F894" s="2">
        <v>0</v>
      </c>
      <c r="G894" s="2">
        <v>0</v>
      </c>
      <c r="H894" s="2">
        <v>0</v>
      </c>
      <c r="I894" s="2">
        <v>0</v>
      </c>
      <c r="J894" s="2">
        <v>0</v>
      </c>
      <c r="K894" s="2">
        <v>2171</v>
      </c>
      <c r="L894" s="2">
        <v>0</v>
      </c>
      <c r="M894" s="2">
        <v>2</v>
      </c>
      <c r="N894" s="2">
        <v>4</v>
      </c>
      <c r="O894" s="2">
        <v>0</v>
      </c>
      <c r="P894" s="2">
        <v>1</v>
      </c>
      <c r="Q894" s="2">
        <v>0</v>
      </c>
      <c r="R894" s="2">
        <v>0</v>
      </c>
      <c r="S894" s="2">
        <v>0</v>
      </c>
      <c r="T894" s="2">
        <v>4</v>
      </c>
      <c r="U894" s="2">
        <v>0</v>
      </c>
      <c r="V894" s="2">
        <v>0</v>
      </c>
      <c r="W894" s="2">
        <v>38</v>
      </c>
      <c r="X894" s="2">
        <v>1</v>
      </c>
      <c r="Y894" s="2">
        <v>0</v>
      </c>
      <c r="Z894" s="2">
        <v>1</v>
      </c>
      <c r="AA894" s="2">
        <v>2</v>
      </c>
      <c r="AB894" s="2">
        <v>1</v>
      </c>
      <c r="AC894" s="2">
        <v>1</v>
      </c>
      <c r="AD894" s="2">
        <v>0</v>
      </c>
      <c r="AE894" s="2">
        <v>1</v>
      </c>
      <c r="AF894" s="2">
        <v>1</v>
      </c>
    </row>
    <row r="895" spans="1:32" x14ac:dyDescent="0.25">
      <c r="A895">
        <v>894</v>
      </c>
      <c r="B895" s="2">
        <v>1</v>
      </c>
      <c r="C895" s="2">
        <v>36</v>
      </c>
      <c r="D895" s="2">
        <v>4</v>
      </c>
      <c r="E895" s="2">
        <v>0</v>
      </c>
      <c r="F895" s="2">
        <v>1</v>
      </c>
      <c r="G895" s="2">
        <v>0</v>
      </c>
      <c r="H895" s="2">
        <v>0</v>
      </c>
      <c r="I895" s="2">
        <v>0</v>
      </c>
      <c r="J895" s="2">
        <v>0</v>
      </c>
      <c r="K895" s="2">
        <v>5800</v>
      </c>
      <c r="L895" s="2">
        <v>0</v>
      </c>
      <c r="M895" s="2">
        <v>2</v>
      </c>
      <c r="N895" s="2">
        <v>3</v>
      </c>
      <c r="O895" s="2">
        <v>0</v>
      </c>
      <c r="P895" s="2">
        <v>1</v>
      </c>
      <c r="Q895" s="2">
        <v>0</v>
      </c>
      <c r="R895" s="2">
        <v>0</v>
      </c>
      <c r="S895" s="2">
        <v>0</v>
      </c>
      <c r="T895" s="2">
        <v>4</v>
      </c>
      <c r="U895" s="2">
        <v>0</v>
      </c>
      <c r="V895" s="2">
        <v>0</v>
      </c>
      <c r="W895" s="2">
        <v>34</v>
      </c>
      <c r="X895" s="2">
        <v>0</v>
      </c>
      <c r="Y895" s="2">
        <v>0</v>
      </c>
      <c r="Z895" s="2">
        <v>1</v>
      </c>
      <c r="AA895" s="2">
        <v>2</v>
      </c>
      <c r="AB895" s="2">
        <v>2</v>
      </c>
      <c r="AC895" s="2">
        <v>1</v>
      </c>
      <c r="AD895" s="2">
        <v>1</v>
      </c>
      <c r="AE895" s="2">
        <v>0</v>
      </c>
      <c r="AF895" s="2">
        <v>1</v>
      </c>
    </row>
    <row r="896" spans="1:32" x14ac:dyDescent="0.25">
      <c r="A896">
        <v>895</v>
      </c>
      <c r="B896" s="2">
        <v>3</v>
      </c>
      <c r="C896" s="2">
        <v>18</v>
      </c>
      <c r="D896" s="2">
        <v>4</v>
      </c>
      <c r="E896" s="2">
        <v>0</v>
      </c>
      <c r="F896" s="2">
        <v>0</v>
      </c>
      <c r="G896" s="2">
        <v>0</v>
      </c>
      <c r="H896" s="2">
        <v>1</v>
      </c>
      <c r="I896" s="2">
        <v>0</v>
      </c>
      <c r="J896" s="2">
        <v>0</v>
      </c>
      <c r="K896" s="2">
        <v>1169</v>
      </c>
      <c r="L896" s="2">
        <v>4</v>
      </c>
      <c r="M896" s="2">
        <v>2</v>
      </c>
      <c r="N896" s="2">
        <v>4</v>
      </c>
      <c r="O896" s="2">
        <v>0</v>
      </c>
      <c r="P896" s="2">
        <v>1</v>
      </c>
      <c r="Q896" s="2">
        <v>0</v>
      </c>
      <c r="R896" s="2">
        <v>0</v>
      </c>
      <c r="S896" s="2">
        <v>0</v>
      </c>
      <c r="T896" s="2">
        <v>3</v>
      </c>
      <c r="U896" s="2">
        <v>0</v>
      </c>
      <c r="V896" s="2">
        <v>0</v>
      </c>
      <c r="W896" s="2">
        <v>29</v>
      </c>
      <c r="X896" s="2">
        <v>0</v>
      </c>
      <c r="Y896" s="2">
        <v>0</v>
      </c>
      <c r="Z896" s="2">
        <v>1</v>
      </c>
      <c r="AA896" s="2">
        <v>2</v>
      </c>
      <c r="AB896" s="2">
        <v>2</v>
      </c>
      <c r="AC896" s="2">
        <v>1</v>
      </c>
      <c r="AD896" s="2">
        <v>1</v>
      </c>
      <c r="AE896" s="2">
        <v>0</v>
      </c>
      <c r="AF896" s="2">
        <v>1</v>
      </c>
    </row>
    <row r="897" spans="1:32" x14ac:dyDescent="0.25">
      <c r="A897">
        <v>896</v>
      </c>
      <c r="B897" s="2">
        <v>3</v>
      </c>
      <c r="C897" s="2">
        <v>36</v>
      </c>
      <c r="D897" s="2">
        <v>3</v>
      </c>
      <c r="E897" s="2">
        <v>0</v>
      </c>
      <c r="F897" s="2">
        <v>1</v>
      </c>
      <c r="G897" s="2">
        <v>0</v>
      </c>
      <c r="H897" s="2">
        <v>0</v>
      </c>
      <c r="I897" s="2">
        <v>0</v>
      </c>
      <c r="J897" s="2">
        <v>0</v>
      </c>
      <c r="K897" s="2">
        <v>8947</v>
      </c>
      <c r="L897" s="2">
        <v>4</v>
      </c>
      <c r="M897" s="2">
        <v>3</v>
      </c>
      <c r="N897" s="2">
        <v>3</v>
      </c>
      <c r="O897" s="2">
        <v>0</v>
      </c>
      <c r="P897" s="2">
        <v>1</v>
      </c>
      <c r="Q897" s="2">
        <v>0</v>
      </c>
      <c r="R897" s="2">
        <v>0</v>
      </c>
      <c r="S897" s="2">
        <v>0</v>
      </c>
      <c r="T897" s="2">
        <v>2</v>
      </c>
      <c r="U897" s="2">
        <v>0</v>
      </c>
      <c r="V897" s="2">
        <v>0</v>
      </c>
      <c r="W897" s="2">
        <v>31</v>
      </c>
      <c r="X897" s="2">
        <v>1</v>
      </c>
      <c r="Y897" s="2">
        <v>0</v>
      </c>
      <c r="Z897" s="2">
        <v>1</v>
      </c>
      <c r="AA897" s="2">
        <v>1</v>
      </c>
      <c r="AB897" s="2">
        <v>3</v>
      </c>
      <c r="AC897" s="2">
        <v>2</v>
      </c>
      <c r="AD897" s="2">
        <v>1</v>
      </c>
      <c r="AE897" s="2">
        <v>0</v>
      </c>
      <c r="AF897" s="2">
        <v>1</v>
      </c>
    </row>
    <row r="898" spans="1:32" x14ac:dyDescent="0.25">
      <c r="A898">
        <v>897</v>
      </c>
      <c r="B898" s="2">
        <v>0</v>
      </c>
      <c r="C898" s="2">
        <v>21</v>
      </c>
      <c r="D898" s="2">
        <v>2</v>
      </c>
      <c r="E898" s="2">
        <v>0</v>
      </c>
      <c r="F898" s="2">
        <v>0</v>
      </c>
      <c r="G898" s="2">
        <v>0</v>
      </c>
      <c r="H898" s="2">
        <v>1</v>
      </c>
      <c r="I898" s="2">
        <v>0</v>
      </c>
      <c r="J898" s="2">
        <v>0</v>
      </c>
      <c r="K898" s="2">
        <v>2606</v>
      </c>
      <c r="L898" s="2">
        <v>0</v>
      </c>
      <c r="M898" s="2">
        <v>1</v>
      </c>
      <c r="N898" s="2">
        <v>4</v>
      </c>
      <c r="O898" s="2">
        <v>0</v>
      </c>
      <c r="P898" s="2">
        <v>0</v>
      </c>
      <c r="Q898" s="2">
        <v>0</v>
      </c>
      <c r="R898" s="2">
        <v>0</v>
      </c>
      <c r="S898" s="2">
        <v>0</v>
      </c>
      <c r="T898" s="2">
        <v>4</v>
      </c>
      <c r="U898" s="2">
        <v>0</v>
      </c>
      <c r="V898" s="2">
        <v>0</v>
      </c>
      <c r="W898" s="2">
        <v>28</v>
      </c>
      <c r="X898" s="2">
        <v>0</v>
      </c>
      <c r="Y898" s="2">
        <v>1</v>
      </c>
      <c r="Z898" s="2">
        <v>0</v>
      </c>
      <c r="AA898" s="2">
        <v>1</v>
      </c>
      <c r="AB898" s="2">
        <v>3</v>
      </c>
      <c r="AC898" s="2">
        <v>1</v>
      </c>
      <c r="AD898" s="2">
        <v>1</v>
      </c>
      <c r="AE898" s="2">
        <v>0</v>
      </c>
      <c r="AF898" s="2">
        <v>1</v>
      </c>
    </row>
    <row r="899" spans="1:32" x14ac:dyDescent="0.25">
      <c r="A899">
        <v>898</v>
      </c>
      <c r="B899" s="2">
        <v>3</v>
      </c>
      <c r="C899" s="2">
        <v>12</v>
      </c>
      <c r="D899" s="2">
        <v>4</v>
      </c>
      <c r="E899" s="2">
        <v>0</v>
      </c>
      <c r="F899" s="2">
        <v>0</v>
      </c>
      <c r="G899" s="2">
        <v>1</v>
      </c>
      <c r="H899" s="2">
        <v>0</v>
      </c>
      <c r="I899" s="2">
        <v>0</v>
      </c>
      <c r="J899" s="2">
        <v>0</v>
      </c>
      <c r="K899" s="2">
        <v>1592</v>
      </c>
      <c r="L899" s="2">
        <v>3</v>
      </c>
      <c r="M899" s="2">
        <v>3</v>
      </c>
      <c r="N899" s="2">
        <v>3</v>
      </c>
      <c r="O899" s="2">
        <v>0</v>
      </c>
      <c r="P899" s="2">
        <v>0</v>
      </c>
      <c r="Q899" s="2">
        <v>0</v>
      </c>
      <c r="R899" s="2">
        <v>0</v>
      </c>
      <c r="S899" s="2">
        <v>0</v>
      </c>
      <c r="T899" s="2">
        <v>2</v>
      </c>
      <c r="U899" s="2">
        <v>0</v>
      </c>
      <c r="V899" s="2">
        <v>0</v>
      </c>
      <c r="W899" s="2">
        <v>35</v>
      </c>
      <c r="X899" s="2">
        <v>0</v>
      </c>
      <c r="Y899" s="2">
        <v>0</v>
      </c>
      <c r="Z899" s="2">
        <v>1</v>
      </c>
      <c r="AA899" s="2">
        <v>1</v>
      </c>
      <c r="AB899" s="2">
        <v>2</v>
      </c>
      <c r="AC899" s="2">
        <v>1</v>
      </c>
      <c r="AD899" s="2">
        <v>0</v>
      </c>
      <c r="AE899" s="2">
        <v>1</v>
      </c>
      <c r="AF899" s="2">
        <v>1</v>
      </c>
    </row>
    <row r="900" spans="1:32" x14ac:dyDescent="0.25">
      <c r="A900">
        <v>899</v>
      </c>
      <c r="B900" s="2">
        <v>3</v>
      </c>
      <c r="C900" s="2">
        <v>15</v>
      </c>
      <c r="D900" s="2">
        <v>2</v>
      </c>
      <c r="E900" s="2">
        <v>0</v>
      </c>
      <c r="F900" s="2">
        <v>0</v>
      </c>
      <c r="G900" s="2">
        <v>1</v>
      </c>
      <c r="H900" s="2">
        <v>0</v>
      </c>
      <c r="I900" s="2">
        <v>0</v>
      </c>
      <c r="J900" s="2">
        <v>0</v>
      </c>
      <c r="K900" s="2">
        <v>2186</v>
      </c>
      <c r="L900" s="2">
        <v>4</v>
      </c>
      <c r="M900" s="2">
        <v>3</v>
      </c>
      <c r="N900" s="2">
        <v>1</v>
      </c>
      <c r="O900" s="2">
        <v>0</v>
      </c>
      <c r="P900" s="2">
        <v>0</v>
      </c>
      <c r="Q900" s="2">
        <v>0</v>
      </c>
      <c r="R900" s="2">
        <v>0</v>
      </c>
      <c r="S900" s="2">
        <v>0</v>
      </c>
      <c r="T900" s="2">
        <v>4</v>
      </c>
      <c r="U900" s="2">
        <v>1</v>
      </c>
      <c r="V900" s="2">
        <v>0</v>
      </c>
      <c r="W900" s="2">
        <v>33</v>
      </c>
      <c r="X900" s="2">
        <v>1</v>
      </c>
      <c r="Y900" s="2">
        <v>1</v>
      </c>
      <c r="Z900" s="2">
        <v>0</v>
      </c>
      <c r="AA900" s="2">
        <v>1</v>
      </c>
      <c r="AB900" s="2">
        <v>1</v>
      </c>
      <c r="AC900" s="2">
        <v>1</v>
      </c>
      <c r="AD900" s="2">
        <v>0</v>
      </c>
      <c r="AE900" s="2">
        <v>0</v>
      </c>
      <c r="AF900" s="2">
        <v>1</v>
      </c>
    </row>
    <row r="901" spans="1:32" x14ac:dyDescent="0.25">
      <c r="A901">
        <v>900</v>
      </c>
      <c r="B901" s="2">
        <v>0</v>
      </c>
      <c r="C901" s="2">
        <v>18</v>
      </c>
      <c r="D901" s="2">
        <v>2</v>
      </c>
      <c r="E901" s="2">
        <v>0</v>
      </c>
      <c r="F901" s="2">
        <v>0</v>
      </c>
      <c r="G901" s="2">
        <v>1</v>
      </c>
      <c r="H901" s="2">
        <v>0</v>
      </c>
      <c r="I901" s="2">
        <v>0</v>
      </c>
      <c r="J901" s="2">
        <v>0</v>
      </c>
      <c r="K901" s="2">
        <v>4153</v>
      </c>
      <c r="L901" s="2">
        <v>0</v>
      </c>
      <c r="M901" s="2">
        <v>2</v>
      </c>
      <c r="N901" s="2">
        <v>2</v>
      </c>
      <c r="O901" s="2">
        <v>0</v>
      </c>
      <c r="P901" s="2">
        <v>1</v>
      </c>
      <c r="Q901" s="2">
        <v>0</v>
      </c>
      <c r="R901" s="2">
        <v>1</v>
      </c>
      <c r="S901" s="2">
        <v>0</v>
      </c>
      <c r="T901" s="2">
        <v>3</v>
      </c>
      <c r="U901" s="2">
        <v>0</v>
      </c>
      <c r="V901" s="2">
        <v>0</v>
      </c>
      <c r="W901" s="2">
        <v>42</v>
      </c>
      <c r="X901" s="2">
        <v>0</v>
      </c>
      <c r="Y901" s="2">
        <v>0</v>
      </c>
      <c r="Z901" s="2">
        <v>1</v>
      </c>
      <c r="AA901" s="2">
        <v>1</v>
      </c>
      <c r="AB901" s="2">
        <v>2</v>
      </c>
      <c r="AC901" s="2">
        <v>1</v>
      </c>
      <c r="AD901" s="2">
        <v>0</v>
      </c>
      <c r="AE901" s="2">
        <v>0</v>
      </c>
      <c r="AF901" s="2">
        <v>0</v>
      </c>
    </row>
    <row r="902" spans="1:32" x14ac:dyDescent="0.25">
      <c r="A902">
        <v>901</v>
      </c>
      <c r="B902" s="2">
        <v>0</v>
      </c>
      <c r="C902" s="2">
        <v>16</v>
      </c>
      <c r="D902" s="2">
        <v>4</v>
      </c>
      <c r="E902" s="2">
        <v>1</v>
      </c>
      <c r="F902" s="2">
        <v>0</v>
      </c>
      <c r="G902" s="2">
        <v>0</v>
      </c>
      <c r="H902" s="2">
        <v>0</v>
      </c>
      <c r="I902" s="2">
        <v>0</v>
      </c>
      <c r="J902" s="2">
        <v>0</v>
      </c>
      <c r="K902" s="2">
        <v>2625</v>
      </c>
      <c r="L902" s="2">
        <v>0</v>
      </c>
      <c r="M902" s="2">
        <v>4</v>
      </c>
      <c r="N902" s="2">
        <v>2</v>
      </c>
      <c r="O902" s="2">
        <v>0</v>
      </c>
      <c r="P902" s="2">
        <v>1</v>
      </c>
      <c r="Q902" s="2">
        <v>0</v>
      </c>
      <c r="R902" s="2">
        <v>0</v>
      </c>
      <c r="S902" s="2">
        <v>1</v>
      </c>
      <c r="T902" s="2">
        <v>4</v>
      </c>
      <c r="U902" s="2">
        <v>0</v>
      </c>
      <c r="V902" s="2">
        <v>0</v>
      </c>
      <c r="W902" s="2">
        <v>43</v>
      </c>
      <c r="X902" s="2">
        <v>1</v>
      </c>
      <c r="Y902" s="2">
        <v>1</v>
      </c>
      <c r="Z902" s="2">
        <v>0</v>
      </c>
      <c r="AA902" s="2">
        <v>1</v>
      </c>
      <c r="AB902" s="2">
        <v>2</v>
      </c>
      <c r="AC902" s="2">
        <v>1</v>
      </c>
      <c r="AD902" s="2">
        <v>1</v>
      </c>
      <c r="AE902" s="2">
        <v>0</v>
      </c>
      <c r="AF902" s="2">
        <v>0</v>
      </c>
    </row>
    <row r="903" spans="1:32" x14ac:dyDescent="0.25">
      <c r="A903">
        <v>902</v>
      </c>
      <c r="B903" s="2">
        <v>3</v>
      </c>
      <c r="C903" s="2">
        <v>20</v>
      </c>
      <c r="D903" s="2">
        <v>4</v>
      </c>
      <c r="E903" s="2">
        <v>1</v>
      </c>
      <c r="F903" s="2">
        <v>0</v>
      </c>
      <c r="G903" s="2">
        <v>0</v>
      </c>
      <c r="H903" s="2">
        <v>0</v>
      </c>
      <c r="I903" s="2">
        <v>0</v>
      </c>
      <c r="J903" s="2">
        <v>0</v>
      </c>
      <c r="K903" s="2">
        <v>3485</v>
      </c>
      <c r="L903" s="2">
        <v>4</v>
      </c>
      <c r="M903" s="2">
        <v>1</v>
      </c>
      <c r="N903" s="2">
        <v>2</v>
      </c>
      <c r="O903" s="2">
        <v>1</v>
      </c>
      <c r="P903" s="2">
        <v>0</v>
      </c>
      <c r="Q903" s="2">
        <v>0</v>
      </c>
      <c r="R903" s="2">
        <v>0</v>
      </c>
      <c r="S903" s="2">
        <v>0</v>
      </c>
      <c r="T903" s="2">
        <v>4</v>
      </c>
      <c r="U903" s="2">
        <v>1</v>
      </c>
      <c r="V903" s="2">
        <v>0</v>
      </c>
      <c r="W903" s="2">
        <v>44</v>
      </c>
      <c r="X903" s="2">
        <v>0</v>
      </c>
      <c r="Y903" s="2">
        <v>0</v>
      </c>
      <c r="Z903" s="2">
        <v>1</v>
      </c>
      <c r="AA903" s="2">
        <v>2</v>
      </c>
      <c r="AB903" s="2">
        <v>2</v>
      </c>
      <c r="AC903" s="2">
        <v>1</v>
      </c>
      <c r="AD903" s="2">
        <v>1</v>
      </c>
      <c r="AE903" s="2">
        <v>0</v>
      </c>
      <c r="AF903" s="2">
        <v>1</v>
      </c>
    </row>
    <row r="904" spans="1:32" x14ac:dyDescent="0.25">
      <c r="A904">
        <v>903</v>
      </c>
      <c r="B904" s="2">
        <v>3</v>
      </c>
      <c r="C904" s="2">
        <v>36</v>
      </c>
      <c r="D904" s="2">
        <v>4</v>
      </c>
      <c r="E904" s="2">
        <v>0</v>
      </c>
      <c r="F904" s="2">
        <v>1</v>
      </c>
      <c r="G904" s="2">
        <v>0</v>
      </c>
      <c r="H904" s="2">
        <v>0</v>
      </c>
      <c r="I904" s="2">
        <v>0</v>
      </c>
      <c r="J904" s="2">
        <v>0</v>
      </c>
      <c r="K904" s="2">
        <v>10477</v>
      </c>
      <c r="L904" s="2">
        <v>4</v>
      </c>
      <c r="M904" s="2">
        <v>4</v>
      </c>
      <c r="N904" s="2">
        <v>2</v>
      </c>
      <c r="O904" s="2">
        <v>0</v>
      </c>
      <c r="P904" s="2">
        <v>1</v>
      </c>
      <c r="Q904" s="2">
        <v>0</v>
      </c>
      <c r="R904" s="2">
        <v>0</v>
      </c>
      <c r="S904" s="2">
        <v>0</v>
      </c>
      <c r="T904" s="2">
        <v>4</v>
      </c>
      <c r="U904" s="2">
        <v>0</v>
      </c>
      <c r="V904" s="2">
        <v>1</v>
      </c>
      <c r="W904" s="2">
        <v>42</v>
      </c>
      <c r="X904" s="2">
        <v>0</v>
      </c>
      <c r="Y904" s="2">
        <v>0</v>
      </c>
      <c r="Z904" s="2">
        <v>0</v>
      </c>
      <c r="AA904" s="2">
        <v>2</v>
      </c>
      <c r="AB904" s="2">
        <v>2</v>
      </c>
      <c r="AC904" s="2">
        <v>1</v>
      </c>
      <c r="AD904" s="2">
        <v>0</v>
      </c>
      <c r="AE904" s="2">
        <v>0</v>
      </c>
      <c r="AF904" s="2">
        <v>1</v>
      </c>
    </row>
    <row r="905" spans="1:32" x14ac:dyDescent="0.25">
      <c r="A905">
        <v>904</v>
      </c>
      <c r="B905" s="2">
        <v>3</v>
      </c>
      <c r="C905" s="2">
        <v>15</v>
      </c>
      <c r="D905" s="2">
        <v>2</v>
      </c>
      <c r="E905" s="2">
        <v>0</v>
      </c>
      <c r="F905" s="2">
        <v>0</v>
      </c>
      <c r="G905" s="2">
        <v>0</v>
      </c>
      <c r="H905" s="2">
        <v>1</v>
      </c>
      <c r="I905" s="2">
        <v>0</v>
      </c>
      <c r="J905" s="2">
        <v>0</v>
      </c>
      <c r="K905" s="2">
        <v>1386</v>
      </c>
      <c r="L905" s="2">
        <v>4</v>
      </c>
      <c r="M905" s="2">
        <v>2</v>
      </c>
      <c r="N905" s="2">
        <v>4</v>
      </c>
      <c r="O905" s="2">
        <v>0</v>
      </c>
      <c r="P905" s="2">
        <v>0</v>
      </c>
      <c r="Q905" s="2">
        <v>1</v>
      </c>
      <c r="R905" s="2">
        <v>0</v>
      </c>
      <c r="S905" s="2">
        <v>0</v>
      </c>
      <c r="T905" s="2">
        <v>2</v>
      </c>
      <c r="U905" s="2">
        <v>1</v>
      </c>
      <c r="V905" s="2">
        <v>0</v>
      </c>
      <c r="W905" s="2">
        <v>40</v>
      </c>
      <c r="X905" s="2">
        <v>0</v>
      </c>
      <c r="Y905" s="2">
        <v>1</v>
      </c>
      <c r="Z905" s="2">
        <v>0</v>
      </c>
      <c r="AA905" s="2">
        <v>1</v>
      </c>
      <c r="AB905" s="2">
        <v>2</v>
      </c>
      <c r="AC905" s="2">
        <v>1</v>
      </c>
      <c r="AD905" s="2">
        <v>1</v>
      </c>
      <c r="AE905" s="2">
        <v>0</v>
      </c>
      <c r="AF905" s="2">
        <v>1</v>
      </c>
    </row>
    <row r="906" spans="1:32" x14ac:dyDescent="0.25">
      <c r="A906">
        <v>905</v>
      </c>
      <c r="B906" s="2">
        <v>3</v>
      </c>
      <c r="C906" s="2">
        <v>24</v>
      </c>
      <c r="D906" s="2">
        <v>2</v>
      </c>
      <c r="E906" s="2">
        <v>0</v>
      </c>
      <c r="F906" s="2">
        <v>0</v>
      </c>
      <c r="G906" s="2">
        <v>0</v>
      </c>
      <c r="H906" s="2">
        <v>1</v>
      </c>
      <c r="I906" s="2">
        <v>0</v>
      </c>
      <c r="J906" s="2">
        <v>0</v>
      </c>
      <c r="K906" s="2">
        <v>1278</v>
      </c>
      <c r="L906" s="2">
        <v>0</v>
      </c>
      <c r="M906" s="2">
        <v>4</v>
      </c>
      <c r="N906" s="2">
        <v>4</v>
      </c>
      <c r="O906" s="2">
        <v>0</v>
      </c>
      <c r="P906" s="2">
        <v>1</v>
      </c>
      <c r="Q906" s="2">
        <v>0</v>
      </c>
      <c r="R906" s="2">
        <v>0</v>
      </c>
      <c r="S906" s="2">
        <v>0</v>
      </c>
      <c r="T906" s="2">
        <v>1</v>
      </c>
      <c r="U906" s="2">
        <v>1</v>
      </c>
      <c r="V906" s="2">
        <v>0</v>
      </c>
      <c r="W906" s="2">
        <v>36</v>
      </c>
      <c r="X906" s="2">
        <v>0</v>
      </c>
      <c r="Y906" s="2">
        <v>0</v>
      </c>
      <c r="Z906" s="2">
        <v>1</v>
      </c>
      <c r="AA906" s="2">
        <v>1</v>
      </c>
      <c r="AB906" s="2">
        <v>3</v>
      </c>
      <c r="AC906" s="2">
        <v>1</v>
      </c>
      <c r="AD906" s="2">
        <v>1</v>
      </c>
      <c r="AE906" s="2">
        <v>0</v>
      </c>
      <c r="AF906" s="2">
        <v>1</v>
      </c>
    </row>
    <row r="907" spans="1:32" x14ac:dyDescent="0.25">
      <c r="A907">
        <v>906</v>
      </c>
      <c r="B907" s="2">
        <v>0</v>
      </c>
      <c r="C907" s="2">
        <v>12</v>
      </c>
      <c r="D907" s="2">
        <v>2</v>
      </c>
      <c r="E907" s="2">
        <v>0</v>
      </c>
      <c r="F907" s="2">
        <v>0</v>
      </c>
      <c r="G907" s="2">
        <v>0</v>
      </c>
      <c r="H907" s="2">
        <v>1</v>
      </c>
      <c r="I907" s="2">
        <v>0</v>
      </c>
      <c r="J907" s="2">
        <v>0</v>
      </c>
      <c r="K907" s="2">
        <v>1107</v>
      </c>
      <c r="L907" s="2">
        <v>0</v>
      </c>
      <c r="M907" s="2">
        <v>2</v>
      </c>
      <c r="N907" s="2">
        <v>2</v>
      </c>
      <c r="O907" s="2">
        <v>0</v>
      </c>
      <c r="P907" s="2">
        <v>1</v>
      </c>
      <c r="Q907" s="2">
        <v>0</v>
      </c>
      <c r="R907" s="2">
        <v>0</v>
      </c>
      <c r="S907" s="2">
        <v>0</v>
      </c>
      <c r="T907" s="2">
        <v>2</v>
      </c>
      <c r="U907" s="2">
        <v>1</v>
      </c>
      <c r="V907" s="2">
        <v>0</v>
      </c>
      <c r="W907" s="2">
        <v>20</v>
      </c>
      <c r="X907" s="2">
        <v>0</v>
      </c>
      <c r="Y907" s="2">
        <v>1</v>
      </c>
      <c r="Z907" s="2">
        <v>0</v>
      </c>
      <c r="AA907" s="2">
        <v>1</v>
      </c>
      <c r="AB907" s="2">
        <v>3</v>
      </c>
      <c r="AC907" s="2">
        <v>2</v>
      </c>
      <c r="AD907" s="2">
        <v>1</v>
      </c>
      <c r="AE907" s="2">
        <v>0</v>
      </c>
      <c r="AF907" s="2">
        <v>1</v>
      </c>
    </row>
    <row r="908" spans="1:32" x14ac:dyDescent="0.25">
      <c r="A908">
        <v>907</v>
      </c>
      <c r="B908" s="2">
        <v>0</v>
      </c>
      <c r="C908" s="2">
        <v>21</v>
      </c>
      <c r="D908" s="2">
        <v>2</v>
      </c>
      <c r="E908" s="2">
        <v>1</v>
      </c>
      <c r="F908" s="2">
        <v>0</v>
      </c>
      <c r="G908" s="2">
        <v>0</v>
      </c>
      <c r="H908" s="2">
        <v>0</v>
      </c>
      <c r="I908" s="2">
        <v>0</v>
      </c>
      <c r="J908" s="2">
        <v>0</v>
      </c>
      <c r="K908" s="2">
        <v>3763</v>
      </c>
      <c r="L908" s="2">
        <v>4</v>
      </c>
      <c r="M908" s="2">
        <v>3</v>
      </c>
      <c r="N908" s="2">
        <v>2</v>
      </c>
      <c r="O908" s="2">
        <v>0</v>
      </c>
      <c r="P908" s="2">
        <v>1</v>
      </c>
      <c r="Q908" s="2">
        <v>0</v>
      </c>
      <c r="R908" s="2">
        <v>1</v>
      </c>
      <c r="S908" s="2">
        <v>0</v>
      </c>
      <c r="T908" s="2">
        <v>2</v>
      </c>
      <c r="U908" s="2">
        <v>1</v>
      </c>
      <c r="V908" s="2">
        <v>0</v>
      </c>
      <c r="W908" s="2">
        <v>24</v>
      </c>
      <c r="X908" s="2">
        <v>0</v>
      </c>
      <c r="Y908" s="2">
        <v>0</v>
      </c>
      <c r="Z908" s="2">
        <v>1</v>
      </c>
      <c r="AA908" s="2">
        <v>1</v>
      </c>
      <c r="AB908" s="2">
        <v>1</v>
      </c>
      <c r="AC908" s="2">
        <v>1</v>
      </c>
      <c r="AD908" s="2">
        <v>0</v>
      </c>
      <c r="AE908" s="2">
        <v>1</v>
      </c>
      <c r="AF908" s="2">
        <v>1</v>
      </c>
    </row>
    <row r="909" spans="1:32" x14ac:dyDescent="0.25">
      <c r="A909">
        <v>908</v>
      </c>
      <c r="B909" s="2">
        <v>1</v>
      </c>
      <c r="C909" s="2">
        <v>36</v>
      </c>
      <c r="D909" s="2">
        <v>2</v>
      </c>
      <c r="E909" s="2">
        <v>0</v>
      </c>
      <c r="F909" s="2">
        <v>0</v>
      </c>
      <c r="G909" s="2">
        <v>0</v>
      </c>
      <c r="H909" s="2">
        <v>0</v>
      </c>
      <c r="I909" s="2">
        <v>1</v>
      </c>
      <c r="J909" s="2">
        <v>0</v>
      </c>
      <c r="K909" s="2">
        <v>3711</v>
      </c>
      <c r="L909" s="2">
        <v>4</v>
      </c>
      <c r="M909" s="2">
        <v>2</v>
      </c>
      <c r="N909" s="2">
        <v>2</v>
      </c>
      <c r="O909" s="2">
        <v>0</v>
      </c>
      <c r="P909" s="2">
        <v>0</v>
      </c>
      <c r="Q909" s="2">
        <v>1</v>
      </c>
      <c r="R909" s="2">
        <v>0</v>
      </c>
      <c r="S909" s="2">
        <v>0</v>
      </c>
      <c r="T909" s="2">
        <v>2</v>
      </c>
      <c r="U909" s="2">
        <v>0</v>
      </c>
      <c r="V909" s="2">
        <v>0</v>
      </c>
      <c r="W909" s="2">
        <v>27</v>
      </c>
      <c r="X909" s="2">
        <v>0</v>
      </c>
      <c r="Y909" s="2">
        <v>0</v>
      </c>
      <c r="Z909" s="2">
        <v>1</v>
      </c>
      <c r="AA909" s="2">
        <v>1</v>
      </c>
      <c r="AB909" s="2">
        <v>2</v>
      </c>
      <c r="AC909" s="2">
        <v>1</v>
      </c>
      <c r="AD909" s="2">
        <v>0</v>
      </c>
      <c r="AE909" s="2">
        <v>0</v>
      </c>
      <c r="AF909" s="2">
        <v>1</v>
      </c>
    </row>
    <row r="910" spans="1:32" x14ac:dyDescent="0.25">
      <c r="A910">
        <v>909</v>
      </c>
      <c r="B910" s="2">
        <v>3</v>
      </c>
      <c r="C910" s="2">
        <v>15</v>
      </c>
      <c r="D910" s="2">
        <v>3</v>
      </c>
      <c r="E910" s="2">
        <v>0</v>
      </c>
      <c r="F910" s="2">
        <v>1</v>
      </c>
      <c r="G910" s="2">
        <v>0</v>
      </c>
      <c r="H910" s="2">
        <v>0</v>
      </c>
      <c r="I910" s="2">
        <v>0</v>
      </c>
      <c r="J910" s="2">
        <v>0</v>
      </c>
      <c r="K910" s="2">
        <v>3594</v>
      </c>
      <c r="L910" s="2">
        <v>0</v>
      </c>
      <c r="M910" s="2">
        <v>1</v>
      </c>
      <c r="N910" s="2">
        <v>1</v>
      </c>
      <c r="O910" s="2">
        <v>0</v>
      </c>
      <c r="P910" s="2">
        <v>0</v>
      </c>
      <c r="Q910" s="2">
        <v>0</v>
      </c>
      <c r="R910" s="2">
        <v>0</v>
      </c>
      <c r="S910" s="2">
        <v>0</v>
      </c>
      <c r="T910" s="2">
        <v>2</v>
      </c>
      <c r="U910" s="2">
        <v>0</v>
      </c>
      <c r="V910" s="2">
        <v>0</v>
      </c>
      <c r="W910" s="2">
        <v>46</v>
      </c>
      <c r="X910" s="2">
        <v>0</v>
      </c>
      <c r="Y910" s="2">
        <v>0</v>
      </c>
      <c r="Z910" s="2">
        <v>1</v>
      </c>
      <c r="AA910" s="2">
        <v>2</v>
      </c>
      <c r="AB910" s="2">
        <v>1</v>
      </c>
      <c r="AC910" s="2">
        <v>1</v>
      </c>
      <c r="AD910" s="2">
        <v>0</v>
      </c>
      <c r="AE910" s="2">
        <v>0</v>
      </c>
      <c r="AF910" s="2">
        <v>1</v>
      </c>
    </row>
    <row r="911" spans="1:32" x14ac:dyDescent="0.25">
      <c r="A911">
        <v>910</v>
      </c>
      <c r="B911" s="2">
        <v>1</v>
      </c>
      <c r="C911" s="2">
        <v>9</v>
      </c>
      <c r="D911" s="2">
        <v>2</v>
      </c>
      <c r="E911" s="2">
        <v>1</v>
      </c>
      <c r="F911" s="2">
        <v>0</v>
      </c>
      <c r="G911" s="2">
        <v>0</v>
      </c>
      <c r="H911" s="2">
        <v>0</v>
      </c>
      <c r="I911" s="2">
        <v>0</v>
      </c>
      <c r="J911" s="2">
        <v>0</v>
      </c>
      <c r="K911" s="2">
        <v>3195</v>
      </c>
      <c r="L911" s="2">
        <v>4</v>
      </c>
      <c r="M911" s="2">
        <v>2</v>
      </c>
      <c r="N911" s="2">
        <v>1</v>
      </c>
      <c r="O911" s="2">
        <v>0</v>
      </c>
      <c r="P911" s="2">
        <v>0</v>
      </c>
      <c r="Q911" s="2">
        <v>0</v>
      </c>
      <c r="R911" s="2">
        <v>0</v>
      </c>
      <c r="S911" s="2">
        <v>0</v>
      </c>
      <c r="T911" s="2">
        <v>2</v>
      </c>
      <c r="U911" s="2">
        <v>1</v>
      </c>
      <c r="V911" s="2">
        <v>0</v>
      </c>
      <c r="W911" s="2">
        <v>33</v>
      </c>
      <c r="X911" s="2">
        <v>0</v>
      </c>
      <c r="Y911" s="2">
        <v>0</v>
      </c>
      <c r="Z911" s="2">
        <v>1</v>
      </c>
      <c r="AA911" s="2">
        <v>1</v>
      </c>
      <c r="AB911" s="2">
        <v>1</v>
      </c>
      <c r="AC911" s="2">
        <v>1</v>
      </c>
      <c r="AD911" s="2">
        <v>0</v>
      </c>
      <c r="AE911" s="2">
        <v>0</v>
      </c>
      <c r="AF911" s="2">
        <v>1</v>
      </c>
    </row>
    <row r="912" spans="1:32" x14ac:dyDescent="0.25">
      <c r="A912">
        <v>911</v>
      </c>
      <c r="B912" s="2">
        <v>3</v>
      </c>
      <c r="C912" s="2">
        <v>36</v>
      </c>
      <c r="D912" s="2">
        <v>3</v>
      </c>
      <c r="E912" s="2">
        <v>0</v>
      </c>
      <c r="F912" s="2">
        <v>0</v>
      </c>
      <c r="G912" s="2">
        <v>0</v>
      </c>
      <c r="H912" s="2">
        <v>1</v>
      </c>
      <c r="I912" s="2">
        <v>0</v>
      </c>
      <c r="J912" s="2">
        <v>0</v>
      </c>
      <c r="K912" s="2">
        <v>4454</v>
      </c>
      <c r="L912" s="2">
        <v>0</v>
      </c>
      <c r="M912" s="2">
        <v>2</v>
      </c>
      <c r="N912" s="2">
        <v>4</v>
      </c>
      <c r="O912" s="2">
        <v>0</v>
      </c>
      <c r="P912" s="2">
        <v>0</v>
      </c>
      <c r="Q912" s="2">
        <v>0</v>
      </c>
      <c r="R912" s="2">
        <v>0</v>
      </c>
      <c r="S912" s="2">
        <v>0</v>
      </c>
      <c r="T912" s="2">
        <v>4</v>
      </c>
      <c r="U912" s="2">
        <v>1</v>
      </c>
      <c r="V912" s="2">
        <v>0</v>
      </c>
      <c r="W912" s="2">
        <v>34</v>
      </c>
      <c r="X912" s="2">
        <v>0</v>
      </c>
      <c r="Y912" s="2">
        <v>0</v>
      </c>
      <c r="Z912" s="2">
        <v>1</v>
      </c>
      <c r="AA912" s="2">
        <v>2</v>
      </c>
      <c r="AB912" s="2">
        <v>2</v>
      </c>
      <c r="AC912" s="2">
        <v>1</v>
      </c>
      <c r="AD912" s="2">
        <v>0</v>
      </c>
      <c r="AE912" s="2">
        <v>0</v>
      </c>
      <c r="AF912" s="2">
        <v>1</v>
      </c>
    </row>
    <row r="913" spans="1:32" x14ac:dyDescent="0.25">
      <c r="A913">
        <v>912</v>
      </c>
      <c r="B913" s="2">
        <v>1</v>
      </c>
      <c r="C913" s="2">
        <v>24</v>
      </c>
      <c r="D913" s="2">
        <v>4</v>
      </c>
      <c r="E913" s="2">
        <v>0</v>
      </c>
      <c r="F913" s="2">
        <v>0</v>
      </c>
      <c r="G913" s="2">
        <v>1</v>
      </c>
      <c r="H913" s="2">
        <v>0</v>
      </c>
      <c r="I913" s="2">
        <v>0</v>
      </c>
      <c r="J913" s="2">
        <v>0</v>
      </c>
      <c r="K913" s="2">
        <v>4736</v>
      </c>
      <c r="L913" s="2">
        <v>0</v>
      </c>
      <c r="M913" s="2">
        <v>1</v>
      </c>
      <c r="N913" s="2">
        <v>2</v>
      </c>
      <c r="O913" s="2">
        <v>0</v>
      </c>
      <c r="P913" s="2">
        <v>0</v>
      </c>
      <c r="Q913" s="2">
        <v>0</v>
      </c>
      <c r="R913" s="2">
        <v>0</v>
      </c>
      <c r="S913" s="2">
        <v>0</v>
      </c>
      <c r="T913" s="2">
        <v>4</v>
      </c>
      <c r="U913" s="2">
        <v>0</v>
      </c>
      <c r="V913" s="2">
        <v>0</v>
      </c>
      <c r="W913" s="2">
        <v>25</v>
      </c>
      <c r="X913" s="2">
        <v>1</v>
      </c>
      <c r="Y913" s="2">
        <v>0</v>
      </c>
      <c r="Z913" s="2">
        <v>1</v>
      </c>
      <c r="AA913" s="2">
        <v>1</v>
      </c>
      <c r="AB913" s="2">
        <v>1</v>
      </c>
      <c r="AC913" s="2">
        <v>1</v>
      </c>
      <c r="AD913" s="2">
        <v>0</v>
      </c>
      <c r="AE913" s="2">
        <v>0</v>
      </c>
      <c r="AF913" s="2">
        <v>0</v>
      </c>
    </row>
    <row r="914" spans="1:32" x14ac:dyDescent="0.25">
      <c r="A914">
        <v>913</v>
      </c>
      <c r="B914" s="2">
        <v>1</v>
      </c>
      <c r="C914" s="2">
        <v>30</v>
      </c>
      <c r="D914" s="2">
        <v>2</v>
      </c>
      <c r="E914" s="2">
        <v>0</v>
      </c>
      <c r="F914" s="2">
        <v>0</v>
      </c>
      <c r="G914" s="2">
        <v>0</v>
      </c>
      <c r="H914" s="2">
        <v>1</v>
      </c>
      <c r="I914" s="2">
        <v>0</v>
      </c>
      <c r="J914" s="2">
        <v>0</v>
      </c>
      <c r="K914" s="2">
        <v>2991</v>
      </c>
      <c r="L914" s="2">
        <v>4</v>
      </c>
      <c r="M914" s="2">
        <v>4</v>
      </c>
      <c r="N914" s="2">
        <v>2</v>
      </c>
      <c r="O914" s="2">
        <v>0</v>
      </c>
      <c r="P914" s="2">
        <v>0</v>
      </c>
      <c r="Q914" s="2">
        <v>0</v>
      </c>
      <c r="R914" s="2">
        <v>0</v>
      </c>
      <c r="S914" s="2">
        <v>0</v>
      </c>
      <c r="T914" s="2">
        <v>4</v>
      </c>
      <c r="U914" s="2">
        <v>0</v>
      </c>
      <c r="V914" s="2">
        <v>0</v>
      </c>
      <c r="W914" s="2">
        <v>25</v>
      </c>
      <c r="X914" s="2">
        <v>0</v>
      </c>
      <c r="Y914" s="2">
        <v>0</v>
      </c>
      <c r="Z914" s="2">
        <v>1</v>
      </c>
      <c r="AA914" s="2">
        <v>1</v>
      </c>
      <c r="AB914" s="2">
        <v>2</v>
      </c>
      <c r="AC914" s="2">
        <v>1</v>
      </c>
      <c r="AD914" s="2">
        <v>0</v>
      </c>
      <c r="AE914" s="2">
        <v>0</v>
      </c>
      <c r="AF914" s="2">
        <v>1</v>
      </c>
    </row>
    <row r="915" spans="1:32" x14ac:dyDescent="0.25">
      <c r="A915">
        <v>914</v>
      </c>
      <c r="B915" s="2">
        <v>3</v>
      </c>
      <c r="C915" s="2">
        <v>11</v>
      </c>
      <c r="D915" s="2">
        <v>2</v>
      </c>
      <c r="E915" s="2">
        <v>0</v>
      </c>
      <c r="F915" s="2">
        <v>0</v>
      </c>
      <c r="G915" s="2">
        <v>0</v>
      </c>
      <c r="H915" s="2">
        <v>0</v>
      </c>
      <c r="I915" s="2">
        <v>0</v>
      </c>
      <c r="J915" s="2">
        <v>1</v>
      </c>
      <c r="K915" s="2">
        <v>2142</v>
      </c>
      <c r="L915" s="2">
        <v>3</v>
      </c>
      <c r="M915" s="2">
        <v>4</v>
      </c>
      <c r="N915" s="2">
        <v>1</v>
      </c>
      <c r="O915" s="2">
        <v>1</v>
      </c>
      <c r="P915" s="2">
        <v>0</v>
      </c>
      <c r="Q915" s="2">
        <v>0</v>
      </c>
      <c r="R915" s="2">
        <v>0</v>
      </c>
      <c r="S915" s="2">
        <v>0</v>
      </c>
      <c r="T915" s="2">
        <v>2</v>
      </c>
      <c r="U915" s="2">
        <v>1</v>
      </c>
      <c r="V915" s="2">
        <v>0</v>
      </c>
      <c r="W915" s="2">
        <v>28</v>
      </c>
      <c r="X915" s="2">
        <v>0</v>
      </c>
      <c r="Y915" s="2">
        <v>0</v>
      </c>
      <c r="Z915" s="2">
        <v>1</v>
      </c>
      <c r="AA915" s="2">
        <v>1</v>
      </c>
      <c r="AB915" s="2">
        <v>2</v>
      </c>
      <c r="AC915" s="2">
        <v>1</v>
      </c>
      <c r="AD915" s="2">
        <v>1</v>
      </c>
      <c r="AE915" s="2">
        <v>0</v>
      </c>
      <c r="AF915" s="2">
        <v>1</v>
      </c>
    </row>
    <row r="916" spans="1:32" x14ac:dyDescent="0.25">
      <c r="A916">
        <v>915</v>
      </c>
      <c r="B916" s="2">
        <v>0</v>
      </c>
      <c r="C916" s="2">
        <v>24</v>
      </c>
      <c r="D916" s="2">
        <v>1</v>
      </c>
      <c r="E916" s="2">
        <v>0</v>
      </c>
      <c r="F916" s="2">
        <v>0</v>
      </c>
      <c r="G916" s="2">
        <v>0</v>
      </c>
      <c r="H916" s="2">
        <v>0</v>
      </c>
      <c r="I916" s="2">
        <v>0</v>
      </c>
      <c r="J916" s="2">
        <v>1</v>
      </c>
      <c r="K916" s="2">
        <v>3161</v>
      </c>
      <c r="L916" s="2">
        <v>0</v>
      </c>
      <c r="M916" s="2">
        <v>2</v>
      </c>
      <c r="N916" s="2">
        <v>4</v>
      </c>
      <c r="O916" s="2">
        <v>0</v>
      </c>
      <c r="P916" s="2">
        <v>1</v>
      </c>
      <c r="Q916" s="2">
        <v>0</v>
      </c>
      <c r="R916" s="2">
        <v>0</v>
      </c>
      <c r="S916" s="2">
        <v>0</v>
      </c>
      <c r="T916" s="2">
        <v>2</v>
      </c>
      <c r="U916" s="2">
        <v>0</v>
      </c>
      <c r="V916" s="2">
        <v>0</v>
      </c>
      <c r="W916" s="2">
        <v>31</v>
      </c>
      <c r="X916" s="2">
        <v>0</v>
      </c>
      <c r="Y916" s="2">
        <v>1</v>
      </c>
      <c r="Z916" s="2">
        <v>0</v>
      </c>
      <c r="AA916" s="2">
        <v>1</v>
      </c>
      <c r="AB916" s="2">
        <v>2</v>
      </c>
      <c r="AC916" s="2">
        <v>1</v>
      </c>
      <c r="AD916" s="2">
        <v>1</v>
      </c>
      <c r="AE916" s="2">
        <v>0</v>
      </c>
      <c r="AF916" s="2">
        <v>0</v>
      </c>
    </row>
    <row r="917" spans="1:32" x14ac:dyDescent="0.25">
      <c r="A917">
        <v>916</v>
      </c>
      <c r="B917" s="2">
        <v>1</v>
      </c>
      <c r="C917" s="2">
        <v>48</v>
      </c>
      <c r="D917" s="2">
        <v>0</v>
      </c>
      <c r="E917" s="2">
        <v>0</v>
      </c>
      <c r="F917" s="2">
        <v>0</v>
      </c>
      <c r="G917" s="2">
        <v>0</v>
      </c>
      <c r="H917" s="2">
        <v>0</v>
      </c>
      <c r="I917" s="2">
        <v>0</v>
      </c>
      <c r="J917" s="2">
        <v>0</v>
      </c>
      <c r="K917" s="2">
        <v>18424</v>
      </c>
      <c r="L917" s="2">
        <v>0</v>
      </c>
      <c r="M917" s="2">
        <v>2</v>
      </c>
      <c r="N917" s="2">
        <v>1</v>
      </c>
      <c r="O917" s="2">
        <v>0</v>
      </c>
      <c r="P917" s="2">
        <v>0</v>
      </c>
      <c r="Q917" s="2">
        <v>0</v>
      </c>
      <c r="R917" s="2">
        <v>0</v>
      </c>
      <c r="S917" s="2">
        <v>0</v>
      </c>
      <c r="T917" s="2">
        <v>2</v>
      </c>
      <c r="U917" s="2">
        <v>0</v>
      </c>
      <c r="V917" s="2">
        <v>0</v>
      </c>
      <c r="W917" s="2">
        <v>32</v>
      </c>
      <c r="X917" s="2">
        <v>1</v>
      </c>
      <c r="Y917" s="2">
        <v>0</v>
      </c>
      <c r="Z917" s="2">
        <v>1</v>
      </c>
      <c r="AA917" s="2">
        <v>1</v>
      </c>
      <c r="AB917" s="2">
        <v>3</v>
      </c>
      <c r="AC917" s="2">
        <v>1</v>
      </c>
      <c r="AD917" s="2">
        <v>1</v>
      </c>
      <c r="AE917" s="2">
        <v>1</v>
      </c>
      <c r="AF917" s="2">
        <v>0</v>
      </c>
    </row>
    <row r="918" spans="1:32" x14ac:dyDescent="0.25">
      <c r="A918">
        <v>917</v>
      </c>
      <c r="B918" s="2">
        <v>3</v>
      </c>
      <c r="C918" s="2">
        <v>10</v>
      </c>
      <c r="D918" s="2">
        <v>2</v>
      </c>
      <c r="E918" s="2">
        <v>0</v>
      </c>
      <c r="F918" s="2">
        <v>1</v>
      </c>
      <c r="G918" s="2">
        <v>0</v>
      </c>
      <c r="H918" s="2">
        <v>0</v>
      </c>
      <c r="I918" s="2">
        <v>0</v>
      </c>
      <c r="J918" s="2">
        <v>0</v>
      </c>
      <c r="K918" s="2">
        <v>2848</v>
      </c>
      <c r="L918" s="2">
        <v>1</v>
      </c>
      <c r="M918" s="2">
        <v>2</v>
      </c>
      <c r="N918" s="2">
        <v>1</v>
      </c>
      <c r="O918" s="2">
        <v>0</v>
      </c>
      <c r="P918" s="2">
        <v>1</v>
      </c>
      <c r="Q918" s="2">
        <v>0</v>
      </c>
      <c r="R918" s="2">
        <v>1</v>
      </c>
      <c r="S918" s="2">
        <v>0</v>
      </c>
      <c r="T918" s="2">
        <v>2</v>
      </c>
      <c r="U918" s="2">
        <v>1</v>
      </c>
      <c r="V918" s="2">
        <v>0</v>
      </c>
      <c r="W918" s="2">
        <v>32</v>
      </c>
      <c r="X918" s="2">
        <v>0</v>
      </c>
      <c r="Y918" s="2">
        <v>0</v>
      </c>
      <c r="Z918" s="2">
        <v>1</v>
      </c>
      <c r="AA918" s="2">
        <v>1</v>
      </c>
      <c r="AB918" s="2">
        <v>2</v>
      </c>
      <c r="AC918" s="2">
        <v>2</v>
      </c>
      <c r="AD918" s="2">
        <v>0</v>
      </c>
      <c r="AE918" s="2">
        <v>0</v>
      </c>
      <c r="AF918" s="2">
        <v>1</v>
      </c>
    </row>
    <row r="919" spans="1:32" x14ac:dyDescent="0.25">
      <c r="A919">
        <v>918</v>
      </c>
      <c r="B919" s="2">
        <v>0</v>
      </c>
      <c r="C919" s="2">
        <v>6</v>
      </c>
      <c r="D919" s="2">
        <v>2</v>
      </c>
      <c r="E919" s="2">
        <v>1</v>
      </c>
      <c r="F919" s="2">
        <v>0</v>
      </c>
      <c r="G919" s="2">
        <v>0</v>
      </c>
      <c r="H919" s="2">
        <v>0</v>
      </c>
      <c r="I919" s="2">
        <v>0</v>
      </c>
      <c r="J919" s="2">
        <v>0</v>
      </c>
      <c r="K919" s="2">
        <v>14896</v>
      </c>
      <c r="L919" s="2">
        <v>0</v>
      </c>
      <c r="M919" s="2">
        <v>4</v>
      </c>
      <c r="N919" s="2">
        <v>1</v>
      </c>
      <c r="O919" s="2">
        <v>0</v>
      </c>
      <c r="P919" s="2">
        <v>1</v>
      </c>
      <c r="Q919" s="2">
        <v>0</v>
      </c>
      <c r="R919" s="2">
        <v>0</v>
      </c>
      <c r="S919" s="2">
        <v>0</v>
      </c>
      <c r="T919" s="2">
        <v>4</v>
      </c>
      <c r="U919" s="2">
        <v>0</v>
      </c>
      <c r="V919" s="2">
        <v>1</v>
      </c>
      <c r="W919" s="2">
        <v>68</v>
      </c>
      <c r="X919" s="2">
        <v>1</v>
      </c>
      <c r="Y919" s="2">
        <v>0</v>
      </c>
      <c r="Z919" s="2">
        <v>1</v>
      </c>
      <c r="AA919" s="2">
        <v>1</v>
      </c>
      <c r="AB919" s="2">
        <v>3</v>
      </c>
      <c r="AC919" s="2">
        <v>1</v>
      </c>
      <c r="AD919" s="2">
        <v>1</v>
      </c>
      <c r="AE919" s="2">
        <v>0</v>
      </c>
      <c r="AF919" s="2">
        <v>0</v>
      </c>
    </row>
    <row r="920" spans="1:32" x14ac:dyDescent="0.25">
      <c r="A920">
        <v>919</v>
      </c>
      <c r="B920" s="2">
        <v>0</v>
      </c>
      <c r="C920" s="2">
        <v>24</v>
      </c>
      <c r="D920" s="2">
        <v>2</v>
      </c>
      <c r="E920" s="2">
        <v>0</v>
      </c>
      <c r="F920" s="2">
        <v>0</v>
      </c>
      <c r="G920" s="2">
        <v>1</v>
      </c>
      <c r="H920" s="2">
        <v>0</v>
      </c>
      <c r="I920" s="2">
        <v>0</v>
      </c>
      <c r="J920" s="2">
        <v>0</v>
      </c>
      <c r="K920" s="2">
        <v>2359</v>
      </c>
      <c r="L920" s="2">
        <v>1</v>
      </c>
      <c r="M920" s="2">
        <v>0</v>
      </c>
      <c r="N920" s="2">
        <v>1</v>
      </c>
      <c r="O920" s="2">
        <v>1</v>
      </c>
      <c r="P920" s="2">
        <v>0</v>
      </c>
      <c r="Q920" s="2">
        <v>0</v>
      </c>
      <c r="R920" s="2">
        <v>0</v>
      </c>
      <c r="S920" s="2">
        <v>0</v>
      </c>
      <c r="T920" s="2">
        <v>1</v>
      </c>
      <c r="U920" s="2">
        <v>0</v>
      </c>
      <c r="V920" s="2">
        <v>0</v>
      </c>
      <c r="W920" s="2">
        <v>33</v>
      </c>
      <c r="X920" s="2">
        <v>0</v>
      </c>
      <c r="Y920" s="2">
        <v>0</v>
      </c>
      <c r="Z920" s="2">
        <v>1</v>
      </c>
      <c r="AA920" s="2">
        <v>1</v>
      </c>
      <c r="AB920" s="2">
        <v>2</v>
      </c>
      <c r="AC920" s="2">
        <v>1</v>
      </c>
      <c r="AD920" s="2">
        <v>0</v>
      </c>
      <c r="AE920" s="2">
        <v>0</v>
      </c>
      <c r="AF920" s="2">
        <v>0</v>
      </c>
    </row>
    <row r="921" spans="1:32" x14ac:dyDescent="0.25">
      <c r="A921">
        <v>920</v>
      </c>
      <c r="B921" s="2">
        <v>0</v>
      </c>
      <c r="C921" s="2">
        <v>24</v>
      </c>
      <c r="D921" s="2">
        <v>2</v>
      </c>
      <c r="E921" s="2">
        <v>0</v>
      </c>
      <c r="F921" s="2">
        <v>0</v>
      </c>
      <c r="G921" s="2">
        <v>1</v>
      </c>
      <c r="H921" s="2">
        <v>0</v>
      </c>
      <c r="I921" s="2">
        <v>0</v>
      </c>
      <c r="J921" s="2">
        <v>0</v>
      </c>
      <c r="K921" s="2">
        <v>3345</v>
      </c>
      <c r="L921" s="2">
        <v>0</v>
      </c>
      <c r="M921" s="2">
        <v>4</v>
      </c>
      <c r="N921" s="2">
        <v>4</v>
      </c>
      <c r="O921" s="2">
        <v>0</v>
      </c>
      <c r="P921" s="2">
        <v>1</v>
      </c>
      <c r="Q921" s="2">
        <v>0</v>
      </c>
      <c r="R921" s="2">
        <v>0</v>
      </c>
      <c r="S921" s="2">
        <v>0</v>
      </c>
      <c r="T921" s="2">
        <v>2</v>
      </c>
      <c r="U921" s="2">
        <v>0</v>
      </c>
      <c r="V921" s="2">
        <v>0</v>
      </c>
      <c r="W921" s="2">
        <v>39</v>
      </c>
      <c r="X921" s="2">
        <v>0</v>
      </c>
      <c r="Y921" s="2">
        <v>1</v>
      </c>
      <c r="Z921" s="2">
        <v>0</v>
      </c>
      <c r="AA921" s="2">
        <v>1</v>
      </c>
      <c r="AB921" s="2">
        <v>3</v>
      </c>
      <c r="AC921" s="2">
        <v>1</v>
      </c>
      <c r="AD921" s="2">
        <v>1</v>
      </c>
      <c r="AE921" s="2">
        <v>0</v>
      </c>
      <c r="AF921" s="2">
        <v>0</v>
      </c>
    </row>
    <row r="922" spans="1:32" x14ac:dyDescent="0.25">
      <c r="A922">
        <v>921</v>
      </c>
      <c r="B922" s="2">
        <v>3</v>
      </c>
      <c r="C922" s="2">
        <v>18</v>
      </c>
      <c r="D922" s="2">
        <v>4</v>
      </c>
      <c r="E922" s="2">
        <v>0</v>
      </c>
      <c r="F922" s="2">
        <v>0</v>
      </c>
      <c r="G922" s="2">
        <v>1</v>
      </c>
      <c r="H922" s="2">
        <v>0</v>
      </c>
      <c r="I922" s="2">
        <v>0</v>
      </c>
      <c r="J922" s="2">
        <v>0</v>
      </c>
      <c r="K922" s="2">
        <v>1817</v>
      </c>
      <c r="L922" s="2">
        <v>0</v>
      </c>
      <c r="M922" s="2">
        <v>2</v>
      </c>
      <c r="N922" s="2">
        <v>4</v>
      </c>
      <c r="O922" s="2">
        <v>0</v>
      </c>
      <c r="P922" s="2">
        <v>0</v>
      </c>
      <c r="Q922" s="2">
        <v>0</v>
      </c>
      <c r="R922" s="2">
        <v>0</v>
      </c>
      <c r="S922" s="2">
        <v>0</v>
      </c>
      <c r="T922" s="2">
        <v>2</v>
      </c>
      <c r="U922" s="2">
        <v>0</v>
      </c>
      <c r="V922" s="2">
        <v>1</v>
      </c>
      <c r="W922" s="2">
        <v>28</v>
      </c>
      <c r="X922" s="2">
        <v>0</v>
      </c>
      <c r="Y922" s="2">
        <v>0</v>
      </c>
      <c r="Z922" s="2">
        <v>1</v>
      </c>
      <c r="AA922" s="2">
        <v>2</v>
      </c>
      <c r="AB922" s="2">
        <v>2</v>
      </c>
      <c r="AC922" s="2">
        <v>1</v>
      </c>
      <c r="AD922" s="2">
        <v>0</v>
      </c>
      <c r="AE922" s="2">
        <v>0</v>
      </c>
      <c r="AF922" s="2">
        <v>1</v>
      </c>
    </row>
    <row r="923" spans="1:32" x14ac:dyDescent="0.25">
      <c r="A923">
        <v>922</v>
      </c>
      <c r="B923" s="2">
        <v>3</v>
      </c>
      <c r="C923" s="2">
        <v>48</v>
      </c>
      <c r="D923" s="2">
        <v>3</v>
      </c>
      <c r="E923" s="2">
        <v>0</v>
      </c>
      <c r="F923" s="2">
        <v>0</v>
      </c>
      <c r="G923" s="2">
        <v>0</v>
      </c>
      <c r="H923" s="2">
        <v>1</v>
      </c>
      <c r="I923" s="2">
        <v>0</v>
      </c>
      <c r="J923" s="2">
        <v>0</v>
      </c>
      <c r="K923" s="2">
        <v>12749</v>
      </c>
      <c r="L923" s="2">
        <v>2</v>
      </c>
      <c r="M923" s="2">
        <v>3</v>
      </c>
      <c r="N923" s="2">
        <v>4</v>
      </c>
      <c r="O923" s="2">
        <v>0</v>
      </c>
      <c r="P923" s="2">
        <v>1</v>
      </c>
      <c r="Q923" s="2">
        <v>0</v>
      </c>
      <c r="R923" s="2">
        <v>0</v>
      </c>
      <c r="S923" s="2">
        <v>0</v>
      </c>
      <c r="T923" s="2">
        <v>1</v>
      </c>
      <c r="U923" s="2">
        <v>0</v>
      </c>
      <c r="V923" s="2">
        <v>0</v>
      </c>
      <c r="W923" s="2">
        <v>37</v>
      </c>
      <c r="X923" s="2">
        <v>0</v>
      </c>
      <c r="Y923" s="2">
        <v>0</v>
      </c>
      <c r="Z923" s="2">
        <v>1</v>
      </c>
      <c r="AA923" s="2">
        <v>1</v>
      </c>
      <c r="AB923" s="2">
        <v>3</v>
      </c>
      <c r="AC923" s="2">
        <v>1</v>
      </c>
      <c r="AD923" s="2">
        <v>1</v>
      </c>
      <c r="AE923" s="2">
        <v>0</v>
      </c>
      <c r="AF923" s="2">
        <v>1</v>
      </c>
    </row>
    <row r="924" spans="1:32" x14ac:dyDescent="0.25">
      <c r="A924">
        <v>923</v>
      </c>
      <c r="B924" s="2">
        <v>0</v>
      </c>
      <c r="C924" s="2">
        <v>9</v>
      </c>
      <c r="D924" s="2">
        <v>2</v>
      </c>
      <c r="E924" s="2">
        <v>0</v>
      </c>
      <c r="F924" s="2">
        <v>0</v>
      </c>
      <c r="G924" s="2">
        <v>0</v>
      </c>
      <c r="H924" s="2">
        <v>1</v>
      </c>
      <c r="I924" s="2">
        <v>0</v>
      </c>
      <c r="J924" s="2">
        <v>0</v>
      </c>
      <c r="K924" s="2">
        <v>1366</v>
      </c>
      <c r="L924" s="2">
        <v>0</v>
      </c>
      <c r="M924" s="2">
        <v>1</v>
      </c>
      <c r="N924" s="2">
        <v>3</v>
      </c>
      <c r="O924" s="2">
        <v>0</v>
      </c>
      <c r="P924" s="2">
        <v>0</v>
      </c>
      <c r="Q924" s="2">
        <v>0</v>
      </c>
      <c r="R924" s="2">
        <v>0</v>
      </c>
      <c r="S924" s="2">
        <v>0</v>
      </c>
      <c r="T924" s="2">
        <v>4</v>
      </c>
      <c r="U924" s="2">
        <v>0</v>
      </c>
      <c r="V924" s="2">
        <v>0</v>
      </c>
      <c r="W924" s="2">
        <v>22</v>
      </c>
      <c r="X924" s="2">
        <v>0</v>
      </c>
      <c r="Y924" s="2">
        <v>1</v>
      </c>
      <c r="Z924" s="2">
        <v>0</v>
      </c>
      <c r="AA924" s="2">
        <v>1</v>
      </c>
      <c r="AB924" s="2">
        <v>2</v>
      </c>
      <c r="AC924" s="2">
        <v>1</v>
      </c>
      <c r="AD924" s="2">
        <v>0</v>
      </c>
      <c r="AE924" s="2">
        <v>0</v>
      </c>
      <c r="AF924" s="2">
        <v>0</v>
      </c>
    </row>
    <row r="925" spans="1:32" x14ac:dyDescent="0.25">
      <c r="A925">
        <v>924</v>
      </c>
      <c r="B925" s="2">
        <v>1</v>
      </c>
      <c r="C925" s="2">
        <v>12</v>
      </c>
      <c r="D925" s="2">
        <v>2</v>
      </c>
      <c r="E925" s="2">
        <v>1</v>
      </c>
      <c r="F925" s="2">
        <v>0</v>
      </c>
      <c r="G925" s="2">
        <v>0</v>
      </c>
      <c r="H925" s="2">
        <v>0</v>
      </c>
      <c r="I925" s="2">
        <v>0</v>
      </c>
      <c r="J925" s="2">
        <v>0</v>
      </c>
      <c r="K925" s="2">
        <v>2002</v>
      </c>
      <c r="L925" s="2">
        <v>0</v>
      </c>
      <c r="M925" s="2">
        <v>3</v>
      </c>
      <c r="N925" s="2">
        <v>3</v>
      </c>
      <c r="O925" s="2">
        <v>0</v>
      </c>
      <c r="P925" s="2">
        <v>1</v>
      </c>
      <c r="Q925" s="2">
        <v>0</v>
      </c>
      <c r="R925" s="2">
        <v>0</v>
      </c>
      <c r="S925" s="2">
        <v>0</v>
      </c>
      <c r="T925" s="2">
        <v>4</v>
      </c>
      <c r="U925" s="2">
        <v>0</v>
      </c>
      <c r="V925" s="2">
        <v>0</v>
      </c>
      <c r="W925" s="2">
        <v>30</v>
      </c>
      <c r="X925" s="2">
        <v>0</v>
      </c>
      <c r="Y925" s="2">
        <v>1</v>
      </c>
      <c r="Z925" s="2">
        <v>0</v>
      </c>
      <c r="AA925" s="2">
        <v>1</v>
      </c>
      <c r="AB925" s="2">
        <v>2</v>
      </c>
      <c r="AC925" s="2">
        <v>2</v>
      </c>
      <c r="AD925" s="2">
        <v>1</v>
      </c>
      <c r="AE925" s="2">
        <v>0</v>
      </c>
      <c r="AF925" s="2">
        <v>1</v>
      </c>
    </row>
    <row r="926" spans="1:32" x14ac:dyDescent="0.25">
      <c r="A926">
        <v>925</v>
      </c>
      <c r="B926" s="2">
        <v>0</v>
      </c>
      <c r="C926" s="2">
        <v>24</v>
      </c>
      <c r="D926" s="2">
        <v>1</v>
      </c>
      <c r="E926" s="2">
        <v>0</v>
      </c>
      <c r="F926" s="2">
        <v>0</v>
      </c>
      <c r="G926" s="2">
        <v>1</v>
      </c>
      <c r="H926" s="2">
        <v>0</v>
      </c>
      <c r="I926" s="2">
        <v>0</v>
      </c>
      <c r="J926" s="2">
        <v>0</v>
      </c>
      <c r="K926" s="2">
        <v>6872</v>
      </c>
      <c r="L926" s="2">
        <v>0</v>
      </c>
      <c r="M926" s="2">
        <v>1</v>
      </c>
      <c r="N926" s="2">
        <v>2</v>
      </c>
      <c r="O926" s="2">
        <v>1</v>
      </c>
      <c r="P926" s="2">
        <v>0</v>
      </c>
      <c r="Q926" s="2">
        <v>0</v>
      </c>
      <c r="R926" s="2">
        <v>0</v>
      </c>
      <c r="S926" s="2">
        <v>0</v>
      </c>
      <c r="T926" s="2">
        <v>1</v>
      </c>
      <c r="U926" s="2">
        <v>0</v>
      </c>
      <c r="V926" s="2">
        <v>0</v>
      </c>
      <c r="W926" s="2">
        <v>55</v>
      </c>
      <c r="X926" s="2">
        <v>1</v>
      </c>
      <c r="Y926" s="2">
        <v>0</v>
      </c>
      <c r="Z926" s="2">
        <v>1</v>
      </c>
      <c r="AA926" s="2">
        <v>1</v>
      </c>
      <c r="AB926" s="2">
        <v>2</v>
      </c>
      <c r="AC926" s="2">
        <v>1</v>
      </c>
      <c r="AD926" s="2">
        <v>1</v>
      </c>
      <c r="AE926" s="2">
        <v>0</v>
      </c>
      <c r="AF926" s="2">
        <v>0</v>
      </c>
    </row>
    <row r="927" spans="1:32" x14ac:dyDescent="0.25">
      <c r="A927">
        <v>926</v>
      </c>
      <c r="B927" s="2">
        <v>0</v>
      </c>
      <c r="C927" s="2">
        <v>12</v>
      </c>
      <c r="D927" s="2">
        <v>1</v>
      </c>
      <c r="E927" s="2">
        <v>1</v>
      </c>
      <c r="F927" s="2">
        <v>0</v>
      </c>
      <c r="G927" s="2">
        <v>0</v>
      </c>
      <c r="H927" s="2">
        <v>0</v>
      </c>
      <c r="I927" s="2">
        <v>0</v>
      </c>
      <c r="J927" s="2">
        <v>0</v>
      </c>
      <c r="K927" s="2">
        <v>697</v>
      </c>
      <c r="L927" s="2">
        <v>0</v>
      </c>
      <c r="M927" s="2">
        <v>1</v>
      </c>
      <c r="N927" s="2">
        <v>4</v>
      </c>
      <c r="O927" s="2">
        <v>0</v>
      </c>
      <c r="P927" s="2">
        <v>1</v>
      </c>
      <c r="Q927" s="2">
        <v>0</v>
      </c>
      <c r="R927" s="2">
        <v>0</v>
      </c>
      <c r="S927" s="2">
        <v>0</v>
      </c>
      <c r="T927" s="2">
        <v>2</v>
      </c>
      <c r="U927" s="2">
        <v>0</v>
      </c>
      <c r="V927" s="2">
        <v>0</v>
      </c>
      <c r="W927" s="2">
        <v>46</v>
      </c>
      <c r="X927" s="2">
        <v>1</v>
      </c>
      <c r="Y927" s="2">
        <v>0</v>
      </c>
      <c r="Z927" s="2">
        <v>1</v>
      </c>
      <c r="AA927" s="2">
        <v>2</v>
      </c>
      <c r="AB927" s="2">
        <v>2</v>
      </c>
      <c r="AC927" s="2">
        <v>1</v>
      </c>
      <c r="AD927" s="2">
        <v>1</v>
      </c>
      <c r="AE927" s="2">
        <v>0</v>
      </c>
      <c r="AF927" s="2">
        <v>0</v>
      </c>
    </row>
    <row r="928" spans="1:32" x14ac:dyDescent="0.25">
      <c r="A928">
        <v>927</v>
      </c>
      <c r="B928" s="2">
        <v>0</v>
      </c>
      <c r="C928" s="2">
        <v>18</v>
      </c>
      <c r="D928" s="2">
        <v>4</v>
      </c>
      <c r="E928" s="2">
        <v>0</v>
      </c>
      <c r="F928" s="2">
        <v>0</v>
      </c>
      <c r="G928" s="2">
        <v>1</v>
      </c>
      <c r="H928" s="2">
        <v>0</v>
      </c>
      <c r="I928" s="2">
        <v>0</v>
      </c>
      <c r="J928" s="2">
        <v>0</v>
      </c>
      <c r="K928" s="2">
        <v>1049</v>
      </c>
      <c r="L928" s="2">
        <v>0</v>
      </c>
      <c r="M928" s="2">
        <v>1</v>
      </c>
      <c r="N928" s="2">
        <v>4</v>
      </c>
      <c r="O928" s="2">
        <v>0</v>
      </c>
      <c r="P928" s="2">
        <v>0</v>
      </c>
      <c r="Q928" s="2">
        <v>0</v>
      </c>
      <c r="R928" s="2">
        <v>0</v>
      </c>
      <c r="S928" s="2">
        <v>0</v>
      </c>
      <c r="T928" s="2">
        <v>4</v>
      </c>
      <c r="U928" s="2">
        <v>0</v>
      </c>
      <c r="V928" s="2">
        <v>0</v>
      </c>
      <c r="W928" s="2">
        <v>21</v>
      </c>
      <c r="X928" s="2">
        <v>0</v>
      </c>
      <c r="Y928" s="2">
        <v>1</v>
      </c>
      <c r="Z928" s="2">
        <v>0</v>
      </c>
      <c r="AA928" s="2">
        <v>1</v>
      </c>
      <c r="AB928" s="2">
        <v>2</v>
      </c>
      <c r="AC928" s="2">
        <v>1</v>
      </c>
      <c r="AD928" s="2">
        <v>0</v>
      </c>
      <c r="AE928" s="2">
        <v>0</v>
      </c>
      <c r="AF928" s="2">
        <v>1</v>
      </c>
    </row>
    <row r="929" spans="1:32" x14ac:dyDescent="0.25">
      <c r="A929">
        <v>928</v>
      </c>
      <c r="B929" s="2">
        <v>0</v>
      </c>
      <c r="C929" s="2">
        <v>48</v>
      </c>
      <c r="D929" s="2">
        <v>2</v>
      </c>
      <c r="E929" s="2">
        <v>0</v>
      </c>
      <c r="F929" s="2">
        <v>1</v>
      </c>
      <c r="G929" s="2">
        <v>0</v>
      </c>
      <c r="H929" s="2">
        <v>0</v>
      </c>
      <c r="I929" s="2">
        <v>0</v>
      </c>
      <c r="J929" s="2">
        <v>0</v>
      </c>
      <c r="K929" s="2">
        <v>10297</v>
      </c>
      <c r="L929" s="2">
        <v>0</v>
      </c>
      <c r="M929" s="2">
        <v>3</v>
      </c>
      <c r="N929" s="2">
        <v>4</v>
      </c>
      <c r="O929" s="2">
        <v>0</v>
      </c>
      <c r="P929" s="2">
        <v>1</v>
      </c>
      <c r="Q929" s="2">
        <v>0</v>
      </c>
      <c r="R929" s="2">
        <v>0</v>
      </c>
      <c r="S929" s="2">
        <v>0</v>
      </c>
      <c r="T929" s="2">
        <v>4</v>
      </c>
      <c r="U929" s="2">
        <v>0</v>
      </c>
      <c r="V929" s="2">
        <v>1</v>
      </c>
      <c r="W929" s="2">
        <v>39</v>
      </c>
      <c r="X929" s="2">
        <v>1</v>
      </c>
      <c r="Y929" s="2">
        <v>0</v>
      </c>
      <c r="Z929" s="2">
        <v>0</v>
      </c>
      <c r="AA929" s="2">
        <v>3</v>
      </c>
      <c r="AB929" s="2">
        <v>2</v>
      </c>
      <c r="AC929" s="2">
        <v>2</v>
      </c>
      <c r="AD929" s="2">
        <v>1</v>
      </c>
      <c r="AE929" s="2">
        <v>0</v>
      </c>
      <c r="AF929" s="2">
        <v>0</v>
      </c>
    </row>
    <row r="930" spans="1:32" x14ac:dyDescent="0.25">
      <c r="A930">
        <v>929</v>
      </c>
      <c r="B930" s="2">
        <v>3</v>
      </c>
      <c r="C930" s="2">
        <v>30</v>
      </c>
      <c r="D930" s="2">
        <v>2</v>
      </c>
      <c r="E930" s="2">
        <v>0</v>
      </c>
      <c r="F930" s="2">
        <v>0</v>
      </c>
      <c r="G930" s="2">
        <v>0</v>
      </c>
      <c r="H930" s="2">
        <v>1</v>
      </c>
      <c r="I930" s="2">
        <v>0</v>
      </c>
      <c r="J930" s="2">
        <v>0</v>
      </c>
      <c r="K930" s="2">
        <v>1867</v>
      </c>
      <c r="L930" s="2">
        <v>4</v>
      </c>
      <c r="M930" s="2">
        <v>4</v>
      </c>
      <c r="N930" s="2">
        <v>4</v>
      </c>
      <c r="O930" s="2">
        <v>0</v>
      </c>
      <c r="P930" s="2">
        <v>1</v>
      </c>
      <c r="Q930" s="2">
        <v>0</v>
      </c>
      <c r="R930" s="2">
        <v>0</v>
      </c>
      <c r="S930" s="2">
        <v>0</v>
      </c>
      <c r="T930" s="2">
        <v>4</v>
      </c>
      <c r="U930" s="2">
        <v>0</v>
      </c>
      <c r="V930" s="2">
        <v>0</v>
      </c>
      <c r="W930" s="2">
        <v>58</v>
      </c>
      <c r="X930" s="2">
        <v>0</v>
      </c>
      <c r="Y930" s="2">
        <v>0</v>
      </c>
      <c r="Z930" s="2">
        <v>1</v>
      </c>
      <c r="AA930" s="2">
        <v>1</v>
      </c>
      <c r="AB930" s="2">
        <v>2</v>
      </c>
      <c r="AC930" s="2">
        <v>1</v>
      </c>
      <c r="AD930" s="2">
        <v>1</v>
      </c>
      <c r="AE930" s="2">
        <v>0</v>
      </c>
      <c r="AF930" s="2">
        <v>1</v>
      </c>
    </row>
    <row r="931" spans="1:32" x14ac:dyDescent="0.25">
      <c r="A931">
        <v>930</v>
      </c>
      <c r="B931" s="2">
        <v>0</v>
      </c>
      <c r="C931" s="2">
        <v>12</v>
      </c>
      <c r="D931" s="2">
        <v>3</v>
      </c>
      <c r="E931" s="2">
        <v>1</v>
      </c>
      <c r="F931" s="2">
        <v>0</v>
      </c>
      <c r="G931" s="2">
        <v>0</v>
      </c>
      <c r="H931" s="2">
        <v>0</v>
      </c>
      <c r="I931" s="2">
        <v>0</v>
      </c>
      <c r="J931" s="2">
        <v>0</v>
      </c>
      <c r="K931" s="2">
        <v>1344</v>
      </c>
      <c r="L931" s="2">
        <v>0</v>
      </c>
      <c r="M931" s="2">
        <v>2</v>
      </c>
      <c r="N931" s="2">
        <v>4</v>
      </c>
      <c r="O931" s="2">
        <v>0</v>
      </c>
      <c r="P931" s="2">
        <v>1</v>
      </c>
      <c r="Q931" s="2">
        <v>0</v>
      </c>
      <c r="R931" s="2">
        <v>0</v>
      </c>
      <c r="S931" s="2">
        <v>0</v>
      </c>
      <c r="T931" s="2">
        <v>2</v>
      </c>
      <c r="U931" s="2">
        <v>1</v>
      </c>
      <c r="V931" s="2">
        <v>0</v>
      </c>
      <c r="W931" s="2">
        <v>43</v>
      </c>
      <c r="X931" s="2">
        <v>0</v>
      </c>
      <c r="Y931" s="2">
        <v>0</v>
      </c>
      <c r="Z931" s="2">
        <v>1</v>
      </c>
      <c r="AA931" s="2">
        <v>2</v>
      </c>
      <c r="AB931" s="2">
        <v>1</v>
      </c>
      <c r="AC931" s="2">
        <v>2</v>
      </c>
      <c r="AD931" s="2">
        <v>0</v>
      </c>
      <c r="AE931" s="2">
        <v>0</v>
      </c>
      <c r="AF931" s="2">
        <v>1</v>
      </c>
    </row>
    <row r="932" spans="1:32" x14ac:dyDescent="0.25">
      <c r="A932">
        <v>931</v>
      </c>
      <c r="B932" s="2">
        <v>0</v>
      </c>
      <c r="C932" s="2">
        <v>24</v>
      </c>
      <c r="D932" s="2">
        <v>2</v>
      </c>
      <c r="E932" s="2">
        <v>0</v>
      </c>
      <c r="F932" s="2">
        <v>0</v>
      </c>
      <c r="G932" s="2">
        <v>1</v>
      </c>
      <c r="H932" s="2">
        <v>0</v>
      </c>
      <c r="I932" s="2">
        <v>0</v>
      </c>
      <c r="J932" s="2">
        <v>0</v>
      </c>
      <c r="K932" s="2">
        <v>1747</v>
      </c>
      <c r="L932" s="2">
        <v>0</v>
      </c>
      <c r="M932" s="2">
        <v>1</v>
      </c>
      <c r="N932" s="2">
        <v>4</v>
      </c>
      <c r="O932" s="2">
        <v>0</v>
      </c>
      <c r="P932" s="2">
        <v>1</v>
      </c>
      <c r="Q932" s="2">
        <v>0</v>
      </c>
      <c r="R932" s="2">
        <v>1</v>
      </c>
      <c r="S932" s="2">
        <v>0</v>
      </c>
      <c r="T932" s="2">
        <v>1</v>
      </c>
      <c r="U932" s="2">
        <v>0</v>
      </c>
      <c r="V932" s="2">
        <v>0</v>
      </c>
      <c r="W932" s="2">
        <v>24</v>
      </c>
      <c r="X932" s="2">
        <v>0</v>
      </c>
      <c r="Y932" s="2">
        <v>0</v>
      </c>
      <c r="Z932" s="2">
        <v>1</v>
      </c>
      <c r="AA932" s="2">
        <v>1</v>
      </c>
      <c r="AB932" s="2">
        <v>1</v>
      </c>
      <c r="AC932" s="2">
        <v>1</v>
      </c>
      <c r="AD932" s="2">
        <v>0</v>
      </c>
      <c r="AE932" s="2">
        <v>1</v>
      </c>
      <c r="AF932" s="2">
        <v>1</v>
      </c>
    </row>
    <row r="933" spans="1:32" x14ac:dyDescent="0.25">
      <c r="A933">
        <v>932</v>
      </c>
      <c r="B933" s="2">
        <v>1</v>
      </c>
      <c r="C933" s="2">
        <v>9</v>
      </c>
      <c r="D933" s="2">
        <v>2</v>
      </c>
      <c r="E933" s="2">
        <v>0</v>
      </c>
      <c r="F933" s="2">
        <v>0</v>
      </c>
      <c r="G933" s="2">
        <v>0</v>
      </c>
      <c r="H933" s="2">
        <v>1</v>
      </c>
      <c r="I933" s="2">
        <v>0</v>
      </c>
      <c r="J933" s="2">
        <v>0</v>
      </c>
      <c r="K933" s="2">
        <v>1670</v>
      </c>
      <c r="L933" s="2">
        <v>0</v>
      </c>
      <c r="M933" s="2">
        <v>1</v>
      </c>
      <c r="N933" s="2">
        <v>4</v>
      </c>
      <c r="O933" s="2">
        <v>0</v>
      </c>
      <c r="P933" s="2">
        <v>0</v>
      </c>
      <c r="Q933" s="2">
        <v>0</v>
      </c>
      <c r="R933" s="2">
        <v>0</v>
      </c>
      <c r="S933" s="2">
        <v>0</v>
      </c>
      <c r="T933" s="2">
        <v>2</v>
      </c>
      <c r="U933" s="2">
        <v>0</v>
      </c>
      <c r="V933" s="2">
        <v>0</v>
      </c>
      <c r="W933" s="2">
        <v>22</v>
      </c>
      <c r="X933" s="2">
        <v>0</v>
      </c>
      <c r="Y933" s="2">
        <v>0</v>
      </c>
      <c r="Z933" s="2">
        <v>1</v>
      </c>
      <c r="AA933" s="2">
        <v>1</v>
      </c>
      <c r="AB933" s="2">
        <v>2</v>
      </c>
      <c r="AC933" s="2">
        <v>1</v>
      </c>
      <c r="AD933" s="2">
        <v>1</v>
      </c>
      <c r="AE933" s="2">
        <v>0</v>
      </c>
      <c r="AF933" s="2">
        <v>0</v>
      </c>
    </row>
    <row r="934" spans="1:32" x14ac:dyDescent="0.25">
      <c r="A934">
        <v>933</v>
      </c>
      <c r="B934" s="2">
        <v>3</v>
      </c>
      <c r="C934" s="2">
        <v>9</v>
      </c>
      <c r="D934" s="2">
        <v>4</v>
      </c>
      <c r="E934" s="2">
        <v>1</v>
      </c>
      <c r="F934" s="2">
        <v>0</v>
      </c>
      <c r="G934" s="2">
        <v>0</v>
      </c>
      <c r="H934" s="2">
        <v>0</v>
      </c>
      <c r="I934" s="2">
        <v>0</v>
      </c>
      <c r="J934" s="2">
        <v>0</v>
      </c>
      <c r="K934" s="2">
        <v>1224</v>
      </c>
      <c r="L934" s="2">
        <v>0</v>
      </c>
      <c r="M934" s="2">
        <v>2</v>
      </c>
      <c r="N934" s="2">
        <v>3</v>
      </c>
      <c r="O934" s="2">
        <v>0</v>
      </c>
      <c r="P934" s="2">
        <v>1</v>
      </c>
      <c r="Q934" s="2">
        <v>0</v>
      </c>
      <c r="R934" s="2">
        <v>0</v>
      </c>
      <c r="S934" s="2">
        <v>0</v>
      </c>
      <c r="T934" s="2">
        <v>1</v>
      </c>
      <c r="U934" s="2">
        <v>1</v>
      </c>
      <c r="V934" s="2">
        <v>0</v>
      </c>
      <c r="W934" s="2">
        <v>30</v>
      </c>
      <c r="X934" s="2">
        <v>0</v>
      </c>
      <c r="Y934" s="2">
        <v>0</v>
      </c>
      <c r="Z934" s="2">
        <v>1</v>
      </c>
      <c r="AA934" s="2">
        <v>2</v>
      </c>
      <c r="AB934" s="2">
        <v>2</v>
      </c>
      <c r="AC934" s="2">
        <v>1</v>
      </c>
      <c r="AD934" s="2">
        <v>0</v>
      </c>
      <c r="AE934" s="2">
        <v>0</v>
      </c>
      <c r="AF934" s="2">
        <v>1</v>
      </c>
    </row>
    <row r="935" spans="1:32" x14ac:dyDescent="0.25">
      <c r="A935">
        <v>934</v>
      </c>
      <c r="B935" s="2">
        <v>3</v>
      </c>
      <c r="C935" s="2">
        <v>12</v>
      </c>
      <c r="D935" s="2">
        <v>4</v>
      </c>
      <c r="E935" s="2">
        <v>0</v>
      </c>
      <c r="F935" s="2">
        <v>0</v>
      </c>
      <c r="G935" s="2">
        <v>0</v>
      </c>
      <c r="H935" s="2">
        <v>1</v>
      </c>
      <c r="I935" s="2">
        <v>0</v>
      </c>
      <c r="J935" s="2">
        <v>0</v>
      </c>
      <c r="K935" s="2">
        <v>522</v>
      </c>
      <c r="L935" s="2">
        <v>2</v>
      </c>
      <c r="M935" s="2">
        <v>4</v>
      </c>
      <c r="N935" s="2">
        <v>4</v>
      </c>
      <c r="O935" s="2">
        <v>0</v>
      </c>
      <c r="P935" s="2">
        <v>1</v>
      </c>
      <c r="Q935" s="2">
        <v>0</v>
      </c>
      <c r="R935" s="2">
        <v>0</v>
      </c>
      <c r="S935" s="2">
        <v>0</v>
      </c>
      <c r="T935" s="2">
        <v>4</v>
      </c>
      <c r="U935" s="2">
        <v>0</v>
      </c>
      <c r="V935" s="2">
        <v>0</v>
      </c>
      <c r="W935" s="2">
        <v>42</v>
      </c>
      <c r="X935" s="2">
        <v>0</v>
      </c>
      <c r="Y935" s="2">
        <v>0</v>
      </c>
      <c r="Z935" s="2">
        <v>1</v>
      </c>
      <c r="AA935" s="2">
        <v>2</v>
      </c>
      <c r="AB935" s="2">
        <v>2</v>
      </c>
      <c r="AC935" s="2">
        <v>2</v>
      </c>
      <c r="AD935" s="2">
        <v>1</v>
      </c>
      <c r="AE935" s="2">
        <v>0</v>
      </c>
      <c r="AF935" s="2">
        <v>1</v>
      </c>
    </row>
    <row r="936" spans="1:32" x14ac:dyDescent="0.25">
      <c r="A936">
        <v>935</v>
      </c>
      <c r="B936" s="2">
        <v>0</v>
      </c>
      <c r="C936" s="2">
        <v>12</v>
      </c>
      <c r="D936" s="2">
        <v>2</v>
      </c>
      <c r="E936" s="2">
        <v>0</v>
      </c>
      <c r="F936" s="2">
        <v>0</v>
      </c>
      <c r="G936" s="2">
        <v>0</v>
      </c>
      <c r="H936" s="2">
        <v>1</v>
      </c>
      <c r="I936" s="2">
        <v>0</v>
      </c>
      <c r="J936" s="2">
        <v>0</v>
      </c>
      <c r="K936" s="2">
        <v>1498</v>
      </c>
      <c r="L936" s="2">
        <v>0</v>
      </c>
      <c r="M936" s="2">
        <v>2</v>
      </c>
      <c r="N936" s="2">
        <v>4</v>
      </c>
      <c r="O936" s="2">
        <v>0</v>
      </c>
      <c r="P936" s="2">
        <v>0</v>
      </c>
      <c r="Q936" s="2">
        <v>0</v>
      </c>
      <c r="R936" s="2">
        <v>0</v>
      </c>
      <c r="S936" s="2">
        <v>0</v>
      </c>
      <c r="T936" s="2">
        <v>1</v>
      </c>
      <c r="U936" s="2">
        <v>0</v>
      </c>
      <c r="V936" s="2">
        <v>0</v>
      </c>
      <c r="W936" s="2">
        <v>23</v>
      </c>
      <c r="X936" s="2">
        <v>1</v>
      </c>
      <c r="Y936" s="2">
        <v>0</v>
      </c>
      <c r="Z936" s="2">
        <v>1</v>
      </c>
      <c r="AA936" s="2">
        <v>1</v>
      </c>
      <c r="AB936" s="2">
        <v>2</v>
      </c>
      <c r="AC936" s="2">
        <v>1</v>
      </c>
      <c r="AD936" s="2">
        <v>0</v>
      </c>
      <c r="AE936" s="2">
        <v>0</v>
      </c>
      <c r="AF936" s="2">
        <v>1</v>
      </c>
    </row>
    <row r="937" spans="1:32" x14ac:dyDescent="0.25">
      <c r="A937">
        <v>936</v>
      </c>
      <c r="B937" s="2">
        <v>1</v>
      </c>
      <c r="C937" s="2">
        <v>30</v>
      </c>
      <c r="D937" s="2">
        <v>3</v>
      </c>
      <c r="E937" s="2">
        <v>0</v>
      </c>
      <c r="F937" s="2">
        <v>0</v>
      </c>
      <c r="G937" s="2">
        <v>0</v>
      </c>
      <c r="H937" s="2">
        <v>1</v>
      </c>
      <c r="I937" s="2">
        <v>0</v>
      </c>
      <c r="J937" s="2">
        <v>0</v>
      </c>
      <c r="K937" s="2">
        <v>1919</v>
      </c>
      <c r="L937" s="2">
        <v>1</v>
      </c>
      <c r="M937" s="2">
        <v>1</v>
      </c>
      <c r="N937" s="2">
        <v>4</v>
      </c>
      <c r="O937" s="2">
        <v>0</v>
      </c>
      <c r="P937" s="2">
        <v>1</v>
      </c>
      <c r="Q937" s="2">
        <v>0</v>
      </c>
      <c r="R937" s="2">
        <v>0</v>
      </c>
      <c r="S937" s="2">
        <v>0</v>
      </c>
      <c r="T937" s="2">
        <v>3</v>
      </c>
      <c r="U937" s="2">
        <v>0</v>
      </c>
      <c r="V937" s="2">
        <v>1</v>
      </c>
      <c r="W937" s="2">
        <v>30</v>
      </c>
      <c r="X937" s="2">
        <v>1</v>
      </c>
      <c r="Y937" s="2">
        <v>0</v>
      </c>
      <c r="Z937" s="2">
        <v>1</v>
      </c>
      <c r="AA937" s="2">
        <v>2</v>
      </c>
      <c r="AB937" s="2">
        <v>3</v>
      </c>
      <c r="AC937" s="2">
        <v>1</v>
      </c>
      <c r="AD937" s="2">
        <v>0</v>
      </c>
      <c r="AE937" s="2">
        <v>0</v>
      </c>
      <c r="AF937" s="2">
        <v>0</v>
      </c>
    </row>
    <row r="938" spans="1:32" x14ac:dyDescent="0.25">
      <c r="A938">
        <v>937</v>
      </c>
      <c r="B938" s="2">
        <v>2</v>
      </c>
      <c r="C938" s="2">
        <v>9</v>
      </c>
      <c r="D938" s="2">
        <v>2</v>
      </c>
      <c r="E938" s="2">
        <v>0</v>
      </c>
      <c r="F938" s="2">
        <v>0</v>
      </c>
      <c r="G938" s="2">
        <v>0</v>
      </c>
      <c r="H938" s="2">
        <v>1</v>
      </c>
      <c r="I938" s="2">
        <v>0</v>
      </c>
      <c r="J938" s="2">
        <v>0</v>
      </c>
      <c r="K938" s="2">
        <v>745</v>
      </c>
      <c r="L938" s="2">
        <v>0</v>
      </c>
      <c r="M938" s="2">
        <v>2</v>
      </c>
      <c r="N938" s="2">
        <v>3</v>
      </c>
      <c r="O938" s="2">
        <v>0</v>
      </c>
      <c r="P938" s="2">
        <v>0</v>
      </c>
      <c r="Q938" s="2">
        <v>0</v>
      </c>
      <c r="R938" s="2">
        <v>0</v>
      </c>
      <c r="S938" s="2">
        <v>0</v>
      </c>
      <c r="T938" s="2">
        <v>2</v>
      </c>
      <c r="U938" s="2">
        <v>1</v>
      </c>
      <c r="V938" s="2">
        <v>0</v>
      </c>
      <c r="W938" s="2">
        <v>28</v>
      </c>
      <c r="X938" s="2">
        <v>0</v>
      </c>
      <c r="Y938" s="2">
        <v>0</v>
      </c>
      <c r="Z938" s="2">
        <v>1</v>
      </c>
      <c r="AA938" s="2">
        <v>1</v>
      </c>
      <c r="AB938" s="2">
        <v>1</v>
      </c>
      <c r="AC938" s="2">
        <v>1</v>
      </c>
      <c r="AD938" s="2">
        <v>0</v>
      </c>
      <c r="AE938" s="2">
        <v>0</v>
      </c>
      <c r="AF938" s="2">
        <v>0</v>
      </c>
    </row>
    <row r="939" spans="1:32" x14ac:dyDescent="0.25">
      <c r="A939">
        <v>938</v>
      </c>
      <c r="B939" s="2">
        <v>1</v>
      </c>
      <c r="C939" s="2">
        <v>6</v>
      </c>
      <c r="D939" s="2">
        <v>2</v>
      </c>
      <c r="E939" s="2">
        <v>0</v>
      </c>
      <c r="F939" s="2">
        <v>0</v>
      </c>
      <c r="G939" s="2">
        <v>0</v>
      </c>
      <c r="H939" s="2">
        <v>1</v>
      </c>
      <c r="I939" s="2">
        <v>0</v>
      </c>
      <c r="J939" s="2">
        <v>0</v>
      </c>
      <c r="K939" s="2">
        <v>2063</v>
      </c>
      <c r="L939" s="2">
        <v>0</v>
      </c>
      <c r="M939" s="2">
        <v>1</v>
      </c>
      <c r="N939" s="2">
        <v>4</v>
      </c>
      <c r="O939" s="2">
        <v>0</v>
      </c>
      <c r="P939" s="2">
        <v>0</v>
      </c>
      <c r="Q939" s="2">
        <v>1</v>
      </c>
      <c r="R939" s="2">
        <v>0</v>
      </c>
      <c r="S939" s="2">
        <v>0</v>
      </c>
      <c r="T939" s="2">
        <v>3</v>
      </c>
      <c r="U939" s="2">
        <v>0</v>
      </c>
      <c r="V939" s="2">
        <v>0</v>
      </c>
      <c r="W939" s="2">
        <v>30</v>
      </c>
      <c r="X939" s="2">
        <v>0</v>
      </c>
      <c r="Y939" s="2">
        <v>1</v>
      </c>
      <c r="Z939" s="2">
        <v>0</v>
      </c>
      <c r="AA939" s="2">
        <v>1</v>
      </c>
      <c r="AB939" s="2">
        <v>3</v>
      </c>
      <c r="AC939" s="2">
        <v>1</v>
      </c>
      <c r="AD939" s="2">
        <v>1</v>
      </c>
      <c r="AE939" s="2">
        <v>0</v>
      </c>
      <c r="AF939" s="2">
        <v>1</v>
      </c>
    </row>
    <row r="940" spans="1:32" x14ac:dyDescent="0.25">
      <c r="A940">
        <v>939</v>
      </c>
      <c r="B940" s="2">
        <v>1</v>
      </c>
      <c r="C940" s="2">
        <v>60</v>
      </c>
      <c r="D940" s="2">
        <v>2</v>
      </c>
      <c r="E940" s="2">
        <v>0</v>
      </c>
      <c r="F940" s="2">
        <v>0</v>
      </c>
      <c r="G940" s="2">
        <v>0</v>
      </c>
      <c r="H940" s="2">
        <v>0</v>
      </c>
      <c r="I940" s="2">
        <v>1</v>
      </c>
      <c r="J940" s="2">
        <v>0</v>
      </c>
      <c r="K940" s="2">
        <v>6288</v>
      </c>
      <c r="L940" s="2">
        <v>0</v>
      </c>
      <c r="M940" s="2">
        <v>2</v>
      </c>
      <c r="N940" s="2">
        <v>4</v>
      </c>
      <c r="O940" s="2">
        <v>0</v>
      </c>
      <c r="P940" s="2">
        <v>1</v>
      </c>
      <c r="Q940" s="2">
        <v>0</v>
      </c>
      <c r="R940" s="2">
        <v>0</v>
      </c>
      <c r="S940" s="2">
        <v>0</v>
      </c>
      <c r="T940" s="2">
        <v>4</v>
      </c>
      <c r="U940" s="2">
        <v>0</v>
      </c>
      <c r="V940" s="2">
        <v>1</v>
      </c>
      <c r="W940" s="2">
        <v>42</v>
      </c>
      <c r="X940" s="2">
        <v>0</v>
      </c>
      <c r="Y940" s="2">
        <v>0</v>
      </c>
      <c r="Z940" s="2">
        <v>0</v>
      </c>
      <c r="AA940" s="2">
        <v>1</v>
      </c>
      <c r="AB940" s="2">
        <v>2</v>
      </c>
      <c r="AC940" s="2">
        <v>1</v>
      </c>
      <c r="AD940" s="2">
        <v>0</v>
      </c>
      <c r="AE940" s="2">
        <v>0</v>
      </c>
      <c r="AF940" s="2">
        <v>0</v>
      </c>
    </row>
    <row r="941" spans="1:32" x14ac:dyDescent="0.25">
      <c r="A941">
        <v>940</v>
      </c>
      <c r="B941" s="2">
        <v>3</v>
      </c>
      <c r="C941" s="2">
        <v>24</v>
      </c>
      <c r="D941" s="2">
        <v>4</v>
      </c>
      <c r="E941" s="2">
        <v>0</v>
      </c>
      <c r="F941" s="2">
        <v>1</v>
      </c>
      <c r="G941" s="2">
        <v>0</v>
      </c>
      <c r="H941" s="2">
        <v>0</v>
      </c>
      <c r="I941" s="2">
        <v>0</v>
      </c>
      <c r="J941" s="2">
        <v>0</v>
      </c>
      <c r="K941" s="2">
        <v>6842</v>
      </c>
      <c r="L941" s="2">
        <v>4</v>
      </c>
      <c r="M941" s="2">
        <v>2</v>
      </c>
      <c r="N941" s="2">
        <v>2</v>
      </c>
      <c r="O941" s="2">
        <v>0</v>
      </c>
      <c r="P941" s="2">
        <v>1</v>
      </c>
      <c r="Q941" s="2">
        <v>0</v>
      </c>
      <c r="R941" s="2">
        <v>0</v>
      </c>
      <c r="S941" s="2">
        <v>0</v>
      </c>
      <c r="T941" s="2">
        <v>4</v>
      </c>
      <c r="U941" s="2">
        <v>0</v>
      </c>
      <c r="V941" s="2">
        <v>0</v>
      </c>
      <c r="W941" s="2">
        <v>46</v>
      </c>
      <c r="X941" s="2">
        <v>0</v>
      </c>
      <c r="Y941" s="2">
        <v>0</v>
      </c>
      <c r="Z941" s="2">
        <v>1</v>
      </c>
      <c r="AA941" s="2">
        <v>2</v>
      </c>
      <c r="AB941" s="2">
        <v>3</v>
      </c>
      <c r="AC941" s="2">
        <v>2</v>
      </c>
      <c r="AD941" s="2">
        <v>1</v>
      </c>
      <c r="AE941" s="2">
        <v>0</v>
      </c>
      <c r="AF941" s="2">
        <v>1</v>
      </c>
    </row>
    <row r="942" spans="1:32" x14ac:dyDescent="0.25">
      <c r="A942">
        <v>941</v>
      </c>
      <c r="B942" s="2">
        <v>3</v>
      </c>
      <c r="C942" s="2">
        <v>12</v>
      </c>
      <c r="D942" s="2">
        <v>2</v>
      </c>
      <c r="E942" s="2">
        <v>1</v>
      </c>
      <c r="F942" s="2">
        <v>0</v>
      </c>
      <c r="G942" s="2">
        <v>0</v>
      </c>
      <c r="H942" s="2">
        <v>0</v>
      </c>
      <c r="I942" s="2">
        <v>0</v>
      </c>
      <c r="J942" s="2">
        <v>0</v>
      </c>
      <c r="K942" s="2">
        <v>3527</v>
      </c>
      <c r="L942" s="2">
        <v>4</v>
      </c>
      <c r="M942" s="2">
        <v>1</v>
      </c>
      <c r="N942" s="2">
        <v>2</v>
      </c>
      <c r="O942" s="2">
        <v>0</v>
      </c>
      <c r="P942" s="2">
        <v>1</v>
      </c>
      <c r="Q942" s="2">
        <v>0</v>
      </c>
      <c r="R942" s="2">
        <v>0</v>
      </c>
      <c r="S942" s="2">
        <v>0</v>
      </c>
      <c r="T942" s="2">
        <v>3</v>
      </c>
      <c r="U942" s="2">
        <v>0</v>
      </c>
      <c r="V942" s="2">
        <v>0</v>
      </c>
      <c r="W942" s="2">
        <v>45</v>
      </c>
      <c r="X942" s="2">
        <v>0</v>
      </c>
      <c r="Y942" s="2">
        <v>0</v>
      </c>
      <c r="Z942" s="2">
        <v>1</v>
      </c>
      <c r="AA942" s="2">
        <v>1</v>
      </c>
      <c r="AB942" s="2">
        <v>3</v>
      </c>
      <c r="AC942" s="2">
        <v>2</v>
      </c>
      <c r="AD942" s="2">
        <v>1</v>
      </c>
      <c r="AE942" s="2">
        <v>0</v>
      </c>
      <c r="AF942" s="2">
        <v>1</v>
      </c>
    </row>
    <row r="943" spans="1:32" x14ac:dyDescent="0.25">
      <c r="A943">
        <v>942</v>
      </c>
      <c r="B943" s="2">
        <v>3</v>
      </c>
      <c r="C943" s="2">
        <v>10</v>
      </c>
      <c r="D943" s="2">
        <v>2</v>
      </c>
      <c r="E943" s="2">
        <v>1</v>
      </c>
      <c r="F943" s="2">
        <v>0</v>
      </c>
      <c r="G943" s="2">
        <v>0</v>
      </c>
      <c r="H943" s="2">
        <v>0</v>
      </c>
      <c r="I943" s="2">
        <v>0</v>
      </c>
      <c r="J943" s="2">
        <v>0</v>
      </c>
      <c r="K943" s="2">
        <v>1546</v>
      </c>
      <c r="L943" s="2">
        <v>0</v>
      </c>
      <c r="M943" s="2">
        <v>2</v>
      </c>
      <c r="N943" s="2">
        <v>3</v>
      </c>
      <c r="O943" s="2">
        <v>0</v>
      </c>
      <c r="P943" s="2">
        <v>1</v>
      </c>
      <c r="Q943" s="2">
        <v>0</v>
      </c>
      <c r="R943" s="2">
        <v>0</v>
      </c>
      <c r="S943" s="2">
        <v>0</v>
      </c>
      <c r="T943" s="2">
        <v>2</v>
      </c>
      <c r="U943" s="2">
        <v>1</v>
      </c>
      <c r="V943" s="2">
        <v>0</v>
      </c>
      <c r="W943" s="2">
        <v>31</v>
      </c>
      <c r="X943" s="2">
        <v>0</v>
      </c>
      <c r="Y943" s="2">
        <v>0</v>
      </c>
      <c r="Z943" s="2">
        <v>1</v>
      </c>
      <c r="AA943" s="2">
        <v>1</v>
      </c>
      <c r="AB943" s="2">
        <v>1</v>
      </c>
      <c r="AC943" s="2">
        <v>2</v>
      </c>
      <c r="AD943" s="2">
        <v>0</v>
      </c>
      <c r="AE943" s="2">
        <v>1</v>
      </c>
      <c r="AF943" s="2">
        <v>1</v>
      </c>
    </row>
    <row r="944" spans="1:32" x14ac:dyDescent="0.25">
      <c r="A944">
        <v>943</v>
      </c>
      <c r="B944" s="2">
        <v>3</v>
      </c>
      <c r="C944" s="2">
        <v>24</v>
      </c>
      <c r="D944" s="2">
        <v>2</v>
      </c>
      <c r="E944" s="2">
        <v>0</v>
      </c>
      <c r="F944" s="2">
        <v>0</v>
      </c>
      <c r="G944" s="2">
        <v>1</v>
      </c>
      <c r="H944" s="2">
        <v>0</v>
      </c>
      <c r="I944" s="2">
        <v>0</v>
      </c>
      <c r="J944" s="2">
        <v>0</v>
      </c>
      <c r="K944" s="2">
        <v>929</v>
      </c>
      <c r="L944" s="2">
        <v>4</v>
      </c>
      <c r="M944" s="2">
        <v>3</v>
      </c>
      <c r="N944" s="2">
        <v>4</v>
      </c>
      <c r="O944" s="2">
        <v>0</v>
      </c>
      <c r="P944" s="2">
        <v>1</v>
      </c>
      <c r="Q944" s="2">
        <v>0</v>
      </c>
      <c r="R944" s="2">
        <v>0</v>
      </c>
      <c r="S944" s="2">
        <v>0</v>
      </c>
      <c r="T944" s="2">
        <v>2</v>
      </c>
      <c r="U944" s="2">
        <v>0</v>
      </c>
      <c r="V944" s="2">
        <v>0</v>
      </c>
      <c r="W944" s="2">
        <v>31</v>
      </c>
      <c r="X944" s="2">
        <v>1</v>
      </c>
      <c r="Y944" s="2">
        <v>0</v>
      </c>
      <c r="Z944" s="2">
        <v>1</v>
      </c>
      <c r="AA944" s="2">
        <v>1</v>
      </c>
      <c r="AB944" s="2">
        <v>2</v>
      </c>
      <c r="AC944" s="2">
        <v>1</v>
      </c>
      <c r="AD944" s="2">
        <v>1</v>
      </c>
      <c r="AE944" s="2">
        <v>0</v>
      </c>
      <c r="AF944" s="2">
        <v>1</v>
      </c>
    </row>
    <row r="945" spans="1:32" x14ac:dyDescent="0.25">
      <c r="A945">
        <v>944</v>
      </c>
      <c r="B945" s="2">
        <v>3</v>
      </c>
      <c r="C945" s="2">
        <v>4</v>
      </c>
      <c r="D945" s="2">
        <v>4</v>
      </c>
      <c r="E945" s="2">
        <v>1</v>
      </c>
      <c r="F945" s="2">
        <v>0</v>
      </c>
      <c r="G945" s="2">
        <v>0</v>
      </c>
      <c r="H945" s="2">
        <v>0</v>
      </c>
      <c r="I945" s="2">
        <v>0</v>
      </c>
      <c r="J945" s="2">
        <v>0</v>
      </c>
      <c r="K945" s="2">
        <v>1455</v>
      </c>
      <c r="L945" s="2">
        <v>0</v>
      </c>
      <c r="M945" s="2">
        <v>3</v>
      </c>
      <c r="N945" s="2">
        <v>2</v>
      </c>
      <c r="O945" s="2">
        <v>0</v>
      </c>
      <c r="P945" s="2">
        <v>1</v>
      </c>
      <c r="Q945" s="2">
        <v>0</v>
      </c>
      <c r="R945" s="2">
        <v>0</v>
      </c>
      <c r="S945" s="2">
        <v>0</v>
      </c>
      <c r="T945" s="2">
        <v>1</v>
      </c>
      <c r="U945" s="2">
        <v>1</v>
      </c>
      <c r="V945" s="2">
        <v>0</v>
      </c>
      <c r="W945" s="2">
        <v>42</v>
      </c>
      <c r="X945" s="2">
        <v>0</v>
      </c>
      <c r="Y945" s="2">
        <v>0</v>
      </c>
      <c r="Z945" s="2">
        <v>1</v>
      </c>
      <c r="AA945" s="2">
        <v>3</v>
      </c>
      <c r="AB945" s="2">
        <v>1</v>
      </c>
      <c r="AC945" s="2">
        <v>2</v>
      </c>
      <c r="AD945" s="2">
        <v>0</v>
      </c>
      <c r="AE945" s="2">
        <v>0</v>
      </c>
      <c r="AF945" s="2">
        <v>1</v>
      </c>
    </row>
    <row r="946" spans="1:32" x14ac:dyDescent="0.25">
      <c r="A946">
        <v>945</v>
      </c>
      <c r="B946" s="2">
        <v>0</v>
      </c>
      <c r="C946" s="2">
        <v>15</v>
      </c>
      <c r="D946" s="2">
        <v>2</v>
      </c>
      <c r="E946" s="2">
        <v>0</v>
      </c>
      <c r="F946" s="2">
        <v>0</v>
      </c>
      <c r="G946" s="2">
        <v>1</v>
      </c>
      <c r="H946" s="2">
        <v>0</v>
      </c>
      <c r="I946" s="2">
        <v>0</v>
      </c>
      <c r="J946" s="2">
        <v>0</v>
      </c>
      <c r="K946" s="2">
        <v>1845</v>
      </c>
      <c r="L946" s="2">
        <v>0</v>
      </c>
      <c r="M946" s="2">
        <v>1</v>
      </c>
      <c r="N946" s="2">
        <v>4</v>
      </c>
      <c r="O946" s="2">
        <v>0</v>
      </c>
      <c r="P946" s="2">
        <v>0</v>
      </c>
      <c r="Q946" s="2">
        <v>0</v>
      </c>
      <c r="R946" s="2">
        <v>0</v>
      </c>
      <c r="S946" s="2">
        <v>1</v>
      </c>
      <c r="T946" s="2">
        <v>1</v>
      </c>
      <c r="U946" s="2">
        <v>0</v>
      </c>
      <c r="V946" s="2">
        <v>0</v>
      </c>
      <c r="W946" s="2">
        <v>46</v>
      </c>
      <c r="X946" s="2">
        <v>0</v>
      </c>
      <c r="Y946" s="2">
        <v>1</v>
      </c>
      <c r="Z946" s="2">
        <v>0</v>
      </c>
      <c r="AA946" s="2">
        <v>1</v>
      </c>
      <c r="AB946" s="2">
        <v>2</v>
      </c>
      <c r="AC946" s="2">
        <v>1</v>
      </c>
      <c r="AD946" s="2">
        <v>0</v>
      </c>
      <c r="AE946" s="2">
        <v>0</v>
      </c>
      <c r="AF946" s="2">
        <v>1</v>
      </c>
    </row>
    <row r="947" spans="1:32" x14ac:dyDescent="0.25">
      <c r="A947">
        <v>946</v>
      </c>
      <c r="B947" s="2">
        <v>1</v>
      </c>
      <c r="C947" s="2">
        <v>48</v>
      </c>
      <c r="D947" s="2">
        <v>0</v>
      </c>
      <c r="E947" s="2">
        <v>1</v>
      </c>
      <c r="F947" s="2">
        <v>0</v>
      </c>
      <c r="G947" s="2">
        <v>0</v>
      </c>
      <c r="H947" s="2">
        <v>0</v>
      </c>
      <c r="I947" s="2">
        <v>0</v>
      </c>
      <c r="J947" s="2">
        <v>0</v>
      </c>
      <c r="K947" s="2">
        <v>8358</v>
      </c>
      <c r="L947" s="2">
        <v>2</v>
      </c>
      <c r="M947" s="2">
        <v>1</v>
      </c>
      <c r="N947" s="2">
        <v>1</v>
      </c>
      <c r="O947" s="2">
        <v>0</v>
      </c>
      <c r="P947" s="2">
        <v>0</v>
      </c>
      <c r="Q947" s="2">
        <v>0</v>
      </c>
      <c r="R947" s="2">
        <v>0</v>
      </c>
      <c r="S947" s="2">
        <v>0</v>
      </c>
      <c r="T947" s="2">
        <v>1</v>
      </c>
      <c r="U947" s="2">
        <v>0</v>
      </c>
      <c r="V947" s="2">
        <v>0</v>
      </c>
      <c r="W947" s="2">
        <v>30</v>
      </c>
      <c r="X947" s="2">
        <v>0</v>
      </c>
      <c r="Y947" s="2">
        <v>0</v>
      </c>
      <c r="Z947" s="2">
        <v>1</v>
      </c>
      <c r="AA947" s="2">
        <v>2</v>
      </c>
      <c r="AB947" s="2">
        <v>2</v>
      </c>
      <c r="AC947" s="2">
        <v>1</v>
      </c>
      <c r="AD947" s="2">
        <v>0</v>
      </c>
      <c r="AE947" s="2">
        <v>0</v>
      </c>
      <c r="AF947" s="2">
        <v>1</v>
      </c>
    </row>
    <row r="948" spans="1:32" x14ac:dyDescent="0.25">
      <c r="A948">
        <v>947</v>
      </c>
      <c r="B948" s="2">
        <v>0</v>
      </c>
      <c r="C948" s="2">
        <v>24</v>
      </c>
      <c r="D948" s="2">
        <v>1</v>
      </c>
      <c r="E948" s="2">
        <v>0</v>
      </c>
      <c r="F948" s="2">
        <v>0</v>
      </c>
      <c r="G948" s="2">
        <v>1</v>
      </c>
      <c r="H948" s="2">
        <v>0</v>
      </c>
      <c r="I948" s="2">
        <v>0</v>
      </c>
      <c r="J948" s="2">
        <v>0</v>
      </c>
      <c r="K948" s="2">
        <v>3349</v>
      </c>
      <c r="L948" s="2">
        <v>2</v>
      </c>
      <c r="M948" s="2">
        <v>1</v>
      </c>
      <c r="N948" s="2">
        <v>4</v>
      </c>
      <c r="O948" s="2">
        <v>0</v>
      </c>
      <c r="P948" s="2">
        <v>1</v>
      </c>
      <c r="Q948" s="2">
        <v>0</v>
      </c>
      <c r="R948" s="2">
        <v>0</v>
      </c>
      <c r="S948" s="2">
        <v>0</v>
      </c>
      <c r="T948" s="2">
        <v>4</v>
      </c>
      <c r="U948" s="2">
        <v>0</v>
      </c>
      <c r="V948" s="2">
        <v>1</v>
      </c>
      <c r="W948" s="2">
        <v>30</v>
      </c>
      <c r="X948" s="2">
        <v>0</v>
      </c>
      <c r="Y948" s="2">
        <v>0</v>
      </c>
      <c r="Z948" s="2">
        <v>0</v>
      </c>
      <c r="AA948" s="2">
        <v>1</v>
      </c>
      <c r="AB948" s="2">
        <v>2</v>
      </c>
      <c r="AC948" s="2">
        <v>2</v>
      </c>
      <c r="AD948" s="2">
        <v>1</v>
      </c>
      <c r="AE948" s="2">
        <v>0</v>
      </c>
      <c r="AF948" s="2">
        <v>0</v>
      </c>
    </row>
    <row r="949" spans="1:32" x14ac:dyDescent="0.25">
      <c r="A949">
        <v>948</v>
      </c>
      <c r="B949" s="2">
        <v>3</v>
      </c>
      <c r="C949" s="2">
        <v>12</v>
      </c>
      <c r="D949" s="2">
        <v>2</v>
      </c>
      <c r="E949" s="2">
        <v>1</v>
      </c>
      <c r="F949" s="2">
        <v>0</v>
      </c>
      <c r="G949" s="2">
        <v>0</v>
      </c>
      <c r="H949" s="2">
        <v>0</v>
      </c>
      <c r="I949" s="2">
        <v>0</v>
      </c>
      <c r="J949" s="2">
        <v>0</v>
      </c>
      <c r="K949" s="2">
        <v>2859</v>
      </c>
      <c r="L949" s="2">
        <v>4</v>
      </c>
      <c r="M949" s="2">
        <v>0</v>
      </c>
      <c r="N949" s="2">
        <v>4</v>
      </c>
      <c r="O949" s="2">
        <v>0</v>
      </c>
      <c r="P949" s="2">
        <v>1</v>
      </c>
      <c r="Q949" s="2">
        <v>0</v>
      </c>
      <c r="R949" s="2">
        <v>0</v>
      </c>
      <c r="S949" s="2">
        <v>0</v>
      </c>
      <c r="T949" s="2">
        <v>4</v>
      </c>
      <c r="U949" s="2">
        <v>0</v>
      </c>
      <c r="V949" s="2">
        <v>1</v>
      </c>
      <c r="W949" s="2">
        <v>38</v>
      </c>
      <c r="X949" s="2">
        <v>0</v>
      </c>
      <c r="Y949" s="2">
        <v>0</v>
      </c>
      <c r="Z949" s="2">
        <v>1</v>
      </c>
      <c r="AA949" s="2">
        <v>1</v>
      </c>
      <c r="AB949" s="2">
        <v>3</v>
      </c>
      <c r="AC949" s="2">
        <v>1</v>
      </c>
      <c r="AD949" s="2">
        <v>1</v>
      </c>
      <c r="AE949" s="2">
        <v>0</v>
      </c>
      <c r="AF949" s="2">
        <v>1</v>
      </c>
    </row>
    <row r="950" spans="1:32" x14ac:dyDescent="0.25">
      <c r="A950">
        <v>949</v>
      </c>
      <c r="B950" s="2">
        <v>3</v>
      </c>
      <c r="C950" s="2">
        <v>18</v>
      </c>
      <c r="D950" s="2">
        <v>2</v>
      </c>
      <c r="E950" s="2">
        <v>0</v>
      </c>
      <c r="F950" s="2">
        <v>0</v>
      </c>
      <c r="G950" s="2">
        <v>1</v>
      </c>
      <c r="H950" s="2">
        <v>0</v>
      </c>
      <c r="I950" s="2">
        <v>0</v>
      </c>
      <c r="J950" s="2">
        <v>0</v>
      </c>
      <c r="K950" s="2">
        <v>1533</v>
      </c>
      <c r="L950" s="2">
        <v>0</v>
      </c>
      <c r="M950" s="2">
        <v>1</v>
      </c>
      <c r="N950" s="2">
        <v>4</v>
      </c>
      <c r="O950" s="2">
        <v>0</v>
      </c>
      <c r="P950" s="2">
        <v>0</v>
      </c>
      <c r="Q950" s="2">
        <v>1</v>
      </c>
      <c r="R950" s="2">
        <v>1</v>
      </c>
      <c r="S950" s="2">
        <v>0</v>
      </c>
      <c r="T950" s="2">
        <v>1</v>
      </c>
      <c r="U950" s="2">
        <v>0</v>
      </c>
      <c r="V950" s="2">
        <v>0</v>
      </c>
      <c r="W950" s="2">
        <v>43</v>
      </c>
      <c r="X950" s="2">
        <v>0</v>
      </c>
      <c r="Y950" s="2">
        <v>0</v>
      </c>
      <c r="Z950" s="2">
        <v>1</v>
      </c>
      <c r="AA950" s="2">
        <v>1</v>
      </c>
      <c r="AB950" s="2">
        <v>1</v>
      </c>
      <c r="AC950" s="2">
        <v>2</v>
      </c>
      <c r="AD950" s="2">
        <v>0</v>
      </c>
      <c r="AE950" s="2">
        <v>0</v>
      </c>
      <c r="AF950" s="2">
        <v>0</v>
      </c>
    </row>
    <row r="951" spans="1:32" x14ac:dyDescent="0.25">
      <c r="A951">
        <v>950</v>
      </c>
      <c r="B951" s="2">
        <v>3</v>
      </c>
      <c r="C951" s="2">
        <v>24</v>
      </c>
      <c r="D951" s="2">
        <v>2</v>
      </c>
      <c r="E951" s="2">
        <v>0</v>
      </c>
      <c r="F951" s="2">
        <v>0</v>
      </c>
      <c r="G951" s="2">
        <v>0</v>
      </c>
      <c r="H951" s="2">
        <v>1</v>
      </c>
      <c r="I951" s="2">
        <v>0</v>
      </c>
      <c r="J951" s="2">
        <v>0</v>
      </c>
      <c r="K951" s="2">
        <v>3621</v>
      </c>
      <c r="L951" s="2">
        <v>1</v>
      </c>
      <c r="M951" s="2">
        <v>4</v>
      </c>
      <c r="N951" s="2">
        <v>2</v>
      </c>
      <c r="O951" s="2">
        <v>0</v>
      </c>
      <c r="P951" s="2">
        <v>1</v>
      </c>
      <c r="Q951" s="2">
        <v>0</v>
      </c>
      <c r="R951" s="2">
        <v>0</v>
      </c>
      <c r="S951" s="2">
        <v>0</v>
      </c>
      <c r="T951" s="2">
        <v>4</v>
      </c>
      <c r="U951" s="2">
        <v>0</v>
      </c>
      <c r="V951" s="2">
        <v>0</v>
      </c>
      <c r="W951" s="2">
        <v>31</v>
      </c>
      <c r="X951" s="2">
        <v>0</v>
      </c>
      <c r="Y951" s="2">
        <v>0</v>
      </c>
      <c r="Z951" s="2">
        <v>1</v>
      </c>
      <c r="AA951" s="2">
        <v>2</v>
      </c>
      <c r="AB951" s="2">
        <v>2</v>
      </c>
      <c r="AC951" s="2">
        <v>1</v>
      </c>
      <c r="AD951" s="2">
        <v>0</v>
      </c>
      <c r="AE951" s="2">
        <v>0</v>
      </c>
      <c r="AF951" s="2">
        <v>0</v>
      </c>
    </row>
    <row r="952" spans="1:32" x14ac:dyDescent="0.25">
      <c r="A952">
        <v>951</v>
      </c>
      <c r="B952" s="2">
        <v>1</v>
      </c>
      <c r="C952" s="2">
        <v>18</v>
      </c>
      <c r="D952" s="2">
        <v>4</v>
      </c>
      <c r="E952" s="2">
        <v>0</v>
      </c>
      <c r="F952" s="2">
        <v>0</v>
      </c>
      <c r="G952" s="2">
        <v>0</v>
      </c>
      <c r="H952" s="2">
        <v>0</v>
      </c>
      <c r="I952" s="2">
        <v>0</v>
      </c>
      <c r="J952" s="2">
        <v>1</v>
      </c>
      <c r="K952" s="2">
        <v>3590</v>
      </c>
      <c r="L952" s="2">
        <v>0</v>
      </c>
      <c r="M952" s="2">
        <v>0</v>
      </c>
      <c r="N952" s="2">
        <v>3</v>
      </c>
      <c r="O952" s="2">
        <v>0</v>
      </c>
      <c r="P952" s="2">
        <v>0</v>
      </c>
      <c r="Q952" s="2">
        <v>1</v>
      </c>
      <c r="R952" s="2">
        <v>0</v>
      </c>
      <c r="S952" s="2">
        <v>0</v>
      </c>
      <c r="T952" s="2">
        <v>3</v>
      </c>
      <c r="U952" s="2">
        <v>0</v>
      </c>
      <c r="V952" s="2">
        <v>0</v>
      </c>
      <c r="W952" s="2">
        <v>40</v>
      </c>
      <c r="X952" s="2">
        <v>0</v>
      </c>
      <c r="Y952" s="2">
        <v>0</v>
      </c>
      <c r="Z952" s="2">
        <v>1</v>
      </c>
      <c r="AA952" s="2">
        <v>3</v>
      </c>
      <c r="AB952" s="2">
        <v>0</v>
      </c>
      <c r="AC952" s="2">
        <v>2</v>
      </c>
      <c r="AD952" s="2">
        <v>1</v>
      </c>
      <c r="AE952" s="2">
        <v>0</v>
      </c>
      <c r="AF952" s="2">
        <v>1</v>
      </c>
    </row>
    <row r="953" spans="1:32" x14ac:dyDescent="0.25">
      <c r="A953">
        <v>952</v>
      </c>
      <c r="B953" s="2">
        <v>0</v>
      </c>
      <c r="C953" s="2">
        <v>36</v>
      </c>
      <c r="D953" s="2">
        <v>3</v>
      </c>
      <c r="E953" s="2">
        <v>0</v>
      </c>
      <c r="F953" s="2">
        <v>0</v>
      </c>
      <c r="G953" s="2">
        <v>0</v>
      </c>
      <c r="H953" s="2">
        <v>0</v>
      </c>
      <c r="I953" s="2">
        <v>0</v>
      </c>
      <c r="J953" s="2">
        <v>1</v>
      </c>
      <c r="K953" s="2">
        <v>2145</v>
      </c>
      <c r="L953" s="2">
        <v>0</v>
      </c>
      <c r="M953" s="2">
        <v>3</v>
      </c>
      <c r="N953" s="2">
        <v>2</v>
      </c>
      <c r="O953" s="2">
        <v>0</v>
      </c>
      <c r="P953" s="2">
        <v>1</v>
      </c>
      <c r="Q953" s="2">
        <v>0</v>
      </c>
      <c r="R953" s="2">
        <v>0</v>
      </c>
      <c r="S953" s="2">
        <v>0</v>
      </c>
      <c r="T953" s="2">
        <v>1</v>
      </c>
      <c r="U953" s="2">
        <v>0</v>
      </c>
      <c r="V953" s="2">
        <v>0</v>
      </c>
      <c r="W953" s="2">
        <v>24</v>
      </c>
      <c r="X953" s="2">
        <v>0</v>
      </c>
      <c r="Y953" s="2">
        <v>0</v>
      </c>
      <c r="Z953" s="2">
        <v>1</v>
      </c>
      <c r="AA953" s="2">
        <v>2</v>
      </c>
      <c r="AB953" s="2">
        <v>2</v>
      </c>
      <c r="AC953" s="2">
        <v>1</v>
      </c>
      <c r="AD953" s="2">
        <v>1</v>
      </c>
      <c r="AE953" s="2">
        <v>0</v>
      </c>
      <c r="AF953" s="2">
        <v>0</v>
      </c>
    </row>
    <row r="954" spans="1:32" x14ac:dyDescent="0.25">
      <c r="A954">
        <v>953</v>
      </c>
      <c r="B954" s="2">
        <v>1</v>
      </c>
      <c r="C954" s="2">
        <v>24</v>
      </c>
      <c r="D954" s="2">
        <v>2</v>
      </c>
      <c r="E954" s="2">
        <v>0</v>
      </c>
      <c r="F954" s="2">
        <v>1</v>
      </c>
      <c r="G954" s="2">
        <v>0</v>
      </c>
      <c r="H954" s="2">
        <v>0</v>
      </c>
      <c r="I954" s="2">
        <v>0</v>
      </c>
      <c r="J954" s="2">
        <v>0</v>
      </c>
      <c r="K954" s="2">
        <v>4113</v>
      </c>
      <c r="L954" s="2">
        <v>2</v>
      </c>
      <c r="M954" s="2">
        <v>1</v>
      </c>
      <c r="N954" s="2">
        <v>3</v>
      </c>
      <c r="O954" s="2">
        <v>0</v>
      </c>
      <c r="P954" s="2">
        <v>0</v>
      </c>
      <c r="Q954" s="2">
        <v>0</v>
      </c>
      <c r="R954" s="2">
        <v>0</v>
      </c>
      <c r="S954" s="2">
        <v>0</v>
      </c>
      <c r="T954" s="2">
        <v>4</v>
      </c>
      <c r="U954" s="2">
        <v>0</v>
      </c>
      <c r="V954" s="2">
        <v>0</v>
      </c>
      <c r="W954" s="2">
        <v>28</v>
      </c>
      <c r="X954" s="2">
        <v>0</v>
      </c>
      <c r="Y954" s="2">
        <v>1</v>
      </c>
      <c r="Z954" s="2">
        <v>0</v>
      </c>
      <c r="AA954" s="2">
        <v>1</v>
      </c>
      <c r="AB954" s="2">
        <v>2</v>
      </c>
      <c r="AC954" s="2">
        <v>1</v>
      </c>
      <c r="AD954" s="2">
        <v>0</v>
      </c>
      <c r="AE954" s="2">
        <v>0</v>
      </c>
      <c r="AF954" s="2">
        <v>0</v>
      </c>
    </row>
    <row r="955" spans="1:32" x14ac:dyDescent="0.25">
      <c r="A955">
        <v>954</v>
      </c>
      <c r="B955" s="2">
        <v>3</v>
      </c>
      <c r="C955" s="2">
        <v>36</v>
      </c>
      <c r="D955" s="2">
        <v>2</v>
      </c>
      <c r="E955" s="2">
        <v>0</v>
      </c>
      <c r="F955" s="2">
        <v>0</v>
      </c>
      <c r="G955" s="2">
        <v>1</v>
      </c>
      <c r="H955" s="2">
        <v>0</v>
      </c>
      <c r="I955" s="2">
        <v>0</v>
      </c>
      <c r="J955" s="2">
        <v>0</v>
      </c>
      <c r="K955" s="2">
        <v>10974</v>
      </c>
      <c r="L955" s="2">
        <v>0</v>
      </c>
      <c r="M955" s="2">
        <v>0</v>
      </c>
      <c r="N955" s="2">
        <v>4</v>
      </c>
      <c r="O955" s="2">
        <v>0</v>
      </c>
      <c r="P955" s="2">
        <v>0</v>
      </c>
      <c r="Q955" s="2">
        <v>0</v>
      </c>
      <c r="R955" s="2">
        <v>0</v>
      </c>
      <c r="S955" s="2">
        <v>0</v>
      </c>
      <c r="T955" s="2">
        <v>2</v>
      </c>
      <c r="U955" s="2">
        <v>0</v>
      </c>
      <c r="V955" s="2">
        <v>0</v>
      </c>
      <c r="W955" s="2">
        <v>26</v>
      </c>
      <c r="X955" s="2">
        <v>0</v>
      </c>
      <c r="Y955" s="2">
        <v>0</v>
      </c>
      <c r="Z955" s="2">
        <v>1</v>
      </c>
      <c r="AA955" s="2">
        <v>2</v>
      </c>
      <c r="AB955" s="2">
        <v>3</v>
      </c>
      <c r="AC955" s="2">
        <v>1</v>
      </c>
      <c r="AD955" s="2">
        <v>1</v>
      </c>
      <c r="AE955" s="2">
        <v>0</v>
      </c>
      <c r="AF955" s="2">
        <v>0</v>
      </c>
    </row>
    <row r="956" spans="1:32" x14ac:dyDescent="0.25">
      <c r="A956">
        <v>955</v>
      </c>
      <c r="B956" s="2">
        <v>0</v>
      </c>
      <c r="C956" s="2">
        <v>12</v>
      </c>
      <c r="D956" s="2">
        <v>2</v>
      </c>
      <c r="E956" s="2">
        <v>1</v>
      </c>
      <c r="F956" s="2">
        <v>0</v>
      </c>
      <c r="G956" s="2">
        <v>0</v>
      </c>
      <c r="H956" s="2">
        <v>0</v>
      </c>
      <c r="I956" s="2">
        <v>0</v>
      </c>
      <c r="J956" s="2">
        <v>0</v>
      </c>
      <c r="K956" s="2">
        <v>1893</v>
      </c>
      <c r="L956" s="2">
        <v>0</v>
      </c>
      <c r="M956" s="2">
        <v>2</v>
      </c>
      <c r="N956" s="2">
        <v>4</v>
      </c>
      <c r="O956" s="2">
        <v>0</v>
      </c>
      <c r="P956" s="2">
        <v>0</v>
      </c>
      <c r="Q956" s="2">
        <v>0</v>
      </c>
      <c r="R956" s="2">
        <v>0</v>
      </c>
      <c r="S956" s="2">
        <v>1</v>
      </c>
      <c r="T956" s="2">
        <v>4</v>
      </c>
      <c r="U956" s="2">
        <v>0</v>
      </c>
      <c r="V956" s="2">
        <v>0</v>
      </c>
      <c r="W956" s="2">
        <v>29</v>
      </c>
      <c r="X956" s="2">
        <v>0</v>
      </c>
      <c r="Y956" s="2">
        <v>0</v>
      </c>
      <c r="Z956" s="2">
        <v>1</v>
      </c>
      <c r="AA956" s="2">
        <v>1</v>
      </c>
      <c r="AB956" s="2">
        <v>2</v>
      </c>
      <c r="AC956" s="2">
        <v>1</v>
      </c>
      <c r="AD956" s="2">
        <v>1</v>
      </c>
      <c r="AE956" s="2">
        <v>0</v>
      </c>
      <c r="AF956" s="2">
        <v>1</v>
      </c>
    </row>
    <row r="957" spans="1:32" x14ac:dyDescent="0.25">
      <c r="A957">
        <v>956</v>
      </c>
      <c r="B957" s="2">
        <v>0</v>
      </c>
      <c r="C957" s="2">
        <v>24</v>
      </c>
      <c r="D957" s="2">
        <v>4</v>
      </c>
      <c r="E957" s="2">
        <v>0</v>
      </c>
      <c r="F957" s="2">
        <v>0</v>
      </c>
      <c r="G957" s="2">
        <v>0</v>
      </c>
      <c r="H957" s="2">
        <v>1</v>
      </c>
      <c r="I957" s="2">
        <v>0</v>
      </c>
      <c r="J957" s="2">
        <v>0</v>
      </c>
      <c r="K957" s="2">
        <v>1231</v>
      </c>
      <c r="L957" s="2">
        <v>3</v>
      </c>
      <c r="M957" s="2">
        <v>4</v>
      </c>
      <c r="N957" s="2">
        <v>4</v>
      </c>
      <c r="O957" s="2">
        <v>0</v>
      </c>
      <c r="P957" s="2">
        <v>0</v>
      </c>
      <c r="Q957" s="2">
        <v>0</v>
      </c>
      <c r="R957" s="2">
        <v>0</v>
      </c>
      <c r="S957" s="2">
        <v>0</v>
      </c>
      <c r="T957" s="2">
        <v>4</v>
      </c>
      <c r="U957" s="2">
        <v>0</v>
      </c>
      <c r="V957" s="2">
        <v>0</v>
      </c>
      <c r="W957" s="2">
        <v>57</v>
      </c>
      <c r="X957" s="2">
        <v>0</v>
      </c>
      <c r="Y957" s="2">
        <v>1</v>
      </c>
      <c r="Z957" s="2">
        <v>0</v>
      </c>
      <c r="AA957" s="2">
        <v>2</v>
      </c>
      <c r="AB957" s="2">
        <v>3</v>
      </c>
      <c r="AC957" s="2">
        <v>1</v>
      </c>
      <c r="AD957" s="2">
        <v>1</v>
      </c>
      <c r="AE957" s="2">
        <v>0</v>
      </c>
      <c r="AF957" s="2">
        <v>1</v>
      </c>
    </row>
    <row r="958" spans="1:32" x14ac:dyDescent="0.25">
      <c r="A958">
        <v>957</v>
      </c>
      <c r="B958" s="2">
        <v>2</v>
      </c>
      <c r="C958" s="2">
        <v>30</v>
      </c>
      <c r="D958" s="2">
        <v>4</v>
      </c>
      <c r="E958" s="2">
        <v>0</v>
      </c>
      <c r="F958" s="2">
        <v>0</v>
      </c>
      <c r="G958" s="2">
        <v>0</v>
      </c>
      <c r="H958" s="2">
        <v>1</v>
      </c>
      <c r="I958" s="2">
        <v>0</v>
      </c>
      <c r="J958" s="2">
        <v>0</v>
      </c>
      <c r="K958" s="2">
        <v>3656</v>
      </c>
      <c r="L958" s="2">
        <v>4</v>
      </c>
      <c r="M958" s="2">
        <v>4</v>
      </c>
      <c r="N958" s="2">
        <v>4</v>
      </c>
      <c r="O958" s="2">
        <v>0</v>
      </c>
      <c r="P958" s="2">
        <v>1</v>
      </c>
      <c r="Q958" s="2">
        <v>0</v>
      </c>
      <c r="R958" s="2">
        <v>0</v>
      </c>
      <c r="S958" s="2">
        <v>0</v>
      </c>
      <c r="T958" s="2">
        <v>4</v>
      </c>
      <c r="U958" s="2">
        <v>0</v>
      </c>
      <c r="V958" s="2">
        <v>0</v>
      </c>
      <c r="W958" s="2">
        <v>49</v>
      </c>
      <c r="X958" s="2">
        <v>1</v>
      </c>
      <c r="Y958" s="2">
        <v>0</v>
      </c>
      <c r="Z958" s="2">
        <v>1</v>
      </c>
      <c r="AA958" s="2">
        <v>2</v>
      </c>
      <c r="AB958" s="2">
        <v>1</v>
      </c>
      <c r="AC958" s="2">
        <v>1</v>
      </c>
      <c r="AD958" s="2">
        <v>0</v>
      </c>
      <c r="AE958" s="2">
        <v>0</v>
      </c>
      <c r="AF958" s="2">
        <v>1</v>
      </c>
    </row>
    <row r="959" spans="1:32" x14ac:dyDescent="0.25">
      <c r="A959">
        <v>958</v>
      </c>
      <c r="B959" s="2">
        <v>1</v>
      </c>
      <c r="C959" s="2">
        <v>9</v>
      </c>
      <c r="D959" s="2">
        <v>4</v>
      </c>
      <c r="E959" s="2">
        <v>0</v>
      </c>
      <c r="F959" s="2">
        <v>0</v>
      </c>
      <c r="G959" s="2">
        <v>0</v>
      </c>
      <c r="H959" s="2">
        <v>1</v>
      </c>
      <c r="I959" s="2">
        <v>0</v>
      </c>
      <c r="J959" s="2">
        <v>0</v>
      </c>
      <c r="K959" s="2">
        <v>1154</v>
      </c>
      <c r="L959" s="2">
        <v>0</v>
      </c>
      <c r="M959" s="2">
        <v>4</v>
      </c>
      <c r="N959" s="2">
        <v>2</v>
      </c>
      <c r="O959" s="2">
        <v>0</v>
      </c>
      <c r="P959" s="2">
        <v>1</v>
      </c>
      <c r="Q959" s="2">
        <v>0</v>
      </c>
      <c r="R959" s="2">
        <v>0</v>
      </c>
      <c r="S959" s="2">
        <v>0</v>
      </c>
      <c r="T959" s="2">
        <v>4</v>
      </c>
      <c r="U959" s="2">
        <v>1</v>
      </c>
      <c r="V959" s="2">
        <v>0</v>
      </c>
      <c r="W959" s="2">
        <v>37</v>
      </c>
      <c r="X959" s="2">
        <v>0</v>
      </c>
      <c r="Y959" s="2">
        <v>0</v>
      </c>
      <c r="Z959" s="2">
        <v>1</v>
      </c>
      <c r="AA959" s="2">
        <v>3</v>
      </c>
      <c r="AB959" s="2">
        <v>1</v>
      </c>
      <c r="AC959" s="2">
        <v>1</v>
      </c>
      <c r="AD959" s="2">
        <v>0</v>
      </c>
      <c r="AE959" s="2">
        <v>0</v>
      </c>
      <c r="AF959" s="2">
        <v>1</v>
      </c>
    </row>
    <row r="960" spans="1:32" x14ac:dyDescent="0.25">
      <c r="A960">
        <v>959</v>
      </c>
      <c r="B960" s="2">
        <v>0</v>
      </c>
      <c r="C960" s="2">
        <v>28</v>
      </c>
      <c r="D960" s="2">
        <v>2</v>
      </c>
      <c r="E960" s="2">
        <v>1</v>
      </c>
      <c r="F960" s="2">
        <v>0</v>
      </c>
      <c r="G960" s="2">
        <v>0</v>
      </c>
      <c r="H960" s="2">
        <v>0</v>
      </c>
      <c r="I960" s="2">
        <v>0</v>
      </c>
      <c r="J960" s="2">
        <v>0</v>
      </c>
      <c r="K960" s="2">
        <v>4006</v>
      </c>
      <c r="L960" s="2">
        <v>0</v>
      </c>
      <c r="M960" s="2">
        <v>2</v>
      </c>
      <c r="N960" s="2">
        <v>3</v>
      </c>
      <c r="O960" s="2">
        <v>0</v>
      </c>
      <c r="P960" s="2">
        <v>1</v>
      </c>
      <c r="Q960" s="2">
        <v>0</v>
      </c>
      <c r="R960" s="2">
        <v>0</v>
      </c>
      <c r="S960" s="2">
        <v>0</v>
      </c>
      <c r="T960" s="2">
        <v>2</v>
      </c>
      <c r="U960" s="2">
        <v>0</v>
      </c>
      <c r="V960" s="2">
        <v>0</v>
      </c>
      <c r="W960" s="2">
        <v>45</v>
      </c>
      <c r="X960" s="2">
        <v>0</v>
      </c>
      <c r="Y960" s="2">
        <v>0</v>
      </c>
      <c r="Z960" s="2">
        <v>1</v>
      </c>
      <c r="AA960" s="2">
        <v>1</v>
      </c>
      <c r="AB960" s="2">
        <v>1</v>
      </c>
      <c r="AC960" s="2">
        <v>1</v>
      </c>
      <c r="AD960" s="2">
        <v>0</v>
      </c>
      <c r="AE960" s="2">
        <v>0</v>
      </c>
      <c r="AF960" s="2">
        <v>0</v>
      </c>
    </row>
    <row r="961" spans="1:32" x14ac:dyDescent="0.25">
      <c r="A961">
        <v>960</v>
      </c>
      <c r="B961" s="2">
        <v>1</v>
      </c>
      <c r="C961" s="2">
        <v>24</v>
      </c>
      <c r="D961" s="2">
        <v>2</v>
      </c>
      <c r="E961" s="2">
        <v>0</v>
      </c>
      <c r="F961" s="2">
        <v>0</v>
      </c>
      <c r="G961" s="2">
        <v>1</v>
      </c>
      <c r="H961" s="2">
        <v>0</v>
      </c>
      <c r="I961" s="2">
        <v>0</v>
      </c>
      <c r="J961" s="2">
        <v>0</v>
      </c>
      <c r="K961" s="2">
        <v>3069</v>
      </c>
      <c r="L961" s="2">
        <v>1</v>
      </c>
      <c r="M961" s="2">
        <v>4</v>
      </c>
      <c r="N961" s="2">
        <v>4</v>
      </c>
      <c r="O961" s="2">
        <v>0</v>
      </c>
      <c r="P961" s="2">
        <v>1</v>
      </c>
      <c r="Q961" s="2">
        <v>0</v>
      </c>
      <c r="R961" s="2">
        <v>0</v>
      </c>
      <c r="S961" s="2">
        <v>0</v>
      </c>
      <c r="T961" s="2">
        <v>4</v>
      </c>
      <c r="U961" s="2">
        <v>0</v>
      </c>
      <c r="V961" s="2">
        <v>1</v>
      </c>
      <c r="W961" s="2">
        <v>30</v>
      </c>
      <c r="X961" s="2">
        <v>0</v>
      </c>
      <c r="Y961" s="2">
        <v>0</v>
      </c>
      <c r="Z961" s="2">
        <v>0</v>
      </c>
      <c r="AA961" s="2">
        <v>1</v>
      </c>
      <c r="AB961" s="2">
        <v>2</v>
      </c>
      <c r="AC961" s="2">
        <v>1</v>
      </c>
      <c r="AD961" s="2">
        <v>0</v>
      </c>
      <c r="AE961" s="2">
        <v>0</v>
      </c>
      <c r="AF961" s="2">
        <v>1</v>
      </c>
    </row>
    <row r="962" spans="1:32" x14ac:dyDescent="0.25">
      <c r="A962">
        <v>961</v>
      </c>
      <c r="B962" s="2">
        <v>3</v>
      </c>
      <c r="C962" s="2">
        <v>6</v>
      </c>
      <c r="D962" s="2">
        <v>4</v>
      </c>
      <c r="E962" s="2">
        <v>0</v>
      </c>
      <c r="F962" s="2">
        <v>0</v>
      </c>
      <c r="G962" s="2">
        <v>0</v>
      </c>
      <c r="H962" s="2">
        <v>1</v>
      </c>
      <c r="I962" s="2">
        <v>0</v>
      </c>
      <c r="J962" s="2">
        <v>0</v>
      </c>
      <c r="K962" s="2">
        <v>1740</v>
      </c>
      <c r="L962" s="2">
        <v>0</v>
      </c>
      <c r="M962" s="2">
        <v>4</v>
      </c>
      <c r="N962" s="2">
        <v>2</v>
      </c>
      <c r="O962" s="2">
        <v>0</v>
      </c>
      <c r="P962" s="2">
        <v>0</v>
      </c>
      <c r="Q962" s="2">
        <v>1</v>
      </c>
      <c r="R962" s="2">
        <v>0</v>
      </c>
      <c r="S962" s="2">
        <v>0</v>
      </c>
      <c r="T962" s="2">
        <v>2</v>
      </c>
      <c r="U962" s="2">
        <v>1</v>
      </c>
      <c r="V962" s="2">
        <v>0</v>
      </c>
      <c r="W962" s="2">
        <v>30</v>
      </c>
      <c r="X962" s="2">
        <v>0</v>
      </c>
      <c r="Y962" s="2">
        <v>1</v>
      </c>
      <c r="Z962" s="2">
        <v>0</v>
      </c>
      <c r="AA962" s="2">
        <v>2</v>
      </c>
      <c r="AB962" s="2">
        <v>2</v>
      </c>
      <c r="AC962" s="2">
        <v>1</v>
      </c>
      <c r="AD962" s="2">
        <v>0</v>
      </c>
      <c r="AE962" s="2">
        <v>0</v>
      </c>
      <c r="AF962" s="2">
        <v>1</v>
      </c>
    </row>
    <row r="963" spans="1:32" x14ac:dyDescent="0.25">
      <c r="A963">
        <v>962</v>
      </c>
      <c r="B963" s="2">
        <v>1</v>
      </c>
      <c r="C963" s="2">
        <v>21</v>
      </c>
      <c r="D963" s="2">
        <v>3</v>
      </c>
      <c r="E963" s="2">
        <v>1</v>
      </c>
      <c r="F963" s="2">
        <v>0</v>
      </c>
      <c r="G963" s="2">
        <v>0</v>
      </c>
      <c r="H963" s="2">
        <v>0</v>
      </c>
      <c r="I963" s="2">
        <v>0</v>
      </c>
      <c r="J963" s="2">
        <v>0</v>
      </c>
      <c r="K963" s="2">
        <v>2353</v>
      </c>
      <c r="L963" s="2">
        <v>0</v>
      </c>
      <c r="M963" s="2">
        <v>2</v>
      </c>
      <c r="N963" s="2">
        <v>1</v>
      </c>
      <c r="O963" s="2">
        <v>1</v>
      </c>
      <c r="P963" s="2">
        <v>0</v>
      </c>
      <c r="Q963" s="2">
        <v>0</v>
      </c>
      <c r="R963" s="2">
        <v>0</v>
      </c>
      <c r="S963" s="2">
        <v>0</v>
      </c>
      <c r="T963" s="2">
        <v>4</v>
      </c>
      <c r="U963" s="2">
        <v>0</v>
      </c>
      <c r="V963" s="2">
        <v>0</v>
      </c>
      <c r="W963" s="2">
        <v>47</v>
      </c>
      <c r="X963" s="2">
        <v>0</v>
      </c>
      <c r="Y963" s="2">
        <v>0</v>
      </c>
      <c r="Z963" s="2">
        <v>1</v>
      </c>
      <c r="AA963" s="2">
        <v>2</v>
      </c>
      <c r="AB963" s="2">
        <v>2</v>
      </c>
      <c r="AC963" s="2">
        <v>1</v>
      </c>
      <c r="AD963" s="2">
        <v>0</v>
      </c>
      <c r="AE963" s="2">
        <v>0</v>
      </c>
      <c r="AF963" s="2">
        <v>1</v>
      </c>
    </row>
    <row r="964" spans="1:32" x14ac:dyDescent="0.25">
      <c r="A964">
        <v>963</v>
      </c>
      <c r="B964" s="2">
        <v>3</v>
      </c>
      <c r="C964" s="2">
        <v>15</v>
      </c>
      <c r="D964" s="2">
        <v>2</v>
      </c>
      <c r="E964" s="2">
        <v>1</v>
      </c>
      <c r="F964" s="2">
        <v>0</v>
      </c>
      <c r="G964" s="2">
        <v>0</v>
      </c>
      <c r="H964" s="2">
        <v>0</v>
      </c>
      <c r="I964" s="2">
        <v>0</v>
      </c>
      <c r="J964" s="2">
        <v>0</v>
      </c>
      <c r="K964" s="2">
        <v>3556</v>
      </c>
      <c r="L964" s="2">
        <v>4</v>
      </c>
      <c r="M964" s="2">
        <v>2</v>
      </c>
      <c r="N964" s="2">
        <v>3</v>
      </c>
      <c r="O964" s="2">
        <v>0</v>
      </c>
      <c r="P964" s="2">
        <v>1</v>
      </c>
      <c r="Q964" s="2">
        <v>0</v>
      </c>
      <c r="R964" s="2">
        <v>0</v>
      </c>
      <c r="S964" s="2">
        <v>0</v>
      </c>
      <c r="T964" s="2">
        <v>2</v>
      </c>
      <c r="U964" s="2">
        <v>0</v>
      </c>
      <c r="V964" s="2">
        <v>1</v>
      </c>
      <c r="W964" s="2">
        <v>29</v>
      </c>
      <c r="X964" s="2">
        <v>0</v>
      </c>
      <c r="Y964" s="2">
        <v>0</v>
      </c>
      <c r="Z964" s="2">
        <v>1</v>
      </c>
      <c r="AA964" s="2">
        <v>1</v>
      </c>
      <c r="AB964" s="2">
        <v>2</v>
      </c>
      <c r="AC964" s="2">
        <v>1</v>
      </c>
      <c r="AD964" s="2">
        <v>0</v>
      </c>
      <c r="AE964" s="2">
        <v>0</v>
      </c>
      <c r="AF964" s="2">
        <v>1</v>
      </c>
    </row>
    <row r="965" spans="1:32" x14ac:dyDescent="0.25">
      <c r="A965">
        <v>964</v>
      </c>
      <c r="B965" s="2">
        <v>3</v>
      </c>
      <c r="C965" s="2">
        <v>24</v>
      </c>
      <c r="D965" s="2">
        <v>2</v>
      </c>
      <c r="E965" s="2">
        <v>0</v>
      </c>
      <c r="F965" s="2">
        <v>0</v>
      </c>
      <c r="G965" s="2">
        <v>0</v>
      </c>
      <c r="H965" s="2">
        <v>1</v>
      </c>
      <c r="I965" s="2">
        <v>0</v>
      </c>
      <c r="J965" s="2">
        <v>0</v>
      </c>
      <c r="K965" s="2">
        <v>2397</v>
      </c>
      <c r="L965" s="2">
        <v>2</v>
      </c>
      <c r="M965" s="2">
        <v>4</v>
      </c>
      <c r="N965" s="2">
        <v>3</v>
      </c>
      <c r="O965" s="2">
        <v>0</v>
      </c>
      <c r="P965" s="2">
        <v>1</v>
      </c>
      <c r="Q965" s="2">
        <v>0</v>
      </c>
      <c r="R965" s="2">
        <v>0</v>
      </c>
      <c r="S965" s="2">
        <v>0</v>
      </c>
      <c r="T965" s="2">
        <v>2</v>
      </c>
      <c r="U965" s="2">
        <v>0</v>
      </c>
      <c r="V965" s="2">
        <v>0</v>
      </c>
      <c r="W965" s="2">
        <v>35</v>
      </c>
      <c r="X965" s="2">
        <v>1</v>
      </c>
      <c r="Y965" s="2">
        <v>0</v>
      </c>
      <c r="Z965" s="2">
        <v>1</v>
      </c>
      <c r="AA965" s="2">
        <v>2</v>
      </c>
      <c r="AB965" s="2">
        <v>2</v>
      </c>
      <c r="AC965" s="2">
        <v>1</v>
      </c>
      <c r="AD965" s="2">
        <v>1</v>
      </c>
      <c r="AE965" s="2">
        <v>0</v>
      </c>
      <c r="AF965" s="2">
        <v>0</v>
      </c>
    </row>
    <row r="966" spans="1:32" x14ac:dyDescent="0.25">
      <c r="A966">
        <v>965</v>
      </c>
      <c r="B966" s="2">
        <v>1</v>
      </c>
      <c r="C966" s="2">
        <v>6</v>
      </c>
      <c r="D966" s="2">
        <v>2</v>
      </c>
      <c r="E966" s="2">
        <v>0</v>
      </c>
      <c r="F966" s="2">
        <v>0</v>
      </c>
      <c r="G966" s="2">
        <v>0</v>
      </c>
      <c r="H966" s="2">
        <v>0</v>
      </c>
      <c r="I966" s="2">
        <v>0</v>
      </c>
      <c r="J966" s="2">
        <v>0</v>
      </c>
      <c r="K966" s="2">
        <v>454</v>
      </c>
      <c r="L966" s="2">
        <v>0</v>
      </c>
      <c r="M966" s="2">
        <v>1</v>
      </c>
      <c r="N966" s="2">
        <v>3</v>
      </c>
      <c r="O966" s="2">
        <v>0</v>
      </c>
      <c r="P966" s="2">
        <v>0</v>
      </c>
      <c r="Q966" s="2">
        <v>1</v>
      </c>
      <c r="R966" s="2">
        <v>0</v>
      </c>
      <c r="S966" s="2">
        <v>0</v>
      </c>
      <c r="T966" s="2">
        <v>1</v>
      </c>
      <c r="U966" s="2">
        <v>0</v>
      </c>
      <c r="V966" s="2">
        <v>0</v>
      </c>
      <c r="W966" s="2">
        <v>22</v>
      </c>
      <c r="X966" s="2">
        <v>0</v>
      </c>
      <c r="Y966" s="2">
        <v>0</v>
      </c>
      <c r="Z966" s="2">
        <v>1</v>
      </c>
      <c r="AA966" s="2">
        <v>1</v>
      </c>
      <c r="AB966" s="2">
        <v>1</v>
      </c>
      <c r="AC966" s="2">
        <v>1</v>
      </c>
      <c r="AD966" s="2">
        <v>0</v>
      </c>
      <c r="AE966" s="2">
        <v>0</v>
      </c>
      <c r="AF966" s="2">
        <v>1</v>
      </c>
    </row>
    <row r="967" spans="1:32" x14ac:dyDescent="0.25">
      <c r="A967">
        <v>966</v>
      </c>
      <c r="B967" s="2">
        <v>1</v>
      </c>
      <c r="C967" s="2">
        <v>30</v>
      </c>
      <c r="D967" s="2">
        <v>2</v>
      </c>
      <c r="E967" s="2">
        <v>0</v>
      </c>
      <c r="F967" s="2">
        <v>0</v>
      </c>
      <c r="G967" s="2">
        <v>0</v>
      </c>
      <c r="H967" s="2">
        <v>1</v>
      </c>
      <c r="I967" s="2">
        <v>0</v>
      </c>
      <c r="J967" s="2">
        <v>0</v>
      </c>
      <c r="K967" s="2">
        <v>1715</v>
      </c>
      <c r="L967" s="2">
        <v>4</v>
      </c>
      <c r="M967" s="2">
        <v>2</v>
      </c>
      <c r="N967" s="2">
        <v>4</v>
      </c>
      <c r="O967" s="2">
        <v>0</v>
      </c>
      <c r="P967" s="2">
        <v>0</v>
      </c>
      <c r="Q967" s="2">
        <v>0</v>
      </c>
      <c r="R967" s="2">
        <v>0</v>
      </c>
      <c r="S967" s="2">
        <v>0</v>
      </c>
      <c r="T967" s="2">
        <v>1</v>
      </c>
      <c r="U967" s="2">
        <v>0</v>
      </c>
      <c r="V967" s="2">
        <v>0</v>
      </c>
      <c r="W967" s="2">
        <v>26</v>
      </c>
      <c r="X967" s="2">
        <v>0</v>
      </c>
      <c r="Y967" s="2">
        <v>0</v>
      </c>
      <c r="Z967" s="2">
        <v>1</v>
      </c>
      <c r="AA967" s="2">
        <v>1</v>
      </c>
      <c r="AB967" s="2">
        <v>2</v>
      </c>
      <c r="AC967" s="2">
        <v>1</v>
      </c>
      <c r="AD967" s="2">
        <v>0</v>
      </c>
      <c r="AE967" s="2">
        <v>0</v>
      </c>
      <c r="AF967" s="2">
        <v>1</v>
      </c>
    </row>
    <row r="968" spans="1:32" x14ac:dyDescent="0.25">
      <c r="A968">
        <v>967</v>
      </c>
      <c r="B968" s="2">
        <v>1</v>
      </c>
      <c r="C968" s="2">
        <v>27</v>
      </c>
      <c r="D968" s="2">
        <v>4</v>
      </c>
      <c r="E968" s="2">
        <v>0</v>
      </c>
      <c r="F968" s="2">
        <v>0</v>
      </c>
      <c r="G968" s="2">
        <v>0</v>
      </c>
      <c r="H968" s="2">
        <v>1</v>
      </c>
      <c r="I968" s="2">
        <v>0</v>
      </c>
      <c r="J968" s="2">
        <v>0</v>
      </c>
      <c r="K968" s="2">
        <v>2520</v>
      </c>
      <c r="L968" s="2">
        <v>2</v>
      </c>
      <c r="M968" s="2">
        <v>2</v>
      </c>
      <c r="N968" s="2">
        <v>4</v>
      </c>
      <c r="O968" s="2">
        <v>0</v>
      </c>
      <c r="P968" s="2">
        <v>1</v>
      </c>
      <c r="Q968" s="2">
        <v>0</v>
      </c>
      <c r="R968" s="2">
        <v>0</v>
      </c>
      <c r="S968" s="2">
        <v>0</v>
      </c>
      <c r="T968" s="2">
        <v>2</v>
      </c>
      <c r="U968" s="2">
        <v>0</v>
      </c>
      <c r="V968" s="2">
        <v>0</v>
      </c>
      <c r="W968" s="2">
        <v>23</v>
      </c>
      <c r="X968" s="2">
        <v>0</v>
      </c>
      <c r="Y968" s="2">
        <v>0</v>
      </c>
      <c r="Z968" s="2">
        <v>1</v>
      </c>
      <c r="AA968" s="2">
        <v>2</v>
      </c>
      <c r="AB968" s="2">
        <v>1</v>
      </c>
      <c r="AC968" s="2">
        <v>1</v>
      </c>
      <c r="AD968" s="2">
        <v>0</v>
      </c>
      <c r="AE968" s="2">
        <v>0</v>
      </c>
      <c r="AF968" s="2">
        <v>0</v>
      </c>
    </row>
    <row r="969" spans="1:32" x14ac:dyDescent="0.25">
      <c r="A969">
        <v>968</v>
      </c>
      <c r="B969" s="2">
        <v>3</v>
      </c>
      <c r="C969" s="2">
        <v>15</v>
      </c>
      <c r="D969" s="2">
        <v>2</v>
      </c>
      <c r="E969" s="2">
        <v>0</v>
      </c>
      <c r="F969" s="2">
        <v>0</v>
      </c>
      <c r="G969" s="2">
        <v>0</v>
      </c>
      <c r="H969" s="2">
        <v>1</v>
      </c>
      <c r="I969" s="2">
        <v>0</v>
      </c>
      <c r="J969" s="2">
        <v>0</v>
      </c>
      <c r="K969" s="2">
        <v>3568</v>
      </c>
      <c r="L969" s="2">
        <v>0</v>
      </c>
      <c r="M969" s="2">
        <v>4</v>
      </c>
      <c r="N969" s="2">
        <v>4</v>
      </c>
      <c r="O969" s="2">
        <v>0</v>
      </c>
      <c r="P969" s="2">
        <v>0</v>
      </c>
      <c r="Q969" s="2">
        <v>0</v>
      </c>
      <c r="R969" s="2">
        <v>0</v>
      </c>
      <c r="S969" s="2">
        <v>0</v>
      </c>
      <c r="T969" s="2">
        <v>2</v>
      </c>
      <c r="U969" s="2">
        <v>0</v>
      </c>
      <c r="V969" s="2">
        <v>0</v>
      </c>
      <c r="W969" s="2">
        <v>54</v>
      </c>
      <c r="X969" s="2">
        <v>1</v>
      </c>
      <c r="Y969" s="2">
        <v>1</v>
      </c>
      <c r="Z969" s="2">
        <v>0</v>
      </c>
      <c r="AA969" s="2">
        <v>1</v>
      </c>
      <c r="AB969" s="2">
        <v>3</v>
      </c>
      <c r="AC969" s="2">
        <v>1</v>
      </c>
      <c r="AD969" s="2">
        <v>1</v>
      </c>
      <c r="AE969" s="2">
        <v>0</v>
      </c>
      <c r="AF969" s="2">
        <v>1</v>
      </c>
    </row>
    <row r="970" spans="1:32" x14ac:dyDescent="0.25">
      <c r="A970">
        <v>969</v>
      </c>
      <c r="B970" s="2">
        <v>3</v>
      </c>
      <c r="C970" s="2">
        <v>42</v>
      </c>
      <c r="D970" s="2">
        <v>2</v>
      </c>
      <c r="E970" s="2">
        <v>0</v>
      </c>
      <c r="F970" s="2">
        <v>0</v>
      </c>
      <c r="G970" s="2">
        <v>0</v>
      </c>
      <c r="H970" s="2">
        <v>1</v>
      </c>
      <c r="I970" s="2">
        <v>0</v>
      </c>
      <c r="J970" s="2">
        <v>0</v>
      </c>
      <c r="K970" s="2">
        <v>7166</v>
      </c>
      <c r="L970" s="2">
        <v>4</v>
      </c>
      <c r="M970" s="2">
        <v>3</v>
      </c>
      <c r="N970" s="2">
        <v>2</v>
      </c>
      <c r="O970" s="2">
        <v>0</v>
      </c>
      <c r="P970" s="2">
        <v>0</v>
      </c>
      <c r="Q970" s="2">
        <v>1</v>
      </c>
      <c r="R970" s="2">
        <v>0</v>
      </c>
      <c r="S970" s="2">
        <v>0</v>
      </c>
      <c r="T970" s="2">
        <v>4</v>
      </c>
      <c r="U970" s="2">
        <v>0</v>
      </c>
      <c r="V970" s="2">
        <v>0</v>
      </c>
      <c r="W970" s="2">
        <v>29</v>
      </c>
      <c r="X970" s="2">
        <v>0</v>
      </c>
      <c r="Y970" s="2">
        <v>1</v>
      </c>
      <c r="Z970" s="2">
        <v>0</v>
      </c>
      <c r="AA970" s="2">
        <v>1</v>
      </c>
      <c r="AB970" s="2">
        <v>2</v>
      </c>
      <c r="AC970" s="2">
        <v>1</v>
      </c>
      <c r="AD970" s="2">
        <v>1</v>
      </c>
      <c r="AE970" s="2">
        <v>0</v>
      </c>
      <c r="AF970" s="2">
        <v>1</v>
      </c>
    </row>
    <row r="971" spans="1:32" x14ac:dyDescent="0.25">
      <c r="A971">
        <v>970</v>
      </c>
      <c r="B971" s="2">
        <v>0</v>
      </c>
      <c r="C971" s="2">
        <v>11</v>
      </c>
      <c r="D971" s="2">
        <v>4</v>
      </c>
      <c r="E971" s="2">
        <v>1</v>
      </c>
      <c r="F971" s="2">
        <v>0</v>
      </c>
      <c r="G971" s="2">
        <v>0</v>
      </c>
      <c r="H971" s="2">
        <v>0</v>
      </c>
      <c r="I971" s="2">
        <v>0</v>
      </c>
      <c r="J971" s="2">
        <v>0</v>
      </c>
      <c r="K971" s="2">
        <v>3939</v>
      </c>
      <c r="L971" s="2">
        <v>0</v>
      </c>
      <c r="M971" s="2">
        <v>2</v>
      </c>
      <c r="N971" s="2">
        <v>1</v>
      </c>
      <c r="O971" s="2">
        <v>0</v>
      </c>
      <c r="P971" s="2">
        <v>1</v>
      </c>
      <c r="Q971" s="2">
        <v>0</v>
      </c>
      <c r="R971" s="2">
        <v>0</v>
      </c>
      <c r="S971" s="2">
        <v>0</v>
      </c>
      <c r="T971" s="2">
        <v>2</v>
      </c>
      <c r="U971" s="2">
        <v>1</v>
      </c>
      <c r="V971" s="2">
        <v>0</v>
      </c>
      <c r="W971" s="2">
        <v>40</v>
      </c>
      <c r="X971" s="2">
        <v>0</v>
      </c>
      <c r="Y971" s="2">
        <v>0</v>
      </c>
      <c r="Z971" s="2">
        <v>1</v>
      </c>
      <c r="AA971" s="2">
        <v>2</v>
      </c>
      <c r="AB971" s="2">
        <v>1</v>
      </c>
      <c r="AC971" s="2">
        <v>2</v>
      </c>
      <c r="AD971" s="2">
        <v>0</v>
      </c>
      <c r="AE971" s="2">
        <v>0</v>
      </c>
      <c r="AF971" s="2">
        <v>1</v>
      </c>
    </row>
    <row r="972" spans="1:32" x14ac:dyDescent="0.25">
      <c r="A972">
        <v>971</v>
      </c>
      <c r="B972" s="2">
        <v>1</v>
      </c>
      <c r="C972" s="2">
        <v>15</v>
      </c>
      <c r="D972" s="2">
        <v>2</v>
      </c>
      <c r="E972" s="2">
        <v>0</v>
      </c>
      <c r="F972" s="2">
        <v>0</v>
      </c>
      <c r="G972" s="2">
        <v>0</v>
      </c>
      <c r="H972" s="2">
        <v>0</v>
      </c>
      <c r="I972" s="2">
        <v>0</v>
      </c>
      <c r="J972" s="2">
        <v>0</v>
      </c>
      <c r="K972" s="2">
        <v>1514</v>
      </c>
      <c r="L972" s="2">
        <v>1</v>
      </c>
      <c r="M972" s="2">
        <v>2</v>
      </c>
      <c r="N972" s="2">
        <v>4</v>
      </c>
      <c r="O972" s="2">
        <v>0</v>
      </c>
      <c r="P972" s="2">
        <v>1</v>
      </c>
      <c r="Q972" s="2">
        <v>0</v>
      </c>
      <c r="R972" s="2">
        <v>0</v>
      </c>
      <c r="S972" s="2">
        <v>1</v>
      </c>
      <c r="T972" s="2">
        <v>2</v>
      </c>
      <c r="U972" s="2">
        <v>1</v>
      </c>
      <c r="V972" s="2">
        <v>0</v>
      </c>
      <c r="W972" s="2">
        <v>22</v>
      </c>
      <c r="X972" s="2">
        <v>0</v>
      </c>
      <c r="Y972" s="2">
        <v>0</v>
      </c>
      <c r="Z972" s="2">
        <v>1</v>
      </c>
      <c r="AA972" s="2">
        <v>1</v>
      </c>
      <c r="AB972" s="2">
        <v>2</v>
      </c>
      <c r="AC972" s="2">
        <v>1</v>
      </c>
      <c r="AD972" s="2">
        <v>0</v>
      </c>
      <c r="AE972" s="2">
        <v>0</v>
      </c>
      <c r="AF972" s="2">
        <v>1</v>
      </c>
    </row>
    <row r="973" spans="1:32" x14ac:dyDescent="0.25">
      <c r="A973">
        <v>972</v>
      </c>
      <c r="B973" s="2">
        <v>3</v>
      </c>
      <c r="C973" s="2">
        <v>24</v>
      </c>
      <c r="D973" s="2">
        <v>2</v>
      </c>
      <c r="E973" s="2">
        <v>1</v>
      </c>
      <c r="F973" s="2">
        <v>0</v>
      </c>
      <c r="G973" s="2">
        <v>0</v>
      </c>
      <c r="H973" s="2">
        <v>0</v>
      </c>
      <c r="I973" s="2">
        <v>0</v>
      </c>
      <c r="J973" s="2">
        <v>0</v>
      </c>
      <c r="K973" s="2">
        <v>7393</v>
      </c>
      <c r="L973" s="2">
        <v>0</v>
      </c>
      <c r="M973" s="2">
        <v>2</v>
      </c>
      <c r="N973" s="2">
        <v>1</v>
      </c>
      <c r="O973" s="2">
        <v>0</v>
      </c>
      <c r="P973" s="2">
        <v>1</v>
      </c>
      <c r="Q973" s="2">
        <v>0</v>
      </c>
      <c r="R973" s="2">
        <v>0</v>
      </c>
      <c r="S973" s="2">
        <v>0</v>
      </c>
      <c r="T973" s="2">
        <v>4</v>
      </c>
      <c r="U973" s="2">
        <v>0</v>
      </c>
      <c r="V973" s="2">
        <v>0</v>
      </c>
      <c r="W973" s="2">
        <v>43</v>
      </c>
      <c r="X973" s="2">
        <v>0</v>
      </c>
      <c r="Y973" s="2">
        <v>0</v>
      </c>
      <c r="Z973" s="2">
        <v>1</v>
      </c>
      <c r="AA973" s="2">
        <v>1</v>
      </c>
      <c r="AB973" s="2">
        <v>1</v>
      </c>
      <c r="AC973" s="2">
        <v>2</v>
      </c>
      <c r="AD973" s="2">
        <v>0</v>
      </c>
      <c r="AE973" s="2">
        <v>0</v>
      </c>
      <c r="AF973" s="2">
        <v>1</v>
      </c>
    </row>
    <row r="974" spans="1:32" x14ac:dyDescent="0.25">
      <c r="A974">
        <v>973</v>
      </c>
      <c r="B974" s="2">
        <v>0</v>
      </c>
      <c r="C974" s="2">
        <v>24</v>
      </c>
      <c r="D974" s="2">
        <v>1</v>
      </c>
      <c r="E974" s="2">
        <v>1</v>
      </c>
      <c r="F974" s="2">
        <v>0</v>
      </c>
      <c r="G974" s="2">
        <v>0</v>
      </c>
      <c r="H974" s="2">
        <v>0</v>
      </c>
      <c r="I974" s="2">
        <v>0</v>
      </c>
      <c r="J974" s="2">
        <v>0</v>
      </c>
      <c r="K974" s="2">
        <v>1193</v>
      </c>
      <c r="L974" s="2">
        <v>0</v>
      </c>
      <c r="M974" s="2">
        <v>0</v>
      </c>
      <c r="N974" s="2">
        <v>1</v>
      </c>
      <c r="O974" s="2">
        <v>0</v>
      </c>
      <c r="P974" s="2">
        <v>0</v>
      </c>
      <c r="Q974" s="2">
        <v>0</v>
      </c>
      <c r="R974" s="2">
        <v>1</v>
      </c>
      <c r="S974" s="2">
        <v>0</v>
      </c>
      <c r="T974" s="2">
        <v>4</v>
      </c>
      <c r="U974" s="2">
        <v>0</v>
      </c>
      <c r="V974" s="2">
        <v>1</v>
      </c>
      <c r="W974" s="2">
        <v>29</v>
      </c>
      <c r="X974" s="2">
        <v>0</v>
      </c>
      <c r="Y974" s="2">
        <v>1</v>
      </c>
      <c r="Z974" s="2">
        <v>0</v>
      </c>
      <c r="AA974" s="2">
        <v>2</v>
      </c>
      <c r="AB974" s="2">
        <v>0</v>
      </c>
      <c r="AC974" s="2">
        <v>1</v>
      </c>
      <c r="AD974" s="2">
        <v>0</v>
      </c>
      <c r="AE974" s="2">
        <v>0</v>
      </c>
      <c r="AF974" s="2">
        <v>0</v>
      </c>
    </row>
    <row r="975" spans="1:32" x14ac:dyDescent="0.25">
      <c r="A975">
        <v>974</v>
      </c>
      <c r="B975" s="2">
        <v>0</v>
      </c>
      <c r="C975" s="2">
        <v>60</v>
      </c>
      <c r="D975" s="2">
        <v>2</v>
      </c>
      <c r="E975" s="2">
        <v>0</v>
      </c>
      <c r="F975" s="2">
        <v>0</v>
      </c>
      <c r="G975" s="2">
        <v>0</v>
      </c>
      <c r="H975" s="2">
        <v>0</v>
      </c>
      <c r="I975" s="2">
        <v>0</v>
      </c>
      <c r="J975" s="2">
        <v>1</v>
      </c>
      <c r="K975" s="2">
        <v>7297</v>
      </c>
      <c r="L975" s="2">
        <v>0</v>
      </c>
      <c r="M975" s="2">
        <v>4</v>
      </c>
      <c r="N975" s="2">
        <v>4</v>
      </c>
      <c r="O975" s="2">
        <v>0</v>
      </c>
      <c r="P975" s="2">
        <v>1</v>
      </c>
      <c r="Q975" s="2">
        <v>0</v>
      </c>
      <c r="R975" s="2">
        <v>1</v>
      </c>
      <c r="S975" s="2">
        <v>0</v>
      </c>
      <c r="T975" s="2">
        <v>4</v>
      </c>
      <c r="U975" s="2">
        <v>0</v>
      </c>
      <c r="V975" s="2">
        <v>1</v>
      </c>
      <c r="W975" s="2">
        <v>36</v>
      </c>
      <c r="X975" s="2">
        <v>0</v>
      </c>
      <c r="Y975" s="2">
        <v>1</v>
      </c>
      <c r="Z975" s="2">
        <v>0</v>
      </c>
      <c r="AA975" s="2">
        <v>1</v>
      </c>
      <c r="AB975" s="2">
        <v>2</v>
      </c>
      <c r="AC975" s="2">
        <v>1</v>
      </c>
      <c r="AD975" s="2">
        <v>0</v>
      </c>
      <c r="AE975" s="2">
        <v>0</v>
      </c>
      <c r="AF975" s="2">
        <v>0</v>
      </c>
    </row>
    <row r="976" spans="1:32" x14ac:dyDescent="0.25">
      <c r="A976">
        <v>975</v>
      </c>
      <c r="B976" s="2">
        <v>3</v>
      </c>
      <c r="C976" s="2">
        <v>30</v>
      </c>
      <c r="D976" s="2">
        <v>4</v>
      </c>
      <c r="E976" s="2">
        <v>0</v>
      </c>
      <c r="F976" s="2">
        <v>0</v>
      </c>
      <c r="G976" s="2">
        <v>0</v>
      </c>
      <c r="H976" s="2">
        <v>1</v>
      </c>
      <c r="I976" s="2">
        <v>0</v>
      </c>
      <c r="J976" s="2">
        <v>0</v>
      </c>
      <c r="K976" s="2">
        <v>2831</v>
      </c>
      <c r="L976" s="2">
        <v>0</v>
      </c>
      <c r="M976" s="2">
        <v>2</v>
      </c>
      <c r="N976" s="2">
        <v>4</v>
      </c>
      <c r="O976" s="2">
        <v>0</v>
      </c>
      <c r="P976" s="2">
        <v>0</v>
      </c>
      <c r="Q976" s="2">
        <v>0</v>
      </c>
      <c r="R976" s="2">
        <v>0</v>
      </c>
      <c r="S976" s="2">
        <v>0</v>
      </c>
      <c r="T976" s="2">
        <v>2</v>
      </c>
      <c r="U976" s="2">
        <v>0</v>
      </c>
      <c r="V976" s="2">
        <v>0</v>
      </c>
      <c r="W976" s="2">
        <v>33</v>
      </c>
      <c r="X976" s="2">
        <v>0</v>
      </c>
      <c r="Y976" s="2">
        <v>0</v>
      </c>
      <c r="Z976" s="2">
        <v>1</v>
      </c>
      <c r="AA976" s="2">
        <v>1</v>
      </c>
      <c r="AB976" s="2">
        <v>2</v>
      </c>
      <c r="AC976" s="2">
        <v>1</v>
      </c>
      <c r="AD976" s="2">
        <v>1</v>
      </c>
      <c r="AE976" s="2">
        <v>0</v>
      </c>
      <c r="AF976" s="2">
        <v>1</v>
      </c>
    </row>
    <row r="977" spans="1:32" x14ac:dyDescent="0.25">
      <c r="A977">
        <v>976</v>
      </c>
      <c r="B977" s="2">
        <v>2</v>
      </c>
      <c r="C977" s="2">
        <v>24</v>
      </c>
      <c r="D977" s="2">
        <v>2</v>
      </c>
      <c r="E977" s="2">
        <v>0</v>
      </c>
      <c r="F977" s="2">
        <v>0</v>
      </c>
      <c r="G977" s="2">
        <v>0</v>
      </c>
      <c r="H977" s="2">
        <v>1</v>
      </c>
      <c r="I977" s="2">
        <v>0</v>
      </c>
      <c r="J977" s="2">
        <v>0</v>
      </c>
      <c r="K977" s="2">
        <v>1258</v>
      </c>
      <c r="L977" s="2">
        <v>2</v>
      </c>
      <c r="M977" s="2">
        <v>2</v>
      </c>
      <c r="N977" s="2">
        <v>3</v>
      </c>
      <c r="O977" s="2">
        <v>0</v>
      </c>
      <c r="P977" s="2">
        <v>0</v>
      </c>
      <c r="Q977" s="2">
        <v>0</v>
      </c>
      <c r="R977" s="2">
        <v>0</v>
      </c>
      <c r="S977" s="2">
        <v>0</v>
      </c>
      <c r="T977" s="2">
        <v>3</v>
      </c>
      <c r="U977" s="2">
        <v>0</v>
      </c>
      <c r="V977" s="2">
        <v>0</v>
      </c>
      <c r="W977" s="2">
        <v>57</v>
      </c>
      <c r="X977" s="2">
        <v>0</v>
      </c>
      <c r="Y977" s="2">
        <v>0</v>
      </c>
      <c r="Z977" s="2">
        <v>1</v>
      </c>
      <c r="AA977" s="2">
        <v>1</v>
      </c>
      <c r="AB977" s="2">
        <v>1</v>
      </c>
      <c r="AC977" s="2">
        <v>1</v>
      </c>
      <c r="AD977" s="2">
        <v>0</v>
      </c>
      <c r="AE977" s="2">
        <v>0</v>
      </c>
      <c r="AF977" s="2">
        <v>1</v>
      </c>
    </row>
    <row r="978" spans="1:32" x14ac:dyDescent="0.25">
      <c r="A978">
        <v>977</v>
      </c>
      <c r="B978" s="2">
        <v>1</v>
      </c>
      <c r="C978" s="2">
        <v>6</v>
      </c>
      <c r="D978" s="2">
        <v>2</v>
      </c>
      <c r="E978" s="2">
        <v>0</v>
      </c>
      <c r="F978" s="2">
        <v>0</v>
      </c>
      <c r="G978" s="2">
        <v>0</v>
      </c>
      <c r="H978" s="2">
        <v>1</v>
      </c>
      <c r="I978" s="2">
        <v>0</v>
      </c>
      <c r="J978" s="2">
        <v>0</v>
      </c>
      <c r="K978" s="2">
        <v>753</v>
      </c>
      <c r="L978" s="2">
        <v>0</v>
      </c>
      <c r="M978" s="2">
        <v>2</v>
      </c>
      <c r="N978" s="2">
        <v>2</v>
      </c>
      <c r="O978" s="2">
        <v>0</v>
      </c>
      <c r="P978" s="2">
        <v>0</v>
      </c>
      <c r="Q978" s="2">
        <v>0</v>
      </c>
      <c r="R978" s="2">
        <v>0</v>
      </c>
      <c r="S978" s="2">
        <v>1</v>
      </c>
      <c r="T978" s="2">
        <v>3</v>
      </c>
      <c r="U978" s="2">
        <v>1</v>
      </c>
      <c r="V978" s="2">
        <v>0</v>
      </c>
      <c r="W978" s="2">
        <v>64</v>
      </c>
      <c r="X978" s="2">
        <v>0</v>
      </c>
      <c r="Y978" s="2">
        <v>0</v>
      </c>
      <c r="Z978" s="2">
        <v>1</v>
      </c>
      <c r="AA978" s="2">
        <v>1</v>
      </c>
      <c r="AB978" s="2">
        <v>2</v>
      </c>
      <c r="AC978" s="2">
        <v>1</v>
      </c>
      <c r="AD978" s="2">
        <v>0</v>
      </c>
      <c r="AE978" s="2">
        <v>0</v>
      </c>
      <c r="AF978" s="2">
        <v>1</v>
      </c>
    </row>
    <row r="979" spans="1:32" x14ac:dyDescent="0.25">
      <c r="A979">
        <v>978</v>
      </c>
      <c r="B979" s="2">
        <v>1</v>
      </c>
      <c r="C979" s="2">
        <v>18</v>
      </c>
      <c r="D979" s="2">
        <v>3</v>
      </c>
      <c r="E979" s="2">
        <v>0</v>
      </c>
      <c r="F979" s="2">
        <v>0</v>
      </c>
      <c r="G979" s="2">
        <v>0</v>
      </c>
      <c r="H979" s="2">
        <v>0</v>
      </c>
      <c r="I979" s="2">
        <v>0</v>
      </c>
      <c r="J979" s="2">
        <v>1</v>
      </c>
      <c r="K979" s="2">
        <v>2427</v>
      </c>
      <c r="L979" s="2">
        <v>4</v>
      </c>
      <c r="M979" s="2">
        <v>4</v>
      </c>
      <c r="N979" s="2">
        <v>4</v>
      </c>
      <c r="O979" s="2">
        <v>0</v>
      </c>
      <c r="P979" s="2">
        <v>1</v>
      </c>
      <c r="Q979" s="2">
        <v>0</v>
      </c>
      <c r="R979" s="2">
        <v>0</v>
      </c>
      <c r="S979" s="2">
        <v>0</v>
      </c>
      <c r="T979" s="2">
        <v>2</v>
      </c>
      <c r="U979" s="2">
        <v>0</v>
      </c>
      <c r="V979" s="2">
        <v>0</v>
      </c>
      <c r="W979" s="2">
        <v>42</v>
      </c>
      <c r="X979" s="2">
        <v>0</v>
      </c>
      <c r="Y979" s="2">
        <v>0</v>
      </c>
      <c r="Z979" s="2">
        <v>1</v>
      </c>
      <c r="AA979" s="2">
        <v>2</v>
      </c>
      <c r="AB979" s="2">
        <v>2</v>
      </c>
      <c r="AC979" s="2">
        <v>1</v>
      </c>
      <c r="AD979" s="2">
        <v>0</v>
      </c>
      <c r="AE979" s="2">
        <v>0</v>
      </c>
      <c r="AF979" s="2">
        <v>1</v>
      </c>
    </row>
    <row r="980" spans="1:32" x14ac:dyDescent="0.25">
      <c r="A980">
        <v>979</v>
      </c>
      <c r="B980" s="2">
        <v>3</v>
      </c>
      <c r="C980" s="2">
        <v>24</v>
      </c>
      <c r="D980" s="2">
        <v>3</v>
      </c>
      <c r="E980" s="2">
        <v>1</v>
      </c>
      <c r="F980" s="2">
        <v>0</v>
      </c>
      <c r="G980" s="2">
        <v>0</v>
      </c>
      <c r="H980" s="2">
        <v>0</v>
      </c>
      <c r="I980" s="2">
        <v>0</v>
      </c>
      <c r="J980" s="2">
        <v>0</v>
      </c>
      <c r="K980" s="2">
        <v>2538</v>
      </c>
      <c r="L980" s="2">
        <v>0</v>
      </c>
      <c r="M980" s="2">
        <v>4</v>
      </c>
      <c r="N980" s="2">
        <v>4</v>
      </c>
      <c r="O980" s="2">
        <v>0</v>
      </c>
      <c r="P980" s="2">
        <v>1</v>
      </c>
      <c r="Q980" s="2">
        <v>0</v>
      </c>
      <c r="R980" s="2">
        <v>0</v>
      </c>
      <c r="S980" s="2">
        <v>0</v>
      </c>
      <c r="T980" s="2">
        <v>4</v>
      </c>
      <c r="U980" s="2">
        <v>0</v>
      </c>
      <c r="V980" s="2">
        <v>0</v>
      </c>
      <c r="W980" s="2">
        <v>47</v>
      </c>
      <c r="X980" s="2">
        <v>0</v>
      </c>
      <c r="Y980" s="2">
        <v>0</v>
      </c>
      <c r="Z980" s="2">
        <v>1</v>
      </c>
      <c r="AA980" s="2">
        <v>2</v>
      </c>
      <c r="AB980" s="2">
        <v>1</v>
      </c>
      <c r="AC980" s="2">
        <v>2</v>
      </c>
      <c r="AD980" s="2">
        <v>0</v>
      </c>
      <c r="AE980" s="2">
        <v>0</v>
      </c>
      <c r="AF980" s="2">
        <v>0</v>
      </c>
    </row>
    <row r="981" spans="1:32" x14ac:dyDescent="0.25">
      <c r="A981">
        <v>980</v>
      </c>
      <c r="B981" s="2">
        <v>1</v>
      </c>
      <c r="C981" s="2">
        <v>15</v>
      </c>
      <c r="D981" s="2">
        <v>1</v>
      </c>
      <c r="E981" s="2">
        <v>1</v>
      </c>
      <c r="F981" s="2">
        <v>0</v>
      </c>
      <c r="G981" s="2">
        <v>0</v>
      </c>
      <c r="H981" s="2">
        <v>0</v>
      </c>
      <c r="I981" s="2">
        <v>0</v>
      </c>
      <c r="J981" s="2">
        <v>0</v>
      </c>
      <c r="K981" s="2">
        <v>1264</v>
      </c>
      <c r="L981" s="2">
        <v>1</v>
      </c>
      <c r="M981" s="2">
        <v>2</v>
      </c>
      <c r="N981" s="2">
        <v>2</v>
      </c>
      <c r="O981" s="2">
        <v>0</v>
      </c>
      <c r="P981" s="2">
        <v>0</v>
      </c>
      <c r="Q981" s="2">
        <v>1</v>
      </c>
      <c r="R981" s="2">
        <v>0</v>
      </c>
      <c r="S981" s="2">
        <v>0</v>
      </c>
      <c r="T981" s="2">
        <v>2</v>
      </c>
      <c r="U981" s="2">
        <v>0</v>
      </c>
      <c r="V981" s="2">
        <v>0</v>
      </c>
      <c r="W981" s="2">
        <v>25</v>
      </c>
      <c r="X981" s="2">
        <v>0</v>
      </c>
      <c r="Y981" s="2">
        <v>1</v>
      </c>
      <c r="Z981" s="2">
        <v>0</v>
      </c>
      <c r="AA981" s="2">
        <v>1</v>
      </c>
      <c r="AB981" s="2">
        <v>2</v>
      </c>
      <c r="AC981" s="2">
        <v>1</v>
      </c>
      <c r="AD981" s="2">
        <v>0</v>
      </c>
      <c r="AE981" s="2">
        <v>0</v>
      </c>
      <c r="AF981" s="2">
        <v>0</v>
      </c>
    </row>
    <row r="982" spans="1:32" x14ac:dyDescent="0.25">
      <c r="A982">
        <v>981</v>
      </c>
      <c r="B982" s="2">
        <v>1</v>
      </c>
      <c r="C982" s="2">
        <v>30</v>
      </c>
      <c r="D982" s="2">
        <v>4</v>
      </c>
      <c r="E982" s="2">
        <v>0</v>
      </c>
      <c r="F982" s="2">
        <v>0</v>
      </c>
      <c r="G982" s="2">
        <v>1</v>
      </c>
      <c r="H982" s="2">
        <v>0</v>
      </c>
      <c r="I982" s="2">
        <v>0</v>
      </c>
      <c r="J982" s="2">
        <v>0</v>
      </c>
      <c r="K982" s="2">
        <v>8386</v>
      </c>
      <c r="L982" s="2">
        <v>0</v>
      </c>
      <c r="M982" s="2">
        <v>3</v>
      </c>
      <c r="N982" s="2">
        <v>2</v>
      </c>
      <c r="O982" s="2">
        <v>0</v>
      </c>
      <c r="P982" s="2">
        <v>1</v>
      </c>
      <c r="Q982" s="2">
        <v>0</v>
      </c>
      <c r="R982" s="2">
        <v>0</v>
      </c>
      <c r="S982" s="2">
        <v>0</v>
      </c>
      <c r="T982" s="2">
        <v>2</v>
      </c>
      <c r="U982" s="2">
        <v>0</v>
      </c>
      <c r="V982" s="2">
        <v>0</v>
      </c>
      <c r="W982" s="2">
        <v>49</v>
      </c>
      <c r="X982" s="2">
        <v>0</v>
      </c>
      <c r="Y982" s="2">
        <v>0</v>
      </c>
      <c r="Z982" s="2">
        <v>1</v>
      </c>
      <c r="AA982" s="2">
        <v>1</v>
      </c>
      <c r="AB982" s="2">
        <v>2</v>
      </c>
      <c r="AC982" s="2">
        <v>1</v>
      </c>
      <c r="AD982" s="2">
        <v>0</v>
      </c>
      <c r="AE982" s="2">
        <v>0</v>
      </c>
      <c r="AF982" s="2">
        <v>0</v>
      </c>
    </row>
    <row r="983" spans="1:32" x14ac:dyDescent="0.25">
      <c r="A983">
        <v>982</v>
      </c>
      <c r="B983" s="2">
        <v>3</v>
      </c>
      <c r="C983" s="2">
        <v>48</v>
      </c>
      <c r="D983" s="2">
        <v>2</v>
      </c>
      <c r="E983" s="2">
        <v>0</v>
      </c>
      <c r="F983" s="2">
        <v>0</v>
      </c>
      <c r="G983" s="2">
        <v>0</v>
      </c>
      <c r="H983" s="2">
        <v>0</v>
      </c>
      <c r="I983" s="2">
        <v>0</v>
      </c>
      <c r="J983" s="2">
        <v>1</v>
      </c>
      <c r="K983" s="2">
        <v>4844</v>
      </c>
      <c r="L983" s="2">
        <v>0</v>
      </c>
      <c r="M983" s="2">
        <v>0</v>
      </c>
      <c r="N983" s="2">
        <v>3</v>
      </c>
      <c r="O983" s="2">
        <v>0</v>
      </c>
      <c r="P983" s="2">
        <v>1</v>
      </c>
      <c r="Q983" s="2">
        <v>0</v>
      </c>
      <c r="R983" s="2">
        <v>0</v>
      </c>
      <c r="S983" s="2">
        <v>0</v>
      </c>
      <c r="T983" s="2">
        <v>2</v>
      </c>
      <c r="U983" s="2">
        <v>0</v>
      </c>
      <c r="V983" s="2">
        <v>0</v>
      </c>
      <c r="W983" s="2">
        <v>33</v>
      </c>
      <c r="X983" s="2">
        <v>1</v>
      </c>
      <c r="Y983" s="2">
        <v>1</v>
      </c>
      <c r="Z983" s="2">
        <v>0</v>
      </c>
      <c r="AA983" s="2">
        <v>1</v>
      </c>
      <c r="AB983" s="2">
        <v>3</v>
      </c>
      <c r="AC983" s="2">
        <v>1</v>
      </c>
      <c r="AD983" s="2">
        <v>1</v>
      </c>
      <c r="AE983" s="2">
        <v>0</v>
      </c>
      <c r="AF983" s="2">
        <v>0</v>
      </c>
    </row>
    <row r="984" spans="1:32" x14ac:dyDescent="0.25">
      <c r="A984">
        <v>983</v>
      </c>
      <c r="B984" s="2">
        <v>2</v>
      </c>
      <c r="C984" s="2">
        <v>21</v>
      </c>
      <c r="D984" s="2">
        <v>2</v>
      </c>
      <c r="E984" s="2">
        <v>1</v>
      </c>
      <c r="F984" s="2">
        <v>0</v>
      </c>
      <c r="G984" s="2">
        <v>0</v>
      </c>
      <c r="H984" s="2">
        <v>0</v>
      </c>
      <c r="I984" s="2">
        <v>0</v>
      </c>
      <c r="J984" s="2">
        <v>0</v>
      </c>
      <c r="K984" s="2">
        <v>2923</v>
      </c>
      <c r="L984" s="2">
        <v>1</v>
      </c>
      <c r="M984" s="2">
        <v>2</v>
      </c>
      <c r="N984" s="2">
        <v>1</v>
      </c>
      <c r="O984" s="2">
        <v>0</v>
      </c>
      <c r="P984" s="2">
        <v>0</v>
      </c>
      <c r="Q984" s="2">
        <v>0</v>
      </c>
      <c r="R984" s="2">
        <v>0</v>
      </c>
      <c r="S984" s="2">
        <v>0</v>
      </c>
      <c r="T984" s="2">
        <v>1</v>
      </c>
      <c r="U984" s="2">
        <v>0</v>
      </c>
      <c r="V984" s="2">
        <v>0</v>
      </c>
      <c r="W984" s="2">
        <v>28</v>
      </c>
      <c r="X984" s="2">
        <v>1</v>
      </c>
      <c r="Y984" s="2">
        <v>0</v>
      </c>
      <c r="Z984" s="2">
        <v>1</v>
      </c>
      <c r="AA984" s="2">
        <v>1</v>
      </c>
      <c r="AB984" s="2">
        <v>3</v>
      </c>
      <c r="AC984" s="2">
        <v>1</v>
      </c>
      <c r="AD984" s="2">
        <v>1</v>
      </c>
      <c r="AE984" s="2">
        <v>0</v>
      </c>
      <c r="AF984" s="2">
        <v>1</v>
      </c>
    </row>
    <row r="985" spans="1:32" x14ac:dyDescent="0.25">
      <c r="A985">
        <v>984</v>
      </c>
      <c r="B985" s="2">
        <v>0</v>
      </c>
      <c r="C985" s="2">
        <v>36</v>
      </c>
      <c r="D985" s="2">
        <v>2</v>
      </c>
      <c r="E985" s="2">
        <v>0</v>
      </c>
      <c r="F985" s="2">
        <v>1</v>
      </c>
      <c r="G985" s="2">
        <v>0</v>
      </c>
      <c r="H985" s="2">
        <v>0</v>
      </c>
      <c r="I985" s="2">
        <v>0</v>
      </c>
      <c r="J985" s="2">
        <v>0</v>
      </c>
      <c r="K985" s="2">
        <v>8229</v>
      </c>
      <c r="L985" s="2">
        <v>0</v>
      </c>
      <c r="M985" s="2">
        <v>2</v>
      </c>
      <c r="N985" s="2">
        <v>2</v>
      </c>
      <c r="O985" s="2">
        <v>0</v>
      </c>
      <c r="P985" s="2">
        <v>1</v>
      </c>
      <c r="Q985" s="2">
        <v>0</v>
      </c>
      <c r="R985" s="2">
        <v>0</v>
      </c>
      <c r="S985" s="2">
        <v>0</v>
      </c>
      <c r="T985" s="2">
        <v>2</v>
      </c>
      <c r="U985" s="2">
        <v>0</v>
      </c>
      <c r="V985" s="2">
        <v>0</v>
      </c>
      <c r="W985" s="2">
        <v>26</v>
      </c>
      <c r="X985" s="2">
        <v>0</v>
      </c>
      <c r="Y985" s="2">
        <v>0</v>
      </c>
      <c r="Z985" s="2">
        <v>1</v>
      </c>
      <c r="AA985" s="2">
        <v>1</v>
      </c>
      <c r="AB985" s="2">
        <v>2</v>
      </c>
      <c r="AC985" s="2">
        <v>2</v>
      </c>
      <c r="AD985" s="2">
        <v>0</v>
      </c>
      <c r="AE985" s="2">
        <v>0</v>
      </c>
      <c r="AF985" s="2">
        <v>0</v>
      </c>
    </row>
    <row r="986" spans="1:32" x14ac:dyDescent="0.25">
      <c r="A986">
        <v>985</v>
      </c>
      <c r="B986" s="2">
        <v>3</v>
      </c>
      <c r="C986" s="2">
        <v>24</v>
      </c>
      <c r="D986" s="2">
        <v>4</v>
      </c>
      <c r="E986" s="2">
        <v>0</v>
      </c>
      <c r="F986" s="2">
        <v>0</v>
      </c>
      <c r="G986" s="2">
        <v>1</v>
      </c>
      <c r="H986" s="2">
        <v>0</v>
      </c>
      <c r="I986" s="2">
        <v>0</v>
      </c>
      <c r="J986" s="2">
        <v>0</v>
      </c>
      <c r="K986" s="2">
        <v>2028</v>
      </c>
      <c r="L986" s="2">
        <v>0</v>
      </c>
      <c r="M986" s="2">
        <v>3</v>
      </c>
      <c r="N986" s="2">
        <v>2</v>
      </c>
      <c r="O986" s="2">
        <v>0</v>
      </c>
      <c r="P986" s="2">
        <v>1</v>
      </c>
      <c r="Q986" s="2">
        <v>0</v>
      </c>
      <c r="R986" s="2">
        <v>0</v>
      </c>
      <c r="S986" s="2">
        <v>0</v>
      </c>
      <c r="T986" s="2">
        <v>2</v>
      </c>
      <c r="U986" s="2">
        <v>0</v>
      </c>
      <c r="V986" s="2">
        <v>0</v>
      </c>
      <c r="W986" s="2">
        <v>30</v>
      </c>
      <c r="X986" s="2">
        <v>0</v>
      </c>
      <c r="Y986" s="2">
        <v>0</v>
      </c>
      <c r="Z986" s="2">
        <v>1</v>
      </c>
      <c r="AA986" s="2">
        <v>2</v>
      </c>
      <c r="AB986" s="2">
        <v>1</v>
      </c>
      <c r="AC986" s="2">
        <v>1</v>
      </c>
      <c r="AD986" s="2">
        <v>0</v>
      </c>
      <c r="AE986" s="2">
        <v>0</v>
      </c>
      <c r="AF986" s="2">
        <v>1</v>
      </c>
    </row>
    <row r="987" spans="1:32" x14ac:dyDescent="0.25">
      <c r="A987">
        <v>986</v>
      </c>
      <c r="B987" s="2">
        <v>0</v>
      </c>
      <c r="C987" s="2">
        <v>15</v>
      </c>
      <c r="D987" s="2">
        <v>4</v>
      </c>
      <c r="E987" s="2">
        <v>0</v>
      </c>
      <c r="F987" s="2">
        <v>0</v>
      </c>
      <c r="G987" s="2">
        <v>1</v>
      </c>
      <c r="H987" s="2">
        <v>0</v>
      </c>
      <c r="I987" s="2">
        <v>0</v>
      </c>
      <c r="J987" s="2">
        <v>0</v>
      </c>
      <c r="K987" s="2">
        <v>1433</v>
      </c>
      <c r="L987" s="2">
        <v>0</v>
      </c>
      <c r="M987" s="2">
        <v>2</v>
      </c>
      <c r="N987" s="2">
        <v>4</v>
      </c>
      <c r="O987" s="2">
        <v>0</v>
      </c>
      <c r="P987" s="2">
        <v>0</v>
      </c>
      <c r="Q987" s="2">
        <v>0</v>
      </c>
      <c r="R987" s="2">
        <v>0</v>
      </c>
      <c r="S987" s="2">
        <v>0</v>
      </c>
      <c r="T987" s="2">
        <v>3</v>
      </c>
      <c r="U987" s="2">
        <v>0</v>
      </c>
      <c r="V987" s="2">
        <v>0</v>
      </c>
      <c r="W987" s="2">
        <v>25</v>
      </c>
      <c r="X987" s="2">
        <v>0</v>
      </c>
      <c r="Y987" s="2">
        <v>1</v>
      </c>
      <c r="Z987" s="2">
        <v>0</v>
      </c>
      <c r="AA987" s="2">
        <v>2</v>
      </c>
      <c r="AB987" s="2">
        <v>2</v>
      </c>
      <c r="AC987" s="2">
        <v>1</v>
      </c>
      <c r="AD987" s="2">
        <v>0</v>
      </c>
      <c r="AE987" s="2">
        <v>0</v>
      </c>
      <c r="AF987" s="2">
        <v>1</v>
      </c>
    </row>
    <row r="988" spans="1:32" x14ac:dyDescent="0.25">
      <c r="A988">
        <v>987</v>
      </c>
      <c r="B988" s="2">
        <v>2</v>
      </c>
      <c r="C988" s="2">
        <v>42</v>
      </c>
      <c r="D988" s="2">
        <v>0</v>
      </c>
      <c r="E988" s="2">
        <v>0</v>
      </c>
      <c r="F988" s="2">
        <v>0</v>
      </c>
      <c r="G988" s="2">
        <v>0</v>
      </c>
      <c r="H988" s="2">
        <v>0</v>
      </c>
      <c r="I988" s="2">
        <v>0</v>
      </c>
      <c r="J988" s="2">
        <v>1</v>
      </c>
      <c r="K988" s="2">
        <v>6289</v>
      </c>
      <c r="L988" s="2">
        <v>0</v>
      </c>
      <c r="M988" s="2">
        <v>1</v>
      </c>
      <c r="N988" s="2">
        <v>2</v>
      </c>
      <c r="O988" s="2">
        <v>1</v>
      </c>
      <c r="P988" s="2">
        <v>0</v>
      </c>
      <c r="Q988" s="2">
        <v>0</v>
      </c>
      <c r="R988" s="2">
        <v>0</v>
      </c>
      <c r="S988" s="2">
        <v>0</v>
      </c>
      <c r="T988" s="2">
        <v>1</v>
      </c>
      <c r="U988" s="2">
        <v>0</v>
      </c>
      <c r="V988" s="2">
        <v>0</v>
      </c>
      <c r="W988" s="2">
        <v>33</v>
      </c>
      <c r="X988" s="2">
        <v>0</v>
      </c>
      <c r="Y988" s="2">
        <v>0</v>
      </c>
      <c r="Z988" s="2">
        <v>1</v>
      </c>
      <c r="AA988" s="2">
        <v>2</v>
      </c>
      <c r="AB988" s="2">
        <v>2</v>
      </c>
      <c r="AC988" s="2">
        <v>1</v>
      </c>
      <c r="AD988" s="2">
        <v>0</v>
      </c>
      <c r="AE988" s="2">
        <v>0</v>
      </c>
      <c r="AF988" s="2">
        <v>1</v>
      </c>
    </row>
    <row r="989" spans="1:32" x14ac:dyDescent="0.25">
      <c r="A989">
        <v>988</v>
      </c>
      <c r="B989" s="2">
        <v>3</v>
      </c>
      <c r="C989" s="2">
        <v>13</v>
      </c>
      <c r="D989" s="2">
        <v>2</v>
      </c>
      <c r="E989" s="2">
        <v>0</v>
      </c>
      <c r="F989" s="2">
        <v>0</v>
      </c>
      <c r="G989" s="2">
        <v>0</v>
      </c>
      <c r="H989" s="2">
        <v>1</v>
      </c>
      <c r="I989" s="2">
        <v>0</v>
      </c>
      <c r="J989" s="2">
        <v>0</v>
      </c>
      <c r="K989" s="2">
        <v>1409</v>
      </c>
      <c r="L989" s="2">
        <v>1</v>
      </c>
      <c r="M989" s="2">
        <v>0</v>
      </c>
      <c r="N989" s="2">
        <v>2</v>
      </c>
      <c r="O989" s="2">
        <v>0</v>
      </c>
      <c r="P989" s="2">
        <v>0</v>
      </c>
      <c r="Q989" s="2">
        <v>0</v>
      </c>
      <c r="R989" s="2">
        <v>0</v>
      </c>
      <c r="S989" s="2">
        <v>0</v>
      </c>
      <c r="T989" s="2">
        <v>4</v>
      </c>
      <c r="U989" s="2">
        <v>1</v>
      </c>
      <c r="V989" s="2">
        <v>0</v>
      </c>
      <c r="W989" s="2">
        <v>64</v>
      </c>
      <c r="X989" s="2">
        <v>0</v>
      </c>
      <c r="Y989" s="2">
        <v>0</v>
      </c>
      <c r="Z989" s="2">
        <v>1</v>
      </c>
      <c r="AA989" s="2">
        <v>1</v>
      </c>
      <c r="AB989" s="2">
        <v>2</v>
      </c>
      <c r="AC989" s="2">
        <v>1</v>
      </c>
      <c r="AD989" s="2">
        <v>0</v>
      </c>
      <c r="AE989" s="2">
        <v>0</v>
      </c>
      <c r="AF989" s="2">
        <v>1</v>
      </c>
    </row>
    <row r="990" spans="1:32" x14ac:dyDescent="0.25">
      <c r="A990">
        <v>989</v>
      </c>
      <c r="B990" s="2">
        <v>0</v>
      </c>
      <c r="C990" s="2">
        <v>24</v>
      </c>
      <c r="D990" s="2">
        <v>2</v>
      </c>
      <c r="E990" s="2">
        <v>0</v>
      </c>
      <c r="F990" s="2">
        <v>1</v>
      </c>
      <c r="G990" s="2">
        <v>0</v>
      </c>
      <c r="H990" s="2">
        <v>0</v>
      </c>
      <c r="I990" s="2">
        <v>0</v>
      </c>
      <c r="J990" s="2">
        <v>0</v>
      </c>
      <c r="K990" s="2">
        <v>6579</v>
      </c>
      <c r="L990" s="2">
        <v>0</v>
      </c>
      <c r="M990" s="2">
        <v>0</v>
      </c>
      <c r="N990" s="2">
        <v>4</v>
      </c>
      <c r="O990" s="2">
        <v>0</v>
      </c>
      <c r="P990" s="2">
        <v>1</v>
      </c>
      <c r="Q990" s="2">
        <v>0</v>
      </c>
      <c r="R990" s="2">
        <v>0</v>
      </c>
      <c r="S990" s="2">
        <v>0</v>
      </c>
      <c r="T990" s="2">
        <v>2</v>
      </c>
      <c r="U990" s="2">
        <v>0</v>
      </c>
      <c r="V990" s="2">
        <v>1</v>
      </c>
      <c r="W990" s="2">
        <v>29</v>
      </c>
      <c r="X990" s="2">
        <v>0</v>
      </c>
      <c r="Y990" s="2">
        <v>0</v>
      </c>
      <c r="Z990" s="2">
        <v>0</v>
      </c>
      <c r="AA990" s="2">
        <v>1</v>
      </c>
      <c r="AB990" s="2">
        <v>3</v>
      </c>
      <c r="AC990" s="2">
        <v>1</v>
      </c>
      <c r="AD990" s="2">
        <v>1</v>
      </c>
      <c r="AE990" s="2">
        <v>0</v>
      </c>
      <c r="AF990" s="2">
        <v>1</v>
      </c>
    </row>
    <row r="991" spans="1:32" x14ac:dyDescent="0.25">
      <c r="A991">
        <v>990</v>
      </c>
      <c r="B991" s="2">
        <v>1</v>
      </c>
      <c r="C991" s="2">
        <v>24</v>
      </c>
      <c r="D991" s="2">
        <v>4</v>
      </c>
      <c r="E991" s="2">
        <v>0</v>
      </c>
      <c r="F991" s="2">
        <v>0</v>
      </c>
      <c r="G991" s="2">
        <v>0</v>
      </c>
      <c r="H991" s="2">
        <v>1</v>
      </c>
      <c r="I991" s="2">
        <v>0</v>
      </c>
      <c r="J991" s="2">
        <v>0</v>
      </c>
      <c r="K991" s="2">
        <v>1743</v>
      </c>
      <c r="L991" s="2">
        <v>0</v>
      </c>
      <c r="M991" s="2">
        <v>4</v>
      </c>
      <c r="N991" s="2">
        <v>4</v>
      </c>
      <c r="O991" s="2">
        <v>0</v>
      </c>
      <c r="P991" s="2">
        <v>1</v>
      </c>
      <c r="Q991" s="2">
        <v>0</v>
      </c>
      <c r="R991" s="2">
        <v>0</v>
      </c>
      <c r="S991" s="2">
        <v>0</v>
      </c>
      <c r="T991" s="2">
        <v>2</v>
      </c>
      <c r="U991" s="2">
        <v>0</v>
      </c>
      <c r="V991" s="2">
        <v>0</v>
      </c>
      <c r="W991" s="2">
        <v>48</v>
      </c>
      <c r="X991" s="2">
        <v>0</v>
      </c>
      <c r="Y991" s="2">
        <v>0</v>
      </c>
      <c r="Z991" s="2">
        <v>1</v>
      </c>
      <c r="AA991" s="2">
        <v>2</v>
      </c>
      <c r="AB991" s="2">
        <v>1</v>
      </c>
      <c r="AC991" s="2">
        <v>1</v>
      </c>
      <c r="AD991" s="2">
        <v>0</v>
      </c>
      <c r="AE991" s="2">
        <v>0</v>
      </c>
      <c r="AF991" s="2">
        <v>1</v>
      </c>
    </row>
    <row r="992" spans="1:32" x14ac:dyDescent="0.25">
      <c r="A992">
        <v>991</v>
      </c>
      <c r="B992" s="2">
        <v>3</v>
      </c>
      <c r="C992" s="2">
        <v>12</v>
      </c>
      <c r="D992" s="2">
        <v>4</v>
      </c>
      <c r="E992" s="2">
        <v>0</v>
      </c>
      <c r="F992" s="2">
        <v>0</v>
      </c>
      <c r="G992" s="2">
        <v>0</v>
      </c>
      <c r="H992" s="2">
        <v>0</v>
      </c>
      <c r="I992" s="2">
        <v>1</v>
      </c>
      <c r="J992" s="2">
        <v>0</v>
      </c>
      <c r="K992" s="2">
        <v>3565</v>
      </c>
      <c r="L992" s="2">
        <v>4</v>
      </c>
      <c r="M992" s="2">
        <v>1</v>
      </c>
      <c r="N992" s="2">
        <v>2</v>
      </c>
      <c r="O992" s="2">
        <v>0</v>
      </c>
      <c r="P992" s="2">
        <v>1</v>
      </c>
      <c r="Q992" s="2">
        <v>0</v>
      </c>
      <c r="R992" s="2">
        <v>0</v>
      </c>
      <c r="S992" s="2">
        <v>0</v>
      </c>
      <c r="T992" s="2">
        <v>1</v>
      </c>
      <c r="U992" s="2">
        <v>0</v>
      </c>
      <c r="V992" s="2">
        <v>0</v>
      </c>
      <c r="W992" s="2">
        <v>37</v>
      </c>
      <c r="X992" s="2">
        <v>0</v>
      </c>
      <c r="Y992" s="2">
        <v>0</v>
      </c>
      <c r="Z992" s="2">
        <v>1</v>
      </c>
      <c r="AA992" s="2">
        <v>2</v>
      </c>
      <c r="AB992" s="2">
        <v>1</v>
      </c>
      <c r="AC992" s="2">
        <v>2</v>
      </c>
      <c r="AD992" s="2">
        <v>0</v>
      </c>
      <c r="AE992" s="2">
        <v>0</v>
      </c>
      <c r="AF992" s="2">
        <v>1</v>
      </c>
    </row>
    <row r="993" spans="1:32" x14ac:dyDescent="0.25">
      <c r="A993">
        <v>992</v>
      </c>
      <c r="B993" s="2">
        <v>3</v>
      </c>
      <c r="C993" s="2">
        <v>15</v>
      </c>
      <c r="D993" s="2">
        <v>1</v>
      </c>
      <c r="E993" s="2">
        <v>0</v>
      </c>
      <c r="F993" s="2">
        <v>0</v>
      </c>
      <c r="G993" s="2">
        <v>0</v>
      </c>
      <c r="H993" s="2">
        <v>1</v>
      </c>
      <c r="I993" s="2">
        <v>0</v>
      </c>
      <c r="J993" s="2">
        <v>0</v>
      </c>
      <c r="K993" s="2">
        <v>1569</v>
      </c>
      <c r="L993" s="2">
        <v>1</v>
      </c>
      <c r="M993" s="2">
        <v>4</v>
      </c>
      <c r="N993" s="2">
        <v>4</v>
      </c>
      <c r="O993" s="2">
        <v>0</v>
      </c>
      <c r="P993" s="2">
        <v>1</v>
      </c>
      <c r="Q993" s="2">
        <v>0</v>
      </c>
      <c r="R993" s="2">
        <v>0</v>
      </c>
      <c r="S993" s="2">
        <v>0</v>
      </c>
      <c r="T993" s="2">
        <v>4</v>
      </c>
      <c r="U993" s="2">
        <v>0</v>
      </c>
      <c r="V993" s="2">
        <v>0</v>
      </c>
      <c r="W993" s="2">
        <v>34</v>
      </c>
      <c r="X993" s="2">
        <v>1</v>
      </c>
      <c r="Y993" s="2">
        <v>0</v>
      </c>
      <c r="Z993" s="2">
        <v>1</v>
      </c>
      <c r="AA993" s="2">
        <v>1</v>
      </c>
      <c r="AB993" s="2">
        <v>1</v>
      </c>
      <c r="AC993" s="2">
        <v>2</v>
      </c>
      <c r="AD993" s="2">
        <v>0</v>
      </c>
      <c r="AE993" s="2">
        <v>0</v>
      </c>
      <c r="AF993" s="2">
        <v>1</v>
      </c>
    </row>
    <row r="994" spans="1:32" x14ac:dyDescent="0.25">
      <c r="A994">
        <v>993</v>
      </c>
      <c r="B994" s="2">
        <v>0</v>
      </c>
      <c r="C994" s="2">
        <v>18</v>
      </c>
      <c r="D994" s="2">
        <v>2</v>
      </c>
      <c r="E994" s="2">
        <v>0</v>
      </c>
      <c r="F994" s="2">
        <v>0</v>
      </c>
      <c r="G994" s="2">
        <v>0</v>
      </c>
      <c r="H994" s="2">
        <v>1</v>
      </c>
      <c r="I994" s="2">
        <v>0</v>
      </c>
      <c r="J994" s="2">
        <v>0</v>
      </c>
      <c r="K994" s="2">
        <v>1936</v>
      </c>
      <c r="L994" s="2">
        <v>4</v>
      </c>
      <c r="M994" s="2">
        <v>3</v>
      </c>
      <c r="N994" s="2">
        <v>2</v>
      </c>
      <c r="O994" s="2">
        <v>0</v>
      </c>
      <c r="P994" s="2">
        <v>0</v>
      </c>
      <c r="Q994" s="2">
        <v>1</v>
      </c>
      <c r="R994" s="2">
        <v>0</v>
      </c>
      <c r="S994" s="2">
        <v>0</v>
      </c>
      <c r="T994" s="2">
        <v>4</v>
      </c>
      <c r="U994" s="2">
        <v>0</v>
      </c>
      <c r="V994" s="2">
        <v>0</v>
      </c>
      <c r="W994" s="2">
        <v>23</v>
      </c>
      <c r="X994" s="2">
        <v>0</v>
      </c>
      <c r="Y994" s="2">
        <v>1</v>
      </c>
      <c r="Z994" s="2">
        <v>0</v>
      </c>
      <c r="AA994" s="2">
        <v>2</v>
      </c>
      <c r="AB994" s="2">
        <v>1</v>
      </c>
      <c r="AC994" s="2">
        <v>1</v>
      </c>
      <c r="AD994" s="2">
        <v>0</v>
      </c>
      <c r="AE994" s="2">
        <v>0</v>
      </c>
      <c r="AF994" s="2">
        <v>1</v>
      </c>
    </row>
    <row r="995" spans="1:32" x14ac:dyDescent="0.25">
      <c r="A995">
        <v>994</v>
      </c>
      <c r="B995" s="2">
        <v>0</v>
      </c>
      <c r="C995" s="2">
        <v>36</v>
      </c>
      <c r="D995" s="2">
        <v>2</v>
      </c>
      <c r="E995" s="2">
        <v>0</v>
      </c>
      <c r="F995" s="2">
        <v>0</v>
      </c>
      <c r="G995" s="2">
        <v>1</v>
      </c>
      <c r="H995" s="2">
        <v>0</v>
      </c>
      <c r="I995" s="2">
        <v>0</v>
      </c>
      <c r="J995" s="2">
        <v>0</v>
      </c>
      <c r="K995" s="2">
        <v>3959</v>
      </c>
      <c r="L995" s="2">
        <v>0</v>
      </c>
      <c r="M995" s="2">
        <v>0</v>
      </c>
      <c r="N995" s="2">
        <v>4</v>
      </c>
      <c r="O995" s="2">
        <v>0</v>
      </c>
      <c r="P995" s="2">
        <v>1</v>
      </c>
      <c r="Q995" s="2">
        <v>0</v>
      </c>
      <c r="R995" s="2">
        <v>0</v>
      </c>
      <c r="S995" s="2">
        <v>0</v>
      </c>
      <c r="T995" s="2">
        <v>3</v>
      </c>
      <c r="U995" s="2">
        <v>0</v>
      </c>
      <c r="V995" s="2">
        <v>0</v>
      </c>
      <c r="W995" s="2">
        <v>30</v>
      </c>
      <c r="X995" s="2">
        <v>0</v>
      </c>
      <c r="Y995" s="2">
        <v>0</v>
      </c>
      <c r="Z995" s="2">
        <v>1</v>
      </c>
      <c r="AA995" s="2">
        <v>1</v>
      </c>
      <c r="AB995" s="2">
        <v>3</v>
      </c>
      <c r="AC995" s="2">
        <v>1</v>
      </c>
      <c r="AD995" s="2">
        <v>1</v>
      </c>
      <c r="AE995" s="2">
        <v>0</v>
      </c>
      <c r="AF995" s="2">
        <v>1</v>
      </c>
    </row>
    <row r="996" spans="1:32" x14ac:dyDescent="0.25">
      <c r="A996">
        <v>995</v>
      </c>
      <c r="B996" s="2">
        <v>3</v>
      </c>
      <c r="C996" s="2">
        <v>12</v>
      </c>
      <c r="D996" s="2">
        <v>2</v>
      </c>
      <c r="E996" s="2">
        <v>1</v>
      </c>
      <c r="F996" s="2">
        <v>0</v>
      </c>
      <c r="G996" s="2">
        <v>0</v>
      </c>
      <c r="H996" s="2">
        <v>0</v>
      </c>
      <c r="I996" s="2">
        <v>0</v>
      </c>
      <c r="J996" s="2">
        <v>0</v>
      </c>
      <c r="K996" s="2">
        <v>2390</v>
      </c>
      <c r="L996" s="2">
        <v>4</v>
      </c>
      <c r="M996" s="2">
        <v>4</v>
      </c>
      <c r="N996" s="2">
        <v>4</v>
      </c>
      <c r="O996" s="2">
        <v>0</v>
      </c>
      <c r="P996" s="2">
        <v>1</v>
      </c>
      <c r="Q996" s="2">
        <v>0</v>
      </c>
      <c r="R996" s="2">
        <v>0</v>
      </c>
      <c r="S996" s="2">
        <v>0</v>
      </c>
      <c r="T996" s="2">
        <v>3</v>
      </c>
      <c r="U996" s="2">
        <v>0</v>
      </c>
      <c r="V996" s="2">
        <v>0</v>
      </c>
      <c r="W996" s="2">
        <v>50</v>
      </c>
      <c r="X996" s="2">
        <v>0</v>
      </c>
      <c r="Y996" s="2">
        <v>0</v>
      </c>
      <c r="Z996" s="2">
        <v>1</v>
      </c>
      <c r="AA996" s="2">
        <v>1</v>
      </c>
      <c r="AB996" s="2">
        <v>2</v>
      </c>
      <c r="AC996" s="2">
        <v>1</v>
      </c>
      <c r="AD996" s="2">
        <v>1</v>
      </c>
      <c r="AE996" s="2">
        <v>0</v>
      </c>
      <c r="AF996" s="2">
        <v>1</v>
      </c>
    </row>
    <row r="997" spans="1:32" x14ac:dyDescent="0.25">
      <c r="A997">
        <v>996</v>
      </c>
      <c r="B997" s="2">
        <v>3</v>
      </c>
      <c r="C997" s="2">
        <v>12</v>
      </c>
      <c r="D997" s="2">
        <v>2</v>
      </c>
      <c r="E997" s="2">
        <v>0</v>
      </c>
      <c r="F997" s="2">
        <v>0</v>
      </c>
      <c r="G997" s="2">
        <v>1</v>
      </c>
      <c r="H997" s="2">
        <v>0</v>
      </c>
      <c r="I997" s="2">
        <v>0</v>
      </c>
      <c r="J997" s="2">
        <v>0</v>
      </c>
      <c r="K997" s="2">
        <v>1736</v>
      </c>
      <c r="L997" s="2">
        <v>0</v>
      </c>
      <c r="M997" s="2">
        <v>3</v>
      </c>
      <c r="N997" s="2">
        <v>3</v>
      </c>
      <c r="O997" s="2">
        <v>0</v>
      </c>
      <c r="P997" s="2">
        <v>0</v>
      </c>
      <c r="Q997" s="2">
        <v>0</v>
      </c>
      <c r="R997" s="2">
        <v>0</v>
      </c>
      <c r="S997" s="2">
        <v>0</v>
      </c>
      <c r="T997" s="2">
        <v>4</v>
      </c>
      <c r="U997" s="2">
        <v>1</v>
      </c>
      <c r="V997" s="2">
        <v>0</v>
      </c>
      <c r="W997" s="2">
        <v>31</v>
      </c>
      <c r="X997" s="2">
        <v>0</v>
      </c>
      <c r="Y997" s="2">
        <v>0</v>
      </c>
      <c r="Z997" s="2">
        <v>1</v>
      </c>
      <c r="AA997" s="2">
        <v>1</v>
      </c>
      <c r="AB997" s="2">
        <v>1</v>
      </c>
      <c r="AC997" s="2">
        <v>1</v>
      </c>
      <c r="AD997" s="2">
        <v>0</v>
      </c>
      <c r="AE997" s="2">
        <v>0</v>
      </c>
      <c r="AF997" s="2">
        <v>1</v>
      </c>
    </row>
    <row r="998" spans="1:32" x14ac:dyDescent="0.25">
      <c r="A998">
        <v>997</v>
      </c>
      <c r="B998" s="2">
        <v>0</v>
      </c>
      <c r="C998" s="2">
        <v>30</v>
      </c>
      <c r="D998" s="2">
        <v>2</v>
      </c>
      <c r="E998" s="2">
        <v>0</v>
      </c>
      <c r="F998" s="2">
        <v>1</v>
      </c>
      <c r="G998" s="2">
        <v>0</v>
      </c>
      <c r="H998" s="2">
        <v>0</v>
      </c>
      <c r="I998" s="2">
        <v>0</v>
      </c>
      <c r="J998" s="2">
        <v>0</v>
      </c>
      <c r="K998" s="2">
        <v>3857</v>
      </c>
      <c r="L998" s="2">
        <v>0</v>
      </c>
      <c r="M998" s="2">
        <v>2</v>
      </c>
      <c r="N998" s="2">
        <v>4</v>
      </c>
      <c r="O998" s="2">
        <v>1</v>
      </c>
      <c r="P998" s="2">
        <v>0</v>
      </c>
      <c r="Q998" s="2">
        <v>0</v>
      </c>
      <c r="R998" s="2">
        <v>0</v>
      </c>
      <c r="S998" s="2">
        <v>0</v>
      </c>
      <c r="T998" s="2">
        <v>4</v>
      </c>
      <c r="U998" s="2">
        <v>0</v>
      </c>
      <c r="V998" s="2">
        <v>0</v>
      </c>
      <c r="W998" s="2">
        <v>40</v>
      </c>
      <c r="X998" s="2">
        <v>0</v>
      </c>
      <c r="Y998" s="2">
        <v>0</v>
      </c>
      <c r="Z998" s="2">
        <v>1</v>
      </c>
      <c r="AA998" s="2">
        <v>1</v>
      </c>
      <c r="AB998" s="2">
        <v>3</v>
      </c>
      <c r="AC998" s="2">
        <v>1</v>
      </c>
      <c r="AD998" s="2">
        <v>1</v>
      </c>
      <c r="AE998" s="2">
        <v>0</v>
      </c>
      <c r="AF998" s="2">
        <v>1</v>
      </c>
    </row>
    <row r="999" spans="1:32" x14ac:dyDescent="0.25">
      <c r="A999">
        <v>998</v>
      </c>
      <c r="B999" s="2">
        <v>3</v>
      </c>
      <c r="C999" s="2">
        <v>12</v>
      </c>
      <c r="D999" s="2">
        <v>2</v>
      </c>
      <c r="E999" s="2">
        <v>0</v>
      </c>
      <c r="F999" s="2">
        <v>0</v>
      </c>
      <c r="G999" s="2">
        <v>0</v>
      </c>
      <c r="H999" s="2">
        <v>1</v>
      </c>
      <c r="I999" s="2">
        <v>0</v>
      </c>
      <c r="J999" s="2">
        <v>0</v>
      </c>
      <c r="K999" s="2">
        <v>804</v>
      </c>
      <c r="L999" s="2">
        <v>0</v>
      </c>
      <c r="M999" s="2">
        <v>4</v>
      </c>
      <c r="N999" s="2">
        <v>4</v>
      </c>
      <c r="O999" s="2">
        <v>0</v>
      </c>
      <c r="P999" s="2">
        <v>1</v>
      </c>
      <c r="Q999" s="2">
        <v>0</v>
      </c>
      <c r="R999" s="2">
        <v>0</v>
      </c>
      <c r="S999" s="2">
        <v>0</v>
      </c>
      <c r="T999" s="2">
        <v>4</v>
      </c>
      <c r="U999" s="2">
        <v>0</v>
      </c>
      <c r="V999" s="2">
        <v>0</v>
      </c>
      <c r="W999" s="2">
        <v>38</v>
      </c>
      <c r="X999" s="2">
        <v>0</v>
      </c>
      <c r="Y999" s="2">
        <v>0</v>
      </c>
      <c r="Z999" s="2">
        <v>1</v>
      </c>
      <c r="AA999" s="2">
        <v>1</v>
      </c>
      <c r="AB999" s="2">
        <v>2</v>
      </c>
      <c r="AC999" s="2">
        <v>1</v>
      </c>
      <c r="AD999" s="2">
        <v>0</v>
      </c>
      <c r="AE999" s="2">
        <v>0</v>
      </c>
      <c r="AF999" s="2">
        <v>1</v>
      </c>
    </row>
    <row r="1000" spans="1:32" x14ac:dyDescent="0.25">
      <c r="A1000">
        <v>999</v>
      </c>
      <c r="B1000" s="2">
        <v>0</v>
      </c>
      <c r="C1000" s="2">
        <v>45</v>
      </c>
      <c r="D1000" s="2">
        <v>2</v>
      </c>
      <c r="E1000" s="2">
        <v>0</v>
      </c>
      <c r="F1000" s="2">
        <v>0</v>
      </c>
      <c r="G1000" s="2">
        <v>0</v>
      </c>
      <c r="H1000" s="2">
        <v>1</v>
      </c>
      <c r="I1000" s="2">
        <v>0</v>
      </c>
      <c r="J1000" s="2">
        <v>0</v>
      </c>
      <c r="K1000" s="2">
        <v>1845</v>
      </c>
      <c r="L1000" s="2">
        <v>0</v>
      </c>
      <c r="M1000" s="2">
        <v>2</v>
      </c>
      <c r="N1000" s="2">
        <v>4</v>
      </c>
      <c r="O1000" s="2">
        <v>0</v>
      </c>
      <c r="P1000" s="2">
        <v>1</v>
      </c>
      <c r="Q1000" s="2">
        <v>0</v>
      </c>
      <c r="R1000" s="2">
        <v>0</v>
      </c>
      <c r="S1000" s="2">
        <v>0</v>
      </c>
      <c r="T1000" s="2">
        <v>4</v>
      </c>
      <c r="U1000" s="2">
        <v>0</v>
      </c>
      <c r="V1000" s="2">
        <v>1</v>
      </c>
      <c r="W1000" s="2">
        <v>23</v>
      </c>
      <c r="X1000" s="2">
        <v>0</v>
      </c>
      <c r="Y1000" s="2">
        <v>0</v>
      </c>
      <c r="Z1000" s="2">
        <v>0</v>
      </c>
      <c r="AA1000" s="2">
        <v>1</v>
      </c>
      <c r="AB1000" s="2">
        <v>2</v>
      </c>
      <c r="AC1000" s="2">
        <v>1</v>
      </c>
      <c r="AD1000" s="2">
        <v>1</v>
      </c>
      <c r="AE1000" s="2">
        <v>0</v>
      </c>
      <c r="AF1000" s="2">
        <v>0</v>
      </c>
    </row>
    <row r="1001" spans="1:32" x14ac:dyDescent="0.25">
      <c r="A1001">
        <v>1000</v>
      </c>
      <c r="B1001" s="2">
        <v>1</v>
      </c>
      <c r="C1001" s="2">
        <v>45</v>
      </c>
      <c r="D1001" s="2">
        <v>4</v>
      </c>
      <c r="E1001" s="2">
        <v>0</v>
      </c>
      <c r="F1001" s="2">
        <v>1</v>
      </c>
      <c r="G1001" s="2">
        <v>0</v>
      </c>
      <c r="H1001" s="2">
        <v>0</v>
      </c>
      <c r="I1001" s="2">
        <v>0</v>
      </c>
      <c r="J1001" s="2">
        <v>0</v>
      </c>
      <c r="K1001" s="2">
        <v>4576</v>
      </c>
      <c r="L1001" s="2">
        <v>1</v>
      </c>
      <c r="M1001" s="2">
        <v>0</v>
      </c>
      <c r="N1001" s="2">
        <v>3</v>
      </c>
      <c r="O1001" s="2">
        <v>0</v>
      </c>
      <c r="P1001" s="2">
        <v>1</v>
      </c>
      <c r="Q1001" s="2">
        <v>0</v>
      </c>
      <c r="R1001" s="2">
        <v>0</v>
      </c>
      <c r="S1001" s="2">
        <v>0</v>
      </c>
      <c r="T1001" s="2">
        <v>4</v>
      </c>
      <c r="U1001" s="2">
        <v>0</v>
      </c>
      <c r="V1001" s="2">
        <v>0</v>
      </c>
      <c r="W1001" s="2">
        <v>27</v>
      </c>
      <c r="X1001" s="2">
        <v>0</v>
      </c>
      <c r="Y1001" s="2">
        <v>0</v>
      </c>
      <c r="Z1001" s="2">
        <v>1</v>
      </c>
      <c r="AA1001" s="2">
        <v>1</v>
      </c>
      <c r="AB1001" s="2">
        <v>2</v>
      </c>
      <c r="AC1001" s="2">
        <v>1</v>
      </c>
      <c r="AD1001" s="2">
        <v>0</v>
      </c>
      <c r="AE1001" s="2">
        <v>0</v>
      </c>
      <c r="AF1001" s="2">
        <v>1</v>
      </c>
    </row>
  </sheetData>
  <phoneticPr fontId="0" type="noConversion"/>
  <pageMargins left="0.75" right="0.75" top="1" bottom="1" header="0.5" footer="0.5"/>
  <pageSetup orientation="portrait" horizontalDpi="4294967292" verticalDpi="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B1020"/>
  <sheetViews>
    <sheetView showGridLines="0" topLeftCell="A16" workbookViewId="0">
      <selection activeCell="C21" sqref="C21"/>
    </sheetView>
  </sheetViews>
  <sheetFormatPr defaultRowHeight="13.2" x14ac:dyDescent="0.25"/>
  <cols>
    <col min="10" max="10" width="12.33203125" bestFit="1" customWidth="1"/>
  </cols>
  <sheetData>
    <row r="2" spans="1:14" ht="18" x14ac:dyDescent="0.35">
      <c r="B2" s="23" t="s">
        <v>135</v>
      </c>
      <c r="N2" t="s">
        <v>175</v>
      </c>
    </row>
    <row r="4" spans="1:14" ht="15.6" x14ac:dyDescent="0.3">
      <c r="B4" s="59" t="s">
        <v>136</v>
      </c>
      <c r="C4" s="60"/>
      <c r="D4" s="60"/>
      <c r="E4" s="61"/>
      <c r="J4" s="59" t="s">
        <v>137</v>
      </c>
      <c r="K4" s="60"/>
      <c r="L4" s="61"/>
    </row>
    <row r="5" spans="1:14" ht="13.8" x14ac:dyDescent="0.3">
      <c r="B5" s="65" t="s">
        <v>141</v>
      </c>
      <c r="C5" s="66"/>
      <c r="D5" s="65" t="s">
        <v>142</v>
      </c>
      <c r="E5" s="66"/>
      <c r="J5" s="26" t="s">
        <v>138</v>
      </c>
      <c r="K5" s="26" t="s">
        <v>139</v>
      </c>
      <c r="L5" s="26" t="s">
        <v>140</v>
      </c>
    </row>
    <row r="6" spans="1:14" ht="13.8" x14ac:dyDescent="0.3">
      <c r="J6" s="24">
        <v>93</v>
      </c>
      <c r="K6" s="24">
        <v>47</v>
      </c>
      <c r="L6" s="24">
        <v>140</v>
      </c>
    </row>
    <row r="8" spans="1:14" ht="18" x14ac:dyDescent="0.35">
      <c r="A8" s="22" t="s">
        <v>141</v>
      </c>
    </row>
    <row r="10" spans="1:14" ht="15.6" x14ac:dyDescent="0.3">
      <c r="B10" s="59" t="s">
        <v>142</v>
      </c>
      <c r="C10" s="60"/>
      <c r="D10" s="60"/>
      <c r="E10" s="60"/>
      <c r="F10" s="60"/>
      <c r="G10" s="60"/>
      <c r="H10" s="60"/>
      <c r="I10" s="60"/>
      <c r="J10" s="61"/>
    </row>
    <row r="11" spans="1:14" ht="13.8" x14ac:dyDescent="0.3">
      <c r="B11" s="62" t="s">
        <v>143</v>
      </c>
      <c r="C11" s="63"/>
      <c r="D11" s="64"/>
      <c r="E11" s="67" t="s">
        <v>144</v>
      </c>
      <c r="F11" s="68"/>
      <c r="G11" s="68"/>
      <c r="H11" s="68"/>
      <c r="I11" s="68"/>
      <c r="J11" s="66"/>
    </row>
    <row r="12" spans="1:14" ht="13.8" x14ac:dyDescent="0.3">
      <c r="B12" s="62" t="s">
        <v>145</v>
      </c>
      <c r="C12" s="63"/>
      <c r="D12" s="64"/>
      <c r="E12" s="67" t="s">
        <v>142</v>
      </c>
      <c r="F12" s="68"/>
      <c r="G12" s="68"/>
      <c r="H12" s="68"/>
      <c r="I12" s="68"/>
      <c r="J12" s="66"/>
    </row>
    <row r="13" spans="1:14" ht="13.8" x14ac:dyDescent="0.3">
      <c r="B13" s="62" t="s">
        <v>146</v>
      </c>
      <c r="C13" s="63"/>
      <c r="D13" s="64"/>
      <c r="E13" s="67" t="s">
        <v>147</v>
      </c>
      <c r="F13" s="68"/>
      <c r="G13" s="68"/>
      <c r="H13" s="68"/>
      <c r="I13" s="68"/>
      <c r="J13" s="66"/>
    </row>
    <row r="14" spans="1:14" ht="13.8" x14ac:dyDescent="0.3">
      <c r="B14" s="62" t="s">
        <v>148</v>
      </c>
      <c r="C14" s="63"/>
      <c r="D14" s="64"/>
      <c r="E14" s="69">
        <v>1000</v>
      </c>
      <c r="F14" s="70"/>
      <c r="G14" s="70"/>
      <c r="H14" s="70"/>
      <c r="I14" s="70"/>
      <c r="J14" s="71"/>
    </row>
    <row r="15" spans="1:14" ht="13.8" x14ac:dyDescent="0.3">
      <c r="B15" s="62" t="s">
        <v>149</v>
      </c>
      <c r="C15" s="63"/>
      <c r="D15" s="64"/>
      <c r="E15" s="67" t="s">
        <v>150</v>
      </c>
      <c r="F15" s="68"/>
      <c r="G15" s="68"/>
      <c r="H15" s="68"/>
      <c r="I15" s="68"/>
      <c r="J15" s="66"/>
    </row>
    <row r="16" spans="1:14" ht="13.8" x14ac:dyDescent="0.3">
      <c r="B16" s="62" t="s">
        <v>151</v>
      </c>
      <c r="C16" s="63"/>
      <c r="D16" s="64"/>
      <c r="E16" s="24" t="s">
        <v>4</v>
      </c>
      <c r="F16" s="24" t="s">
        <v>1</v>
      </c>
      <c r="G16" s="24" t="s">
        <v>3</v>
      </c>
      <c r="H16" s="24" t="s">
        <v>5</v>
      </c>
      <c r="I16" s="24" t="s">
        <v>7</v>
      </c>
      <c r="J16" s="24" t="s">
        <v>10</v>
      </c>
    </row>
    <row r="18" spans="1:54" ht="18" x14ac:dyDescent="0.35">
      <c r="A18" s="22" t="s">
        <v>142</v>
      </c>
    </row>
    <row r="20" spans="1:54" ht="13.8" x14ac:dyDescent="0.3">
      <c r="B20" s="26" t="s">
        <v>54</v>
      </c>
      <c r="C20" s="26" t="s">
        <v>0</v>
      </c>
      <c r="D20" s="26" t="s">
        <v>68</v>
      </c>
      <c r="E20" s="26" t="s">
        <v>69</v>
      </c>
      <c r="F20" s="26" t="s">
        <v>70</v>
      </c>
      <c r="G20" s="26" t="s">
        <v>71</v>
      </c>
      <c r="H20" s="26" t="s">
        <v>81</v>
      </c>
      <c r="I20" s="26" t="s">
        <v>72</v>
      </c>
      <c r="J20" s="26" t="s">
        <v>2</v>
      </c>
      <c r="K20" s="26" t="s">
        <v>6</v>
      </c>
      <c r="L20" s="26" t="s">
        <v>74</v>
      </c>
      <c r="M20" s="26" t="s">
        <v>75</v>
      </c>
      <c r="N20" s="26" t="s">
        <v>76</v>
      </c>
      <c r="O20" s="26" t="s">
        <v>73</v>
      </c>
      <c r="P20" s="26" t="s">
        <v>77</v>
      </c>
      <c r="Q20" s="26" t="s">
        <v>78</v>
      </c>
      <c r="R20" s="26" t="s">
        <v>82</v>
      </c>
      <c r="S20" s="26" t="s">
        <v>8</v>
      </c>
      <c r="T20" s="26" t="s">
        <v>79</v>
      </c>
      <c r="U20" s="26" t="s">
        <v>80</v>
      </c>
      <c r="V20" s="26" t="s">
        <v>83</v>
      </c>
      <c r="W20" s="26" t="s">
        <v>9</v>
      </c>
      <c r="X20" s="26" t="s">
        <v>11</v>
      </c>
      <c r="Y20" s="26" t="s">
        <v>12</v>
      </c>
      <c r="Z20" s="26" t="s">
        <v>13</v>
      </c>
      <c r="AA20" s="26" t="s">
        <v>14</v>
      </c>
      <c r="AB20" s="26" t="s">
        <v>152</v>
      </c>
      <c r="AC20" s="26" t="s">
        <v>153</v>
      </c>
      <c r="AD20" s="26" t="s">
        <v>154</v>
      </c>
      <c r="AE20" s="26" t="s">
        <v>155</v>
      </c>
      <c r="AF20" s="26" t="s">
        <v>156</v>
      </c>
      <c r="AG20" s="26" t="s">
        <v>157</v>
      </c>
      <c r="AH20" s="26" t="s">
        <v>158</v>
      </c>
      <c r="AI20" s="26" t="s">
        <v>159</v>
      </c>
      <c r="AJ20" s="26" t="s">
        <v>160</v>
      </c>
      <c r="AK20" s="26" t="s">
        <v>161</v>
      </c>
      <c r="AL20" s="26" t="s">
        <v>162</v>
      </c>
      <c r="AM20" s="26" t="s">
        <v>163</v>
      </c>
      <c r="AN20" s="26" t="s">
        <v>164</v>
      </c>
      <c r="AO20" s="26" t="s">
        <v>165</v>
      </c>
      <c r="AP20" s="26" t="s">
        <v>166</v>
      </c>
      <c r="AQ20" s="26" t="s">
        <v>167</v>
      </c>
      <c r="AR20" s="26" t="s">
        <v>168</v>
      </c>
      <c r="AS20" s="26" t="s">
        <v>169</v>
      </c>
      <c r="AT20" s="26" t="s">
        <v>170</v>
      </c>
      <c r="AU20" s="26" t="s">
        <v>171</v>
      </c>
      <c r="AV20" s="26" t="s">
        <v>172</v>
      </c>
      <c r="AW20" s="26" t="s">
        <v>173</v>
      </c>
      <c r="AX20" s="26" t="s">
        <v>174</v>
      </c>
      <c r="AY20" s="26" t="s">
        <v>176</v>
      </c>
      <c r="AZ20" s="26" t="s">
        <v>177</v>
      </c>
      <c r="BA20" s="26" t="s">
        <v>178</v>
      </c>
      <c r="BB20" s="26" t="s">
        <v>179</v>
      </c>
    </row>
    <row r="21" spans="1:54" ht="13.8" x14ac:dyDescent="0.3">
      <c r="B21" s="24">
        <v>1</v>
      </c>
      <c r="C21" s="24">
        <v>6</v>
      </c>
      <c r="D21" s="24">
        <v>0</v>
      </c>
      <c r="E21" s="24">
        <v>0</v>
      </c>
      <c r="F21" s="24">
        <v>0</v>
      </c>
      <c r="G21" s="24">
        <v>1</v>
      </c>
      <c r="H21" s="24">
        <v>0</v>
      </c>
      <c r="I21" s="24">
        <v>0</v>
      </c>
      <c r="J21" s="24">
        <v>1169</v>
      </c>
      <c r="K21" s="24">
        <v>4</v>
      </c>
      <c r="L21" s="24">
        <v>0</v>
      </c>
      <c r="M21" s="24">
        <v>1</v>
      </c>
      <c r="N21" s="24">
        <v>0</v>
      </c>
      <c r="O21" s="24">
        <v>0</v>
      </c>
      <c r="P21" s="24">
        <v>0</v>
      </c>
      <c r="Q21" s="24">
        <v>1</v>
      </c>
      <c r="R21" s="24">
        <v>0</v>
      </c>
      <c r="S21" s="24">
        <v>67</v>
      </c>
      <c r="T21" s="24">
        <v>0</v>
      </c>
      <c r="U21" s="24">
        <v>0</v>
      </c>
      <c r="V21" s="24">
        <v>1</v>
      </c>
      <c r="W21" s="24">
        <v>2</v>
      </c>
      <c r="X21" s="24">
        <v>1</v>
      </c>
      <c r="Y21" s="24">
        <v>1</v>
      </c>
      <c r="Z21" s="24">
        <v>0</v>
      </c>
      <c r="AA21" s="24">
        <v>1</v>
      </c>
      <c r="AB21" s="24">
        <v>1</v>
      </c>
      <c r="AC21" s="24">
        <v>0</v>
      </c>
      <c r="AD21" s="24">
        <v>0</v>
      </c>
      <c r="AE21" s="24">
        <v>0</v>
      </c>
      <c r="AF21" s="24">
        <v>0</v>
      </c>
      <c r="AG21" s="24">
        <v>0</v>
      </c>
      <c r="AH21" s="24">
        <v>0</v>
      </c>
      <c r="AI21" s="24">
        <v>0</v>
      </c>
      <c r="AJ21" s="24">
        <v>1</v>
      </c>
      <c r="AK21" s="24">
        <v>0</v>
      </c>
      <c r="AL21" s="24">
        <v>0</v>
      </c>
      <c r="AM21" s="24">
        <v>0</v>
      </c>
      <c r="AN21" s="24">
        <v>0</v>
      </c>
      <c r="AO21" s="24">
        <v>1</v>
      </c>
      <c r="AP21" s="24">
        <v>0</v>
      </c>
      <c r="AQ21" s="24">
        <v>0</v>
      </c>
      <c r="AR21" s="24">
        <v>0</v>
      </c>
      <c r="AS21" s="24">
        <v>0</v>
      </c>
      <c r="AT21" s="24">
        <v>1</v>
      </c>
      <c r="AU21" s="24">
        <v>0</v>
      </c>
      <c r="AV21" s="24">
        <v>0</v>
      </c>
      <c r="AW21" s="24">
        <v>0</v>
      </c>
      <c r="AX21" s="24">
        <v>1</v>
      </c>
      <c r="AY21" s="24">
        <v>0</v>
      </c>
      <c r="AZ21" s="24">
        <v>0</v>
      </c>
      <c r="BA21" s="24">
        <v>1</v>
      </c>
      <c r="BB21" s="24">
        <v>0</v>
      </c>
    </row>
    <row r="22" spans="1:54" ht="13.8" x14ac:dyDescent="0.3">
      <c r="B22" s="24">
        <v>2</v>
      </c>
      <c r="C22" s="24">
        <v>48</v>
      </c>
      <c r="D22" s="24">
        <v>0</v>
      </c>
      <c r="E22" s="24">
        <v>0</v>
      </c>
      <c r="F22" s="24">
        <v>0</v>
      </c>
      <c r="G22" s="24">
        <v>1</v>
      </c>
      <c r="H22" s="24">
        <v>0</v>
      </c>
      <c r="I22" s="24">
        <v>0</v>
      </c>
      <c r="J22" s="24">
        <v>5951</v>
      </c>
      <c r="K22" s="24">
        <v>2</v>
      </c>
      <c r="L22" s="24">
        <v>0</v>
      </c>
      <c r="M22" s="24">
        <v>0</v>
      </c>
      <c r="N22" s="24">
        <v>0</v>
      </c>
      <c r="O22" s="24">
        <v>0</v>
      </c>
      <c r="P22" s="24">
        <v>0</v>
      </c>
      <c r="Q22" s="24">
        <v>1</v>
      </c>
      <c r="R22" s="24">
        <v>0</v>
      </c>
      <c r="S22" s="24">
        <v>22</v>
      </c>
      <c r="T22" s="24">
        <v>0</v>
      </c>
      <c r="U22" s="24">
        <v>0</v>
      </c>
      <c r="V22" s="24">
        <v>1</v>
      </c>
      <c r="W22" s="24">
        <v>1</v>
      </c>
      <c r="X22" s="24">
        <v>1</v>
      </c>
      <c r="Y22" s="24">
        <v>0</v>
      </c>
      <c r="Z22" s="24">
        <v>0</v>
      </c>
      <c r="AA22" s="24">
        <v>0</v>
      </c>
      <c r="AB22" s="24">
        <v>0</v>
      </c>
      <c r="AC22" s="24">
        <v>1</v>
      </c>
      <c r="AD22" s="24">
        <v>0</v>
      </c>
      <c r="AE22" s="24">
        <v>0</v>
      </c>
      <c r="AF22" s="24">
        <v>0</v>
      </c>
      <c r="AG22" s="24">
        <v>0</v>
      </c>
      <c r="AH22" s="24">
        <v>1</v>
      </c>
      <c r="AI22" s="24">
        <v>0</v>
      </c>
      <c r="AJ22" s="24">
        <v>0</v>
      </c>
      <c r="AK22" s="24">
        <v>1</v>
      </c>
      <c r="AL22" s="24">
        <v>0</v>
      </c>
      <c r="AM22" s="24">
        <v>0</v>
      </c>
      <c r="AN22" s="24">
        <v>0</v>
      </c>
      <c r="AO22" s="24">
        <v>0</v>
      </c>
      <c r="AP22" s="24">
        <v>0</v>
      </c>
      <c r="AQ22" s="24">
        <v>0</v>
      </c>
      <c r="AR22" s="24">
        <v>1</v>
      </c>
      <c r="AS22" s="24">
        <v>0</v>
      </c>
      <c r="AT22" s="24">
        <v>0</v>
      </c>
      <c r="AU22" s="24">
        <v>0</v>
      </c>
      <c r="AV22" s="24">
        <v>1</v>
      </c>
      <c r="AW22" s="24">
        <v>0</v>
      </c>
      <c r="AX22" s="24">
        <v>0</v>
      </c>
      <c r="AY22" s="24">
        <v>0</v>
      </c>
      <c r="AZ22" s="24">
        <v>0</v>
      </c>
      <c r="BA22" s="24">
        <v>1</v>
      </c>
      <c r="BB22" s="24">
        <v>0</v>
      </c>
    </row>
    <row r="23" spans="1:54" ht="13.8" x14ac:dyDescent="0.3">
      <c r="B23" s="24">
        <v>3</v>
      </c>
      <c r="C23" s="24">
        <v>12</v>
      </c>
      <c r="D23" s="24">
        <v>0</v>
      </c>
      <c r="E23" s="24">
        <v>0</v>
      </c>
      <c r="F23" s="24">
        <v>0</v>
      </c>
      <c r="G23" s="24">
        <v>0</v>
      </c>
      <c r="H23" s="24">
        <v>1</v>
      </c>
      <c r="I23" s="24">
        <v>0</v>
      </c>
      <c r="J23" s="24">
        <v>2096</v>
      </c>
      <c r="K23" s="24">
        <v>2</v>
      </c>
      <c r="L23" s="24">
        <v>0</v>
      </c>
      <c r="M23" s="24">
        <v>1</v>
      </c>
      <c r="N23" s="24">
        <v>0</v>
      </c>
      <c r="O23" s="24">
        <v>0</v>
      </c>
      <c r="P23" s="24">
        <v>0</v>
      </c>
      <c r="Q23" s="24">
        <v>1</v>
      </c>
      <c r="R23" s="24">
        <v>0</v>
      </c>
      <c r="S23" s="24">
        <v>49</v>
      </c>
      <c r="T23" s="24">
        <v>0</v>
      </c>
      <c r="U23" s="24">
        <v>0</v>
      </c>
      <c r="V23" s="24">
        <v>1</v>
      </c>
      <c r="W23" s="24">
        <v>1</v>
      </c>
      <c r="X23" s="24">
        <v>2</v>
      </c>
      <c r="Y23" s="24">
        <v>0</v>
      </c>
      <c r="Z23" s="24">
        <v>0</v>
      </c>
      <c r="AA23" s="24">
        <v>1</v>
      </c>
      <c r="AB23" s="24">
        <v>0</v>
      </c>
      <c r="AC23" s="24">
        <v>0</v>
      </c>
      <c r="AD23" s="24">
        <v>0</v>
      </c>
      <c r="AE23" s="24">
        <v>1</v>
      </c>
      <c r="AF23" s="24">
        <v>0</v>
      </c>
      <c r="AG23" s="24">
        <v>0</v>
      </c>
      <c r="AH23" s="24">
        <v>0</v>
      </c>
      <c r="AI23" s="24">
        <v>0</v>
      </c>
      <c r="AJ23" s="24">
        <v>1</v>
      </c>
      <c r="AK23" s="24">
        <v>1</v>
      </c>
      <c r="AL23" s="24">
        <v>0</v>
      </c>
      <c r="AM23" s="24">
        <v>0</v>
      </c>
      <c r="AN23" s="24">
        <v>0</v>
      </c>
      <c r="AO23" s="24">
        <v>0</v>
      </c>
      <c r="AP23" s="24">
        <v>0</v>
      </c>
      <c r="AQ23" s="24">
        <v>0</v>
      </c>
      <c r="AR23" s="24">
        <v>0</v>
      </c>
      <c r="AS23" s="24">
        <v>1</v>
      </c>
      <c r="AT23" s="24">
        <v>0</v>
      </c>
      <c r="AU23" s="24">
        <v>0</v>
      </c>
      <c r="AV23" s="24">
        <v>0</v>
      </c>
      <c r="AW23" s="24">
        <v>1</v>
      </c>
      <c r="AX23" s="24">
        <v>0</v>
      </c>
      <c r="AY23" s="24">
        <v>0</v>
      </c>
      <c r="AZ23" s="24">
        <v>1</v>
      </c>
      <c r="BA23" s="24">
        <v>0</v>
      </c>
      <c r="BB23" s="24">
        <v>0</v>
      </c>
    </row>
    <row r="24" spans="1:54" ht="13.8" x14ac:dyDescent="0.3">
      <c r="B24" s="24">
        <v>4</v>
      </c>
      <c r="C24" s="24">
        <v>42</v>
      </c>
      <c r="D24" s="24">
        <v>0</v>
      </c>
      <c r="E24" s="24">
        <v>0</v>
      </c>
      <c r="F24" s="24">
        <v>1</v>
      </c>
      <c r="G24" s="24">
        <v>0</v>
      </c>
      <c r="H24" s="24">
        <v>0</v>
      </c>
      <c r="I24" s="24">
        <v>0</v>
      </c>
      <c r="J24" s="24">
        <v>7882</v>
      </c>
      <c r="K24" s="24">
        <v>2</v>
      </c>
      <c r="L24" s="24">
        <v>0</v>
      </c>
      <c r="M24" s="24">
        <v>1</v>
      </c>
      <c r="N24" s="24">
        <v>0</v>
      </c>
      <c r="O24" s="24">
        <v>0</v>
      </c>
      <c r="P24" s="24">
        <v>1</v>
      </c>
      <c r="Q24" s="24">
        <v>0</v>
      </c>
      <c r="R24" s="24">
        <v>0</v>
      </c>
      <c r="S24" s="24">
        <v>45</v>
      </c>
      <c r="T24" s="24">
        <v>0</v>
      </c>
      <c r="U24" s="24">
        <v>0</v>
      </c>
      <c r="V24" s="24">
        <v>0</v>
      </c>
      <c r="W24" s="24">
        <v>1</v>
      </c>
      <c r="X24" s="24">
        <v>2</v>
      </c>
      <c r="Y24" s="24">
        <v>0</v>
      </c>
      <c r="Z24" s="24">
        <v>0</v>
      </c>
      <c r="AA24" s="24">
        <v>1</v>
      </c>
      <c r="AB24" s="24">
        <v>1</v>
      </c>
      <c r="AC24" s="24">
        <v>0</v>
      </c>
      <c r="AD24" s="24">
        <v>0</v>
      </c>
      <c r="AE24" s="24">
        <v>0</v>
      </c>
      <c r="AF24" s="24">
        <v>0</v>
      </c>
      <c r="AG24" s="24">
        <v>0</v>
      </c>
      <c r="AH24" s="24">
        <v>1</v>
      </c>
      <c r="AI24" s="24">
        <v>0</v>
      </c>
      <c r="AJ24" s="24">
        <v>0</v>
      </c>
      <c r="AK24" s="24">
        <v>1</v>
      </c>
      <c r="AL24" s="24">
        <v>0</v>
      </c>
      <c r="AM24" s="24">
        <v>0</v>
      </c>
      <c r="AN24" s="24">
        <v>0</v>
      </c>
      <c r="AO24" s="24">
        <v>0</v>
      </c>
      <c r="AP24" s="24">
        <v>0</v>
      </c>
      <c r="AQ24" s="24">
        <v>0</v>
      </c>
      <c r="AR24" s="24">
        <v>0</v>
      </c>
      <c r="AS24" s="24">
        <v>1</v>
      </c>
      <c r="AT24" s="24">
        <v>0</v>
      </c>
      <c r="AU24" s="24">
        <v>0</v>
      </c>
      <c r="AV24" s="24">
        <v>0</v>
      </c>
      <c r="AW24" s="24">
        <v>0</v>
      </c>
      <c r="AX24" s="24">
        <v>1</v>
      </c>
      <c r="AY24" s="24">
        <v>0</v>
      </c>
      <c r="AZ24" s="24">
        <v>0</v>
      </c>
      <c r="BA24" s="24">
        <v>1</v>
      </c>
      <c r="BB24" s="24">
        <v>0</v>
      </c>
    </row>
    <row r="25" spans="1:54" ht="13.8" x14ac:dyDescent="0.3">
      <c r="B25" s="24">
        <v>5</v>
      </c>
      <c r="C25" s="24">
        <v>24</v>
      </c>
      <c r="D25" s="24">
        <v>1</v>
      </c>
      <c r="E25" s="24">
        <v>0</v>
      </c>
      <c r="F25" s="24">
        <v>0</v>
      </c>
      <c r="G25" s="24">
        <v>0</v>
      </c>
      <c r="H25" s="24">
        <v>0</v>
      </c>
      <c r="I25" s="24">
        <v>0</v>
      </c>
      <c r="J25" s="24">
        <v>4870</v>
      </c>
      <c r="K25" s="24">
        <v>3</v>
      </c>
      <c r="L25" s="24">
        <v>0</v>
      </c>
      <c r="M25" s="24">
        <v>1</v>
      </c>
      <c r="N25" s="24">
        <v>0</v>
      </c>
      <c r="O25" s="24">
        <v>0</v>
      </c>
      <c r="P25" s="24">
        <v>0</v>
      </c>
      <c r="Q25" s="24">
        <v>0</v>
      </c>
      <c r="R25" s="24">
        <v>1</v>
      </c>
      <c r="S25" s="24">
        <v>53</v>
      </c>
      <c r="T25" s="24">
        <v>0</v>
      </c>
      <c r="U25" s="24">
        <v>0</v>
      </c>
      <c r="V25" s="24">
        <v>0</v>
      </c>
      <c r="W25" s="24">
        <v>2</v>
      </c>
      <c r="X25" s="24">
        <v>2</v>
      </c>
      <c r="Y25" s="24">
        <v>0</v>
      </c>
      <c r="Z25" s="24">
        <v>0</v>
      </c>
      <c r="AA25" s="24">
        <v>0</v>
      </c>
      <c r="AB25" s="24">
        <v>1</v>
      </c>
      <c r="AC25" s="24">
        <v>0</v>
      </c>
      <c r="AD25" s="24">
        <v>0</v>
      </c>
      <c r="AE25" s="24">
        <v>0</v>
      </c>
      <c r="AF25" s="24">
        <v>0</v>
      </c>
      <c r="AG25" s="24">
        <v>0</v>
      </c>
      <c r="AH25" s="24">
        <v>0</v>
      </c>
      <c r="AI25" s="24">
        <v>1</v>
      </c>
      <c r="AJ25" s="24">
        <v>0</v>
      </c>
      <c r="AK25" s="24">
        <v>1</v>
      </c>
      <c r="AL25" s="24">
        <v>0</v>
      </c>
      <c r="AM25" s="24">
        <v>0</v>
      </c>
      <c r="AN25" s="24">
        <v>0</v>
      </c>
      <c r="AO25" s="24">
        <v>0</v>
      </c>
      <c r="AP25" s="24">
        <v>0</v>
      </c>
      <c r="AQ25" s="24">
        <v>0</v>
      </c>
      <c r="AR25" s="24">
        <v>1</v>
      </c>
      <c r="AS25" s="24">
        <v>0</v>
      </c>
      <c r="AT25" s="24">
        <v>0</v>
      </c>
      <c r="AU25" s="24">
        <v>0</v>
      </c>
      <c r="AV25" s="24">
        <v>0</v>
      </c>
      <c r="AW25" s="24">
        <v>0</v>
      </c>
      <c r="AX25" s="24">
        <v>1</v>
      </c>
      <c r="AY25" s="24">
        <v>0</v>
      </c>
      <c r="AZ25" s="24">
        <v>0</v>
      </c>
      <c r="BA25" s="24">
        <v>1</v>
      </c>
      <c r="BB25" s="24">
        <v>0</v>
      </c>
    </row>
    <row r="26" spans="1:54" ht="13.8" x14ac:dyDescent="0.3">
      <c r="B26" s="24">
        <v>6</v>
      </c>
      <c r="C26" s="24">
        <v>36</v>
      </c>
      <c r="D26" s="24">
        <v>0</v>
      </c>
      <c r="E26" s="24">
        <v>0</v>
      </c>
      <c r="F26" s="24">
        <v>0</v>
      </c>
      <c r="G26" s="24">
        <v>0</v>
      </c>
      <c r="H26" s="24">
        <v>1</v>
      </c>
      <c r="I26" s="24">
        <v>0</v>
      </c>
      <c r="J26" s="24">
        <v>9055</v>
      </c>
      <c r="K26" s="24">
        <v>2</v>
      </c>
      <c r="L26" s="24">
        <v>0</v>
      </c>
      <c r="M26" s="24">
        <v>1</v>
      </c>
      <c r="N26" s="24">
        <v>0</v>
      </c>
      <c r="O26" s="24">
        <v>0</v>
      </c>
      <c r="P26" s="24">
        <v>0</v>
      </c>
      <c r="Q26" s="24">
        <v>0</v>
      </c>
      <c r="R26" s="24">
        <v>1</v>
      </c>
      <c r="S26" s="24">
        <v>35</v>
      </c>
      <c r="T26" s="24">
        <v>0</v>
      </c>
      <c r="U26" s="24">
        <v>0</v>
      </c>
      <c r="V26" s="24">
        <v>0</v>
      </c>
      <c r="W26" s="24">
        <v>1</v>
      </c>
      <c r="X26" s="24">
        <v>2</v>
      </c>
      <c r="Y26" s="24">
        <v>1</v>
      </c>
      <c r="Z26" s="24">
        <v>0</v>
      </c>
      <c r="AA26" s="24">
        <v>1</v>
      </c>
      <c r="AB26" s="24">
        <v>0</v>
      </c>
      <c r="AC26" s="24">
        <v>0</v>
      </c>
      <c r="AD26" s="24">
        <v>0</v>
      </c>
      <c r="AE26" s="24">
        <v>1</v>
      </c>
      <c r="AF26" s="24">
        <v>0</v>
      </c>
      <c r="AG26" s="24">
        <v>0</v>
      </c>
      <c r="AH26" s="24">
        <v>1</v>
      </c>
      <c r="AI26" s="24">
        <v>0</v>
      </c>
      <c r="AJ26" s="24">
        <v>0</v>
      </c>
      <c r="AK26" s="24">
        <v>0</v>
      </c>
      <c r="AL26" s="24">
        <v>0</v>
      </c>
      <c r="AM26" s="24">
        <v>0</v>
      </c>
      <c r="AN26" s="24">
        <v>0</v>
      </c>
      <c r="AO26" s="24">
        <v>1</v>
      </c>
      <c r="AP26" s="24">
        <v>0</v>
      </c>
      <c r="AQ26" s="24">
        <v>0</v>
      </c>
      <c r="AR26" s="24">
        <v>1</v>
      </c>
      <c r="AS26" s="24">
        <v>0</v>
      </c>
      <c r="AT26" s="24">
        <v>0</v>
      </c>
      <c r="AU26" s="24">
        <v>0</v>
      </c>
      <c r="AV26" s="24">
        <v>0</v>
      </c>
      <c r="AW26" s="24">
        <v>0</v>
      </c>
      <c r="AX26" s="24">
        <v>1</v>
      </c>
      <c r="AY26" s="24">
        <v>0</v>
      </c>
      <c r="AZ26" s="24">
        <v>1</v>
      </c>
      <c r="BA26" s="24">
        <v>0</v>
      </c>
      <c r="BB26" s="24">
        <v>0</v>
      </c>
    </row>
    <row r="27" spans="1:54" ht="13.8" x14ac:dyDescent="0.3">
      <c r="B27" s="24">
        <v>7</v>
      </c>
      <c r="C27" s="24">
        <v>24</v>
      </c>
      <c r="D27" s="24">
        <v>0</v>
      </c>
      <c r="E27" s="24">
        <v>0</v>
      </c>
      <c r="F27" s="24">
        <v>1</v>
      </c>
      <c r="G27" s="24">
        <v>0</v>
      </c>
      <c r="H27" s="24">
        <v>0</v>
      </c>
      <c r="I27" s="24">
        <v>0</v>
      </c>
      <c r="J27" s="24">
        <v>2835</v>
      </c>
      <c r="K27" s="24">
        <v>3</v>
      </c>
      <c r="L27" s="24">
        <v>0</v>
      </c>
      <c r="M27" s="24">
        <v>1</v>
      </c>
      <c r="N27" s="24">
        <v>0</v>
      </c>
      <c r="O27" s="24">
        <v>0</v>
      </c>
      <c r="P27" s="24">
        <v>0</v>
      </c>
      <c r="Q27" s="24">
        <v>0</v>
      </c>
      <c r="R27" s="24">
        <v>0</v>
      </c>
      <c r="S27" s="24">
        <v>53</v>
      </c>
      <c r="T27" s="24">
        <v>0</v>
      </c>
      <c r="U27" s="24">
        <v>0</v>
      </c>
      <c r="V27" s="24">
        <v>1</v>
      </c>
      <c r="W27" s="24">
        <v>1</v>
      </c>
      <c r="X27" s="24">
        <v>1</v>
      </c>
      <c r="Y27" s="24">
        <v>0</v>
      </c>
      <c r="Z27" s="24">
        <v>0</v>
      </c>
      <c r="AA27" s="24">
        <v>1</v>
      </c>
      <c r="AB27" s="24">
        <v>0</v>
      </c>
      <c r="AC27" s="24">
        <v>0</v>
      </c>
      <c r="AD27" s="24">
        <v>0</v>
      </c>
      <c r="AE27" s="24">
        <v>1</v>
      </c>
      <c r="AF27" s="24">
        <v>0</v>
      </c>
      <c r="AG27" s="24">
        <v>0</v>
      </c>
      <c r="AH27" s="24">
        <v>1</v>
      </c>
      <c r="AI27" s="24">
        <v>0</v>
      </c>
      <c r="AJ27" s="24">
        <v>0</v>
      </c>
      <c r="AK27" s="24">
        <v>0</v>
      </c>
      <c r="AL27" s="24">
        <v>0</v>
      </c>
      <c r="AM27" s="24">
        <v>1</v>
      </c>
      <c r="AN27" s="24">
        <v>0</v>
      </c>
      <c r="AO27" s="24">
        <v>0</v>
      </c>
      <c r="AP27" s="24">
        <v>0</v>
      </c>
      <c r="AQ27" s="24">
        <v>0</v>
      </c>
      <c r="AR27" s="24">
        <v>0</v>
      </c>
      <c r="AS27" s="24">
        <v>0</v>
      </c>
      <c r="AT27" s="24">
        <v>1</v>
      </c>
      <c r="AU27" s="24">
        <v>0</v>
      </c>
      <c r="AV27" s="24">
        <v>0</v>
      </c>
      <c r="AW27" s="24">
        <v>0</v>
      </c>
      <c r="AX27" s="24">
        <v>1</v>
      </c>
      <c r="AY27" s="24">
        <v>0</v>
      </c>
      <c r="AZ27" s="24">
        <v>0</v>
      </c>
      <c r="BA27" s="24">
        <v>1</v>
      </c>
      <c r="BB27" s="24">
        <v>0</v>
      </c>
    </row>
    <row r="28" spans="1:54" ht="13.8" x14ac:dyDescent="0.3">
      <c r="B28" s="24">
        <v>8</v>
      </c>
      <c r="C28" s="24">
        <v>36</v>
      </c>
      <c r="D28" s="24">
        <v>0</v>
      </c>
      <c r="E28" s="24">
        <v>1</v>
      </c>
      <c r="F28" s="24">
        <v>0</v>
      </c>
      <c r="G28" s="24">
        <v>0</v>
      </c>
      <c r="H28" s="24">
        <v>0</v>
      </c>
      <c r="I28" s="24">
        <v>0</v>
      </c>
      <c r="J28" s="24">
        <v>6948</v>
      </c>
      <c r="K28" s="24">
        <v>2</v>
      </c>
      <c r="L28" s="24">
        <v>0</v>
      </c>
      <c r="M28" s="24">
        <v>1</v>
      </c>
      <c r="N28" s="24">
        <v>0</v>
      </c>
      <c r="O28" s="24">
        <v>0</v>
      </c>
      <c r="P28" s="24">
        <v>0</v>
      </c>
      <c r="Q28" s="24">
        <v>0</v>
      </c>
      <c r="R28" s="24">
        <v>0</v>
      </c>
      <c r="S28" s="24">
        <v>35</v>
      </c>
      <c r="T28" s="24">
        <v>0</v>
      </c>
      <c r="U28" s="24">
        <v>1</v>
      </c>
      <c r="V28" s="24">
        <v>0</v>
      </c>
      <c r="W28" s="24">
        <v>1</v>
      </c>
      <c r="X28" s="24">
        <v>1</v>
      </c>
      <c r="Y28" s="24">
        <v>1</v>
      </c>
      <c r="Z28" s="24">
        <v>0</v>
      </c>
      <c r="AA28" s="24">
        <v>1</v>
      </c>
      <c r="AB28" s="24">
        <v>0</v>
      </c>
      <c r="AC28" s="24">
        <v>1</v>
      </c>
      <c r="AD28" s="24">
        <v>0</v>
      </c>
      <c r="AE28" s="24">
        <v>0</v>
      </c>
      <c r="AF28" s="24">
        <v>0</v>
      </c>
      <c r="AG28" s="24">
        <v>0</v>
      </c>
      <c r="AH28" s="24">
        <v>1</v>
      </c>
      <c r="AI28" s="24">
        <v>0</v>
      </c>
      <c r="AJ28" s="24">
        <v>0</v>
      </c>
      <c r="AK28" s="24">
        <v>1</v>
      </c>
      <c r="AL28" s="24">
        <v>0</v>
      </c>
      <c r="AM28" s="24">
        <v>0</v>
      </c>
      <c r="AN28" s="24">
        <v>0</v>
      </c>
      <c r="AO28" s="24">
        <v>0</v>
      </c>
      <c r="AP28" s="24">
        <v>0</v>
      </c>
      <c r="AQ28" s="24">
        <v>0</v>
      </c>
      <c r="AR28" s="24">
        <v>1</v>
      </c>
      <c r="AS28" s="24">
        <v>0</v>
      </c>
      <c r="AT28" s="24">
        <v>0</v>
      </c>
      <c r="AU28" s="24">
        <v>0</v>
      </c>
      <c r="AV28" s="24">
        <v>1</v>
      </c>
      <c r="AW28" s="24">
        <v>0</v>
      </c>
      <c r="AX28" s="24">
        <v>0</v>
      </c>
      <c r="AY28" s="24">
        <v>0</v>
      </c>
      <c r="AZ28" s="24">
        <v>0</v>
      </c>
      <c r="BA28" s="24">
        <v>0</v>
      </c>
      <c r="BB28" s="24">
        <v>1</v>
      </c>
    </row>
    <row r="29" spans="1:54" ht="13.8" x14ac:dyDescent="0.3">
      <c r="B29" s="24">
        <v>9</v>
      </c>
      <c r="C29" s="24">
        <v>12</v>
      </c>
      <c r="D29" s="24">
        <v>0</v>
      </c>
      <c r="E29" s="24">
        <v>0</v>
      </c>
      <c r="F29" s="24">
        <v>0</v>
      </c>
      <c r="G29" s="24">
        <v>1</v>
      </c>
      <c r="H29" s="24">
        <v>0</v>
      </c>
      <c r="I29" s="24">
        <v>0</v>
      </c>
      <c r="J29" s="24">
        <v>3059</v>
      </c>
      <c r="K29" s="24">
        <v>2</v>
      </c>
      <c r="L29" s="24">
        <v>1</v>
      </c>
      <c r="M29" s="24">
        <v>0</v>
      </c>
      <c r="N29" s="24">
        <v>0</v>
      </c>
      <c r="O29" s="24">
        <v>0</v>
      </c>
      <c r="P29" s="24">
        <v>0</v>
      </c>
      <c r="Q29" s="24">
        <v>1</v>
      </c>
      <c r="R29" s="24">
        <v>0</v>
      </c>
      <c r="S29" s="24">
        <v>61</v>
      </c>
      <c r="T29" s="24">
        <v>0</v>
      </c>
      <c r="U29" s="24">
        <v>0</v>
      </c>
      <c r="V29" s="24">
        <v>1</v>
      </c>
      <c r="W29" s="24">
        <v>1</v>
      </c>
      <c r="X29" s="24">
        <v>1</v>
      </c>
      <c r="Y29" s="24">
        <v>0</v>
      </c>
      <c r="Z29" s="24">
        <v>0</v>
      </c>
      <c r="AA29" s="24">
        <v>1</v>
      </c>
      <c r="AB29" s="24">
        <v>0</v>
      </c>
      <c r="AC29" s="24">
        <v>0</v>
      </c>
      <c r="AD29" s="24">
        <v>0</v>
      </c>
      <c r="AE29" s="24">
        <v>1</v>
      </c>
      <c r="AF29" s="24">
        <v>0</v>
      </c>
      <c r="AG29" s="24">
        <v>0</v>
      </c>
      <c r="AH29" s="24">
        <v>1</v>
      </c>
      <c r="AI29" s="24">
        <v>0</v>
      </c>
      <c r="AJ29" s="24">
        <v>0</v>
      </c>
      <c r="AK29" s="24">
        <v>0</v>
      </c>
      <c r="AL29" s="24">
        <v>0</v>
      </c>
      <c r="AM29" s="24">
        <v>0</v>
      </c>
      <c r="AN29" s="24">
        <v>1</v>
      </c>
      <c r="AO29" s="24">
        <v>0</v>
      </c>
      <c r="AP29" s="24">
        <v>0</v>
      </c>
      <c r="AQ29" s="24">
        <v>0</v>
      </c>
      <c r="AR29" s="24">
        <v>0</v>
      </c>
      <c r="AS29" s="24">
        <v>1</v>
      </c>
      <c r="AT29" s="24">
        <v>0</v>
      </c>
      <c r="AU29" s="24">
        <v>0</v>
      </c>
      <c r="AV29" s="24">
        <v>0</v>
      </c>
      <c r="AW29" s="24">
        <v>0</v>
      </c>
      <c r="AX29" s="24">
        <v>1</v>
      </c>
      <c r="AY29" s="24">
        <v>0</v>
      </c>
      <c r="AZ29" s="24">
        <v>1</v>
      </c>
      <c r="BA29" s="24">
        <v>0</v>
      </c>
      <c r="BB29" s="24">
        <v>0</v>
      </c>
    </row>
    <row r="30" spans="1:54" ht="13.8" x14ac:dyDescent="0.3">
      <c r="B30" s="24">
        <v>10</v>
      </c>
      <c r="C30" s="24">
        <v>30</v>
      </c>
      <c r="D30" s="24">
        <v>1</v>
      </c>
      <c r="E30" s="24">
        <v>0</v>
      </c>
      <c r="F30" s="24">
        <v>0</v>
      </c>
      <c r="G30" s="24">
        <v>0</v>
      </c>
      <c r="H30" s="24">
        <v>0</v>
      </c>
      <c r="I30" s="24">
        <v>0</v>
      </c>
      <c r="J30" s="24">
        <v>5234</v>
      </c>
      <c r="K30" s="24">
        <v>4</v>
      </c>
      <c r="L30" s="24">
        <v>0</v>
      </c>
      <c r="M30" s="24">
        <v>0</v>
      </c>
      <c r="N30" s="24">
        <v>1</v>
      </c>
      <c r="O30" s="24">
        <v>0</v>
      </c>
      <c r="P30" s="24">
        <v>0</v>
      </c>
      <c r="Q30" s="24">
        <v>0</v>
      </c>
      <c r="R30" s="24">
        <v>0</v>
      </c>
      <c r="S30" s="24">
        <v>28</v>
      </c>
      <c r="T30" s="24">
        <v>0</v>
      </c>
      <c r="U30" s="24">
        <v>0</v>
      </c>
      <c r="V30" s="24">
        <v>1</v>
      </c>
      <c r="W30" s="24">
        <v>2</v>
      </c>
      <c r="X30" s="24">
        <v>1</v>
      </c>
      <c r="Y30" s="24">
        <v>0</v>
      </c>
      <c r="Z30" s="24">
        <v>0</v>
      </c>
      <c r="AA30" s="24">
        <v>0</v>
      </c>
      <c r="AB30" s="24">
        <v>0</v>
      </c>
      <c r="AC30" s="24">
        <v>1</v>
      </c>
      <c r="AD30" s="24">
        <v>0</v>
      </c>
      <c r="AE30" s="24">
        <v>0</v>
      </c>
      <c r="AF30" s="24">
        <v>0</v>
      </c>
      <c r="AG30" s="24">
        <v>0</v>
      </c>
      <c r="AH30" s="24">
        <v>0</v>
      </c>
      <c r="AI30" s="24">
        <v>0</v>
      </c>
      <c r="AJ30" s="24">
        <v>1</v>
      </c>
      <c r="AK30" s="24">
        <v>1</v>
      </c>
      <c r="AL30" s="24">
        <v>0</v>
      </c>
      <c r="AM30" s="24">
        <v>0</v>
      </c>
      <c r="AN30" s="24">
        <v>0</v>
      </c>
      <c r="AO30" s="24">
        <v>0</v>
      </c>
      <c r="AP30" s="24">
        <v>1</v>
      </c>
      <c r="AQ30" s="24">
        <v>0</v>
      </c>
      <c r="AR30" s="24">
        <v>0</v>
      </c>
      <c r="AS30" s="24">
        <v>0</v>
      </c>
      <c r="AT30" s="24">
        <v>0</v>
      </c>
      <c r="AU30" s="24">
        <v>0</v>
      </c>
      <c r="AV30" s="24">
        <v>1</v>
      </c>
      <c r="AW30" s="24">
        <v>0</v>
      </c>
      <c r="AX30" s="24">
        <v>0</v>
      </c>
      <c r="AY30" s="24">
        <v>0</v>
      </c>
      <c r="AZ30" s="24">
        <v>0</v>
      </c>
      <c r="BA30" s="24">
        <v>0</v>
      </c>
      <c r="BB30" s="24">
        <v>1</v>
      </c>
    </row>
    <row r="31" spans="1:54" ht="13.8" x14ac:dyDescent="0.3">
      <c r="B31" s="24">
        <v>11</v>
      </c>
      <c r="C31" s="24">
        <v>12</v>
      </c>
      <c r="D31" s="24">
        <v>1</v>
      </c>
      <c r="E31" s="24">
        <v>0</v>
      </c>
      <c r="F31" s="24">
        <v>0</v>
      </c>
      <c r="G31" s="24">
        <v>0</v>
      </c>
      <c r="H31" s="24">
        <v>0</v>
      </c>
      <c r="I31" s="24">
        <v>0</v>
      </c>
      <c r="J31" s="24">
        <v>1295</v>
      </c>
      <c r="K31" s="24">
        <v>3</v>
      </c>
      <c r="L31" s="24">
        <v>0</v>
      </c>
      <c r="M31" s="24">
        <v>0</v>
      </c>
      <c r="N31" s="24">
        <v>0</v>
      </c>
      <c r="O31" s="24">
        <v>0</v>
      </c>
      <c r="P31" s="24">
        <v>0</v>
      </c>
      <c r="Q31" s="24">
        <v>0</v>
      </c>
      <c r="R31" s="24">
        <v>0</v>
      </c>
      <c r="S31" s="24">
        <v>25</v>
      </c>
      <c r="T31" s="24">
        <v>0</v>
      </c>
      <c r="U31" s="24">
        <v>1</v>
      </c>
      <c r="V31" s="24">
        <v>0</v>
      </c>
      <c r="W31" s="24">
        <v>1</v>
      </c>
      <c r="X31" s="24">
        <v>1</v>
      </c>
      <c r="Y31" s="24">
        <v>0</v>
      </c>
      <c r="Z31" s="24">
        <v>0</v>
      </c>
      <c r="AA31" s="24">
        <v>0</v>
      </c>
      <c r="AB31" s="24">
        <v>0</v>
      </c>
      <c r="AC31" s="24">
        <v>1</v>
      </c>
      <c r="AD31" s="24">
        <v>0</v>
      </c>
      <c r="AE31" s="24">
        <v>0</v>
      </c>
      <c r="AF31" s="24">
        <v>0</v>
      </c>
      <c r="AG31" s="24">
        <v>0</v>
      </c>
      <c r="AH31" s="24">
        <v>1</v>
      </c>
      <c r="AI31" s="24">
        <v>0</v>
      </c>
      <c r="AJ31" s="24">
        <v>0</v>
      </c>
      <c r="AK31" s="24">
        <v>1</v>
      </c>
      <c r="AL31" s="24">
        <v>0</v>
      </c>
      <c r="AM31" s="24">
        <v>0</v>
      </c>
      <c r="AN31" s="24">
        <v>0</v>
      </c>
      <c r="AO31" s="24">
        <v>0</v>
      </c>
      <c r="AP31" s="24">
        <v>0</v>
      </c>
      <c r="AQ31" s="24">
        <v>1</v>
      </c>
      <c r="AR31" s="24">
        <v>0</v>
      </c>
      <c r="AS31" s="24">
        <v>0</v>
      </c>
      <c r="AT31" s="24">
        <v>0</v>
      </c>
      <c r="AU31" s="24">
        <v>1</v>
      </c>
      <c r="AV31" s="24">
        <v>0</v>
      </c>
      <c r="AW31" s="24">
        <v>0</v>
      </c>
      <c r="AX31" s="24">
        <v>0</v>
      </c>
      <c r="AY31" s="24">
        <v>0</v>
      </c>
      <c r="AZ31" s="24">
        <v>0</v>
      </c>
      <c r="BA31" s="24">
        <v>1</v>
      </c>
      <c r="BB31" s="24">
        <v>0</v>
      </c>
    </row>
    <row r="32" spans="1:54" ht="13.8" x14ac:dyDescent="0.3">
      <c r="B32" s="24">
        <v>12</v>
      </c>
      <c r="C32" s="24">
        <v>48</v>
      </c>
      <c r="D32" s="24">
        <v>0</v>
      </c>
      <c r="E32" s="24">
        <v>0</v>
      </c>
      <c r="F32" s="24">
        <v>0</v>
      </c>
      <c r="G32" s="24">
        <v>0</v>
      </c>
      <c r="H32" s="24">
        <v>0</v>
      </c>
      <c r="I32" s="24">
        <v>1</v>
      </c>
      <c r="J32" s="24">
        <v>4308</v>
      </c>
      <c r="K32" s="24">
        <v>3</v>
      </c>
      <c r="L32" s="24">
        <v>0</v>
      </c>
      <c r="M32" s="24">
        <v>0</v>
      </c>
      <c r="N32" s="24">
        <v>0</v>
      </c>
      <c r="O32" s="24">
        <v>0</v>
      </c>
      <c r="P32" s="24">
        <v>0</v>
      </c>
      <c r="Q32" s="24">
        <v>0</v>
      </c>
      <c r="R32" s="24">
        <v>0</v>
      </c>
      <c r="S32" s="24">
        <v>24</v>
      </c>
      <c r="T32" s="24">
        <v>0</v>
      </c>
      <c r="U32" s="24">
        <v>1</v>
      </c>
      <c r="V32" s="24">
        <v>0</v>
      </c>
      <c r="W32" s="24">
        <v>1</v>
      </c>
      <c r="X32" s="24">
        <v>1</v>
      </c>
      <c r="Y32" s="24">
        <v>0</v>
      </c>
      <c r="Z32" s="24">
        <v>0</v>
      </c>
      <c r="AA32" s="24">
        <v>0</v>
      </c>
      <c r="AB32" s="24">
        <v>1</v>
      </c>
      <c r="AC32" s="24">
        <v>0</v>
      </c>
      <c r="AD32" s="24">
        <v>0</v>
      </c>
      <c r="AE32" s="24">
        <v>0</v>
      </c>
      <c r="AF32" s="24">
        <v>0</v>
      </c>
      <c r="AG32" s="24">
        <v>0</v>
      </c>
      <c r="AH32" s="24">
        <v>1</v>
      </c>
      <c r="AI32" s="24">
        <v>0</v>
      </c>
      <c r="AJ32" s="24">
        <v>0</v>
      </c>
      <c r="AK32" s="24">
        <v>1</v>
      </c>
      <c r="AL32" s="24">
        <v>0</v>
      </c>
      <c r="AM32" s="24">
        <v>0</v>
      </c>
      <c r="AN32" s="24">
        <v>0</v>
      </c>
      <c r="AO32" s="24">
        <v>0</v>
      </c>
      <c r="AP32" s="24">
        <v>0</v>
      </c>
      <c r="AQ32" s="24">
        <v>1</v>
      </c>
      <c r="AR32" s="24">
        <v>0</v>
      </c>
      <c r="AS32" s="24">
        <v>0</v>
      </c>
      <c r="AT32" s="24">
        <v>0</v>
      </c>
      <c r="AU32" s="24">
        <v>0</v>
      </c>
      <c r="AV32" s="24">
        <v>0</v>
      </c>
      <c r="AW32" s="24">
        <v>0</v>
      </c>
      <c r="AX32" s="24">
        <v>1</v>
      </c>
      <c r="AY32" s="24">
        <v>0</v>
      </c>
      <c r="AZ32" s="24">
        <v>0</v>
      </c>
      <c r="BA32" s="24">
        <v>1</v>
      </c>
      <c r="BB32" s="24">
        <v>0</v>
      </c>
    </row>
    <row r="33" spans="2:54" ht="13.8" x14ac:dyDescent="0.3">
      <c r="B33" s="24">
        <v>13</v>
      </c>
      <c r="C33" s="24">
        <v>12</v>
      </c>
      <c r="D33" s="24">
        <v>0</v>
      </c>
      <c r="E33" s="24">
        <v>0</v>
      </c>
      <c r="F33" s="24">
        <v>0</v>
      </c>
      <c r="G33" s="24">
        <v>1</v>
      </c>
      <c r="H33" s="24">
        <v>0</v>
      </c>
      <c r="I33" s="24">
        <v>0</v>
      </c>
      <c r="J33" s="24">
        <v>1567</v>
      </c>
      <c r="K33" s="24">
        <v>1</v>
      </c>
      <c r="L33" s="24">
        <v>0</v>
      </c>
      <c r="M33" s="24">
        <v>0</v>
      </c>
      <c r="N33" s="24">
        <v>0</v>
      </c>
      <c r="O33" s="24">
        <v>0</v>
      </c>
      <c r="P33" s="24">
        <v>0</v>
      </c>
      <c r="Q33" s="24">
        <v>0</v>
      </c>
      <c r="R33" s="24">
        <v>0</v>
      </c>
      <c r="S33" s="24">
        <v>22</v>
      </c>
      <c r="T33" s="24">
        <v>0</v>
      </c>
      <c r="U33" s="24">
        <v>0</v>
      </c>
      <c r="V33" s="24">
        <v>1</v>
      </c>
      <c r="W33" s="24">
        <v>1</v>
      </c>
      <c r="X33" s="24">
        <v>1</v>
      </c>
      <c r="Y33" s="24">
        <v>1</v>
      </c>
      <c r="Z33" s="24">
        <v>0</v>
      </c>
      <c r="AA33" s="24">
        <v>1</v>
      </c>
      <c r="AB33" s="24">
        <v>0</v>
      </c>
      <c r="AC33" s="24">
        <v>1</v>
      </c>
      <c r="AD33" s="24">
        <v>0</v>
      </c>
      <c r="AE33" s="24">
        <v>0</v>
      </c>
      <c r="AF33" s="24">
        <v>0</v>
      </c>
      <c r="AG33" s="24">
        <v>0</v>
      </c>
      <c r="AH33" s="24">
        <v>1</v>
      </c>
      <c r="AI33" s="24">
        <v>0</v>
      </c>
      <c r="AJ33" s="24">
        <v>0</v>
      </c>
      <c r="AK33" s="24">
        <v>1</v>
      </c>
      <c r="AL33" s="24">
        <v>0</v>
      </c>
      <c r="AM33" s="24">
        <v>0</v>
      </c>
      <c r="AN33" s="24">
        <v>0</v>
      </c>
      <c r="AO33" s="24">
        <v>0</v>
      </c>
      <c r="AP33" s="24">
        <v>0</v>
      </c>
      <c r="AQ33" s="24">
        <v>0</v>
      </c>
      <c r="AR33" s="24">
        <v>1</v>
      </c>
      <c r="AS33" s="24">
        <v>0</v>
      </c>
      <c r="AT33" s="24">
        <v>0</v>
      </c>
      <c r="AU33" s="24">
        <v>1</v>
      </c>
      <c r="AV33" s="24">
        <v>0</v>
      </c>
      <c r="AW33" s="24">
        <v>0</v>
      </c>
      <c r="AX33" s="24">
        <v>0</v>
      </c>
      <c r="AY33" s="24">
        <v>0</v>
      </c>
      <c r="AZ33" s="24">
        <v>0</v>
      </c>
      <c r="BA33" s="24">
        <v>1</v>
      </c>
      <c r="BB33" s="24">
        <v>0</v>
      </c>
    </row>
    <row r="34" spans="2:54" ht="13.8" x14ac:dyDescent="0.3">
      <c r="B34" s="24">
        <v>14</v>
      </c>
      <c r="C34" s="24">
        <v>24</v>
      </c>
      <c r="D34" s="24">
        <v>1</v>
      </c>
      <c r="E34" s="24">
        <v>0</v>
      </c>
      <c r="F34" s="24">
        <v>0</v>
      </c>
      <c r="G34" s="24">
        <v>0</v>
      </c>
      <c r="H34" s="24">
        <v>0</v>
      </c>
      <c r="I34" s="24">
        <v>0</v>
      </c>
      <c r="J34" s="24">
        <v>1199</v>
      </c>
      <c r="K34" s="24">
        <v>4</v>
      </c>
      <c r="L34" s="24">
        <v>0</v>
      </c>
      <c r="M34" s="24">
        <v>1</v>
      </c>
      <c r="N34" s="24">
        <v>0</v>
      </c>
      <c r="O34" s="24">
        <v>0</v>
      </c>
      <c r="P34" s="24">
        <v>0</v>
      </c>
      <c r="Q34" s="24">
        <v>0</v>
      </c>
      <c r="R34" s="24">
        <v>0</v>
      </c>
      <c r="S34" s="24">
        <v>60</v>
      </c>
      <c r="T34" s="24">
        <v>0</v>
      </c>
      <c r="U34" s="24">
        <v>0</v>
      </c>
      <c r="V34" s="24">
        <v>1</v>
      </c>
      <c r="W34" s="24">
        <v>2</v>
      </c>
      <c r="X34" s="24">
        <v>1</v>
      </c>
      <c r="Y34" s="24">
        <v>0</v>
      </c>
      <c r="Z34" s="24">
        <v>0</v>
      </c>
      <c r="AA34" s="24">
        <v>0</v>
      </c>
      <c r="AB34" s="24">
        <v>1</v>
      </c>
      <c r="AC34" s="24">
        <v>0</v>
      </c>
      <c r="AD34" s="24">
        <v>0</v>
      </c>
      <c r="AE34" s="24">
        <v>0</v>
      </c>
      <c r="AF34" s="24">
        <v>0</v>
      </c>
      <c r="AG34" s="24">
        <v>0</v>
      </c>
      <c r="AH34" s="24">
        <v>0</v>
      </c>
      <c r="AI34" s="24">
        <v>0</v>
      </c>
      <c r="AJ34" s="24">
        <v>1</v>
      </c>
      <c r="AK34" s="24">
        <v>1</v>
      </c>
      <c r="AL34" s="24">
        <v>0</v>
      </c>
      <c r="AM34" s="24">
        <v>0</v>
      </c>
      <c r="AN34" s="24">
        <v>0</v>
      </c>
      <c r="AO34" s="24">
        <v>0</v>
      </c>
      <c r="AP34" s="24">
        <v>0</v>
      </c>
      <c r="AQ34" s="24">
        <v>0</v>
      </c>
      <c r="AR34" s="24">
        <v>0</v>
      </c>
      <c r="AS34" s="24">
        <v>0</v>
      </c>
      <c r="AT34" s="24">
        <v>1</v>
      </c>
      <c r="AU34" s="24">
        <v>0</v>
      </c>
      <c r="AV34" s="24">
        <v>0</v>
      </c>
      <c r="AW34" s="24">
        <v>0</v>
      </c>
      <c r="AX34" s="24">
        <v>1</v>
      </c>
      <c r="AY34" s="24">
        <v>0</v>
      </c>
      <c r="AZ34" s="24">
        <v>1</v>
      </c>
      <c r="BA34" s="24">
        <v>0</v>
      </c>
      <c r="BB34" s="24">
        <v>0</v>
      </c>
    </row>
    <row r="35" spans="2:54" ht="13.8" x14ac:dyDescent="0.3">
      <c r="B35" s="24">
        <v>15</v>
      </c>
      <c r="C35" s="24">
        <v>15</v>
      </c>
      <c r="D35" s="24">
        <v>1</v>
      </c>
      <c r="E35" s="24">
        <v>0</v>
      </c>
      <c r="F35" s="24">
        <v>0</v>
      </c>
      <c r="G35" s="24">
        <v>0</v>
      </c>
      <c r="H35" s="24">
        <v>0</v>
      </c>
      <c r="I35" s="24">
        <v>0</v>
      </c>
      <c r="J35" s="24">
        <v>1403</v>
      </c>
      <c r="K35" s="24">
        <v>2</v>
      </c>
      <c r="L35" s="24">
        <v>0</v>
      </c>
      <c r="M35" s="24">
        <v>0</v>
      </c>
      <c r="N35" s="24">
        <v>0</v>
      </c>
      <c r="O35" s="24">
        <v>0</v>
      </c>
      <c r="P35" s="24">
        <v>0</v>
      </c>
      <c r="Q35" s="24">
        <v>0</v>
      </c>
      <c r="R35" s="24">
        <v>0</v>
      </c>
      <c r="S35" s="24">
        <v>28</v>
      </c>
      <c r="T35" s="24">
        <v>0</v>
      </c>
      <c r="U35" s="24">
        <v>1</v>
      </c>
      <c r="V35" s="24">
        <v>0</v>
      </c>
      <c r="W35" s="24">
        <v>1</v>
      </c>
      <c r="X35" s="24">
        <v>1</v>
      </c>
      <c r="Y35" s="24">
        <v>0</v>
      </c>
      <c r="Z35" s="24">
        <v>0</v>
      </c>
      <c r="AA35" s="24">
        <v>1</v>
      </c>
      <c r="AB35" s="24">
        <v>1</v>
      </c>
      <c r="AC35" s="24">
        <v>0</v>
      </c>
      <c r="AD35" s="24">
        <v>0</v>
      </c>
      <c r="AE35" s="24">
        <v>0</v>
      </c>
      <c r="AF35" s="24">
        <v>0</v>
      </c>
      <c r="AG35" s="24">
        <v>0</v>
      </c>
      <c r="AH35" s="24">
        <v>1</v>
      </c>
      <c r="AI35" s="24">
        <v>0</v>
      </c>
      <c r="AJ35" s="24">
        <v>0</v>
      </c>
      <c r="AK35" s="24">
        <v>1</v>
      </c>
      <c r="AL35" s="24">
        <v>0</v>
      </c>
      <c r="AM35" s="24">
        <v>0</v>
      </c>
      <c r="AN35" s="24">
        <v>0</v>
      </c>
      <c r="AO35" s="24">
        <v>0</v>
      </c>
      <c r="AP35" s="24">
        <v>0</v>
      </c>
      <c r="AQ35" s="24">
        <v>0</v>
      </c>
      <c r="AR35" s="24">
        <v>1</v>
      </c>
      <c r="AS35" s="24">
        <v>0</v>
      </c>
      <c r="AT35" s="24">
        <v>0</v>
      </c>
      <c r="AU35" s="24">
        <v>0</v>
      </c>
      <c r="AV35" s="24">
        <v>0</v>
      </c>
      <c r="AW35" s="24">
        <v>0</v>
      </c>
      <c r="AX35" s="24">
        <v>1</v>
      </c>
      <c r="AY35" s="24">
        <v>0</v>
      </c>
      <c r="AZ35" s="24">
        <v>0</v>
      </c>
      <c r="BA35" s="24">
        <v>1</v>
      </c>
      <c r="BB35" s="24">
        <v>0</v>
      </c>
    </row>
    <row r="36" spans="2:54" ht="13.8" x14ac:dyDescent="0.3">
      <c r="B36" s="24">
        <v>16</v>
      </c>
      <c r="C36" s="24">
        <v>24</v>
      </c>
      <c r="D36" s="24">
        <v>0</v>
      </c>
      <c r="E36" s="24">
        <v>0</v>
      </c>
      <c r="F36" s="24">
        <v>0</v>
      </c>
      <c r="G36" s="24">
        <v>1</v>
      </c>
      <c r="H36" s="24">
        <v>0</v>
      </c>
      <c r="I36" s="24">
        <v>0</v>
      </c>
      <c r="J36" s="24">
        <v>1282</v>
      </c>
      <c r="K36" s="24">
        <v>4</v>
      </c>
      <c r="L36" s="24">
        <v>0</v>
      </c>
      <c r="M36" s="24">
        <v>0</v>
      </c>
      <c r="N36" s="24">
        <v>0</v>
      </c>
      <c r="O36" s="24">
        <v>0</v>
      </c>
      <c r="P36" s="24">
        <v>0</v>
      </c>
      <c r="Q36" s="24">
        <v>0</v>
      </c>
      <c r="R36" s="24">
        <v>0</v>
      </c>
      <c r="S36" s="24">
        <v>32</v>
      </c>
      <c r="T36" s="24">
        <v>0</v>
      </c>
      <c r="U36" s="24">
        <v>0</v>
      </c>
      <c r="V36" s="24">
        <v>1</v>
      </c>
      <c r="W36" s="24">
        <v>1</v>
      </c>
      <c r="X36" s="24">
        <v>1</v>
      </c>
      <c r="Y36" s="24">
        <v>0</v>
      </c>
      <c r="Z36" s="24">
        <v>0</v>
      </c>
      <c r="AA36" s="24">
        <v>0</v>
      </c>
      <c r="AB36" s="24">
        <v>1</v>
      </c>
      <c r="AC36" s="24">
        <v>0</v>
      </c>
      <c r="AD36" s="24">
        <v>0</v>
      </c>
      <c r="AE36" s="24">
        <v>0</v>
      </c>
      <c r="AF36" s="24">
        <v>0</v>
      </c>
      <c r="AG36" s="24">
        <v>0</v>
      </c>
      <c r="AH36" s="24">
        <v>1</v>
      </c>
      <c r="AI36" s="24">
        <v>0</v>
      </c>
      <c r="AJ36" s="24">
        <v>0</v>
      </c>
      <c r="AK36" s="24">
        <v>0</v>
      </c>
      <c r="AL36" s="24">
        <v>1</v>
      </c>
      <c r="AM36" s="24">
        <v>0</v>
      </c>
      <c r="AN36" s="24">
        <v>0</v>
      </c>
      <c r="AO36" s="24">
        <v>0</v>
      </c>
      <c r="AP36" s="24">
        <v>0</v>
      </c>
      <c r="AQ36" s="24">
        <v>0</v>
      </c>
      <c r="AR36" s="24">
        <v>1</v>
      </c>
      <c r="AS36" s="24">
        <v>0</v>
      </c>
      <c r="AT36" s="24">
        <v>0</v>
      </c>
      <c r="AU36" s="24">
        <v>0</v>
      </c>
      <c r="AV36" s="24">
        <v>1</v>
      </c>
      <c r="AW36" s="24">
        <v>0</v>
      </c>
      <c r="AX36" s="24">
        <v>0</v>
      </c>
      <c r="AY36" s="24">
        <v>0</v>
      </c>
      <c r="AZ36" s="24">
        <v>1</v>
      </c>
      <c r="BA36" s="24">
        <v>0</v>
      </c>
      <c r="BB36" s="24">
        <v>0</v>
      </c>
    </row>
    <row r="37" spans="2:54" ht="13.8" x14ac:dyDescent="0.3">
      <c r="B37" s="24">
        <v>17</v>
      </c>
      <c r="C37" s="24">
        <v>24</v>
      </c>
      <c r="D37" s="24">
        <v>0</v>
      </c>
      <c r="E37" s="24">
        <v>0</v>
      </c>
      <c r="F37" s="24">
        <v>0</v>
      </c>
      <c r="G37" s="24">
        <v>1</v>
      </c>
      <c r="H37" s="24">
        <v>0</v>
      </c>
      <c r="I37" s="24">
        <v>0</v>
      </c>
      <c r="J37" s="24">
        <v>2424</v>
      </c>
      <c r="K37" s="24">
        <v>4</v>
      </c>
      <c r="L37" s="24">
        <v>0</v>
      </c>
      <c r="M37" s="24">
        <v>1</v>
      </c>
      <c r="N37" s="24">
        <v>0</v>
      </c>
      <c r="O37" s="24">
        <v>0</v>
      </c>
      <c r="P37" s="24">
        <v>0</v>
      </c>
      <c r="Q37" s="24">
        <v>0</v>
      </c>
      <c r="R37" s="24">
        <v>0</v>
      </c>
      <c r="S37" s="24">
        <v>53</v>
      </c>
      <c r="T37" s="24">
        <v>0</v>
      </c>
      <c r="U37" s="24">
        <v>0</v>
      </c>
      <c r="V37" s="24">
        <v>1</v>
      </c>
      <c r="W37" s="24">
        <v>2</v>
      </c>
      <c r="X37" s="24">
        <v>1</v>
      </c>
      <c r="Y37" s="24">
        <v>0</v>
      </c>
      <c r="Z37" s="24">
        <v>0</v>
      </c>
      <c r="AA37" s="24">
        <v>1</v>
      </c>
      <c r="AB37" s="24">
        <v>0</v>
      </c>
      <c r="AC37" s="24">
        <v>0</v>
      </c>
      <c r="AD37" s="24">
        <v>0</v>
      </c>
      <c r="AE37" s="24">
        <v>1</v>
      </c>
      <c r="AF37" s="24">
        <v>0</v>
      </c>
      <c r="AG37" s="24">
        <v>0</v>
      </c>
      <c r="AH37" s="24">
        <v>0</v>
      </c>
      <c r="AI37" s="24">
        <v>0</v>
      </c>
      <c r="AJ37" s="24">
        <v>1</v>
      </c>
      <c r="AK37" s="24">
        <v>0</v>
      </c>
      <c r="AL37" s="24">
        <v>0</v>
      </c>
      <c r="AM37" s="24">
        <v>0</v>
      </c>
      <c r="AN37" s="24">
        <v>0</v>
      </c>
      <c r="AO37" s="24">
        <v>1</v>
      </c>
      <c r="AP37" s="24">
        <v>0</v>
      </c>
      <c r="AQ37" s="24">
        <v>0</v>
      </c>
      <c r="AR37" s="24">
        <v>0</v>
      </c>
      <c r="AS37" s="24">
        <v>0</v>
      </c>
      <c r="AT37" s="24">
        <v>1</v>
      </c>
      <c r="AU37" s="24">
        <v>0</v>
      </c>
      <c r="AV37" s="24">
        <v>0</v>
      </c>
      <c r="AW37" s="24">
        <v>0</v>
      </c>
      <c r="AX37" s="24">
        <v>1</v>
      </c>
      <c r="AY37" s="24">
        <v>0</v>
      </c>
      <c r="AZ37" s="24">
        <v>0</v>
      </c>
      <c r="BA37" s="24">
        <v>1</v>
      </c>
      <c r="BB37" s="24">
        <v>0</v>
      </c>
    </row>
    <row r="38" spans="2:54" ht="13.8" x14ac:dyDescent="0.3">
      <c r="B38" s="24">
        <v>18</v>
      </c>
      <c r="C38" s="24">
        <v>30</v>
      </c>
      <c r="D38" s="24">
        <v>0</v>
      </c>
      <c r="E38" s="24">
        <v>0</v>
      </c>
      <c r="F38" s="24">
        <v>0</v>
      </c>
      <c r="G38" s="24">
        <v>0</v>
      </c>
      <c r="H38" s="24">
        <v>0</v>
      </c>
      <c r="I38" s="24">
        <v>1</v>
      </c>
      <c r="J38" s="24">
        <v>8072</v>
      </c>
      <c r="K38" s="24">
        <v>2</v>
      </c>
      <c r="L38" s="24">
        <v>0</v>
      </c>
      <c r="M38" s="24">
        <v>1</v>
      </c>
      <c r="N38" s="24">
        <v>0</v>
      </c>
      <c r="O38" s="24">
        <v>0</v>
      </c>
      <c r="P38" s="24">
        <v>0</v>
      </c>
      <c r="Q38" s="24">
        <v>0</v>
      </c>
      <c r="R38" s="24">
        <v>0</v>
      </c>
      <c r="S38" s="24">
        <v>25</v>
      </c>
      <c r="T38" s="24">
        <v>1</v>
      </c>
      <c r="U38" s="24">
        <v>0</v>
      </c>
      <c r="V38" s="24">
        <v>1</v>
      </c>
      <c r="W38" s="24">
        <v>3</v>
      </c>
      <c r="X38" s="24">
        <v>1</v>
      </c>
      <c r="Y38" s="24">
        <v>0</v>
      </c>
      <c r="Z38" s="24">
        <v>0</v>
      </c>
      <c r="AA38" s="24">
        <v>1</v>
      </c>
      <c r="AB38" s="24">
        <v>1</v>
      </c>
      <c r="AC38" s="24">
        <v>0</v>
      </c>
      <c r="AD38" s="24">
        <v>0</v>
      </c>
      <c r="AE38" s="24">
        <v>0</v>
      </c>
      <c r="AF38" s="24">
        <v>1</v>
      </c>
      <c r="AG38" s="24">
        <v>0</v>
      </c>
      <c r="AH38" s="24">
        <v>0</v>
      </c>
      <c r="AI38" s="24">
        <v>0</v>
      </c>
      <c r="AJ38" s="24">
        <v>0</v>
      </c>
      <c r="AK38" s="24">
        <v>0</v>
      </c>
      <c r="AL38" s="24">
        <v>0</v>
      </c>
      <c r="AM38" s="24">
        <v>0</v>
      </c>
      <c r="AN38" s="24">
        <v>0</v>
      </c>
      <c r="AO38" s="24">
        <v>1</v>
      </c>
      <c r="AP38" s="24">
        <v>0</v>
      </c>
      <c r="AQ38" s="24">
        <v>1</v>
      </c>
      <c r="AR38" s="24">
        <v>0</v>
      </c>
      <c r="AS38" s="24">
        <v>0</v>
      </c>
      <c r="AT38" s="24">
        <v>0</v>
      </c>
      <c r="AU38" s="24">
        <v>0</v>
      </c>
      <c r="AV38" s="24">
        <v>0</v>
      </c>
      <c r="AW38" s="24">
        <v>1</v>
      </c>
      <c r="AX38" s="24">
        <v>0</v>
      </c>
      <c r="AY38" s="24">
        <v>0</v>
      </c>
      <c r="AZ38" s="24">
        <v>0</v>
      </c>
      <c r="BA38" s="24">
        <v>1</v>
      </c>
      <c r="BB38" s="24">
        <v>0</v>
      </c>
    </row>
    <row r="39" spans="2:54" ht="13.8" x14ac:dyDescent="0.3">
      <c r="B39" s="24">
        <v>19</v>
      </c>
      <c r="C39" s="24">
        <v>24</v>
      </c>
      <c r="D39" s="24">
        <v>0</v>
      </c>
      <c r="E39" s="24">
        <v>1</v>
      </c>
      <c r="F39" s="24">
        <v>0</v>
      </c>
      <c r="G39" s="24">
        <v>0</v>
      </c>
      <c r="H39" s="24">
        <v>0</v>
      </c>
      <c r="I39" s="24">
        <v>0</v>
      </c>
      <c r="J39" s="24">
        <v>12579</v>
      </c>
      <c r="K39" s="24">
        <v>4</v>
      </c>
      <c r="L39" s="24">
        <v>0</v>
      </c>
      <c r="M39" s="24">
        <v>0</v>
      </c>
      <c r="N39" s="24">
        <v>0</v>
      </c>
      <c r="O39" s="24">
        <v>0</v>
      </c>
      <c r="P39" s="24">
        <v>0</v>
      </c>
      <c r="Q39" s="24">
        <v>0</v>
      </c>
      <c r="R39" s="24">
        <v>1</v>
      </c>
      <c r="S39" s="24">
        <v>44</v>
      </c>
      <c r="T39" s="24">
        <v>0</v>
      </c>
      <c r="U39" s="24">
        <v>0</v>
      </c>
      <c r="V39" s="24">
        <v>0</v>
      </c>
      <c r="W39" s="24">
        <v>1</v>
      </c>
      <c r="X39" s="24">
        <v>1</v>
      </c>
      <c r="Y39" s="24">
        <v>1</v>
      </c>
      <c r="Z39" s="24">
        <v>0</v>
      </c>
      <c r="AA39" s="24">
        <v>0</v>
      </c>
      <c r="AB39" s="24">
        <v>0</v>
      </c>
      <c r="AC39" s="24">
        <v>1</v>
      </c>
      <c r="AD39" s="24">
        <v>0</v>
      </c>
      <c r="AE39" s="24">
        <v>0</v>
      </c>
      <c r="AF39" s="24">
        <v>0</v>
      </c>
      <c r="AG39" s="24">
        <v>0</v>
      </c>
      <c r="AH39" s="24">
        <v>1</v>
      </c>
      <c r="AI39" s="24">
        <v>0</v>
      </c>
      <c r="AJ39" s="24">
        <v>0</v>
      </c>
      <c r="AK39" s="24">
        <v>1</v>
      </c>
      <c r="AL39" s="24">
        <v>0</v>
      </c>
      <c r="AM39" s="24">
        <v>0</v>
      </c>
      <c r="AN39" s="24">
        <v>0</v>
      </c>
      <c r="AO39" s="24">
        <v>0</v>
      </c>
      <c r="AP39" s="24">
        <v>0</v>
      </c>
      <c r="AQ39" s="24">
        <v>0</v>
      </c>
      <c r="AR39" s="24">
        <v>0</v>
      </c>
      <c r="AS39" s="24">
        <v>0</v>
      </c>
      <c r="AT39" s="24">
        <v>1</v>
      </c>
      <c r="AU39" s="24">
        <v>0</v>
      </c>
      <c r="AV39" s="24">
        <v>1</v>
      </c>
      <c r="AW39" s="24">
        <v>0</v>
      </c>
      <c r="AX39" s="24">
        <v>0</v>
      </c>
      <c r="AY39" s="24">
        <v>0</v>
      </c>
      <c r="AZ39" s="24">
        <v>0</v>
      </c>
      <c r="BA39" s="24">
        <v>0</v>
      </c>
      <c r="BB39" s="24">
        <v>1</v>
      </c>
    </row>
    <row r="40" spans="2:54" ht="13.8" x14ac:dyDescent="0.3">
      <c r="B40" s="24">
        <v>20</v>
      </c>
      <c r="C40" s="24">
        <v>24</v>
      </c>
      <c r="D40" s="24">
        <v>0</v>
      </c>
      <c r="E40" s="24">
        <v>0</v>
      </c>
      <c r="F40" s="24">
        <v>0</v>
      </c>
      <c r="G40" s="24">
        <v>1</v>
      </c>
      <c r="H40" s="24">
        <v>0</v>
      </c>
      <c r="I40" s="24">
        <v>0</v>
      </c>
      <c r="J40" s="24">
        <v>3430</v>
      </c>
      <c r="K40" s="24">
        <v>3</v>
      </c>
      <c r="L40" s="24">
        <v>0</v>
      </c>
      <c r="M40" s="24">
        <v>1</v>
      </c>
      <c r="N40" s="24">
        <v>0</v>
      </c>
      <c r="O40" s="24">
        <v>0</v>
      </c>
      <c r="P40" s="24">
        <v>0</v>
      </c>
      <c r="Q40" s="24">
        <v>0</v>
      </c>
      <c r="R40" s="24">
        <v>0</v>
      </c>
      <c r="S40" s="24">
        <v>31</v>
      </c>
      <c r="T40" s="24">
        <v>0</v>
      </c>
      <c r="U40" s="24">
        <v>0</v>
      </c>
      <c r="V40" s="24">
        <v>1</v>
      </c>
      <c r="W40" s="24">
        <v>1</v>
      </c>
      <c r="X40" s="24">
        <v>2</v>
      </c>
      <c r="Y40" s="24">
        <v>1</v>
      </c>
      <c r="Z40" s="24">
        <v>0</v>
      </c>
      <c r="AA40" s="24">
        <v>1</v>
      </c>
      <c r="AB40" s="24">
        <v>0</v>
      </c>
      <c r="AC40" s="24">
        <v>0</v>
      </c>
      <c r="AD40" s="24">
        <v>0</v>
      </c>
      <c r="AE40" s="24">
        <v>1</v>
      </c>
      <c r="AF40" s="24">
        <v>0</v>
      </c>
      <c r="AG40" s="24">
        <v>0</v>
      </c>
      <c r="AH40" s="24">
        <v>1</v>
      </c>
      <c r="AI40" s="24">
        <v>0</v>
      </c>
      <c r="AJ40" s="24">
        <v>0</v>
      </c>
      <c r="AK40" s="24">
        <v>0</v>
      </c>
      <c r="AL40" s="24">
        <v>0</v>
      </c>
      <c r="AM40" s="24">
        <v>1</v>
      </c>
      <c r="AN40" s="24">
        <v>0</v>
      </c>
      <c r="AO40" s="24">
        <v>0</v>
      </c>
      <c r="AP40" s="24">
        <v>0</v>
      </c>
      <c r="AQ40" s="24">
        <v>0</v>
      </c>
      <c r="AR40" s="24">
        <v>0</v>
      </c>
      <c r="AS40" s="24">
        <v>0</v>
      </c>
      <c r="AT40" s="24">
        <v>1</v>
      </c>
      <c r="AU40" s="24">
        <v>0</v>
      </c>
      <c r="AV40" s="24">
        <v>1</v>
      </c>
      <c r="AW40" s="24">
        <v>0</v>
      </c>
      <c r="AX40" s="24">
        <v>0</v>
      </c>
      <c r="AY40" s="24">
        <v>0</v>
      </c>
      <c r="AZ40" s="24">
        <v>0</v>
      </c>
      <c r="BA40" s="24">
        <v>1</v>
      </c>
      <c r="BB40" s="24">
        <v>0</v>
      </c>
    </row>
    <row r="41" spans="2:54" ht="13.8" x14ac:dyDescent="0.3">
      <c r="B41" s="24">
        <v>21</v>
      </c>
      <c r="C41" s="24">
        <v>9</v>
      </c>
      <c r="D41" s="24">
        <v>1</v>
      </c>
      <c r="E41" s="24">
        <v>0</v>
      </c>
      <c r="F41" s="24">
        <v>0</v>
      </c>
      <c r="G41" s="24">
        <v>0</v>
      </c>
      <c r="H41" s="24">
        <v>0</v>
      </c>
      <c r="I41" s="24">
        <v>0</v>
      </c>
      <c r="J41" s="24">
        <v>2134</v>
      </c>
      <c r="K41" s="24">
        <v>4</v>
      </c>
      <c r="L41" s="24">
        <v>0</v>
      </c>
      <c r="M41" s="24">
        <v>1</v>
      </c>
      <c r="N41" s="24">
        <v>0</v>
      </c>
      <c r="O41" s="24">
        <v>0</v>
      </c>
      <c r="P41" s="24">
        <v>0</v>
      </c>
      <c r="Q41" s="24">
        <v>0</v>
      </c>
      <c r="R41" s="24">
        <v>0</v>
      </c>
      <c r="S41" s="24">
        <v>48</v>
      </c>
      <c r="T41" s="24">
        <v>0</v>
      </c>
      <c r="U41" s="24">
        <v>0</v>
      </c>
      <c r="V41" s="24">
        <v>1</v>
      </c>
      <c r="W41" s="24">
        <v>3</v>
      </c>
      <c r="X41" s="24">
        <v>1</v>
      </c>
      <c r="Y41" s="24">
        <v>1</v>
      </c>
      <c r="Z41" s="24">
        <v>0</v>
      </c>
      <c r="AA41" s="24">
        <v>1</v>
      </c>
      <c r="AB41" s="24">
        <v>0</v>
      </c>
      <c r="AC41" s="24">
        <v>0</v>
      </c>
      <c r="AD41" s="24">
        <v>0</v>
      </c>
      <c r="AE41" s="24">
        <v>1</v>
      </c>
      <c r="AF41" s="24">
        <v>0</v>
      </c>
      <c r="AG41" s="24">
        <v>0</v>
      </c>
      <c r="AH41" s="24">
        <v>0</v>
      </c>
      <c r="AI41" s="24">
        <v>0</v>
      </c>
      <c r="AJ41" s="24">
        <v>1</v>
      </c>
      <c r="AK41" s="24">
        <v>1</v>
      </c>
      <c r="AL41" s="24">
        <v>0</v>
      </c>
      <c r="AM41" s="24">
        <v>0</v>
      </c>
      <c r="AN41" s="24">
        <v>0</v>
      </c>
      <c r="AO41" s="24">
        <v>0</v>
      </c>
      <c r="AP41" s="24">
        <v>0</v>
      </c>
      <c r="AQ41" s="24">
        <v>0</v>
      </c>
      <c r="AR41" s="24">
        <v>1</v>
      </c>
      <c r="AS41" s="24">
        <v>0</v>
      </c>
      <c r="AT41" s="24">
        <v>0</v>
      </c>
      <c r="AU41" s="24">
        <v>0</v>
      </c>
      <c r="AV41" s="24">
        <v>0</v>
      </c>
      <c r="AW41" s="24">
        <v>0</v>
      </c>
      <c r="AX41" s="24">
        <v>1</v>
      </c>
      <c r="AY41" s="24">
        <v>0</v>
      </c>
      <c r="AZ41" s="24">
        <v>0</v>
      </c>
      <c r="BA41" s="24">
        <v>1</v>
      </c>
      <c r="BB41" s="24">
        <v>0</v>
      </c>
    </row>
    <row r="42" spans="2:54" ht="13.8" x14ac:dyDescent="0.3">
      <c r="B42" s="24">
        <v>22</v>
      </c>
      <c r="C42" s="24">
        <v>6</v>
      </c>
      <c r="D42" s="24">
        <v>0</v>
      </c>
      <c r="E42" s="24">
        <v>0</v>
      </c>
      <c r="F42" s="24">
        <v>0</v>
      </c>
      <c r="G42" s="24">
        <v>1</v>
      </c>
      <c r="H42" s="24">
        <v>0</v>
      </c>
      <c r="I42" s="24">
        <v>0</v>
      </c>
      <c r="J42" s="24">
        <v>2647</v>
      </c>
      <c r="K42" s="24">
        <v>2</v>
      </c>
      <c r="L42" s="24">
        <v>0</v>
      </c>
      <c r="M42" s="24">
        <v>1</v>
      </c>
      <c r="N42" s="24">
        <v>0</v>
      </c>
      <c r="O42" s="24">
        <v>0</v>
      </c>
      <c r="P42" s="24">
        <v>0</v>
      </c>
      <c r="Q42" s="24">
        <v>1</v>
      </c>
      <c r="R42" s="24">
        <v>0</v>
      </c>
      <c r="S42" s="24">
        <v>44</v>
      </c>
      <c r="T42" s="24">
        <v>0</v>
      </c>
      <c r="U42" s="24">
        <v>1</v>
      </c>
      <c r="V42" s="24">
        <v>0</v>
      </c>
      <c r="W42" s="24">
        <v>1</v>
      </c>
      <c r="X42" s="24">
        <v>2</v>
      </c>
      <c r="Y42" s="24">
        <v>0</v>
      </c>
      <c r="Z42" s="24">
        <v>0</v>
      </c>
      <c r="AA42" s="24">
        <v>1</v>
      </c>
      <c r="AB42" s="24">
        <v>1</v>
      </c>
      <c r="AC42" s="24">
        <v>0</v>
      </c>
      <c r="AD42" s="24">
        <v>0</v>
      </c>
      <c r="AE42" s="24">
        <v>0</v>
      </c>
      <c r="AF42" s="24">
        <v>0</v>
      </c>
      <c r="AG42" s="24">
        <v>0</v>
      </c>
      <c r="AH42" s="24">
        <v>1</v>
      </c>
      <c r="AI42" s="24">
        <v>0</v>
      </c>
      <c r="AJ42" s="24">
        <v>0</v>
      </c>
      <c r="AK42" s="24">
        <v>0</v>
      </c>
      <c r="AL42" s="24">
        <v>0</v>
      </c>
      <c r="AM42" s="24">
        <v>1</v>
      </c>
      <c r="AN42" s="24">
        <v>0</v>
      </c>
      <c r="AO42" s="24">
        <v>0</v>
      </c>
      <c r="AP42" s="24">
        <v>0</v>
      </c>
      <c r="AQ42" s="24">
        <v>0</v>
      </c>
      <c r="AR42" s="24">
        <v>1</v>
      </c>
      <c r="AS42" s="24">
        <v>0</v>
      </c>
      <c r="AT42" s="24">
        <v>0</v>
      </c>
      <c r="AU42" s="24">
        <v>0</v>
      </c>
      <c r="AV42" s="24">
        <v>0</v>
      </c>
      <c r="AW42" s="24">
        <v>1</v>
      </c>
      <c r="AX42" s="24">
        <v>0</v>
      </c>
      <c r="AY42" s="24">
        <v>0</v>
      </c>
      <c r="AZ42" s="24">
        <v>0</v>
      </c>
      <c r="BA42" s="24">
        <v>1</v>
      </c>
      <c r="BB42" s="24">
        <v>0</v>
      </c>
    </row>
    <row r="43" spans="2:54" ht="13.8" x14ac:dyDescent="0.3">
      <c r="B43" s="24">
        <v>23</v>
      </c>
      <c r="C43" s="24">
        <v>10</v>
      </c>
      <c r="D43" s="24">
        <v>1</v>
      </c>
      <c r="E43" s="24">
        <v>0</v>
      </c>
      <c r="F43" s="24">
        <v>0</v>
      </c>
      <c r="G43" s="24">
        <v>0</v>
      </c>
      <c r="H43" s="24">
        <v>0</v>
      </c>
      <c r="I43" s="24">
        <v>0</v>
      </c>
      <c r="J43" s="24">
        <v>2241</v>
      </c>
      <c r="K43" s="24">
        <v>1</v>
      </c>
      <c r="L43" s="24">
        <v>0</v>
      </c>
      <c r="M43" s="24">
        <v>1</v>
      </c>
      <c r="N43" s="24">
        <v>0</v>
      </c>
      <c r="O43" s="24">
        <v>0</v>
      </c>
      <c r="P43" s="24">
        <v>0</v>
      </c>
      <c r="Q43" s="24">
        <v>1</v>
      </c>
      <c r="R43" s="24">
        <v>0</v>
      </c>
      <c r="S43" s="24">
        <v>48</v>
      </c>
      <c r="T43" s="24">
        <v>0</v>
      </c>
      <c r="U43" s="24">
        <v>1</v>
      </c>
      <c r="V43" s="24">
        <v>0</v>
      </c>
      <c r="W43" s="24">
        <v>2</v>
      </c>
      <c r="X43" s="24">
        <v>2</v>
      </c>
      <c r="Y43" s="24">
        <v>0</v>
      </c>
      <c r="Z43" s="24">
        <v>1</v>
      </c>
      <c r="AA43" s="24">
        <v>1</v>
      </c>
      <c r="AB43" s="24">
        <v>1</v>
      </c>
      <c r="AC43" s="24">
        <v>0</v>
      </c>
      <c r="AD43" s="24">
        <v>0</v>
      </c>
      <c r="AE43" s="24">
        <v>0</v>
      </c>
      <c r="AF43" s="24">
        <v>0</v>
      </c>
      <c r="AG43" s="24">
        <v>0</v>
      </c>
      <c r="AH43" s="24">
        <v>0</v>
      </c>
      <c r="AI43" s="24">
        <v>0</v>
      </c>
      <c r="AJ43" s="24">
        <v>1</v>
      </c>
      <c r="AK43" s="24">
        <v>1</v>
      </c>
      <c r="AL43" s="24">
        <v>0</v>
      </c>
      <c r="AM43" s="24">
        <v>0</v>
      </c>
      <c r="AN43" s="24">
        <v>0</v>
      </c>
      <c r="AO43" s="24">
        <v>0</v>
      </c>
      <c r="AP43" s="24">
        <v>0</v>
      </c>
      <c r="AQ43" s="24">
        <v>1</v>
      </c>
      <c r="AR43" s="24">
        <v>0</v>
      </c>
      <c r="AS43" s="24">
        <v>0</v>
      </c>
      <c r="AT43" s="24">
        <v>0</v>
      </c>
      <c r="AU43" s="24">
        <v>0</v>
      </c>
      <c r="AV43" s="24">
        <v>0</v>
      </c>
      <c r="AW43" s="24">
        <v>1</v>
      </c>
      <c r="AX43" s="24">
        <v>0</v>
      </c>
      <c r="AY43" s="24">
        <v>0</v>
      </c>
      <c r="AZ43" s="24">
        <v>1</v>
      </c>
      <c r="BA43" s="24">
        <v>0</v>
      </c>
      <c r="BB43" s="24">
        <v>0</v>
      </c>
    </row>
    <row r="44" spans="2:54" ht="13.8" x14ac:dyDescent="0.3">
      <c r="B44" s="24">
        <v>24</v>
      </c>
      <c r="C44" s="24">
        <v>12</v>
      </c>
      <c r="D44" s="24">
        <v>0</v>
      </c>
      <c r="E44" s="24">
        <v>1</v>
      </c>
      <c r="F44" s="24">
        <v>0</v>
      </c>
      <c r="G44" s="24">
        <v>0</v>
      </c>
      <c r="H44" s="24">
        <v>0</v>
      </c>
      <c r="I44" s="24">
        <v>0</v>
      </c>
      <c r="J44" s="24">
        <v>1804</v>
      </c>
      <c r="K44" s="24">
        <v>3</v>
      </c>
      <c r="L44" s="24">
        <v>0</v>
      </c>
      <c r="M44" s="24">
        <v>1</v>
      </c>
      <c r="N44" s="24">
        <v>0</v>
      </c>
      <c r="O44" s="24">
        <v>0</v>
      </c>
      <c r="P44" s="24">
        <v>0</v>
      </c>
      <c r="Q44" s="24">
        <v>0</v>
      </c>
      <c r="R44" s="24">
        <v>0</v>
      </c>
      <c r="S44" s="24">
        <v>44</v>
      </c>
      <c r="T44" s="24">
        <v>0</v>
      </c>
      <c r="U44" s="24">
        <v>0</v>
      </c>
      <c r="V44" s="24">
        <v>1</v>
      </c>
      <c r="W44" s="24">
        <v>1</v>
      </c>
      <c r="X44" s="24">
        <v>1</v>
      </c>
      <c r="Y44" s="24">
        <v>0</v>
      </c>
      <c r="Z44" s="24">
        <v>0</v>
      </c>
      <c r="AA44" s="24">
        <v>1</v>
      </c>
      <c r="AB44" s="24">
        <v>0</v>
      </c>
      <c r="AC44" s="24">
        <v>1</v>
      </c>
      <c r="AD44" s="24">
        <v>0</v>
      </c>
      <c r="AE44" s="24">
        <v>0</v>
      </c>
      <c r="AF44" s="24">
        <v>0</v>
      </c>
      <c r="AG44" s="24">
        <v>0</v>
      </c>
      <c r="AH44" s="24">
        <v>0</v>
      </c>
      <c r="AI44" s="24">
        <v>0</v>
      </c>
      <c r="AJ44" s="24">
        <v>1</v>
      </c>
      <c r="AK44" s="24">
        <v>0</v>
      </c>
      <c r="AL44" s="24">
        <v>1</v>
      </c>
      <c r="AM44" s="24">
        <v>0</v>
      </c>
      <c r="AN44" s="24">
        <v>0</v>
      </c>
      <c r="AO44" s="24">
        <v>0</v>
      </c>
      <c r="AP44" s="24">
        <v>0</v>
      </c>
      <c r="AQ44" s="24">
        <v>1</v>
      </c>
      <c r="AR44" s="24">
        <v>0</v>
      </c>
      <c r="AS44" s="24">
        <v>0</v>
      </c>
      <c r="AT44" s="24">
        <v>0</v>
      </c>
      <c r="AU44" s="24">
        <v>0</v>
      </c>
      <c r="AV44" s="24">
        <v>0</v>
      </c>
      <c r="AW44" s="24">
        <v>0</v>
      </c>
      <c r="AX44" s="24">
        <v>1</v>
      </c>
      <c r="AY44" s="24">
        <v>0</v>
      </c>
      <c r="AZ44" s="24">
        <v>0</v>
      </c>
      <c r="BA44" s="24">
        <v>1</v>
      </c>
      <c r="BB44" s="24">
        <v>0</v>
      </c>
    </row>
    <row r="45" spans="2:54" ht="13.8" x14ac:dyDescent="0.3">
      <c r="B45" s="24">
        <v>25</v>
      </c>
      <c r="C45" s="24">
        <v>10</v>
      </c>
      <c r="D45" s="24">
        <v>0</v>
      </c>
      <c r="E45" s="24">
        <v>0</v>
      </c>
      <c r="F45" s="24">
        <v>1</v>
      </c>
      <c r="G45" s="24">
        <v>0</v>
      </c>
      <c r="H45" s="24">
        <v>0</v>
      </c>
      <c r="I45" s="24">
        <v>0</v>
      </c>
      <c r="J45" s="24">
        <v>2069</v>
      </c>
      <c r="K45" s="24">
        <v>2</v>
      </c>
      <c r="L45" s="24">
        <v>0</v>
      </c>
      <c r="M45" s="24">
        <v>0</v>
      </c>
      <c r="N45" s="24">
        <v>1</v>
      </c>
      <c r="O45" s="24">
        <v>0</v>
      </c>
      <c r="P45" s="24">
        <v>0</v>
      </c>
      <c r="Q45" s="24">
        <v>0</v>
      </c>
      <c r="R45" s="24">
        <v>0</v>
      </c>
      <c r="S45" s="24">
        <v>26</v>
      </c>
      <c r="T45" s="24">
        <v>0</v>
      </c>
      <c r="U45" s="24">
        <v>0</v>
      </c>
      <c r="V45" s="24">
        <v>1</v>
      </c>
      <c r="W45" s="24">
        <v>2</v>
      </c>
      <c r="X45" s="24">
        <v>1</v>
      </c>
      <c r="Y45" s="24">
        <v>0</v>
      </c>
      <c r="Z45" s="24">
        <v>1</v>
      </c>
      <c r="AA45" s="24">
        <v>1</v>
      </c>
      <c r="AB45" s="24">
        <v>0</v>
      </c>
      <c r="AC45" s="24">
        <v>0</v>
      </c>
      <c r="AD45" s="24">
        <v>0</v>
      </c>
      <c r="AE45" s="24">
        <v>1</v>
      </c>
      <c r="AF45" s="24">
        <v>0</v>
      </c>
      <c r="AG45" s="24">
        <v>0</v>
      </c>
      <c r="AH45" s="24">
        <v>0</v>
      </c>
      <c r="AI45" s="24">
        <v>0</v>
      </c>
      <c r="AJ45" s="24">
        <v>1</v>
      </c>
      <c r="AK45" s="24">
        <v>0</v>
      </c>
      <c r="AL45" s="24">
        <v>0</v>
      </c>
      <c r="AM45" s="24">
        <v>0</v>
      </c>
      <c r="AN45" s="24">
        <v>0</v>
      </c>
      <c r="AO45" s="24">
        <v>1</v>
      </c>
      <c r="AP45" s="24">
        <v>0</v>
      </c>
      <c r="AQ45" s="24">
        <v>0</v>
      </c>
      <c r="AR45" s="24">
        <v>1</v>
      </c>
      <c r="AS45" s="24">
        <v>0</v>
      </c>
      <c r="AT45" s="24">
        <v>0</v>
      </c>
      <c r="AU45" s="24">
        <v>1</v>
      </c>
      <c r="AV45" s="24">
        <v>0</v>
      </c>
      <c r="AW45" s="24">
        <v>0</v>
      </c>
      <c r="AX45" s="24">
        <v>0</v>
      </c>
      <c r="AY45" s="24">
        <v>0</v>
      </c>
      <c r="AZ45" s="24">
        <v>0</v>
      </c>
      <c r="BA45" s="24">
        <v>1</v>
      </c>
      <c r="BB45" s="24">
        <v>0</v>
      </c>
    </row>
    <row r="46" spans="2:54" ht="13.8" x14ac:dyDescent="0.3">
      <c r="B46" s="24">
        <v>26</v>
      </c>
      <c r="C46" s="24">
        <v>6</v>
      </c>
      <c r="D46" s="24">
        <v>0</v>
      </c>
      <c r="E46" s="24">
        <v>0</v>
      </c>
      <c r="F46" s="24">
        <v>1</v>
      </c>
      <c r="G46" s="24">
        <v>0</v>
      </c>
      <c r="H46" s="24">
        <v>0</v>
      </c>
      <c r="I46" s="24">
        <v>0</v>
      </c>
      <c r="J46" s="24">
        <v>1374</v>
      </c>
      <c r="K46" s="24">
        <v>1</v>
      </c>
      <c r="L46" s="24">
        <v>0</v>
      </c>
      <c r="M46" s="24">
        <v>1</v>
      </c>
      <c r="N46" s="24">
        <v>0</v>
      </c>
      <c r="O46" s="24">
        <v>0</v>
      </c>
      <c r="P46" s="24">
        <v>0</v>
      </c>
      <c r="Q46" s="24">
        <v>1</v>
      </c>
      <c r="R46" s="24">
        <v>0</v>
      </c>
      <c r="S46" s="24">
        <v>36</v>
      </c>
      <c r="T46" s="24">
        <v>1</v>
      </c>
      <c r="U46" s="24">
        <v>0</v>
      </c>
      <c r="V46" s="24">
        <v>1</v>
      </c>
      <c r="W46" s="24">
        <v>1</v>
      </c>
      <c r="X46" s="24">
        <v>1</v>
      </c>
      <c r="Y46" s="24">
        <v>1</v>
      </c>
      <c r="Z46" s="24">
        <v>0</v>
      </c>
      <c r="AA46" s="24">
        <v>1</v>
      </c>
      <c r="AB46" s="24">
        <v>1</v>
      </c>
      <c r="AC46" s="24">
        <v>0</v>
      </c>
      <c r="AD46" s="24">
        <v>0</v>
      </c>
      <c r="AE46" s="24">
        <v>0</v>
      </c>
      <c r="AF46" s="24">
        <v>0</v>
      </c>
      <c r="AG46" s="24">
        <v>0</v>
      </c>
      <c r="AH46" s="24">
        <v>1</v>
      </c>
      <c r="AI46" s="24">
        <v>0</v>
      </c>
      <c r="AJ46" s="24">
        <v>0</v>
      </c>
      <c r="AK46" s="24">
        <v>1</v>
      </c>
      <c r="AL46" s="24">
        <v>0</v>
      </c>
      <c r="AM46" s="24">
        <v>0</v>
      </c>
      <c r="AN46" s="24">
        <v>0</v>
      </c>
      <c r="AO46" s="24">
        <v>0</v>
      </c>
      <c r="AP46" s="24">
        <v>0</v>
      </c>
      <c r="AQ46" s="24">
        <v>0</v>
      </c>
      <c r="AR46" s="24">
        <v>1</v>
      </c>
      <c r="AS46" s="24">
        <v>0</v>
      </c>
      <c r="AT46" s="24">
        <v>0</v>
      </c>
      <c r="AU46" s="24">
        <v>0</v>
      </c>
      <c r="AV46" s="24">
        <v>1</v>
      </c>
      <c r="AW46" s="24">
        <v>0</v>
      </c>
      <c r="AX46" s="24">
        <v>0</v>
      </c>
      <c r="AY46" s="24">
        <v>0</v>
      </c>
      <c r="AZ46" s="24">
        <v>1</v>
      </c>
      <c r="BA46" s="24">
        <v>0</v>
      </c>
      <c r="BB46" s="24">
        <v>0</v>
      </c>
    </row>
    <row r="47" spans="2:54" ht="13.8" x14ac:dyDescent="0.3">
      <c r="B47" s="24">
        <v>27</v>
      </c>
      <c r="C47" s="24">
        <v>6</v>
      </c>
      <c r="D47" s="24">
        <v>0</v>
      </c>
      <c r="E47" s="24">
        <v>0</v>
      </c>
      <c r="F47" s="24">
        <v>0</v>
      </c>
      <c r="G47" s="24">
        <v>1</v>
      </c>
      <c r="H47" s="24">
        <v>0</v>
      </c>
      <c r="I47" s="24">
        <v>0</v>
      </c>
      <c r="J47" s="24">
        <v>426</v>
      </c>
      <c r="K47" s="24">
        <v>4</v>
      </c>
      <c r="L47" s="24">
        <v>0</v>
      </c>
      <c r="M47" s="24">
        <v>0</v>
      </c>
      <c r="N47" s="24">
        <v>1</v>
      </c>
      <c r="O47" s="24">
        <v>0</v>
      </c>
      <c r="P47" s="24">
        <v>0</v>
      </c>
      <c r="Q47" s="24">
        <v>0</v>
      </c>
      <c r="R47" s="24">
        <v>0</v>
      </c>
      <c r="S47" s="24">
        <v>39</v>
      </c>
      <c r="T47" s="24">
        <v>0</v>
      </c>
      <c r="U47" s="24">
        <v>0</v>
      </c>
      <c r="V47" s="24">
        <v>1</v>
      </c>
      <c r="W47" s="24">
        <v>1</v>
      </c>
      <c r="X47" s="24">
        <v>1</v>
      </c>
      <c r="Y47" s="24">
        <v>0</v>
      </c>
      <c r="Z47" s="24">
        <v>0</v>
      </c>
      <c r="AA47" s="24">
        <v>1</v>
      </c>
      <c r="AB47" s="24">
        <v>0</v>
      </c>
      <c r="AC47" s="24">
        <v>0</v>
      </c>
      <c r="AD47" s="24">
        <v>0</v>
      </c>
      <c r="AE47" s="24">
        <v>1</v>
      </c>
      <c r="AF47" s="24">
        <v>1</v>
      </c>
      <c r="AG47" s="24">
        <v>0</v>
      </c>
      <c r="AH47" s="24">
        <v>0</v>
      </c>
      <c r="AI47" s="24">
        <v>0</v>
      </c>
      <c r="AJ47" s="24">
        <v>0</v>
      </c>
      <c r="AK47" s="24">
        <v>1</v>
      </c>
      <c r="AL47" s="24">
        <v>0</v>
      </c>
      <c r="AM47" s="24">
        <v>0</v>
      </c>
      <c r="AN47" s="24">
        <v>0</v>
      </c>
      <c r="AO47" s="24">
        <v>0</v>
      </c>
      <c r="AP47" s="24">
        <v>0</v>
      </c>
      <c r="AQ47" s="24">
        <v>0</v>
      </c>
      <c r="AR47" s="24">
        <v>0</v>
      </c>
      <c r="AS47" s="24">
        <v>0</v>
      </c>
      <c r="AT47" s="24">
        <v>1</v>
      </c>
      <c r="AU47" s="24">
        <v>0</v>
      </c>
      <c r="AV47" s="24">
        <v>0</v>
      </c>
      <c r="AW47" s="24">
        <v>0</v>
      </c>
      <c r="AX47" s="24">
        <v>1</v>
      </c>
      <c r="AY47" s="24">
        <v>0</v>
      </c>
      <c r="AZ47" s="24">
        <v>1</v>
      </c>
      <c r="BA47" s="24">
        <v>0</v>
      </c>
      <c r="BB47" s="24">
        <v>0</v>
      </c>
    </row>
    <row r="48" spans="2:54" ht="13.8" x14ac:dyDescent="0.3">
      <c r="B48" s="24">
        <v>28</v>
      </c>
      <c r="C48" s="24">
        <v>12</v>
      </c>
      <c r="D48" s="24">
        <v>0</v>
      </c>
      <c r="E48" s="24">
        <v>0</v>
      </c>
      <c r="F48" s="24">
        <v>0</v>
      </c>
      <c r="G48" s="24">
        <v>1</v>
      </c>
      <c r="H48" s="24">
        <v>0</v>
      </c>
      <c r="I48" s="24">
        <v>0</v>
      </c>
      <c r="J48" s="24">
        <v>409</v>
      </c>
      <c r="K48" s="24">
        <v>3</v>
      </c>
      <c r="L48" s="24">
        <v>0</v>
      </c>
      <c r="M48" s="24">
        <v>0</v>
      </c>
      <c r="N48" s="24">
        <v>0</v>
      </c>
      <c r="O48" s="24">
        <v>0</v>
      </c>
      <c r="P48" s="24">
        <v>0</v>
      </c>
      <c r="Q48" s="24">
        <v>1</v>
      </c>
      <c r="R48" s="24">
        <v>0</v>
      </c>
      <c r="S48" s="24">
        <v>42</v>
      </c>
      <c r="T48" s="24">
        <v>0</v>
      </c>
      <c r="U48" s="24">
        <v>1</v>
      </c>
      <c r="V48" s="24">
        <v>0</v>
      </c>
      <c r="W48" s="24">
        <v>2</v>
      </c>
      <c r="X48" s="24">
        <v>1</v>
      </c>
      <c r="Y48" s="24">
        <v>0</v>
      </c>
      <c r="Z48" s="24">
        <v>0</v>
      </c>
      <c r="AA48" s="24">
        <v>1</v>
      </c>
      <c r="AB48" s="24">
        <v>0</v>
      </c>
      <c r="AC48" s="24">
        <v>0</v>
      </c>
      <c r="AD48" s="24">
        <v>1</v>
      </c>
      <c r="AE48" s="24">
        <v>0</v>
      </c>
      <c r="AF48" s="24">
        <v>0</v>
      </c>
      <c r="AG48" s="24">
        <v>1</v>
      </c>
      <c r="AH48" s="24">
        <v>0</v>
      </c>
      <c r="AI48" s="24">
        <v>0</v>
      </c>
      <c r="AJ48" s="24">
        <v>0</v>
      </c>
      <c r="AK48" s="24">
        <v>0</v>
      </c>
      <c r="AL48" s="24">
        <v>0</v>
      </c>
      <c r="AM48" s="24">
        <v>0</v>
      </c>
      <c r="AN48" s="24">
        <v>1</v>
      </c>
      <c r="AO48" s="24">
        <v>0</v>
      </c>
      <c r="AP48" s="24">
        <v>0</v>
      </c>
      <c r="AQ48" s="24">
        <v>0</v>
      </c>
      <c r="AR48" s="24">
        <v>1</v>
      </c>
      <c r="AS48" s="24">
        <v>0</v>
      </c>
      <c r="AT48" s="24">
        <v>0</v>
      </c>
      <c r="AU48" s="24">
        <v>0</v>
      </c>
      <c r="AV48" s="24">
        <v>0</v>
      </c>
      <c r="AW48" s="24">
        <v>1</v>
      </c>
      <c r="AX48" s="24">
        <v>0</v>
      </c>
      <c r="AY48" s="24">
        <v>0</v>
      </c>
      <c r="AZ48" s="24">
        <v>0</v>
      </c>
      <c r="BA48" s="24">
        <v>1</v>
      </c>
      <c r="BB48" s="24">
        <v>0</v>
      </c>
    </row>
    <row r="49" spans="2:54" ht="13.8" x14ac:dyDescent="0.3">
      <c r="B49" s="24">
        <v>29</v>
      </c>
      <c r="C49" s="24">
        <v>7</v>
      </c>
      <c r="D49" s="24">
        <v>0</v>
      </c>
      <c r="E49" s="24">
        <v>0</v>
      </c>
      <c r="F49" s="24">
        <v>0</v>
      </c>
      <c r="G49" s="24">
        <v>1</v>
      </c>
      <c r="H49" s="24">
        <v>0</v>
      </c>
      <c r="I49" s="24">
        <v>0</v>
      </c>
      <c r="J49" s="24">
        <v>2415</v>
      </c>
      <c r="K49" s="24">
        <v>3</v>
      </c>
      <c r="L49" s="24">
        <v>0</v>
      </c>
      <c r="M49" s="24">
        <v>1</v>
      </c>
      <c r="N49" s="24">
        <v>0</v>
      </c>
      <c r="O49" s="24">
        <v>0</v>
      </c>
      <c r="P49" s="24">
        <v>1</v>
      </c>
      <c r="Q49" s="24">
        <v>1</v>
      </c>
      <c r="R49" s="24">
        <v>0</v>
      </c>
      <c r="S49" s="24">
        <v>34</v>
      </c>
      <c r="T49" s="24">
        <v>0</v>
      </c>
      <c r="U49" s="24">
        <v>0</v>
      </c>
      <c r="V49" s="24">
        <v>1</v>
      </c>
      <c r="W49" s="24">
        <v>1</v>
      </c>
      <c r="X49" s="24">
        <v>1</v>
      </c>
      <c r="Y49" s="24">
        <v>0</v>
      </c>
      <c r="Z49" s="24">
        <v>0</v>
      </c>
      <c r="AA49" s="24">
        <v>1</v>
      </c>
      <c r="AB49" s="24">
        <v>0</v>
      </c>
      <c r="AC49" s="24">
        <v>1</v>
      </c>
      <c r="AD49" s="24">
        <v>0</v>
      </c>
      <c r="AE49" s="24">
        <v>0</v>
      </c>
      <c r="AF49" s="24">
        <v>0</v>
      </c>
      <c r="AG49" s="24">
        <v>0</v>
      </c>
      <c r="AH49" s="24">
        <v>1</v>
      </c>
      <c r="AI49" s="24">
        <v>0</v>
      </c>
      <c r="AJ49" s="24">
        <v>0</v>
      </c>
      <c r="AK49" s="24">
        <v>1</v>
      </c>
      <c r="AL49" s="24">
        <v>0</v>
      </c>
      <c r="AM49" s="24">
        <v>0</v>
      </c>
      <c r="AN49" s="24">
        <v>0</v>
      </c>
      <c r="AO49" s="24">
        <v>0</v>
      </c>
      <c r="AP49" s="24">
        <v>0</v>
      </c>
      <c r="AQ49" s="24">
        <v>0</v>
      </c>
      <c r="AR49" s="24">
        <v>1</v>
      </c>
      <c r="AS49" s="24">
        <v>0</v>
      </c>
      <c r="AT49" s="24">
        <v>0</v>
      </c>
      <c r="AU49" s="24">
        <v>0</v>
      </c>
      <c r="AV49" s="24">
        <v>1</v>
      </c>
      <c r="AW49" s="24">
        <v>0</v>
      </c>
      <c r="AX49" s="24">
        <v>0</v>
      </c>
      <c r="AY49" s="24">
        <v>0</v>
      </c>
      <c r="AZ49" s="24">
        <v>0</v>
      </c>
      <c r="BA49" s="24">
        <v>1</v>
      </c>
      <c r="BB49" s="24">
        <v>0</v>
      </c>
    </row>
    <row r="50" spans="2:54" ht="13.8" x14ac:dyDescent="0.3">
      <c r="B50" s="24">
        <v>30</v>
      </c>
      <c r="C50" s="24">
        <v>60</v>
      </c>
      <c r="D50" s="24">
        <v>0</v>
      </c>
      <c r="E50" s="24">
        <v>0</v>
      </c>
      <c r="F50" s="24">
        <v>0</v>
      </c>
      <c r="G50" s="24">
        <v>0</v>
      </c>
      <c r="H50" s="24">
        <v>0</v>
      </c>
      <c r="I50" s="24">
        <v>1</v>
      </c>
      <c r="J50" s="24">
        <v>6836</v>
      </c>
      <c r="K50" s="24">
        <v>3</v>
      </c>
      <c r="L50" s="24">
        <v>0</v>
      </c>
      <c r="M50" s="24">
        <v>1</v>
      </c>
      <c r="N50" s="24">
        <v>0</v>
      </c>
      <c r="O50" s="24">
        <v>0</v>
      </c>
      <c r="P50" s="24">
        <v>0</v>
      </c>
      <c r="Q50" s="24">
        <v>0</v>
      </c>
      <c r="R50" s="24">
        <v>1</v>
      </c>
      <c r="S50" s="24">
        <v>63</v>
      </c>
      <c r="T50" s="24">
        <v>0</v>
      </c>
      <c r="U50" s="24">
        <v>0</v>
      </c>
      <c r="V50" s="24">
        <v>1</v>
      </c>
      <c r="W50" s="24">
        <v>2</v>
      </c>
      <c r="X50" s="24">
        <v>1</v>
      </c>
      <c r="Y50" s="24">
        <v>1</v>
      </c>
      <c r="Z50" s="24">
        <v>0</v>
      </c>
      <c r="AA50" s="24">
        <v>0</v>
      </c>
      <c r="AB50" s="24">
        <v>1</v>
      </c>
      <c r="AC50" s="24">
        <v>0</v>
      </c>
      <c r="AD50" s="24">
        <v>0</v>
      </c>
      <c r="AE50" s="24">
        <v>0</v>
      </c>
      <c r="AF50" s="24">
        <v>0</v>
      </c>
      <c r="AG50" s="24">
        <v>0</v>
      </c>
      <c r="AH50" s="24">
        <v>0</v>
      </c>
      <c r="AI50" s="24">
        <v>1</v>
      </c>
      <c r="AJ50" s="24">
        <v>0</v>
      </c>
      <c r="AK50" s="24">
        <v>1</v>
      </c>
      <c r="AL50" s="24">
        <v>0</v>
      </c>
      <c r="AM50" s="24">
        <v>0</v>
      </c>
      <c r="AN50" s="24">
        <v>0</v>
      </c>
      <c r="AO50" s="24">
        <v>0</v>
      </c>
      <c r="AP50" s="24">
        <v>0</v>
      </c>
      <c r="AQ50" s="24">
        <v>0</v>
      </c>
      <c r="AR50" s="24">
        <v>0</v>
      </c>
      <c r="AS50" s="24">
        <v>0</v>
      </c>
      <c r="AT50" s="24">
        <v>1</v>
      </c>
      <c r="AU50" s="24">
        <v>0</v>
      </c>
      <c r="AV50" s="24">
        <v>0</v>
      </c>
      <c r="AW50" s="24">
        <v>0</v>
      </c>
      <c r="AX50" s="24">
        <v>1</v>
      </c>
      <c r="AY50" s="24">
        <v>0</v>
      </c>
      <c r="AZ50" s="24">
        <v>0</v>
      </c>
      <c r="BA50" s="24">
        <v>1</v>
      </c>
      <c r="BB50" s="24">
        <v>0</v>
      </c>
    </row>
    <row r="51" spans="2:54" ht="13.8" x14ac:dyDescent="0.3">
      <c r="B51" s="24">
        <v>31</v>
      </c>
      <c r="C51" s="24">
        <v>18</v>
      </c>
      <c r="D51" s="24">
        <v>0</v>
      </c>
      <c r="E51" s="24">
        <v>0</v>
      </c>
      <c r="F51" s="24">
        <v>0</v>
      </c>
      <c r="G51" s="24">
        <v>0</v>
      </c>
      <c r="H51" s="24">
        <v>0</v>
      </c>
      <c r="I51" s="24">
        <v>1</v>
      </c>
      <c r="J51" s="24">
        <v>1913</v>
      </c>
      <c r="K51" s="24">
        <v>3</v>
      </c>
      <c r="L51" s="24">
        <v>0</v>
      </c>
      <c r="M51" s="24">
        <v>0</v>
      </c>
      <c r="N51" s="24">
        <v>1</v>
      </c>
      <c r="O51" s="24">
        <v>0</v>
      </c>
      <c r="P51" s="24">
        <v>0</v>
      </c>
      <c r="Q51" s="24">
        <v>1</v>
      </c>
      <c r="R51" s="24">
        <v>0</v>
      </c>
      <c r="S51" s="24">
        <v>36</v>
      </c>
      <c r="T51" s="24">
        <v>1</v>
      </c>
      <c r="U51" s="24">
        <v>0</v>
      </c>
      <c r="V51" s="24">
        <v>1</v>
      </c>
      <c r="W51" s="24">
        <v>1</v>
      </c>
      <c r="X51" s="24">
        <v>1</v>
      </c>
      <c r="Y51" s="24">
        <v>1</v>
      </c>
      <c r="Z51" s="24">
        <v>0</v>
      </c>
      <c r="AA51" s="24">
        <v>1</v>
      </c>
      <c r="AB51" s="24">
        <v>0</v>
      </c>
      <c r="AC51" s="24">
        <v>1</v>
      </c>
      <c r="AD51" s="24">
        <v>0</v>
      </c>
      <c r="AE51" s="24">
        <v>0</v>
      </c>
      <c r="AF51" s="24">
        <v>0</v>
      </c>
      <c r="AG51" s="24">
        <v>0</v>
      </c>
      <c r="AH51" s="24">
        <v>1</v>
      </c>
      <c r="AI51" s="24">
        <v>0</v>
      </c>
      <c r="AJ51" s="24">
        <v>0</v>
      </c>
      <c r="AK51" s="24">
        <v>0</v>
      </c>
      <c r="AL51" s="24">
        <v>0</v>
      </c>
      <c r="AM51" s="24">
        <v>0</v>
      </c>
      <c r="AN51" s="24">
        <v>1</v>
      </c>
      <c r="AO51" s="24">
        <v>0</v>
      </c>
      <c r="AP51" s="24">
        <v>0</v>
      </c>
      <c r="AQ51" s="24">
        <v>1</v>
      </c>
      <c r="AR51" s="24">
        <v>0</v>
      </c>
      <c r="AS51" s="24">
        <v>0</v>
      </c>
      <c r="AT51" s="24">
        <v>0</v>
      </c>
      <c r="AU51" s="24">
        <v>0</v>
      </c>
      <c r="AV51" s="24">
        <v>0</v>
      </c>
      <c r="AW51" s="24">
        <v>1</v>
      </c>
      <c r="AX51" s="24">
        <v>0</v>
      </c>
      <c r="AY51" s="24">
        <v>0</v>
      </c>
      <c r="AZ51" s="24">
        <v>0</v>
      </c>
      <c r="BA51" s="24">
        <v>1</v>
      </c>
      <c r="BB51" s="24">
        <v>0</v>
      </c>
    </row>
    <row r="52" spans="2:54" ht="13.8" x14ac:dyDescent="0.3">
      <c r="B52" s="24">
        <v>32</v>
      </c>
      <c r="C52" s="24">
        <v>24</v>
      </c>
      <c r="D52" s="24">
        <v>0</v>
      </c>
      <c r="E52" s="24">
        <v>0</v>
      </c>
      <c r="F52" s="24">
        <v>1</v>
      </c>
      <c r="G52" s="24">
        <v>0</v>
      </c>
      <c r="H52" s="24">
        <v>0</v>
      </c>
      <c r="I52" s="24">
        <v>0</v>
      </c>
      <c r="J52" s="24">
        <v>4020</v>
      </c>
      <c r="K52" s="24">
        <v>2</v>
      </c>
      <c r="L52" s="24">
        <v>0</v>
      </c>
      <c r="M52" s="24">
        <v>1</v>
      </c>
      <c r="N52" s="24">
        <v>0</v>
      </c>
      <c r="O52" s="24">
        <v>0</v>
      </c>
      <c r="P52" s="24">
        <v>0</v>
      </c>
      <c r="Q52" s="24">
        <v>0</v>
      </c>
      <c r="R52" s="24">
        <v>0</v>
      </c>
      <c r="S52" s="24">
        <v>27</v>
      </c>
      <c r="T52" s="24">
        <v>1</v>
      </c>
      <c r="U52" s="24">
        <v>0</v>
      </c>
      <c r="V52" s="24">
        <v>1</v>
      </c>
      <c r="W52" s="24">
        <v>1</v>
      </c>
      <c r="X52" s="24">
        <v>1</v>
      </c>
      <c r="Y52" s="24">
        <v>0</v>
      </c>
      <c r="Z52" s="24">
        <v>0</v>
      </c>
      <c r="AA52" s="24">
        <v>1</v>
      </c>
      <c r="AB52" s="24">
        <v>1</v>
      </c>
      <c r="AC52" s="24">
        <v>0</v>
      </c>
      <c r="AD52" s="24">
        <v>0</v>
      </c>
      <c r="AE52" s="24">
        <v>0</v>
      </c>
      <c r="AF52" s="24">
        <v>0</v>
      </c>
      <c r="AG52" s="24">
        <v>0</v>
      </c>
      <c r="AH52" s="24">
        <v>1</v>
      </c>
      <c r="AI52" s="24">
        <v>0</v>
      </c>
      <c r="AJ52" s="24">
        <v>0</v>
      </c>
      <c r="AK52" s="24">
        <v>1</v>
      </c>
      <c r="AL52" s="24">
        <v>0</v>
      </c>
      <c r="AM52" s="24">
        <v>0</v>
      </c>
      <c r="AN52" s="24">
        <v>0</v>
      </c>
      <c r="AO52" s="24">
        <v>0</v>
      </c>
      <c r="AP52" s="24">
        <v>0</v>
      </c>
      <c r="AQ52" s="24">
        <v>0</v>
      </c>
      <c r="AR52" s="24">
        <v>1</v>
      </c>
      <c r="AS52" s="24">
        <v>0</v>
      </c>
      <c r="AT52" s="24">
        <v>0</v>
      </c>
      <c r="AU52" s="24">
        <v>0</v>
      </c>
      <c r="AV52" s="24">
        <v>1</v>
      </c>
      <c r="AW52" s="24">
        <v>0</v>
      </c>
      <c r="AX52" s="24">
        <v>0</v>
      </c>
      <c r="AY52" s="24">
        <v>0</v>
      </c>
      <c r="AZ52" s="24">
        <v>0</v>
      </c>
      <c r="BA52" s="24">
        <v>1</v>
      </c>
      <c r="BB52" s="24">
        <v>0</v>
      </c>
    </row>
    <row r="53" spans="2:54" ht="13.8" x14ac:dyDescent="0.3">
      <c r="B53" s="24">
        <v>33</v>
      </c>
      <c r="C53" s="24">
        <v>18</v>
      </c>
      <c r="D53" s="24">
        <v>1</v>
      </c>
      <c r="E53" s="24">
        <v>0</v>
      </c>
      <c r="F53" s="24">
        <v>0</v>
      </c>
      <c r="G53" s="24">
        <v>0</v>
      </c>
      <c r="H53" s="24">
        <v>0</v>
      </c>
      <c r="I53" s="24">
        <v>0</v>
      </c>
      <c r="J53" s="24">
        <v>5866</v>
      </c>
      <c r="K53" s="24">
        <v>2</v>
      </c>
      <c r="L53" s="24">
        <v>0</v>
      </c>
      <c r="M53" s="24">
        <v>1</v>
      </c>
      <c r="N53" s="24">
        <v>0</v>
      </c>
      <c r="O53" s="24">
        <v>0</v>
      </c>
      <c r="P53" s="24">
        <v>0</v>
      </c>
      <c r="Q53" s="24">
        <v>0</v>
      </c>
      <c r="R53" s="24">
        <v>0</v>
      </c>
      <c r="S53" s="24">
        <v>30</v>
      </c>
      <c r="T53" s="24">
        <v>0</v>
      </c>
      <c r="U53" s="24">
        <v>0</v>
      </c>
      <c r="V53" s="24">
        <v>1</v>
      </c>
      <c r="W53" s="24">
        <v>2</v>
      </c>
      <c r="X53" s="24">
        <v>1</v>
      </c>
      <c r="Y53" s="24">
        <v>1</v>
      </c>
      <c r="Z53" s="24">
        <v>0</v>
      </c>
      <c r="AA53" s="24">
        <v>1</v>
      </c>
      <c r="AB53" s="24">
        <v>0</v>
      </c>
      <c r="AC53" s="24">
        <v>1</v>
      </c>
      <c r="AD53" s="24">
        <v>0</v>
      </c>
      <c r="AE53" s="24">
        <v>0</v>
      </c>
      <c r="AF53" s="24">
        <v>0</v>
      </c>
      <c r="AG53" s="24">
        <v>0</v>
      </c>
      <c r="AH53" s="24">
        <v>1</v>
      </c>
      <c r="AI53" s="24">
        <v>0</v>
      </c>
      <c r="AJ53" s="24">
        <v>0</v>
      </c>
      <c r="AK53" s="24">
        <v>0</v>
      </c>
      <c r="AL53" s="24">
        <v>1</v>
      </c>
      <c r="AM53" s="24">
        <v>0</v>
      </c>
      <c r="AN53" s="24">
        <v>0</v>
      </c>
      <c r="AO53" s="24">
        <v>0</v>
      </c>
      <c r="AP53" s="24">
        <v>0</v>
      </c>
      <c r="AQ53" s="24">
        <v>0</v>
      </c>
      <c r="AR53" s="24">
        <v>1</v>
      </c>
      <c r="AS53" s="24">
        <v>0</v>
      </c>
      <c r="AT53" s="24">
        <v>0</v>
      </c>
      <c r="AU53" s="24">
        <v>0</v>
      </c>
      <c r="AV53" s="24">
        <v>1</v>
      </c>
      <c r="AW53" s="24">
        <v>0</v>
      </c>
      <c r="AX53" s="24">
        <v>0</v>
      </c>
      <c r="AY53" s="24">
        <v>0</v>
      </c>
      <c r="AZ53" s="24">
        <v>0</v>
      </c>
      <c r="BA53" s="24">
        <v>1</v>
      </c>
      <c r="BB53" s="24">
        <v>0</v>
      </c>
    </row>
    <row r="54" spans="2:54" ht="13.8" x14ac:dyDescent="0.3">
      <c r="B54" s="24">
        <v>34</v>
      </c>
      <c r="C54" s="24">
        <v>12</v>
      </c>
      <c r="D54" s="24">
        <v>0</v>
      </c>
      <c r="E54" s="24">
        <v>0</v>
      </c>
      <c r="F54" s="24">
        <v>0</v>
      </c>
      <c r="G54" s="24">
        <v>0</v>
      </c>
      <c r="H54" s="24">
        <v>0</v>
      </c>
      <c r="I54" s="24">
        <v>1</v>
      </c>
      <c r="J54" s="24">
        <v>1264</v>
      </c>
      <c r="K54" s="24">
        <v>4</v>
      </c>
      <c r="L54" s="24">
        <v>0</v>
      </c>
      <c r="M54" s="24">
        <v>1</v>
      </c>
      <c r="N54" s="24">
        <v>0</v>
      </c>
      <c r="O54" s="24">
        <v>0</v>
      </c>
      <c r="P54" s="24">
        <v>0</v>
      </c>
      <c r="Q54" s="24">
        <v>0</v>
      </c>
      <c r="R54" s="24">
        <v>1</v>
      </c>
      <c r="S54" s="24">
        <v>57</v>
      </c>
      <c r="T54" s="24">
        <v>0</v>
      </c>
      <c r="U54" s="24">
        <v>1</v>
      </c>
      <c r="V54" s="24">
        <v>0</v>
      </c>
      <c r="W54" s="24">
        <v>1</v>
      </c>
      <c r="X54" s="24">
        <v>1</v>
      </c>
      <c r="Y54" s="24">
        <v>0</v>
      </c>
      <c r="Z54" s="24">
        <v>0</v>
      </c>
      <c r="AA54" s="24">
        <v>1</v>
      </c>
      <c r="AB54" s="24">
        <v>0</v>
      </c>
      <c r="AC54" s="24">
        <v>0</v>
      </c>
      <c r="AD54" s="24">
        <v>0</v>
      </c>
      <c r="AE54" s="24">
        <v>1</v>
      </c>
      <c r="AF54" s="24">
        <v>0</v>
      </c>
      <c r="AG54" s="24">
        <v>0</v>
      </c>
      <c r="AH54" s="24">
        <v>0</v>
      </c>
      <c r="AI54" s="24">
        <v>0</v>
      </c>
      <c r="AJ54" s="24">
        <v>1</v>
      </c>
      <c r="AK54" s="24">
        <v>0</v>
      </c>
      <c r="AL54" s="24">
        <v>0</v>
      </c>
      <c r="AM54" s="24">
        <v>0</v>
      </c>
      <c r="AN54" s="24">
        <v>0</v>
      </c>
      <c r="AO54" s="24">
        <v>1</v>
      </c>
      <c r="AP54" s="24">
        <v>0</v>
      </c>
      <c r="AQ54" s="24">
        <v>0</v>
      </c>
      <c r="AR54" s="24">
        <v>0</v>
      </c>
      <c r="AS54" s="24">
        <v>0</v>
      </c>
      <c r="AT54" s="24">
        <v>1</v>
      </c>
      <c r="AU54" s="24">
        <v>0</v>
      </c>
      <c r="AV54" s="24">
        <v>0</v>
      </c>
      <c r="AW54" s="24">
        <v>0</v>
      </c>
      <c r="AX54" s="24">
        <v>1</v>
      </c>
      <c r="AY54" s="24">
        <v>0</v>
      </c>
      <c r="AZ54" s="24">
        <v>1</v>
      </c>
      <c r="BA54" s="24">
        <v>0</v>
      </c>
      <c r="BB54" s="24">
        <v>0</v>
      </c>
    </row>
    <row r="55" spans="2:54" ht="13.8" x14ac:dyDescent="0.3">
      <c r="B55" s="24">
        <v>35</v>
      </c>
      <c r="C55" s="24">
        <v>12</v>
      </c>
      <c r="D55" s="24">
        <v>0</v>
      </c>
      <c r="E55" s="24">
        <v>0</v>
      </c>
      <c r="F55" s="24">
        <v>1</v>
      </c>
      <c r="G55" s="24">
        <v>0</v>
      </c>
      <c r="H55" s="24">
        <v>0</v>
      </c>
      <c r="I55" s="24">
        <v>0</v>
      </c>
      <c r="J55" s="24">
        <v>1474</v>
      </c>
      <c r="K55" s="24">
        <v>4</v>
      </c>
      <c r="L55" s="24">
        <v>0</v>
      </c>
      <c r="M55" s="24">
        <v>0</v>
      </c>
      <c r="N55" s="24">
        <v>0</v>
      </c>
      <c r="O55" s="24">
        <v>0</v>
      </c>
      <c r="P55" s="24">
        <v>0</v>
      </c>
      <c r="Q55" s="24">
        <v>0</v>
      </c>
      <c r="R55" s="24">
        <v>0</v>
      </c>
      <c r="S55" s="24">
        <v>33</v>
      </c>
      <c r="T55" s="24">
        <v>1</v>
      </c>
      <c r="U55" s="24">
        <v>0</v>
      </c>
      <c r="V55" s="24">
        <v>1</v>
      </c>
      <c r="W55" s="24">
        <v>1</v>
      </c>
      <c r="X55" s="24">
        <v>1</v>
      </c>
      <c r="Y55" s="24">
        <v>1</v>
      </c>
      <c r="Z55" s="24">
        <v>0</v>
      </c>
      <c r="AA55" s="24">
        <v>1</v>
      </c>
      <c r="AB55" s="24">
        <v>0</v>
      </c>
      <c r="AC55" s="24">
        <v>0</v>
      </c>
      <c r="AD55" s="24">
        <v>1</v>
      </c>
      <c r="AE55" s="24">
        <v>0</v>
      </c>
      <c r="AF55" s="24">
        <v>0</v>
      </c>
      <c r="AG55" s="24">
        <v>0</v>
      </c>
      <c r="AH55" s="24">
        <v>1</v>
      </c>
      <c r="AI55" s="24">
        <v>0</v>
      </c>
      <c r="AJ55" s="24">
        <v>0</v>
      </c>
      <c r="AK55" s="24">
        <v>1</v>
      </c>
      <c r="AL55" s="24">
        <v>0</v>
      </c>
      <c r="AM55" s="24">
        <v>0</v>
      </c>
      <c r="AN55" s="24">
        <v>0</v>
      </c>
      <c r="AO55" s="24">
        <v>0</v>
      </c>
      <c r="AP55" s="24">
        <v>0</v>
      </c>
      <c r="AQ55" s="24">
        <v>1</v>
      </c>
      <c r="AR55" s="24">
        <v>0</v>
      </c>
      <c r="AS55" s="24">
        <v>0</v>
      </c>
      <c r="AT55" s="24">
        <v>0</v>
      </c>
      <c r="AU55" s="24">
        <v>1</v>
      </c>
      <c r="AV55" s="24">
        <v>0</v>
      </c>
      <c r="AW55" s="24">
        <v>0</v>
      </c>
      <c r="AX55" s="24">
        <v>0</v>
      </c>
      <c r="AY55" s="24">
        <v>0</v>
      </c>
      <c r="AZ55" s="24">
        <v>0</v>
      </c>
      <c r="BA55" s="24">
        <v>0</v>
      </c>
      <c r="BB55" s="24">
        <v>1</v>
      </c>
    </row>
    <row r="56" spans="2:54" ht="13.8" x14ac:dyDescent="0.3">
      <c r="B56" s="24">
        <v>36</v>
      </c>
      <c r="C56" s="24">
        <v>45</v>
      </c>
      <c r="D56" s="24">
        <v>0</v>
      </c>
      <c r="E56" s="24">
        <v>0</v>
      </c>
      <c r="F56" s="24">
        <v>0</v>
      </c>
      <c r="G56" s="24">
        <v>1</v>
      </c>
      <c r="H56" s="24">
        <v>0</v>
      </c>
      <c r="I56" s="24">
        <v>0</v>
      </c>
      <c r="J56" s="24">
        <v>4746</v>
      </c>
      <c r="K56" s="24">
        <v>4</v>
      </c>
      <c r="L56" s="24">
        <v>0</v>
      </c>
      <c r="M56" s="24">
        <v>1</v>
      </c>
      <c r="N56" s="24">
        <v>0</v>
      </c>
      <c r="O56" s="24">
        <v>0</v>
      </c>
      <c r="P56" s="24">
        <v>0</v>
      </c>
      <c r="Q56" s="24">
        <v>0</v>
      </c>
      <c r="R56" s="24">
        <v>0</v>
      </c>
      <c r="S56" s="24">
        <v>25</v>
      </c>
      <c r="T56" s="24">
        <v>0</v>
      </c>
      <c r="U56" s="24">
        <v>0</v>
      </c>
      <c r="V56" s="24">
        <v>1</v>
      </c>
      <c r="W56" s="24">
        <v>2</v>
      </c>
      <c r="X56" s="24">
        <v>1</v>
      </c>
      <c r="Y56" s="24">
        <v>0</v>
      </c>
      <c r="Z56" s="24">
        <v>0</v>
      </c>
      <c r="AA56" s="24">
        <v>0</v>
      </c>
      <c r="AB56" s="24">
        <v>0</v>
      </c>
      <c r="AC56" s="24">
        <v>1</v>
      </c>
      <c r="AD56" s="24">
        <v>0</v>
      </c>
      <c r="AE56" s="24">
        <v>0</v>
      </c>
      <c r="AF56" s="24">
        <v>0</v>
      </c>
      <c r="AG56" s="24">
        <v>0</v>
      </c>
      <c r="AH56" s="24">
        <v>0</v>
      </c>
      <c r="AI56" s="24">
        <v>0</v>
      </c>
      <c r="AJ56" s="24">
        <v>1</v>
      </c>
      <c r="AK56" s="24">
        <v>1</v>
      </c>
      <c r="AL56" s="24">
        <v>0</v>
      </c>
      <c r="AM56" s="24">
        <v>0</v>
      </c>
      <c r="AN56" s="24">
        <v>0</v>
      </c>
      <c r="AO56" s="24">
        <v>0</v>
      </c>
      <c r="AP56" s="24">
        <v>0</v>
      </c>
      <c r="AQ56" s="24">
        <v>1</v>
      </c>
      <c r="AR56" s="24">
        <v>0</v>
      </c>
      <c r="AS56" s="24">
        <v>0</v>
      </c>
      <c r="AT56" s="24">
        <v>0</v>
      </c>
      <c r="AU56" s="24">
        <v>0</v>
      </c>
      <c r="AV56" s="24">
        <v>1</v>
      </c>
      <c r="AW56" s="24">
        <v>0</v>
      </c>
      <c r="AX56" s="24">
        <v>0</v>
      </c>
      <c r="AY56" s="24">
        <v>0</v>
      </c>
      <c r="AZ56" s="24">
        <v>1</v>
      </c>
      <c r="BA56" s="24">
        <v>0</v>
      </c>
      <c r="BB56" s="24">
        <v>0</v>
      </c>
    </row>
    <row r="57" spans="2:54" ht="13.8" x14ac:dyDescent="0.3">
      <c r="B57" s="24">
        <v>37</v>
      </c>
      <c r="C57" s="24">
        <v>48</v>
      </c>
      <c r="D57" s="24">
        <v>0</v>
      </c>
      <c r="E57" s="24">
        <v>0</v>
      </c>
      <c r="F57" s="24">
        <v>0</v>
      </c>
      <c r="G57" s="24">
        <v>0</v>
      </c>
      <c r="H57" s="24">
        <v>1</v>
      </c>
      <c r="I57" s="24">
        <v>0</v>
      </c>
      <c r="J57" s="24">
        <v>6110</v>
      </c>
      <c r="K57" s="24">
        <v>1</v>
      </c>
      <c r="L57" s="24">
        <v>0</v>
      </c>
      <c r="M57" s="24">
        <v>1</v>
      </c>
      <c r="N57" s="24">
        <v>0</v>
      </c>
      <c r="O57" s="24">
        <v>0</v>
      </c>
      <c r="P57" s="24">
        <v>0</v>
      </c>
      <c r="Q57" s="24">
        <v>0</v>
      </c>
      <c r="R57" s="24">
        <v>1</v>
      </c>
      <c r="S57" s="24">
        <v>31</v>
      </c>
      <c r="T57" s="24">
        <v>1</v>
      </c>
      <c r="U57" s="24">
        <v>0</v>
      </c>
      <c r="V57" s="24">
        <v>0</v>
      </c>
      <c r="W57" s="24">
        <v>1</v>
      </c>
      <c r="X57" s="24">
        <v>1</v>
      </c>
      <c r="Y57" s="24">
        <v>1</v>
      </c>
      <c r="Z57" s="24">
        <v>0</v>
      </c>
      <c r="AA57" s="24">
        <v>1</v>
      </c>
      <c r="AB57" s="24">
        <v>0</v>
      </c>
      <c r="AC57" s="24">
        <v>0</v>
      </c>
      <c r="AD57" s="24">
        <v>0</v>
      </c>
      <c r="AE57" s="24">
        <v>1</v>
      </c>
      <c r="AF57" s="24">
        <v>0</v>
      </c>
      <c r="AG57" s="24">
        <v>0</v>
      </c>
      <c r="AH57" s="24">
        <v>0</v>
      </c>
      <c r="AI57" s="24">
        <v>0</v>
      </c>
      <c r="AJ57" s="24">
        <v>1</v>
      </c>
      <c r="AK57" s="24">
        <v>1</v>
      </c>
      <c r="AL57" s="24">
        <v>0</v>
      </c>
      <c r="AM57" s="24">
        <v>0</v>
      </c>
      <c r="AN57" s="24">
        <v>0</v>
      </c>
      <c r="AO57" s="24">
        <v>0</v>
      </c>
      <c r="AP57" s="24">
        <v>0</v>
      </c>
      <c r="AQ57" s="24">
        <v>0</v>
      </c>
      <c r="AR57" s="24">
        <v>1</v>
      </c>
      <c r="AS57" s="24">
        <v>0</v>
      </c>
      <c r="AT57" s="24">
        <v>0</v>
      </c>
      <c r="AU57" s="24">
        <v>0</v>
      </c>
      <c r="AV57" s="24">
        <v>0</v>
      </c>
      <c r="AW57" s="24">
        <v>1</v>
      </c>
      <c r="AX57" s="24">
        <v>0</v>
      </c>
      <c r="AY57" s="24">
        <v>0</v>
      </c>
      <c r="AZ57" s="24">
        <v>0</v>
      </c>
      <c r="BA57" s="24">
        <v>1</v>
      </c>
      <c r="BB57" s="24">
        <v>0</v>
      </c>
    </row>
    <row r="58" spans="2:54" ht="13.8" x14ac:dyDescent="0.3">
      <c r="B58" s="24">
        <v>38</v>
      </c>
      <c r="C58" s="24">
        <v>18</v>
      </c>
      <c r="D58" s="24">
        <v>0</v>
      </c>
      <c r="E58" s="24">
        <v>0</v>
      </c>
      <c r="F58" s="24">
        <v>0</v>
      </c>
      <c r="G58" s="24">
        <v>1</v>
      </c>
      <c r="H58" s="24">
        <v>0</v>
      </c>
      <c r="I58" s="24">
        <v>0</v>
      </c>
      <c r="J58" s="24">
        <v>2100</v>
      </c>
      <c r="K58" s="24">
        <v>4</v>
      </c>
      <c r="L58" s="24">
        <v>0</v>
      </c>
      <c r="M58" s="24">
        <v>1</v>
      </c>
      <c r="N58" s="24">
        <v>0</v>
      </c>
      <c r="O58" s="24">
        <v>1</v>
      </c>
      <c r="P58" s="24">
        <v>0</v>
      </c>
      <c r="Q58" s="24">
        <v>1</v>
      </c>
      <c r="R58" s="24">
        <v>0</v>
      </c>
      <c r="S58" s="24">
        <v>37</v>
      </c>
      <c r="T58" s="24">
        <v>1</v>
      </c>
      <c r="U58" s="24">
        <v>0</v>
      </c>
      <c r="V58" s="24">
        <v>1</v>
      </c>
      <c r="W58" s="24">
        <v>1</v>
      </c>
      <c r="X58" s="24">
        <v>1</v>
      </c>
      <c r="Y58" s="24">
        <v>0</v>
      </c>
      <c r="Z58" s="24">
        <v>0</v>
      </c>
      <c r="AA58" s="24">
        <v>0</v>
      </c>
      <c r="AB58" s="24">
        <v>0</v>
      </c>
      <c r="AC58" s="24">
        <v>0</v>
      </c>
      <c r="AD58" s="24">
        <v>1</v>
      </c>
      <c r="AE58" s="24">
        <v>0</v>
      </c>
      <c r="AF58" s="24">
        <v>0</v>
      </c>
      <c r="AG58" s="24">
        <v>0</v>
      </c>
      <c r="AH58" s="24">
        <v>1</v>
      </c>
      <c r="AI58" s="24">
        <v>0</v>
      </c>
      <c r="AJ58" s="24">
        <v>0</v>
      </c>
      <c r="AK58" s="24">
        <v>1</v>
      </c>
      <c r="AL58" s="24">
        <v>0</v>
      </c>
      <c r="AM58" s="24">
        <v>0</v>
      </c>
      <c r="AN58" s="24">
        <v>0</v>
      </c>
      <c r="AO58" s="24">
        <v>0</v>
      </c>
      <c r="AP58" s="24">
        <v>0</v>
      </c>
      <c r="AQ58" s="24">
        <v>0</v>
      </c>
      <c r="AR58" s="24">
        <v>1</v>
      </c>
      <c r="AS58" s="24">
        <v>0</v>
      </c>
      <c r="AT58" s="24">
        <v>0</v>
      </c>
      <c r="AU58" s="24">
        <v>0</v>
      </c>
      <c r="AV58" s="24">
        <v>1</v>
      </c>
      <c r="AW58" s="24">
        <v>0</v>
      </c>
      <c r="AX58" s="24">
        <v>0</v>
      </c>
      <c r="AY58" s="24">
        <v>0</v>
      </c>
      <c r="AZ58" s="24">
        <v>0</v>
      </c>
      <c r="BA58" s="24">
        <v>1</v>
      </c>
      <c r="BB58" s="24">
        <v>0</v>
      </c>
    </row>
    <row r="59" spans="2:54" ht="13.8" x14ac:dyDescent="0.3">
      <c r="B59" s="24">
        <v>39</v>
      </c>
      <c r="C59" s="24">
        <v>10</v>
      </c>
      <c r="D59" s="24">
        <v>0</v>
      </c>
      <c r="E59" s="24">
        <v>0</v>
      </c>
      <c r="F59" s="24">
        <v>0</v>
      </c>
      <c r="G59" s="24">
        <v>0</v>
      </c>
      <c r="H59" s="24">
        <v>0</v>
      </c>
      <c r="I59" s="24">
        <v>0</v>
      </c>
      <c r="J59" s="24">
        <v>1225</v>
      </c>
      <c r="K59" s="24">
        <v>2</v>
      </c>
      <c r="L59" s="24">
        <v>0</v>
      </c>
      <c r="M59" s="24">
        <v>1</v>
      </c>
      <c r="N59" s="24">
        <v>0</v>
      </c>
      <c r="O59" s="24">
        <v>0</v>
      </c>
      <c r="P59" s="24">
        <v>0</v>
      </c>
      <c r="Q59" s="24">
        <v>0</v>
      </c>
      <c r="R59" s="24">
        <v>0</v>
      </c>
      <c r="S59" s="24">
        <v>37</v>
      </c>
      <c r="T59" s="24">
        <v>0</v>
      </c>
      <c r="U59" s="24">
        <v>0</v>
      </c>
      <c r="V59" s="24">
        <v>1</v>
      </c>
      <c r="W59" s="24">
        <v>1</v>
      </c>
      <c r="X59" s="24">
        <v>1</v>
      </c>
      <c r="Y59" s="24">
        <v>1</v>
      </c>
      <c r="Z59" s="24">
        <v>0</v>
      </c>
      <c r="AA59" s="24">
        <v>1</v>
      </c>
      <c r="AB59" s="24">
        <v>0</v>
      </c>
      <c r="AC59" s="24">
        <v>0</v>
      </c>
      <c r="AD59" s="24">
        <v>1</v>
      </c>
      <c r="AE59" s="24">
        <v>0</v>
      </c>
      <c r="AF59" s="24">
        <v>0</v>
      </c>
      <c r="AG59" s="24">
        <v>0</v>
      </c>
      <c r="AH59" s="24">
        <v>1</v>
      </c>
      <c r="AI59" s="24">
        <v>0</v>
      </c>
      <c r="AJ59" s="24">
        <v>0</v>
      </c>
      <c r="AK59" s="24">
        <v>1</v>
      </c>
      <c r="AL59" s="24">
        <v>0</v>
      </c>
      <c r="AM59" s="24">
        <v>0</v>
      </c>
      <c r="AN59" s="24">
        <v>0</v>
      </c>
      <c r="AO59" s="24">
        <v>0</v>
      </c>
      <c r="AP59" s="24">
        <v>0</v>
      </c>
      <c r="AQ59" s="24">
        <v>0</v>
      </c>
      <c r="AR59" s="24">
        <v>1</v>
      </c>
      <c r="AS59" s="24">
        <v>0</v>
      </c>
      <c r="AT59" s="24">
        <v>0</v>
      </c>
      <c r="AU59" s="24">
        <v>0</v>
      </c>
      <c r="AV59" s="24">
        <v>1</v>
      </c>
      <c r="AW59" s="24">
        <v>0</v>
      </c>
      <c r="AX59" s="24">
        <v>0</v>
      </c>
      <c r="AY59" s="24">
        <v>0</v>
      </c>
      <c r="AZ59" s="24">
        <v>0</v>
      </c>
      <c r="BA59" s="24">
        <v>1</v>
      </c>
      <c r="BB59" s="24">
        <v>0</v>
      </c>
    </row>
    <row r="60" spans="2:54" ht="13.8" x14ac:dyDescent="0.3">
      <c r="B60" s="24">
        <v>40</v>
      </c>
      <c r="C60" s="24">
        <v>9</v>
      </c>
      <c r="D60" s="24">
        <v>0</v>
      </c>
      <c r="E60" s="24">
        <v>0</v>
      </c>
      <c r="F60" s="24">
        <v>0</v>
      </c>
      <c r="G60" s="24">
        <v>1</v>
      </c>
      <c r="H60" s="24">
        <v>0</v>
      </c>
      <c r="I60" s="24">
        <v>0</v>
      </c>
      <c r="J60" s="24">
        <v>458</v>
      </c>
      <c r="K60" s="24">
        <v>4</v>
      </c>
      <c r="L60" s="24">
        <v>0</v>
      </c>
      <c r="M60" s="24">
        <v>1</v>
      </c>
      <c r="N60" s="24">
        <v>0</v>
      </c>
      <c r="O60" s="24">
        <v>0</v>
      </c>
      <c r="P60" s="24">
        <v>0</v>
      </c>
      <c r="Q60" s="24">
        <v>1</v>
      </c>
      <c r="R60" s="24">
        <v>0</v>
      </c>
      <c r="S60" s="24">
        <v>24</v>
      </c>
      <c r="T60" s="24">
        <v>0</v>
      </c>
      <c r="U60" s="24">
        <v>0</v>
      </c>
      <c r="V60" s="24">
        <v>1</v>
      </c>
      <c r="W60" s="24">
        <v>1</v>
      </c>
      <c r="X60" s="24">
        <v>1</v>
      </c>
      <c r="Y60" s="24">
        <v>0</v>
      </c>
      <c r="Z60" s="24">
        <v>0</v>
      </c>
      <c r="AA60" s="24">
        <v>1</v>
      </c>
      <c r="AB60" s="24">
        <v>0</v>
      </c>
      <c r="AC60" s="24">
        <v>1</v>
      </c>
      <c r="AD60" s="24">
        <v>0</v>
      </c>
      <c r="AE60" s="24">
        <v>0</v>
      </c>
      <c r="AF60" s="24">
        <v>0</v>
      </c>
      <c r="AG60" s="24">
        <v>0</v>
      </c>
      <c r="AH60" s="24">
        <v>1</v>
      </c>
      <c r="AI60" s="24">
        <v>0</v>
      </c>
      <c r="AJ60" s="24">
        <v>0</v>
      </c>
      <c r="AK60" s="24">
        <v>1</v>
      </c>
      <c r="AL60" s="24">
        <v>0</v>
      </c>
      <c r="AM60" s="24">
        <v>0</v>
      </c>
      <c r="AN60" s="24">
        <v>0</v>
      </c>
      <c r="AO60" s="24">
        <v>0</v>
      </c>
      <c r="AP60" s="24">
        <v>0</v>
      </c>
      <c r="AQ60" s="24">
        <v>0</v>
      </c>
      <c r="AR60" s="24">
        <v>1</v>
      </c>
      <c r="AS60" s="24">
        <v>0</v>
      </c>
      <c r="AT60" s="24">
        <v>0</v>
      </c>
      <c r="AU60" s="24">
        <v>0</v>
      </c>
      <c r="AV60" s="24">
        <v>0</v>
      </c>
      <c r="AW60" s="24">
        <v>1</v>
      </c>
      <c r="AX60" s="24">
        <v>0</v>
      </c>
      <c r="AY60" s="24">
        <v>0</v>
      </c>
      <c r="AZ60" s="24">
        <v>0</v>
      </c>
      <c r="BA60" s="24">
        <v>1</v>
      </c>
      <c r="BB60" s="24">
        <v>0</v>
      </c>
    </row>
    <row r="61" spans="2:54" ht="13.8" x14ac:dyDescent="0.3">
      <c r="B61" s="24">
        <v>41</v>
      </c>
      <c r="C61" s="24">
        <v>30</v>
      </c>
      <c r="D61" s="24">
        <v>0</v>
      </c>
      <c r="E61" s="24">
        <v>0</v>
      </c>
      <c r="F61" s="24">
        <v>0</v>
      </c>
      <c r="G61" s="24">
        <v>1</v>
      </c>
      <c r="H61" s="24">
        <v>0</v>
      </c>
      <c r="I61" s="24">
        <v>0</v>
      </c>
      <c r="J61" s="24">
        <v>2333</v>
      </c>
      <c r="K61" s="24">
        <v>4</v>
      </c>
      <c r="L61" s="24">
        <v>0</v>
      </c>
      <c r="M61" s="24">
        <v>1</v>
      </c>
      <c r="N61" s="24">
        <v>0</v>
      </c>
      <c r="O61" s="24">
        <v>0</v>
      </c>
      <c r="P61" s="24">
        <v>0</v>
      </c>
      <c r="Q61" s="24">
        <v>0</v>
      </c>
      <c r="R61" s="24">
        <v>0</v>
      </c>
      <c r="S61" s="24">
        <v>30</v>
      </c>
      <c r="T61" s="24">
        <v>1</v>
      </c>
      <c r="U61" s="24">
        <v>0</v>
      </c>
      <c r="V61" s="24">
        <v>1</v>
      </c>
      <c r="W61" s="24">
        <v>1</v>
      </c>
      <c r="X61" s="24">
        <v>1</v>
      </c>
      <c r="Y61" s="24">
        <v>0</v>
      </c>
      <c r="Z61" s="24">
        <v>0</v>
      </c>
      <c r="AA61" s="24">
        <v>1</v>
      </c>
      <c r="AB61" s="24">
        <v>0</v>
      </c>
      <c r="AC61" s="24">
        <v>0</v>
      </c>
      <c r="AD61" s="24">
        <v>0</v>
      </c>
      <c r="AE61" s="24">
        <v>1</v>
      </c>
      <c r="AF61" s="24">
        <v>0</v>
      </c>
      <c r="AG61" s="24">
        <v>0</v>
      </c>
      <c r="AH61" s="24">
        <v>1</v>
      </c>
      <c r="AI61" s="24">
        <v>0</v>
      </c>
      <c r="AJ61" s="24">
        <v>0</v>
      </c>
      <c r="AK61" s="24">
        <v>0</v>
      </c>
      <c r="AL61" s="24">
        <v>0</v>
      </c>
      <c r="AM61" s="24">
        <v>1</v>
      </c>
      <c r="AN61" s="24">
        <v>0</v>
      </c>
      <c r="AO61" s="24">
        <v>0</v>
      </c>
      <c r="AP61" s="24">
        <v>0</v>
      </c>
      <c r="AQ61" s="24">
        <v>0</v>
      </c>
      <c r="AR61" s="24">
        <v>0</v>
      </c>
      <c r="AS61" s="24">
        <v>0</v>
      </c>
      <c r="AT61" s="24">
        <v>1</v>
      </c>
      <c r="AU61" s="24">
        <v>0</v>
      </c>
      <c r="AV61" s="24">
        <v>1</v>
      </c>
      <c r="AW61" s="24">
        <v>0</v>
      </c>
      <c r="AX61" s="24">
        <v>0</v>
      </c>
      <c r="AY61" s="24">
        <v>0</v>
      </c>
      <c r="AZ61" s="24">
        <v>0</v>
      </c>
      <c r="BA61" s="24">
        <v>0</v>
      </c>
      <c r="BB61" s="24">
        <v>1</v>
      </c>
    </row>
    <row r="62" spans="2:54" ht="13.8" x14ac:dyDescent="0.3">
      <c r="B62" s="24">
        <v>42</v>
      </c>
      <c r="C62" s="24">
        <v>12</v>
      </c>
      <c r="D62" s="24">
        <v>0</v>
      </c>
      <c r="E62" s="24">
        <v>0</v>
      </c>
      <c r="F62" s="24">
        <v>0</v>
      </c>
      <c r="G62" s="24">
        <v>1</v>
      </c>
      <c r="H62" s="24">
        <v>0</v>
      </c>
      <c r="I62" s="24">
        <v>0</v>
      </c>
      <c r="J62" s="24">
        <v>1158</v>
      </c>
      <c r="K62" s="24">
        <v>3</v>
      </c>
      <c r="L62" s="24">
        <v>1</v>
      </c>
      <c r="M62" s="24">
        <v>0</v>
      </c>
      <c r="N62" s="24">
        <v>0</v>
      </c>
      <c r="O62" s="24">
        <v>0</v>
      </c>
      <c r="P62" s="24">
        <v>0</v>
      </c>
      <c r="Q62" s="24">
        <v>0</v>
      </c>
      <c r="R62" s="24">
        <v>0</v>
      </c>
      <c r="S62" s="24">
        <v>26</v>
      </c>
      <c r="T62" s="24">
        <v>0</v>
      </c>
      <c r="U62" s="24">
        <v>0</v>
      </c>
      <c r="V62" s="24">
        <v>1</v>
      </c>
      <c r="W62" s="24">
        <v>1</v>
      </c>
      <c r="X62" s="24">
        <v>1</v>
      </c>
      <c r="Y62" s="24">
        <v>1</v>
      </c>
      <c r="Z62" s="24">
        <v>0</v>
      </c>
      <c r="AA62" s="24">
        <v>1</v>
      </c>
      <c r="AB62" s="24">
        <v>0</v>
      </c>
      <c r="AC62" s="24">
        <v>1</v>
      </c>
      <c r="AD62" s="24">
        <v>0</v>
      </c>
      <c r="AE62" s="24">
        <v>0</v>
      </c>
      <c r="AF62" s="24">
        <v>0</v>
      </c>
      <c r="AG62" s="24">
        <v>0</v>
      </c>
      <c r="AH62" s="24">
        <v>1</v>
      </c>
      <c r="AI62" s="24">
        <v>0</v>
      </c>
      <c r="AJ62" s="24">
        <v>0</v>
      </c>
      <c r="AK62" s="24">
        <v>0</v>
      </c>
      <c r="AL62" s="24">
        <v>0</v>
      </c>
      <c r="AM62" s="24">
        <v>1</v>
      </c>
      <c r="AN62" s="24">
        <v>0</v>
      </c>
      <c r="AO62" s="24">
        <v>0</v>
      </c>
      <c r="AP62" s="24">
        <v>0</v>
      </c>
      <c r="AQ62" s="24">
        <v>0</v>
      </c>
      <c r="AR62" s="24">
        <v>1</v>
      </c>
      <c r="AS62" s="24">
        <v>0</v>
      </c>
      <c r="AT62" s="24">
        <v>0</v>
      </c>
      <c r="AU62" s="24">
        <v>1</v>
      </c>
      <c r="AV62" s="24">
        <v>0</v>
      </c>
      <c r="AW62" s="24">
        <v>0</v>
      </c>
      <c r="AX62" s="24">
        <v>0</v>
      </c>
      <c r="AY62" s="24">
        <v>0</v>
      </c>
      <c r="AZ62" s="24">
        <v>0</v>
      </c>
      <c r="BA62" s="24">
        <v>1</v>
      </c>
      <c r="BB62" s="24">
        <v>0</v>
      </c>
    </row>
    <row r="63" spans="2:54" ht="13.8" x14ac:dyDescent="0.3">
      <c r="B63" s="24">
        <v>43</v>
      </c>
      <c r="C63" s="24">
        <v>18</v>
      </c>
      <c r="D63" s="24">
        <v>0</v>
      </c>
      <c r="E63" s="24">
        <v>0</v>
      </c>
      <c r="F63" s="24">
        <v>0</v>
      </c>
      <c r="G63" s="24">
        <v>0</v>
      </c>
      <c r="H63" s="24">
        <v>0</v>
      </c>
      <c r="I63" s="24">
        <v>0</v>
      </c>
      <c r="J63" s="24">
        <v>6204</v>
      </c>
      <c r="K63" s="24">
        <v>2</v>
      </c>
      <c r="L63" s="24">
        <v>0</v>
      </c>
      <c r="M63" s="24">
        <v>1</v>
      </c>
      <c r="N63" s="24">
        <v>0</v>
      </c>
      <c r="O63" s="24">
        <v>0</v>
      </c>
      <c r="P63" s="24">
        <v>0</v>
      </c>
      <c r="Q63" s="24">
        <v>1</v>
      </c>
      <c r="R63" s="24">
        <v>0</v>
      </c>
      <c r="S63" s="24">
        <v>44</v>
      </c>
      <c r="T63" s="24">
        <v>0</v>
      </c>
      <c r="U63" s="24">
        <v>0</v>
      </c>
      <c r="V63" s="24">
        <v>1</v>
      </c>
      <c r="W63" s="24">
        <v>1</v>
      </c>
      <c r="X63" s="24">
        <v>2</v>
      </c>
      <c r="Y63" s="24">
        <v>1</v>
      </c>
      <c r="Z63" s="24">
        <v>0</v>
      </c>
      <c r="AA63" s="24">
        <v>1</v>
      </c>
      <c r="AB63" s="24">
        <v>0</v>
      </c>
      <c r="AC63" s="24">
        <v>1</v>
      </c>
      <c r="AD63" s="24">
        <v>0</v>
      </c>
      <c r="AE63" s="24">
        <v>0</v>
      </c>
      <c r="AF63" s="24">
        <v>0</v>
      </c>
      <c r="AG63" s="24">
        <v>0</v>
      </c>
      <c r="AH63" s="24">
        <v>0</v>
      </c>
      <c r="AI63" s="24">
        <v>1</v>
      </c>
      <c r="AJ63" s="24">
        <v>0</v>
      </c>
      <c r="AK63" s="24">
        <v>1</v>
      </c>
      <c r="AL63" s="24">
        <v>0</v>
      </c>
      <c r="AM63" s="24">
        <v>0</v>
      </c>
      <c r="AN63" s="24">
        <v>0</v>
      </c>
      <c r="AO63" s="24">
        <v>0</v>
      </c>
      <c r="AP63" s="24">
        <v>0</v>
      </c>
      <c r="AQ63" s="24">
        <v>0</v>
      </c>
      <c r="AR63" s="24">
        <v>1</v>
      </c>
      <c r="AS63" s="24">
        <v>0</v>
      </c>
      <c r="AT63" s="24">
        <v>0</v>
      </c>
      <c r="AU63" s="24">
        <v>0</v>
      </c>
      <c r="AV63" s="24">
        <v>0</v>
      </c>
      <c r="AW63" s="24">
        <v>0</v>
      </c>
      <c r="AX63" s="24">
        <v>1</v>
      </c>
      <c r="AY63" s="24">
        <v>0</v>
      </c>
      <c r="AZ63" s="24">
        <v>1</v>
      </c>
      <c r="BA63" s="24">
        <v>0</v>
      </c>
      <c r="BB63" s="24">
        <v>0</v>
      </c>
    </row>
    <row r="64" spans="2:54" ht="13.8" x14ac:dyDescent="0.3">
      <c r="B64" s="24">
        <v>44</v>
      </c>
      <c r="C64" s="24">
        <v>30</v>
      </c>
      <c r="D64" s="24">
        <v>0</v>
      </c>
      <c r="E64" s="24">
        <v>1</v>
      </c>
      <c r="F64" s="24">
        <v>0</v>
      </c>
      <c r="G64" s="24">
        <v>0</v>
      </c>
      <c r="H64" s="24">
        <v>0</v>
      </c>
      <c r="I64" s="24">
        <v>0</v>
      </c>
      <c r="J64" s="24">
        <v>6187</v>
      </c>
      <c r="K64" s="24">
        <v>1</v>
      </c>
      <c r="L64" s="24">
        <v>0</v>
      </c>
      <c r="M64" s="24">
        <v>0</v>
      </c>
      <c r="N64" s="24">
        <v>1</v>
      </c>
      <c r="O64" s="24">
        <v>0</v>
      </c>
      <c r="P64" s="24">
        <v>0</v>
      </c>
      <c r="Q64" s="24">
        <v>0</v>
      </c>
      <c r="R64" s="24">
        <v>0</v>
      </c>
      <c r="S64" s="24">
        <v>24</v>
      </c>
      <c r="T64" s="24">
        <v>0</v>
      </c>
      <c r="U64" s="24">
        <v>1</v>
      </c>
      <c r="V64" s="24">
        <v>0</v>
      </c>
      <c r="W64" s="24">
        <v>2</v>
      </c>
      <c r="X64" s="24">
        <v>1</v>
      </c>
      <c r="Y64" s="24">
        <v>0</v>
      </c>
      <c r="Z64" s="24">
        <v>0</v>
      </c>
      <c r="AA64" s="24">
        <v>1</v>
      </c>
      <c r="AB64" s="24">
        <v>1</v>
      </c>
      <c r="AC64" s="24">
        <v>0</v>
      </c>
      <c r="AD64" s="24">
        <v>0</v>
      </c>
      <c r="AE64" s="24">
        <v>0</v>
      </c>
      <c r="AF64" s="24">
        <v>0</v>
      </c>
      <c r="AG64" s="24">
        <v>0</v>
      </c>
      <c r="AH64" s="24">
        <v>0</v>
      </c>
      <c r="AI64" s="24">
        <v>0</v>
      </c>
      <c r="AJ64" s="24">
        <v>1</v>
      </c>
      <c r="AK64" s="24">
        <v>0</v>
      </c>
      <c r="AL64" s="24">
        <v>1</v>
      </c>
      <c r="AM64" s="24">
        <v>0</v>
      </c>
      <c r="AN64" s="24">
        <v>0</v>
      </c>
      <c r="AO64" s="24">
        <v>0</v>
      </c>
      <c r="AP64" s="24">
        <v>0</v>
      </c>
      <c r="AQ64" s="24">
        <v>0</v>
      </c>
      <c r="AR64" s="24">
        <v>0</v>
      </c>
      <c r="AS64" s="24">
        <v>1</v>
      </c>
      <c r="AT64" s="24">
        <v>0</v>
      </c>
      <c r="AU64" s="24">
        <v>0</v>
      </c>
      <c r="AV64" s="24">
        <v>0</v>
      </c>
      <c r="AW64" s="24">
        <v>0</v>
      </c>
      <c r="AX64" s="24">
        <v>1</v>
      </c>
      <c r="AY64" s="24">
        <v>0</v>
      </c>
      <c r="AZ64" s="24">
        <v>0</v>
      </c>
      <c r="BA64" s="24">
        <v>1</v>
      </c>
      <c r="BB64" s="24">
        <v>0</v>
      </c>
    </row>
    <row r="65" spans="2:54" ht="13.8" x14ac:dyDescent="0.3">
      <c r="B65" s="24">
        <v>45</v>
      </c>
      <c r="C65" s="24">
        <v>48</v>
      </c>
      <c r="D65" s="24">
        <v>0</v>
      </c>
      <c r="E65" s="24">
        <v>1</v>
      </c>
      <c r="F65" s="24">
        <v>0</v>
      </c>
      <c r="G65" s="24">
        <v>0</v>
      </c>
      <c r="H65" s="24">
        <v>0</v>
      </c>
      <c r="I65" s="24">
        <v>0</v>
      </c>
      <c r="J65" s="24">
        <v>6143</v>
      </c>
      <c r="K65" s="24">
        <v>4</v>
      </c>
      <c r="L65" s="24">
        <v>0</v>
      </c>
      <c r="M65" s="24">
        <v>0</v>
      </c>
      <c r="N65" s="24">
        <v>0</v>
      </c>
      <c r="O65" s="24">
        <v>0</v>
      </c>
      <c r="P65" s="24">
        <v>0</v>
      </c>
      <c r="Q65" s="24">
        <v>0</v>
      </c>
      <c r="R65" s="24">
        <v>1</v>
      </c>
      <c r="S65" s="24">
        <v>58</v>
      </c>
      <c r="T65" s="24">
        <v>1</v>
      </c>
      <c r="U65" s="24">
        <v>0</v>
      </c>
      <c r="V65" s="24">
        <v>0</v>
      </c>
      <c r="W65" s="24">
        <v>2</v>
      </c>
      <c r="X65" s="24">
        <v>1</v>
      </c>
      <c r="Y65" s="24">
        <v>0</v>
      </c>
      <c r="Z65" s="24">
        <v>0</v>
      </c>
      <c r="AA65" s="24">
        <v>0</v>
      </c>
      <c r="AB65" s="24">
        <v>1</v>
      </c>
      <c r="AC65" s="24">
        <v>0</v>
      </c>
      <c r="AD65" s="24">
        <v>0</v>
      </c>
      <c r="AE65" s="24">
        <v>0</v>
      </c>
      <c r="AF65" s="24">
        <v>0</v>
      </c>
      <c r="AG65" s="24">
        <v>0</v>
      </c>
      <c r="AH65" s="24">
        <v>0</v>
      </c>
      <c r="AI65" s="24">
        <v>0</v>
      </c>
      <c r="AJ65" s="24">
        <v>1</v>
      </c>
      <c r="AK65" s="24">
        <v>1</v>
      </c>
      <c r="AL65" s="24">
        <v>0</v>
      </c>
      <c r="AM65" s="24">
        <v>0</v>
      </c>
      <c r="AN65" s="24">
        <v>0</v>
      </c>
      <c r="AO65" s="24">
        <v>0</v>
      </c>
      <c r="AP65" s="24">
        <v>0</v>
      </c>
      <c r="AQ65" s="24">
        <v>0</v>
      </c>
      <c r="AR65" s="24">
        <v>0</v>
      </c>
      <c r="AS65" s="24">
        <v>0</v>
      </c>
      <c r="AT65" s="24">
        <v>1</v>
      </c>
      <c r="AU65" s="24">
        <v>0</v>
      </c>
      <c r="AV65" s="24">
        <v>0</v>
      </c>
      <c r="AW65" s="24">
        <v>0</v>
      </c>
      <c r="AX65" s="24">
        <v>1</v>
      </c>
      <c r="AY65" s="24">
        <v>0</v>
      </c>
      <c r="AZ65" s="24">
        <v>1</v>
      </c>
      <c r="BA65" s="24">
        <v>0</v>
      </c>
      <c r="BB65" s="24">
        <v>0</v>
      </c>
    </row>
    <row r="66" spans="2:54" ht="13.8" x14ac:dyDescent="0.3">
      <c r="B66" s="24">
        <v>46</v>
      </c>
      <c r="C66" s="24">
        <v>11</v>
      </c>
      <c r="D66" s="24">
        <v>1</v>
      </c>
      <c r="E66" s="24">
        <v>0</v>
      </c>
      <c r="F66" s="24">
        <v>0</v>
      </c>
      <c r="G66" s="24">
        <v>0</v>
      </c>
      <c r="H66" s="24">
        <v>0</v>
      </c>
      <c r="I66" s="24">
        <v>0</v>
      </c>
      <c r="J66" s="24">
        <v>1393</v>
      </c>
      <c r="K66" s="24">
        <v>4</v>
      </c>
      <c r="L66" s="24">
        <v>0</v>
      </c>
      <c r="M66" s="24">
        <v>0</v>
      </c>
      <c r="N66" s="24">
        <v>0</v>
      </c>
      <c r="O66" s="24">
        <v>0</v>
      </c>
      <c r="P66" s="24">
        <v>0</v>
      </c>
      <c r="Q66" s="24">
        <v>0</v>
      </c>
      <c r="R66" s="24">
        <v>0</v>
      </c>
      <c r="S66" s="24">
        <v>35</v>
      </c>
      <c r="T66" s="24">
        <v>0</v>
      </c>
      <c r="U66" s="24">
        <v>0</v>
      </c>
      <c r="V66" s="24">
        <v>1</v>
      </c>
      <c r="W66" s="24">
        <v>2</v>
      </c>
      <c r="X66" s="24">
        <v>1</v>
      </c>
      <c r="Y66" s="24">
        <v>0</v>
      </c>
      <c r="Z66" s="24">
        <v>0</v>
      </c>
      <c r="AA66" s="24">
        <v>1</v>
      </c>
      <c r="AB66" s="24">
        <v>0</v>
      </c>
      <c r="AC66" s="24">
        <v>0</v>
      </c>
      <c r="AD66" s="24">
        <v>0</v>
      </c>
      <c r="AE66" s="24">
        <v>1</v>
      </c>
      <c r="AF66" s="24">
        <v>0</v>
      </c>
      <c r="AG66" s="24">
        <v>0</v>
      </c>
      <c r="AH66" s="24">
        <v>0</v>
      </c>
      <c r="AI66" s="24">
        <v>0</v>
      </c>
      <c r="AJ66" s="24">
        <v>1</v>
      </c>
      <c r="AK66" s="24">
        <v>1</v>
      </c>
      <c r="AL66" s="24">
        <v>0</v>
      </c>
      <c r="AM66" s="24">
        <v>0</v>
      </c>
      <c r="AN66" s="24">
        <v>0</v>
      </c>
      <c r="AO66" s="24">
        <v>0</v>
      </c>
      <c r="AP66" s="24">
        <v>0</v>
      </c>
      <c r="AQ66" s="24">
        <v>1</v>
      </c>
      <c r="AR66" s="24">
        <v>0</v>
      </c>
      <c r="AS66" s="24">
        <v>0</v>
      </c>
      <c r="AT66" s="24">
        <v>0</v>
      </c>
      <c r="AU66" s="24">
        <v>0</v>
      </c>
      <c r="AV66" s="24">
        <v>0</v>
      </c>
      <c r="AW66" s="24">
        <v>0</v>
      </c>
      <c r="AX66" s="24">
        <v>1</v>
      </c>
      <c r="AY66" s="24">
        <v>0</v>
      </c>
      <c r="AZ66" s="24">
        <v>0</v>
      </c>
      <c r="BA66" s="24">
        <v>0</v>
      </c>
      <c r="BB66" s="24">
        <v>1</v>
      </c>
    </row>
    <row r="67" spans="2:54" ht="13.8" x14ac:dyDescent="0.3">
      <c r="B67" s="24">
        <v>47</v>
      </c>
      <c r="C67" s="24">
        <v>36</v>
      </c>
      <c r="D67" s="24">
        <v>0</v>
      </c>
      <c r="E67" s="24">
        <v>0</v>
      </c>
      <c r="F67" s="24">
        <v>0</v>
      </c>
      <c r="G67" s="24">
        <v>1</v>
      </c>
      <c r="H67" s="24">
        <v>0</v>
      </c>
      <c r="I67" s="24">
        <v>0</v>
      </c>
      <c r="J67" s="24">
        <v>2299</v>
      </c>
      <c r="K67" s="24">
        <v>4</v>
      </c>
      <c r="L67" s="24">
        <v>0</v>
      </c>
      <c r="M67" s="24">
        <v>1</v>
      </c>
      <c r="N67" s="24">
        <v>0</v>
      </c>
      <c r="O67" s="24">
        <v>0</v>
      </c>
      <c r="P67" s="24">
        <v>0</v>
      </c>
      <c r="Q67" s="24">
        <v>0</v>
      </c>
      <c r="R67" s="24">
        <v>0</v>
      </c>
      <c r="S67" s="24">
        <v>39</v>
      </c>
      <c r="T67" s="24">
        <v>0</v>
      </c>
      <c r="U67" s="24">
        <v>0</v>
      </c>
      <c r="V67" s="24">
        <v>1</v>
      </c>
      <c r="W67" s="24">
        <v>1</v>
      </c>
      <c r="X67" s="24">
        <v>1</v>
      </c>
      <c r="Y67" s="24">
        <v>0</v>
      </c>
      <c r="Z67" s="24">
        <v>0</v>
      </c>
      <c r="AA67" s="24">
        <v>1</v>
      </c>
      <c r="AB67" s="24">
        <v>0</v>
      </c>
      <c r="AC67" s="24">
        <v>0</v>
      </c>
      <c r="AD67" s="24">
        <v>0</v>
      </c>
      <c r="AE67" s="24">
        <v>1</v>
      </c>
      <c r="AF67" s="24">
        <v>0</v>
      </c>
      <c r="AG67" s="24">
        <v>0</v>
      </c>
      <c r="AH67" s="24">
        <v>1</v>
      </c>
      <c r="AI67" s="24">
        <v>0</v>
      </c>
      <c r="AJ67" s="24">
        <v>0</v>
      </c>
      <c r="AK67" s="24">
        <v>0</v>
      </c>
      <c r="AL67" s="24">
        <v>0</v>
      </c>
      <c r="AM67" s="24">
        <v>1</v>
      </c>
      <c r="AN67" s="24">
        <v>0</v>
      </c>
      <c r="AO67" s="24">
        <v>0</v>
      </c>
      <c r="AP67" s="24">
        <v>0</v>
      </c>
      <c r="AQ67" s="24">
        <v>0</v>
      </c>
      <c r="AR67" s="24">
        <v>0</v>
      </c>
      <c r="AS67" s="24">
        <v>0</v>
      </c>
      <c r="AT67" s="24">
        <v>1</v>
      </c>
      <c r="AU67" s="24">
        <v>0</v>
      </c>
      <c r="AV67" s="24">
        <v>0</v>
      </c>
      <c r="AW67" s="24">
        <v>0</v>
      </c>
      <c r="AX67" s="24">
        <v>1</v>
      </c>
      <c r="AY67" s="24">
        <v>0</v>
      </c>
      <c r="AZ67" s="24">
        <v>0</v>
      </c>
      <c r="BA67" s="24">
        <v>1</v>
      </c>
      <c r="BB67" s="24">
        <v>0</v>
      </c>
    </row>
    <row r="68" spans="2:54" ht="13.8" x14ac:dyDescent="0.3">
      <c r="B68" s="24">
        <v>48</v>
      </c>
      <c r="C68" s="24">
        <v>6</v>
      </c>
      <c r="D68" s="24">
        <v>0</v>
      </c>
      <c r="E68" s="24">
        <v>1</v>
      </c>
      <c r="F68" s="24">
        <v>0</v>
      </c>
      <c r="G68" s="24">
        <v>0</v>
      </c>
      <c r="H68" s="24">
        <v>0</v>
      </c>
      <c r="I68" s="24">
        <v>0</v>
      </c>
      <c r="J68" s="24">
        <v>1352</v>
      </c>
      <c r="K68" s="24">
        <v>1</v>
      </c>
      <c r="L68" s="24">
        <v>0</v>
      </c>
      <c r="M68" s="24">
        <v>0</v>
      </c>
      <c r="N68" s="24">
        <v>0</v>
      </c>
      <c r="O68" s="24">
        <v>0</v>
      </c>
      <c r="P68" s="24">
        <v>0</v>
      </c>
      <c r="Q68" s="24">
        <v>0</v>
      </c>
      <c r="R68" s="24">
        <v>0</v>
      </c>
      <c r="S68" s="24">
        <v>23</v>
      </c>
      <c r="T68" s="24">
        <v>0</v>
      </c>
      <c r="U68" s="24">
        <v>1</v>
      </c>
      <c r="V68" s="24">
        <v>0</v>
      </c>
      <c r="W68" s="24">
        <v>1</v>
      </c>
      <c r="X68" s="24">
        <v>1</v>
      </c>
      <c r="Y68" s="24">
        <v>1</v>
      </c>
      <c r="Z68" s="24">
        <v>0</v>
      </c>
      <c r="AA68" s="24">
        <v>1</v>
      </c>
      <c r="AB68" s="24">
        <v>1</v>
      </c>
      <c r="AC68" s="24">
        <v>0</v>
      </c>
      <c r="AD68" s="24">
        <v>0</v>
      </c>
      <c r="AE68" s="24">
        <v>0</v>
      </c>
      <c r="AF68" s="24">
        <v>0</v>
      </c>
      <c r="AG68" s="24">
        <v>0</v>
      </c>
      <c r="AH68" s="24">
        <v>1</v>
      </c>
      <c r="AI68" s="24">
        <v>0</v>
      </c>
      <c r="AJ68" s="24">
        <v>0</v>
      </c>
      <c r="AK68" s="24">
        <v>0</v>
      </c>
      <c r="AL68" s="24">
        <v>0</v>
      </c>
      <c r="AM68" s="24">
        <v>1</v>
      </c>
      <c r="AN68" s="24">
        <v>0</v>
      </c>
      <c r="AO68" s="24">
        <v>0</v>
      </c>
      <c r="AP68" s="24">
        <v>1</v>
      </c>
      <c r="AQ68" s="24">
        <v>0</v>
      </c>
      <c r="AR68" s="24">
        <v>0</v>
      </c>
      <c r="AS68" s="24">
        <v>0</v>
      </c>
      <c r="AT68" s="24">
        <v>0</v>
      </c>
      <c r="AU68" s="24">
        <v>0</v>
      </c>
      <c r="AV68" s="24">
        <v>1</v>
      </c>
      <c r="AW68" s="24">
        <v>0</v>
      </c>
      <c r="AX68" s="24">
        <v>0</v>
      </c>
      <c r="AY68" s="24">
        <v>1</v>
      </c>
      <c r="AZ68" s="24">
        <v>0</v>
      </c>
      <c r="BA68" s="24">
        <v>0</v>
      </c>
      <c r="BB68" s="24">
        <v>0</v>
      </c>
    </row>
    <row r="69" spans="2:54" ht="13.8" x14ac:dyDescent="0.3">
      <c r="B69" s="24">
        <v>49</v>
      </c>
      <c r="C69" s="24">
        <v>11</v>
      </c>
      <c r="D69" s="24">
        <v>1</v>
      </c>
      <c r="E69" s="24">
        <v>0</v>
      </c>
      <c r="F69" s="24">
        <v>0</v>
      </c>
      <c r="G69" s="24">
        <v>0</v>
      </c>
      <c r="H69" s="24">
        <v>0</v>
      </c>
      <c r="I69" s="24">
        <v>0</v>
      </c>
      <c r="J69" s="24">
        <v>7228</v>
      </c>
      <c r="K69" s="24">
        <v>1</v>
      </c>
      <c r="L69" s="24">
        <v>0</v>
      </c>
      <c r="M69" s="24">
        <v>1</v>
      </c>
      <c r="N69" s="24">
        <v>0</v>
      </c>
      <c r="O69" s="24">
        <v>0</v>
      </c>
      <c r="P69" s="24">
        <v>0</v>
      </c>
      <c r="Q69" s="24">
        <v>0</v>
      </c>
      <c r="R69" s="24">
        <v>0</v>
      </c>
      <c r="S69" s="24">
        <v>39</v>
      </c>
      <c r="T69" s="24">
        <v>0</v>
      </c>
      <c r="U69" s="24">
        <v>0</v>
      </c>
      <c r="V69" s="24">
        <v>1</v>
      </c>
      <c r="W69" s="24">
        <v>2</v>
      </c>
      <c r="X69" s="24">
        <v>1</v>
      </c>
      <c r="Y69" s="24">
        <v>0</v>
      </c>
      <c r="Z69" s="24">
        <v>0</v>
      </c>
      <c r="AA69" s="24">
        <v>1</v>
      </c>
      <c r="AB69" s="24">
        <v>0</v>
      </c>
      <c r="AC69" s="24">
        <v>0</v>
      </c>
      <c r="AD69" s="24">
        <v>0</v>
      </c>
      <c r="AE69" s="24">
        <v>1</v>
      </c>
      <c r="AF69" s="24">
        <v>0</v>
      </c>
      <c r="AG69" s="24">
        <v>0</v>
      </c>
      <c r="AH69" s="24">
        <v>0</v>
      </c>
      <c r="AI69" s="24">
        <v>0</v>
      </c>
      <c r="AJ69" s="24">
        <v>1</v>
      </c>
      <c r="AK69" s="24">
        <v>1</v>
      </c>
      <c r="AL69" s="24">
        <v>0</v>
      </c>
      <c r="AM69" s="24">
        <v>0</v>
      </c>
      <c r="AN69" s="24">
        <v>0</v>
      </c>
      <c r="AO69" s="24">
        <v>0</v>
      </c>
      <c r="AP69" s="24">
        <v>0</v>
      </c>
      <c r="AQ69" s="24">
        <v>0</v>
      </c>
      <c r="AR69" s="24">
        <v>1</v>
      </c>
      <c r="AS69" s="24">
        <v>0</v>
      </c>
      <c r="AT69" s="24">
        <v>0</v>
      </c>
      <c r="AU69" s="24">
        <v>0</v>
      </c>
      <c r="AV69" s="24">
        <v>0</v>
      </c>
      <c r="AW69" s="24">
        <v>0</v>
      </c>
      <c r="AX69" s="24">
        <v>1</v>
      </c>
      <c r="AY69" s="24">
        <v>0</v>
      </c>
      <c r="AZ69" s="24">
        <v>1</v>
      </c>
      <c r="BA69" s="24">
        <v>0</v>
      </c>
      <c r="BB69" s="24">
        <v>0</v>
      </c>
    </row>
    <row r="70" spans="2:54" ht="13.8" x14ac:dyDescent="0.3">
      <c r="B70" s="24">
        <v>50</v>
      </c>
      <c r="C70" s="24">
        <v>12</v>
      </c>
      <c r="D70" s="24">
        <v>0</v>
      </c>
      <c r="E70" s="24">
        <v>0</v>
      </c>
      <c r="F70" s="24">
        <v>0</v>
      </c>
      <c r="G70" s="24">
        <v>1</v>
      </c>
      <c r="H70" s="24">
        <v>0</v>
      </c>
      <c r="I70" s="24">
        <v>0</v>
      </c>
      <c r="J70" s="24">
        <v>2073</v>
      </c>
      <c r="K70" s="24">
        <v>4</v>
      </c>
      <c r="L70" s="24">
        <v>0</v>
      </c>
      <c r="M70" s="24">
        <v>0</v>
      </c>
      <c r="N70" s="24">
        <v>0</v>
      </c>
      <c r="O70" s="24">
        <v>1</v>
      </c>
      <c r="P70" s="24">
        <v>0</v>
      </c>
      <c r="Q70" s="24">
        <v>1</v>
      </c>
      <c r="R70" s="24">
        <v>0</v>
      </c>
      <c r="S70" s="24">
        <v>28</v>
      </c>
      <c r="T70" s="24">
        <v>0</v>
      </c>
      <c r="U70" s="24">
        <v>0</v>
      </c>
      <c r="V70" s="24">
        <v>1</v>
      </c>
      <c r="W70" s="24">
        <v>1</v>
      </c>
      <c r="X70" s="24">
        <v>1</v>
      </c>
      <c r="Y70" s="24">
        <v>0</v>
      </c>
      <c r="Z70" s="24">
        <v>0</v>
      </c>
      <c r="AA70" s="24">
        <v>1</v>
      </c>
      <c r="AB70" s="24">
        <v>0</v>
      </c>
      <c r="AC70" s="24">
        <v>0</v>
      </c>
      <c r="AD70" s="24">
        <v>0</v>
      </c>
      <c r="AE70" s="24">
        <v>1</v>
      </c>
      <c r="AF70" s="24">
        <v>0</v>
      </c>
      <c r="AG70" s="24">
        <v>0</v>
      </c>
      <c r="AH70" s="24">
        <v>1</v>
      </c>
      <c r="AI70" s="24">
        <v>0</v>
      </c>
      <c r="AJ70" s="24">
        <v>0</v>
      </c>
      <c r="AK70" s="24">
        <v>0</v>
      </c>
      <c r="AL70" s="24">
        <v>1</v>
      </c>
      <c r="AM70" s="24">
        <v>0</v>
      </c>
      <c r="AN70" s="24">
        <v>0</v>
      </c>
      <c r="AO70" s="24">
        <v>0</v>
      </c>
      <c r="AP70" s="24">
        <v>0</v>
      </c>
      <c r="AQ70" s="24">
        <v>0</v>
      </c>
      <c r="AR70" s="24">
        <v>1</v>
      </c>
      <c r="AS70" s="24">
        <v>0</v>
      </c>
      <c r="AT70" s="24">
        <v>0</v>
      </c>
      <c r="AU70" s="24">
        <v>0</v>
      </c>
      <c r="AV70" s="24">
        <v>1</v>
      </c>
      <c r="AW70" s="24">
        <v>0</v>
      </c>
      <c r="AX70" s="24">
        <v>0</v>
      </c>
      <c r="AY70" s="24">
        <v>0</v>
      </c>
      <c r="AZ70" s="24">
        <v>0</v>
      </c>
      <c r="BA70" s="24">
        <v>1</v>
      </c>
      <c r="BB70" s="24">
        <v>0</v>
      </c>
    </row>
    <row r="71" spans="2:54" ht="13.8" x14ac:dyDescent="0.3">
      <c r="B71" s="24">
        <v>51</v>
      </c>
      <c r="C71" s="24">
        <v>24</v>
      </c>
      <c r="D71" s="24">
        <v>0</v>
      </c>
      <c r="E71" s="24">
        <v>0</v>
      </c>
      <c r="F71" s="24">
        <v>1</v>
      </c>
      <c r="G71" s="24">
        <v>0</v>
      </c>
      <c r="H71" s="24">
        <v>0</v>
      </c>
      <c r="I71" s="24">
        <v>0</v>
      </c>
      <c r="J71" s="24">
        <v>2333</v>
      </c>
      <c r="K71" s="24">
        <v>4</v>
      </c>
      <c r="L71" s="24">
        <v>0</v>
      </c>
      <c r="M71" s="24">
        <v>1</v>
      </c>
      <c r="N71" s="24">
        <v>0</v>
      </c>
      <c r="O71" s="24">
        <v>0</v>
      </c>
      <c r="P71" s="24">
        <v>0</v>
      </c>
      <c r="Q71" s="24">
        <v>0</v>
      </c>
      <c r="R71" s="24">
        <v>0</v>
      </c>
      <c r="S71" s="24">
        <v>29</v>
      </c>
      <c r="T71" s="24">
        <v>1</v>
      </c>
      <c r="U71" s="24">
        <v>0</v>
      </c>
      <c r="V71" s="24">
        <v>1</v>
      </c>
      <c r="W71" s="24">
        <v>1</v>
      </c>
      <c r="X71" s="24">
        <v>1</v>
      </c>
      <c r="Y71" s="24">
        <v>0</v>
      </c>
      <c r="Z71" s="24">
        <v>0</v>
      </c>
      <c r="AA71" s="24">
        <v>1</v>
      </c>
      <c r="AB71" s="24">
        <v>0</v>
      </c>
      <c r="AC71" s="24">
        <v>1</v>
      </c>
      <c r="AD71" s="24">
        <v>0</v>
      </c>
      <c r="AE71" s="24">
        <v>0</v>
      </c>
      <c r="AF71" s="24">
        <v>0</v>
      </c>
      <c r="AG71" s="24">
        <v>0</v>
      </c>
      <c r="AH71" s="24">
        <v>0</v>
      </c>
      <c r="AI71" s="24">
        <v>1</v>
      </c>
      <c r="AJ71" s="24">
        <v>0</v>
      </c>
      <c r="AK71" s="24">
        <v>0</v>
      </c>
      <c r="AL71" s="24">
        <v>0</v>
      </c>
      <c r="AM71" s="24">
        <v>0</v>
      </c>
      <c r="AN71" s="24">
        <v>0</v>
      </c>
      <c r="AO71" s="24">
        <v>1</v>
      </c>
      <c r="AP71" s="24">
        <v>0</v>
      </c>
      <c r="AQ71" s="24">
        <v>1</v>
      </c>
      <c r="AR71" s="24">
        <v>0</v>
      </c>
      <c r="AS71" s="24">
        <v>0</v>
      </c>
      <c r="AT71" s="24">
        <v>0</v>
      </c>
      <c r="AU71" s="24">
        <v>0</v>
      </c>
      <c r="AV71" s="24">
        <v>1</v>
      </c>
      <c r="AW71" s="24">
        <v>0</v>
      </c>
      <c r="AX71" s="24">
        <v>0</v>
      </c>
      <c r="AY71" s="24">
        <v>0</v>
      </c>
      <c r="AZ71" s="24">
        <v>1</v>
      </c>
      <c r="BA71" s="24">
        <v>0</v>
      </c>
      <c r="BB71" s="24">
        <v>0</v>
      </c>
    </row>
    <row r="72" spans="2:54" ht="13.8" x14ac:dyDescent="0.3">
      <c r="B72" s="24">
        <v>52</v>
      </c>
      <c r="C72" s="24">
        <v>27</v>
      </c>
      <c r="D72" s="24">
        <v>0</v>
      </c>
      <c r="E72" s="24">
        <v>1</v>
      </c>
      <c r="F72" s="24">
        <v>0</v>
      </c>
      <c r="G72" s="24">
        <v>0</v>
      </c>
      <c r="H72" s="24">
        <v>0</v>
      </c>
      <c r="I72" s="24">
        <v>0</v>
      </c>
      <c r="J72" s="24">
        <v>5965</v>
      </c>
      <c r="K72" s="24">
        <v>1</v>
      </c>
      <c r="L72" s="24">
        <v>0</v>
      </c>
      <c r="M72" s="24">
        <v>1</v>
      </c>
      <c r="N72" s="24">
        <v>0</v>
      </c>
      <c r="O72" s="24">
        <v>0</v>
      </c>
      <c r="P72" s="24">
        <v>0</v>
      </c>
      <c r="Q72" s="24">
        <v>0</v>
      </c>
      <c r="R72" s="24">
        <v>0</v>
      </c>
      <c r="S72" s="24">
        <v>30</v>
      </c>
      <c r="T72" s="24">
        <v>0</v>
      </c>
      <c r="U72" s="24">
        <v>0</v>
      </c>
      <c r="V72" s="24">
        <v>1</v>
      </c>
      <c r="W72" s="24">
        <v>2</v>
      </c>
      <c r="X72" s="24">
        <v>1</v>
      </c>
      <c r="Y72" s="24">
        <v>1</v>
      </c>
      <c r="Z72" s="24">
        <v>0</v>
      </c>
      <c r="AA72" s="24">
        <v>1</v>
      </c>
      <c r="AB72" s="24">
        <v>0</v>
      </c>
      <c r="AC72" s="24">
        <v>1</v>
      </c>
      <c r="AD72" s="24">
        <v>0</v>
      </c>
      <c r="AE72" s="24">
        <v>0</v>
      </c>
      <c r="AF72" s="24">
        <v>0</v>
      </c>
      <c r="AG72" s="24">
        <v>0</v>
      </c>
      <c r="AH72" s="24">
        <v>0</v>
      </c>
      <c r="AI72" s="24">
        <v>1</v>
      </c>
      <c r="AJ72" s="24">
        <v>0</v>
      </c>
      <c r="AK72" s="24">
        <v>1</v>
      </c>
      <c r="AL72" s="24">
        <v>0</v>
      </c>
      <c r="AM72" s="24">
        <v>0</v>
      </c>
      <c r="AN72" s="24">
        <v>0</v>
      </c>
      <c r="AO72" s="24">
        <v>0</v>
      </c>
      <c r="AP72" s="24">
        <v>0</v>
      </c>
      <c r="AQ72" s="24">
        <v>0</v>
      </c>
      <c r="AR72" s="24">
        <v>0</v>
      </c>
      <c r="AS72" s="24">
        <v>0</v>
      </c>
      <c r="AT72" s="24">
        <v>1</v>
      </c>
      <c r="AU72" s="24">
        <v>0</v>
      </c>
      <c r="AV72" s="24">
        <v>1</v>
      </c>
      <c r="AW72" s="24">
        <v>0</v>
      </c>
      <c r="AX72" s="24">
        <v>0</v>
      </c>
      <c r="AY72" s="24">
        <v>0</v>
      </c>
      <c r="AZ72" s="24">
        <v>0</v>
      </c>
      <c r="BA72" s="24">
        <v>0</v>
      </c>
      <c r="BB72" s="24">
        <v>1</v>
      </c>
    </row>
    <row r="73" spans="2:54" ht="13.8" x14ac:dyDescent="0.3">
      <c r="B73" s="24">
        <v>53</v>
      </c>
      <c r="C73" s="24">
        <v>12</v>
      </c>
      <c r="D73" s="24">
        <v>0</v>
      </c>
      <c r="E73" s="24">
        <v>0</v>
      </c>
      <c r="F73" s="24">
        <v>0</v>
      </c>
      <c r="G73" s="24">
        <v>1</v>
      </c>
      <c r="H73" s="24">
        <v>0</v>
      </c>
      <c r="I73" s="24">
        <v>0</v>
      </c>
      <c r="J73" s="24">
        <v>1262</v>
      </c>
      <c r="K73" s="24">
        <v>3</v>
      </c>
      <c r="L73" s="24">
        <v>0</v>
      </c>
      <c r="M73" s="24">
        <v>1</v>
      </c>
      <c r="N73" s="24">
        <v>0</v>
      </c>
      <c r="O73" s="24">
        <v>0</v>
      </c>
      <c r="P73" s="24">
        <v>0</v>
      </c>
      <c r="Q73" s="24">
        <v>0</v>
      </c>
      <c r="R73" s="24">
        <v>0</v>
      </c>
      <c r="S73" s="24">
        <v>25</v>
      </c>
      <c r="T73" s="24">
        <v>0</v>
      </c>
      <c r="U73" s="24">
        <v>0</v>
      </c>
      <c r="V73" s="24">
        <v>1</v>
      </c>
      <c r="W73" s="24">
        <v>1</v>
      </c>
      <c r="X73" s="24">
        <v>1</v>
      </c>
      <c r="Y73" s="24">
        <v>0</v>
      </c>
      <c r="Z73" s="24">
        <v>0</v>
      </c>
      <c r="AA73" s="24">
        <v>1</v>
      </c>
      <c r="AB73" s="24">
        <v>0</v>
      </c>
      <c r="AC73" s="24">
        <v>0</v>
      </c>
      <c r="AD73" s="24">
        <v>0</v>
      </c>
      <c r="AE73" s="24">
        <v>1</v>
      </c>
      <c r="AF73" s="24">
        <v>0</v>
      </c>
      <c r="AG73" s="24">
        <v>0</v>
      </c>
      <c r="AH73" s="24">
        <v>1</v>
      </c>
      <c r="AI73" s="24">
        <v>0</v>
      </c>
      <c r="AJ73" s="24">
        <v>0</v>
      </c>
      <c r="AK73" s="24">
        <v>1</v>
      </c>
      <c r="AL73" s="24">
        <v>0</v>
      </c>
      <c r="AM73" s="24">
        <v>0</v>
      </c>
      <c r="AN73" s="24">
        <v>0</v>
      </c>
      <c r="AO73" s="24">
        <v>0</v>
      </c>
      <c r="AP73" s="24">
        <v>0</v>
      </c>
      <c r="AQ73" s="24">
        <v>0</v>
      </c>
      <c r="AR73" s="24">
        <v>1</v>
      </c>
      <c r="AS73" s="24">
        <v>0</v>
      </c>
      <c r="AT73" s="24">
        <v>0</v>
      </c>
      <c r="AU73" s="24">
        <v>0</v>
      </c>
      <c r="AV73" s="24">
        <v>1</v>
      </c>
      <c r="AW73" s="24">
        <v>0</v>
      </c>
      <c r="AX73" s="24">
        <v>0</v>
      </c>
      <c r="AY73" s="24">
        <v>0</v>
      </c>
      <c r="AZ73" s="24">
        <v>0</v>
      </c>
      <c r="BA73" s="24">
        <v>1</v>
      </c>
      <c r="BB73" s="24">
        <v>0</v>
      </c>
    </row>
    <row r="74" spans="2:54" ht="13.8" x14ac:dyDescent="0.3">
      <c r="B74" s="24">
        <v>54</v>
      </c>
      <c r="C74" s="24">
        <v>18</v>
      </c>
      <c r="D74" s="24">
        <v>0</v>
      </c>
      <c r="E74" s="24">
        <v>1</v>
      </c>
      <c r="F74" s="24">
        <v>0</v>
      </c>
      <c r="G74" s="24">
        <v>0</v>
      </c>
      <c r="H74" s="24">
        <v>0</v>
      </c>
      <c r="I74" s="24">
        <v>0</v>
      </c>
      <c r="J74" s="24">
        <v>3378</v>
      </c>
      <c r="K74" s="24">
        <v>2</v>
      </c>
      <c r="L74" s="24">
        <v>0</v>
      </c>
      <c r="M74" s="24">
        <v>1</v>
      </c>
      <c r="N74" s="24">
        <v>0</v>
      </c>
      <c r="O74" s="24">
        <v>0</v>
      </c>
      <c r="P74" s="24">
        <v>0</v>
      </c>
      <c r="Q74" s="24">
        <v>0</v>
      </c>
      <c r="R74" s="24">
        <v>0</v>
      </c>
      <c r="S74" s="24">
        <v>31</v>
      </c>
      <c r="T74" s="24">
        <v>0</v>
      </c>
      <c r="U74" s="24">
        <v>0</v>
      </c>
      <c r="V74" s="24">
        <v>1</v>
      </c>
      <c r="W74" s="24">
        <v>1</v>
      </c>
      <c r="X74" s="24">
        <v>1</v>
      </c>
      <c r="Y74" s="24">
        <v>1</v>
      </c>
      <c r="Z74" s="24">
        <v>0</v>
      </c>
      <c r="AA74" s="24">
        <v>1</v>
      </c>
      <c r="AB74" s="24">
        <v>0</v>
      </c>
      <c r="AC74" s="24">
        <v>0</v>
      </c>
      <c r="AD74" s="24">
        <v>0</v>
      </c>
      <c r="AE74" s="24">
        <v>1</v>
      </c>
      <c r="AF74" s="24">
        <v>0</v>
      </c>
      <c r="AG74" s="24">
        <v>0</v>
      </c>
      <c r="AH74" s="24">
        <v>1</v>
      </c>
      <c r="AI74" s="24">
        <v>0</v>
      </c>
      <c r="AJ74" s="24">
        <v>0</v>
      </c>
      <c r="AK74" s="24">
        <v>0</v>
      </c>
      <c r="AL74" s="24">
        <v>0</v>
      </c>
      <c r="AM74" s="24">
        <v>0</v>
      </c>
      <c r="AN74" s="24">
        <v>0</v>
      </c>
      <c r="AO74" s="24">
        <v>1</v>
      </c>
      <c r="AP74" s="24">
        <v>0</v>
      </c>
      <c r="AQ74" s="24">
        <v>0</v>
      </c>
      <c r="AR74" s="24">
        <v>1</v>
      </c>
      <c r="AS74" s="24">
        <v>0</v>
      </c>
      <c r="AT74" s="24">
        <v>0</v>
      </c>
      <c r="AU74" s="24">
        <v>1</v>
      </c>
      <c r="AV74" s="24">
        <v>0</v>
      </c>
      <c r="AW74" s="24">
        <v>0</v>
      </c>
      <c r="AX74" s="24">
        <v>0</v>
      </c>
      <c r="AY74" s="24">
        <v>0</v>
      </c>
      <c r="AZ74" s="24">
        <v>0</v>
      </c>
      <c r="BA74" s="24">
        <v>1</v>
      </c>
      <c r="BB74" s="24">
        <v>0</v>
      </c>
    </row>
    <row r="75" spans="2:54" ht="13.8" x14ac:dyDescent="0.3">
      <c r="B75" s="24">
        <v>55</v>
      </c>
      <c r="C75" s="24">
        <v>36</v>
      </c>
      <c r="D75" s="24">
        <v>1</v>
      </c>
      <c r="E75" s="24">
        <v>0</v>
      </c>
      <c r="F75" s="24">
        <v>0</v>
      </c>
      <c r="G75" s="24">
        <v>0</v>
      </c>
      <c r="H75" s="24">
        <v>0</v>
      </c>
      <c r="I75" s="24">
        <v>0</v>
      </c>
      <c r="J75" s="24">
        <v>2225</v>
      </c>
      <c r="K75" s="24">
        <v>4</v>
      </c>
      <c r="L75" s="24">
        <v>0</v>
      </c>
      <c r="M75" s="24">
        <v>1</v>
      </c>
      <c r="N75" s="24">
        <v>0</v>
      </c>
      <c r="O75" s="24">
        <v>0</v>
      </c>
      <c r="P75" s="24">
        <v>0</v>
      </c>
      <c r="Q75" s="24">
        <v>0</v>
      </c>
      <c r="R75" s="24">
        <v>1</v>
      </c>
      <c r="S75" s="24">
        <v>57</v>
      </c>
      <c r="T75" s="24">
        <v>1</v>
      </c>
      <c r="U75" s="24">
        <v>0</v>
      </c>
      <c r="V75" s="24">
        <v>0</v>
      </c>
      <c r="W75" s="24">
        <v>2</v>
      </c>
      <c r="X75" s="24">
        <v>1</v>
      </c>
      <c r="Y75" s="24">
        <v>1</v>
      </c>
      <c r="Z75" s="24">
        <v>0</v>
      </c>
      <c r="AA75" s="24">
        <v>0</v>
      </c>
      <c r="AB75" s="24">
        <v>0</v>
      </c>
      <c r="AC75" s="24">
        <v>1</v>
      </c>
      <c r="AD75" s="24">
        <v>0</v>
      </c>
      <c r="AE75" s="24">
        <v>0</v>
      </c>
      <c r="AF75" s="24">
        <v>0</v>
      </c>
      <c r="AG75" s="24">
        <v>0</v>
      </c>
      <c r="AH75" s="24">
        <v>0</v>
      </c>
      <c r="AI75" s="24">
        <v>1</v>
      </c>
      <c r="AJ75" s="24">
        <v>0</v>
      </c>
      <c r="AK75" s="24">
        <v>1</v>
      </c>
      <c r="AL75" s="24">
        <v>0</v>
      </c>
      <c r="AM75" s="24">
        <v>0</v>
      </c>
      <c r="AN75" s="24">
        <v>0</v>
      </c>
      <c r="AO75" s="24">
        <v>0</v>
      </c>
      <c r="AP75" s="24">
        <v>0</v>
      </c>
      <c r="AQ75" s="24">
        <v>0</v>
      </c>
      <c r="AR75" s="24">
        <v>0</v>
      </c>
      <c r="AS75" s="24">
        <v>0</v>
      </c>
      <c r="AT75" s="24">
        <v>1</v>
      </c>
      <c r="AU75" s="24">
        <v>0</v>
      </c>
      <c r="AV75" s="24">
        <v>0</v>
      </c>
      <c r="AW75" s="24">
        <v>0</v>
      </c>
      <c r="AX75" s="24">
        <v>1</v>
      </c>
      <c r="AY75" s="24">
        <v>0</v>
      </c>
      <c r="AZ75" s="24">
        <v>0</v>
      </c>
      <c r="BA75" s="24">
        <v>1</v>
      </c>
      <c r="BB75" s="24">
        <v>0</v>
      </c>
    </row>
    <row r="76" spans="2:54" ht="13.8" x14ac:dyDescent="0.3">
      <c r="B76" s="24">
        <v>56</v>
      </c>
      <c r="C76" s="24">
        <v>6</v>
      </c>
      <c r="D76" s="24">
        <v>1</v>
      </c>
      <c r="E76" s="24">
        <v>0</v>
      </c>
      <c r="F76" s="24">
        <v>0</v>
      </c>
      <c r="G76" s="24">
        <v>0</v>
      </c>
      <c r="H76" s="24">
        <v>0</v>
      </c>
      <c r="I76" s="24">
        <v>0</v>
      </c>
      <c r="J76" s="24">
        <v>783</v>
      </c>
      <c r="K76" s="24">
        <v>1</v>
      </c>
      <c r="L76" s="24">
        <v>0</v>
      </c>
      <c r="M76" s="24">
        <v>1</v>
      </c>
      <c r="N76" s="24">
        <v>0</v>
      </c>
      <c r="O76" s="24">
        <v>0</v>
      </c>
      <c r="P76" s="24">
        <v>1</v>
      </c>
      <c r="Q76" s="24">
        <v>1</v>
      </c>
      <c r="R76" s="24">
        <v>0</v>
      </c>
      <c r="S76" s="24">
        <v>26</v>
      </c>
      <c r="T76" s="24">
        <v>1</v>
      </c>
      <c r="U76" s="24">
        <v>0</v>
      </c>
      <c r="V76" s="24">
        <v>1</v>
      </c>
      <c r="W76" s="24">
        <v>1</v>
      </c>
      <c r="X76" s="24">
        <v>2</v>
      </c>
      <c r="Y76" s="24">
        <v>0</v>
      </c>
      <c r="Z76" s="24">
        <v>0</v>
      </c>
      <c r="AA76" s="24">
        <v>1</v>
      </c>
      <c r="AB76" s="24">
        <v>0</v>
      </c>
      <c r="AC76" s="24">
        <v>0</v>
      </c>
      <c r="AD76" s="24">
        <v>0</v>
      </c>
      <c r="AE76" s="24">
        <v>1</v>
      </c>
      <c r="AF76" s="24">
        <v>0</v>
      </c>
      <c r="AG76" s="24">
        <v>1</v>
      </c>
      <c r="AH76" s="24">
        <v>0</v>
      </c>
      <c r="AI76" s="24">
        <v>0</v>
      </c>
      <c r="AJ76" s="24">
        <v>0</v>
      </c>
      <c r="AK76" s="24">
        <v>0</v>
      </c>
      <c r="AL76" s="24">
        <v>0</v>
      </c>
      <c r="AM76" s="24">
        <v>0</v>
      </c>
      <c r="AN76" s="24">
        <v>0</v>
      </c>
      <c r="AO76" s="24">
        <v>1</v>
      </c>
      <c r="AP76" s="24">
        <v>0</v>
      </c>
      <c r="AQ76" s="24">
        <v>0</v>
      </c>
      <c r="AR76" s="24">
        <v>1</v>
      </c>
      <c r="AS76" s="24">
        <v>0</v>
      </c>
      <c r="AT76" s="24">
        <v>0</v>
      </c>
      <c r="AU76" s="24">
        <v>0</v>
      </c>
      <c r="AV76" s="24">
        <v>1</v>
      </c>
      <c r="AW76" s="24">
        <v>0</v>
      </c>
      <c r="AX76" s="24">
        <v>0</v>
      </c>
      <c r="AY76" s="24">
        <v>0</v>
      </c>
      <c r="AZ76" s="24">
        <v>1</v>
      </c>
      <c r="BA76" s="24">
        <v>0</v>
      </c>
      <c r="BB76" s="24">
        <v>0</v>
      </c>
    </row>
    <row r="77" spans="2:54" ht="13.8" x14ac:dyDescent="0.3">
      <c r="B77" s="24">
        <v>57</v>
      </c>
      <c r="C77" s="24">
        <v>12</v>
      </c>
      <c r="D77" s="24">
        <v>0</v>
      </c>
      <c r="E77" s="24">
        <v>0</v>
      </c>
      <c r="F77" s="24">
        <v>0</v>
      </c>
      <c r="G77" s="24">
        <v>1</v>
      </c>
      <c r="H77" s="24">
        <v>0</v>
      </c>
      <c r="I77" s="24">
        <v>0</v>
      </c>
      <c r="J77" s="24">
        <v>6468</v>
      </c>
      <c r="K77" s="24">
        <v>2</v>
      </c>
      <c r="L77" s="24">
        <v>0</v>
      </c>
      <c r="M77" s="24">
        <v>1</v>
      </c>
      <c r="N77" s="24">
        <v>0</v>
      </c>
      <c r="O77" s="24">
        <v>0</v>
      </c>
      <c r="P77" s="24">
        <v>0</v>
      </c>
      <c r="Q77" s="24">
        <v>0</v>
      </c>
      <c r="R77" s="24">
        <v>1</v>
      </c>
      <c r="S77" s="24">
        <v>52</v>
      </c>
      <c r="T77" s="24">
        <v>0</v>
      </c>
      <c r="U77" s="24">
        <v>0</v>
      </c>
      <c r="V77" s="24">
        <v>1</v>
      </c>
      <c r="W77" s="24">
        <v>1</v>
      </c>
      <c r="X77" s="24">
        <v>1</v>
      </c>
      <c r="Y77" s="24">
        <v>1</v>
      </c>
      <c r="Z77" s="24">
        <v>0</v>
      </c>
      <c r="AA77" s="24">
        <v>0</v>
      </c>
      <c r="AB77" s="24">
        <v>0</v>
      </c>
      <c r="AC77" s="24">
        <v>1</v>
      </c>
      <c r="AD77" s="24">
        <v>0</v>
      </c>
      <c r="AE77" s="24">
        <v>0</v>
      </c>
      <c r="AF77" s="24">
        <v>0</v>
      </c>
      <c r="AG77" s="24">
        <v>0</v>
      </c>
      <c r="AH77" s="24">
        <v>1</v>
      </c>
      <c r="AI77" s="24">
        <v>0</v>
      </c>
      <c r="AJ77" s="24">
        <v>0</v>
      </c>
      <c r="AK77" s="24">
        <v>0</v>
      </c>
      <c r="AL77" s="24">
        <v>0</v>
      </c>
      <c r="AM77" s="24">
        <v>0</v>
      </c>
      <c r="AN77" s="24">
        <v>0</v>
      </c>
      <c r="AO77" s="24">
        <v>1</v>
      </c>
      <c r="AP77" s="24">
        <v>1</v>
      </c>
      <c r="AQ77" s="24">
        <v>0</v>
      </c>
      <c r="AR77" s="24">
        <v>0</v>
      </c>
      <c r="AS77" s="24">
        <v>0</v>
      </c>
      <c r="AT77" s="24">
        <v>0</v>
      </c>
      <c r="AU77" s="24">
        <v>1</v>
      </c>
      <c r="AV77" s="24">
        <v>0</v>
      </c>
      <c r="AW77" s="24">
        <v>0</v>
      </c>
      <c r="AX77" s="24">
        <v>0</v>
      </c>
      <c r="AY77" s="24">
        <v>0</v>
      </c>
      <c r="AZ77" s="24">
        <v>0</v>
      </c>
      <c r="BA77" s="24">
        <v>0</v>
      </c>
      <c r="BB77" s="24">
        <v>1</v>
      </c>
    </row>
    <row r="78" spans="2:54" ht="13.8" x14ac:dyDescent="0.3">
      <c r="B78" s="24">
        <v>58</v>
      </c>
      <c r="C78" s="24">
        <v>36</v>
      </c>
      <c r="D78" s="24">
        <v>0</v>
      </c>
      <c r="E78" s="24">
        <v>0</v>
      </c>
      <c r="F78" s="24">
        <v>0</v>
      </c>
      <c r="G78" s="24">
        <v>1</v>
      </c>
      <c r="H78" s="24">
        <v>0</v>
      </c>
      <c r="I78" s="24">
        <v>0</v>
      </c>
      <c r="J78" s="24">
        <v>9566</v>
      </c>
      <c r="K78" s="24">
        <v>2</v>
      </c>
      <c r="L78" s="24">
        <v>0</v>
      </c>
      <c r="M78" s="24">
        <v>0</v>
      </c>
      <c r="N78" s="24">
        <v>0</v>
      </c>
      <c r="O78" s="24">
        <v>0</v>
      </c>
      <c r="P78" s="24">
        <v>0</v>
      </c>
      <c r="Q78" s="24">
        <v>0</v>
      </c>
      <c r="R78" s="24">
        <v>0</v>
      </c>
      <c r="S78" s="24">
        <v>31</v>
      </c>
      <c r="T78" s="24">
        <v>1</v>
      </c>
      <c r="U78" s="24">
        <v>0</v>
      </c>
      <c r="V78" s="24">
        <v>1</v>
      </c>
      <c r="W78" s="24">
        <v>2</v>
      </c>
      <c r="X78" s="24">
        <v>1</v>
      </c>
      <c r="Y78" s="24">
        <v>0</v>
      </c>
      <c r="Z78" s="24">
        <v>0</v>
      </c>
      <c r="AA78" s="24">
        <v>1</v>
      </c>
      <c r="AB78" s="24">
        <v>0</v>
      </c>
      <c r="AC78" s="24">
        <v>0</v>
      </c>
      <c r="AD78" s="24">
        <v>0</v>
      </c>
      <c r="AE78" s="24">
        <v>1</v>
      </c>
      <c r="AF78" s="24">
        <v>0</v>
      </c>
      <c r="AG78" s="24">
        <v>0</v>
      </c>
      <c r="AH78" s="24">
        <v>0</v>
      </c>
      <c r="AI78" s="24">
        <v>0</v>
      </c>
      <c r="AJ78" s="24">
        <v>1</v>
      </c>
      <c r="AK78" s="24">
        <v>1</v>
      </c>
      <c r="AL78" s="24">
        <v>0</v>
      </c>
      <c r="AM78" s="24">
        <v>0</v>
      </c>
      <c r="AN78" s="24">
        <v>0</v>
      </c>
      <c r="AO78" s="24">
        <v>0</v>
      </c>
      <c r="AP78" s="24">
        <v>0</v>
      </c>
      <c r="AQ78" s="24">
        <v>0</v>
      </c>
      <c r="AR78" s="24">
        <v>1</v>
      </c>
      <c r="AS78" s="24">
        <v>0</v>
      </c>
      <c r="AT78" s="24">
        <v>0</v>
      </c>
      <c r="AU78" s="24">
        <v>0</v>
      </c>
      <c r="AV78" s="24">
        <v>1</v>
      </c>
      <c r="AW78" s="24">
        <v>0</v>
      </c>
      <c r="AX78" s="24">
        <v>0</v>
      </c>
      <c r="AY78" s="24">
        <v>0</v>
      </c>
      <c r="AZ78" s="24">
        <v>0</v>
      </c>
      <c r="BA78" s="24">
        <v>1</v>
      </c>
      <c r="BB78" s="24">
        <v>0</v>
      </c>
    </row>
    <row r="79" spans="2:54" ht="13.8" x14ac:dyDescent="0.3">
      <c r="B79" s="24">
        <v>59</v>
      </c>
      <c r="C79" s="24">
        <v>18</v>
      </c>
      <c r="D79" s="24">
        <v>1</v>
      </c>
      <c r="E79" s="24">
        <v>0</v>
      </c>
      <c r="F79" s="24">
        <v>0</v>
      </c>
      <c r="G79" s="24">
        <v>0</v>
      </c>
      <c r="H79" s="24">
        <v>0</v>
      </c>
      <c r="I79" s="24">
        <v>0</v>
      </c>
      <c r="J79" s="24">
        <v>1961</v>
      </c>
      <c r="K79" s="24">
        <v>3</v>
      </c>
      <c r="L79" s="24">
        <v>0</v>
      </c>
      <c r="M79" s="24">
        <v>0</v>
      </c>
      <c r="N79" s="24">
        <v>0</v>
      </c>
      <c r="O79" s="24">
        <v>0</v>
      </c>
      <c r="P79" s="24">
        <v>0</v>
      </c>
      <c r="Q79" s="24">
        <v>0</v>
      </c>
      <c r="R79" s="24">
        <v>0</v>
      </c>
      <c r="S79" s="24">
        <v>23</v>
      </c>
      <c r="T79" s="24">
        <v>0</v>
      </c>
      <c r="U79" s="24">
        <v>0</v>
      </c>
      <c r="V79" s="24">
        <v>1</v>
      </c>
      <c r="W79" s="24">
        <v>1</v>
      </c>
      <c r="X79" s="24">
        <v>1</v>
      </c>
      <c r="Y79" s="24">
        <v>0</v>
      </c>
      <c r="Z79" s="24">
        <v>0</v>
      </c>
      <c r="AA79" s="24">
        <v>1</v>
      </c>
      <c r="AB79" s="24">
        <v>0</v>
      </c>
      <c r="AC79" s="24">
        <v>0</v>
      </c>
      <c r="AD79" s="24">
        <v>1</v>
      </c>
      <c r="AE79" s="24">
        <v>0</v>
      </c>
      <c r="AF79" s="24">
        <v>0</v>
      </c>
      <c r="AG79" s="24">
        <v>0</v>
      </c>
      <c r="AH79" s="24">
        <v>1</v>
      </c>
      <c r="AI79" s="24">
        <v>0</v>
      </c>
      <c r="AJ79" s="24">
        <v>0</v>
      </c>
      <c r="AK79" s="24">
        <v>1</v>
      </c>
      <c r="AL79" s="24">
        <v>0</v>
      </c>
      <c r="AM79" s="24">
        <v>0</v>
      </c>
      <c r="AN79" s="24">
        <v>0</v>
      </c>
      <c r="AO79" s="24">
        <v>0</v>
      </c>
      <c r="AP79" s="24">
        <v>0</v>
      </c>
      <c r="AQ79" s="24">
        <v>0</v>
      </c>
      <c r="AR79" s="24">
        <v>0</v>
      </c>
      <c r="AS79" s="24">
        <v>0</v>
      </c>
      <c r="AT79" s="24">
        <v>1</v>
      </c>
      <c r="AU79" s="24">
        <v>0</v>
      </c>
      <c r="AV79" s="24">
        <v>1</v>
      </c>
      <c r="AW79" s="24">
        <v>0</v>
      </c>
      <c r="AX79" s="24">
        <v>0</v>
      </c>
      <c r="AY79" s="24">
        <v>0</v>
      </c>
      <c r="AZ79" s="24">
        <v>0</v>
      </c>
      <c r="BA79" s="24">
        <v>0</v>
      </c>
      <c r="BB79" s="24">
        <v>1</v>
      </c>
    </row>
    <row r="80" spans="2:54" ht="13.8" x14ac:dyDescent="0.3">
      <c r="B80" s="24">
        <v>60</v>
      </c>
      <c r="C80" s="24">
        <v>36</v>
      </c>
      <c r="D80" s="24">
        <v>0</v>
      </c>
      <c r="E80" s="24">
        <v>0</v>
      </c>
      <c r="F80" s="24">
        <v>1</v>
      </c>
      <c r="G80" s="24">
        <v>0</v>
      </c>
      <c r="H80" s="24">
        <v>0</v>
      </c>
      <c r="I80" s="24">
        <v>0</v>
      </c>
      <c r="J80" s="24">
        <v>6229</v>
      </c>
      <c r="K80" s="24">
        <v>4</v>
      </c>
      <c r="L80" s="24">
        <v>0</v>
      </c>
      <c r="M80" s="24">
        <v>0</v>
      </c>
      <c r="N80" s="24">
        <v>0</v>
      </c>
      <c r="O80" s="24">
        <v>1</v>
      </c>
      <c r="P80" s="24">
        <v>0</v>
      </c>
      <c r="Q80" s="24">
        <v>0</v>
      </c>
      <c r="R80" s="24">
        <v>1</v>
      </c>
      <c r="S80" s="24">
        <v>23</v>
      </c>
      <c r="T80" s="24">
        <v>0</v>
      </c>
      <c r="U80" s="24">
        <v>1</v>
      </c>
      <c r="V80" s="24">
        <v>0</v>
      </c>
      <c r="W80" s="24">
        <v>2</v>
      </c>
      <c r="X80" s="24">
        <v>1</v>
      </c>
      <c r="Y80" s="24">
        <v>1</v>
      </c>
      <c r="Z80" s="24">
        <v>0</v>
      </c>
      <c r="AA80" s="24">
        <v>0</v>
      </c>
      <c r="AB80" s="24">
        <v>1</v>
      </c>
      <c r="AC80" s="24">
        <v>0</v>
      </c>
      <c r="AD80" s="24">
        <v>0</v>
      </c>
      <c r="AE80" s="24">
        <v>0</v>
      </c>
      <c r="AF80" s="24">
        <v>0</v>
      </c>
      <c r="AG80" s="24">
        <v>0</v>
      </c>
      <c r="AH80" s="24">
        <v>0</v>
      </c>
      <c r="AI80" s="24">
        <v>0</v>
      </c>
      <c r="AJ80" s="24">
        <v>1</v>
      </c>
      <c r="AK80" s="24">
        <v>1</v>
      </c>
      <c r="AL80" s="24">
        <v>0</v>
      </c>
      <c r="AM80" s="24">
        <v>0</v>
      </c>
      <c r="AN80" s="24">
        <v>0</v>
      </c>
      <c r="AO80" s="24">
        <v>0</v>
      </c>
      <c r="AP80" s="24">
        <v>0</v>
      </c>
      <c r="AQ80" s="24">
        <v>1</v>
      </c>
      <c r="AR80" s="24">
        <v>0</v>
      </c>
      <c r="AS80" s="24">
        <v>0</v>
      </c>
      <c r="AT80" s="24">
        <v>0</v>
      </c>
      <c r="AU80" s="24">
        <v>0</v>
      </c>
      <c r="AV80" s="24">
        <v>0</v>
      </c>
      <c r="AW80" s="24">
        <v>0</v>
      </c>
      <c r="AX80" s="24">
        <v>1</v>
      </c>
      <c r="AY80" s="24">
        <v>0</v>
      </c>
      <c r="AZ80" s="24">
        <v>1</v>
      </c>
      <c r="BA80" s="24">
        <v>0</v>
      </c>
      <c r="BB80" s="24">
        <v>0</v>
      </c>
    </row>
    <row r="81" spans="2:54" ht="13.8" x14ac:dyDescent="0.3">
      <c r="B81" s="24">
        <v>61</v>
      </c>
      <c r="C81" s="24">
        <v>9</v>
      </c>
      <c r="D81" s="24">
        <v>0</v>
      </c>
      <c r="E81" s="24">
        <v>0</v>
      </c>
      <c r="F81" s="24">
        <v>0</v>
      </c>
      <c r="G81" s="24">
        <v>0</v>
      </c>
      <c r="H81" s="24">
        <v>0</v>
      </c>
      <c r="I81" s="24">
        <v>1</v>
      </c>
      <c r="J81" s="24">
        <v>1391</v>
      </c>
      <c r="K81" s="24">
        <v>2</v>
      </c>
      <c r="L81" s="24">
        <v>0</v>
      </c>
      <c r="M81" s="24">
        <v>0</v>
      </c>
      <c r="N81" s="24">
        <v>1</v>
      </c>
      <c r="O81" s="24">
        <v>0</v>
      </c>
      <c r="P81" s="24">
        <v>0</v>
      </c>
      <c r="Q81" s="24">
        <v>1</v>
      </c>
      <c r="R81" s="24">
        <v>0</v>
      </c>
      <c r="S81" s="24">
        <v>27</v>
      </c>
      <c r="T81" s="24">
        <v>1</v>
      </c>
      <c r="U81" s="24">
        <v>0</v>
      </c>
      <c r="V81" s="24">
        <v>1</v>
      </c>
      <c r="W81" s="24">
        <v>1</v>
      </c>
      <c r="X81" s="24">
        <v>1</v>
      </c>
      <c r="Y81" s="24">
        <v>1</v>
      </c>
      <c r="Z81" s="24">
        <v>0</v>
      </c>
      <c r="AA81" s="24">
        <v>1</v>
      </c>
      <c r="AB81" s="24">
        <v>0</v>
      </c>
      <c r="AC81" s="24">
        <v>1</v>
      </c>
      <c r="AD81" s="24">
        <v>0</v>
      </c>
      <c r="AE81" s="24">
        <v>0</v>
      </c>
      <c r="AF81" s="24">
        <v>0</v>
      </c>
      <c r="AG81" s="24">
        <v>0</v>
      </c>
      <c r="AH81" s="24">
        <v>1</v>
      </c>
      <c r="AI81" s="24">
        <v>0</v>
      </c>
      <c r="AJ81" s="24">
        <v>0</v>
      </c>
      <c r="AK81" s="24">
        <v>1</v>
      </c>
      <c r="AL81" s="24">
        <v>0</v>
      </c>
      <c r="AM81" s="24">
        <v>0</v>
      </c>
      <c r="AN81" s="24">
        <v>0</v>
      </c>
      <c r="AO81" s="24">
        <v>0</v>
      </c>
      <c r="AP81" s="24">
        <v>0</v>
      </c>
      <c r="AQ81" s="24">
        <v>0</v>
      </c>
      <c r="AR81" s="24">
        <v>1</v>
      </c>
      <c r="AS81" s="24">
        <v>0</v>
      </c>
      <c r="AT81" s="24">
        <v>0</v>
      </c>
      <c r="AU81" s="24">
        <v>1</v>
      </c>
      <c r="AV81" s="24">
        <v>0</v>
      </c>
      <c r="AW81" s="24">
        <v>0</v>
      </c>
      <c r="AX81" s="24">
        <v>0</v>
      </c>
      <c r="AY81" s="24">
        <v>0</v>
      </c>
      <c r="AZ81" s="24">
        <v>0</v>
      </c>
      <c r="BA81" s="24">
        <v>1</v>
      </c>
      <c r="BB81" s="24">
        <v>0</v>
      </c>
    </row>
    <row r="82" spans="2:54" ht="13.8" x14ac:dyDescent="0.3">
      <c r="B82" s="24">
        <v>62</v>
      </c>
      <c r="C82" s="24">
        <v>15</v>
      </c>
      <c r="D82" s="24">
        <v>0</v>
      </c>
      <c r="E82" s="24">
        <v>0</v>
      </c>
      <c r="F82" s="24">
        <v>0</v>
      </c>
      <c r="G82" s="24">
        <v>1</v>
      </c>
      <c r="H82" s="24">
        <v>0</v>
      </c>
      <c r="I82" s="24">
        <v>0</v>
      </c>
      <c r="J82" s="24">
        <v>1537</v>
      </c>
      <c r="K82" s="24">
        <v>4</v>
      </c>
      <c r="L82" s="24">
        <v>0</v>
      </c>
      <c r="M82" s="24">
        <v>1</v>
      </c>
      <c r="N82" s="24">
        <v>0</v>
      </c>
      <c r="O82" s="24">
        <v>0</v>
      </c>
      <c r="P82" s="24">
        <v>1</v>
      </c>
      <c r="Q82" s="24">
        <v>1</v>
      </c>
      <c r="R82" s="24">
        <v>0</v>
      </c>
      <c r="S82" s="24">
        <v>50</v>
      </c>
      <c r="T82" s="24">
        <v>0</v>
      </c>
      <c r="U82" s="24">
        <v>0</v>
      </c>
      <c r="V82" s="24">
        <v>1</v>
      </c>
      <c r="W82" s="24">
        <v>2</v>
      </c>
      <c r="X82" s="24">
        <v>1</v>
      </c>
      <c r="Y82" s="24">
        <v>1</v>
      </c>
      <c r="Z82" s="24">
        <v>0</v>
      </c>
      <c r="AA82" s="24">
        <v>1</v>
      </c>
      <c r="AB82" s="24">
        <v>0</v>
      </c>
      <c r="AC82" s="24">
        <v>1</v>
      </c>
      <c r="AD82" s="24">
        <v>0</v>
      </c>
      <c r="AE82" s="24">
        <v>0</v>
      </c>
      <c r="AF82" s="24">
        <v>0</v>
      </c>
      <c r="AG82" s="24">
        <v>0</v>
      </c>
      <c r="AH82" s="24">
        <v>0</v>
      </c>
      <c r="AI82" s="24">
        <v>0</v>
      </c>
      <c r="AJ82" s="24">
        <v>1</v>
      </c>
      <c r="AK82" s="24">
        <v>0</v>
      </c>
      <c r="AL82" s="24">
        <v>0</v>
      </c>
      <c r="AM82" s="24">
        <v>0</v>
      </c>
      <c r="AN82" s="24">
        <v>0</v>
      </c>
      <c r="AO82" s="24">
        <v>1</v>
      </c>
      <c r="AP82" s="24">
        <v>0</v>
      </c>
      <c r="AQ82" s="24">
        <v>0</v>
      </c>
      <c r="AR82" s="24">
        <v>0</v>
      </c>
      <c r="AS82" s="24">
        <v>0</v>
      </c>
      <c r="AT82" s="24">
        <v>1</v>
      </c>
      <c r="AU82" s="24">
        <v>0</v>
      </c>
      <c r="AV82" s="24">
        <v>0</v>
      </c>
      <c r="AW82" s="24">
        <v>0</v>
      </c>
      <c r="AX82" s="24">
        <v>1</v>
      </c>
      <c r="AY82" s="24">
        <v>0</v>
      </c>
      <c r="AZ82" s="24">
        <v>0</v>
      </c>
      <c r="BA82" s="24">
        <v>1</v>
      </c>
      <c r="BB82" s="24">
        <v>0</v>
      </c>
    </row>
    <row r="83" spans="2:54" ht="13.8" x14ac:dyDescent="0.3">
      <c r="B83" s="24">
        <v>63</v>
      </c>
      <c r="C83" s="24">
        <v>36</v>
      </c>
      <c r="D83" s="24">
        <v>0</v>
      </c>
      <c r="E83" s="24">
        <v>0</v>
      </c>
      <c r="F83" s="24">
        <v>0</v>
      </c>
      <c r="G83" s="24">
        <v>0</v>
      </c>
      <c r="H83" s="24">
        <v>0</v>
      </c>
      <c r="I83" s="24">
        <v>1</v>
      </c>
      <c r="J83" s="24">
        <v>1953</v>
      </c>
      <c r="K83" s="24">
        <v>4</v>
      </c>
      <c r="L83" s="24">
        <v>0</v>
      </c>
      <c r="M83" s="24">
        <v>1</v>
      </c>
      <c r="N83" s="24">
        <v>0</v>
      </c>
      <c r="O83" s="24">
        <v>0</v>
      </c>
      <c r="P83" s="24">
        <v>0</v>
      </c>
      <c r="Q83" s="24">
        <v>0</v>
      </c>
      <c r="R83" s="24">
        <v>1</v>
      </c>
      <c r="S83" s="24">
        <v>61</v>
      </c>
      <c r="T83" s="24">
        <v>0</v>
      </c>
      <c r="U83" s="24">
        <v>0</v>
      </c>
      <c r="V83" s="24">
        <v>0</v>
      </c>
      <c r="W83" s="24">
        <v>1</v>
      </c>
      <c r="X83" s="24">
        <v>1</v>
      </c>
      <c r="Y83" s="24">
        <v>1</v>
      </c>
      <c r="Z83" s="24">
        <v>0</v>
      </c>
      <c r="AA83" s="24">
        <v>0</v>
      </c>
      <c r="AB83" s="24">
        <v>0</v>
      </c>
      <c r="AC83" s="24">
        <v>1</v>
      </c>
      <c r="AD83" s="24">
        <v>0</v>
      </c>
      <c r="AE83" s="24">
        <v>0</v>
      </c>
      <c r="AF83" s="24">
        <v>1</v>
      </c>
      <c r="AG83" s="24">
        <v>0</v>
      </c>
      <c r="AH83" s="24">
        <v>0</v>
      </c>
      <c r="AI83" s="24">
        <v>0</v>
      </c>
      <c r="AJ83" s="24">
        <v>0</v>
      </c>
      <c r="AK83" s="24">
        <v>1</v>
      </c>
      <c r="AL83" s="24">
        <v>0</v>
      </c>
      <c r="AM83" s="24">
        <v>0</v>
      </c>
      <c r="AN83" s="24">
        <v>0</v>
      </c>
      <c r="AO83" s="24">
        <v>0</v>
      </c>
      <c r="AP83" s="24">
        <v>0</v>
      </c>
      <c r="AQ83" s="24">
        <v>0</v>
      </c>
      <c r="AR83" s="24">
        <v>0</v>
      </c>
      <c r="AS83" s="24">
        <v>0</v>
      </c>
      <c r="AT83" s="24">
        <v>1</v>
      </c>
      <c r="AU83" s="24">
        <v>0</v>
      </c>
      <c r="AV83" s="24">
        <v>0</v>
      </c>
      <c r="AW83" s="24">
        <v>0</v>
      </c>
      <c r="AX83" s="24">
        <v>1</v>
      </c>
      <c r="AY83" s="24">
        <v>0</v>
      </c>
      <c r="AZ83" s="24">
        <v>0</v>
      </c>
      <c r="BA83" s="24">
        <v>0</v>
      </c>
      <c r="BB83" s="24">
        <v>1</v>
      </c>
    </row>
    <row r="84" spans="2:54" ht="13.8" x14ac:dyDescent="0.3">
      <c r="B84" s="24">
        <v>64</v>
      </c>
      <c r="C84" s="24">
        <v>48</v>
      </c>
      <c r="D84" s="24">
        <v>0</v>
      </c>
      <c r="E84" s="24">
        <v>0</v>
      </c>
      <c r="F84" s="24">
        <v>0</v>
      </c>
      <c r="G84" s="24">
        <v>0</v>
      </c>
      <c r="H84" s="24">
        <v>0</v>
      </c>
      <c r="I84" s="24">
        <v>1</v>
      </c>
      <c r="J84" s="24">
        <v>14421</v>
      </c>
      <c r="K84" s="24">
        <v>2</v>
      </c>
      <c r="L84" s="24">
        <v>0</v>
      </c>
      <c r="M84" s="24">
        <v>1</v>
      </c>
      <c r="N84" s="24">
        <v>0</v>
      </c>
      <c r="O84" s="24">
        <v>0</v>
      </c>
      <c r="P84" s="24">
        <v>0</v>
      </c>
      <c r="Q84" s="24">
        <v>0</v>
      </c>
      <c r="R84" s="24">
        <v>0</v>
      </c>
      <c r="S84" s="24">
        <v>25</v>
      </c>
      <c r="T84" s="24">
        <v>0</v>
      </c>
      <c r="U84" s="24">
        <v>0</v>
      </c>
      <c r="V84" s="24">
        <v>1</v>
      </c>
      <c r="W84" s="24">
        <v>1</v>
      </c>
      <c r="X84" s="24">
        <v>1</v>
      </c>
      <c r="Y84" s="24">
        <v>1</v>
      </c>
      <c r="Z84" s="24">
        <v>0</v>
      </c>
      <c r="AA84" s="24">
        <v>0</v>
      </c>
      <c r="AB84" s="24">
        <v>0</v>
      </c>
      <c r="AC84" s="24">
        <v>1</v>
      </c>
      <c r="AD84" s="24">
        <v>0</v>
      </c>
      <c r="AE84" s="24">
        <v>0</v>
      </c>
      <c r="AF84" s="24">
        <v>1</v>
      </c>
      <c r="AG84" s="24">
        <v>0</v>
      </c>
      <c r="AH84" s="24">
        <v>0</v>
      </c>
      <c r="AI84" s="24">
        <v>0</v>
      </c>
      <c r="AJ84" s="24">
        <v>0</v>
      </c>
      <c r="AK84" s="24">
        <v>1</v>
      </c>
      <c r="AL84" s="24">
        <v>0</v>
      </c>
      <c r="AM84" s="24">
        <v>0</v>
      </c>
      <c r="AN84" s="24">
        <v>0</v>
      </c>
      <c r="AO84" s="24">
        <v>0</v>
      </c>
      <c r="AP84" s="24">
        <v>0</v>
      </c>
      <c r="AQ84" s="24">
        <v>0</v>
      </c>
      <c r="AR84" s="24">
        <v>1</v>
      </c>
      <c r="AS84" s="24">
        <v>0</v>
      </c>
      <c r="AT84" s="24">
        <v>0</v>
      </c>
      <c r="AU84" s="24">
        <v>0</v>
      </c>
      <c r="AV84" s="24">
        <v>1</v>
      </c>
      <c r="AW84" s="24">
        <v>0</v>
      </c>
      <c r="AX84" s="24">
        <v>0</v>
      </c>
      <c r="AY84" s="24">
        <v>0</v>
      </c>
      <c r="AZ84" s="24">
        <v>0</v>
      </c>
      <c r="BA84" s="24">
        <v>1</v>
      </c>
      <c r="BB84" s="24">
        <v>0</v>
      </c>
    </row>
    <row r="85" spans="2:54" ht="13.8" x14ac:dyDescent="0.3">
      <c r="B85" s="24">
        <v>65</v>
      </c>
      <c r="C85" s="24">
        <v>24</v>
      </c>
      <c r="D85" s="24">
        <v>0</v>
      </c>
      <c r="E85" s="24">
        <v>0</v>
      </c>
      <c r="F85" s="24">
        <v>0</v>
      </c>
      <c r="G85" s="24">
        <v>1</v>
      </c>
      <c r="H85" s="24">
        <v>0</v>
      </c>
      <c r="I85" s="24">
        <v>0</v>
      </c>
      <c r="J85" s="24">
        <v>3181</v>
      </c>
      <c r="K85" s="24">
        <v>4</v>
      </c>
      <c r="L85" s="24">
        <v>0</v>
      </c>
      <c r="M85" s="24">
        <v>0</v>
      </c>
      <c r="N85" s="24">
        <v>0</v>
      </c>
      <c r="O85" s="24">
        <v>0</v>
      </c>
      <c r="P85" s="24">
        <v>0</v>
      </c>
      <c r="Q85" s="24">
        <v>0</v>
      </c>
      <c r="R85" s="24">
        <v>0</v>
      </c>
      <c r="S85" s="24">
        <v>26</v>
      </c>
      <c r="T85" s="24">
        <v>0</v>
      </c>
      <c r="U85" s="24">
        <v>0</v>
      </c>
      <c r="V85" s="24">
        <v>1</v>
      </c>
      <c r="W85" s="24">
        <v>1</v>
      </c>
      <c r="X85" s="24">
        <v>1</v>
      </c>
      <c r="Y85" s="24">
        <v>1</v>
      </c>
      <c r="Z85" s="24">
        <v>0</v>
      </c>
      <c r="AA85" s="24">
        <v>1</v>
      </c>
      <c r="AB85" s="24">
        <v>0</v>
      </c>
      <c r="AC85" s="24">
        <v>0</v>
      </c>
      <c r="AD85" s="24">
        <v>0</v>
      </c>
      <c r="AE85" s="24">
        <v>1</v>
      </c>
      <c r="AF85" s="24">
        <v>0</v>
      </c>
      <c r="AG85" s="24">
        <v>0</v>
      </c>
      <c r="AH85" s="24">
        <v>1</v>
      </c>
      <c r="AI85" s="24">
        <v>0</v>
      </c>
      <c r="AJ85" s="24">
        <v>0</v>
      </c>
      <c r="AK85" s="24">
        <v>1</v>
      </c>
      <c r="AL85" s="24">
        <v>0</v>
      </c>
      <c r="AM85" s="24">
        <v>0</v>
      </c>
      <c r="AN85" s="24">
        <v>0</v>
      </c>
      <c r="AO85" s="24">
        <v>0</v>
      </c>
      <c r="AP85" s="24">
        <v>0</v>
      </c>
      <c r="AQ85" s="24">
        <v>1</v>
      </c>
      <c r="AR85" s="24">
        <v>0</v>
      </c>
      <c r="AS85" s="24">
        <v>0</v>
      </c>
      <c r="AT85" s="24">
        <v>0</v>
      </c>
      <c r="AU85" s="24">
        <v>0</v>
      </c>
      <c r="AV85" s="24">
        <v>0</v>
      </c>
      <c r="AW85" s="24">
        <v>0</v>
      </c>
      <c r="AX85" s="24">
        <v>1</v>
      </c>
      <c r="AY85" s="24">
        <v>0</v>
      </c>
      <c r="AZ85" s="24">
        <v>0</v>
      </c>
      <c r="BA85" s="24">
        <v>1</v>
      </c>
      <c r="BB85" s="24">
        <v>0</v>
      </c>
    </row>
    <row r="86" spans="2:54" ht="13.8" x14ac:dyDescent="0.3">
      <c r="B86" s="24">
        <v>66</v>
      </c>
      <c r="C86" s="24">
        <v>27</v>
      </c>
      <c r="D86" s="24">
        <v>0</v>
      </c>
      <c r="E86" s="24">
        <v>0</v>
      </c>
      <c r="F86" s="24">
        <v>0</v>
      </c>
      <c r="G86" s="24">
        <v>0</v>
      </c>
      <c r="H86" s="24">
        <v>0</v>
      </c>
      <c r="I86" s="24">
        <v>0</v>
      </c>
      <c r="J86" s="24">
        <v>5190</v>
      </c>
      <c r="K86" s="24">
        <v>4</v>
      </c>
      <c r="L86" s="24">
        <v>0</v>
      </c>
      <c r="M86" s="24">
        <v>1</v>
      </c>
      <c r="N86" s="24">
        <v>0</v>
      </c>
      <c r="O86" s="24">
        <v>0</v>
      </c>
      <c r="P86" s="24">
        <v>0</v>
      </c>
      <c r="Q86" s="24">
        <v>0</v>
      </c>
      <c r="R86" s="24">
        <v>0</v>
      </c>
      <c r="S86" s="24">
        <v>48</v>
      </c>
      <c r="T86" s="24">
        <v>0</v>
      </c>
      <c r="U86" s="24">
        <v>0</v>
      </c>
      <c r="V86" s="24">
        <v>1</v>
      </c>
      <c r="W86" s="24">
        <v>4</v>
      </c>
      <c r="X86" s="24">
        <v>2</v>
      </c>
      <c r="Y86" s="24">
        <v>1</v>
      </c>
      <c r="Z86" s="24">
        <v>0</v>
      </c>
      <c r="AA86" s="24">
        <v>1</v>
      </c>
      <c r="AB86" s="24">
        <v>0</v>
      </c>
      <c r="AC86" s="24">
        <v>0</v>
      </c>
      <c r="AD86" s="24">
        <v>0</v>
      </c>
      <c r="AE86" s="24">
        <v>1</v>
      </c>
      <c r="AF86" s="24">
        <v>0</v>
      </c>
      <c r="AG86" s="24">
        <v>0</v>
      </c>
      <c r="AH86" s="24">
        <v>1</v>
      </c>
      <c r="AI86" s="24">
        <v>0</v>
      </c>
      <c r="AJ86" s="24">
        <v>0</v>
      </c>
      <c r="AK86" s="24">
        <v>0</v>
      </c>
      <c r="AL86" s="24">
        <v>0</v>
      </c>
      <c r="AM86" s="24">
        <v>0</v>
      </c>
      <c r="AN86" s="24">
        <v>0</v>
      </c>
      <c r="AO86" s="24">
        <v>1</v>
      </c>
      <c r="AP86" s="24">
        <v>0</v>
      </c>
      <c r="AQ86" s="24">
        <v>0</v>
      </c>
      <c r="AR86" s="24">
        <v>0</v>
      </c>
      <c r="AS86" s="24">
        <v>0</v>
      </c>
      <c r="AT86" s="24">
        <v>1</v>
      </c>
      <c r="AU86" s="24">
        <v>0</v>
      </c>
      <c r="AV86" s="24">
        <v>0</v>
      </c>
      <c r="AW86" s="24">
        <v>0</v>
      </c>
      <c r="AX86" s="24">
        <v>1</v>
      </c>
      <c r="AY86" s="24">
        <v>0</v>
      </c>
      <c r="AZ86" s="24">
        <v>0</v>
      </c>
      <c r="BA86" s="24">
        <v>1</v>
      </c>
      <c r="BB86" s="24">
        <v>0</v>
      </c>
    </row>
    <row r="87" spans="2:54" ht="13.8" x14ac:dyDescent="0.3">
      <c r="B87" s="24">
        <v>67</v>
      </c>
      <c r="C87" s="24">
        <v>12</v>
      </c>
      <c r="D87" s="24">
        <v>0</v>
      </c>
      <c r="E87" s="24">
        <v>0</v>
      </c>
      <c r="F87" s="24">
        <v>0</v>
      </c>
      <c r="G87" s="24">
        <v>1</v>
      </c>
      <c r="H87" s="24">
        <v>0</v>
      </c>
      <c r="I87" s="24">
        <v>0</v>
      </c>
      <c r="J87" s="24">
        <v>2171</v>
      </c>
      <c r="K87" s="24">
        <v>2</v>
      </c>
      <c r="L87" s="24">
        <v>0</v>
      </c>
      <c r="M87" s="24">
        <v>0</v>
      </c>
      <c r="N87" s="24">
        <v>0</v>
      </c>
      <c r="O87" s="24">
        <v>0</v>
      </c>
      <c r="P87" s="24">
        <v>0</v>
      </c>
      <c r="Q87" s="24">
        <v>0</v>
      </c>
      <c r="R87" s="24">
        <v>0</v>
      </c>
      <c r="S87" s="24">
        <v>29</v>
      </c>
      <c r="T87" s="24">
        <v>1</v>
      </c>
      <c r="U87" s="24">
        <v>0</v>
      </c>
      <c r="V87" s="24">
        <v>1</v>
      </c>
      <c r="W87" s="24">
        <v>1</v>
      </c>
      <c r="X87" s="24">
        <v>1</v>
      </c>
      <c r="Y87" s="24">
        <v>0</v>
      </c>
      <c r="Z87" s="24">
        <v>0</v>
      </c>
      <c r="AA87" s="24">
        <v>1</v>
      </c>
      <c r="AB87" s="24">
        <v>0</v>
      </c>
      <c r="AC87" s="24">
        <v>0</v>
      </c>
      <c r="AD87" s="24">
        <v>0</v>
      </c>
      <c r="AE87" s="24">
        <v>1</v>
      </c>
      <c r="AF87" s="24">
        <v>0</v>
      </c>
      <c r="AG87" s="24">
        <v>0</v>
      </c>
      <c r="AH87" s="24">
        <v>1</v>
      </c>
      <c r="AI87" s="24">
        <v>0</v>
      </c>
      <c r="AJ87" s="24">
        <v>0</v>
      </c>
      <c r="AK87" s="24">
        <v>1</v>
      </c>
      <c r="AL87" s="24">
        <v>0</v>
      </c>
      <c r="AM87" s="24">
        <v>0</v>
      </c>
      <c r="AN87" s="24">
        <v>0</v>
      </c>
      <c r="AO87" s="24">
        <v>0</v>
      </c>
      <c r="AP87" s="24">
        <v>0</v>
      </c>
      <c r="AQ87" s="24">
        <v>1</v>
      </c>
      <c r="AR87" s="24">
        <v>0</v>
      </c>
      <c r="AS87" s="24">
        <v>0</v>
      </c>
      <c r="AT87" s="24">
        <v>0</v>
      </c>
      <c r="AU87" s="24">
        <v>0</v>
      </c>
      <c r="AV87" s="24">
        <v>1</v>
      </c>
      <c r="AW87" s="24">
        <v>0</v>
      </c>
      <c r="AX87" s="24">
        <v>0</v>
      </c>
      <c r="AY87" s="24">
        <v>0</v>
      </c>
      <c r="AZ87" s="24">
        <v>0</v>
      </c>
      <c r="BA87" s="24">
        <v>1</v>
      </c>
      <c r="BB87" s="24">
        <v>0</v>
      </c>
    </row>
    <row r="88" spans="2:54" ht="13.8" x14ac:dyDescent="0.3">
      <c r="B88" s="24">
        <v>68</v>
      </c>
      <c r="C88" s="24">
        <v>12</v>
      </c>
      <c r="D88" s="24">
        <v>1</v>
      </c>
      <c r="E88" s="24">
        <v>0</v>
      </c>
      <c r="F88" s="24">
        <v>0</v>
      </c>
      <c r="G88" s="24">
        <v>0</v>
      </c>
      <c r="H88" s="24">
        <v>0</v>
      </c>
      <c r="I88" s="24">
        <v>0</v>
      </c>
      <c r="J88" s="24">
        <v>1007</v>
      </c>
      <c r="K88" s="24">
        <v>4</v>
      </c>
      <c r="L88" s="24">
        <v>0</v>
      </c>
      <c r="M88" s="24">
        <v>0</v>
      </c>
      <c r="N88" s="24">
        <v>1</v>
      </c>
      <c r="O88" s="24">
        <v>0</v>
      </c>
      <c r="P88" s="24">
        <v>0</v>
      </c>
      <c r="Q88" s="24">
        <v>1</v>
      </c>
      <c r="R88" s="24">
        <v>0</v>
      </c>
      <c r="S88" s="24">
        <v>22</v>
      </c>
      <c r="T88" s="24">
        <v>0</v>
      </c>
      <c r="U88" s="24">
        <v>0</v>
      </c>
      <c r="V88" s="24">
        <v>1</v>
      </c>
      <c r="W88" s="24">
        <v>1</v>
      </c>
      <c r="X88" s="24">
        <v>1</v>
      </c>
      <c r="Y88" s="24">
        <v>0</v>
      </c>
      <c r="Z88" s="24">
        <v>0</v>
      </c>
      <c r="AA88" s="24">
        <v>1</v>
      </c>
      <c r="AB88" s="24">
        <v>0</v>
      </c>
      <c r="AC88" s="24">
        <v>1</v>
      </c>
      <c r="AD88" s="24">
        <v>0</v>
      </c>
      <c r="AE88" s="24">
        <v>0</v>
      </c>
      <c r="AF88" s="24">
        <v>0</v>
      </c>
      <c r="AG88" s="24">
        <v>0</v>
      </c>
      <c r="AH88" s="24">
        <v>1</v>
      </c>
      <c r="AI88" s="24">
        <v>0</v>
      </c>
      <c r="AJ88" s="24">
        <v>0</v>
      </c>
      <c r="AK88" s="24">
        <v>0</v>
      </c>
      <c r="AL88" s="24">
        <v>0</v>
      </c>
      <c r="AM88" s="24">
        <v>0</v>
      </c>
      <c r="AN88" s="24">
        <v>1</v>
      </c>
      <c r="AO88" s="24">
        <v>0</v>
      </c>
      <c r="AP88" s="24">
        <v>0</v>
      </c>
      <c r="AQ88" s="24">
        <v>0</v>
      </c>
      <c r="AR88" s="24">
        <v>1</v>
      </c>
      <c r="AS88" s="24">
        <v>0</v>
      </c>
      <c r="AT88" s="24">
        <v>0</v>
      </c>
      <c r="AU88" s="24">
        <v>1</v>
      </c>
      <c r="AV88" s="24">
        <v>0</v>
      </c>
      <c r="AW88" s="24">
        <v>0</v>
      </c>
      <c r="AX88" s="24">
        <v>0</v>
      </c>
      <c r="AY88" s="24">
        <v>0</v>
      </c>
      <c r="AZ88" s="24">
        <v>0</v>
      </c>
      <c r="BA88" s="24">
        <v>1</v>
      </c>
      <c r="BB88" s="24">
        <v>0</v>
      </c>
    </row>
    <row r="89" spans="2:54" ht="13.8" x14ac:dyDescent="0.3">
      <c r="B89" s="24">
        <v>69</v>
      </c>
      <c r="C89" s="24">
        <v>36</v>
      </c>
      <c r="D89" s="24">
        <v>0</v>
      </c>
      <c r="E89" s="24">
        <v>0</v>
      </c>
      <c r="F89" s="24">
        <v>0</v>
      </c>
      <c r="G89" s="24">
        <v>0</v>
      </c>
      <c r="H89" s="24">
        <v>1</v>
      </c>
      <c r="I89" s="24">
        <v>0</v>
      </c>
      <c r="J89" s="24">
        <v>1819</v>
      </c>
      <c r="K89" s="24">
        <v>4</v>
      </c>
      <c r="L89" s="24">
        <v>0</v>
      </c>
      <c r="M89" s="24">
        <v>1</v>
      </c>
      <c r="N89" s="24">
        <v>0</v>
      </c>
      <c r="O89" s="24">
        <v>0</v>
      </c>
      <c r="P89" s="24">
        <v>0</v>
      </c>
      <c r="Q89" s="24">
        <v>0</v>
      </c>
      <c r="R89" s="24">
        <v>1</v>
      </c>
      <c r="S89" s="24">
        <v>37</v>
      </c>
      <c r="T89" s="24">
        <v>1</v>
      </c>
      <c r="U89" s="24">
        <v>0</v>
      </c>
      <c r="V89" s="24">
        <v>0</v>
      </c>
      <c r="W89" s="24">
        <v>1</v>
      </c>
      <c r="X89" s="24">
        <v>1</v>
      </c>
      <c r="Y89" s="24">
        <v>1</v>
      </c>
      <c r="Z89" s="24">
        <v>0</v>
      </c>
      <c r="AA89" s="24">
        <v>0</v>
      </c>
      <c r="AB89" s="24">
        <v>0</v>
      </c>
      <c r="AC89" s="24">
        <v>0</v>
      </c>
      <c r="AD89" s="24">
        <v>0</v>
      </c>
      <c r="AE89" s="24">
        <v>1</v>
      </c>
      <c r="AF89" s="24">
        <v>0</v>
      </c>
      <c r="AG89" s="24">
        <v>0</v>
      </c>
      <c r="AH89" s="24">
        <v>1</v>
      </c>
      <c r="AI89" s="24">
        <v>0</v>
      </c>
      <c r="AJ89" s="24">
        <v>0</v>
      </c>
      <c r="AK89" s="24">
        <v>1</v>
      </c>
      <c r="AL89" s="24">
        <v>0</v>
      </c>
      <c r="AM89" s="24">
        <v>0</v>
      </c>
      <c r="AN89" s="24">
        <v>0</v>
      </c>
      <c r="AO89" s="24">
        <v>0</v>
      </c>
      <c r="AP89" s="24">
        <v>0</v>
      </c>
      <c r="AQ89" s="24">
        <v>0</v>
      </c>
      <c r="AR89" s="24">
        <v>1</v>
      </c>
      <c r="AS89" s="24">
        <v>0</v>
      </c>
      <c r="AT89" s="24">
        <v>0</v>
      </c>
      <c r="AU89" s="24">
        <v>0</v>
      </c>
      <c r="AV89" s="24">
        <v>0</v>
      </c>
      <c r="AW89" s="24">
        <v>0</v>
      </c>
      <c r="AX89" s="24">
        <v>1</v>
      </c>
      <c r="AY89" s="24">
        <v>0</v>
      </c>
      <c r="AZ89" s="24">
        <v>0</v>
      </c>
      <c r="BA89" s="24">
        <v>1</v>
      </c>
      <c r="BB89" s="24">
        <v>0</v>
      </c>
    </row>
    <row r="90" spans="2:54" ht="13.8" x14ac:dyDescent="0.3">
      <c r="B90" s="24">
        <v>70</v>
      </c>
      <c r="C90" s="24">
        <v>36</v>
      </c>
      <c r="D90" s="24">
        <v>0</v>
      </c>
      <c r="E90" s="24">
        <v>0</v>
      </c>
      <c r="F90" s="24">
        <v>0</v>
      </c>
      <c r="G90" s="24">
        <v>1</v>
      </c>
      <c r="H90" s="24">
        <v>0</v>
      </c>
      <c r="I90" s="24">
        <v>0</v>
      </c>
      <c r="J90" s="24">
        <v>2394</v>
      </c>
      <c r="K90" s="24">
        <v>4</v>
      </c>
      <c r="L90" s="24">
        <v>0</v>
      </c>
      <c r="M90" s="24">
        <v>0</v>
      </c>
      <c r="N90" s="24">
        <v>0</v>
      </c>
      <c r="O90" s="24">
        <v>0</v>
      </c>
      <c r="P90" s="24">
        <v>0</v>
      </c>
      <c r="Q90" s="24">
        <v>0</v>
      </c>
      <c r="R90" s="24">
        <v>0</v>
      </c>
      <c r="S90" s="24">
        <v>25</v>
      </c>
      <c r="T90" s="24">
        <v>0</v>
      </c>
      <c r="U90" s="24">
        <v>0</v>
      </c>
      <c r="V90" s="24">
        <v>1</v>
      </c>
      <c r="W90" s="24">
        <v>1</v>
      </c>
      <c r="X90" s="24">
        <v>1</v>
      </c>
      <c r="Y90" s="24">
        <v>0</v>
      </c>
      <c r="Z90" s="24">
        <v>0</v>
      </c>
      <c r="AA90" s="24">
        <v>1</v>
      </c>
      <c r="AB90" s="24">
        <v>0</v>
      </c>
      <c r="AC90" s="24">
        <v>0</v>
      </c>
      <c r="AD90" s="24">
        <v>0</v>
      </c>
      <c r="AE90" s="24">
        <v>1</v>
      </c>
      <c r="AF90" s="24">
        <v>0</v>
      </c>
      <c r="AG90" s="24">
        <v>0</v>
      </c>
      <c r="AH90" s="24">
        <v>1</v>
      </c>
      <c r="AI90" s="24">
        <v>0</v>
      </c>
      <c r="AJ90" s="24">
        <v>0</v>
      </c>
      <c r="AK90" s="24">
        <v>0</v>
      </c>
      <c r="AL90" s="24">
        <v>0</v>
      </c>
      <c r="AM90" s="24">
        <v>0</v>
      </c>
      <c r="AN90" s="24">
        <v>0</v>
      </c>
      <c r="AO90" s="24">
        <v>1</v>
      </c>
      <c r="AP90" s="24">
        <v>0</v>
      </c>
      <c r="AQ90" s="24">
        <v>0</v>
      </c>
      <c r="AR90" s="24">
        <v>1</v>
      </c>
      <c r="AS90" s="24">
        <v>0</v>
      </c>
      <c r="AT90" s="24">
        <v>0</v>
      </c>
      <c r="AU90" s="24">
        <v>0</v>
      </c>
      <c r="AV90" s="24">
        <v>0</v>
      </c>
      <c r="AW90" s="24">
        <v>0</v>
      </c>
      <c r="AX90" s="24">
        <v>1</v>
      </c>
      <c r="AY90" s="24">
        <v>0</v>
      </c>
      <c r="AZ90" s="24">
        <v>0</v>
      </c>
      <c r="BA90" s="24">
        <v>1</v>
      </c>
      <c r="BB90" s="24">
        <v>0</v>
      </c>
    </row>
    <row r="91" spans="2:54" ht="13.8" x14ac:dyDescent="0.3">
      <c r="B91" s="24">
        <v>71</v>
      </c>
      <c r="C91" s="24">
        <v>36</v>
      </c>
      <c r="D91" s="24">
        <v>0</v>
      </c>
      <c r="E91" s="24">
        <v>1</v>
      </c>
      <c r="F91" s="24">
        <v>0</v>
      </c>
      <c r="G91" s="24">
        <v>0</v>
      </c>
      <c r="H91" s="24">
        <v>0</v>
      </c>
      <c r="I91" s="24">
        <v>0</v>
      </c>
      <c r="J91" s="24">
        <v>8133</v>
      </c>
      <c r="K91" s="24">
        <v>1</v>
      </c>
      <c r="L91" s="24">
        <v>0</v>
      </c>
      <c r="M91" s="24">
        <v>0</v>
      </c>
      <c r="N91" s="24">
        <v>0</v>
      </c>
      <c r="O91" s="24">
        <v>0</v>
      </c>
      <c r="P91" s="24">
        <v>0</v>
      </c>
      <c r="Q91" s="24">
        <v>0</v>
      </c>
      <c r="R91" s="24">
        <v>0</v>
      </c>
      <c r="S91" s="24">
        <v>30</v>
      </c>
      <c r="T91" s="24">
        <v>1</v>
      </c>
      <c r="U91" s="24">
        <v>0</v>
      </c>
      <c r="V91" s="24">
        <v>1</v>
      </c>
      <c r="W91" s="24">
        <v>1</v>
      </c>
      <c r="X91" s="24">
        <v>1</v>
      </c>
      <c r="Y91" s="24">
        <v>0</v>
      </c>
      <c r="Z91" s="24">
        <v>0</v>
      </c>
      <c r="AA91" s="24">
        <v>1</v>
      </c>
      <c r="AB91" s="24">
        <v>0</v>
      </c>
      <c r="AC91" s="24">
        <v>0</v>
      </c>
      <c r="AD91" s="24">
        <v>0</v>
      </c>
      <c r="AE91" s="24">
        <v>1</v>
      </c>
      <c r="AF91" s="24">
        <v>0</v>
      </c>
      <c r="AG91" s="24">
        <v>0</v>
      </c>
      <c r="AH91" s="24">
        <v>1</v>
      </c>
      <c r="AI91" s="24">
        <v>0</v>
      </c>
      <c r="AJ91" s="24">
        <v>0</v>
      </c>
      <c r="AK91" s="24">
        <v>1</v>
      </c>
      <c r="AL91" s="24">
        <v>0</v>
      </c>
      <c r="AM91" s="24">
        <v>0</v>
      </c>
      <c r="AN91" s="24">
        <v>0</v>
      </c>
      <c r="AO91" s="24">
        <v>0</v>
      </c>
      <c r="AP91" s="24">
        <v>0</v>
      </c>
      <c r="AQ91" s="24">
        <v>0</v>
      </c>
      <c r="AR91" s="24">
        <v>1</v>
      </c>
      <c r="AS91" s="24">
        <v>0</v>
      </c>
      <c r="AT91" s="24">
        <v>0</v>
      </c>
      <c r="AU91" s="24">
        <v>0</v>
      </c>
      <c r="AV91" s="24">
        <v>1</v>
      </c>
      <c r="AW91" s="24">
        <v>0</v>
      </c>
      <c r="AX91" s="24">
        <v>0</v>
      </c>
      <c r="AY91" s="24">
        <v>0</v>
      </c>
      <c r="AZ91" s="24">
        <v>0</v>
      </c>
      <c r="BA91" s="24">
        <v>1</v>
      </c>
      <c r="BB91" s="24">
        <v>0</v>
      </c>
    </row>
    <row r="92" spans="2:54" ht="13.8" x14ac:dyDescent="0.3">
      <c r="B92" s="24">
        <v>72</v>
      </c>
      <c r="C92" s="24">
        <v>7</v>
      </c>
      <c r="D92" s="24">
        <v>0</v>
      </c>
      <c r="E92" s="24">
        <v>0</v>
      </c>
      <c r="F92" s="24">
        <v>0</v>
      </c>
      <c r="G92" s="24">
        <v>1</v>
      </c>
      <c r="H92" s="24">
        <v>0</v>
      </c>
      <c r="I92" s="24">
        <v>0</v>
      </c>
      <c r="J92" s="24">
        <v>730</v>
      </c>
      <c r="K92" s="24">
        <v>4</v>
      </c>
      <c r="L92" s="24">
        <v>0</v>
      </c>
      <c r="M92" s="24">
        <v>1</v>
      </c>
      <c r="N92" s="24">
        <v>0</v>
      </c>
      <c r="O92" s="24">
        <v>0</v>
      </c>
      <c r="P92" s="24">
        <v>0</v>
      </c>
      <c r="Q92" s="24">
        <v>0</v>
      </c>
      <c r="R92" s="24">
        <v>0</v>
      </c>
      <c r="S92" s="24">
        <v>46</v>
      </c>
      <c r="T92" s="24">
        <v>0</v>
      </c>
      <c r="U92" s="24">
        <v>1</v>
      </c>
      <c r="V92" s="24">
        <v>0</v>
      </c>
      <c r="W92" s="24">
        <v>2</v>
      </c>
      <c r="X92" s="24">
        <v>1</v>
      </c>
      <c r="Y92" s="24">
        <v>1</v>
      </c>
      <c r="Z92" s="24">
        <v>0</v>
      </c>
      <c r="AA92" s="24">
        <v>1</v>
      </c>
      <c r="AB92" s="24">
        <v>0</v>
      </c>
      <c r="AC92" s="24">
        <v>0</v>
      </c>
      <c r="AD92" s="24">
        <v>0</v>
      </c>
      <c r="AE92" s="24">
        <v>1</v>
      </c>
      <c r="AF92" s="24">
        <v>0</v>
      </c>
      <c r="AG92" s="24">
        <v>0</v>
      </c>
      <c r="AH92" s="24">
        <v>0</v>
      </c>
      <c r="AI92" s="24">
        <v>0</v>
      </c>
      <c r="AJ92" s="24">
        <v>1</v>
      </c>
      <c r="AK92" s="24">
        <v>0</v>
      </c>
      <c r="AL92" s="24">
        <v>0</v>
      </c>
      <c r="AM92" s="24">
        <v>0</v>
      </c>
      <c r="AN92" s="24">
        <v>0</v>
      </c>
      <c r="AO92" s="24">
        <v>1</v>
      </c>
      <c r="AP92" s="24">
        <v>0</v>
      </c>
      <c r="AQ92" s="24">
        <v>0</v>
      </c>
      <c r="AR92" s="24">
        <v>0</v>
      </c>
      <c r="AS92" s="24">
        <v>0</v>
      </c>
      <c r="AT92" s="24">
        <v>1</v>
      </c>
      <c r="AU92" s="24">
        <v>0</v>
      </c>
      <c r="AV92" s="24">
        <v>1</v>
      </c>
      <c r="AW92" s="24">
        <v>0</v>
      </c>
      <c r="AX92" s="24">
        <v>0</v>
      </c>
      <c r="AY92" s="24">
        <v>0</v>
      </c>
      <c r="AZ92" s="24">
        <v>1</v>
      </c>
      <c r="BA92" s="24">
        <v>0</v>
      </c>
      <c r="BB92" s="24">
        <v>0</v>
      </c>
    </row>
    <row r="93" spans="2:54" ht="13.8" x14ac:dyDescent="0.3">
      <c r="B93" s="24">
        <v>73</v>
      </c>
      <c r="C93" s="24">
        <v>8</v>
      </c>
      <c r="D93" s="24">
        <v>0</v>
      </c>
      <c r="E93" s="24">
        <v>0</v>
      </c>
      <c r="F93" s="24">
        <v>0</v>
      </c>
      <c r="G93" s="24">
        <v>0</v>
      </c>
      <c r="H93" s="24">
        <v>0</v>
      </c>
      <c r="I93" s="24">
        <v>0</v>
      </c>
      <c r="J93" s="24">
        <v>1164</v>
      </c>
      <c r="K93" s="24">
        <v>3</v>
      </c>
      <c r="L93" s="24">
        <v>0</v>
      </c>
      <c r="M93" s="24">
        <v>1</v>
      </c>
      <c r="N93" s="24">
        <v>0</v>
      </c>
      <c r="O93" s="24">
        <v>0</v>
      </c>
      <c r="P93" s="24">
        <v>0</v>
      </c>
      <c r="Q93" s="24">
        <v>0</v>
      </c>
      <c r="R93" s="24">
        <v>1</v>
      </c>
      <c r="S93" s="24">
        <v>51</v>
      </c>
      <c r="T93" s="24">
        <v>1</v>
      </c>
      <c r="U93" s="24">
        <v>0</v>
      </c>
      <c r="V93" s="24">
        <v>0</v>
      </c>
      <c r="W93" s="24">
        <v>2</v>
      </c>
      <c r="X93" s="24">
        <v>2</v>
      </c>
      <c r="Y93" s="24">
        <v>1</v>
      </c>
      <c r="Z93" s="24">
        <v>0</v>
      </c>
      <c r="AA93" s="24">
        <v>1</v>
      </c>
      <c r="AB93" s="24">
        <v>1</v>
      </c>
      <c r="AC93" s="24">
        <v>0</v>
      </c>
      <c r="AD93" s="24">
        <v>0</v>
      </c>
      <c r="AE93" s="24">
        <v>0</v>
      </c>
      <c r="AF93" s="24">
        <v>0</v>
      </c>
      <c r="AG93" s="24">
        <v>0</v>
      </c>
      <c r="AH93" s="24">
        <v>0</v>
      </c>
      <c r="AI93" s="24">
        <v>0</v>
      </c>
      <c r="AJ93" s="24">
        <v>1</v>
      </c>
      <c r="AK93" s="24">
        <v>1</v>
      </c>
      <c r="AL93" s="24">
        <v>0</v>
      </c>
      <c r="AM93" s="24">
        <v>0</v>
      </c>
      <c r="AN93" s="24">
        <v>0</v>
      </c>
      <c r="AO93" s="24">
        <v>0</v>
      </c>
      <c r="AP93" s="24">
        <v>0</v>
      </c>
      <c r="AQ93" s="24">
        <v>0</v>
      </c>
      <c r="AR93" s="24">
        <v>0</v>
      </c>
      <c r="AS93" s="24">
        <v>0</v>
      </c>
      <c r="AT93" s="24">
        <v>1</v>
      </c>
      <c r="AU93" s="24">
        <v>0</v>
      </c>
      <c r="AV93" s="24">
        <v>0</v>
      </c>
      <c r="AW93" s="24">
        <v>0</v>
      </c>
      <c r="AX93" s="24">
        <v>1</v>
      </c>
      <c r="AY93" s="24">
        <v>0</v>
      </c>
      <c r="AZ93" s="24">
        <v>0</v>
      </c>
      <c r="BA93" s="24">
        <v>0</v>
      </c>
      <c r="BB93" s="24">
        <v>1</v>
      </c>
    </row>
    <row r="94" spans="2:54" ht="13.8" x14ac:dyDescent="0.3">
      <c r="B94" s="24">
        <v>74</v>
      </c>
      <c r="C94" s="24">
        <v>42</v>
      </c>
      <c r="D94" s="24">
        <v>0</v>
      </c>
      <c r="E94" s="24">
        <v>0</v>
      </c>
      <c r="F94" s="24">
        <v>0</v>
      </c>
      <c r="G94" s="24">
        <v>0</v>
      </c>
      <c r="H94" s="24">
        <v>0</v>
      </c>
      <c r="I94" s="24">
        <v>1</v>
      </c>
      <c r="J94" s="24">
        <v>5954</v>
      </c>
      <c r="K94" s="24">
        <v>2</v>
      </c>
      <c r="L94" s="24">
        <v>0</v>
      </c>
      <c r="M94" s="24">
        <v>0</v>
      </c>
      <c r="N94" s="24">
        <v>0</v>
      </c>
      <c r="O94" s="24">
        <v>0</v>
      </c>
      <c r="P94" s="24">
        <v>0</v>
      </c>
      <c r="Q94" s="24">
        <v>1</v>
      </c>
      <c r="R94" s="24">
        <v>0</v>
      </c>
      <c r="S94" s="24">
        <v>41</v>
      </c>
      <c r="T94" s="24">
        <v>1</v>
      </c>
      <c r="U94" s="24">
        <v>0</v>
      </c>
      <c r="V94" s="24">
        <v>1</v>
      </c>
      <c r="W94" s="24">
        <v>2</v>
      </c>
      <c r="X94" s="24">
        <v>1</v>
      </c>
      <c r="Y94" s="24">
        <v>0</v>
      </c>
      <c r="Z94" s="24">
        <v>0</v>
      </c>
      <c r="AA94" s="24">
        <v>1</v>
      </c>
      <c r="AB94" s="24">
        <v>0</v>
      </c>
      <c r="AC94" s="24">
        <v>1</v>
      </c>
      <c r="AD94" s="24">
        <v>0</v>
      </c>
      <c r="AE94" s="24">
        <v>0</v>
      </c>
      <c r="AF94" s="24">
        <v>0</v>
      </c>
      <c r="AG94" s="24">
        <v>0</v>
      </c>
      <c r="AH94" s="24">
        <v>0</v>
      </c>
      <c r="AI94" s="24">
        <v>0</v>
      </c>
      <c r="AJ94" s="24">
        <v>1</v>
      </c>
      <c r="AK94" s="24">
        <v>1</v>
      </c>
      <c r="AL94" s="24">
        <v>0</v>
      </c>
      <c r="AM94" s="24">
        <v>0</v>
      </c>
      <c r="AN94" s="24">
        <v>0</v>
      </c>
      <c r="AO94" s="24">
        <v>0</v>
      </c>
      <c r="AP94" s="24">
        <v>0</v>
      </c>
      <c r="AQ94" s="24">
        <v>0</v>
      </c>
      <c r="AR94" s="24">
        <v>0</v>
      </c>
      <c r="AS94" s="24">
        <v>1</v>
      </c>
      <c r="AT94" s="24">
        <v>0</v>
      </c>
      <c r="AU94" s="24">
        <v>1</v>
      </c>
      <c r="AV94" s="24">
        <v>0</v>
      </c>
      <c r="AW94" s="24">
        <v>0</v>
      </c>
      <c r="AX94" s="24">
        <v>0</v>
      </c>
      <c r="AY94" s="24">
        <v>0</v>
      </c>
      <c r="AZ94" s="24">
        <v>1</v>
      </c>
      <c r="BA94" s="24">
        <v>0</v>
      </c>
      <c r="BB94" s="24">
        <v>0</v>
      </c>
    </row>
    <row r="95" spans="2:54" ht="13.8" x14ac:dyDescent="0.3">
      <c r="B95" s="24">
        <v>75</v>
      </c>
      <c r="C95" s="24">
        <v>36</v>
      </c>
      <c r="D95" s="24">
        <v>0</v>
      </c>
      <c r="E95" s="24">
        <v>0</v>
      </c>
      <c r="F95" s="24">
        <v>0</v>
      </c>
      <c r="G95" s="24">
        <v>0</v>
      </c>
      <c r="H95" s="24">
        <v>1</v>
      </c>
      <c r="I95" s="24">
        <v>0</v>
      </c>
      <c r="J95" s="24">
        <v>1977</v>
      </c>
      <c r="K95" s="24">
        <v>4</v>
      </c>
      <c r="L95" s="24">
        <v>0</v>
      </c>
      <c r="M95" s="24">
        <v>1</v>
      </c>
      <c r="N95" s="24">
        <v>0</v>
      </c>
      <c r="O95" s="24">
        <v>0</v>
      </c>
      <c r="P95" s="24">
        <v>0</v>
      </c>
      <c r="Q95" s="24">
        <v>0</v>
      </c>
      <c r="R95" s="24">
        <v>1</v>
      </c>
      <c r="S95" s="24">
        <v>40</v>
      </c>
      <c r="T95" s="24">
        <v>0</v>
      </c>
      <c r="U95" s="24">
        <v>0</v>
      </c>
      <c r="V95" s="24">
        <v>1</v>
      </c>
      <c r="W95" s="24">
        <v>1</v>
      </c>
      <c r="X95" s="24">
        <v>1</v>
      </c>
      <c r="Y95" s="24">
        <v>1</v>
      </c>
      <c r="Z95" s="24">
        <v>0</v>
      </c>
      <c r="AA95" s="24">
        <v>0</v>
      </c>
      <c r="AB95" s="24">
        <v>1</v>
      </c>
      <c r="AC95" s="24">
        <v>0</v>
      </c>
      <c r="AD95" s="24">
        <v>0</v>
      </c>
      <c r="AE95" s="24">
        <v>0</v>
      </c>
      <c r="AF95" s="24">
        <v>0</v>
      </c>
      <c r="AG95" s="24">
        <v>0</v>
      </c>
      <c r="AH95" s="24">
        <v>1</v>
      </c>
      <c r="AI95" s="24">
        <v>0</v>
      </c>
      <c r="AJ95" s="24">
        <v>0</v>
      </c>
      <c r="AK95" s="24">
        <v>0</v>
      </c>
      <c r="AL95" s="24">
        <v>0</v>
      </c>
      <c r="AM95" s="24">
        <v>0</v>
      </c>
      <c r="AN95" s="24">
        <v>0</v>
      </c>
      <c r="AO95" s="24">
        <v>1</v>
      </c>
      <c r="AP95" s="24">
        <v>0</v>
      </c>
      <c r="AQ95" s="24">
        <v>0</v>
      </c>
      <c r="AR95" s="24">
        <v>0</v>
      </c>
      <c r="AS95" s="24">
        <v>0</v>
      </c>
      <c r="AT95" s="24">
        <v>1</v>
      </c>
      <c r="AU95" s="24">
        <v>0</v>
      </c>
      <c r="AV95" s="24">
        <v>0</v>
      </c>
      <c r="AW95" s="24">
        <v>0</v>
      </c>
      <c r="AX95" s="24">
        <v>1</v>
      </c>
      <c r="AY95" s="24">
        <v>0</v>
      </c>
      <c r="AZ95" s="24">
        <v>0</v>
      </c>
      <c r="BA95" s="24">
        <v>0</v>
      </c>
      <c r="BB95" s="24">
        <v>1</v>
      </c>
    </row>
    <row r="96" spans="2:54" ht="13.8" x14ac:dyDescent="0.3">
      <c r="B96" s="24">
        <v>76</v>
      </c>
      <c r="C96" s="24">
        <v>12</v>
      </c>
      <c r="D96" s="24">
        <v>0</v>
      </c>
      <c r="E96" s="24">
        <v>1</v>
      </c>
      <c r="F96" s="24">
        <v>0</v>
      </c>
      <c r="G96" s="24">
        <v>0</v>
      </c>
      <c r="H96" s="24">
        <v>0</v>
      </c>
      <c r="I96" s="24">
        <v>0</v>
      </c>
      <c r="J96" s="24">
        <v>1526</v>
      </c>
      <c r="K96" s="24">
        <v>4</v>
      </c>
      <c r="L96" s="24">
        <v>0</v>
      </c>
      <c r="M96" s="24">
        <v>1</v>
      </c>
      <c r="N96" s="24">
        <v>0</v>
      </c>
      <c r="O96" s="24">
        <v>0</v>
      </c>
      <c r="P96" s="24">
        <v>0</v>
      </c>
      <c r="Q96" s="24">
        <v>0</v>
      </c>
      <c r="R96" s="24">
        <v>1</v>
      </c>
      <c r="S96" s="24">
        <v>66</v>
      </c>
      <c r="T96" s="24">
        <v>0</v>
      </c>
      <c r="U96" s="24">
        <v>0</v>
      </c>
      <c r="V96" s="24">
        <v>0</v>
      </c>
      <c r="W96" s="24">
        <v>2</v>
      </c>
      <c r="X96" s="24">
        <v>1</v>
      </c>
      <c r="Y96" s="24">
        <v>0</v>
      </c>
      <c r="Z96" s="24">
        <v>0</v>
      </c>
      <c r="AA96" s="24">
        <v>1</v>
      </c>
      <c r="AB96" s="24">
        <v>1</v>
      </c>
      <c r="AC96" s="24">
        <v>0</v>
      </c>
      <c r="AD96" s="24">
        <v>0</v>
      </c>
      <c r="AE96" s="24">
        <v>0</v>
      </c>
      <c r="AF96" s="24">
        <v>0</v>
      </c>
      <c r="AG96" s="24">
        <v>0</v>
      </c>
      <c r="AH96" s="24">
        <v>0</v>
      </c>
      <c r="AI96" s="24">
        <v>0</v>
      </c>
      <c r="AJ96" s="24">
        <v>1</v>
      </c>
      <c r="AK96" s="24">
        <v>1</v>
      </c>
      <c r="AL96" s="24">
        <v>0</v>
      </c>
      <c r="AM96" s="24">
        <v>0</v>
      </c>
      <c r="AN96" s="24">
        <v>0</v>
      </c>
      <c r="AO96" s="24">
        <v>0</v>
      </c>
      <c r="AP96" s="24">
        <v>0</v>
      </c>
      <c r="AQ96" s="24">
        <v>0</v>
      </c>
      <c r="AR96" s="24">
        <v>0</v>
      </c>
      <c r="AS96" s="24">
        <v>0</v>
      </c>
      <c r="AT96" s="24">
        <v>1</v>
      </c>
      <c r="AU96" s="24">
        <v>0</v>
      </c>
      <c r="AV96" s="24">
        <v>0</v>
      </c>
      <c r="AW96" s="24">
        <v>0</v>
      </c>
      <c r="AX96" s="24">
        <v>1</v>
      </c>
      <c r="AY96" s="24">
        <v>0</v>
      </c>
      <c r="AZ96" s="24">
        <v>0</v>
      </c>
      <c r="BA96" s="24">
        <v>0</v>
      </c>
      <c r="BB96" s="24">
        <v>1</v>
      </c>
    </row>
    <row r="97" spans="2:54" ht="13.8" x14ac:dyDescent="0.3">
      <c r="B97" s="24">
        <v>77</v>
      </c>
      <c r="C97" s="24">
        <v>42</v>
      </c>
      <c r="D97" s="24">
        <v>0</v>
      </c>
      <c r="E97" s="24">
        <v>0</v>
      </c>
      <c r="F97" s="24">
        <v>0</v>
      </c>
      <c r="G97" s="24">
        <v>1</v>
      </c>
      <c r="H97" s="24">
        <v>0</v>
      </c>
      <c r="I97" s="24">
        <v>0</v>
      </c>
      <c r="J97" s="24">
        <v>3965</v>
      </c>
      <c r="K97" s="24">
        <v>4</v>
      </c>
      <c r="L97" s="24">
        <v>0</v>
      </c>
      <c r="M97" s="24">
        <v>1</v>
      </c>
      <c r="N97" s="24">
        <v>0</v>
      </c>
      <c r="O97" s="24">
        <v>0</v>
      </c>
      <c r="P97" s="24">
        <v>0</v>
      </c>
      <c r="Q97" s="24">
        <v>0</v>
      </c>
      <c r="R97" s="24">
        <v>0</v>
      </c>
      <c r="S97" s="24">
        <v>34</v>
      </c>
      <c r="T97" s="24">
        <v>0</v>
      </c>
      <c r="U97" s="24">
        <v>0</v>
      </c>
      <c r="V97" s="24">
        <v>1</v>
      </c>
      <c r="W97" s="24">
        <v>1</v>
      </c>
      <c r="X97" s="24">
        <v>1</v>
      </c>
      <c r="Y97" s="24">
        <v>0</v>
      </c>
      <c r="Z97" s="24">
        <v>0</v>
      </c>
      <c r="AA97" s="24">
        <v>0</v>
      </c>
      <c r="AB97" s="24">
        <v>1</v>
      </c>
      <c r="AC97" s="24">
        <v>0</v>
      </c>
      <c r="AD97" s="24">
        <v>0</v>
      </c>
      <c r="AE97" s="24">
        <v>0</v>
      </c>
      <c r="AF97" s="24">
        <v>0</v>
      </c>
      <c r="AG97" s="24">
        <v>0</v>
      </c>
      <c r="AH97" s="24">
        <v>1</v>
      </c>
      <c r="AI97" s="24">
        <v>0</v>
      </c>
      <c r="AJ97" s="24">
        <v>0</v>
      </c>
      <c r="AK97" s="24">
        <v>1</v>
      </c>
      <c r="AL97" s="24">
        <v>0</v>
      </c>
      <c r="AM97" s="24">
        <v>0</v>
      </c>
      <c r="AN97" s="24">
        <v>0</v>
      </c>
      <c r="AO97" s="24">
        <v>0</v>
      </c>
      <c r="AP97" s="24">
        <v>0</v>
      </c>
      <c r="AQ97" s="24">
        <v>1</v>
      </c>
      <c r="AR97" s="24">
        <v>0</v>
      </c>
      <c r="AS97" s="24">
        <v>0</v>
      </c>
      <c r="AT97" s="24">
        <v>0</v>
      </c>
      <c r="AU97" s="24">
        <v>0</v>
      </c>
      <c r="AV97" s="24">
        <v>0</v>
      </c>
      <c r="AW97" s="24">
        <v>1</v>
      </c>
      <c r="AX97" s="24">
        <v>0</v>
      </c>
      <c r="AY97" s="24">
        <v>0</v>
      </c>
      <c r="AZ97" s="24">
        <v>0</v>
      </c>
      <c r="BA97" s="24">
        <v>1</v>
      </c>
      <c r="BB97" s="24">
        <v>0</v>
      </c>
    </row>
    <row r="98" spans="2:54" ht="13.8" x14ac:dyDescent="0.3">
      <c r="B98" s="24">
        <v>78</v>
      </c>
      <c r="C98" s="24">
        <v>11</v>
      </c>
      <c r="D98" s="24">
        <v>0</v>
      </c>
      <c r="E98" s="24">
        <v>0</v>
      </c>
      <c r="F98" s="24">
        <v>0</v>
      </c>
      <c r="G98" s="24">
        <v>1</v>
      </c>
      <c r="H98" s="24">
        <v>0</v>
      </c>
      <c r="I98" s="24">
        <v>0</v>
      </c>
      <c r="J98" s="24">
        <v>4771</v>
      </c>
      <c r="K98" s="24">
        <v>2</v>
      </c>
      <c r="L98" s="24">
        <v>0</v>
      </c>
      <c r="M98" s="24">
        <v>1</v>
      </c>
      <c r="N98" s="24">
        <v>0</v>
      </c>
      <c r="O98" s="24">
        <v>0</v>
      </c>
      <c r="P98" s="24">
        <v>0</v>
      </c>
      <c r="Q98" s="24">
        <v>0</v>
      </c>
      <c r="R98" s="24">
        <v>0</v>
      </c>
      <c r="S98" s="24">
        <v>51</v>
      </c>
      <c r="T98" s="24">
        <v>0</v>
      </c>
      <c r="U98" s="24">
        <v>0</v>
      </c>
      <c r="V98" s="24">
        <v>1</v>
      </c>
      <c r="W98" s="24">
        <v>1</v>
      </c>
      <c r="X98" s="24">
        <v>1</v>
      </c>
      <c r="Y98" s="24">
        <v>0</v>
      </c>
      <c r="Z98" s="24">
        <v>0</v>
      </c>
      <c r="AA98" s="24">
        <v>1</v>
      </c>
      <c r="AB98" s="24">
        <v>0</v>
      </c>
      <c r="AC98" s="24">
        <v>1</v>
      </c>
      <c r="AD98" s="24">
        <v>0</v>
      </c>
      <c r="AE98" s="24">
        <v>0</v>
      </c>
      <c r="AF98" s="24">
        <v>0</v>
      </c>
      <c r="AG98" s="24">
        <v>0</v>
      </c>
      <c r="AH98" s="24">
        <v>0</v>
      </c>
      <c r="AI98" s="24">
        <v>1</v>
      </c>
      <c r="AJ98" s="24">
        <v>0</v>
      </c>
      <c r="AK98" s="24">
        <v>1</v>
      </c>
      <c r="AL98" s="24">
        <v>0</v>
      </c>
      <c r="AM98" s="24">
        <v>0</v>
      </c>
      <c r="AN98" s="24">
        <v>0</v>
      </c>
      <c r="AO98" s="24">
        <v>0</v>
      </c>
      <c r="AP98" s="24">
        <v>0</v>
      </c>
      <c r="AQ98" s="24">
        <v>0</v>
      </c>
      <c r="AR98" s="24">
        <v>0</v>
      </c>
      <c r="AS98" s="24">
        <v>1</v>
      </c>
      <c r="AT98" s="24">
        <v>0</v>
      </c>
      <c r="AU98" s="24">
        <v>0</v>
      </c>
      <c r="AV98" s="24">
        <v>0</v>
      </c>
      <c r="AW98" s="24">
        <v>0</v>
      </c>
      <c r="AX98" s="24">
        <v>1</v>
      </c>
      <c r="AY98" s="24">
        <v>0</v>
      </c>
      <c r="AZ98" s="24">
        <v>0</v>
      </c>
      <c r="BA98" s="24">
        <v>1</v>
      </c>
      <c r="BB98" s="24">
        <v>0</v>
      </c>
    </row>
    <row r="99" spans="2:54" ht="13.8" x14ac:dyDescent="0.3">
      <c r="B99" s="24">
        <v>79</v>
      </c>
      <c r="C99" s="24">
        <v>54</v>
      </c>
      <c r="D99" s="24">
        <v>0</v>
      </c>
      <c r="E99" s="24">
        <v>1</v>
      </c>
      <c r="F99" s="24">
        <v>0</v>
      </c>
      <c r="G99" s="24">
        <v>0</v>
      </c>
      <c r="H99" s="24">
        <v>0</v>
      </c>
      <c r="I99" s="24">
        <v>0</v>
      </c>
      <c r="J99" s="24">
        <v>9436</v>
      </c>
      <c r="K99" s="24">
        <v>2</v>
      </c>
      <c r="L99" s="24">
        <v>0</v>
      </c>
      <c r="M99" s="24">
        <v>1</v>
      </c>
      <c r="N99" s="24">
        <v>0</v>
      </c>
      <c r="O99" s="24">
        <v>0</v>
      </c>
      <c r="P99" s="24">
        <v>0</v>
      </c>
      <c r="Q99" s="24">
        <v>0</v>
      </c>
      <c r="R99" s="24">
        <v>0</v>
      </c>
      <c r="S99" s="24">
        <v>39</v>
      </c>
      <c r="T99" s="24">
        <v>0</v>
      </c>
      <c r="U99" s="24">
        <v>0</v>
      </c>
      <c r="V99" s="24">
        <v>1</v>
      </c>
      <c r="W99" s="24">
        <v>1</v>
      </c>
      <c r="X99" s="24">
        <v>2</v>
      </c>
      <c r="Y99" s="24">
        <v>0</v>
      </c>
      <c r="Z99" s="24">
        <v>0</v>
      </c>
      <c r="AA99" s="24">
        <v>1</v>
      </c>
      <c r="AB99" s="24">
        <v>0</v>
      </c>
      <c r="AC99" s="24">
        <v>0</v>
      </c>
      <c r="AD99" s="24">
        <v>0</v>
      </c>
      <c r="AE99" s="24">
        <v>1</v>
      </c>
      <c r="AF99" s="24">
        <v>1</v>
      </c>
      <c r="AG99" s="24">
        <v>0</v>
      </c>
      <c r="AH99" s="24">
        <v>0</v>
      </c>
      <c r="AI99" s="24">
        <v>0</v>
      </c>
      <c r="AJ99" s="24">
        <v>0</v>
      </c>
      <c r="AK99" s="24">
        <v>0</v>
      </c>
      <c r="AL99" s="24">
        <v>0</v>
      </c>
      <c r="AM99" s="24">
        <v>0</v>
      </c>
      <c r="AN99" s="24">
        <v>0</v>
      </c>
      <c r="AO99" s="24">
        <v>1</v>
      </c>
      <c r="AP99" s="24">
        <v>0</v>
      </c>
      <c r="AQ99" s="24">
        <v>0</v>
      </c>
      <c r="AR99" s="24">
        <v>1</v>
      </c>
      <c r="AS99" s="24">
        <v>0</v>
      </c>
      <c r="AT99" s="24">
        <v>0</v>
      </c>
      <c r="AU99" s="24">
        <v>0</v>
      </c>
      <c r="AV99" s="24">
        <v>1</v>
      </c>
      <c r="AW99" s="24">
        <v>0</v>
      </c>
      <c r="AX99" s="24">
        <v>0</v>
      </c>
      <c r="AY99" s="24">
        <v>0</v>
      </c>
      <c r="AZ99" s="24">
        <v>1</v>
      </c>
      <c r="BA99" s="24">
        <v>0</v>
      </c>
      <c r="BB99" s="24">
        <v>0</v>
      </c>
    </row>
    <row r="100" spans="2:54" ht="13.8" x14ac:dyDescent="0.3">
      <c r="B100" s="24">
        <v>80</v>
      </c>
      <c r="C100" s="24">
        <v>30</v>
      </c>
      <c r="D100" s="24">
        <v>0</v>
      </c>
      <c r="E100" s="24">
        <v>0</v>
      </c>
      <c r="F100" s="24">
        <v>1</v>
      </c>
      <c r="G100" s="24">
        <v>0</v>
      </c>
      <c r="H100" s="24">
        <v>0</v>
      </c>
      <c r="I100" s="24">
        <v>0</v>
      </c>
      <c r="J100" s="24">
        <v>3832</v>
      </c>
      <c r="K100" s="24">
        <v>2</v>
      </c>
      <c r="L100" s="24">
        <v>0</v>
      </c>
      <c r="M100" s="24">
        <v>0</v>
      </c>
      <c r="N100" s="24">
        <v>1</v>
      </c>
      <c r="O100" s="24">
        <v>0</v>
      </c>
      <c r="P100" s="24">
        <v>0</v>
      </c>
      <c r="Q100" s="24">
        <v>0</v>
      </c>
      <c r="R100" s="24">
        <v>0</v>
      </c>
      <c r="S100" s="24">
        <v>22</v>
      </c>
      <c r="T100" s="24">
        <v>0</v>
      </c>
      <c r="U100" s="24">
        <v>0</v>
      </c>
      <c r="V100" s="24">
        <v>1</v>
      </c>
      <c r="W100" s="24">
        <v>1</v>
      </c>
      <c r="X100" s="24">
        <v>1</v>
      </c>
      <c r="Y100" s="24">
        <v>0</v>
      </c>
      <c r="Z100" s="24">
        <v>0</v>
      </c>
      <c r="AA100" s="24">
        <v>1</v>
      </c>
      <c r="AB100" s="24">
        <v>0</v>
      </c>
      <c r="AC100" s="24">
        <v>1</v>
      </c>
      <c r="AD100" s="24">
        <v>0</v>
      </c>
      <c r="AE100" s="24">
        <v>0</v>
      </c>
      <c r="AF100" s="24">
        <v>0</v>
      </c>
      <c r="AG100" s="24">
        <v>0</v>
      </c>
      <c r="AH100" s="24">
        <v>1</v>
      </c>
      <c r="AI100" s="24">
        <v>0</v>
      </c>
      <c r="AJ100" s="24">
        <v>0</v>
      </c>
      <c r="AK100" s="24">
        <v>1</v>
      </c>
      <c r="AL100" s="24">
        <v>0</v>
      </c>
      <c r="AM100" s="24">
        <v>0</v>
      </c>
      <c r="AN100" s="24">
        <v>0</v>
      </c>
      <c r="AO100" s="24">
        <v>0</v>
      </c>
      <c r="AP100" s="24">
        <v>0</v>
      </c>
      <c r="AQ100" s="24">
        <v>1</v>
      </c>
      <c r="AR100" s="24">
        <v>0</v>
      </c>
      <c r="AS100" s="24">
        <v>0</v>
      </c>
      <c r="AT100" s="24">
        <v>0</v>
      </c>
      <c r="AU100" s="24">
        <v>1</v>
      </c>
      <c r="AV100" s="24">
        <v>0</v>
      </c>
      <c r="AW100" s="24">
        <v>0</v>
      </c>
      <c r="AX100" s="24">
        <v>0</v>
      </c>
      <c r="AY100" s="24">
        <v>0</v>
      </c>
      <c r="AZ100" s="24">
        <v>0</v>
      </c>
      <c r="BA100" s="24">
        <v>1</v>
      </c>
      <c r="BB100" s="24">
        <v>0</v>
      </c>
    </row>
    <row r="101" spans="2:54" ht="13.8" x14ac:dyDescent="0.3">
      <c r="B101" s="24">
        <v>81</v>
      </c>
      <c r="C101" s="24">
        <v>24</v>
      </c>
      <c r="D101" s="24">
        <v>0</v>
      </c>
      <c r="E101" s="24">
        <v>0</v>
      </c>
      <c r="F101" s="24">
        <v>0</v>
      </c>
      <c r="G101" s="24">
        <v>1</v>
      </c>
      <c r="H101" s="24">
        <v>0</v>
      </c>
      <c r="I101" s="24">
        <v>0</v>
      </c>
      <c r="J101" s="24">
        <v>5943</v>
      </c>
      <c r="K101" s="24">
        <v>1</v>
      </c>
      <c r="L101" s="24">
        <v>0</v>
      </c>
      <c r="M101" s="24">
        <v>0</v>
      </c>
      <c r="N101" s="24">
        <v>0</v>
      </c>
      <c r="O101" s="24">
        <v>0</v>
      </c>
      <c r="P101" s="24">
        <v>0</v>
      </c>
      <c r="Q101" s="24">
        <v>0</v>
      </c>
      <c r="R101" s="24">
        <v>0</v>
      </c>
      <c r="S101" s="24">
        <v>44</v>
      </c>
      <c r="T101" s="24">
        <v>0</v>
      </c>
      <c r="U101" s="24">
        <v>0</v>
      </c>
      <c r="V101" s="24">
        <v>1</v>
      </c>
      <c r="W101" s="24">
        <v>2</v>
      </c>
      <c r="X101" s="24">
        <v>1</v>
      </c>
      <c r="Y101" s="24">
        <v>1</v>
      </c>
      <c r="Z101" s="24">
        <v>0</v>
      </c>
      <c r="AA101" s="24">
        <v>0</v>
      </c>
      <c r="AB101" s="24">
        <v>0</v>
      </c>
      <c r="AC101" s="24">
        <v>0</v>
      </c>
      <c r="AD101" s="24">
        <v>0</v>
      </c>
      <c r="AE101" s="24">
        <v>1</v>
      </c>
      <c r="AF101" s="24">
        <v>0</v>
      </c>
      <c r="AG101" s="24">
        <v>0</v>
      </c>
      <c r="AH101" s="24">
        <v>1</v>
      </c>
      <c r="AI101" s="24">
        <v>0</v>
      </c>
      <c r="AJ101" s="24">
        <v>0</v>
      </c>
      <c r="AK101" s="24">
        <v>0</v>
      </c>
      <c r="AL101" s="24">
        <v>0</v>
      </c>
      <c r="AM101" s="24">
        <v>0</v>
      </c>
      <c r="AN101" s="24">
        <v>0</v>
      </c>
      <c r="AO101" s="24">
        <v>1</v>
      </c>
      <c r="AP101" s="24">
        <v>0</v>
      </c>
      <c r="AQ101" s="24">
        <v>1</v>
      </c>
      <c r="AR101" s="24">
        <v>0</v>
      </c>
      <c r="AS101" s="24">
        <v>0</v>
      </c>
      <c r="AT101" s="24">
        <v>0</v>
      </c>
      <c r="AU101" s="24">
        <v>1</v>
      </c>
      <c r="AV101" s="24">
        <v>0</v>
      </c>
      <c r="AW101" s="24">
        <v>0</v>
      </c>
      <c r="AX101" s="24">
        <v>0</v>
      </c>
      <c r="AY101" s="24">
        <v>0</v>
      </c>
      <c r="AZ101" s="24">
        <v>0</v>
      </c>
      <c r="BA101" s="24">
        <v>1</v>
      </c>
      <c r="BB101" s="24">
        <v>0</v>
      </c>
    </row>
    <row r="102" spans="2:54" ht="13.8" x14ac:dyDescent="0.3">
      <c r="B102" s="24">
        <v>82</v>
      </c>
      <c r="C102" s="24">
        <v>15</v>
      </c>
      <c r="D102" s="24">
        <v>0</v>
      </c>
      <c r="E102" s="24">
        <v>0</v>
      </c>
      <c r="F102" s="24">
        <v>0</v>
      </c>
      <c r="G102" s="24">
        <v>1</v>
      </c>
      <c r="H102" s="24">
        <v>0</v>
      </c>
      <c r="I102" s="24">
        <v>0</v>
      </c>
      <c r="J102" s="24">
        <v>1213</v>
      </c>
      <c r="K102" s="24">
        <v>4</v>
      </c>
      <c r="L102" s="24">
        <v>0</v>
      </c>
      <c r="M102" s="24">
        <v>1</v>
      </c>
      <c r="N102" s="24">
        <v>0</v>
      </c>
      <c r="O102" s="24">
        <v>0</v>
      </c>
      <c r="P102" s="24">
        <v>0</v>
      </c>
      <c r="Q102" s="24">
        <v>0</v>
      </c>
      <c r="R102" s="24">
        <v>0</v>
      </c>
      <c r="S102" s="24">
        <v>47</v>
      </c>
      <c r="T102" s="24">
        <v>1</v>
      </c>
      <c r="U102" s="24">
        <v>0</v>
      </c>
      <c r="V102" s="24">
        <v>1</v>
      </c>
      <c r="W102" s="24">
        <v>1</v>
      </c>
      <c r="X102" s="24">
        <v>1</v>
      </c>
      <c r="Y102" s="24">
        <v>1</v>
      </c>
      <c r="Z102" s="24">
        <v>0</v>
      </c>
      <c r="AA102" s="24">
        <v>1</v>
      </c>
      <c r="AB102" s="24">
        <v>0</v>
      </c>
      <c r="AC102" s="24">
        <v>0</v>
      </c>
      <c r="AD102" s="24">
        <v>0</v>
      </c>
      <c r="AE102" s="24">
        <v>1</v>
      </c>
      <c r="AF102" s="24">
        <v>0</v>
      </c>
      <c r="AG102" s="24">
        <v>0</v>
      </c>
      <c r="AH102" s="24">
        <v>1</v>
      </c>
      <c r="AI102" s="24">
        <v>0</v>
      </c>
      <c r="AJ102" s="24">
        <v>0</v>
      </c>
      <c r="AK102" s="24">
        <v>0</v>
      </c>
      <c r="AL102" s="24">
        <v>0</v>
      </c>
      <c r="AM102" s="24">
        <v>1</v>
      </c>
      <c r="AN102" s="24">
        <v>0</v>
      </c>
      <c r="AO102" s="24">
        <v>0</v>
      </c>
      <c r="AP102" s="24">
        <v>0</v>
      </c>
      <c r="AQ102" s="24">
        <v>0</v>
      </c>
      <c r="AR102" s="24">
        <v>0</v>
      </c>
      <c r="AS102" s="24">
        <v>0</v>
      </c>
      <c r="AT102" s="24">
        <v>1</v>
      </c>
      <c r="AU102" s="24">
        <v>0</v>
      </c>
      <c r="AV102" s="24">
        <v>0</v>
      </c>
      <c r="AW102" s="24">
        <v>1</v>
      </c>
      <c r="AX102" s="24">
        <v>0</v>
      </c>
      <c r="AY102" s="24">
        <v>0</v>
      </c>
      <c r="AZ102" s="24">
        <v>0</v>
      </c>
      <c r="BA102" s="24">
        <v>1</v>
      </c>
      <c r="BB102" s="24">
        <v>0</v>
      </c>
    </row>
    <row r="103" spans="2:54" ht="13.8" x14ac:dyDescent="0.3">
      <c r="B103" s="24">
        <v>83</v>
      </c>
      <c r="C103" s="24">
        <v>18</v>
      </c>
      <c r="D103" s="24">
        <v>0</v>
      </c>
      <c r="E103" s="24">
        <v>0</v>
      </c>
      <c r="F103" s="24">
        <v>0</v>
      </c>
      <c r="G103" s="24">
        <v>0</v>
      </c>
      <c r="H103" s="24">
        <v>0</v>
      </c>
      <c r="I103" s="24">
        <v>1</v>
      </c>
      <c r="J103" s="24">
        <v>1568</v>
      </c>
      <c r="K103" s="24">
        <v>3</v>
      </c>
      <c r="L103" s="24">
        <v>0</v>
      </c>
      <c r="M103" s="24">
        <v>0</v>
      </c>
      <c r="N103" s="24">
        <v>0</v>
      </c>
      <c r="O103" s="24">
        <v>0</v>
      </c>
      <c r="P103" s="24">
        <v>0</v>
      </c>
      <c r="Q103" s="24">
        <v>0</v>
      </c>
      <c r="R103" s="24">
        <v>0</v>
      </c>
      <c r="S103" s="24">
        <v>24</v>
      </c>
      <c r="T103" s="24">
        <v>0</v>
      </c>
      <c r="U103" s="24">
        <v>1</v>
      </c>
      <c r="V103" s="24">
        <v>0</v>
      </c>
      <c r="W103" s="24">
        <v>1</v>
      </c>
      <c r="X103" s="24">
        <v>1</v>
      </c>
      <c r="Y103" s="24">
        <v>0</v>
      </c>
      <c r="Z103" s="24">
        <v>0</v>
      </c>
      <c r="AA103" s="24">
        <v>1</v>
      </c>
      <c r="AB103" s="24">
        <v>0</v>
      </c>
      <c r="AC103" s="24">
        <v>0</v>
      </c>
      <c r="AD103" s="24">
        <v>0</v>
      </c>
      <c r="AE103" s="24">
        <v>1</v>
      </c>
      <c r="AF103" s="24">
        <v>0</v>
      </c>
      <c r="AG103" s="24">
        <v>0</v>
      </c>
      <c r="AH103" s="24">
        <v>1</v>
      </c>
      <c r="AI103" s="24">
        <v>0</v>
      </c>
      <c r="AJ103" s="24">
        <v>0</v>
      </c>
      <c r="AK103" s="24">
        <v>0</v>
      </c>
      <c r="AL103" s="24">
        <v>1</v>
      </c>
      <c r="AM103" s="24">
        <v>0</v>
      </c>
      <c r="AN103" s="24">
        <v>0</v>
      </c>
      <c r="AO103" s="24">
        <v>0</v>
      </c>
      <c r="AP103" s="24">
        <v>0</v>
      </c>
      <c r="AQ103" s="24">
        <v>0</v>
      </c>
      <c r="AR103" s="24">
        <v>1</v>
      </c>
      <c r="AS103" s="24">
        <v>0</v>
      </c>
      <c r="AT103" s="24">
        <v>0</v>
      </c>
      <c r="AU103" s="24">
        <v>0</v>
      </c>
      <c r="AV103" s="24">
        <v>0</v>
      </c>
      <c r="AW103" s="24">
        <v>0</v>
      </c>
      <c r="AX103" s="24">
        <v>1</v>
      </c>
      <c r="AY103" s="24">
        <v>0</v>
      </c>
      <c r="AZ103" s="24">
        <v>1</v>
      </c>
      <c r="BA103" s="24">
        <v>0</v>
      </c>
      <c r="BB103" s="24">
        <v>0</v>
      </c>
    </row>
    <row r="104" spans="2:54" ht="13.8" x14ac:dyDescent="0.3">
      <c r="B104" s="24">
        <v>84</v>
      </c>
      <c r="C104" s="24">
        <v>24</v>
      </c>
      <c r="D104" s="24">
        <v>0</v>
      </c>
      <c r="E104" s="24">
        <v>0</v>
      </c>
      <c r="F104" s="24">
        <v>0</v>
      </c>
      <c r="G104" s="24">
        <v>0</v>
      </c>
      <c r="H104" s="24">
        <v>0</v>
      </c>
      <c r="I104" s="24">
        <v>0</v>
      </c>
      <c r="J104" s="24">
        <v>1755</v>
      </c>
      <c r="K104" s="24">
        <v>4</v>
      </c>
      <c r="L104" s="24">
        <v>0</v>
      </c>
      <c r="M104" s="24">
        <v>0</v>
      </c>
      <c r="N104" s="24">
        <v>0</v>
      </c>
      <c r="O104" s="24">
        <v>0</v>
      </c>
      <c r="P104" s="24">
        <v>1</v>
      </c>
      <c r="Q104" s="24">
        <v>1</v>
      </c>
      <c r="R104" s="24">
        <v>0</v>
      </c>
      <c r="S104" s="24">
        <v>58</v>
      </c>
      <c r="T104" s="24">
        <v>0</v>
      </c>
      <c r="U104" s="24">
        <v>0</v>
      </c>
      <c r="V104" s="24">
        <v>1</v>
      </c>
      <c r="W104" s="24">
        <v>1</v>
      </c>
      <c r="X104" s="24">
        <v>1</v>
      </c>
      <c r="Y104" s="24">
        <v>1</v>
      </c>
      <c r="Z104" s="24">
        <v>0</v>
      </c>
      <c r="AA104" s="24">
        <v>1</v>
      </c>
      <c r="AB104" s="24">
        <v>1</v>
      </c>
      <c r="AC104" s="24">
        <v>0</v>
      </c>
      <c r="AD104" s="24">
        <v>0</v>
      </c>
      <c r="AE104" s="24">
        <v>0</v>
      </c>
      <c r="AF104" s="24">
        <v>0</v>
      </c>
      <c r="AG104" s="24">
        <v>0</v>
      </c>
      <c r="AH104" s="24">
        <v>1</v>
      </c>
      <c r="AI104" s="24">
        <v>0</v>
      </c>
      <c r="AJ104" s="24">
        <v>0</v>
      </c>
      <c r="AK104" s="24">
        <v>1</v>
      </c>
      <c r="AL104" s="24">
        <v>0</v>
      </c>
      <c r="AM104" s="24">
        <v>0</v>
      </c>
      <c r="AN104" s="24">
        <v>0</v>
      </c>
      <c r="AO104" s="24">
        <v>0</v>
      </c>
      <c r="AP104" s="24">
        <v>0</v>
      </c>
      <c r="AQ104" s="24">
        <v>0</v>
      </c>
      <c r="AR104" s="24">
        <v>0</v>
      </c>
      <c r="AS104" s="24">
        <v>0</v>
      </c>
      <c r="AT104" s="24">
        <v>1</v>
      </c>
      <c r="AU104" s="24">
        <v>0</v>
      </c>
      <c r="AV104" s="24">
        <v>0</v>
      </c>
      <c r="AW104" s="24">
        <v>0</v>
      </c>
      <c r="AX104" s="24">
        <v>1</v>
      </c>
      <c r="AY104" s="24">
        <v>0</v>
      </c>
      <c r="AZ104" s="24">
        <v>1</v>
      </c>
      <c r="BA104" s="24">
        <v>0</v>
      </c>
      <c r="BB104" s="24">
        <v>0</v>
      </c>
    </row>
    <row r="105" spans="2:54" ht="13.8" x14ac:dyDescent="0.3">
      <c r="B105" s="24">
        <v>85</v>
      </c>
      <c r="C105" s="24">
        <v>10</v>
      </c>
      <c r="D105" s="24">
        <v>0</v>
      </c>
      <c r="E105" s="24">
        <v>0</v>
      </c>
      <c r="F105" s="24">
        <v>0</v>
      </c>
      <c r="G105" s="24">
        <v>1</v>
      </c>
      <c r="H105" s="24">
        <v>0</v>
      </c>
      <c r="I105" s="24">
        <v>0</v>
      </c>
      <c r="J105" s="24">
        <v>2315</v>
      </c>
      <c r="K105" s="24">
        <v>3</v>
      </c>
      <c r="L105" s="24">
        <v>0</v>
      </c>
      <c r="M105" s="24">
        <v>1</v>
      </c>
      <c r="N105" s="24">
        <v>0</v>
      </c>
      <c r="O105" s="24">
        <v>0</v>
      </c>
      <c r="P105" s="24">
        <v>0</v>
      </c>
      <c r="Q105" s="24">
        <v>1</v>
      </c>
      <c r="R105" s="24">
        <v>0</v>
      </c>
      <c r="S105" s="24">
        <v>52</v>
      </c>
      <c r="T105" s="24">
        <v>0</v>
      </c>
      <c r="U105" s="24">
        <v>0</v>
      </c>
      <c r="V105" s="24">
        <v>1</v>
      </c>
      <c r="W105" s="24">
        <v>1</v>
      </c>
      <c r="X105" s="24">
        <v>1</v>
      </c>
      <c r="Y105" s="24">
        <v>0</v>
      </c>
      <c r="Z105" s="24">
        <v>0</v>
      </c>
      <c r="AA105" s="24">
        <v>1</v>
      </c>
      <c r="AB105" s="24">
        <v>1</v>
      </c>
      <c r="AC105" s="24">
        <v>0</v>
      </c>
      <c r="AD105" s="24">
        <v>0</v>
      </c>
      <c r="AE105" s="24">
        <v>0</v>
      </c>
      <c r="AF105" s="24">
        <v>0</v>
      </c>
      <c r="AG105" s="24">
        <v>0</v>
      </c>
      <c r="AH105" s="24">
        <v>1</v>
      </c>
      <c r="AI105" s="24">
        <v>0</v>
      </c>
      <c r="AJ105" s="24">
        <v>0</v>
      </c>
      <c r="AK105" s="24">
        <v>1</v>
      </c>
      <c r="AL105" s="24">
        <v>0</v>
      </c>
      <c r="AM105" s="24">
        <v>0</v>
      </c>
      <c r="AN105" s="24">
        <v>0</v>
      </c>
      <c r="AO105" s="24">
        <v>0</v>
      </c>
      <c r="AP105" s="24">
        <v>0</v>
      </c>
      <c r="AQ105" s="24">
        <v>0</v>
      </c>
      <c r="AR105" s="24">
        <v>0</v>
      </c>
      <c r="AS105" s="24">
        <v>0</v>
      </c>
      <c r="AT105" s="24">
        <v>1</v>
      </c>
      <c r="AU105" s="24">
        <v>0</v>
      </c>
      <c r="AV105" s="24">
        <v>0</v>
      </c>
      <c r="AW105" s="24">
        <v>0</v>
      </c>
      <c r="AX105" s="24">
        <v>1</v>
      </c>
      <c r="AY105" s="24">
        <v>0</v>
      </c>
      <c r="AZ105" s="24">
        <v>1</v>
      </c>
      <c r="BA105" s="24">
        <v>0</v>
      </c>
      <c r="BB105" s="24">
        <v>0</v>
      </c>
    </row>
    <row r="106" spans="2:54" ht="13.8" x14ac:dyDescent="0.3">
      <c r="B106" s="24">
        <v>86</v>
      </c>
      <c r="C106" s="24">
        <v>12</v>
      </c>
      <c r="D106" s="24">
        <v>0</v>
      </c>
      <c r="E106" s="24">
        <v>0</v>
      </c>
      <c r="F106" s="24">
        <v>0</v>
      </c>
      <c r="G106" s="24">
        <v>0</v>
      </c>
      <c r="H106" s="24">
        <v>0</v>
      </c>
      <c r="I106" s="24">
        <v>1</v>
      </c>
      <c r="J106" s="24">
        <v>1412</v>
      </c>
      <c r="K106" s="24">
        <v>4</v>
      </c>
      <c r="L106" s="24">
        <v>0</v>
      </c>
      <c r="M106" s="24">
        <v>0</v>
      </c>
      <c r="N106" s="24">
        <v>0</v>
      </c>
      <c r="O106" s="24">
        <v>0</v>
      </c>
      <c r="P106" s="24">
        <v>1</v>
      </c>
      <c r="Q106" s="24">
        <v>1</v>
      </c>
      <c r="R106" s="24">
        <v>0</v>
      </c>
      <c r="S106" s="24">
        <v>29</v>
      </c>
      <c r="T106" s="24">
        <v>0</v>
      </c>
      <c r="U106" s="24">
        <v>0</v>
      </c>
      <c r="V106" s="24">
        <v>1</v>
      </c>
      <c r="W106" s="24">
        <v>2</v>
      </c>
      <c r="X106" s="24">
        <v>1</v>
      </c>
      <c r="Y106" s="24">
        <v>1</v>
      </c>
      <c r="Z106" s="24">
        <v>0</v>
      </c>
      <c r="AA106" s="24">
        <v>1</v>
      </c>
      <c r="AB106" s="24">
        <v>0</v>
      </c>
      <c r="AC106" s="24">
        <v>0</v>
      </c>
      <c r="AD106" s="24">
        <v>0</v>
      </c>
      <c r="AE106" s="24">
        <v>1</v>
      </c>
      <c r="AF106" s="24">
        <v>0</v>
      </c>
      <c r="AG106" s="24">
        <v>0</v>
      </c>
      <c r="AH106" s="24">
        <v>0</v>
      </c>
      <c r="AI106" s="24">
        <v>0</v>
      </c>
      <c r="AJ106" s="24">
        <v>1</v>
      </c>
      <c r="AK106" s="24">
        <v>1</v>
      </c>
      <c r="AL106" s="24">
        <v>0</v>
      </c>
      <c r="AM106" s="24">
        <v>0</v>
      </c>
      <c r="AN106" s="24">
        <v>0</v>
      </c>
      <c r="AO106" s="24">
        <v>0</v>
      </c>
      <c r="AP106" s="24">
        <v>0</v>
      </c>
      <c r="AQ106" s="24">
        <v>0</v>
      </c>
      <c r="AR106" s="24">
        <v>1</v>
      </c>
      <c r="AS106" s="24">
        <v>0</v>
      </c>
      <c r="AT106" s="24">
        <v>0</v>
      </c>
      <c r="AU106" s="24">
        <v>0</v>
      </c>
      <c r="AV106" s="24">
        <v>1</v>
      </c>
      <c r="AW106" s="24">
        <v>0</v>
      </c>
      <c r="AX106" s="24">
        <v>0</v>
      </c>
      <c r="AY106" s="24">
        <v>0</v>
      </c>
      <c r="AZ106" s="24">
        <v>0</v>
      </c>
      <c r="BA106" s="24">
        <v>0</v>
      </c>
      <c r="BB106" s="24">
        <v>1</v>
      </c>
    </row>
    <row r="107" spans="2:54" ht="13.8" x14ac:dyDescent="0.3">
      <c r="B107" s="24">
        <v>87</v>
      </c>
      <c r="C107" s="24">
        <v>18</v>
      </c>
      <c r="D107" s="24">
        <v>0</v>
      </c>
      <c r="E107" s="24">
        <v>0</v>
      </c>
      <c r="F107" s="24">
        <v>1</v>
      </c>
      <c r="G107" s="24">
        <v>0</v>
      </c>
      <c r="H107" s="24">
        <v>0</v>
      </c>
      <c r="I107" s="24">
        <v>0</v>
      </c>
      <c r="J107" s="24">
        <v>1295</v>
      </c>
      <c r="K107" s="24">
        <v>4</v>
      </c>
      <c r="L107" s="24">
        <v>0</v>
      </c>
      <c r="M107" s="24">
        <v>0</v>
      </c>
      <c r="N107" s="24">
        <v>0</v>
      </c>
      <c r="O107" s="24">
        <v>0</v>
      </c>
      <c r="P107" s="24">
        <v>0</v>
      </c>
      <c r="Q107" s="24">
        <v>0</v>
      </c>
      <c r="R107" s="24">
        <v>0</v>
      </c>
      <c r="S107" s="24">
        <v>27</v>
      </c>
      <c r="T107" s="24">
        <v>0</v>
      </c>
      <c r="U107" s="24">
        <v>0</v>
      </c>
      <c r="V107" s="24">
        <v>1</v>
      </c>
      <c r="W107" s="24">
        <v>2</v>
      </c>
      <c r="X107" s="24">
        <v>1</v>
      </c>
      <c r="Y107" s="24">
        <v>0</v>
      </c>
      <c r="Z107" s="24">
        <v>0</v>
      </c>
      <c r="AA107" s="24">
        <v>1</v>
      </c>
      <c r="AB107" s="24">
        <v>0</v>
      </c>
      <c r="AC107" s="24">
        <v>1</v>
      </c>
      <c r="AD107" s="24">
        <v>0</v>
      </c>
      <c r="AE107" s="24">
        <v>0</v>
      </c>
      <c r="AF107" s="24">
        <v>0</v>
      </c>
      <c r="AG107" s="24">
        <v>0</v>
      </c>
      <c r="AH107" s="24">
        <v>0</v>
      </c>
      <c r="AI107" s="24">
        <v>0</v>
      </c>
      <c r="AJ107" s="24">
        <v>1</v>
      </c>
      <c r="AK107" s="24">
        <v>1</v>
      </c>
      <c r="AL107" s="24">
        <v>0</v>
      </c>
      <c r="AM107" s="24">
        <v>0</v>
      </c>
      <c r="AN107" s="24">
        <v>0</v>
      </c>
      <c r="AO107" s="24">
        <v>0</v>
      </c>
      <c r="AP107" s="24">
        <v>0</v>
      </c>
      <c r="AQ107" s="24">
        <v>1</v>
      </c>
      <c r="AR107" s="24">
        <v>0</v>
      </c>
      <c r="AS107" s="24">
        <v>0</v>
      </c>
      <c r="AT107" s="24">
        <v>0</v>
      </c>
      <c r="AU107" s="24">
        <v>1</v>
      </c>
      <c r="AV107" s="24">
        <v>0</v>
      </c>
      <c r="AW107" s="24">
        <v>0</v>
      </c>
      <c r="AX107" s="24">
        <v>0</v>
      </c>
      <c r="AY107" s="24">
        <v>0</v>
      </c>
      <c r="AZ107" s="24">
        <v>0</v>
      </c>
      <c r="BA107" s="24">
        <v>1</v>
      </c>
      <c r="BB107" s="24">
        <v>0</v>
      </c>
    </row>
    <row r="108" spans="2:54" ht="13.8" x14ac:dyDescent="0.3">
      <c r="B108" s="24">
        <v>88</v>
      </c>
      <c r="C108" s="24">
        <v>36</v>
      </c>
      <c r="D108" s="24">
        <v>0</v>
      </c>
      <c r="E108" s="24">
        <v>0</v>
      </c>
      <c r="F108" s="24">
        <v>0</v>
      </c>
      <c r="G108" s="24">
        <v>0</v>
      </c>
      <c r="H108" s="24">
        <v>1</v>
      </c>
      <c r="I108" s="24">
        <v>0</v>
      </c>
      <c r="J108" s="24">
        <v>12612</v>
      </c>
      <c r="K108" s="24">
        <v>1</v>
      </c>
      <c r="L108" s="24">
        <v>0</v>
      </c>
      <c r="M108" s="24">
        <v>1</v>
      </c>
      <c r="N108" s="24">
        <v>0</v>
      </c>
      <c r="O108" s="24">
        <v>0</v>
      </c>
      <c r="P108" s="24">
        <v>0</v>
      </c>
      <c r="Q108" s="24">
        <v>0</v>
      </c>
      <c r="R108" s="24">
        <v>1</v>
      </c>
      <c r="S108" s="24">
        <v>47</v>
      </c>
      <c r="T108" s="24">
        <v>0</v>
      </c>
      <c r="U108" s="24">
        <v>0</v>
      </c>
      <c r="V108" s="24">
        <v>0</v>
      </c>
      <c r="W108" s="24">
        <v>1</v>
      </c>
      <c r="X108" s="24">
        <v>2</v>
      </c>
      <c r="Y108" s="24">
        <v>1</v>
      </c>
      <c r="Z108" s="24">
        <v>0</v>
      </c>
      <c r="AA108" s="24">
        <v>0</v>
      </c>
      <c r="AB108" s="24">
        <v>0</v>
      </c>
      <c r="AC108" s="24">
        <v>1</v>
      </c>
      <c r="AD108" s="24">
        <v>0</v>
      </c>
      <c r="AE108" s="24">
        <v>0</v>
      </c>
      <c r="AF108" s="24">
        <v>0</v>
      </c>
      <c r="AG108" s="24">
        <v>0</v>
      </c>
      <c r="AH108" s="24">
        <v>1</v>
      </c>
      <c r="AI108" s="24">
        <v>0</v>
      </c>
      <c r="AJ108" s="24">
        <v>0</v>
      </c>
      <c r="AK108" s="24">
        <v>0</v>
      </c>
      <c r="AL108" s="24">
        <v>1</v>
      </c>
      <c r="AM108" s="24">
        <v>0</v>
      </c>
      <c r="AN108" s="24">
        <v>0</v>
      </c>
      <c r="AO108" s="24">
        <v>0</v>
      </c>
      <c r="AP108" s="24">
        <v>0</v>
      </c>
      <c r="AQ108" s="24">
        <v>0</v>
      </c>
      <c r="AR108" s="24">
        <v>1</v>
      </c>
      <c r="AS108" s="24">
        <v>0</v>
      </c>
      <c r="AT108" s="24">
        <v>0</v>
      </c>
      <c r="AU108" s="24">
        <v>0</v>
      </c>
      <c r="AV108" s="24">
        <v>0</v>
      </c>
      <c r="AW108" s="24">
        <v>0</v>
      </c>
      <c r="AX108" s="24">
        <v>1</v>
      </c>
      <c r="AY108" s="24">
        <v>0</v>
      </c>
      <c r="AZ108" s="24">
        <v>0</v>
      </c>
      <c r="BA108" s="24">
        <v>1</v>
      </c>
      <c r="BB108" s="24">
        <v>0</v>
      </c>
    </row>
    <row r="109" spans="2:54" ht="13.8" x14ac:dyDescent="0.3">
      <c r="B109" s="24">
        <v>89</v>
      </c>
      <c r="C109" s="24">
        <v>18</v>
      </c>
      <c r="D109" s="24">
        <v>1</v>
      </c>
      <c r="E109" s="24">
        <v>0</v>
      </c>
      <c r="F109" s="24">
        <v>0</v>
      </c>
      <c r="G109" s="24">
        <v>0</v>
      </c>
      <c r="H109" s="24">
        <v>0</v>
      </c>
      <c r="I109" s="24">
        <v>0</v>
      </c>
      <c r="J109" s="24">
        <v>2249</v>
      </c>
      <c r="K109" s="24">
        <v>4</v>
      </c>
      <c r="L109" s="24">
        <v>0</v>
      </c>
      <c r="M109" s="24">
        <v>1</v>
      </c>
      <c r="N109" s="24">
        <v>0</v>
      </c>
      <c r="O109" s="24">
        <v>0</v>
      </c>
      <c r="P109" s="24">
        <v>0</v>
      </c>
      <c r="Q109" s="24">
        <v>0</v>
      </c>
      <c r="R109" s="24">
        <v>0</v>
      </c>
      <c r="S109" s="24">
        <v>30</v>
      </c>
      <c r="T109" s="24">
        <v>0</v>
      </c>
      <c r="U109" s="24">
        <v>0</v>
      </c>
      <c r="V109" s="24">
        <v>1</v>
      </c>
      <c r="W109" s="24">
        <v>1</v>
      </c>
      <c r="X109" s="24">
        <v>2</v>
      </c>
      <c r="Y109" s="24">
        <v>1</v>
      </c>
      <c r="Z109" s="24">
        <v>0</v>
      </c>
      <c r="AA109" s="24">
        <v>1</v>
      </c>
      <c r="AB109" s="24">
        <v>1</v>
      </c>
      <c r="AC109" s="24">
        <v>0</v>
      </c>
      <c r="AD109" s="24">
        <v>0</v>
      </c>
      <c r="AE109" s="24">
        <v>0</v>
      </c>
      <c r="AF109" s="24">
        <v>0</v>
      </c>
      <c r="AG109" s="24">
        <v>0</v>
      </c>
      <c r="AH109" s="24">
        <v>1</v>
      </c>
      <c r="AI109" s="24">
        <v>0</v>
      </c>
      <c r="AJ109" s="24">
        <v>0</v>
      </c>
      <c r="AK109" s="24">
        <v>0</v>
      </c>
      <c r="AL109" s="24">
        <v>1</v>
      </c>
      <c r="AM109" s="24">
        <v>0</v>
      </c>
      <c r="AN109" s="24">
        <v>0</v>
      </c>
      <c r="AO109" s="24">
        <v>0</v>
      </c>
      <c r="AP109" s="24">
        <v>0</v>
      </c>
      <c r="AQ109" s="24">
        <v>0</v>
      </c>
      <c r="AR109" s="24">
        <v>0</v>
      </c>
      <c r="AS109" s="24">
        <v>1</v>
      </c>
      <c r="AT109" s="24">
        <v>0</v>
      </c>
      <c r="AU109" s="24">
        <v>0</v>
      </c>
      <c r="AV109" s="24">
        <v>0</v>
      </c>
      <c r="AW109" s="24">
        <v>1</v>
      </c>
      <c r="AX109" s="24">
        <v>0</v>
      </c>
      <c r="AY109" s="24">
        <v>0</v>
      </c>
      <c r="AZ109" s="24">
        <v>0</v>
      </c>
      <c r="BA109" s="24">
        <v>0</v>
      </c>
      <c r="BB109" s="24">
        <v>1</v>
      </c>
    </row>
    <row r="110" spans="2:54" ht="13.8" x14ac:dyDescent="0.3">
      <c r="B110" s="24">
        <v>90</v>
      </c>
      <c r="C110" s="24">
        <v>12</v>
      </c>
      <c r="D110" s="24">
        <v>0</v>
      </c>
      <c r="E110" s="24">
        <v>0</v>
      </c>
      <c r="F110" s="24">
        <v>0</v>
      </c>
      <c r="G110" s="24">
        <v>0</v>
      </c>
      <c r="H110" s="24">
        <v>0</v>
      </c>
      <c r="I110" s="24">
        <v>0</v>
      </c>
      <c r="J110" s="24">
        <v>1108</v>
      </c>
      <c r="K110" s="24">
        <v>4</v>
      </c>
      <c r="L110" s="24">
        <v>0</v>
      </c>
      <c r="M110" s="24">
        <v>1</v>
      </c>
      <c r="N110" s="24">
        <v>0</v>
      </c>
      <c r="O110" s="24">
        <v>0</v>
      </c>
      <c r="P110" s="24">
        <v>0</v>
      </c>
      <c r="Q110" s="24">
        <v>1</v>
      </c>
      <c r="R110" s="24">
        <v>0</v>
      </c>
      <c r="S110" s="24">
        <v>28</v>
      </c>
      <c r="T110" s="24">
        <v>0</v>
      </c>
      <c r="U110" s="24">
        <v>0</v>
      </c>
      <c r="V110" s="24">
        <v>1</v>
      </c>
      <c r="W110" s="24">
        <v>2</v>
      </c>
      <c r="X110" s="24">
        <v>1</v>
      </c>
      <c r="Y110" s="24">
        <v>0</v>
      </c>
      <c r="Z110" s="24">
        <v>0</v>
      </c>
      <c r="AA110" s="24">
        <v>0</v>
      </c>
      <c r="AB110" s="24">
        <v>1</v>
      </c>
      <c r="AC110" s="24">
        <v>0</v>
      </c>
      <c r="AD110" s="24">
        <v>0</v>
      </c>
      <c r="AE110" s="24">
        <v>0</v>
      </c>
      <c r="AF110" s="24">
        <v>1</v>
      </c>
      <c r="AG110" s="24">
        <v>0</v>
      </c>
      <c r="AH110" s="24">
        <v>0</v>
      </c>
      <c r="AI110" s="24">
        <v>0</v>
      </c>
      <c r="AJ110" s="24">
        <v>0</v>
      </c>
      <c r="AK110" s="24">
        <v>1</v>
      </c>
      <c r="AL110" s="24">
        <v>0</v>
      </c>
      <c r="AM110" s="24">
        <v>0</v>
      </c>
      <c r="AN110" s="24">
        <v>0</v>
      </c>
      <c r="AO110" s="24">
        <v>0</v>
      </c>
      <c r="AP110" s="24">
        <v>0</v>
      </c>
      <c r="AQ110" s="24">
        <v>0</v>
      </c>
      <c r="AR110" s="24">
        <v>0</v>
      </c>
      <c r="AS110" s="24">
        <v>1</v>
      </c>
      <c r="AT110" s="24">
        <v>0</v>
      </c>
      <c r="AU110" s="24">
        <v>0</v>
      </c>
      <c r="AV110" s="24">
        <v>0</v>
      </c>
      <c r="AW110" s="24">
        <v>1</v>
      </c>
      <c r="AX110" s="24">
        <v>0</v>
      </c>
      <c r="AY110" s="24">
        <v>0</v>
      </c>
      <c r="AZ110" s="24">
        <v>0</v>
      </c>
      <c r="BA110" s="24">
        <v>1</v>
      </c>
      <c r="BB110" s="24">
        <v>0</v>
      </c>
    </row>
    <row r="111" spans="2:54" ht="13.8" x14ac:dyDescent="0.3">
      <c r="B111" s="24">
        <v>91</v>
      </c>
      <c r="C111" s="24">
        <v>12</v>
      </c>
      <c r="D111" s="24">
        <v>0</v>
      </c>
      <c r="E111" s="24">
        <v>0</v>
      </c>
      <c r="F111" s="24">
        <v>0</v>
      </c>
      <c r="G111" s="24">
        <v>1</v>
      </c>
      <c r="H111" s="24">
        <v>0</v>
      </c>
      <c r="I111" s="24">
        <v>0</v>
      </c>
      <c r="J111" s="24">
        <v>618</v>
      </c>
      <c r="K111" s="24">
        <v>4</v>
      </c>
      <c r="L111" s="24">
        <v>0</v>
      </c>
      <c r="M111" s="24">
        <v>1</v>
      </c>
      <c r="N111" s="24">
        <v>0</v>
      </c>
      <c r="O111" s="24">
        <v>0</v>
      </c>
      <c r="P111" s="24">
        <v>0</v>
      </c>
      <c r="Q111" s="24">
        <v>1</v>
      </c>
      <c r="R111" s="24">
        <v>0</v>
      </c>
      <c r="S111" s="24">
        <v>56</v>
      </c>
      <c r="T111" s="24">
        <v>0</v>
      </c>
      <c r="U111" s="24">
        <v>0</v>
      </c>
      <c r="V111" s="24">
        <v>1</v>
      </c>
      <c r="W111" s="24">
        <v>1</v>
      </c>
      <c r="X111" s="24">
        <v>1</v>
      </c>
      <c r="Y111" s="24">
        <v>0</v>
      </c>
      <c r="Z111" s="24">
        <v>0</v>
      </c>
      <c r="AA111" s="24">
        <v>1</v>
      </c>
      <c r="AB111" s="24">
        <v>0</v>
      </c>
      <c r="AC111" s="24">
        <v>0</v>
      </c>
      <c r="AD111" s="24">
        <v>0</v>
      </c>
      <c r="AE111" s="24">
        <v>1</v>
      </c>
      <c r="AF111" s="24">
        <v>0</v>
      </c>
      <c r="AG111" s="24">
        <v>0</v>
      </c>
      <c r="AH111" s="24">
        <v>0</v>
      </c>
      <c r="AI111" s="24">
        <v>0</v>
      </c>
      <c r="AJ111" s="24">
        <v>1</v>
      </c>
      <c r="AK111" s="24">
        <v>1</v>
      </c>
      <c r="AL111" s="24">
        <v>0</v>
      </c>
      <c r="AM111" s="24">
        <v>0</v>
      </c>
      <c r="AN111" s="24">
        <v>0</v>
      </c>
      <c r="AO111" s="24">
        <v>0</v>
      </c>
      <c r="AP111" s="24">
        <v>0</v>
      </c>
      <c r="AQ111" s="24">
        <v>0</v>
      </c>
      <c r="AR111" s="24">
        <v>0</v>
      </c>
      <c r="AS111" s="24">
        <v>0</v>
      </c>
      <c r="AT111" s="24">
        <v>1</v>
      </c>
      <c r="AU111" s="24">
        <v>0</v>
      </c>
      <c r="AV111" s="24">
        <v>0</v>
      </c>
      <c r="AW111" s="24">
        <v>0</v>
      </c>
      <c r="AX111" s="24">
        <v>1</v>
      </c>
      <c r="AY111" s="24">
        <v>0</v>
      </c>
      <c r="AZ111" s="24">
        <v>0</v>
      </c>
      <c r="BA111" s="24">
        <v>1</v>
      </c>
      <c r="BB111" s="24">
        <v>0</v>
      </c>
    </row>
    <row r="112" spans="2:54" ht="13.8" x14ac:dyDescent="0.3">
      <c r="B112" s="24">
        <v>92</v>
      </c>
      <c r="C112" s="24">
        <v>12</v>
      </c>
      <c r="D112" s="24">
        <v>0</v>
      </c>
      <c r="E112" s="24">
        <v>1</v>
      </c>
      <c r="F112" s="24">
        <v>0</v>
      </c>
      <c r="G112" s="24">
        <v>0</v>
      </c>
      <c r="H112" s="24">
        <v>0</v>
      </c>
      <c r="I112" s="24">
        <v>0</v>
      </c>
      <c r="J112" s="24">
        <v>1409</v>
      </c>
      <c r="K112" s="24">
        <v>4</v>
      </c>
      <c r="L112" s="24">
        <v>0</v>
      </c>
      <c r="M112" s="24">
        <v>1</v>
      </c>
      <c r="N112" s="24">
        <v>0</v>
      </c>
      <c r="O112" s="24">
        <v>0</v>
      </c>
      <c r="P112" s="24">
        <v>0</v>
      </c>
      <c r="Q112" s="24">
        <v>1</v>
      </c>
      <c r="R112" s="24">
        <v>0</v>
      </c>
      <c r="S112" s="24">
        <v>54</v>
      </c>
      <c r="T112" s="24">
        <v>0</v>
      </c>
      <c r="U112" s="24">
        <v>0</v>
      </c>
      <c r="V112" s="24">
        <v>1</v>
      </c>
      <c r="W112" s="24">
        <v>1</v>
      </c>
      <c r="X112" s="24">
        <v>1</v>
      </c>
      <c r="Y112" s="24">
        <v>0</v>
      </c>
      <c r="Z112" s="24">
        <v>0</v>
      </c>
      <c r="AA112" s="24">
        <v>1</v>
      </c>
      <c r="AB112" s="24">
        <v>1</v>
      </c>
      <c r="AC112" s="24">
        <v>0</v>
      </c>
      <c r="AD112" s="24">
        <v>0</v>
      </c>
      <c r="AE112" s="24">
        <v>0</v>
      </c>
      <c r="AF112" s="24">
        <v>0</v>
      </c>
      <c r="AG112" s="24">
        <v>0</v>
      </c>
      <c r="AH112" s="24">
        <v>0</v>
      </c>
      <c r="AI112" s="24">
        <v>0</v>
      </c>
      <c r="AJ112" s="24">
        <v>1</v>
      </c>
      <c r="AK112" s="24">
        <v>1</v>
      </c>
      <c r="AL112" s="24">
        <v>0</v>
      </c>
      <c r="AM112" s="24">
        <v>0</v>
      </c>
      <c r="AN112" s="24">
        <v>0</v>
      </c>
      <c r="AO112" s="24">
        <v>0</v>
      </c>
      <c r="AP112" s="24">
        <v>0</v>
      </c>
      <c r="AQ112" s="24">
        <v>0</v>
      </c>
      <c r="AR112" s="24">
        <v>0</v>
      </c>
      <c r="AS112" s="24">
        <v>0</v>
      </c>
      <c r="AT112" s="24">
        <v>1</v>
      </c>
      <c r="AU112" s="24">
        <v>0</v>
      </c>
      <c r="AV112" s="24">
        <v>0</v>
      </c>
      <c r="AW112" s="24">
        <v>1</v>
      </c>
      <c r="AX112" s="24">
        <v>0</v>
      </c>
      <c r="AY112" s="24">
        <v>0</v>
      </c>
      <c r="AZ112" s="24">
        <v>0</v>
      </c>
      <c r="BA112" s="24">
        <v>1</v>
      </c>
      <c r="BB112" s="24">
        <v>0</v>
      </c>
    </row>
    <row r="113" spans="2:54" ht="13.8" x14ac:dyDescent="0.3">
      <c r="B113" s="24">
        <v>93</v>
      </c>
      <c r="C113" s="24">
        <v>12</v>
      </c>
      <c r="D113" s="24">
        <v>0</v>
      </c>
      <c r="E113" s="24">
        <v>0</v>
      </c>
      <c r="F113" s="24">
        <v>0</v>
      </c>
      <c r="G113" s="24">
        <v>1</v>
      </c>
      <c r="H113" s="24">
        <v>0</v>
      </c>
      <c r="I113" s="24">
        <v>0</v>
      </c>
      <c r="J113" s="24">
        <v>797</v>
      </c>
      <c r="K113" s="24">
        <v>4</v>
      </c>
      <c r="L113" s="24">
        <v>0</v>
      </c>
      <c r="M113" s="24">
        <v>0</v>
      </c>
      <c r="N113" s="24">
        <v>0</v>
      </c>
      <c r="O113" s="24">
        <v>0</v>
      </c>
      <c r="P113" s="24">
        <v>0</v>
      </c>
      <c r="Q113" s="24">
        <v>0</v>
      </c>
      <c r="R113" s="24">
        <v>0</v>
      </c>
      <c r="S113" s="24">
        <v>33</v>
      </c>
      <c r="T113" s="24">
        <v>1</v>
      </c>
      <c r="U113" s="24">
        <v>0</v>
      </c>
      <c r="V113" s="24">
        <v>1</v>
      </c>
      <c r="W113" s="24">
        <v>1</v>
      </c>
      <c r="X113" s="24">
        <v>2</v>
      </c>
      <c r="Y113" s="24">
        <v>0</v>
      </c>
      <c r="Z113" s="24">
        <v>0</v>
      </c>
      <c r="AA113" s="24">
        <v>0</v>
      </c>
      <c r="AB113" s="24">
        <v>0</v>
      </c>
      <c r="AC113" s="24">
        <v>0</v>
      </c>
      <c r="AD113" s="24">
        <v>0</v>
      </c>
      <c r="AE113" s="24">
        <v>1</v>
      </c>
      <c r="AF113" s="24">
        <v>0</v>
      </c>
      <c r="AG113" s="24">
        <v>0</v>
      </c>
      <c r="AH113" s="24">
        <v>0</v>
      </c>
      <c r="AI113" s="24">
        <v>0</v>
      </c>
      <c r="AJ113" s="24">
        <v>1</v>
      </c>
      <c r="AK113" s="24">
        <v>0</v>
      </c>
      <c r="AL113" s="24">
        <v>0</v>
      </c>
      <c r="AM113" s="24">
        <v>0</v>
      </c>
      <c r="AN113" s="24">
        <v>0</v>
      </c>
      <c r="AO113" s="24">
        <v>1</v>
      </c>
      <c r="AP113" s="24">
        <v>0</v>
      </c>
      <c r="AQ113" s="24">
        <v>0</v>
      </c>
      <c r="AR113" s="24">
        <v>0</v>
      </c>
      <c r="AS113" s="24">
        <v>0</v>
      </c>
      <c r="AT113" s="24">
        <v>1</v>
      </c>
      <c r="AU113" s="24">
        <v>0</v>
      </c>
      <c r="AV113" s="24">
        <v>0</v>
      </c>
      <c r="AW113" s="24">
        <v>1</v>
      </c>
      <c r="AX113" s="24">
        <v>0</v>
      </c>
      <c r="AY113" s="24">
        <v>0</v>
      </c>
      <c r="AZ113" s="24">
        <v>1</v>
      </c>
      <c r="BA113" s="24">
        <v>0</v>
      </c>
      <c r="BB113" s="24">
        <v>0</v>
      </c>
    </row>
    <row r="114" spans="2:54" ht="13.8" x14ac:dyDescent="0.3">
      <c r="B114" s="24">
        <v>94</v>
      </c>
      <c r="C114" s="24">
        <v>24</v>
      </c>
      <c r="D114" s="24">
        <v>0</v>
      </c>
      <c r="E114" s="24">
        <v>0</v>
      </c>
      <c r="F114" s="24">
        <v>1</v>
      </c>
      <c r="G114" s="24">
        <v>0</v>
      </c>
      <c r="H114" s="24">
        <v>0</v>
      </c>
      <c r="I114" s="24">
        <v>0</v>
      </c>
      <c r="J114" s="24">
        <v>3617</v>
      </c>
      <c r="K114" s="24">
        <v>4</v>
      </c>
      <c r="L114" s="24">
        <v>0</v>
      </c>
      <c r="M114" s="24">
        <v>1</v>
      </c>
      <c r="N114" s="24">
        <v>0</v>
      </c>
      <c r="O114" s="24">
        <v>1</v>
      </c>
      <c r="P114" s="24">
        <v>0</v>
      </c>
      <c r="Q114" s="24">
        <v>0</v>
      </c>
      <c r="R114" s="24">
        <v>1</v>
      </c>
      <c r="S114" s="24">
        <v>20</v>
      </c>
      <c r="T114" s="24">
        <v>0</v>
      </c>
      <c r="U114" s="24">
        <v>1</v>
      </c>
      <c r="V114" s="24">
        <v>0</v>
      </c>
      <c r="W114" s="24">
        <v>2</v>
      </c>
      <c r="X114" s="24">
        <v>1</v>
      </c>
      <c r="Y114" s="24">
        <v>0</v>
      </c>
      <c r="Z114" s="24">
        <v>0</v>
      </c>
      <c r="AA114" s="24">
        <v>1</v>
      </c>
      <c r="AB114" s="24">
        <v>0</v>
      </c>
      <c r="AC114" s="24">
        <v>0</v>
      </c>
      <c r="AD114" s="24">
        <v>1</v>
      </c>
      <c r="AE114" s="24">
        <v>0</v>
      </c>
      <c r="AF114" s="24">
        <v>0</v>
      </c>
      <c r="AG114" s="24">
        <v>0</v>
      </c>
      <c r="AH114" s="24">
        <v>0</v>
      </c>
      <c r="AI114" s="24">
        <v>0</v>
      </c>
      <c r="AJ114" s="24">
        <v>1</v>
      </c>
      <c r="AK114" s="24">
        <v>0</v>
      </c>
      <c r="AL114" s="24">
        <v>0</v>
      </c>
      <c r="AM114" s="24">
        <v>0</v>
      </c>
      <c r="AN114" s="24">
        <v>0</v>
      </c>
      <c r="AO114" s="24">
        <v>1</v>
      </c>
      <c r="AP114" s="24">
        <v>0</v>
      </c>
      <c r="AQ114" s="24">
        <v>0</v>
      </c>
      <c r="AR114" s="24">
        <v>0</v>
      </c>
      <c r="AS114" s="24">
        <v>0</v>
      </c>
      <c r="AT114" s="24">
        <v>1</v>
      </c>
      <c r="AU114" s="24">
        <v>0</v>
      </c>
      <c r="AV114" s="24">
        <v>0</v>
      </c>
      <c r="AW114" s="24">
        <v>0</v>
      </c>
      <c r="AX114" s="24">
        <v>1</v>
      </c>
      <c r="AY114" s="24">
        <v>0</v>
      </c>
      <c r="AZ114" s="24">
        <v>0</v>
      </c>
      <c r="BA114" s="24">
        <v>1</v>
      </c>
      <c r="BB114" s="24">
        <v>0</v>
      </c>
    </row>
    <row r="115" spans="2:54" ht="13.8" x14ac:dyDescent="0.3">
      <c r="B115" s="24">
        <v>95</v>
      </c>
      <c r="C115" s="24">
        <v>12</v>
      </c>
      <c r="D115" s="24">
        <v>1</v>
      </c>
      <c r="E115" s="24">
        <v>0</v>
      </c>
      <c r="F115" s="24">
        <v>0</v>
      </c>
      <c r="G115" s="24">
        <v>0</v>
      </c>
      <c r="H115" s="24">
        <v>0</v>
      </c>
      <c r="I115" s="24">
        <v>0</v>
      </c>
      <c r="J115" s="24">
        <v>1318</v>
      </c>
      <c r="K115" s="24">
        <v>4</v>
      </c>
      <c r="L115" s="24">
        <v>0</v>
      </c>
      <c r="M115" s="24">
        <v>1</v>
      </c>
      <c r="N115" s="24">
        <v>0</v>
      </c>
      <c r="O115" s="24">
        <v>0</v>
      </c>
      <c r="P115" s="24">
        <v>0</v>
      </c>
      <c r="Q115" s="24">
        <v>1</v>
      </c>
      <c r="R115" s="24">
        <v>0</v>
      </c>
      <c r="S115" s="24">
        <v>54</v>
      </c>
      <c r="T115" s="24">
        <v>0</v>
      </c>
      <c r="U115" s="24">
        <v>0</v>
      </c>
      <c r="V115" s="24">
        <v>1</v>
      </c>
      <c r="W115" s="24">
        <v>1</v>
      </c>
      <c r="X115" s="24">
        <v>1</v>
      </c>
      <c r="Y115" s="24">
        <v>1</v>
      </c>
      <c r="Z115" s="24">
        <v>0</v>
      </c>
      <c r="AA115" s="24">
        <v>1</v>
      </c>
      <c r="AB115" s="24">
        <v>0</v>
      </c>
      <c r="AC115" s="24">
        <v>1</v>
      </c>
      <c r="AD115" s="24">
        <v>0</v>
      </c>
      <c r="AE115" s="24">
        <v>0</v>
      </c>
      <c r="AF115" s="24">
        <v>0</v>
      </c>
      <c r="AG115" s="24">
        <v>0</v>
      </c>
      <c r="AH115" s="24">
        <v>1</v>
      </c>
      <c r="AI115" s="24">
        <v>0</v>
      </c>
      <c r="AJ115" s="24">
        <v>0</v>
      </c>
      <c r="AK115" s="24">
        <v>0</v>
      </c>
      <c r="AL115" s="24">
        <v>0</v>
      </c>
      <c r="AM115" s="24">
        <v>0</v>
      </c>
      <c r="AN115" s="24">
        <v>1</v>
      </c>
      <c r="AO115" s="24">
        <v>0</v>
      </c>
      <c r="AP115" s="24">
        <v>0</v>
      </c>
      <c r="AQ115" s="24">
        <v>0</v>
      </c>
      <c r="AR115" s="24">
        <v>0</v>
      </c>
      <c r="AS115" s="24">
        <v>0</v>
      </c>
      <c r="AT115" s="24">
        <v>1</v>
      </c>
      <c r="AU115" s="24">
        <v>0</v>
      </c>
      <c r="AV115" s="24">
        <v>0</v>
      </c>
      <c r="AW115" s="24">
        <v>0</v>
      </c>
      <c r="AX115" s="24">
        <v>1</v>
      </c>
      <c r="AY115" s="24">
        <v>0</v>
      </c>
      <c r="AZ115" s="24">
        <v>0</v>
      </c>
      <c r="BA115" s="24">
        <v>1</v>
      </c>
      <c r="BB115" s="24">
        <v>0</v>
      </c>
    </row>
    <row r="116" spans="2:54" ht="13.8" x14ac:dyDescent="0.3">
      <c r="B116" s="24">
        <v>96</v>
      </c>
      <c r="C116" s="24">
        <v>54</v>
      </c>
      <c r="D116" s="24">
        <v>0</v>
      </c>
      <c r="E116" s="24">
        <v>0</v>
      </c>
      <c r="F116" s="24">
        <v>0</v>
      </c>
      <c r="G116" s="24">
        <v>0</v>
      </c>
      <c r="H116" s="24">
        <v>0</v>
      </c>
      <c r="I116" s="24">
        <v>1</v>
      </c>
      <c r="J116" s="24">
        <v>15945</v>
      </c>
      <c r="K116" s="24">
        <v>3</v>
      </c>
      <c r="L116" s="24">
        <v>0</v>
      </c>
      <c r="M116" s="24">
        <v>1</v>
      </c>
      <c r="N116" s="24">
        <v>0</v>
      </c>
      <c r="O116" s="24">
        <v>0</v>
      </c>
      <c r="P116" s="24">
        <v>0</v>
      </c>
      <c r="Q116" s="24">
        <v>0</v>
      </c>
      <c r="R116" s="24">
        <v>1</v>
      </c>
      <c r="S116" s="24">
        <v>58</v>
      </c>
      <c r="T116" s="24">
        <v>0</v>
      </c>
      <c r="U116" s="24">
        <v>1</v>
      </c>
      <c r="V116" s="24">
        <v>0</v>
      </c>
      <c r="W116" s="24">
        <v>1</v>
      </c>
      <c r="X116" s="24">
        <v>1</v>
      </c>
      <c r="Y116" s="24">
        <v>1</v>
      </c>
      <c r="Z116" s="24">
        <v>0</v>
      </c>
      <c r="AA116" s="24">
        <v>0</v>
      </c>
      <c r="AB116" s="24">
        <v>0</v>
      </c>
      <c r="AC116" s="24">
        <v>1</v>
      </c>
      <c r="AD116" s="24">
        <v>0</v>
      </c>
      <c r="AE116" s="24">
        <v>0</v>
      </c>
      <c r="AF116" s="24">
        <v>1</v>
      </c>
      <c r="AG116" s="24">
        <v>0</v>
      </c>
      <c r="AH116" s="24">
        <v>0</v>
      </c>
      <c r="AI116" s="24">
        <v>0</v>
      </c>
      <c r="AJ116" s="24">
        <v>0</v>
      </c>
      <c r="AK116" s="24">
        <v>1</v>
      </c>
      <c r="AL116" s="24">
        <v>0</v>
      </c>
      <c r="AM116" s="24">
        <v>0</v>
      </c>
      <c r="AN116" s="24">
        <v>0</v>
      </c>
      <c r="AO116" s="24">
        <v>0</v>
      </c>
      <c r="AP116" s="24">
        <v>0</v>
      </c>
      <c r="AQ116" s="24">
        <v>1</v>
      </c>
      <c r="AR116" s="24">
        <v>0</v>
      </c>
      <c r="AS116" s="24">
        <v>0</v>
      </c>
      <c r="AT116" s="24">
        <v>0</v>
      </c>
      <c r="AU116" s="24">
        <v>0</v>
      </c>
      <c r="AV116" s="24">
        <v>0</v>
      </c>
      <c r="AW116" s="24">
        <v>0</v>
      </c>
      <c r="AX116" s="24">
        <v>1</v>
      </c>
      <c r="AY116" s="24">
        <v>0</v>
      </c>
      <c r="AZ116" s="24">
        <v>0</v>
      </c>
      <c r="BA116" s="24">
        <v>1</v>
      </c>
      <c r="BB116" s="24">
        <v>0</v>
      </c>
    </row>
    <row r="117" spans="2:54" ht="13.8" x14ac:dyDescent="0.3">
      <c r="B117" s="24">
        <v>97</v>
      </c>
      <c r="C117" s="24">
        <v>12</v>
      </c>
      <c r="D117" s="24">
        <v>0</v>
      </c>
      <c r="E117" s="24">
        <v>0</v>
      </c>
      <c r="F117" s="24">
        <v>0</v>
      </c>
      <c r="G117" s="24">
        <v>0</v>
      </c>
      <c r="H117" s="24">
        <v>1</v>
      </c>
      <c r="I117" s="24">
        <v>0</v>
      </c>
      <c r="J117" s="24">
        <v>2012</v>
      </c>
      <c r="K117" s="24">
        <v>4</v>
      </c>
      <c r="L117" s="24">
        <v>0</v>
      </c>
      <c r="M117" s="24">
        <v>0</v>
      </c>
      <c r="N117" s="24">
        <v>0</v>
      </c>
      <c r="O117" s="24">
        <v>0</v>
      </c>
      <c r="P117" s="24">
        <v>0</v>
      </c>
      <c r="Q117" s="24">
        <v>0</v>
      </c>
      <c r="R117" s="24">
        <v>0</v>
      </c>
      <c r="S117" s="24">
        <v>61</v>
      </c>
      <c r="T117" s="24">
        <v>0</v>
      </c>
      <c r="U117" s="24">
        <v>0</v>
      </c>
      <c r="V117" s="24">
        <v>1</v>
      </c>
      <c r="W117" s="24">
        <v>1</v>
      </c>
      <c r="X117" s="24">
        <v>1</v>
      </c>
      <c r="Y117" s="24">
        <v>0</v>
      </c>
      <c r="Z117" s="24">
        <v>0</v>
      </c>
      <c r="AA117" s="24">
        <v>1</v>
      </c>
      <c r="AB117" s="24">
        <v>0</v>
      </c>
      <c r="AC117" s="24">
        <v>0</v>
      </c>
      <c r="AD117" s="24">
        <v>0</v>
      </c>
      <c r="AE117" s="24">
        <v>1</v>
      </c>
      <c r="AF117" s="24">
        <v>0</v>
      </c>
      <c r="AG117" s="24">
        <v>0</v>
      </c>
      <c r="AH117" s="24">
        <v>0</v>
      </c>
      <c r="AI117" s="24">
        <v>0</v>
      </c>
      <c r="AJ117" s="24">
        <v>1</v>
      </c>
      <c r="AK117" s="24">
        <v>0</v>
      </c>
      <c r="AL117" s="24">
        <v>0</v>
      </c>
      <c r="AM117" s="24">
        <v>0</v>
      </c>
      <c r="AN117" s="24">
        <v>0</v>
      </c>
      <c r="AO117" s="24">
        <v>1</v>
      </c>
      <c r="AP117" s="24">
        <v>0</v>
      </c>
      <c r="AQ117" s="24">
        <v>0</v>
      </c>
      <c r="AR117" s="24">
        <v>0</v>
      </c>
      <c r="AS117" s="24">
        <v>1</v>
      </c>
      <c r="AT117" s="24">
        <v>0</v>
      </c>
      <c r="AU117" s="24">
        <v>0</v>
      </c>
      <c r="AV117" s="24">
        <v>1</v>
      </c>
      <c r="AW117" s="24">
        <v>0</v>
      </c>
      <c r="AX117" s="24">
        <v>0</v>
      </c>
      <c r="AY117" s="24">
        <v>0</v>
      </c>
      <c r="AZ117" s="24">
        <v>0</v>
      </c>
      <c r="BA117" s="24">
        <v>1</v>
      </c>
      <c r="BB117" s="24">
        <v>0</v>
      </c>
    </row>
    <row r="118" spans="2:54" ht="13.8" x14ac:dyDescent="0.3">
      <c r="B118" s="24">
        <v>98</v>
      </c>
      <c r="C118" s="24">
        <v>18</v>
      </c>
      <c r="D118" s="24">
        <v>0</v>
      </c>
      <c r="E118" s="24">
        <v>0</v>
      </c>
      <c r="F118" s="24">
        <v>0</v>
      </c>
      <c r="G118" s="24">
        <v>0</v>
      </c>
      <c r="H118" s="24">
        <v>0</v>
      </c>
      <c r="I118" s="24">
        <v>1</v>
      </c>
      <c r="J118" s="24">
        <v>2622</v>
      </c>
      <c r="K118" s="24">
        <v>4</v>
      </c>
      <c r="L118" s="24">
        <v>0</v>
      </c>
      <c r="M118" s="24">
        <v>1</v>
      </c>
      <c r="N118" s="24">
        <v>0</v>
      </c>
      <c r="O118" s="24">
        <v>0</v>
      </c>
      <c r="P118" s="24">
        <v>0</v>
      </c>
      <c r="Q118" s="24">
        <v>0</v>
      </c>
      <c r="R118" s="24">
        <v>0</v>
      </c>
      <c r="S118" s="24">
        <v>34</v>
      </c>
      <c r="T118" s="24">
        <v>0</v>
      </c>
      <c r="U118" s="24">
        <v>0</v>
      </c>
      <c r="V118" s="24">
        <v>1</v>
      </c>
      <c r="W118" s="24">
        <v>1</v>
      </c>
      <c r="X118" s="24">
        <v>1</v>
      </c>
      <c r="Y118" s="24">
        <v>0</v>
      </c>
      <c r="Z118" s="24">
        <v>0</v>
      </c>
      <c r="AA118" s="24">
        <v>1</v>
      </c>
      <c r="AB118" s="24">
        <v>0</v>
      </c>
      <c r="AC118" s="24">
        <v>1</v>
      </c>
      <c r="AD118" s="24">
        <v>0</v>
      </c>
      <c r="AE118" s="24">
        <v>0</v>
      </c>
      <c r="AF118" s="24">
        <v>0</v>
      </c>
      <c r="AG118" s="24">
        <v>0</v>
      </c>
      <c r="AH118" s="24">
        <v>1</v>
      </c>
      <c r="AI118" s="24">
        <v>0</v>
      </c>
      <c r="AJ118" s="24">
        <v>0</v>
      </c>
      <c r="AK118" s="24">
        <v>0</v>
      </c>
      <c r="AL118" s="24">
        <v>1</v>
      </c>
      <c r="AM118" s="24">
        <v>0</v>
      </c>
      <c r="AN118" s="24">
        <v>0</v>
      </c>
      <c r="AO118" s="24">
        <v>0</v>
      </c>
      <c r="AP118" s="24">
        <v>0</v>
      </c>
      <c r="AQ118" s="24">
        <v>0</v>
      </c>
      <c r="AR118" s="24">
        <v>1</v>
      </c>
      <c r="AS118" s="24">
        <v>0</v>
      </c>
      <c r="AT118" s="24">
        <v>0</v>
      </c>
      <c r="AU118" s="24">
        <v>0</v>
      </c>
      <c r="AV118" s="24">
        <v>0</v>
      </c>
      <c r="AW118" s="24">
        <v>0</v>
      </c>
      <c r="AX118" s="24">
        <v>1</v>
      </c>
      <c r="AY118" s="24">
        <v>0</v>
      </c>
      <c r="AZ118" s="24">
        <v>0</v>
      </c>
      <c r="BA118" s="24">
        <v>1</v>
      </c>
      <c r="BB118" s="24">
        <v>0</v>
      </c>
    </row>
    <row r="119" spans="2:54" ht="13.8" x14ac:dyDescent="0.3">
      <c r="B119" s="24">
        <v>99</v>
      </c>
      <c r="C119" s="24">
        <v>36</v>
      </c>
      <c r="D119" s="24">
        <v>0</v>
      </c>
      <c r="E119" s="24">
        <v>0</v>
      </c>
      <c r="F119" s="24">
        <v>0</v>
      </c>
      <c r="G119" s="24">
        <v>1</v>
      </c>
      <c r="H119" s="24">
        <v>0</v>
      </c>
      <c r="I119" s="24">
        <v>0</v>
      </c>
      <c r="J119" s="24">
        <v>2337</v>
      </c>
      <c r="K119" s="24">
        <v>4</v>
      </c>
      <c r="L119" s="24">
        <v>0</v>
      </c>
      <c r="M119" s="24">
        <v>1</v>
      </c>
      <c r="N119" s="24">
        <v>0</v>
      </c>
      <c r="O119" s="24">
        <v>0</v>
      </c>
      <c r="P119" s="24">
        <v>0</v>
      </c>
      <c r="Q119" s="24">
        <v>1</v>
      </c>
      <c r="R119" s="24">
        <v>0</v>
      </c>
      <c r="S119" s="24">
        <v>36</v>
      </c>
      <c r="T119" s="24">
        <v>0</v>
      </c>
      <c r="U119" s="24">
        <v>0</v>
      </c>
      <c r="V119" s="24">
        <v>1</v>
      </c>
      <c r="W119" s="24">
        <v>1</v>
      </c>
      <c r="X119" s="24">
        <v>1</v>
      </c>
      <c r="Y119" s="24">
        <v>0</v>
      </c>
      <c r="Z119" s="24">
        <v>0</v>
      </c>
      <c r="AA119" s="24">
        <v>1</v>
      </c>
      <c r="AB119" s="24">
        <v>0</v>
      </c>
      <c r="AC119" s="24">
        <v>1</v>
      </c>
      <c r="AD119" s="24">
        <v>0</v>
      </c>
      <c r="AE119" s="24">
        <v>0</v>
      </c>
      <c r="AF119" s="24">
        <v>0</v>
      </c>
      <c r="AG119" s="24">
        <v>0</v>
      </c>
      <c r="AH119" s="24">
        <v>0</v>
      </c>
      <c r="AI119" s="24">
        <v>0</v>
      </c>
      <c r="AJ119" s="24">
        <v>1</v>
      </c>
      <c r="AK119" s="24">
        <v>1</v>
      </c>
      <c r="AL119" s="24">
        <v>0</v>
      </c>
      <c r="AM119" s="24">
        <v>0</v>
      </c>
      <c r="AN119" s="24">
        <v>0</v>
      </c>
      <c r="AO119" s="24">
        <v>0</v>
      </c>
      <c r="AP119" s="24">
        <v>0</v>
      </c>
      <c r="AQ119" s="24">
        <v>0</v>
      </c>
      <c r="AR119" s="24">
        <v>0</v>
      </c>
      <c r="AS119" s="24">
        <v>0</v>
      </c>
      <c r="AT119" s="24">
        <v>1</v>
      </c>
      <c r="AU119" s="24">
        <v>0</v>
      </c>
      <c r="AV119" s="24">
        <v>0</v>
      </c>
      <c r="AW119" s="24">
        <v>0</v>
      </c>
      <c r="AX119" s="24">
        <v>1</v>
      </c>
      <c r="AY119" s="24">
        <v>0</v>
      </c>
      <c r="AZ119" s="24">
        <v>0</v>
      </c>
      <c r="BA119" s="24">
        <v>1</v>
      </c>
      <c r="BB119" s="24">
        <v>0</v>
      </c>
    </row>
    <row r="120" spans="2:54" ht="13.8" x14ac:dyDescent="0.3">
      <c r="B120" s="24">
        <v>100</v>
      </c>
      <c r="C120" s="24">
        <v>20</v>
      </c>
      <c r="D120" s="24">
        <v>0</v>
      </c>
      <c r="E120" s="24">
        <v>1</v>
      </c>
      <c r="F120" s="24">
        <v>0</v>
      </c>
      <c r="G120" s="24">
        <v>0</v>
      </c>
      <c r="H120" s="24">
        <v>0</v>
      </c>
      <c r="I120" s="24">
        <v>0</v>
      </c>
      <c r="J120" s="24">
        <v>7057</v>
      </c>
      <c r="K120" s="24">
        <v>3</v>
      </c>
      <c r="L120" s="24">
        <v>0</v>
      </c>
      <c r="M120" s="24">
        <v>1</v>
      </c>
      <c r="N120" s="24">
        <v>0</v>
      </c>
      <c r="O120" s="24">
        <v>0</v>
      </c>
      <c r="P120" s="24">
        <v>0</v>
      </c>
      <c r="Q120" s="24">
        <v>0</v>
      </c>
      <c r="R120" s="24">
        <v>0</v>
      </c>
      <c r="S120" s="24">
        <v>36</v>
      </c>
      <c r="T120" s="24">
        <v>1</v>
      </c>
      <c r="U120" s="24">
        <v>1</v>
      </c>
      <c r="V120" s="24">
        <v>0</v>
      </c>
      <c r="W120" s="24">
        <v>2</v>
      </c>
      <c r="X120" s="24">
        <v>2</v>
      </c>
      <c r="Y120" s="24">
        <v>1</v>
      </c>
      <c r="Z120" s="24">
        <v>0</v>
      </c>
      <c r="AA120" s="24">
        <v>1</v>
      </c>
      <c r="AB120" s="24">
        <v>0</v>
      </c>
      <c r="AC120" s="24">
        <v>1</v>
      </c>
      <c r="AD120" s="24">
        <v>0</v>
      </c>
      <c r="AE120" s="24">
        <v>0</v>
      </c>
      <c r="AF120" s="24">
        <v>0</v>
      </c>
      <c r="AG120" s="24">
        <v>0</v>
      </c>
      <c r="AH120" s="24">
        <v>0</v>
      </c>
      <c r="AI120" s="24">
        <v>1</v>
      </c>
      <c r="AJ120" s="24">
        <v>0</v>
      </c>
      <c r="AK120" s="24">
        <v>0</v>
      </c>
      <c r="AL120" s="24">
        <v>0</v>
      </c>
      <c r="AM120" s="24">
        <v>0</v>
      </c>
      <c r="AN120" s="24">
        <v>0</v>
      </c>
      <c r="AO120" s="24">
        <v>1</v>
      </c>
      <c r="AP120" s="24">
        <v>0</v>
      </c>
      <c r="AQ120" s="24">
        <v>0</v>
      </c>
      <c r="AR120" s="24">
        <v>0</v>
      </c>
      <c r="AS120" s="24">
        <v>1</v>
      </c>
      <c r="AT120" s="24">
        <v>0</v>
      </c>
      <c r="AU120" s="24">
        <v>0</v>
      </c>
      <c r="AV120" s="24">
        <v>0</v>
      </c>
      <c r="AW120" s="24">
        <v>0</v>
      </c>
      <c r="AX120" s="24">
        <v>1</v>
      </c>
      <c r="AY120" s="24">
        <v>0</v>
      </c>
      <c r="AZ120" s="24">
        <v>0</v>
      </c>
      <c r="BA120" s="24">
        <v>0</v>
      </c>
      <c r="BB120" s="24">
        <v>1</v>
      </c>
    </row>
    <row r="121" spans="2:54" ht="13.8" x14ac:dyDescent="0.3">
      <c r="B121" s="24">
        <v>101</v>
      </c>
      <c r="C121" s="24">
        <v>24</v>
      </c>
      <c r="D121" s="24">
        <v>1</v>
      </c>
      <c r="E121" s="24">
        <v>0</v>
      </c>
      <c r="F121" s="24">
        <v>0</v>
      </c>
      <c r="G121" s="24">
        <v>0</v>
      </c>
      <c r="H121" s="24">
        <v>0</v>
      </c>
      <c r="I121" s="24">
        <v>0</v>
      </c>
      <c r="J121" s="24">
        <v>1469</v>
      </c>
      <c r="K121" s="24">
        <v>4</v>
      </c>
      <c r="L121" s="24">
        <v>0</v>
      </c>
      <c r="M121" s="24">
        <v>0</v>
      </c>
      <c r="N121" s="24">
        <v>1</v>
      </c>
      <c r="O121" s="24">
        <v>0</v>
      </c>
      <c r="P121" s="24">
        <v>0</v>
      </c>
      <c r="Q121" s="24">
        <v>1</v>
      </c>
      <c r="R121" s="24">
        <v>0</v>
      </c>
      <c r="S121" s="24">
        <v>41</v>
      </c>
      <c r="T121" s="24">
        <v>0</v>
      </c>
      <c r="U121" s="24">
        <v>1</v>
      </c>
      <c r="V121" s="24">
        <v>0</v>
      </c>
      <c r="W121" s="24">
        <v>1</v>
      </c>
      <c r="X121" s="24">
        <v>1</v>
      </c>
      <c r="Y121" s="24">
        <v>0</v>
      </c>
      <c r="Z121" s="24">
        <v>0</v>
      </c>
      <c r="AA121" s="24">
        <v>1</v>
      </c>
      <c r="AB121" s="24">
        <v>0</v>
      </c>
      <c r="AC121" s="24">
        <v>0</v>
      </c>
      <c r="AD121" s="24">
        <v>0</v>
      </c>
      <c r="AE121" s="24">
        <v>1</v>
      </c>
      <c r="AF121" s="24">
        <v>0</v>
      </c>
      <c r="AG121" s="24">
        <v>0</v>
      </c>
      <c r="AH121" s="24">
        <v>1</v>
      </c>
      <c r="AI121" s="24">
        <v>0</v>
      </c>
      <c r="AJ121" s="24">
        <v>0</v>
      </c>
      <c r="AK121" s="24">
        <v>0</v>
      </c>
      <c r="AL121" s="24">
        <v>1</v>
      </c>
      <c r="AM121" s="24">
        <v>0</v>
      </c>
      <c r="AN121" s="24">
        <v>0</v>
      </c>
      <c r="AO121" s="24">
        <v>0</v>
      </c>
      <c r="AP121" s="24">
        <v>0</v>
      </c>
      <c r="AQ121" s="24">
        <v>0</v>
      </c>
      <c r="AR121" s="24">
        <v>0</v>
      </c>
      <c r="AS121" s="24">
        <v>0</v>
      </c>
      <c r="AT121" s="24">
        <v>1</v>
      </c>
      <c r="AU121" s="24">
        <v>0</v>
      </c>
      <c r="AV121" s="24">
        <v>0</v>
      </c>
      <c r="AW121" s="24">
        <v>0</v>
      </c>
      <c r="AX121" s="24">
        <v>1</v>
      </c>
      <c r="AY121" s="24">
        <v>0</v>
      </c>
      <c r="AZ121" s="24">
        <v>1</v>
      </c>
      <c r="BA121" s="24">
        <v>0</v>
      </c>
      <c r="BB121" s="24">
        <v>0</v>
      </c>
    </row>
    <row r="122" spans="2:54" ht="13.8" x14ac:dyDescent="0.3">
      <c r="B122" s="24">
        <v>102</v>
      </c>
      <c r="C122" s="24">
        <v>36</v>
      </c>
      <c r="D122" s="24">
        <v>0</v>
      </c>
      <c r="E122" s="24">
        <v>0</v>
      </c>
      <c r="F122" s="24">
        <v>0</v>
      </c>
      <c r="G122" s="24">
        <v>1</v>
      </c>
      <c r="H122" s="24">
        <v>0</v>
      </c>
      <c r="I122" s="24">
        <v>0</v>
      </c>
      <c r="J122" s="24">
        <v>2323</v>
      </c>
      <c r="K122" s="24">
        <v>4</v>
      </c>
      <c r="L122" s="24">
        <v>0</v>
      </c>
      <c r="M122" s="24">
        <v>1</v>
      </c>
      <c r="N122" s="24">
        <v>0</v>
      </c>
      <c r="O122" s="24">
        <v>0</v>
      </c>
      <c r="P122" s="24">
        <v>0</v>
      </c>
      <c r="Q122" s="24">
        <v>0</v>
      </c>
      <c r="R122" s="24">
        <v>0</v>
      </c>
      <c r="S122" s="24">
        <v>24</v>
      </c>
      <c r="T122" s="24">
        <v>0</v>
      </c>
      <c r="U122" s="24">
        <v>1</v>
      </c>
      <c r="V122" s="24">
        <v>0</v>
      </c>
      <c r="W122" s="24">
        <v>1</v>
      </c>
      <c r="X122" s="24">
        <v>1</v>
      </c>
      <c r="Y122" s="24">
        <v>0</v>
      </c>
      <c r="Z122" s="24">
        <v>0</v>
      </c>
      <c r="AA122" s="24">
        <v>1</v>
      </c>
      <c r="AB122" s="24">
        <v>0</v>
      </c>
      <c r="AC122" s="24">
        <v>1</v>
      </c>
      <c r="AD122" s="24">
        <v>0</v>
      </c>
      <c r="AE122" s="24">
        <v>0</v>
      </c>
      <c r="AF122" s="24">
        <v>0</v>
      </c>
      <c r="AG122" s="24">
        <v>0</v>
      </c>
      <c r="AH122" s="24">
        <v>1</v>
      </c>
      <c r="AI122" s="24">
        <v>0</v>
      </c>
      <c r="AJ122" s="24">
        <v>0</v>
      </c>
      <c r="AK122" s="24">
        <v>1</v>
      </c>
      <c r="AL122" s="24">
        <v>0</v>
      </c>
      <c r="AM122" s="24">
        <v>0</v>
      </c>
      <c r="AN122" s="24">
        <v>0</v>
      </c>
      <c r="AO122" s="24">
        <v>0</v>
      </c>
      <c r="AP122" s="24">
        <v>0</v>
      </c>
      <c r="AQ122" s="24">
        <v>0</v>
      </c>
      <c r="AR122" s="24">
        <v>0</v>
      </c>
      <c r="AS122" s="24">
        <v>1</v>
      </c>
      <c r="AT122" s="24">
        <v>0</v>
      </c>
      <c r="AU122" s="24">
        <v>0</v>
      </c>
      <c r="AV122" s="24">
        <v>0</v>
      </c>
      <c r="AW122" s="24">
        <v>0</v>
      </c>
      <c r="AX122" s="24">
        <v>1</v>
      </c>
      <c r="AY122" s="24">
        <v>0</v>
      </c>
      <c r="AZ122" s="24">
        <v>0</v>
      </c>
      <c r="BA122" s="24">
        <v>1</v>
      </c>
      <c r="BB122" s="24">
        <v>0</v>
      </c>
    </row>
    <row r="123" spans="2:54" ht="13.8" x14ac:dyDescent="0.3">
      <c r="B123" s="24">
        <v>103</v>
      </c>
      <c r="C123" s="24">
        <v>6</v>
      </c>
      <c r="D123" s="24">
        <v>0</v>
      </c>
      <c r="E123" s="24">
        <v>0</v>
      </c>
      <c r="F123" s="24">
        <v>0</v>
      </c>
      <c r="G123" s="24">
        <v>1</v>
      </c>
      <c r="H123" s="24">
        <v>0</v>
      </c>
      <c r="I123" s="24">
        <v>0</v>
      </c>
      <c r="J123" s="24">
        <v>932</v>
      </c>
      <c r="K123" s="24">
        <v>3</v>
      </c>
      <c r="L123" s="24">
        <v>0</v>
      </c>
      <c r="M123" s="24">
        <v>0</v>
      </c>
      <c r="N123" s="24">
        <v>0</v>
      </c>
      <c r="O123" s="24">
        <v>0</v>
      </c>
      <c r="P123" s="24">
        <v>0</v>
      </c>
      <c r="Q123" s="24">
        <v>1</v>
      </c>
      <c r="R123" s="24">
        <v>0</v>
      </c>
      <c r="S123" s="24">
        <v>24</v>
      </c>
      <c r="T123" s="24">
        <v>0</v>
      </c>
      <c r="U123" s="24">
        <v>0</v>
      </c>
      <c r="V123" s="24">
        <v>1</v>
      </c>
      <c r="W123" s="24">
        <v>1</v>
      </c>
      <c r="X123" s="24">
        <v>1</v>
      </c>
      <c r="Y123" s="24">
        <v>0</v>
      </c>
      <c r="Z123" s="24">
        <v>0</v>
      </c>
      <c r="AA123" s="24">
        <v>1</v>
      </c>
      <c r="AB123" s="24">
        <v>0</v>
      </c>
      <c r="AC123" s="24">
        <v>0</v>
      </c>
      <c r="AD123" s="24">
        <v>0</v>
      </c>
      <c r="AE123" s="24">
        <v>1</v>
      </c>
      <c r="AF123" s="24">
        <v>0</v>
      </c>
      <c r="AG123" s="24">
        <v>0</v>
      </c>
      <c r="AH123" s="24">
        <v>0</v>
      </c>
      <c r="AI123" s="24">
        <v>1</v>
      </c>
      <c r="AJ123" s="24">
        <v>0</v>
      </c>
      <c r="AK123" s="24">
        <v>1</v>
      </c>
      <c r="AL123" s="24">
        <v>0</v>
      </c>
      <c r="AM123" s="24">
        <v>0</v>
      </c>
      <c r="AN123" s="24">
        <v>0</v>
      </c>
      <c r="AO123" s="24">
        <v>0</v>
      </c>
      <c r="AP123" s="24">
        <v>0</v>
      </c>
      <c r="AQ123" s="24">
        <v>0</v>
      </c>
      <c r="AR123" s="24">
        <v>1</v>
      </c>
      <c r="AS123" s="24">
        <v>0</v>
      </c>
      <c r="AT123" s="24">
        <v>0</v>
      </c>
      <c r="AU123" s="24">
        <v>0</v>
      </c>
      <c r="AV123" s="24">
        <v>1</v>
      </c>
      <c r="AW123" s="24">
        <v>0</v>
      </c>
      <c r="AX123" s="24">
        <v>0</v>
      </c>
      <c r="AY123" s="24">
        <v>0</v>
      </c>
      <c r="AZ123" s="24">
        <v>0</v>
      </c>
      <c r="BA123" s="24">
        <v>1</v>
      </c>
      <c r="BB123" s="24">
        <v>0</v>
      </c>
    </row>
    <row r="124" spans="2:54" ht="13.8" x14ac:dyDescent="0.3">
      <c r="B124" s="24">
        <v>104</v>
      </c>
      <c r="C124" s="24">
        <v>9</v>
      </c>
      <c r="D124" s="24">
        <v>0</v>
      </c>
      <c r="E124" s="24">
        <v>0</v>
      </c>
      <c r="F124" s="24">
        <v>1</v>
      </c>
      <c r="G124" s="24">
        <v>0</v>
      </c>
      <c r="H124" s="24">
        <v>0</v>
      </c>
      <c r="I124" s="24">
        <v>0</v>
      </c>
      <c r="J124" s="24">
        <v>1919</v>
      </c>
      <c r="K124" s="24">
        <v>4</v>
      </c>
      <c r="L124" s="24">
        <v>0</v>
      </c>
      <c r="M124" s="24">
        <v>1</v>
      </c>
      <c r="N124" s="24">
        <v>0</v>
      </c>
      <c r="O124" s="24">
        <v>0</v>
      </c>
      <c r="P124" s="24">
        <v>0</v>
      </c>
      <c r="Q124" s="24">
        <v>0</v>
      </c>
      <c r="R124" s="24">
        <v>0</v>
      </c>
      <c r="S124" s="24">
        <v>35</v>
      </c>
      <c r="T124" s="24">
        <v>0</v>
      </c>
      <c r="U124" s="24">
        <v>1</v>
      </c>
      <c r="V124" s="24">
        <v>0</v>
      </c>
      <c r="W124" s="24">
        <v>1</v>
      </c>
      <c r="X124" s="24">
        <v>1</v>
      </c>
      <c r="Y124" s="24">
        <v>1</v>
      </c>
      <c r="Z124" s="24">
        <v>0</v>
      </c>
      <c r="AA124" s="24">
        <v>1</v>
      </c>
      <c r="AB124" s="24">
        <v>0</v>
      </c>
      <c r="AC124" s="24">
        <v>1</v>
      </c>
      <c r="AD124" s="24">
        <v>0</v>
      </c>
      <c r="AE124" s="24">
        <v>0</v>
      </c>
      <c r="AF124" s="24">
        <v>0</v>
      </c>
      <c r="AG124" s="24">
        <v>0</v>
      </c>
      <c r="AH124" s="24">
        <v>0</v>
      </c>
      <c r="AI124" s="24">
        <v>0</v>
      </c>
      <c r="AJ124" s="24">
        <v>1</v>
      </c>
      <c r="AK124" s="24">
        <v>1</v>
      </c>
      <c r="AL124" s="24">
        <v>0</v>
      </c>
      <c r="AM124" s="24">
        <v>0</v>
      </c>
      <c r="AN124" s="24">
        <v>0</v>
      </c>
      <c r="AO124" s="24">
        <v>0</v>
      </c>
      <c r="AP124" s="24">
        <v>0</v>
      </c>
      <c r="AQ124" s="24">
        <v>0</v>
      </c>
      <c r="AR124" s="24">
        <v>0</v>
      </c>
      <c r="AS124" s="24">
        <v>1</v>
      </c>
      <c r="AT124" s="24">
        <v>0</v>
      </c>
      <c r="AU124" s="24">
        <v>0</v>
      </c>
      <c r="AV124" s="24">
        <v>0</v>
      </c>
      <c r="AW124" s="24">
        <v>1</v>
      </c>
      <c r="AX124" s="24">
        <v>0</v>
      </c>
      <c r="AY124" s="24">
        <v>0</v>
      </c>
      <c r="AZ124" s="24">
        <v>0</v>
      </c>
      <c r="BA124" s="24">
        <v>1</v>
      </c>
      <c r="BB124" s="24">
        <v>0</v>
      </c>
    </row>
    <row r="125" spans="2:54" ht="13.8" x14ac:dyDescent="0.3">
      <c r="B125" s="24">
        <v>105</v>
      </c>
      <c r="C125" s="24">
        <v>12</v>
      </c>
      <c r="D125" s="24">
        <v>0</v>
      </c>
      <c r="E125" s="24">
        <v>1</v>
      </c>
      <c r="F125" s="24">
        <v>0</v>
      </c>
      <c r="G125" s="24">
        <v>0</v>
      </c>
      <c r="H125" s="24">
        <v>0</v>
      </c>
      <c r="I125" s="24">
        <v>0</v>
      </c>
      <c r="J125" s="24">
        <v>2445</v>
      </c>
      <c r="K125" s="24">
        <v>2</v>
      </c>
      <c r="L125" s="24">
        <v>0</v>
      </c>
      <c r="M125" s="24">
        <v>0</v>
      </c>
      <c r="N125" s="24">
        <v>1</v>
      </c>
      <c r="O125" s="24">
        <v>0</v>
      </c>
      <c r="P125" s="24">
        <v>0</v>
      </c>
      <c r="Q125" s="24">
        <v>0</v>
      </c>
      <c r="R125" s="24">
        <v>0</v>
      </c>
      <c r="S125" s="24">
        <v>26</v>
      </c>
      <c r="T125" s="24">
        <v>0</v>
      </c>
      <c r="U125" s="24">
        <v>1</v>
      </c>
      <c r="V125" s="24">
        <v>0</v>
      </c>
      <c r="W125" s="24">
        <v>1</v>
      </c>
      <c r="X125" s="24">
        <v>1</v>
      </c>
      <c r="Y125" s="24">
        <v>1</v>
      </c>
      <c r="Z125" s="24">
        <v>0</v>
      </c>
      <c r="AA125" s="24">
        <v>1</v>
      </c>
      <c r="AB125" s="24">
        <v>0</v>
      </c>
      <c r="AC125" s="24">
        <v>0</v>
      </c>
      <c r="AD125" s="24">
        <v>0</v>
      </c>
      <c r="AE125" s="24">
        <v>1</v>
      </c>
      <c r="AF125" s="24">
        <v>0</v>
      </c>
      <c r="AG125" s="24">
        <v>0</v>
      </c>
      <c r="AH125" s="24">
        <v>1</v>
      </c>
      <c r="AI125" s="24">
        <v>0</v>
      </c>
      <c r="AJ125" s="24">
        <v>0</v>
      </c>
      <c r="AK125" s="24">
        <v>0</v>
      </c>
      <c r="AL125" s="24">
        <v>0</v>
      </c>
      <c r="AM125" s="24">
        <v>0</v>
      </c>
      <c r="AN125" s="24">
        <v>0</v>
      </c>
      <c r="AO125" s="24">
        <v>1</v>
      </c>
      <c r="AP125" s="24">
        <v>0</v>
      </c>
      <c r="AQ125" s="24">
        <v>1</v>
      </c>
      <c r="AR125" s="24">
        <v>0</v>
      </c>
      <c r="AS125" s="24">
        <v>0</v>
      </c>
      <c r="AT125" s="24">
        <v>0</v>
      </c>
      <c r="AU125" s="24">
        <v>0</v>
      </c>
      <c r="AV125" s="24">
        <v>0</v>
      </c>
      <c r="AW125" s="24">
        <v>0</v>
      </c>
      <c r="AX125" s="24">
        <v>1</v>
      </c>
      <c r="AY125" s="24">
        <v>0</v>
      </c>
      <c r="AZ125" s="24">
        <v>0</v>
      </c>
      <c r="BA125" s="24">
        <v>1</v>
      </c>
      <c r="BB125" s="24">
        <v>0</v>
      </c>
    </row>
    <row r="126" spans="2:54" ht="13.8" x14ac:dyDescent="0.3">
      <c r="B126" s="24">
        <v>106</v>
      </c>
      <c r="C126" s="24">
        <v>24</v>
      </c>
      <c r="D126" s="24">
        <v>0</v>
      </c>
      <c r="E126" s="24">
        <v>0</v>
      </c>
      <c r="F126" s="24">
        <v>0</v>
      </c>
      <c r="G126" s="24">
        <v>0</v>
      </c>
      <c r="H126" s="24">
        <v>0</v>
      </c>
      <c r="I126" s="24">
        <v>0</v>
      </c>
      <c r="J126" s="24">
        <v>11938</v>
      </c>
      <c r="K126" s="24">
        <v>2</v>
      </c>
      <c r="L126" s="24">
        <v>0</v>
      </c>
      <c r="M126" s="24">
        <v>1</v>
      </c>
      <c r="N126" s="24">
        <v>0</v>
      </c>
      <c r="O126" s="24">
        <v>1</v>
      </c>
      <c r="P126" s="24">
        <v>0</v>
      </c>
      <c r="Q126" s="24">
        <v>0</v>
      </c>
      <c r="R126" s="24">
        <v>0</v>
      </c>
      <c r="S126" s="24">
        <v>39</v>
      </c>
      <c r="T126" s="24">
        <v>0</v>
      </c>
      <c r="U126" s="24">
        <v>0</v>
      </c>
      <c r="V126" s="24">
        <v>1</v>
      </c>
      <c r="W126" s="24">
        <v>2</v>
      </c>
      <c r="X126" s="24">
        <v>2</v>
      </c>
      <c r="Y126" s="24">
        <v>1</v>
      </c>
      <c r="Z126" s="24">
        <v>0</v>
      </c>
      <c r="AA126" s="24">
        <v>0</v>
      </c>
      <c r="AB126" s="24">
        <v>0</v>
      </c>
      <c r="AC126" s="24">
        <v>1</v>
      </c>
      <c r="AD126" s="24">
        <v>0</v>
      </c>
      <c r="AE126" s="24">
        <v>0</v>
      </c>
      <c r="AF126" s="24">
        <v>0</v>
      </c>
      <c r="AG126" s="24">
        <v>0</v>
      </c>
      <c r="AH126" s="24">
        <v>0</v>
      </c>
      <c r="AI126" s="24">
        <v>0</v>
      </c>
      <c r="AJ126" s="24">
        <v>1</v>
      </c>
      <c r="AK126" s="24">
        <v>1</v>
      </c>
      <c r="AL126" s="24">
        <v>0</v>
      </c>
      <c r="AM126" s="24">
        <v>0</v>
      </c>
      <c r="AN126" s="24">
        <v>0</v>
      </c>
      <c r="AO126" s="24">
        <v>0</v>
      </c>
      <c r="AP126" s="24">
        <v>0</v>
      </c>
      <c r="AQ126" s="24">
        <v>0</v>
      </c>
      <c r="AR126" s="24">
        <v>1</v>
      </c>
      <c r="AS126" s="24">
        <v>0</v>
      </c>
      <c r="AT126" s="24">
        <v>0</v>
      </c>
      <c r="AU126" s="24">
        <v>0</v>
      </c>
      <c r="AV126" s="24">
        <v>0</v>
      </c>
      <c r="AW126" s="24">
        <v>1</v>
      </c>
      <c r="AX126" s="24">
        <v>0</v>
      </c>
      <c r="AY126" s="24">
        <v>0</v>
      </c>
      <c r="AZ126" s="24">
        <v>0</v>
      </c>
      <c r="BA126" s="24">
        <v>0</v>
      </c>
      <c r="BB126" s="24">
        <v>1</v>
      </c>
    </row>
    <row r="127" spans="2:54" ht="13.8" x14ac:dyDescent="0.3">
      <c r="B127" s="24">
        <v>107</v>
      </c>
      <c r="C127" s="24">
        <v>18</v>
      </c>
      <c r="D127" s="24">
        <v>1</v>
      </c>
      <c r="E127" s="24">
        <v>0</v>
      </c>
      <c r="F127" s="24">
        <v>0</v>
      </c>
      <c r="G127" s="24">
        <v>0</v>
      </c>
      <c r="H127" s="24">
        <v>0</v>
      </c>
      <c r="I127" s="24">
        <v>0</v>
      </c>
      <c r="J127" s="24">
        <v>6458</v>
      </c>
      <c r="K127" s="24">
        <v>2</v>
      </c>
      <c r="L127" s="24">
        <v>0</v>
      </c>
      <c r="M127" s="24">
        <v>1</v>
      </c>
      <c r="N127" s="24">
        <v>0</v>
      </c>
      <c r="O127" s="24">
        <v>0</v>
      </c>
      <c r="P127" s="24">
        <v>0</v>
      </c>
      <c r="Q127" s="24">
        <v>0</v>
      </c>
      <c r="R127" s="24">
        <v>1</v>
      </c>
      <c r="S127" s="24">
        <v>39</v>
      </c>
      <c r="T127" s="24">
        <v>1</v>
      </c>
      <c r="U127" s="24">
        <v>0</v>
      </c>
      <c r="V127" s="24">
        <v>1</v>
      </c>
      <c r="W127" s="24">
        <v>2</v>
      </c>
      <c r="X127" s="24">
        <v>2</v>
      </c>
      <c r="Y127" s="24">
        <v>1</v>
      </c>
      <c r="Z127" s="24">
        <v>0</v>
      </c>
      <c r="AA127" s="24">
        <v>0</v>
      </c>
      <c r="AB127" s="24">
        <v>0</v>
      </c>
      <c r="AC127" s="24">
        <v>0</v>
      </c>
      <c r="AD127" s="24">
        <v>0</v>
      </c>
      <c r="AE127" s="24">
        <v>1</v>
      </c>
      <c r="AF127" s="24">
        <v>0</v>
      </c>
      <c r="AG127" s="24">
        <v>1</v>
      </c>
      <c r="AH127" s="24">
        <v>0</v>
      </c>
      <c r="AI127" s="24">
        <v>0</v>
      </c>
      <c r="AJ127" s="24">
        <v>0</v>
      </c>
      <c r="AK127" s="24">
        <v>1</v>
      </c>
      <c r="AL127" s="24">
        <v>0</v>
      </c>
      <c r="AM127" s="24">
        <v>0</v>
      </c>
      <c r="AN127" s="24">
        <v>0</v>
      </c>
      <c r="AO127" s="24">
        <v>0</v>
      </c>
      <c r="AP127" s="24">
        <v>0</v>
      </c>
      <c r="AQ127" s="24">
        <v>0</v>
      </c>
      <c r="AR127" s="24">
        <v>0</v>
      </c>
      <c r="AS127" s="24">
        <v>0</v>
      </c>
      <c r="AT127" s="24">
        <v>1</v>
      </c>
      <c r="AU127" s="24">
        <v>0</v>
      </c>
      <c r="AV127" s="24">
        <v>0</v>
      </c>
      <c r="AW127" s="24">
        <v>0</v>
      </c>
      <c r="AX127" s="24">
        <v>1</v>
      </c>
      <c r="AY127" s="24">
        <v>0</v>
      </c>
      <c r="AZ127" s="24">
        <v>0</v>
      </c>
      <c r="BA127" s="24">
        <v>0</v>
      </c>
      <c r="BB127" s="24">
        <v>1</v>
      </c>
    </row>
    <row r="128" spans="2:54" ht="13.8" x14ac:dyDescent="0.3">
      <c r="B128" s="24">
        <v>108</v>
      </c>
      <c r="C128" s="24">
        <v>12</v>
      </c>
      <c r="D128" s="24">
        <v>1</v>
      </c>
      <c r="E128" s="24">
        <v>0</v>
      </c>
      <c r="F128" s="24">
        <v>0</v>
      </c>
      <c r="G128" s="24">
        <v>0</v>
      </c>
      <c r="H128" s="24">
        <v>0</v>
      </c>
      <c r="I128" s="24">
        <v>0</v>
      </c>
      <c r="J128" s="24">
        <v>6078</v>
      </c>
      <c r="K128" s="24">
        <v>2</v>
      </c>
      <c r="L128" s="24">
        <v>0</v>
      </c>
      <c r="M128" s="24">
        <v>1</v>
      </c>
      <c r="N128" s="24">
        <v>0</v>
      </c>
      <c r="O128" s="24">
        <v>0</v>
      </c>
      <c r="P128" s="24">
        <v>0</v>
      </c>
      <c r="Q128" s="24">
        <v>0</v>
      </c>
      <c r="R128" s="24">
        <v>0</v>
      </c>
      <c r="S128" s="24">
        <v>32</v>
      </c>
      <c r="T128" s="24">
        <v>0</v>
      </c>
      <c r="U128" s="24">
        <v>0</v>
      </c>
      <c r="V128" s="24">
        <v>1</v>
      </c>
      <c r="W128" s="24">
        <v>1</v>
      </c>
      <c r="X128" s="24">
        <v>1</v>
      </c>
      <c r="Y128" s="24">
        <v>0</v>
      </c>
      <c r="Z128" s="24">
        <v>0</v>
      </c>
      <c r="AA128" s="24">
        <v>1</v>
      </c>
      <c r="AB128" s="24">
        <v>0</v>
      </c>
      <c r="AC128" s="24">
        <v>1</v>
      </c>
      <c r="AD128" s="24">
        <v>0</v>
      </c>
      <c r="AE128" s="24">
        <v>0</v>
      </c>
      <c r="AF128" s="24">
        <v>0</v>
      </c>
      <c r="AG128" s="24">
        <v>0</v>
      </c>
      <c r="AH128" s="24">
        <v>1</v>
      </c>
      <c r="AI128" s="24">
        <v>0</v>
      </c>
      <c r="AJ128" s="24">
        <v>0</v>
      </c>
      <c r="AK128" s="24">
        <v>1</v>
      </c>
      <c r="AL128" s="24">
        <v>0</v>
      </c>
      <c r="AM128" s="24">
        <v>0</v>
      </c>
      <c r="AN128" s="24">
        <v>0</v>
      </c>
      <c r="AO128" s="24">
        <v>0</v>
      </c>
      <c r="AP128" s="24">
        <v>0</v>
      </c>
      <c r="AQ128" s="24">
        <v>0</v>
      </c>
      <c r="AR128" s="24">
        <v>0</v>
      </c>
      <c r="AS128" s="24">
        <v>1</v>
      </c>
      <c r="AT128" s="24">
        <v>0</v>
      </c>
      <c r="AU128" s="24">
        <v>0</v>
      </c>
      <c r="AV128" s="24">
        <v>1</v>
      </c>
      <c r="AW128" s="24">
        <v>0</v>
      </c>
      <c r="AX128" s="24">
        <v>0</v>
      </c>
      <c r="AY128" s="24">
        <v>0</v>
      </c>
      <c r="AZ128" s="24">
        <v>0</v>
      </c>
      <c r="BA128" s="24">
        <v>1</v>
      </c>
      <c r="BB128" s="24">
        <v>0</v>
      </c>
    </row>
    <row r="129" spans="2:54" ht="13.8" x14ac:dyDescent="0.3">
      <c r="B129" s="24">
        <v>109</v>
      </c>
      <c r="C129" s="24">
        <v>24</v>
      </c>
      <c r="D129" s="24">
        <v>0</v>
      </c>
      <c r="E129" s="24">
        <v>0</v>
      </c>
      <c r="F129" s="24">
        <v>1</v>
      </c>
      <c r="G129" s="24">
        <v>0</v>
      </c>
      <c r="H129" s="24">
        <v>0</v>
      </c>
      <c r="I129" s="24">
        <v>0</v>
      </c>
      <c r="J129" s="24">
        <v>7721</v>
      </c>
      <c r="K129" s="24">
        <v>1</v>
      </c>
      <c r="L129" s="24">
        <v>0</v>
      </c>
      <c r="M129" s="24">
        <v>0</v>
      </c>
      <c r="N129" s="24">
        <v>0</v>
      </c>
      <c r="O129" s="24">
        <v>0</v>
      </c>
      <c r="P129" s="24">
        <v>0</v>
      </c>
      <c r="Q129" s="24">
        <v>0</v>
      </c>
      <c r="R129" s="24">
        <v>0</v>
      </c>
      <c r="S129" s="24">
        <v>30</v>
      </c>
      <c r="T129" s="24">
        <v>0</v>
      </c>
      <c r="U129" s="24">
        <v>0</v>
      </c>
      <c r="V129" s="24">
        <v>1</v>
      </c>
      <c r="W129" s="24">
        <v>1</v>
      </c>
      <c r="X129" s="24">
        <v>1</v>
      </c>
      <c r="Y129" s="24">
        <v>1</v>
      </c>
      <c r="Z129" s="24">
        <v>1</v>
      </c>
      <c r="AA129" s="24">
        <v>1</v>
      </c>
      <c r="AB129" s="24">
        <v>1</v>
      </c>
      <c r="AC129" s="24">
        <v>0</v>
      </c>
      <c r="AD129" s="24">
        <v>0</v>
      </c>
      <c r="AE129" s="24">
        <v>0</v>
      </c>
      <c r="AF129" s="24">
        <v>0</v>
      </c>
      <c r="AG129" s="24">
        <v>0</v>
      </c>
      <c r="AH129" s="24">
        <v>1</v>
      </c>
      <c r="AI129" s="24">
        <v>0</v>
      </c>
      <c r="AJ129" s="24">
        <v>0</v>
      </c>
      <c r="AK129" s="24">
        <v>0</v>
      </c>
      <c r="AL129" s="24">
        <v>0</v>
      </c>
      <c r="AM129" s="24">
        <v>0</v>
      </c>
      <c r="AN129" s="24">
        <v>0</v>
      </c>
      <c r="AO129" s="24">
        <v>1</v>
      </c>
      <c r="AP129" s="24">
        <v>0</v>
      </c>
      <c r="AQ129" s="24">
        <v>1</v>
      </c>
      <c r="AR129" s="24">
        <v>0</v>
      </c>
      <c r="AS129" s="24">
        <v>0</v>
      </c>
      <c r="AT129" s="24">
        <v>0</v>
      </c>
      <c r="AU129" s="24">
        <v>0</v>
      </c>
      <c r="AV129" s="24">
        <v>1</v>
      </c>
      <c r="AW129" s="24">
        <v>0</v>
      </c>
      <c r="AX129" s="24">
        <v>0</v>
      </c>
      <c r="AY129" s="24">
        <v>0</v>
      </c>
      <c r="AZ129" s="24">
        <v>0</v>
      </c>
      <c r="BA129" s="24">
        <v>1</v>
      </c>
      <c r="BB129" s="24">
        <v>0</v>
      </c>
    </row>
    <row r="130" spans="2:54" ht="13.8" x14ac:dyDescent="0.3">
      <c r="B130" s="24">
        <v>110</v>
      </c>
      <c r="C130" s="24">
        <v>14</v>
      </c>
      <c r="D130" s="24">
        <v>0</v>
      </c>
      <c r="E130" s="24">
        <v>0</v>
      </c>
      <c r="F130" s="24">
        <v>0</v>
      </c>
      <c r="G130" s="24">
        <v>0</v>
      </c>
      <c r="H130" s="24">
        <v>0</v>
      </c>
      <c r="I130" s="24">
        <v>1</v>
      </c>
      <c r="J130" s="24">
        <v>1410</v>
      </c>
      <c r="K130" s="24">
        <v>1</v>
      </c>
      <c r="L130" s="24">
        <v>0</v>
      </c>
      <c r="M130" s="24">
        <v>0</v>
      </c>
      <c r="N130" s="24">
        <v>1</v>
      </c>
      <c r="O130" s="24">
        <v>0</v>
      </c>
      <c r="P130" s="24">
        <v>0</v>
      </c>
      <c r="Q130" s="24">
        <v>1</v>
      </c>
      <c r="R130" s="24">
        <v>0</v>
      </c>
      <c r="S130" s="24">
        <v>35</v>
      </c>
      <c r="T130" s="24">
        <v>0</v>
      </c>
      <c r="U130" s="24">
        <v>0</v>
      </c>
      <c r="V130" s="24">
        <v>1</v>
      </c>
      <c r="W130" s="24">
        <v>1</v>
      </c>
      <c r="X130" s="24">
        <v>1</v>
      </c>
      <c r="Y130" s="24">
        <v>1</v>
      </c>
      <c r="Z130" s="24">
        <v>0</v>
      </c>
      <c r="AA130" s="24">
        <v>1</v>
      </c>
      <c r="AB130" s="24">
        <v>0</v>
      </c>
      <c r="AC130" s="24">
        <v>1</v>
      </c>
      <c r="AD130" s="24">
        <v>0</v>
      </c>
      <c r="AE130" s="24">
        <v>0</v>
      </c>
      <c r="AF130" s="24">
        <v>0</v>
      </c>
      <c r="AG130" s="24">
        <v>0</v>
      </c>
      <c r="AH130" s="24">
        <v>1</v>
      </c>
      <c r="AI130" s="24">
        <v>0</v>
      </c>
      <c r="AJ130" s="24">
        <v>0</v>
      </c>
      <c r="AK130" s="24">
        <v>0</v>
      </c>
      <c r="AL130" s="24">
        <v>0</v>
      </c>
      <c r="AM130" s="24">
        <v>1</v>
      </c>
      <c r="AN130" s="24">
        <v>0</v>
      </c>
      <c r="AO130" s="24">
        <v>0</v>
      </c>
      <c r="AP130" s="24">
        <v>0</v>
      </c>
      <c r="AQ130" s="24">
        <v>0</v>
      </c>
      <c r="AR130" s="24">
        <v>0</v>
      </c>
      <c r="AS130" s="24">
        <v>0</v>
      </c>
      <c r="AT130" s="24">
        <v>1</v>
      </c>
      <c r="AU130" s="24">
        <v>0</v>
      </c>
      <c r="AV130" s="24">
        <v>1</v>
      </c>
      <c r="AW130" s="24">
        <v>0</v>
      </c>
      <c r="AX130" s="24">
        <v>0</v>
      </c>
      <c r="AY130" s="24">
        <v>0</v>
      </c>
      <c r="AZ130" s="24">
        <v>0</v>
      </c>
      <c r="BA130" s="24">
        <v>1</v>
      </c>
      <c r="BB130" s="24">
        <v>0</v>
      </c>
    </row>
    <row r="131" spans="2:54" ht="13.8" x14ac:dyDescent="0.3">
      <c r="B131" s="24">
        <v>111</v>
      </c>
      <c r="C131" s="24">
        <v>6</v>
      </c>
      <c r="D131" s="24">
        <v>0</v>
      </c>
      <c r="E131" s="24">
        <v>0</v>
      </c>
      <c r="F131" s="24">
        <v>0</v>
      </c>
      <c r="G131" s="24">
        <v>0</v>
      </c>
      <c r="H131" s="24">
        <v>0</v>
      </c>
      <c r="I131" s="24">
        <v>1</v>
      </c>
      <c r="J131" s="24">
        <v>1449</v>
      </c>
      <c r="K131" s="24">
        <v>1</v>
      </c>
      <c r="L131" s="24">
        <v>1</v>
      </c>
      <c r="M131" s="24">
        <v>0</v>
      </c>
      <c r="N131" s="24">
        <v>0</v>
      </c>
      <c r="O131" s="24">
        <v>0</v>
      </c>
      <c r="P131" s="24">
        <v>0</v>
      </c>
      <c r="Q131" s="24">
        <v>0</v>
      </c>
      <c r="R131" s="24">
        <v>0</v>
      </c>
      <c r="S131" s="24">
        <v>31</v>
      </c>
      <c r="T131" s="24">
        <v>1</v>
      </c>
      <c r="U131" s="24">
        <v>0</v>
      </c>
      <c r="V131" s="24">
        <v>1</v>
      </c>
      <c r="W131" s="24">
        <v>2</v>
      </c>
      <c r="X131" s="24">
        <v>2</v>
      </c>
      <c r="Y131" s="24">
        <v>0</v>
      </c>
      <c r="Z131" s="24">
        <v>0</v>
      </c>
      <c r="AA131" s="24">
        <v>1</v>
      </c>
      <c r="AB131" s="24">
        <v>0</v>
      </c>
      <c r="AC131" s="24">
        <v>1</v>
      </c>
      <c r="AD131" s="24">
        <v>0</v>
      </c>
      <c r="AE131" s="24">
        <v>0</v>
      </c>
      <c r="AF131" s="24">
        <v>0</v>
      </c>
      <c r="AG131" s="24">
        <v>0</v>
      </c>
      <c r="AH131" s="24">
        <v>0</v>
      </c>
      <c r="AI131" s="24">
        <v>1</v>
      </c>
      <c r="AJ131" s="24">
        <v>0</v>
      </c>
      <c r="AK131" s="24">
        <v>0</v>
      </c>
      <c r="AL131" s="24">
        <v>1</v>
      </c>
      <c r="AM131" s="24">
        <v>0</v>
      </c>
      <c r="AN131" s="24">
        <v>0</v>
      </c>
      <c r="AO131" s="24">
        <v>0</v>
      </c>
      <c r="AP131" s="24">
        <v>0</v>
      </c>
      <c r="AQ131" s="24">
        <v>0</v>
      </c>
      <c r="AR131" s="24">
        <v>0</v>
      </c>
      <c r="AS131" s="24">
        <v>0</v>
      </c>
      <c r="AT131" s="24">
        <v>1</v>
      </c>
      <c r="AU131" s="24">
        <v>0</v>
      </c>
      <c r="AV131" s="24">
        <v>1</v>
      </c>
      <c r="AW131" s="24">
        <v>0</v>
      </c>
      <c r="AX131" s="24">
        <v>0</v>
      </c>
      <c r="AY131" s="24">
        <v>0</v>
      </c>
      <c r="AZ131" s="24">
        <v>0</v>
      </c>
      <c r="BA131" s="24">
        <v>1</v>
      </c>
      <c r="BB131" s="24">
        <v>0</v>
      </c>
    </row>
    <row r="132" spans="2:54" ht="13.8" x14ac:dyDescent="0.3">
      <c r="B132" s="24">
        <v>112</v>
      </c>
      <c r="C132" s="24">
        <v>15</v>
      </c>
      <c r="D132" s="24">
        <v>0</v>
      </c>
      <c r="E132" s="24">
        <v>0</v>
      </c>
      <c r="F132" s="24">
        <v>0</v>
      </c>
      <c r="G132" s="24">
        <v>0</v>
      </c>
      <c r="H132" s="24">
        <v>1</v>
      </c>
      <c r="I132" s="24">
        <v>0</v>
      </c>
      <c r="J132" s="24">
        <v>392</v>
      </c>
      <c r="K132" s="24">
        <v>4</v>
      </c>
      <c r="L132" s="24">
        <v>0</v>
      </c>
      <c r="M132" s="24">
        <v>0</v>
      </c>
      <c r="N132" s="24">
        <v>0</v>
      </c>
      <c r="O132" s="24">
        <v>0</v>
      </c>
      <c r="P132" s="24">
        <v>0</v>
      </c>
      <c r="Q132" s="24">
        <v>0</v>
      </c>
      <c r="R132" s="24">
        <v>0</v>
      </c>
      <c r="S132" s="24">
        <v>23</v>
      </c>
      <c r="T132" s="24">
        <v>0</v>
      </c>
      <c r="U132" s="24">
        <v>1</v>
      </c>
      <c r="V132" s="24">
        <v>0</v>
      </c>
      <c r="W132" s="24">
        <v>1</v>
      </c>
      <c r="X132" s="24">
        <v>1</v>
      </c>
      <c r="Y132" s="24">
        <v>1</v>
      </c>
      <c r="Z132" s="24">
        <v>0</v>
      </c>
      <c r="AA132" s="24">
        <v>1</v>
      </c>
      <c r="AB132" s="24">
        <v>0</v>
      </c>
      <c r="AC132" s="24">
        <v>0</v>
      </c>
      <c r="AD132" s="24">
        <v>1</v>
      </c>
      <c r="AE132" s="24">
        <v>0</v>
      </c>
      <c r="AF132" s="24">
        <v>0</v>
      </c>
      <c r="AG132" s="24">
        <v>0</v>
      </c>
      <c r="AH132" s="24">
        <v>1</v>
      </c>
      <c r="AI132" s="24">
        <v>0</v>
      </c>
      <c r="AJ132" s="24">
        <v>0</v>
      </c>
      <c r="AK132" s="24">
        <v>1</v>
      </c>
      <c r="AL132" s="24">
        <v>0</v>
      </c>
      <c r="AM132" s="24">
        <v>0</v>
      </c>
      <c r="AN132" s="24">
        <v>0</v>
      </c>
      <c r="AO132" s="24">
        <v>0</v>
      </c>
      <c r="AP132" s="24">
        <v>0</v>
      </c>
      <c r="AQ132" s="24">
        <v>1</v>
      </c>
      <c r="AR132" s="24">
        <v>0</v>
      </c>
      <c r="AS132" s="24">
        <v>0</v>
      </c>
      <c r="AT132" s="24">
        <v>0</v>
      </c>
      <c r="AU132" s="24">
        <v>0</v>
      </c>
      <c r="AV132" s="24">
        <v>0</v>
      </c>
      <c r="AW132" s="24">
        <v>0</v>
      </c>
      <c r="AX132" s="24">
        <v>1</v>
      </c>
      <c r="AY132" s="24">
        <v>0</v>
      </c>
      <c r="AZ132" s="24">
        <v>0</v>
      </c>
      <c r="BA132" s="24">
        <v>1</v>
      </c>
      <c r="BB132" s="24">
        <v>0</v>
      </c>
    </row>
    <row r="133" spans="2:54" ht="13.8" x14ac:dyDescent="0.3">
      <c r="B133" s="24">
        <v>113</v>
      </c>
      <c r="C133" s="24">
        <v>18</v>
      </c>
      <c r="D133" s="24">
        <v>1</v>
      </c>
      <c r="E133" s="24">
        <v>0</v>
      </c>
      <c r="F133" s="24">
        <v>0</v>
      </c>
      <c r="G133" s="24">
        <v>0</v>
      </c>
      <c r="H133" s="24">
        <v>0</v>
      </c>
      <c r="I133" s="24">
        <v>0</v>
      </c>
      <c r="J133" s="24">
        <v>6260</v>
      </c>
      <c r="K133" s="24">
        <v>3</v>
      </c>
      <c r="L133" s="24">
        <v>0</v>
      </c>
      <c r="M133" s="24">
        <v>1</v>
      </c>
      <c r="N133" s="24">
        <v>0</v>
      </c>
      <c r="O133" s="24">
        <v>0</v>
      </c>
      <c r="P133" s="24">
        <v>0</v>
      </c>
      <c r="Q133" s="24">
        <v>1</v>
      </c>
      <c r="R133" s="24">
        <v>0</v>
      </c>
      <c r="S133" s="24">
        <v>28</v>
      </c>
      <c r="T133" s="24">
        <v>0</v>
      </c>
      <c r="U133" s="24">
        <v>1</v>
      </c>
      <c r="V133" s="24">
        <v>0</v>
      </c>
      <c r="W133" s="24">
        <v>1</v>
      </c>
      <c r="X133" s="24">
        <v>1</v>
      </c>
      <c r="Y133" s="24">
        <v>0</v>
      </c>
      <c r="Z133" s="24">
        <v>0</v>
      </c>
      <c r="AA133" s="24">
        <v>1</v>
      </c>
      <c r="AB133" s="24">
        <v>0</v>
      </c>
      <c r="AC133" s="24">
        <v>1</v>
      </c>
      <c r="AD133" s="24">
        <v>0</v>
      </c>
      <c r="AE133" s="24">
        <v>0</v>
      </c>
      <c r="AF133" s="24">
        <v>0</v>
      </c>
      <c r="AG133" s="24">
        <v>0</v>
      </c>
      <c r="AH133" s="24">
        <v>1</v>
      </c>
      <c r="AI133" s="24">
        <v>0</v>
      </c>
      <c r="AJ133" s="24">
        <v>0</v>
      </c>
      <c r="AK133" s="24">
        <v>1</v>
      </c>
      <c r="AL133" s="24">
        <v>0</v>
      </c>
      <c r="AM133" s="24">
        <v>0</v>
      </c>
      <c r="AN133" s="24">
        <v>0</v>
      </c>
      <c r="AO133" s="24">
        <v>0</v>
      </c>
      <c r="AP133" s="24">
        <v>0</v>
      </c>
      <c r="AQ133" s="24">
        <v>0</v>
      </c>
      <c r="AR133" s="24">
        <v>0</v>
      </c>
      <c r="AS133" s="24">
        <v>1</v>
      </c>
      <c r="AT133" s="24">
        <v>0</v>
      </c>
      <c r="AU133" s="24">
        <v>0</v>
      </c>
      <c r="AV133" s="24">
        <v>0</v>
      </c>
      <c r="AW133" s="24">
        <v>1</v>
      </c>
      <c r="AX133" s="24">
        <v>0</v>
      </c>
      <c r="AY133" s="24">
        <v>0</v>
      </c>
      <c r="AZ133" s="24">
        <v>1</v>
      </c>
      <c r="BA133" s="24">
        <v>0</v>
      </c>
      <c r="BB133" s="24">
        <v>0</v>
      </c>
    </row>
    <row r="134" spans="2:54" ht="13.8" x14ac:dyDescent="0.3">
      <c r="B134" s="24">
        <v>114</v>
      </c>
      <c r="C134" s="24">
        <v>36</v>
      </c>
      <c r="D134" s="24">
        <v>1</v>
      </c>
      <c r="E134" s="24">
        <v>0</v>
      </c>
      <c r="F134" s="24">
        <v>0</v>
      </c>
      <c r="G134" s="24">
        <v>0</v>
      </c>
      <c r="H134" s="24">
        <v>0</v>
      </c>
      <c r="I134" s="24">
        <v>0</v>
      </c>
      <c r="J134" s="24">
        <v>7855</v>
      </c>
      <c r="K134" s="24">
        <v>4</v>
      </c>
      <c r="L134" s="24">
        <v>0</v>
      </c>
      <c r="M134" s="24">
        <v>0</v>
      </c>
      <c r="N134" s="24">
        <v>0</v>
      </c>
      <c r="O134" s="24">
        <v>0</v>
      </c>
      <c r="P134" s="24">
        <v>0</v>
      </c>
      <c r="Q134" s="24">
        <v>1</v>
      </c>
      <c r="R134" s="24">
        <v>0</v>
      </c>
      <c r="S134" s="24">
        <v>25</v>
      </c>
      <c r="T134" s="24">
        <v>1</v>
      </c>
      <c r="U134" s="24">
        <v>0</v>
      </c>
      <c r="V134" s="24">
        <v>1</v>
      </c>
      <c r="W134" s="24">
        <v>2</v>
      </c>
      <c r="X134" s="24">
        <v>1</v>
      </c>
      <c r="Y134" s="24">
        <v>1</v>
      </c>
      <c r="Z134" s="24">
        <v>0</v>
      </c>
      <c r="AA134" s="24">
        <v>0</v>
      </c>
      <c r="AB134" s="24">
        <v>0</v>
      </c>
      <c r="AC134" s="24">
        <v>0</v>
      </c>
      <c r="AD134" s="24">
        <v>0</v>
      </c>
      <c r="AE134" s="24">
        <v>1</v>
      </c>
      <c r="AF134" s="24">
        <v>0</v>
      </c>
      <c r="AG134" s="24">
        <v>0</v>
      </c>
      <c r="AH134" s="24">
        <v>0</v>
      </c>
      <c r="AI134" s="24">
        <v>0</v>
      </c>
      <c r="AJ134" s="24">
        <v>1</v>
      </c>
      <c r="AK134" s="24">
        <v>1</v>
      </c>
      <c r="AL134" s="24">
        <v>0</v>
      </c>
      <c r="AM134" s="24">
        <v>0</v>
      </c>
      <c r="AN134" s="24">
        <v>0</v>
      </c>
      <c r="AO134" s="24">
        <v>0</v>
      </c>
      <c r="AP134" s="24">
        <v>0</v>
      </c>
      <c r="AQ134" s="24">
        <v>0</v>
      </c>
      <c r="AR134" s="24">
        <v>1</v>
      </c>
      <c r="AS134" s="24">
        <v>0</v>
      </c>
      <c r="AT134" s="24">
        <v>0</v>
      </c>
      <c r="AU134" s="24">
        <v>0</v>
      </c>
      <c r="AV134" s="24">
        <v>1</v>
      </c>
      <c r="AW134" s="24">
        <v>0</v>
      </c>
      <c r="AX134" s="24">
        <v>0</v>
      </c>
      <c r="AY134" s="24">
        <v>0</v>
      </c>
      <c r="AZ134" s="24">
        <v>0</v>
      </c>
      <c r="BA134" s="24">
        <v>1</v>
      </c>
      <c r="BB134" s="24">
        <v>0</v>
      </c>
    </row>
    <row r="135" spans="2:54" ht="13.8" x14ac:dyDescent="0.3">
      <c r="B135" s="24">
        <v>115</v>
      </c>
      <c r="C135" s="24">
        <v>12</v>
      </c>
      <c r="D135" s="24">
        <v>0</v>
      </c>
      <c r="E135" s="24">
        <v>0</v>
      </c>
      <c r="F135" s="24">
        <v>0</v>
      </c>
      <c r="G135" s="24">
        <v>1</v>
      </c>
      <c r="H135" s="24">
        <v>0</v>
      </c>
      <c r="I135" s="24">
        <v>0</v>
      </c>
      <c r="J135" s="24">
        <v>1680</v>
      </c>
      <c r="K135" s="24">
        <v>3</v>
      </c>
      <c r="L135" s="24">
        <v>0</v>
      </c>
      <c r="M135" s="24">
        <v>0</v>
      </c>
      <c r="N135" s="24">
        <v>1</v>
      </c>
      <c r="O135" s="24">
        <v>0</v>
      </c>
      <c r="P135" s="24">
        <v>0</v>
      </c>
      <c r="Q135" s="24">
        <v>1</v>
      </c>
      <c r="R135" s="24">
        <v>0</v>
      </c>
      <c r="S135" s="24">
        <v>35</v>
      </c>
      <c r="T135" s="24">
        <v>0</v>
      </c>
      <c r="U135" s="24">
        <v>0</v>
      </c>
      <c r="V135" s="24">
        <v>1</v>
      </c>
      <c r="W135" s="24">
        <v>1</v>
      </c>
      <c r="X135" s="24">
        <v>1</v>
      </c>
      <c r="Y135" s="24">
        <v>0</v>
      </c>
      <c r="Z135" s="24">
        <v>0</v>
      </c>
      <c r="AA135" s="24">
        <v>1</v>
      </c>
      <c r="AB135" s="24">
        <v>1</v>
      </c>
      <c r="AC135" s="24">
        <v>0</v>
      </c>
      <c r="AD135" s="24">
        <v>0</v>
      </c>
      <c r="AE135" s="24">
        <v>0</v>
      </c>
      <c r="AF135" s="24">
        <v>0</v>
      </c>
      <c r="AG135" s="24">
        <v>0</v>
      </c>
      <c r="AH135" s="24">
        <v>1</v>
      </c>
      <c r="AI135" s="24">
        <v>0</v>
      </c>
      <c r="AJ135" s="24">
        <v>0</v>
      </c>
      <c r="AK135" s="24">
        <v>0</v>
      </c>
      <c r="AL135" s="24">
        <v>0</v>
      </c>
      <c r="AM135" s="24">
        <v>1</v>
      </c>
      <c r="AN135" s="24">
        <v>0</v>
      </c>
      <c r="AO135" s="24">
        <v>0</v>
      </c>
      <c r="AP135" s="24">
        <v>0</v>
      </c>
      <c r="AQ135" s="24">
        <v>0</v>
      </c>
      <c r="AR135" s="24">
        <v>0</v>
      </c>
      <c r="AS135" s="24">
        <v>0</v>
      </c>
      <c r="AT135" s="24">
        <v>1</v>
      </c>
      <c r="AU135" s="24">
        <v>1</v>
      </c>
      <c r="AV135" s="24">
        <v>0</v>
      </c>
      <c r="AW135" s="24">
        <v>0</v>
      </c>
      <c r="AX135" s="24">
        <v>0</v>
      </c>
      <c r="AY135" s="24">
        <v>0</v>
      </c>
      <c r="AZ135" s="24">
        <v>0</v>
      </c>
      <c r="BA135" s="24">
        <v>1</v>
      </c>
      <c r="BB135" s="24">
        <v>0</v>
      </c>
    </row>
    <row r="136" spans="2:54" ht="13.8" x14ac:dyDescent="0.3">
      <c r="B136" s="24">
        <v>116</v>
      </c>
      <c r="C136" s="24">
        <v>48</v>
      </c>
      <c r="D136" s="24">
        <v>0</v>
      </c>
      <c r="E136" s="24">
        <v>0</v>
      </c>
      <c r="F136" s="24">
        <v>0</v>
      </c>
      <c r="G136" s="24">
        <v>1</v>
      </c>
      <c r="H136" s="24">
        <v>0</v>
      </c>
      <c r="I136" s="24">
        <v>0</v>
      </c>
      <c r="J136" s="24">
        <v>3578</v>
      </c>
      <c r="K136" s="24">
        <v>4</v>
      </c>
      <c r="L136" s="24">
        <v>0</v>
      </c>
      <c r="M136" s="24">
        <v>1</v>
      </c>
      <c r="N136" s="24">
        <v>0</v>
      </c>
      <c r="O136" s="24">
        <v>0</v>
      </c>
      <c r="P136" s="24">
        <v>0</v>
      </c>
      <c r="Q136" s="24">
        <v>1</v>
      </c>
      <c r="R136" s="24">
        <v>0</v>
      </c>
      <c r="S136" s="24">
        <v>47</v>
      </c>
      <c r="T136" s="24">
        <v>0</v>
      </c>
      <c r="U136" s="24">
        <v>0</v>
      </c>
      <c r="V136" s="24">
        <v>1</v>
      </c>
      <c r="W136" s="24">
        <v>1</v>
      </c>
      <c r="X136" s="24">
        <v>1</v>
      </c>
      <c r="Y136" s="24">
        <v>1</v>
      </c>
      <c r="Z136" s="24">
        <v>0</v>
      </c>
      <c r="AA136" s="24">
        <v>1</v>
      </c>
      <c r="AB136" s="24">
        <v>0</v>
      </c>
      <c r="AC136" s="24">
        <v>0</v>
      </c>
      <c r="AD136" s="24">
        <v>0</v>
      </c>
      <c r="AE136" s="24">
        <v>1</v>
      </c>
      <c r="AF136" s="24">
        <v>0</v>
      </c>
      <c r="AG136" s="24">
        <v>0</v>
      </c>
      <c r="AH136" s="24">
        <v>0</v>
      </c>
      <c r="AI136" s="24">
        <v>0</v>
      </c>
      <c r="AJ136" s="24">
        <v>1</v>
      </c>
      <c r="AK136" s="24">
        <v>0</v>
      </c>
      <c r="AL136" s="24">
        <v>0</v>
      </c>
      <c r="AM136" s="24">
        <v>0</v>
      </c>
      <c r="AN136" s="24">
        <v>0</v>
      </c>
      <c r="AO136" s="24">
        <v>1</v>
      </c>
      <c r="AP136" s="24">
        <v>0</v>
      </c>
      <c r="AQ136" s="24">
        <v>0</v>
      </c>
      <c r="AR136" s="24">
        <v>0</v>
      </c>
      <c r="AS136" s="24">
        <v>0</v>
      </c>
      <c r="AT136" s="24">
        <v>1</v>
      </c>
      <c r="AU136" s="24">
        <v>1</v>
      </c>
      <c r="AV136" s="24">
        <v>0</v>
      </c>
      <c r="AW136" s="24">
        <v>0</v>
      </c>
      <c r="AX136" s="24">
        <v>0</v>
      </c>
      <c r="AY136" s="24">
        <v>0</v>
      </c>
      <c r="AZ136" s="24">
        <v>0</v>
      </c>
      <c r="BA136" s="24">
        <v>1</v>
      </c>
      <c r="BB136" s="24">
        <v>0</v>
      </c>
    </row>
    <row r="137" spans="2:54" ht="13.8" x14ac:dyDescent="0.3">
      <c r="B137" s="24">
        <v>117</v>
      </c>
      <c r="C137" s="24">
        <v>42</v>
      </c>
      <c r="D137" s="24">
        <v>0</v>
      </c>
      <c r="E137" s="24">
        <v>0</v>
      </c>
      <c r="F137" s="24">
        <v>0</v>
      </c>
      <c r="G137" s="24">
        <v>1</v>
      </c>
      <c r="H137" s="24">
        <v>0</v>
      </c>
      <c r="I137" s="24">
        <v>0</v>
      </c>
      <c r="J137" s="24">
        <v>7174</v>
      </c>
      <c r="K137" s="24">
        <v>4</v>
      </c>
      <c r="L137" s="24">
        <v>0</v>
      </c>
      <c r="M137" s="24">
        <v>0</v>
      </c>
      <c r="N137" s="24">
        <v>0</v>
      </c>
      <c r="O137" s="24">
        <v>0</v>
      </c>
      <c r="P137" s="24">
        <v>0</v>
      </c>
      <c r="Q137" s="24">
        <v>0</v>
      </c>
      <c r="R137" s="24">
        <v>0</v>
      </c>
      <c r="S137" s="24">
        <v>30</v>
      </c>
      <c r="T137" s="24">
        <v>0</v>
      </c>
      <c r="U137" s="24">
        <v>0</v>
      </c>
      <c r="V137" s="24">
        <v>1</v>
      </c>
      <c r="W137" s="24">
        <v>1</v>
      </c>
      <c r="X137" s="24">
        <v>1</v>
      </c>
      <c r="Y137" s="24">
        <v>1</v>
      </c>
      <c r="Z137" s="24">
        <v>0</v>
      </c>
      <c r="AA137" s="24">
        <v>0</v>
      </c>
      <c r="AB137" s="24">
        <v>1</v>
      </c>
      <c r="AC137" s="24">
        <v>0</v>
      </c>
      <c r="AD137" s="24">
        <v>0</v>
      </c>
      <c r="AE137" s="24">
        <v>0</v>
      </c>
      <c r="AF137" s="24">
        <v>0</v>
      </c>
      <c r="AG137" s="24">
        <v>0</v>
      </c>
      <c r="AH137" s="24">
        <v>1</v>
      </c>
      <c r="AI137" s="24">
        <v>0</v>
      </c>
      <c r="AJ137" s="24">
        <v>0</v>
      </c>
      <c r="AK137" s="24">
        <v>0</v>
      </c>
      <c r="AL137" s="24">
        <v>0</v>
      </c>
      <c r="AM137" s="24">
        <v>0</v>
      </c>
      <c r="AN137" s="24">
        <v>0</v>
      </c>
      <c r="AO137" s="24">
        <v>1</v>
      </c>
      <c r="AP137" s="24">
        <v>0</v>
      </c>
      <c r="AQ137" s="24">
        <v>0</v>
      </c>
      <c r="AR137" s="24">
        <v>0</v>
      </c>
      <c r="AS137" s="24">
        <v>1</v>
      </c>
      <c r="AT137" s="24">
        <v>0</v>
      </c>
      <c r="AU137" s="24">
        <v>0</v>
      </c>
      <c r="AV137" s="24">
        <v>0</v>
      </c>
      <c r="AW137" s="24">
        <v>1</v>
      </c>
      <c r="AX137" s="24">
        <v>0</v>
      </c>
      <c r="AY137" s="24">
        <v>0</v>
      </c>
      <c r="AZ137" s="24">
        <v>0</v>
      </c>
      <c r="BA137" s="24">
        <v>0</v>
      </c>
      <c r="BB137" s="24">
        <v>1</v>
      </c>
    </row>
    <row r="138" spans="2:54" ht="13.8" x14ac:dyDescent="0.3">
      <c r="B138" s="24">
        <v>118</v>
      </c>
      <c r="C138" s="24">
        <v>10</v>
      </c>
      <c r="D138" s="24">
        <v>0</v>
      </c>
      <c r="E138" s="24">
        <v>0</v>
      </c>
      <c r="F138" s="24">
        <v>1</v>
      </c>
      <c r="G138" s="24">
        <v>0</v>
      </c>
      <c r="H138" s="24">
        <v>0</v>
      </c>
      <c r="I138" s="24">
        <v>0</v>
      </c>
      <c r="J138" s="24">
        <v>2132</v>
      </c>
      <c r="K138" s="24">
        <v>2</v>
      </c>
      <c r="L138" s="24">
        <v>0</v>
      </c>
      <c r="M138" s="24">
        <v>0</v>
      </c>
      <c r="N138" s="24">
        <v>0</v>
      </c>
      <c r="O138" s="24">
        <v>1</v>
      </c>
      <c r="P138" s="24">
        <v>0</v>
      </c>
      <c r="Q138" s="24">
        <v>1</v>
      </c>
      <c r="R138" s="24">
        <v>0</v>
      </c>
      <c r="S138" s="24">
        <v>27</v>
      </c>
      <c r="T138" s="24">
        <v>0</v>
      </c>
      <c r="U138" s="24">
        <v>1</v>
      </c>
      <c r="V138" s="24">
        <v>0</v>
      </c>
      <c r="W138" s="24">
        <v>2</v>
      </c>
      <c r="X138" s="24">
        <v>1</v>
      </c>
      <c r="Y138" s="24">
        <v>0</v>
      </c>
      <c r="Z138" s="24">
        <v>1</v>
      </c>
      <c r="AA138" s="24">
        <v>1</v>
      </c>
      <c r="AB138" s="24">
        <v>1</v>
      </c>
      <c r="AC138" s="24">
        <v>0</v>
      </c>
      <c r="AD138" s="24">
        <v>0</v>
      </c>
      <c r="AE138" s="24">
        <v>0</v>
      </c>
      <c r="AF138" s="24">
        <v>0</v>
      </c>
      <c r="AG138" s="24">
        <v>0</v>
      </c>
      <c r="AH138" s="24">
        <v>0</v>
      </c>
      <c r="AI138" s="24">
        <v>0</v>
      </c>
      <c r="AJ138" s="24">
        <v>1</v>
      </c>
      <c r="AK138" s="24">
        <v>0</v>
      </c>
      <c r="AL138" s="24">
        <v>0</v>
      </c>
      <c r="AM138" s="24">
        <v>0</v>
      </c>
      <c r="AN138" s="24">
        <v>0</v>
      </c>
      <c r="AO138" s="24">
        <v>1</v>
      </c>
      <c r="AP138" s="24">
        <v>0</v>
      </c>
      <c r="AQ138" s="24">
        <v>1</v>
      </c>
      <c r="AR138" s="24">
        <v>0</v>
      </c>
      <c r="AS138" s="24">
        <v>0</v>
      </c>
      <c r="AT138" s="24">
        <v>0</v>
      </c>
      <c r="AU138" s="24">
        <v>0</v>
      </c>
      <c r="AV138" s="24">
        <v>0</v>
      </c>
      <c r="AW138" s="24">
        <v>1</v>
      </c>
      <c r="AX138" s="24">
        <v>0</v>
      </c>
      <c r="AY138" s="24">
        <v>0</v>
      </c>
      <c r="AZ138" s="24">
        <v>0</v>
      </c>
      <c r="BA138" s="24">
        <v>1</v>
      </c>
      <c r="BB138" s="24">
        <v>0</v>
      </c>
    </row>
    <row r="139" spans="2:54" ht="13.8" x14ac:dyDescent="0.3">
      <c r="B139" s="24">
        <v>119</v>
      </c>
      <c r="C139" s="24">
        <v>33</v>
      </c>
      <c r="D139" s="24">
        <v>0</v>
      </c>
      <c r="E139" s="24">
        <v>0</v>
      </c>
      <c r="F139" s="24">
        <v>1</v>
      </c>
      <c r="G139" s="24">
        <v>0</v>
      </c>
      <c r="H139" s="24">
        <v>0</v>
      </c>
      <c r="I139" s="24">
        <v>0</v>
      </c>
      <c r="J139" s="24">
        <v>4281</v>
      </c>
      <c r="K139" s="24">
        <v>1</v>
      </c>
      <c r="L139" s="24">
        <v>0</v>
      </c>
      <c r="M139" s="24">
        <v>0</v>
      </c>
      <c r="N139" s="24">
        <v>0</v>
      </c>
      <c r="O139" s="24">
        <v>0</v>
      </c>
      <c r="P139" s="24">
        <v>0</v>
      </c>
      <c r="Q139" s="24">
        <v>0</v>
      </c>
      <c r="R139" s="24">
        <v>0</v>
      </c>
      <c r="S139" s="24">
        <v>23</v>
      </c>
      <c r="T139" s="24">
        <v>0</v>
      </c>
      <c r="U139" s="24">
        <v>0</v>
      </c>
      <c r="V139" s="24">
        <v>1</v>
      </c>
      <c r="W139" s="24">
        <v>2</v>
      </c>
      <c r="X139" s="24">
        <v>1</v>
      </c>
      <c r="Y139" s="24">
        <v>0</v>
      </c>
      <c r="Z139" s="24">
        <v>0</v>
      </c>
      <c r="AA139" s="24">
        <v>0</v>
      </c>
      <c r="AB139" s="24">
        <v>1</v>
      </c>
      <c r="AC139" s="24">
        <v>0</v>
      </c>
      <c r="AD139" s="24">
        <v>0</v>
      </c>
      <c r="AE139" s="24">
        <v>0</v>
      </c>
      <c r="AF139" s="24">
        <v>0</v>
      </c>
      <c r="AG139" s="24">
        <v>0</v>
      </c>
      <c r="AH139" s="24">
        <v>0</v>
      </c>
      <c r="AI139" s="24">
        <v>0</v>
      </c>
      <c r="AJ139" s="24">
        <v>1</v>
      </c>
      <c r="AK139" s="24">
        <v>0</v>
      </c>
      <c r="AL139" s="24">
        <v>0</v>
      </c>
      <c r="AM139" s="24">
        <v>1</v>
      </c>
      <c r="AN139" s="24">
        <v>0</v>
      </c>
      <c r="AO139" s="24">
        <v>0</v>
      </c>
      <c r="AP139" s="24">
        <v>0</v>
      </c>
      <c r="AQ139" s="24">
        <v>0</v>
      </c>
      <c r="AR139" s="24">
        <v>1</v>
      </c>
      <c r="AS139" s="24">
        <v>0</v>
      </c>
      <c r="AT139" s="24">
        <v>0</v>
      </c>
      <c r="AU139" s="24">
        <v>0</v>
      </c>
      <c r="AV139" s="24">
        <v>0</v>
      </c>
      <c r="AW139" s="24">
        <v>0</v>
      </c>
      <c r="AX139" s="24">
        <v>1</v>
      </c>
      <c r="AY139" s="24">
        <v>0</v>
      </c>
      <c r="AZ139" s="24">
        <v>0</v>
      </c>
      <c r="BA139" s="24">
        <v>1</v>
      </c>
      <c r="BB139" s="24">
        <v>0</v>
      </c>
    </row>
    <row r="140" spans="2:54" ht="13.8" x14ac:dyDescent="0.3">
      <c r="B140" s="24">
        <v>120</v>
      </c>
      <c r="C140" s="24">
        <v>12</v>
      </c>
      <c r="D140" s="24">
        <v>1</v>
      </c>
      <c r="E140" s="24">
        <v>0</v>
      </c>
      <c r="F140" s="24">
        <v>0</v>
      </c>
      <c r="G140" s="24">
        <v>0</v>
      </c>
      <c r="H140" s="24">
        <v>0</v>
      </c>
      <c r="I140" s="24">
        <v>0</v>
      </c>
      <c r="J140" s="24">
        <v>2366</v>
      </c>
      <c r="K140" s="24">
        <v>3</v>
      </c>
      <c r="L140" s="24">
        <v>1</v>
      </c>
      <c r="M140" s="24">
        <v>0</v>
      </c>
      <c r="N140" s="24">
        <v>0</v>
      </c>
      <c r="O140" s="24">
        <v>0</v>
      </c>
      <c r="P140" s="24">
        <v>0</v>
      </c>
      <c r="Q140" s="24">
        <v>0</v>
      </c>
      <c r="R140" s="24">
        <v>0</v>
      </c>
      <c r="S140" s="24">
        <v>36</v>
      </c>
      <c r="T140" s="24">
        <v>0</v>
      </c>
      <c r="U140" s="24">
        <v>0</v>
      </c>
      <c r="V140" s="24">
        <v>1</v>
      </c>
      <c r="W140" s="24">
        <v>1</v>
      </c>
      <c r="X140" s="24">
        <v>1</v>
      </c>
      <c r="Y140" s="24">
        <v>1</v>
      </c>
      <c r="Z140" s="24">
        <v>0</v>
      </c>
      <c r="AA140" s="24">
        <v>1</v>
      </c>
      <c r="AB140" s="24">
        <v>0</v>
      </c>
      <c r="AC140" s="24">
        <v>1</v>
      </c>
      <c r="AD140" s="24">
        <v>0</v>
      </c>
      <c r="AE140" s="24">
        <v>0</v>
      </c>
      <c r="AF140" s="24">
        <v>0</v>
      </c>
      <c r="AG140" s="24">
        <v>0</v>
      </c>
      <c r="AH140" s="24">
        <v>0</v>
      </c>
      <c r="AI140" s="24">
        <v>0</v>
      </c>
      <c r="AJ140" s="24">
        <v>1</v>
      </c>
      <c r="AK140" s="24">
        <v>0</v>
      </c>
      <c r="AL140" s="24">
        <v>0</v>
      </c>
      <c r="AM140" s="24">
        <v>1</v>
      </c>
      <c r="AN140" s="24">
        <v>0</v>
      </c>
      <c r="AO140" s="24">
        <v>0</v>
      </c>
      <c r="AP140" s="24">
        <v>0</v>
      </c>
      <c r="AQ140" s="24">
        <v>0</v>
      </c>
      <c r="AR140" s="24">
        <v>0</v>
      </c>
      <c r="AS140" s="24">
        <v>1</v>
      </c>
      <c r="AT140" s="24">
        <v>0</v>
      </c>
      <c r="AU140" s="24">
        <v>0</v>
      </c>
      <c r="AV140" s="24">
        <v>0</v>
      </c>
      <c r="AW140" s="24">
        <v>1</v>
      </c>
      <c r="AX140" s="24">
        <v>0</v>
      </c>
      <c r="AY140" s="24">
        <v>0</v>
      </c>
      <c r="AZ140" s="24">
        <v>0</v>
      </c>
      <c r="BA140" s="24">
        <v>0</v>
      </c>
      <c r="BB140" s="24">
        <v>1</v>
      </c>
    </row>
    <row r="141" spans="2:54" ht="13.8" x14ac:dyDescent="0.3">
      <c r="B141" s="24">
        <v>121</v>
      </c>
      <c r="C141" s="24">
        <v>21</v>
      </c>
      <c r="D141" s="24">
        <v>0</v>
      </c>
      <c r="E141" s="24">
        <v>0</v>
      </c>
      <c r="F141" s="24">
        <v>0</v>
      </c>
      <c r="G141" s="24">
        <v>1</v>
      </c>
      <c r="H141" s="24">
        <v>0</v>
      </c>
      <c r="I141" s="24">
        <v>0</v>
      </c>
      <c r="J141" s="24">
        <v>1835</v>
      </c>
      <c r="K141" s="24">
        <v>3</v>
      </c>
      <c r="L141" s="24">
        <v>0</v>
      </c>
      <c r="M141" s="24">
        <v>0</v>
      </c>
      <c r="N141" s="24">
        <v>0</v>
      </c>
      <c r="O141" s="24">
        <v>0</v>
      </c>
      <c r="P141" s="24">
        <v>0</v>
      </c>
      <c r="Q141" s="24">
        <v>1</v>
      </c>
      <c r="R141" s="24">
        <v>0</v>
      </c>
      <c r="S141" s="24">
        <v>25</v>
      </c>
      <c r="T141" s="24">
        <v>0</v>
      </c>
      <c r="U141" s="24">
        <v>0</v>
      </c>
      <c r="V141" s="24">
        <v>1</v>
      </c>
      <c r="W141" s="24">
        <v>2</v>
      </c>
      <c r="X141" s="24">
        <v>1</v>
      </c>
      <c r="Y141" s="24">
        <v>1</v>
      </c>
      <c r="Z141" s="24">
        <v>0</v>
      </c>
      <c r="AA141" s="24">
        <v>0</v>
      </c>
      <c r="AB141" s="24">
        <v>1</v>
      </c>
      <c r="AC141" s="24">
        <v>0</v>
      </c>
      <c r="AD141" s="24">
        <v>0</v>
      </c>
      <c r="AE141" s="24">
        <v>0</v>
      </c>
      <c r="AF141" s="24">
        <v>0</v>
      </c>
      <c r="AG141" s="24">
        <v>0</v>
      </c>
      <c r="AH141" s="24">
        <v>1</v>
      </c>
      <c r="AI141" s="24">
        <v>0</v>
      </c>
      <c r="AJ141" s="24">
        <v>0</v>
      </c>
      <c r="AK141" s="24">
        <v>1</v>
      </c>
      <c r="AL141" s="24">
        <v>0</v>
      </c>
      <c r="AM141" s="24">
        <v>0</v>
      </c>
      <c r="AN141" s="24">
        <v>0</v>
      </c>
      <c r="AO141" s="24">
        <v>0</v>
      </c>
      <c r="AP141" s="24">
        <v>0</v>
      </c>
      <c r="AQ141" s="24">
        <v>0</v>
      </c>
      <c r="AR141" s="24">
        <v>1</v>
      </c>
      <c r="AS141" s="24">
        <v>0</v>
      </c>
      <c r="AT141" s="24">
        <v>0</v>
      </c>
      <c r="AU141" s="24">
        <v>0</v>
      </c>
      <c r="AV141" s="24">
        <v>1</v>
      </c>
      <c r="AW141" s="24">
        <v>0</v>
      </c>
      <c r="AX141" s="24">
        <v>0</v>
      </c>
      <c r="AY141" s="24">
        <v>0</v>
      </c>
      <c r="AZ141" s="24">
        <v>0</v>
      </c>
      <c r="BA141" s="24">
        <v>1</v>
      </c>
      <c r="BB141" s="24">
        <v>0</v>
      </c>
    </row>
    <row r="142" spans="2:54" ht="13.8" x14ac:dyDescent="0.3">
      <c r="B142" s="24">
        <v>122</v>
      </c>
      <c r="C142" s="24">
        <v>24</v>
      </c>
      <c r="D142" s="24">
        <v>0</v>
      </c>
      <c r="E142" s="24">
        <v>1</v>
      </c>
      <c r="F142" s="24">
        <v>0</v>
      </c>
      <c r="G142" s="24">
        <v>0</v>
      </c>
      <c r="H142" s="24">
        <v>0</v>
      </c>
      <c r="I142" s="24">
        <v>0</v>
      </c>
      <c r="J142" s="24">
        <v>3868</v>
      </c>
      <c r="K142" s="24">
        <v>4</v>
      </c>
      <c r="L142" s="24">
        <v>0</v>
      </c>
      <c r="M142" s="24">
        <v>0</v>
      </c>
      <c r="N142" s="24">
        <v>0</v>
      </c>
      <c r="O142" s="24">
        <v>0</v>
      </c>
      <c r="P142" s="24">
        <v>0</v>
      </c>
      <c r="Q142" s="24">
        <v>0</v>
      </c>
      <c r="R142" s="24">
        <v>0</v>
      </c>
      <c r="S142" s="24">
        <v>41</v>
      </c>
      <c r="T142" s="24">
        <v>0</v>
      </c>
      <c r="U142" s="24">
        <v>1</v>
      </c>
      <c r="V142" s="24">
        <v>0</v>
      </c>
      <c r="W142" s="24">
        <v>2</v>
      </c>
      <c r="X142" s="24">
        <v>1</v>
      </c>
      <c r="Y142" s="24">
        <v>1</v>
      </c>
      <c r="Z142" s="24">
        <v>0</v>
      </c>
      <c r="AA142" s="24">
        <v>1</v>
      </c>
      <c r="AB142" s="24">
        <v>0</v>
      </c>
      <c r="AC142" s="24">
        <v>0</v>
      </c>
      <c r="AD142" s="24">
        <v>0</v>
      </c>
      <c r="AE142" s="24">
        <v>1</v>
      </c>
      <c r="AF142" s="24">
        <v>0</v>
      </c>
      <c r="AG142" s="24">
        <v>0</v>
      </c>
      <c r="AH142" s="24">
        <v>0</v>
      </c>
      <c r="AI142" s="24">
        <v>0</v>
      </c>
      <c r="AJ142" s="24">
        <v>1</v>
      </c>
      <c r="AK142" s="24">
        <v>1</v>
      </c>
      <c r="AL142" s="24">
        <v>0</v>
      </c>
      <c r="AM142" s="24">
        <v>0</v>
      </c>
      <c r="AN142" s="24">
        <v>0</v>
      </c>
      <c r="AO142" s="24">
        <v>0</v>
      </c>
      <c r="AP142" s="24">
        <v>0</v>
      </c>
      <c r="AQ142" s="24">
        <v>0</v>
      </c>
      <c r="AR142" s="24">
        <v>0</v>
      </c>
      <c r="AS142" s="24">
        <v>0</v>
      </c>
      <c r="AT142" s="24">
        <v>1</v>
      </c>
      <c r="AU142" s="24">
        <v>0</v>
      </c>
      <c r="AV142" s="24">
        <v>1</v>
      </c>
      <c r="AW142" s="24">
        <v>0</v>
      </c>
      <c r="AX142" s="24">
        <v>0</v>
      </c>
      <c r="AY142" s="24">
        <v>0</v>
      </c>
      <c r="AZ142" s="24">
        <v>0</v>
      </c>
      <c r="BA142" s="24">
        <v>0</v>
      </c>
      <c r="BB142" s="24">
        <v>1</v>
      </c>
    </row>
    <row r="143" spans="2:54" ht="13.8" x14ac:dyDescent="0.3">
      <c r="B143" s="24">
        <v>123</v>
      </c>
      <c r="C143" s="24">
        <v>12</v>
      </c>
      <c r="D143" s="24">
        <v>0</v>
      </c>
      <c r="E143" s="24">
        <v>0</v>
      </c>
      <c r="F143" s="24">
        <v>1</v>
      </c>
      <c r="G143" s="24">
        <v>0</v>
      </c>
      <c r="H143" s="24">
        <v>0</v>
      </c>
      <c r="I143" s="24">
        <v>0</v>
      </c>
      <c r="J143" s="24">
        <v>1768</v>
      </c>
      <c r="K143" s="24">
        <v>3</v>
      </c>
      <c r="L143" s="24">
        <v>0</v>
      </c>
      <c r="M143" s="24">
        <v>1</v>
      </c>
      <c r="N143" s="24">
        <v>0</v>
      </c>
      <c r="O143" s="24">
        <v>0</v>
      </c>
      <c r="P143" s="24">
        <v>0</v>
      </c>
      <c r="Q143" s="24">
        <v>1</v>
      </c>
      <c r="R143" s="24">
        <v>0</v>
      </c>
      <c r="S143" s="24">
        <v>24</v>
      </c>
      <c r="T143" s="24">
        <v>0</v>
      </c>
      <c r="U143" s="24">
        <v>1</v>
      </c>
      <c r="V143" s="24">
        <v>0</v>
      </c>
      <c r="W143" s="24">
        <v>1</v>
      </c>
      <c r="X143" s="24">
        <v>1</v>
      </c>
      <c r="Y143" s="24">
        <v>0</v>
      </c>
      <c r="Z143" s="24">
        <v>0</v>
      </c>
      <c r="AA143" s="24">
        <v>1</v>
      </c>
      <c r="AB143" s="24">
        <v>0</v>
      </c>
      <c r="AC143" s="24">
        <v>0</v>
      </c>
      <c r="AD143" s="24">
        <v>0</v>
      </c>
      <c r="AE143" s="24">
        <v>1</v>
      </c>
      <c r="AF143" s="24">
        <v>0</v>
      </c>
      <c r="AG143" s="24">
        <v>0</v>
      </c>
      <c r="AH143" s="24">
        <v>1</v>
      </c>
      <c r="AI143" s="24">
        <v>0</v>
      </c>
      <c r="AJ143" s="24">
        <v>0</v>
      </c>
      <c r="AK143" s="24">
        <v>1</v>
      </c>
      <c r="AL143" s="24">
        <v>0</v>
      </c>
      <c r="AM143" s="24">
        <v>0</v>
      </c>
      <c r="AN143" s="24">
        <v>0</v>
      </c>
      <c r="AO143" s="24">
        <v>0</v>
      </c>
      <c r="AP143" s="24">
        <v>0</v>
      </c>
      <c r="AQ143" s="24">
        <v>0</v>
      </c>
      <c r="AR143" s="24">
        <v>1</v>
      </c>
      <c r="AS143" s="24">
        <v>0</v>
      </c>
      <c r="AT143" s="24">
        <v>0</v>
      </c>
      <c r="AU143" s="24">
        <v>0</v>
      </c>
      <c r="AV143" s="24">
        <v>1</v>
      </c>
      <c r="AW143" s="24">
        <v>0</v>
      </c>
      <c r="AX143" s="24">
        <v>0</v>
      </c>
      <c r="AY143" s="24">
        <v>0</v>
      </c>
      <c r="AZ143" s="24">
        <v>1</v>
      </c>
      <c r="BA143" s="24">
        <v>0</v>
      </c>
      <c r="BB143" s="24">
        <v>0</v>
      </c>
    </row>
    <row r="144" spans="2:54" ht="13.8" x14ac:dyDescent="0.3">
      <c r="B144" s="24">
        <v>124</v>
      </c>
      <c r="C144" s="24">
        <v>10</v>
      </c>
      <c r="D144" s="24">
        <v>1</v>
      </c>
      <c r="E144" s="24">
        <v>0</v>
      </c>
      <c r="F144" s="24">
        <v>0</v>
      </c>
      <c r="G144" s="24">
        <v>0</v>
      </c>
      <c r="H144" s="24">
        <v>0</v>
      </c>
      <c r="I144" s="24">
        <v>0</v>
      </c>
      <c r="J144" s="24">
        <v>781</v>
      </c>
      <c r="K144" s="24">
        <v>4</v>
      </c>
      <c r="L144" s="24">
        <v>0</v>
      </c>
      <c r="M144" s="24">
        <v>1</v>
      </c>
      <c r="N144" s="24">
        <v>0</v>
      </c>
      <c r="O144" s="24">
        <v>0</v>
      </c>
      <c r="P144" s="24">
        <v>0</v>
      </c>
      <c r="Q144" s="24">
        <v>0</v>
      </c>
      <c r="R144" s="24">
        <v>1</v>
      </c>
      <c r="S144" s="24">
        <v>63</v>
      </c>
      <c r="T144" s="24">
        <v>0</v>
      </c>
      <c r="U144" s="24">
        <v>0</v>
      </c>
      <c r="V144" s="24">
        <v>0</v>
      </c>
      <c r="W144" s="24">
        <v>2</v>
      </c>
      <c r="X144" s="24">
        <v>1</v>
      </c>
      <c r="Y144" s="24">
        <v>1</v>
      </c>
      <c r="Z144" s="24">
        <v>0</v>
      </c>
      <c r="AA144" s="24">
        <v>1</v>
      </c>
      <c r="AB144" s="24">
        <v>0</v>
      </c>
      <c r="AC144" s="24">
        <v>0</v>
      </c>
      <c r="AD144" s="24">
        <v>1</v>
      </c>
      <c r="AE144" s="24">
        <v>0</v>
      </c>
      <c r="AF144" s="24">
        <v>0</v>
      </c>
      <c r="AG144" s="24">
        <v>0</v>
      </c>
      <c r="AH144" s="24">
        <v>0</v>
      </c>
      <c r="AI144" s="24">
        <v>0</v>
      </c>
      <c r="AJ144" s="24">
        <v>1</v>
      </c>
      <c r="AK144" s="24">
        <v>1</v>
      </c>
      <c r="AL144" s="24">
        <v>0</v>
      </c>
      <c r="AM144" s="24">
        <v>0</v>
      </c>
      <c r="AN144" s="24">
        <v>0</v>
      </c>
      <c r="AO144" s="24">
        <v>0</v>
      </c>
      <c r="AP144" s="24">
        <v>0</v>
      </c>
      <c r="AQ144" s="24">
        <v>0</v>
      </c>
      <c r="AR144" s="24">
        <v>0</v>
      </c>
      <c r="AS144" s="24">
        <v>0</v>
      </c>
      <c r="AT144" s="24">
        <v>1</v>
      </c>
      <c r="AU144" s="24">
        <v>0</v>
      </c>
      <c r="AV144" s="24">
        <v>0</v>
      </c>
      <c r="AW144" s="24">
        <v>0</v>
      </c>
      <c r="AX144" s="24">
        <v>1</v>
      </c>
      <c r="AY144" s="24">
        <v>0</v>
      </c>
      <c r="AZ144" s="24">
        <v>0</v>
      </c>
      <c r="BA144" s="24">
        <v>1</v>
      </c>
      <c r="BB144" s="24">
        <v>0</v>
      </c>
    </row>
    <row r="145" spans="2:54" ht="13.8" x14ac:dyDescent="0.3">
      <c r="B145" s="24">
        <v>125</v>
      </c>
      <c r="C145" s="24">
        <v>18</v>
      </c>
      <c r="D145" s="24">
        <v>0</v>
      </c>
      <c r="E145" s="24">
        <v>0</v>
      </c>
      <c r="F145" s="24">
        <v>1</v>
      </c>
      <c r="G145" s="24">
        <v>0</v>
      </c>
      <c r="H145" s="24">
        <v>0</v>
      </c>
      <c r="I145" s="24">
        <v>0</v>
      </c>
      <c r="J145" s="24">
        <v>1924</v>
      </c>
      <c r="K145" s="24">
        <v>4</v>
      </c>
      <c r="L145" s="24">
        <v>0</v>
      </c>
      <c r="M145" s="24">
        <v>0</v>
      </c>
      <c r="N145" s="24">
        <v>0</v>
      </c>
      <c r="O145" s="24">
        <v>0</v>
      </c>
      <c r="P145" s="24">
        <v>0</v>
      </c>
      <c r="Q145" s="24">
        <v>1</v>
      </c>
      <c r="R145" s="24">
        <v>0</v>
      </c>
      <c r="S145" s="24">
        <v>27</v>
      </c>
      <c r="T145" s="24">
        <v>0</v>
      </c>
      <c r="U145" s="24">
        <v>1</v>
      </c>
      <c r="V145" s="24">
        <v>0</v>
      </c>
      <c r="W145" s="24">
        <v>1</v>
      </c>
      <c r="X145" s="24">
        <v>1</v>
      </c>
      <c r="Y145" s="24">
        <v>0</v>
      </c>
      <c r="Z145" s="24">
        <v>0</v>
      </c>
      <c r="AA145" s="24">
        <v>0</v>
      </c>
      <c r="AB145" s="24">
        <v>0</v>
      </c>
      <c r="AC145" s="24">
        <v>1</v>
      </c>
      <c r="AD145" s="24">
        <v>0</v>
      </c>
      <c r="AE145" s="24">
        <v>0</v>
      </c>
      <c r="AF145" s="24">
        <v>0</v>
      </c>
      <c r="AG145" s="24">
        <v>0</v>
      </c>
      <c r="AH145" s="24">
        <v>1</v>
      </c>
      <c r="AI145" s="24">
        <v>0</v>
      </c>
      <c r="AJ145" s="24">
        <v>0</v>
      </c>
      <c r="AK145" s="24">
        <v>0</v>
      </c>
      <c r="AL145" s="24">
        <v>0</v>
      </c>
      <c r="AM145" s="24">
        <v>0</v>
      </c>
      <c r="AN145" s="24">
        <v>0</v>
      </c>
      <c r="AO145" s="24">
        <v>1</v>
      </c>
      <c r="AP145" s="24">
        <v>0</v>
      </c>
      <c r="AQ145" s="24">
        <v>1</v>
      </c>
      <c r="AR145" s="24">
        <v>0</v>
      </c>
      <c r="AS145" s="24">
        <v>0</v>
      </c>
      <c r="AT145" s="24">
        <v>0</v>
      </c>
      <c r="AU145" s="24">
        <v>0</v>
      </c>
      <c r="AV145" s="24">
        <v>0</v>
      </c>
      <c r="AW145" s="24">
        <v>1</v>
      </c>
      <c r="AX145" s="24">
        <v>0</v>
      </c>
      <c r="AY145" s="24">
        <v>0</v>
      </c>
      <c r="AZ145" s="24">
        <v>0</v>
      </c>
      <c r="BA145" s="24">
        <v>1</v>
      </c>
      <c r="BB145" s="24">
        <v>0</v>
      </c>
    </row>
    <row r="146" spans="2:54" ht="13.8" x14ac:dyDescent="0.3">
      <c r="B146" s="24">
        <v>126</v>
      </c>
      <c r="C146" s="24">
        <v>12</v>
      </c>
      <c r="D146" s="24">
        <v>1</v>
      </c>
      <c r="E146" s="24">
        <v>0</v>
      </c>
      <c r="F146" s="24">
        <v>0</v>
      </c>
      <c r="G146" s="24">
        <v>0</v>
      </c>
      <c r="H146" s="24">
        <v>0</v>
      </c>
      <c r="I146" s="24">
        <v>0</v>
      </c>
      <c r="J146" s="24">
        <v>2121</v>
      </c>
      <c r="K146" s="24">
        <v>4</v>
      </c>
      <c r="L146" s="24">
        <v>0</v>
      </c>
      <c r="M146" s="24">
        <v>1</v>
      </c>
      <c r="N146" s="24">
        <v>0</v>
      </c>
      <c r="O146" s="24">
        <v>0</v>
      </c>
      <c r="P146" s="24">
        <v>0</v>
      </c>
      <c r="Q146" s="24">
        <v>0</v>
      </c>
      <c r="R146" s="24">
        <v>0</v>
      </c>
      <c r="S146" s="24">
        <v>30</v>
      </c>
      <c r="T146" s="24">
        <v>0</v>
      </c>
      <c r="U146" s="24">
        <v>0</v>
      </c>
      <c r="V146" s="24">
        <v>1</v>
      </c>
      <c r="W146" s="24">
        <v>2</v>
      </c>
      <c r="X146" s="24">
        <v>1</v>
      </c>
      <c r="Y146" s="24">
        <v>0</v>
      </c>
      <c r="Z146" s="24">
        <v>0</v>
      </c>
      <c r="AA146" s="24">
        <v>1</v>
      </c>
      <c r="AB146" s="24">
        <v>1</v>
      </c>
      <c r="AC146" s="24">
        <v>0</v>
      </c>
      <c r="AD146" s="24">
        <v>0</v>
      </c>
      <c r="AE146" s="24">
        <v>0</v>
      </c>
      <c r="AF146" s="24">
        <v>0</v>
      </c>
      <c r="AG146" s="24">
        <v>0</v>
      </c>
      <c r="AH146" s="24">
        <v>0</v>
      </c>
      <c r="AI146" s="24">
        <v>0</v>
      </c>
      <c r="AJ146" s="24">
        <v>1</v>
      </c>
      <c r="AK146" s="24">
        <v>1</v>
      </c>
      <c r="AL146" s="24">
        <v>0</v>
      </c>
      <c r="AM146" s="24">
        <v>0</v>
      </c>
      <c r="AN146" s="24">
        <v>0</v>
      </c>
      <c r="AO146" s="24">
        <v>0</v>
      </c>
      <c r="AP146" s="24">
        <v>0</v>
      </c>
      <c r="AQ146" s="24">
        <v>0</v>
      </c>
      <c r="AR146" s="24">
        <v>1</v>
      </c>
      <c r="AS146" s="24">
        <v>0</v>
      </c>
      <c r="AT146" s="24">
        <v>0</v>
      </c>
      <c r="AU146" s="24">
        <v>0</v>
      </c>
      <c r="AV146" s="24">
        <v>1</v>
      </c>
      <c r="AW146" s="24">
        <v>0</v>
      </c>
      <c r="AX146" s="24">
        <v>0</v>
      </c>
      <c r="AY146" s="24">
        <v>0</v>
      </c>
      <c r="AZ146" s="24">
        <v>0</v>
      </c>
      <c r="BA146" s="24">
        <v>1</v>
      </c>
      <c r="BB146" s="24">
        <v>0</v>
      </c>
    </row>
    <row r="147" spans="2:54" ht="13.8" x14ac:dyDescent="0.3">
      <c r="B147" s="24">
        <v>127</v>
      </c>
      <c r="C147" s="24">
        <v>12</v>
      </c>
      <c r="D147" s="24">
        <v>0</v>
      </c>
      <c r="E147" s="24">
        <v>0</v>
      </c>
      <c r="F147" s="24">
        <v>0</v>
      </c>
      <c r="G147" s="24">
        <v>1</v>
      </c>
      <c r="H147" s="24">
        <v>0</v>
      </c>
      <c r="I147" s="24">
        <v>0</v>
      </c>
      <c r="J147" s="24">
        <v>701</v>
      </c>
      <c r="K147" s="24">
        <v>4</v>
      </c>
      <c r="L147" s="24">
        <v>0</v>
      </c>
      <c r="M147" s="24">
        <v>0</v>
      </c>
      <c r="N147" s="24">
        <v>1</v>
      </c>
      <c r="O147" s="24">
        <v>0</v>
      </c>
      <c r="P147" s="24">
        <v>0</v>
      </c>
      <c r="Q147" s="24">
        <v>1</v>
      </c>
      <c r="R147" s="24">
        <v>0</v>
      </c>
      <c r="S147" s="24">
        <v>40</v>
      </c>
      <c r="T147" s="24">
        <v>0</v>
      </c>
      <c r="U147" s="24">
        <v>0</v>
      </c>
      <c r="V147" s="24">
        <v>1</v>
      </c>
      <c r="W147" s="24">
        <v>1</v>
      </c>
      <c r="X147" s="24">
        <v>1</v>
      </c>
      <c r="Y147" s="24">
        <v>0</v>
      </c>
      <c r="Z147" s="24">
        <v>0</v>
      </c>
      <c r="AA147" s="24">
        <v>1</v>
      </c>
      <c r="AB147" s="24">
        <v>1</v>
      </c>
      <c r="AC147" s="24">
        <v>0</v>
      </c>
      <c r="AD147" s="24">
        <v>0</v>
      </c>
      <c r="AE147" s="24">
        <v>0</v>
      </c>
      <c r="AF147" s="24">
        <v>0</v>
      </c>
      <c r="AG147" s="24">
        <v>0</v>
      </c>
      <c r="AH147" s="24">
        <v>1</v>
      </c>
      <c r="AI147" s="24">
        <v>0</v>
      </c>
      <c r="AJ147" s="24">
        <v>0</v>
      </c>
      <c r="AK147" s="24">
        <v>1</v>
      </c>
      <c r="AL147" s="24">
        <v>0</v>
      </c>
      <c r="AM147" s="24">
        <v>0</v>
      </c>
      <c r="AN147" s="24">
        <v>0</v>
      </c>
      <c r="AO147" s="24">
        <v>0</v>
      </c>
      <c r="AP147" s="24">
        <v>0</v>
      </c>
      <c r="AQ147" s="24">
        <v>0</v>
      </c>
      <c r="AR147" s="24">
        <v>1</v>
      </c>
      <c r="AS147" s="24">
        <v>0</v>
      </c>
      <c r="AT147" s="24">
        <v>0</v>
      </c>
      <c r="AU147" s="24">
        <v>0</v>
      </c>
      <c r="AV147" s="24">
        <v>1</v>
      </c>
      <c r="AW147" s="24">
        <v>0</v>
      </c>
      <c r="AX147" s="24">
        <v>0</v>
      </c>
      <c r="AY147" s="24">
        <v>0</v>
      </c>
      <c r="AZ147" s="24">
        <v>1</v>
      </c>
      <c r="BA147" s="24">
        <v>0</v>
      </c>
      <c r="BB147" s="24">
        <v>0</v>
      </c>
    </row>
    <row r="148" spans="2:54" ht="13.8" x14ac:dyDescent="0.3">
      <c r="B148" s="24">
        <v>128</v>
      </c>
      <c r="C148" s="24">
        <v>12</v>
      </c>
      <c r="D148" s="24">
        <v>0</v>
      </c>
      <c r="E148" s="24">
        <v>0</v>
      </c>
      <c r="F148" s="24">
        <v>0</v>
      </c>
      <c r="G148" s="24">
        <v>0</v>
      </c>
      <c r="H148" s="24">
        <v>0</v>
      </c>
      <c r="I148" s="24">
        <v>0</v>
      </c>
      <c r="J148" s="24">
        <v>639</v>
      </c>
      <c r="K148" s="24">
        <v>4</v>
      </c>
      <c r="L148" s="24">
        <v>0</v>
      </c>
      <c r="M148" s="24">
        <v>1</v>
      </c>
      <c r="N148" s="24">
        <v>0</v>
      </c>
      <c r="O148" s="24">
        <v>0</v>
      </c>
      <c r="P148" s="24">
        <v>0</v>
      </c>
      <c r="Q148" s="24">
        <v>0</v>
      </c>
      <c r="R148" s="24">
        <v>0</v>
      </c>
      <c r="S148" s="24">
        <v>30</v>
      </c>
      <c r="T148" s="24">
        <v>0</v>
      </c>
      <c r="U148" s="24">
        <v>0</v>
      </c>
      <c r="V148" s="24">
        <v>1</v>
      </c>
      <c r="W148" s="24">
        <v>1</v>
      </c>
      <c r="X148" s="24">
        <v>1</v>
      </c>
      <c r="Y148" s="24">
        <v>0</v>
      </c>
      <c r="Z148" s="24">
        <v>0</v>
      </c>
      <c r="AA148" s="24">
        <v>0</v>
      </c>
      <c r="AB148" s="24">
        <v>0</v>
      </c>
      <c r="AC148" s="24">
        <v>1</v>
      </c>
      <c r="AD148" s="24">
        <v>0</v>
      </c>
      <c r="AE148" s="24">
        <v>0</v>
      </c>
      <c r="AF148" s="24">
        <v>0</v>
      </c>
      <c r="AG148" s="24">
        <v>0</v>
      </c>
      <c r="AH148" s="24">
        <v>1</v>
      </c>
      <c r="AI148" s="24">
        <v>0</v>
      </c>
      <c r="AJ148" s="24">
        <v>0</v>
      </c>
      <c r="AK148" s="24">
        <v>1</v>
      </c>
      <c r="AL148" s="24">
        <v>0</v>
      </c>
      <c r="AM148" s="24">
        <v>0</v>
      </c>
      <c r="AN148" s="24">
        <v>0</v>
      </c>
      <c r="AO148" s="24">
        <v>0</v>
      </c>
      <c r="AP148" s="24">
        <v>0</v>
      </c>
      <c r="AQ148" s="24">
        <v>0</v>
      </c>
      <c r="AR148" s="24">
        <v>1</v>
      </c>
      <c r="AS148" s="24">
        <v>0</v>
      </c>
      <c r="AT148" s="24">
        <v>0</v>
      </c>
      <c r="AU148" s="24">
        <v>0</v>
      </c>
      <c r="AV148" s="24">
        <v>1</v>
      </c>
      <c r="AW148" s="24">
        <v>0</v>
      </c>
      <c r="AX148" s="24">
        <v>0</v>
      </c>
      <c r="AY148" s="24">
        <v>0</v>
      </c>
      <c r="AZ148" s="24">
        <v>0</v>
      </c>
      <c r="BA148" s="24">
        <v>1</v>
      </c>
      <c r="BB148" s="24">
        <v>0</v>
      </c>
    </row>
    <row r="149" spans="2:54" ht="13.8" x14ac:dyDescent="0.3">
      <c r="B149" s="24">
        <v>129</v>
      </c>
      <c r="C149" s="24">
        <v>12</v>
      </c>
      <c r="D149" s="24">
        <v>0</v>
      </c>
      <c r="E149" s="24">
        <v>1</v>
      </c>
      <c r="F149" s="24">
        <v>0</v>
      </c>
      <c r="G149" s="24">
        <v>0</v>
      </c>
      <c r="H149" s="24">
        <v>0</v>
      </c>
      <c r="I149" s="24">
        <v>0</v>
      </c>
      <c r="J149" s="24">
        <v>1860</v>
      </c>
      <c r="K149" s="24">
        <v>4</v>
      </c>
      <c r="L149" s="24">
        <v>0</v>
      </c>
      <c r="M149" s="24">
        <v>1</v>
      </c>
      <c r="N149" s="24">
        <v>0</v>
      </c>
      <c r="O149" s="24">
        <v>0</v>
      </c>
      <c r="P149" s="24">
        <v>0</v>
      </c>
      <c r="Q149" s="24">
        <v>0</v>
      </c>
      <c r="R149" s="24">
        <v>0</v>
      </c>
      <c r="S149" s="24">
        <v>34</v>
      </c>
      <c r="T149" s="24">
        <v>0</v>
      </c>
      <c r="U149" s="24">
        <v>0</v>
      </c>
      <c r="V149" s="24">
        <v>1</v>
      </c>
      <c r="W149" s="24">
        <v>2</v>
      </c>
      <c r="X149" s="24">
        <v>1</v>
      </c>
      <c r="Y149" s="24">
        <v>1</v>
      </c>
      <c r="Z149" s="24">
        <v>0</v>
      </c>
      <c r="AA149" s="24">
        <v>1</v>
      </c>
      <c r="AB149" s="24">
        <v>0</v>
      </c>
      <c r="AC149" s="24">
        <v>1</v>
      </c>
      <c r="AD149" s="24">
        <v>0</v>
      </c>
      <c r="AE149" s="24">
        <v>0</v>
      </c>
      <c r="AF149" s="24">
        <v>0</v>
      </c>
      <c r="AG149" s="24">
        <v>0</v>
      </c>
      <c r="AH149" s="24">
        <v>0</v>
      </c>
      <c r="AI149" s="24">
        <v>0</v>
      </c>
      <c r="AJ149" s="24">
        <v>1</v>
      </c>
      <c r="AK149" s="24">
        <v>1</v>
      </c>
      <c r="AL149" s="24">
        <v>0</v>
      </c>
      <c r="AM149" s="24">
        <v>0</v>
      </c>
      <c r="AN149" s="24">
        <v>0</v>
      </c>
      <c r="AO149" s="24">
        <v>0</v>
      </c>
      <c r="AP149" s="24">
        <v>1</v>
      </c>
      <c r="AQ149" s="24">
        <v>0</v>
      </c>
      <c r="AR149" s="24">
        <v>0</v>
      </c>
      <c r="AS149" s="24">
        <v>0</v>
      </c>
      <c r="AT149" s="24">
        <v>0</v>
      </c>
      <c r="AU149" s="24">
        <v>0</v>
      </c>
      <c r="AV149" s="24">
        <v>1</v>
      </c>
      <c r="AW149" s="24">
        <v>0</v>
      </c>
      <c r="AX149" s="24">
        <v>0</v>
      </c>
      <c r="AY149" s="24">
        <v>0</v>
      </c>
      <c r="AZ149" s="24">
        <v>0</v>
      </c>
      <c r="BA149" s="24">
        <v>0</v>
      </c>
      <c r="BB149" s="24">
        <v>1</v>
      </c>
    </row>
    <row r="150" spans="2:54" ht="13.8" x14ac:dyDescent="0.3">
      <c r="B150" s="24">
        <v>130</v>
      </c>
      <c r="C150" s="24">
        <v>12</v>
      </c>
      <c r="D150" s="24">
        <v>1</v>
      </c>
      <c r="E150" s="24">
        <v>0</v>
      </c>
      <c r="F150" s="24">
        <v>0</v>
      </c>
      <c r="G150" s="24">
        <v>0</v>
      </c>
      <c r="H150" s="24">
        <v>0</v>
      </c>
      <c r="I150" s="24">
        <v>0</v>
      </c>
      <c r="J150" s="24">
        <v>3499</v>
      </c>
      <c r="K150" s="24">
        <v>3</v>
      </c>
      <c r="L150" s="24">
        <v>0</v>
      </c>
      <c r="M150" s="24">
        <v>0</v>
      </c>
      <c r="N150" s="24">
        <v>0</v>
      </c>
      <c r="O150" s="24">
        <v>1</v>
      </c>
      <c r="P150" s="24">
        <v>0</v>
      </c>
      <c r="Q150" s="24">
        <v>1</v>
      </c>
      <c r="R150" s="24">
        <v>0</v>
      </c>
      <c r="S150" s="24">
        <v>29</v>
      </c>
      <c r="T150" s="24">
        <v>0</v>
      </c>
      <c r="U150" s="24">
        <v>0</v>
      </c>
      <c r="V150" s="24">
        <v>1</v>
      </c>
      <c r="W150" s="24">
        <v>2</v>
      </c>
      <c r="X150" s="24">
        <v>1</v>
      </c>
      <c r="Y150" s="24">
        <v>0</v>
      </c>
      <c r="Z150" s="24">
        <v>0</v>
      </c>
      <c r="AA150" s="24">
        <v>0</v>
      </c>
      <c r="AB150" s="24">
        <v>1</v>
      </c>
      <c r="AC150" s="24">
        <v>0</v>
      </c>
      <c r="AD150" s="24">
        <v>0</v>
      </c>
      <c r="AE150" s="24">
        <v>0</v>
      </c>
      <c r="AF150" s="24">
        <v>0</v>
      </c>
      <c r="AG150" s="24">
        <v>0</v>
      </c>
      <c r="AH150" s="24">
        <v>0</v>
      </c>
      <c r="AI150" s="24">
        <v>0</v>
      </c>
      <c r="AJ150" s="24">
        <v>1</v>
      </c>
      <c r="AK150" s="24">
        <v>1</v>
      </c>
      <c r="AL150" s="24">
        <v>0</v>
      </c>
      <c r="AM150" s="24">
        <v>0</v>
      </c>
      <c r="AN150" s="24">
        <v>0</v>
      </c>
      <c r="AO150" s="24">
        <v>0</v>
      </c>
      <c r="AP150" s="24">
        <v>0</v>
      </c>
      <c r="AQ150" s="24">
        <v>0</v>
      </c>
      <c r="AR150" s="24">
        <v>1</v>
      </c>
      <c r="AS150" s="24">
        <v>0</v>
      </c>
      <c r="AT150" s="24">
        <v>0</v>
      </c>
      <c r="AU150" s="24">
        <v>0</v>
      </c>
      <c r="AV150" s="24">
        <v>1</v>
      </c>
      <c r="AW150" s="24">
        <v>0</v>
      </c>
      <c r="AX150" s="24">
        <v>0</v>
      </c>
      <c r="AY150" s="24">
        <v>0</v>
      </c>
      <c r="AZ150" s="24">
        <v>0</v>
      </c>
      <c r="BA150" s="24">
        <v>1</v>
      </c>
      <c r="BB150" s="24">
        <v>0</v>
      </c>
    </row>
    <row r="151" spans="2:54" ht="13.8" x14ac:dyDescent="0.3">
      <c r="B151" s="24">
        <v>131</v>
      </c>
      <c r="C151" s="24">
        <v>48</v>
      </c>
      <c r="D151" s="24">
        <v>1</v>
      </c>
      <c r="E151" s="24">
        <v>0</v>
      </c>
      <c r="F151" s="24">
        <v>0</v>
      </c>
      <c r="G151" s="24">
        <v>0</v>
      </c>
      <c r="H151" s="24">
        <v>0</v>
      </c>
      <c r="I151" s="24">
        <v>0</v>
      </c>
      <c r="J151" s="24">
        <v>8487</v>
      </c>
      <c r="K151" s="24">
        <v>1</v>
      </c>
      <c r="L151" s="24">
        <v>0</v>
      </c>
      <c r="M151" s="24">
        <v>0</v>
      </c>
      <c r="N151" s="24">
        <v>0</v>
      </c>
      <c r="O151" s="24">
        <v>0</v>
      </c>
      <c r="P151" s="24">
        <v>0</v>
      </c>
      <c r="Q151" s="24">
        <v>0</v>
      </c>
      <c r="R151" s="24">
        <v>0</v>
      </c>
      <c r="S151" s="24">
        <v>24</v>
      </c>
      <c r="T151" s="24">
        <v>0</v>
      </c>
      <c r="U151" s="24">
        <v>0</v>
      </c>
      <c r="V151" s="24">
        <v>1</v>
      </c>
      <c r="W151" s="24">
        <v>1</v>
      </c>
      <c r="X151" s="24">
        <v>1</v>
      </c>
      <c r="Y151" s="24">
        <v>0</v>
      </c>
      <c r="Z151" s="24">
        <v>0</v>
      </c>
      <c r="AA151" s="24">
        <v>1</v>
      </c>
      <c r="AB151" s="24">
        <v>0</v>
      </c>
      <c r="AC151" s="24">
        <v>1</v>
      </c>
      <c r="AD151" s="24">
        <v>0</v>
      </c>
      <c r="AE151" s="24">
        <v>0</v>
      </c>
      <c r="AF151" s="24">
        <v>0</v>
      </c>
      <c r="AG151" s="24">
        <v>0</v>
      </c>
      <c r="AH151" s="24">
        <v>1</v>
      </c>
      <c r="AI151" s="24">
        <v>0</v>
      </c>
      <c r="AJ151" s="24">
        <v>0</v>
      </c>
      <c r="AK151" s="24">
        <v>0</v>
      </c>
      <c r="AL151" s="24">
        <v>0</v>
      </c>
      <c r="AM151" s="24">
        <v>0</v>
      </c>
      <c r="AN151" s="24">
        <v>0</v>
      </c>
      <c r="AO151" s="24">
        <v>1</v>
      </c>
      <c r="AP151" s="24">
        <v>0</v>
      </c>
      <c r="AQ151" s="24">
        <v>0</v>
      </c>
      <c r="AR151" s="24">
        <v>0</v>
      </c>
      <c r="AS151" s="24">
        <v>1</v>
      </c>
      <c r="AT151" s="24">
        <v>0</v>
      </c>
      <c r="AU151" s="24">
        <v>0</v>
      </c>
      <c r="AV151" s="24">
        <v>1</v>
      </c>
      <c r="AW151" s="24">
        <v>0</v>
      </c>
      <c r="AX151" s="24">
        <v>0</v>
      </c>
      <c r="AY151" s="24">
        <v>0</v>
      </c>
      <c r="AZ151" s="24">
        <v>0</v>
      </c>
      <c r="BA151" s="24">
        <v>1</v>
      </c>
      <c r="BB151" s="24">
        <v>0</v>
      </c>
    </row>
    <row r="152" spans="2:54" ht="13.8" x14ac:dyDescent="0.3">
      <c r="B152" s="24">
        <v>132</v>
      </c>
      <c r="C152" s="24">
        <v>36</v>
      </c>
      <c r="D152" s="24">
        <v>0</v>
      </c>
      <c r="E152" s="24">
        <v>0</v>
      </c>
      <c r="F152" s="24">
        <v>0</v>
      </c>
      <c r="G152" s="24">
        <v>0</v>
      </c>
      <c r="H152" s="24">
        <v>1</v>
      </c>
      <c r="I152" s="24">
        <v>0</v>
      </c>
      <c r="J152" s="24">
        <v>6887</v>
      </c>
      <c r="K152" s="24">
        <v>4</v>
      </c>
      <c r="L152" s="24">
        <v>0</v>
      </c>
      <c r="M152" s="24">
        <v>1</v>
      </c>
      <c r="N152" s="24">
        <v>0</v>
      </c>
      <c r="O152" s="24">
        <v>0</v>
      </c>
      <c r="P152" s="24">
        <v>0</v>
      </c>
      <c r="Q152" s="24">
        <v>0</v>
      </c>
      <c r="R152" s="24">
        <v>0</v>
      </c>
      <c r="S152" s="24">
        <v>29</v>
      </c>
      <c r="T152" s="24">
        <v>1</v>
      </c>
      <c r="U152" s="24">
        <v>0</v>
      </c>
      <c r="V152" s="24">
        <v>1</v>
      </c>
      <c r="W152" s="24">
        <v>1</v>
      </c>
      <c r="X152" s="24">
        <v>1</v>
      </c>
      <c r="Y152" s="24">
        <v>1</v>
      </c>
      <c r="Z152" s="24">
        <v>0</v>
      </c>
      <c r="AA152" s="24">
        <v>0</v>
      </c>
      <c r="AB152" s="24">
        <v>1</v>
      </c>
      <c r="AC152" s="24">
        <v>0</v>
      </c>
      <c r="AD152" s="24">
        <v>0</v>
      </c>
      <c r="AE152" s="24">
        <v>0</v>
      </c>
      <c r="AF152" s="24">
        <v>0</v>
      </c>
      <c r="AG152" s="24">
        <v>0</v>
      </c>
      <c r="AH152" s="24">
        <v>0</v>
      </c>
      <c r="AI152" s="24">
        <v>1</v>
      </c>
      <c r="AJ152" s="24">
        <v>0</v>
      </c>
      <c r="AK152" s="24">
        <v>1</v>
      </c>
      <c r="AL152" s="24">
        <v>0</v>
      </c>
      <c r="AM152" s="24">
        <v>0</v>
      </c>
      <c r="AN152" s="24">
        <v>0</v>
      </c>
      <c r="AO152" s="24">
        <v>0</v>
      </c>
      <c r="AP152" s="24">
        <v>0</v>
      </c>
      <c r="AQ152" s="24">
        <v>0</v>
      </c>
      <c r="AR152" s="24">
        <v>1</v>
      </c>
      <c r="AS152" s="24">
        <v>0</v>
      </c>
      <c r="AT152" s="24">
        <v>0</v>
      </c>
      <c r="AU152" s="24">
        <v>0</v>
      </c>
      <c r="AV152" s="24">
        <v>0</v>
      </c>
      <c r="AW152" s="24">
        <v>1</v>
      </c>
      <c r="AX152" s="24">
        <v>0</v>
      </c>
      <c r="AY152" s="24">
        <v>0</v>
      </c>
      <c r="AZ152" s="24">
        <v>0</v>
      </c>
      <c r="BA152" s="24">
        <v>1</v>
      </c>
      <c r="BB152" s="24">
        <v>0</v>
      </c>
    </row>
    <row r="153" spans="2:54" ht="13.8" x14ac:dyDescent="0.3">
      <c r="B153" s="24">
        <v>133</v>
      </c>
      <c r="C153" s="24">
        <v>15</v>
      </c>
      <c r="D153" s="24">
        <v>0</v>
      </c>
      <c r="E153" s="24">
        <v>0</v>
      </c>
      <c r="F153" s="24">
        <v>1</v>
      </c>
      <c r="G153" s="24">
        <v>0</v>
      </c>
      <c r="H153" s="24">
        <v>0</v>
      </c>
      <c r="I153" s="24">
        <v>0</v>
      </c>
      <c r="J153" s="24">
        <v>2708</v>
      </c>
      <c r="K153" s="24">
        <v>2</v>
      </c>
      <c r="L153" s="24">
        <v>0</v>
      </c>
      <c r="M153" s="24">
        <v>1</v>
      </c>
      <c r="N153" s="24">
        <v>0</v>
      </c>
      <c r="O153" s="24">
        <v>0</v>
      </c>
      <c r="P153" s="24">
        <v>0</v>
      </c>
      <c r="Q153" s="24">
        <v>0</v>
      </c>
      <c r="R153" s="24">
        <v>0</v>
      </c>
      <c r="S153" s="24">
        <v>27</v>
      </c>
      <c r="T153" s="24">
        <v>1</v>
      </c>
      <c r="U153" s="24">
        <v>0</v>
      </c>
      <c r="V153" s="24">
        <v>1</v>
      </c>
      <c r="W153" s="24">
        <v>2</v>
      </c>
      <c r="X153" s="24">
        <v>1</v>
      </c>
      <c r="Y153" s="24">
        <v>0</v>
      </c>
      <c r="Z153" s="24">
        <v>0</v>
      </c>
      <c r="AA153" s="24">
        <v>1</v>
      </c>
      <c r="AB153" s="24">
        <v>0</v>
      </c>
      <c r="AC153" s="24">
        <v>0</v>
      </c>
      <c r="AD153" s="24">
        <v>0</v>
      </c>
      <c r="AE153" s="24">
        <v>1</v>
      </c>
      <c r="AF153" s="24">
        <v>0</v>
      </c>
      <c r="AG153" s="24">
        <v>0</v>
      </c>
      <c r="AH153" s="24">
        <v>1</v>
      </c>
      <c r="AI153" s="24">
        <v>0</v>
      </c>
      <c r="AJ153" s="24">
        <v>0</v>
      </c>
      <c r="AK153" s="24">
        <v>1</v>
      </c>
      <c r="AL153" s="24">
        <v>0</v>
      </c>
      <c r="AM153" s="24">
        <v>0</v>
      </c>
      <c r="AN153" s="24">
        <v>0</v>
      </c>
      <c r="AO153" s="24">
        <v>0</v>
      </c>
      <c r="AP153" s="24">
        <v>0</v>
      </c>
      <c r="AQ153" s="24">
        <v>1</v>
      </c>
      <c r="AR153" s="24">
        <v>0</v>
      </c>
      <c r="AS153" s="24">
        <v>0</v>
      </c>
      <c r="AT153" s="24">
        <v>0</v>
      </c>
      <c r="AU153" s="24">
        <v>0</v>
      </c>
      <c r="AV153" s="24">
        <v>0</v>
      </c>
      <c r="AW153" s="24">
        <v>1</v>
      </c>
      <c r="AX153" s="24">
        <v>0</v>
      </c>
      <c r="AY153" s="24">
        <v>0</v>
      </c>
      <c r="AZ153" s="24">
        <v>1</v>
      </c>
      <c r="BA153" s="24">
        <v>0</v>
      </c>
      <c r="BB153" s="24">
        <v>0</v>
      </c>
    </row>
    <row r="154" spans="2:54" ht="13.8" x14ac:dyDescent="0.3">
      <c r="B154" s="24">
        <v>134</v>
      </c>
      <c r="C154" s="24">
        <v>18</v>
      </c>
      <c r="D154" s="24">
        <v>0</v>
      </c>
      <c r="E154" s="24">
        <v>0</v>
      </c>
      <c r="F154" s="24">
        <v>1</v>
      </c>
      <c r="G154" s="24">
        <v>0</v>
      </c>
      <c r="H154" s="24">
        <v>0</v>
      </c>
      <c r="I154" s="24">
        <v>0</v>
      </c>
      <c r="J154" s="24">
        <v>1984</v>
      </c>
      <c r="K154" s="24">
        <v>4</v>
      </c>
      <c r="L154" s="24">
        <v>0</v>
      </c>
      <c r="M154" s="24">
        <v>1</v>
      </c>
      <c r="N154" s="24">
        <v>0</v>
      </c>
      <c r="O154" s="24">
        <v>0</v>
      </c>
      <c r="P154" s="24">
        <v>0</v>
      </c>
      <c r="Q154" s="24">
        <v>0</v>
      </c>
      <c r="R154" s="24">
        <v>1</v>
      </c>
      <c r="S154" s="24">
        <v>47</v>
      </c>
      <c r="T154" s="24">
        <v>1</v>
      </c>
      <c r="U154" s="24">
        <v>0</v>
      </c>
      <c r="V154" s="24">
        <v>0</v>
      </c>
      <c r="W154" s="24">
        <v>2</v>
      </c>
      <c r="X154" s="24">
        <v>1</v>
      </c>
      <c r="Y154" s="24">
        <v>0</v>
      </c>
      <c r="Z154" s="24">
        <v>0</v>
      </c>
      <c r="AA154" s="24">
        <v>1</v>
      </c>
      <c r="AB154" s="24">
        <v>0</v>
      </c>
      <c r="AC154" s="24">
        <v>0</v>
      </c>
      <c r="AD154" s="24">
        <v>0</v>
      </c>
      <c r="AE154" s="24">
        <v>1</v>
      </c>
      <c r="AF154" s="24">
        <v>0</v>
      </c>
      <c r="AG154" s="24">
        <v>0</v>
      </c>
      <c r="AH154" s="24">
        <v>1</v>
      </c>
      <c r="AI154" s="24">
        <v>0</v>
      </c>
      <c r="AJ154" s="24">
        <v>0</v>
      </c>
      <c r="AK154" s="24">
        <v>1</v>
      </c>
      <c r="AL154" s="24">
        <v>0</v>
      </c>
      <c r="AM154" s="24">
        <v>0</v>
      </c>
      <c r="AN154" s="24">
        <v>0</v>
      </c>
      <c r="AO154" s="24">
        <v>0</v>
      </c>
      <c r="AP154" s="24">
        <v>0</v>
      </c>
      <c r="AQ154" s="24">
        <v>0</v>
      </c>
      <c r="AR154" s="24">
        <v>1</v>
      </c>
      <c r="AS154" s="24">
        <v>0</v>
      </c>
      <c r="AT154" s="24">
        <v>0</v>
      </c>
      <c r="AU154" s="24">
        <v>0</v>
      </c>
      <c r="AV154" s="24">
        <v>0</v>
      </c>
      <c r="AW154" s="24">
        <v>0</v>
      </c>
      <c r="AX154" s="24">
        <v>1</v>
      </c>
      <c r="AY154" s="24">
        <v>0</v>
      </c>
      <c r="AZ154" s="24">
        <v>0</v>
      </c>
      <c r="BA154" s="24">
        <v>1</v>
      </c>
      <c r="BB154" s="24">
        <v>0</v>
      </c>
    </row>
    <row r="155" spans="2:54" ht="13.8" x14ac:dyDescent="0.3">
      <c r="B155" s="24">
        <v>135</v>
      </c>
      <c r="C155" s="24">
        <v>60</v>
      </c>
      <c r="D155" s="24">
        <v>0</v>
      </c>
      <c r="E155" s="24">
        <v>0</v>
      </c>
      <c r="F155" s="24">
        <v>0</v>
      </c>
      <c r="G155" s="24">
        <v>1</v>
      </c>
      <c r="H155" s="24">
        <v>0</v>
      </c>
      <c r="I155" s="24">
        <v>0</v>
      </c>
      <c r="J155" s="24">
        <v>10144</v>
      </c>
      <c r="K155" s="24">
        <v>2</v>
      </c>
      <c r="L155" s="24">
        <v>0</v>
      </c>
      <c r="M155" s="24">
        <v>0</v>
      </c>
      <c r="N155" s="24">
        <v>0</v>
      </c>
      <c r="O155" s="24">
        <v>0</v>
      </c>
      <c r="P155" s="24">
        <v>0</v>
      </c>
      <c r="Q155" s="24">
        <v>1</v>
      </c>
      <c r="R155" s="24">
        <v>0</v>
      </c>
      <c r="S155" s="24">
        <v>21</v>
      </c>
      <c r="T155" s="24">
        <v>0</v>
      </c>
      <c r="U155" s="24">
        <v>0</v>
      </c>
      <c r="V155" s="24">
        <v>1</v>
      </c>
      <c r="W155" s="24">
        <v>1</v>
      </c>
      <c r="X155" s="24">
        <v>1</v>
      </c>
      <c r="Y155" s="24">
        <v>1</v>
      </c>
      <c r="Z155" s="24">
        <v>0</v>
      </c>
      <c r="AA155" s="24">
        <v>1</v>
      </c>
      <c r="AB155" s="24">
        <v>0</v>
      </c>
      <c r="AC155" s="24">
        <v>0</v>
      </c>
      <c r="AD155" s="24">
        <v>0</v>
      </c>
      <c r="AE155" s="24">
        <v>1</v>
      </c>
      <c r="AF155" s="24">
        <v>0</v>
      </c>
      <c r="AG155" s="24">
        <v>0</v>
      </c>
      <c r="AH155" s="24">
        <v>1</v>
      </c>
      <c r="AI155" s="24">
        <v>0</v>
      </c>
      <c r="AJ155" s="24">
        <v>0</v>
      </c>
      <c r="AK155" s="24">
        <v>0</v>
      </c>
      <c r="AL155" s="24">
        <v>1</v>
      </c>
      <c r="AM155" s="24">
        <v>0</v>
      </c>
      <c r="AN155" s="24">
        <v>0</v>
      </c>
      <c r="AO155" s="24">
        <v>0</v>
      </c>
      <c r="AP155" s="24">
        <v>0</v>
      </c>
      <c r="AQ155" s="24">
        <v>0</v>
      </c>
      <c r="AR155" s="24">
        <v>0</v>
      </c>
      <c r="AS155" s="24">
        <v>1</v>
      </c>
      <c r="AT155" s="24">
        <v>0</v>
      </c>
      <c r="AU155" s="24">
        <v>0</v>
      </c>
      <c r="AV155" s="24">
        <v>0</v>
      </c>
      <c r="AW155" s="24">
        <v>0</v>
      </c>
      <c r="AX155" s="24">
        <v>1</v>
      </c>
      <c r="AY155" s="24">
        <v>0</v>
      </c>
      <c r="AZ155" s="24">
        <v>0</v>
      </c>
      <c r="BA155" s="24">
        <v>1</v>
      </c>
      <c r="BB155" s="24">
        <v>0</v>
      </c>
    </row>
    <row r="156" spans="2:54" ht="13.8" x14ac:dyDescent="0.3">
      <c r="B156" s="24">
        <v>136</v>
      </c>
      <c r="C156" s="24">
        <v>12</v>
      </c>
      <c r="D156" s="24">
        <v>0</v>
      </c>
      <c r="E156" s="24">
        <v>0</v>
      </c>
      <c r="F156" s="24">
        <v>0</v>
      </c>
      <c r="G156" s="24">
        <v>1</v>
      </c>
      <c r="H156" s="24">
        <v>0</v>
      </c>
      <c r="I156" s="24">
        <v>0</v>
      </c>
      <c r="J156" s="24">
        <v>1240</v>
      </c>
      <c r="K156" s="24">
        <v>4</v>
      </c>
      <c r="L156" s="24">
        <v>0</v>
      </c>
      <c r="M156" s="24">
        <v>0</v>
      </c>
      <c r="N156" s="24">
        <v>0</v>
      </c>
      <c r="O156" s="24">
        <v>0</v>
      </c>
      <c r="P156" s="24">
        <v>0</v>
      </c>
      <c r="Q156" s="24">
        <v>1</v>
      </c>
      <c r="R156" s="24">
        <v>0</v>
      </c>
      <c r="S156" s="24">
        <v>38</v>
      </c>
      <c r="T156" s="24">
        <v>0</v>
      </c>
      <c r="U156" s="24">
        <v>0</v>
      </c>
      <c r="V156" s="24">
        <v>1</v>
      </c>
      <c r="W156" s="24">
        <v>2</v>
      </c>
      <c r="X156" s="24">
        <v>1</v>
      </c>
      <c r="Y156" s="24">
        <v>1</v>
      </c>
      <c r="Z156" s="24">
        <v>0</v>
      </c>
      <c r="AA156" s="24">
        <v>1</v>
      </c>
      <c r="AB156" s="24">
        <v>0</v>
      </c>
      <c r="AC156" s="24">
        <v>0</v>
      </c>
      <c r="AD156" s="24">
        <v>0</v>
      </c>
      <c r="AE156" s="24">
        <v>1</v>
      </c>
      <c r="AF156" s="24">
        <v>0</v>
      </c>
      <c r="AG156" s="24">
        <v>0</v>
      </c>
      <c r="AH156" s="24">
        <v>0</v>
      </c>
      <c r="AI156" s="24">
        <v>0</v>
      </c>
      <c r="AJ156" s="24">
        <v>1</v>
      </c>
      <c r="AK156" s="24">
        <v>0</v>
      </c>
      <c r="AL156" s="24">
        <v>0</v>
      </c>
      <c r="AM156" s="24">
        <v>0</v>
      </c>
      <c r="AN156" s="24">
        <v>0</v>
      </c>
      <c r="AO156" s="24">
        <v>1</v>
      </c>
      <c r="AP156" s="24">
        <v>0</v>
      </c>
      <c r="AQ156" s="24">
        <v>0</v>
      </c>
      <c r="AR156" s="24">
        <v>0</v>
      </c>
      <c r="AS156" s="24">
        <v>0</v>
      </c>
      <c r="AT156" s="24">
        <v>1</v>
      </c>
      <c r="AU156" s="24">
        <v>0</v>
      </c>
      <c r="AV156" s="24">
        <v>1</v>
      </c>
      <c r="AW156" s="24">
        <v>0</v>
      </c>
      <c r="AX156" s="24">
        <v>0</v>
      </c>
      <c r="AY156" s="24">
        <v>0</v>
      </c>
      <c r="AZ156" s="24">
        <v>0</v>
      </c>
      <c r="BA156" s="24">
        <v>1</v>
      </c>
      <c r="BB156" s="24">
        <v>0</v>
      </c>
    </row>
    <row r="157" spans="2:54" ht="13.8" x14ac:dyDescent="0.3">
      <c r="B157" s="24">
        <v>137</v>
      </c>
      <c r="C157" s="24">
        <v>27</v>
      </c>
      <c r="D157" s="24">
        <v>0</v>
      </c>
      <c r="E157" s="24">
        <v>1</v>
      </c>
      <c r="F157" s="24">
        <v>0</v>
      </c>
      <c r="G157" s="24">
        <v>0</v>
      </c>
      <c r="H157" s="24">
        <v>0</v>
      </c>
      <c r="I157" s="24">
        <v>0</v>
      </c>
      <c r="J157" s="24">
        <v>8613</v>
      </c>
      <c r="K157" s="24">
        <v>2</v>
      </c>
      <c r="L157" s="24">
        <v>0</v>
      </c>
      <c r="M157" s="24">
        <v>1</v>
      </c>
      <c r="N157" s="24">
        <v>0</v>
      </c>
      <c r="O157" s="24">
        <v>0</v>
      </c>
      <c r="P157" s="24">
        <v>0</v>
      </c>
      <c r="Q157" s="24">
        <v>0</v>
      </c>
      <c r="R157" s="24">
        <v>0</v>
      </c>
      <c r="S157" s="24">
        <v>27</v>
      </c>
      <c r="T157" s="24">
        <v>0</v>
      </c>
      <c r="U157" s="24">
        <v>0</v>
      </c>
      <c r="V157" s="24">
        <v>1</v>
      </c>
      <c r="W157" s="24">
        <v>2</v>
      </c>
      <c r="X157" s="24">
        <v>1</v>
      </c>
      <c r="Y157" s="24">
        <v>0</v>
      </c>
      <c r="Z157" s="24">
        <v>0</v>
      </c>
      <c r="AA157" s="24">
        <v>1</v>
      </c>
      <c r="AB157" s="24">
        <v>0</v>
      </c>
      <c r="AC157" s="24">
        <v>0</v>
      </c>
      <c r="AD157" s="24">
        <v>0</v>
      </c>
      <c r="AE157" s="24">
        <v>1</v>
      </c>
      <c r="AF157" s="24">
        <v>0</v>
      </c>
      <c r="AG157" s="24">
        <v>0</v>
      </c>
      <c r="AH157" s="24">
        <v>0</v>
      </c>
      <c r="AI157" s="24">
        <v>1</v>
      </c>
      <c r="AJ157" s="24">
        <v>0</v>
      </c>
      <c r="AK157" s="24">
        <v>0</v>
      </c>
      <c r="AL157" s="24">
        <v>0</v>
      </c>
      <c r="AM157" s="24">
        <v>0</v>
      </c>
      <c r="AN157" s="24">
        <v>1</v>
      </c>
      <c r="AO157" s="24">
        <v>0</v>
      </c>
      <c r="AP157" s="24">
        <v>0</v>
      </c>
      <c r="AQ157" s="24">
        <v>0</v>
      </c>
      <c r="AR157" s="24">
        <v>1</v>
      </c>
      <c r="AS157" s="24">
        <v>0</v>
      </c>
      <c r="AT157" s="24">
        <v>0</v>
      </c>
      <c r="AU157" s="24">
        <v>0</v>
      </c>
      <c r="AV157" s="24">
        <v>1</v>
      </c>
      <c r="AW157" s="24">
        <v>0</v>
      </c>
      <c r="AX157" s="24">
        <v>0</v>
      </c>
      <c r="AY157" s="24">
        <v>0</v>
      </c>
      <c r="AZ157" s="24">
        <v>0</v>
      </c>
      <c r="BA157" s="24">
        <v>1</v>
      </c>
      <c r="BB157" s="24">
        <v>0</v>
      </c>
    </row>
    <row r="158" spans="2:54" ht="13.8" x14ac:dyDescent="0.3">
      <c r="B158" s="24">
        <v>138</v>
      </c>
      <c r="C158" s="24">
        <v>12</v>
      </c>
      <c r="D158" s="24">
        <v>0</v>
      </c>
      <c r="E158" s="24">
        <v>0</v>
      </c>
      <c r="F158" s="24">
        <v>0</v>
      </c>
      <c r="G158" s="24">
        <v>1</v>
      </c>
      <c r="H158" s="24">
        <v>0</v>
      </c>
      <c r="I158" s="24">
        <v>0</v>
      </c>
      <c r="J158" s="24">
        <v>766</v>
      </c>
      <c r="K158" s="24">
        <v>4</v>
      </c>
      <c r="L158" s="24">
        <v>0</v>
      </c>
      <c r="M158" s="24">
        <v>1</v>
      </c>
      <c r="N158" s="24">
        <v>0</v>
      </c>
      <c r="O158" s="24">
        <v>0</v>
      </c>
      <c r="P158" s="24">
        <v>0</v>
      </c>
      <c r="Q158" s="24">
        <v>1</v>
      </c>
      <c r="R158" s="24">
        <v>0</v>
      </c>
      <c r="S158" s="24">
        <v>66</v>
      </c>
      <c r="T158" s="24">
        <v>0</v>
      </c>
      <c r="U158" s="24">
        <v>0</v>
      </c>
      <c r="V158" s="24">
        <v>1</v>
      </c>
      <c r="W158" s="24">
        <v>1</v>
      </c>
      <c r="X158" s="24">
        <v>1</v>
      </c>
      <c r="Y158" s="24">
        <v>0</v>
      </c>
      <c r="Z158" s="24">
        <v>0</v>
      </c>
      <c r="AA158" s="24">
        <v>0</v>
      </c>
      <c r="AB158" s="24">
        <v>0</v>
      </c>
      <c r="AC158" s="24">
        <v>1</v>
      </c>
      <c r="AD158" s="24">
        <v>0</v>
      </c>
      <c r="AE158" s="24">
        <v>0</v>
      </c>
      <c r="AF158" s="24">
        <v>0</v>
      </c>
      <c r="AG158" s="24">
        <v>0</v>
      </c>
      <c r="AH158" s="24">
        <v>1</v>
      </c>
      <c r="AI158" s="24">
        <v>0</v>
      </c>
      <c r="AJ158" s="24">
        <v>0</v>
      </c>
      <c r="AK158" s="24">
        <v>0</v>
      </c>
      <c r="AL158" s="24">
        <v>0</v>
      </c>
      <c r="AM158" s="24">
        <v>1</v>
      </c>
      <c r="AN158" s="24">
        <v>0</v>
      </c>
      <c r="AO158" s="24">
        <v>0</v>
      </c>
      <c r="AP158" s="24">
        <v>0</v>
      </c>
      <c r="AQ158" s="24">
        <v>0</v>
      </c>
      <c r="AR158" s="24">
        <v>1</v>
      </c>
      <c r="AS158" s="24">
        <v>0</v>
      </c>
      <c r="AT158" s="24">
        <v>0</v>
      </c>
      <c r="AU158" s="24">
        <v>0</v>
      </c>
      <c r="AV158" s="24">
        <v>0</v>
      </c>
      <c r="AW158" s="24">
        <v>1</v>
      </c>
      <c r="AX158" s="24">
        <v>0</v>
      </c>
      <c r="AY158" s="24">
        <v>0</v>
      </c>
      <c r="AZ158" s="24">
        <v>1</v>
      </c>
      <c r="BA158" s="24">
        <v>0</v>
      </c>
      <c r="BB158" s="24">
        <v>0</v>
      </c>
    </row>
    <row r="159" spans="2:54" ht="13.8" x14ac:dyDescent="0.3">
      <c r="B159" s="24">
        <v>139</v>
      </c>
      <c r="C159" s="24">
        <v>15</v>
      </c>
      <c r="D159" s="24">
        <v>0</v>
      </c>
      <c r="E159" s="24">
        <v>0</v>
      </c>
      <c r="F159" s="24">
        <v>0</v>
      </c>
      <c r="G159" s="24">
        <v>1</v>
      </c>
      <c r="H159" s="24">
        <v>0</v>
      </c>
      <c r="I159" s="24">
        <v>0</v>
      </c>
      <c r="J159" s="24">
        <v>2728</v>
      </c>
      <c r="K159" s="24">
        <v>4</v>
      </c>
      <c r="L159" s="24">
        <v>0</v>
      </c>
      <c r="M159" s="24">
        <v>1</v>
      </c>
      <c r="N159" s="24">
        <v>0</v>
      </c>
      <c r="O159" s="24">
        <v>0</v>
      </c>
      <c r="P159" s="24">
        <v>1</v>
      </c>
      <c r="Q159" s="24">
        <v>1</v>
      </c>
      <c r="R159" s="24">
        <v>0</v>
      </c>
      <c r="S159" s="24">
        <v>35</v>
      </c>
      <c r="T159" s="24">
        <v>1</v>
      </c>
      <c r="U159" s="24">
        <v>0</v>
      </c>
      <c r="V159" s="24">
        <v>1</v>
      </c>
      <c r="W159" s="24">
        <v>3</v>
      </c>
      <c r="X159" s="24">
        <v>1</v>
      </c>
      <c r="Y159" s="24">
        <v>1</v>
      </c>
      <c r="Z159" s="24">
        <v>0</v>
      </c>
      <c r="AA159" s="24">
        <v>1</v>
      </c>
      <c r="AB159" s="24">
        <v>0</v>
      </c>
      <c r="AC159" s="24">
        <v>1</v>
      </c>
      <c r="AD159" s="24">
        <v>0</v>
      </c>
      <c r="AE159" s="24">
        <v>0</v>
      </c>
      <c r="AF159" s="24">
        <v>0</v>
      </c>
      <c r="AG159" s="24">
        <v>0</v>
      </c>
      <c r="AH159" s="24">
        <v>0</v>
      </c>
      <c r="AI159" s="24">
        <v>0</v>
      </c>
      <c r="AJ159" s="24">
        <v>1</v>
      </c>
      <c r="AK159" s="24">
        <v>0</v>
      </c>
      <c r="AL159" s="24">
        <v>0</v>
      </c>
      <c r="AM159" s="24">
        <v>0</v>
      </c>
      <c r="AN159" s="24">
        <v>0</v>
      </c>
      <c r="AO159" s="24">
        <v>1</v>
      </c>
      <c r="AP159" s="24">
        <v>0</v>
      </c>
      <c r="AQ159" s="24">
        <v>0</v>
      </c>
      <c r="AR159" s="24">
        <v>0</v>
      </c>
      <c r="AS159" s="24">
        <v>1</v>
      </c>
      <c r="AT159" s="24">
        <v>0</v>
      </c>
      <c r="AU159" s="24">
        <v>0</v>
      </c>
      <c r="AV159" s="24">
        <v>1</v>
      </c>
      <c r="AW159" s="24">
        <v>0</v>
      </c>
      <c r="AX159" s="24">
        <v>0</v>
      </c>
      <c r="AY159" s="24">
        <v>0</v>
      </c>
      <c r="AZ159" s="24">
        <v>0</v>
      </c>
      <c r="BA159" s="24">
        <v>1</v>
      </c>
      <c r="BB159" s="24">
        <v>0</v>
      </c>
    </row>
    <row r="160" spans="2:54" ht="13.8" x14ac:dyDescent="0.3">
      <c r="B160" s="24">
        <v>140</v>
      </c>
      <c r="C160" s="24">
        <v>12</v>
      </c>
      <c r="D160" s="24">
        <v>0</v>
      </c>
      <c r="E160" s="24">
        <v>0</v>
      </c>
      <c r="F160" s="24">
        <v>0</v>
      </c>
      <c r="G160" s="24">
        <v>1</v>
      </c>
      <c r="H160" s="24">
        <v>0</v>
      </c>
      <c r="I160" s="24">
        <v>0</v>
      </c>
      <c r="J160" s="24">
        <v>1881</v>
      </c>
      <c r="K160" s="24">
        <v>2</v>
      </c>
      <c r="L160" s="24">
        <v>0</v>
      </c>
      <c r="M160" s="24">
        <v>0</v>
      </c>
      <c r="N160" s="24">
        <v>0</v>
      </c>
      <c r="O160" s="24">
        <v>0</v>
      </c>
      <c r="P160" s="24">
        <v>0</v>
      </c>
      <c r="Q160" s="24">
        <v>0</v>
      </c>
      <c r="R160" s="24">
        <v>0</v>
      </c>
      <c r="S160" s="24">
        <v>44</v>
      </c>
      <c r="T160" s="24">
        <v>0</v>
      </c>
      <c r="U160" s="24">
        <v>1</v>
      </c>
      <c r="V160" s="24">
        <v>0</v>
      </c>
      <c r="W160" s="24">
        <v>1</v>
      </c>
      <c r="X160" s="24">
        <v>1</v>
      </c>
      <c r="Y160" s="24">
        <v>1</v>
      </c>
      <c r="Z160" s="24">
        <v>0</v>
      </c>
      <c r="AA160" s="24">
        <v>1</v>
      </c>
      <c r="AB160" s="24">
        <v>0</v>
      </c>
      <c r="AC160" s="24">
        <v>0</v>
      </c>
      <c r="AD160" s="24">
        <v>1</v>
      </c>
      <c r="AE160" s="24">
        <v>0</v>
      </c>
      <c r="AF160" s="24">
        <v>0</v>
      </c>
      <c r="AG160" s="24">
        <v>0</v>
      </c>
      <c r="AH160" s="24">
        <v>1</v>
      </c>
      <c r="AI160" s="24">
        <v>0</v>
      </c>
      <c r="AJ160" s="24">
        <v>0</v>
      </c>
      <c r="AK160" s="24">
        <v>1</v>
      </c>
      <c r="AL160" s="24">
        <v>0</v>
      </c>
      <c r="AM160" s="24">
        <v>0</v>
      </c>
      <c r="AN160" s="24">
        <v>0</v>
      </c>
      <c r="AO160" s="24">
        <v>0</v>
      </c>
      <c r="AP160" s="24">
        <v>0</v>
      </c>
      <c r="AQ160" s="24">
        <v>0</v>
      </c>
      <c r="AR160" s="24">
        <v>1</v>
      </c>
      <c r="AS160" s="24">
        <v>0</v>
      </c>
      <c r="AT160" s="24">
        <v>0</v>
      </c>
      <c r="AU160" s="24">
        <v>0</v>
      </c>
      <c r="AV160" s="24">
        <v>1</v>
      </c>
      <c r="AW160" s="24">
        <v>0</v>
      </c>
      <c r="AX160" s="24">
        <v>0</v>
      </c>
      <c r="AY160" s="24">
        <v>0</v>
      </c>
      <c r="AZ160" s="24">
        <v>1</v>
      </c>
      <c r="BA160" s="24">
        <v>0</v>
      </c>
      <c r="BB160" s="24">
        <v>0</v>
      </c>
    </row>
    <row r="161" spans="2:54" ht="13.8" x14ac:dyDescent="0.3">
      <c r="B161" s="24">
        <v>141</v>
      </c>
      <c r="C161" s="24">
        <v>6</v>
      </c>
      <c r="D161" s="24">
        <v>1</v>
      </c>
      <c r="E161" s="24">
        <v>0</v>
      </c>
      <c r="F161" s="24">
        <v>0</v>
      </c>
      <c r="G161" s="24">
        <v>0</v>
      </c>
      <c r="H161" s="24">
        <v>0</v>
      </c>
      <c r="I161" s="24">
        <v>0</v>
      </c>
      <c r="J161" s="24">
        <v>709</v>
      </c>
      <c r="K161" s="24">
        <v>2</v>
      </c>
      <c r="L161" s="24">
        <v>0</v>
      </c>
      <c r="M161" s="24">
        <v>0</v>
      </c>
      <c r="N161" s="24">
        <v>1</v>
      </c>
      <c r="O161" s="24">
        <v>0</v>
      </c>
      <c r="P161" s="24">
        <v>0</v>
      </c>
      <c r="Q161" s="24">
        <v>1</v>
      </c>
      <c r="R161" s="24">
        <v>0</v>
      </c>
      <c r="S161" s="24">
        <v>27</v>
      </c>
      <c r="T161" s="24">
        <v>0</v>
      </c>
      <c r="U161" s="24">
        <v>0</v>
      </c>
      <c r="V161" s="24">
        <v>1</v>
      </c>
      <c r="W161" s="24">
        <v>1</v>
      </c>
      <c r="X161" s="24">
        <v>1</v>
      </c>
      <c r="Y161" s="24">
        <v>0</v>
      </c>
      <c r="Z161" s="24">
        <v>1</v>
      </c>
      <c r="AA161" s="24">
        <v>1</v>
      </c>
      <c r="AB161" s="24">
        <v>0</v>
      </c>
      <c r="AC161" s="24">
        <v>0</v>
      </c>
      <c r="AD161" s="24">
        <v>1</v>
      </c>
      <c r="AE161" s="24">
        <v>0</v>
      </c>
      <c r="AF161" s="24">
        <v>0</v>
      </c>
      <c r="AG161" s="24">
        <v>0</v>
      </c>
      <c r="AH161" s="24">
        <v>1</v>
      </c>
      <c r="AI161" s="24">
        <v>0</v>
      </c>
      <c r="AJ161" s="24">
        <v>0</v>
      </c>
      <c r="AK161" s="24">
        <v>0</v>
      </c>
      <c r="AL161" s="24">
        <v>0</v>
      </c>
      <c r="AM161" s="24">
        <v>0</v>
      </c>
      <c r="AN161" s="24">
        <v>1</v>
      </c>
      <c r="AO161" s="24">
        <v>0</v>
      </c>
      <c r="AP161" s="24">
        <v>0</v>
      </c>
      <c r="AQ161" s="24">
        <v>1</v>
      </c>
      <c r="AR161" s="24">
        <v>0</v>
      </c>
      <c r="AS161" s="24">
        <v>0</v>
      </c>
      <c r="AT161" s="24">
        <v>0</v>
      </c>
      <c r="AU161" s="24">
        <v>0</v>
      </c>
      <c r="AV161" s="24">
        <v>1</v>
      </c>
      <c r="AW161" s="24">
        <v>0</v>
      </c>
      <c r="AX161" s="24">
        <v>0</v>
      </c>
      <c r="AY161" s="24">
        <v>1</v>
      </c>
      <c r="AZ161" s="24">
        <v>0</v>
      </c>
      <c r="BA161" s="24">
        <v>0</v>
      </c>
      <c r="BB161" s="24">
        <v>0</v>
      </c>
    </row>
    <row r="162" spans="2:54" ht="13.8" x14ac:dyDescent="0.3">
      <c r="B162" s="24">
        <v>142</v>
      </c>
      <c r="C162" s="24">
        <v>36</v>
      </c>
      <c r="D162" s="24">
        <v>0</v>
      </c>
      <c r="E162" s="24">
        <v>0</v>
      </c>
      <c r="F162" s="24">
        <v>0</v>
      </c>
      <c r="G162" s="24">
        <v>1</v>
      </c>
      <c r="H162" s="24">
        <v>0</v>
      </c>
      <c r="I162" s="24">
        <v>0</v>
      </c>
      <c r="J162" s="24">
        <v>4795</v>
      </c>
      <c r="K162" s="24">
        <v>4</v>
      </c>
      <c r="L162" s="24">
        <v>0</v>
      </c>
      <c r="M162" s="24">
        <v>0</v>
      </c>
      <c r="N162" s="24">
        <v>0</v>
      </c>
      <c r="O162" s="24">
        <v>0</v>
      </c>
      <c r="P162" s="24">
        <v>0</v>
      </c>
      <c r="Q162" s="24">
        <v>0</v>
      </c>
      <c r="R162" s="24">
        <v>1</v>
      </c>
      <c r="S162" s="24">
        <v>30</v>
      </c>
      <c r="T162" s="24">
        <v>0</v>
      </c>
      <c r="U162" s="24">
        <v>0</v>
      </c>
      <c r="V162" s="24">
        <v>1</v>
      </c>
      <c r="W162" s="24">
        <v>1</v>
      </c>
      <c r="X162" s="24">
        <v>1</v>
      </c>
      <c r="Y162" s="24">
        <v>1</v>
      </c>
      <c r="Z162" s="24">
        <v>0</v>
      </c>
      <c r="AA162" s="24">
        <v>1</v>
      </c>
      <c r="AB162" s="24">
        <v>0</v>
      </c>
      <c r="AC162" s="24">
        <v>1</v>
      </c>
      <c r="AD162" s="24">
        <v>0</v>
      </c>
      <c r="AE162" s="24">
        <v>0</v>
      </c>
      <c r="AF162" s="24">
        <v>0</v>
      </c>
      <c r="AG162" s="24">
        <v>0</v>
      </c>
      <c r="AH162" s="24">
        <v>1</v>
      </c>
      <c r="AI162" s="24">
        <v>0</v>
      </c>
      <c r="AJ162" s="24">
        <v>0</v>
      </c>
      <c r="AK162" s="24">
        <v>1</v>
      </c>
      <c r="AL162" s="24">
        <v>0</v>
      </c>
      <c r="AM162" s="24">
        <v>0</v>
      </c>
      <c r="AN162" s="24">
        <v>0</v>
      </c>
      <c r="AO162" s="24">
        <v>0</v>
      </c>
      <c r="AP162" s="24">
        <v>0</v>
      </c>
      <c r="AQ162" s="24">
        <v>1</v>
      </c>
      <c r="AR162" s="24">
        <v>0</v>
      </c>
      <c r="AS162" s="24">
        <v>0</v>
      </c>
      <c r="AT162" s="24">
        <v>0</v>
      </c>
      <c r="AU162" s="24">
        <v>1</v>
      </c>
      <c r="AV162" s="24">
        <v>0</v>
      </c>
      <c r="AW162" s="24">
        <v>0</v>
      </c>
      <c r="AX162" s="24">
        <v>0</v>
      </c>
      <c r="AY162" s="24">
        <v>0</v>
      </c>
      <c r="AZ162" s="24">
        <v>0</v>
      </c>
      <c r="BA162" s="24">
        <v>0</v>
      </c>
      <c r="BB162" s="24">
        <v>1</v>
      </c>
    </row>
    <row r="163" spans="2:54" ht="13.8" x14ac:dyDescent="0.3">
      <c r="B163" s="24">
        <v>143</v>
      </c>
      <c r="C163" s="24">
        <v>27</v>
      </c>
      <c r="D163" s="24">
        <v>0</v>
      </c>
      <c r="E163" s="24">
        <v>0</v>
      </c>
      <c r="F163" s="24">
        <v>0</v>
      </c>
      <c r="G163" s="24">
        <v>1</v>
      </c>
      <c r="H163" s="24">
        <v>0</v>
      </c>
      <c r="I163" s="24">
        <v>0</v>
      </c>
      <c r="J163" s="24">
        <v>3416</v>
      </c>
      <c r="K163" s="24">
        <v>3</v>
      </c>
      <c r="L163" s="24">
        <v>0</v>
      </c>
      <c r="M163" s="24">
        <v>1</v>
      </c>
      <c r="N163" s="24">
        <v>0</v>
      </c>
      <c r="O163" s="24">
        <v>0</v>
      </c>
      <c r="P163" s="24">
        <v>0</v>
      </c>
      <c r="Q163" s="24">
        <v>0</v>
      </c>
      <c r="R163" s="24">
        <v>0</v>
      </c>
      <c r="S163" s="24">
        <v>27</v>
      </c>
      <c r="T163" s="24">
        <v>0</v>
      </c>
      <c r="U163" s="24">
        <v>0</v>
      </c>
      <c r="V163" s="24">
        <v>1</v>
      </c>
      <c r="W163" s="24">
        <v>1</v>
      </c>
      <c r="X163" s="24">
        <v>1</v>
      </c>
      <c r="Y163" s="24">
        <v>0</v>
      </c>
      <c r="Z163" s="24">
        <v>0</v>
      </c>
      <c r="AA163" s="24">
        <v>1</v>
      </c>
      <c r="AB163" s="24">
        <v>1</v>
      </c>
      <c r="AC163" s="24">
        <v>0</v>
      </c>
      <c r="AD163" s="24">
        <v>0</v>
      </c>
      <c r="AE163" s="24">
        <v>0</v>
      </c>
      <c r="AF163" s="24">
        <v>0</v>
      </c>
      <c r="AG163" s="24">
        <v>0</v>
      </c>
      <c r="AH163" s="24">
        <v>1</v>
      </c>
      <c r="AI163" s="24">
        <v>0</v>
      </c>
      <c r="AJ163" s="24">
        <v>0</v>
      </c>
      <c r="AK163" s="24">
        <v>1</v>
      </c>
      <c r="AL163" s="24">
        <v>0</v>
      </c>
      <c r="AM163" s="24">
        <v>0</v>
      </c>
      <c r="AN163" s="24">
        <v>0</v>
      </c>
      <c r="AO163" s="24">
        <v>0</v>
      </c>
      <c r="AP163" s="24">
        <v>0</v>
      </c>
      <c r="AQ163" s="24">
        <v>0</v>
      </c>
      <c r="AR163" s="24">
        <v>1</v>
      </c>
      <c r="AS163" s="24">
        <v>0</v>
      </c>
      <c r="AT163" s="24">
        <v>0</v>
      </c>
      <c r="AU163" s="24">
        <v>0</v>
      </c>
      <c r="AV163" s="24">
        <v>1</v>
      </c>
      <c r="AW163" s="24">
        <v>0</v>
      </c>
      <c r="AX163" s="24">
        <v>0</v>
      </c>
      <c r="AY163" s="24">
        <v>0</v>
      </c>
      <c r="AZ163" s="24">
        <v>0</v>
      </c>
      <c r="BA163" s="24">
        <v>0</v>
      </c>
      <c r="BB163" s="24">
        <v>1</v>
      </c>
    </row>
    <row r="164" spans="2:54" ht="13.8" x14ac:dyDescent="0.3">
      <c r="B164" s="24">
        <v>144</v>
      </c>
      <c r="C164" s="24">
        <v>18</v>
      </c>
      <c r="D164" s="24">
        <v>0</v>
      </c>
      <c r="E164" s="24">
        <v>0</v>
      </c>
      <c r="F164" s="24">
        <v>1</v>
      </c>
      <c r="G164" s="24">
        <v>0</v>
      </c>
      <c r="H164" s="24">
        <v>0</v>
      </c>
      <c r="I164" s="24">
        <v>0</v>
      </c>
      <c r="J164" s="24">
        <v>2462</v>
      </c>
      <c r="K164" s="24">
        <v>2</v>
      </c>
      <c r="L164" s="24">
        <v>0</v>
      </c>
      <c r="M164" s="24">
        <v>1</v>
      </c>
      <c r="N164" s="24">
        <v>0</v>
      </c>
      <c r="O164" s="24">
        <v>0</v>
      </c>
      <c r="P164" s="24">
        <v>0</v>
      </c>
      <c r="Q164" s="24">
        <v>0</v>
      </c>
      <c r="R164" s="24">
        <v>0</v>
      </c>
      <c r="S164" s="24">
        <v>22</v>
      </c>
      <c r="T164" s="24">
        <v>0</v>
      </c>
      <c r="U164" s="24">
        <v>0</v>
      </c>
      <c r="V164" s="24">
        <v>1</v>
      </c>
      <c r="W164" s="24">
        <v>1</v>
      </c>
      <c r="X164" s="24">
        <v>1</v>
      </c>
      <c r="Y164" s="24">
        <v>0</v>
      </c>
      <c r="Z164" s="24">
        <v>0</v>
      </c>
      <c r="AA164" s="24">
        <v>0</v>
      </c>
      <c r="AB164" s="24">
        <v>1</v>
      </c>
      <c r="AC164" s="24">
        <v>0</v>
      </c>
      <c r="AD164" s="24">
        <v>0</v>
      </c>
      <c r="AE164" s="24">
        <v>0</v>
      </c>
      <c r="AF164" s="24">
        <v>0</v>
      </c>
      <c r="AG164" s="24">
        <v>0</v>
      </c>
      <c r="AH164" s="24">
        <v>1</v>
      </c>
      <c r="AI164" s="24">
        <v>0</v>
      </c>
      <c r="AJ164" s="24">
        <v>0</v>
      </c>
      <c r="AK164" s="24">
        <v>1</v>
      </c>
      <c r="AL164" s="24">
        <v>0</v>
      </c>
      <c r="AM164" s="24">
        <v>0</v>
      </c>
      <c r="AN164" s="24">
        <v>0</v>
      </c>
      <c r="AO164" s="24">
        <v>0</v>
      </c>
      <c r="AP164" s="24">
        <v>0</v>
      </c>
      <c r="AQ164" s="24">
        <v>0</v>
      </c>
      <c r="AR164" s="24">
        <v>1</v>
      </c>
      <c r="AS164" s="24">
        <v>0</v>
      </c>
      <c r="AT164" s="24">
        <v>0</v>
      </c>
      <c r="AU164" s="24">
        <v>0</v>
      </c>
      <c r="AV164" s="24">
        <v>1</v>
      </c>
      <c r="AW164" s="24">
        <v>0</v>
      </c>
      <c r="AX164" s="24">
        <v>0</v>
      </c>
      <c r="AY164" s="24">
        <v>0</v>
      </c>
      <c r="AZ164" s="24">
        <v>0</v>
      </c>
      <c r="BA164" s="24">
        <v>1</v>
      </c>
      <c r="BB164" s="24">
        <v>0</v>
      </c>
    </row>
    <row r="165" spans="2:54" ht="13.8" x14ac:dyDescent="0.3">
      <c r="B165" s="24">
        <v>145</v>
      </c>
      <c r="C165" s="24">
        <v>21</v>
      </c>
      <c r="D165" s="24">
        <v>0</v>
      </c>
      <c r="E165" s="24">
        <v>0</v>
      </c>
      <c r="F165" s="24">
        <v>1</v>
      </c>
      <c r="G165" s="24">
        <v>0</v>
      </c>
      <c r="H165" s="24">
        <v>0</v>
      </c>
      <c r="I165" s="24">
        <v>0</v>
      </c>
      <c r="J165" s="24">
        <v>2288</v>
      </c>
      <c r="K165" s="24">
        <v>4</v>
      </c>
      <c r="L165" s="24">
        <v>0</v>
      </c>
      <c r="M165" s="24">
        <v>0</v>
      </c>
      <c r="N165" s="24">
        <v>0</v>
      </c>
      <c r="O165" s="24">
        <v>0</v>
      </c>
      <c r="P165" s="24">
        <v>0</v>
      </c>
      <c r="Q165" s="24">
        <v>0</v>
      </c>
      <c r="R165" s="24">
        <v>0</v>
      </c>
      <c r="S165" s="24">
        <v>23</v>
      </c>
      <c r="T165" s="24">
        <v>0</v>
      </c>
      <c r="U165" s="24">
        <v>0</v>
      </c>
      <c r="V165" s="24">
        <v>1</v>
      </c>
      <c r="W165" s="24">
        <v>1</v>
      </c>
      <c r="X165" s="24">
        <v>1</v>
      </c>
      <c r="Y165" s="24">
        <v>1</v>
      </c>
      <c r="Z165" s="24">
        <v>0</v>
      </c>
      <c r="AA165" s="24">
        <v>1</v>
      </c>
      <c r="AB165" s="24">
        <v>0</v>
      </c>
      <c r="AC165" s="24">
        <v>0</v>
      </c>
      <c r="AD165" s="24">
        <v>0</v>
      </c>
      <c r="AE165" s="24">
        <v>1</v>
      </c>
      <c r="AF165" s="24">
        <v>0</v>
      </c>
      <c r="AG165" s="24">
        <v>0</v>
      </c>
      <c r="AH165" s="24">
        <v>0</v>
      </c>
      <c r="AI165" s="24">
        <v>0</v>
      </c>
      <c r="AJ165" s="24">
        <v>1</v>
      </c>
      <c r="AK165" s="24">
        <v>1</v>
      </c>
      <c r="AL165" s="24">
        <v>0</v>
      </c>
      <c r="AM165" s="24">
        <v>0</v>
      </c>
      <c r="AN165" s="24">
        <v>0</v>
      </c>
      <c r="AO165" s="24">
        <v>0</v>
      </c>
      <c r="AP165" s="24">
        <v>0</v>
      </c>
      <c r="AQ165" s="24">
        <v>1</v>
      </c>
      <c r="AR165" s="24">
        <v>0</v>
      </c>
      <c r="AS165" s="24">
        <v>0</v>
      </c>
      <c r="AT165" s="24">
        <v>0</v>
      </c>
      <c r="AU165" s="24">
        <v>0</v>
      </c>
      <c r="AV165" s="24">
        <v>0</v>
      </c>
      <c r="AW165" s="24">
        <v>0</v>
      </c>
      <c r="AX165" s="24">
        <v>1</v>
      </c>
      <c r="AY165" s="24">
        <v>0</v>
      </c>
      <c r="AZ165" s="24">
        <v>0</v>
      </c>
      <c r="BA165" s="24">
        <v>1</v>
      </c>
      <c r="BB165" s="24">
        <v>0</v>
      </c>
    </row>
    <row r="166" spans="2:54" ht="13.8" x14ac:dyDescent="0.3">
      <c r="B166" s="24">
        <v>146</v>
      </c>
      <c r="C166" s="24">
        <v>48</v>
      </c>
      <c r="D166" s="24">
        <v>0</v>
      </c>
      <c r="E166" s="24">
        <v>0</v>
      </c>
      <c r="F166" s="24">
        <v>0</v>
      </c>
      <c r="G166" s="24">
        <v>0</v>
      </c>
      <c r="H166" s="24">
        <v>0</v>
      </c>
      <c r="I166" s="24">
        <v>1</v>
      </c>
      <c r="J166" s="24">
        <v>3566</v>
      </c>
      <c r="K166" s="24">
        <v>4</v>
      </c>
      <c r="L166" s="24">
        <v>0</v>
      </c>
      <c r="M166" s="24">
        <v>1</v>
      </c>
      <c r="N166" s="24">
        <v>0</v>
      </c>
      <c r="O166" s="24">
        <v>0</v>
      </c>
      <c r="P166" s="24">
        <v>0</v>
      </c>
      <c r="Q166" s="24">
        <v>0</v>
      </c>
      <c r="R166" s="24">
        <v>0</v>
      </c>
      <c r="S166" s="24">
        <v>30</v>
      </c>
      <c r="T166" s="24">
        <v>0</v>
      </c>
      <c r="U166" s="24">
        <v>0</v>
      </c>
      <c r="V166" s="24">
        <v>1</v>
      </c>
      <c r="W166" s="24">
        <v>1</v>
      </c>
      <c r="X166" s="24">
        <v>1</v>
      </c>
      <c r="Y166" s="24">
        <v>0</v>
      </c>
      <c r="Z166" s="24">
        <v>0</v>
      </c>
      <c r="AA166" s="24">
        <v>1</v>
      </c>
      <c r="AB166" s="24">
        <v>0</v>
      </c>
      <c r="AC166" s="24">
        <v>1</v>
      </c>
      <c r="AD166" s="24">
        <v>0</v>
      </c>
      <c r="AE166" s="24">
        <v>0</v>
      </c>
      <c r="AF166" s="24">
        <v>0</v>
      </c>
      <c r="AG166" s="24">
        <v>1</v>
      </c>
      <c r="AH166" s="24">
        <v>0</v>
      </c>
      <c r="AI166" s="24">
        <v>0</v>
      </c>
      <c r="AJ166" s="24">
        <v>0</v>
      </c>
      <c r="AK166" s="24">
        <v>0</v>
      </c>
      <c r="AL166" s="24">
        <v>1</v>
      </c>
      <c r="AM166" s="24">
        <v>0</v>
      </c>
      <c r="AN166" s="24">
        <v>0</v>
      </c>
      <c r="AO166" s="24">
        <v>0</v>
      </c>
      <c r="AP166" s="24">
        <v>0</v>
      </c>
      <c r="AQ166" s="24">
        <v>0</v>
      </c>
      <c r="AR166" s="24">
        <v>0</v>
      </c>
      <c r="AS166" s="24">
        <v>1</v>
      </c>
      <c r="AT166" s="24">
        <v>0</v>
      </c>
      <c r="AU166" s="24">
        <v>0</v>
      </c>
      <c r="AV166" s="24">
        <v>1</v>
      </c>
      <c r="AW166" s="24">
        <v>0</v>
      </c>
      <c r="AX166" s="24">
        <v>0</v>
      </c>
      <c r="AY166" s="24">
        <v>0</v>
      </c>
      <c r="AZ166" s="24">
        <v>0</v>
      </c>
      <c r="BA166" s="24">
        <v>1</v>
      </c>
      <c r="BB166" s="24">
        <v>0</v>
      </c>
    </row>
    <row r="167" spans="2:54" ht="13.8" x14ac:dyDescent="0.3">
      <c r="B167" s="24">
        <v>147</v>
      </c>
      <c r="C167" s="24">
        <v>6</v>
      </c>
      <c r="D167" s="24">
        <v>1</v>
      </c>
      <c r="E167" s="24">
        <v>0</v>
      </c>
      <c r="F167" s="24">
        <v>0</v>
      </c>
      <c r="G167" s="24">
        <v>0</v>
      </c>
      <c r="H167" s="24">
        <v>0</v>
      </c>
      <c r="I167" s="24">
        <v>0</v>
      </c>
      <c r="J167" s="24">
        <v>860</v>
      </c>
      <c r="K167" s="24">
        <v>1</v>
      </c>
      <c r="L167" s="24">
        <v>0</v>
      </c>
      <c r="M167" s="24">
        <v>0</v>
      </c>
      <c r="N167" s="24">
        <v>0</v>
      </c>
      <c r="O167" s="24">
        <v>0</v>
      </c>
      <c r="P167" s="24">
        <v>0</v>
      </c>
      <c r="Q167" s="24">
        <v>0</v>
      </c>
      <c r="R167" s="24">
        <v>1</v>
      </c>
      <c r="S167" s="24">
        <v>39</v>
      </c>
      <c r="T167" s="24">
        <v>0</v>
      </c>
      <c r="U167" s="24">
        <v>0</v>
      </c>
      <c r="V167" s="24">
        <v>1</v>
      </c>
      <c r="W167" s="24">
        <v>2</v>
      </c>
      <c r="X167" s="24">
        <v>1</v>
      </c>
      <c r="Y167" s="24">
        <v>1</v>
      </c>
      <c r="Z167" s="24">
        <v>0</v>
      </c>
      <c r="AA167" s="24">
        <v>1</v>
      </c>
      <c r="AB167" s="24">
        <v>1</v>
      </c>
      <c r="AC167" s="24">
        <v>0</v>
      </c>
      <c r="AD167" s="24">
        <v>0</v>
      </c>
      <c r="AE167" s="24">
        <v>0</v>
      </c>
      <c r="AF167" s="24">
        <v>0</v>
      </c>
      <c r="AG167" s="24">
        <v>0</v>
      </c>
      <c r="AH167" s="24">
        <v>0</v>
      </c>
      <c r="AI167" s="24">
        <v>0</v>
      </c>
      <c r="AJ167" s="24">
        <v>1</v>
      </c>
      <c r="AK167" s="24">
        <v>1</v>
      </c>
      <c r="AL167" s="24">
        <v>0</v>
      </c>
      <c r="AM167" s="24">
        <v>0</v>
      </c>
      <c r="AN167" s="24">
        <v>0</v>
      </c>
      <c r="AO167" s="24">
        <v>0</v>
      </c>
      <c r="AP167" s="24">
        <v>0</v>
      </c>
      <c r="AQ167" s="24">
        <v>0</v>
      </c>
      <c r="AR167" s="24">
        <v>0</v>
      </c>
      <c r="AS167" s="24">
        <v>0</v>
      </c>
      <c r="AT167" s="24">
        <v>1</v>
      </c>
      <c r="AU167" s="24">
        <v>0</v>
      </c>
      <c r="AV167" s="24">
        <v>0</v>
      </c>
      <c r="AW167" s="24">
        <v>0</v>
      </c>
      <c r="AX167" s="24">
        <v>1</v>
      </c>
      <c r="AY167" s="24">
        <v>0</v>
      </c>
      <c r="AZ167" s="24">
        <v>0</v>
      </c>
      <c r="BA167" s="24">
        <v>1</v>
      </c>
      <c r="BB167" s="24">
        <v>0</v>
      </c>
    </row>
    <row r="168" spans="2:54" ht="13.8" x14ac:dyDescent="0.3">
      <c r="B168" s="24">
        <v>148</v>
      </c>
      <c r="C168" s="24">
        <v>12</v>
      </c>
      <c r="D168" s="24">
        <v>1</v>
      </c>
      <c r="E168" s="24">
        <v>0</v>
      </c>
      <c r="F168" s="24">
        <v>0</v>
      </c>
      <c r="G168" s="24">
        <v>0</v>
      </c>
      <c r="H168" s="24">
        <v>0</v>
      </c>
      <c r="I168" s="24">
        <v>0</v>
      </c>
      <c r="J168" s="24">
        <v>682</v>
      </c>
      <c r="K168" s="24">
        <v>4</v>
      </c>
      <c r="L168" s="24">
        <v>0</v>
      </c>
      <c r="M168" s="24">
        <v>0</v>
      </c>
      <c r="N168" s="24">
        <v>0</v>
      </c>
      <c r="O168" s="24">
        <v>0</v>
      </c>
      <c r="P168" s="24">
        <v>0</v>
      </c>
      <c r="Q168" s="24">
        <v>0</v>
      </c>
      <c r="R168" s="24">
        <v>0</v>
      </c>
      <c r="S168" s="24">
        <v>51</v>
      </c>
      <c r="T168" s="24">
        <v>0</v>
      </c>
      <c r="U168" s="24">
        <v>0</v>
      </c>
      <c r="V168" s="24">
        <v>1</v>
      </c>
      <c r="W168" s="24">
        <v>2</v>
      </c>
      <c r="X168" s="24">
        <v>1</v>
      </c>
      <c r="Y168" s="24">
        <v>1</v>
      </c>
      <c r="Z168" s="24">
        <v>0</v>
      </c>
      <c r="AA168" s="24">
        <v>1</v>
      </c>
      <c r="AB168" s="24">
        <v>0</v>
      </c>
      <c r="AC168" s="24">
        <v>0</v>
      </c>
      <c r="AD168" s="24">
        <v>0</v>
      </c>
      <c r="AE168" s="24">
        <v>1</v>
      </c>
      <c r="AF168" s="24">
        <v>0</v>
      </c>
      <c r="AG168" s="24">
        <v>0</v>
      </c>
      <c r="AH168" s="24">
        <v>0</v>
      </c>
      <c r="AI168" s="24">
        <v>0</v>
      </c>
      <c r="AJ168" s="24">
        <v>1</v>
      </c>
      <c r="AK168" s="24">
        <v>0</v>
      </c>
      <c r="AL168" s="24">
        <v>1</v>
      </c>
      <c r="AM168" s="24">
        <v>0</v>
      </c>
      <c r="AN168" s="24">
        <v>0</v>
      </c>
      <c r="AO168" s="24">
        <v>0</v>
      </c>
      <c r="AP168" s="24">
        <v>0</v>
      </c>
      <c r="AQ168" s="24">
        <v>0</v>
      </c>
      <c r="AR168" s="24">
        <v>0</v>
      </c>
      <c r="AS168" s="24">
        <v>1</v>
      </c>
      <c r="AT168" s="24">
        <v>0</v>
      </c>
      <c r="AU168" s="24">
        <v>0</v>
      </c>
      <c r="AV168" s="24">
        <v>0</v>
      </c>
      <c r="AW168" s="24">
        <v>1</v>
      </c>
      <c r="AX168" s="24">
        <v>0</v>
      </c>
      <c r="AY168" s="24">
        <v>0</v>
      </c>
      <c r="AZ168" s="24">
        <v>0</v>
      </c>
      <c r="BA168" s="24">
        <v>1</v>
      </c>
      <c r="BB168" s="24">
        <v>0</v>
      </c>
    </row>
    <row r="169" spans="2:54" ht="13.8" x14ac:dyDescent="0.3">
      <c r="B169" s="24">
        <v>149</v>
      </c>
      <c r="C169" s="24">
        <v>36</v>
      </c>
      <c r="D169" s="24">
        <v>0</v>
      </c>
      <c r="E169" s="24">
        <v>0</v>
      </c>
      <c r="F169" s="24">
        <v>1</v>
      </c>
      <c r="G169" s="24">
        <v>0</v>
      </c>
      <c r="H169" s="24">
        <v>0</v>
      </c>
      <c r="I169" s="24">
        <v>0</v>
      </c>
      <c r="J169" s="24">
        <v>5371</v>
      </c>
      <c r="K169" s="24">
        <v>3</v>
      </c>
      <c r="L169" s="24">
        <v>0</v>
      </c>
      <c r="M169" s="24">
        <v>1</v>
      </c>
      <c r="N169" s="24">
        <v>0</v>
      </c>
      <c r="O169" s="24">
        <v>0</v>
      </c>
      <c r="P169" s="24">
        <v>1</v>
      </c>
      <c r="Q169" s="24">
        <v>0</v>
      </c>
      <c r="R169" s="24">
        <v>0</v>
      </c>
      <c r="S169" s="24">
        <v>28</v>
      </c>
      <c r="T169" s="24">
        <v>0</v>
      </c>
      <c r="U169" s="24">
        <v>0</v>
      </c>
      <c r="V169" s="24">
        <v>1</v>
      </c>
      <c r="W169" s="24">
        <v>2</v>
      </c>
      <c r="X169" s="24">
        <v>1</v>
      </c>
      <c r="Y169" s="24">
        <v>0</v>
      </c>
      <c r="Z169" s="24">
        <v>0</v>
      </c>
      <c r="AA169" s="24">
        <v>1</v>
      </c>
      <c r="AB169" s="24">
        <v>1</v>
      </c>
      <c r="AC169" s="24">
        <v>0</v>
      </c>
      <c r="AD169" s="24">
        <v>0</v>
      </c>
      <c r="AE169" s="24">
        <v>0</v>
      </c>
      <c r="AF169" s="24">
        <v>0</v>
      </c>
      <c r="AG169" s="24">
        <v>0</v>
      </c>
      <c r="AH169" s="24">
        <v>0</v>
      </c>
      <c r="AI169" s="24">
        <v>0</v>
      </c>
      <c r="AJ169" s="24">
        <v>1</v>
      </c>
      <c r="AK169" s="24">
        <v>1</v>
      </c>
      <c r="AL169" s="24">
        <v>0</v>
      </c>
      <c r="AM169" s="24">
        <v>0</v>
      </c>
      <c r="AN169" s="24">
        <v>0</v>
      </c>
      <c r="AO169" s="24">
        <v>0</v>
      </c>
      <c r="AP169" s="24">
        <v>0</v>
      </c>
      <c r="AQ169" s="24">
        <v>0</v>
      </c>
      <c r="AR169" s="24">
        <v>1</v>
      </c>
      <c r="AS169" s="24">
        <v>0</v>
      </c>
      <c r="AT169" s="24">
        <v>0</v>
      </c>
      <c r="AU169" s="24">
        <v>0</v>
      </c>
      <c r="AV169" s="24">
        <v>1</v>
      </c>
      <c r="AW169" s="24">
        <v>0</v>
      </c>
      <c r="AX169" s="24">
        <v>0</v>
      </c>
      <c r="AY169" s="24">
        <v>0</v>
      </c>
      <c r="AZ169" s="24">
        <v>0</v>
      </c>
      <c r="BA169" s="24">
        <v>1</v>
      </c>
      <c r="BB169" s="24">
        <v>0</v>
      </c>
    </row>
    <row r="170" spans="2:54" ht="13.8" x14ac:dyDescent="0.3">
      <c r="B170" s="24">
        <v>150</v>
      </c>
      <c r="C170" s="24">
        <v>18</v>
      </c>
      <c r="D170" s="24">
        <v>0</v>
      </c>
      <c r="E170" s="24">
        <v>0</v>
      </c>
      <c r="F170" s="24">
        <v>0</v>
      </c>
      <c r="G170" s="24">
        <v>1</v>
      </c>
      <c r="H170" s="24">
        <v>0</v>
      </c>
      <c r="I170" s="24">
        <v>0</v>
      </c>
      <c r="J170" s="24">
        <v>1582</v>
      </c>
      <c r="K170" s="24">
        <v>4</v>
      </c>
      <c r="L170" s="24">
        <v>0</v>
      </c>
      <c r="M170" s="24">
        <v>1</v>
      </c>
      <c r="N170" s="24">
        <v>0</v>
      </c>
      <c r="O170" s="24">
        <v>0</v>
      </c>
      <c r="P170" s="24">
        <v>0</v>
      </c>
      <c r="Q170" s="24">
        <v>0</v>
      </c>
      <c r="R170" s="24">
        <v>0</v>
      </c>
      <c r="S170" s="24">
        <v>46</v>
      </c>
      <c r="T170" s="24">
        <v>0</v>
      </c>
      <c r="U170" s="24">
        <v>0</v>
      </c>
      <c r="V170" s="24">
        <v>1</v>
      </c>
      <c r="W170" s="24">
        <v>2</v>
      </c>
      <c r="X170" s="24">
        <v>1</v>
      </c>
      <c r="Y170" s="24">
        <v>0</v>
      </c>
      <c r="Z170" s="24">
        <v>0</v>
      </c>
      <c r="AA170" s="24">
        <v>1</v>
      </c>
      <c r="AB170" s="24">
        <v>0</v>
      </c>
      <c r="AC170" s="24">
        <v>0</v>
      </c>
      <c r="AD170" s="24">
        <v>0</v>
      </c>
      <c r="AE170" s="24">
        <v>1</v>
      </c>
      <c r="AF170" s="24">
        <v>0</v>
      </c>
      <c r="AG170" s="24">
        <v>0</v>
      </c>
      <c r="AH170" s="24">
        <v>0</v>
      </c>
      <c r="AI170" s="24">
        <v>0</v>
      </c>
      <c r="AJ170" s="24">
        <v>1</v>
      </c>
      <c r="AK170" s="24">
        <v>0</v>
      </c>
      <c r="AL170" s="24">
        <v>0</v>
      </c>
      <c r="AM170" s="24">
        <v>0</v>
      </c>
      <c r="AN170" s="24">
        <v>1</v>
      </c>
      <c r="AO170" s="24">
        <v>0</v>
      </c>
      <c r="AP170" s="24">
        <v>0</v>
      </c>
      <c r="AQ170" s="24">
        <v>0</v>
      </c>
      <c r="AR170" s="24">
        <v>0</v>
      </c>
      <c r="AS170" s="24">
        <v>0</v>
      </c>
      <c r="AT170" s="24">
        <v>1</v>
      </c>
      <c r="AU170" s="24">
        <v>0</v>
      </c>
      <c r="AV170" s="24">
        <v>0</v>
      </c>
      <c r="AW170" s="24">
        <v>0</v>
      </c>
      <c r="AX170" s="24">
        <v>1</v>
      </c>
      <c r="AY170" s="24">
        <v>0</v>
      </c>
      <c r="AZ170" s="24">
        <v>0</v>
      </c>
      <c r="BA170" s="24">
        <v>1</v>
      </c>
      <c r="BB170" s="24">
        <v>0</v>
      </c>
    </row>
    <row r="171" spans="2:54" ht="13.8" x14ac:dyDescent="0.3">
      <c r="B171" s="24">
        <v>151</v>
      </c>
      <c r="C171" s="24">
        <v>6</v>
      </c>
      <c r="D171" s="24">
        <v>0</v>
      </c>
      <c r="E171" s="24">
        <v>0</v>
      </c>
      <c r="F171" s="24">
        <v>0</v>
      </c>
      <c r="G171" s="24">
        <v>1</v>
      </c>
      <c r="H171" s="24">
        <v>0</v>
      </c>
      <c r="I171" s="24">
        <v>0</v>
      </c>
      <c r="J171" s="24">
        <v>1346</v>
      </c>
      <c r="K171" s="24">
        <v>2</v>
      </c>
      <c r="L171" s="24">
        <v>0</v>
      </c>
      <c r="M171" s="24">
        <v>1</v>
      </c>
      <c r="N171" s="24">
        <v>0</v>
      </c>
      <c r="O171" s="24">
        <v>0</v>
      </c>
      <c r="P171" s="24">
        <v>0</v>
      </c>
      <c r="Q171" s="24">
        <v>0</v>
      </c>
      <c r="R171" s="24">
        <v>1</v>
      </c>
      <c r="S171" s="24">
        <v>42</v>
      </c>
      <c r="T171" s="24">
        <v>1</v>
      </c>
      <c r="U171" s="24">
        <v>0</v>
      </c>
      <c r="V171" s="24">
        <v>0</v>
      </c>
      <c r="W171" s="24">
        <v>1</v>
      </c>
      <c r="X171" s="24">
        <v>2</v>
      </c>
      <c r="Y171" s="24">
        <v>1</v>
      </c>
      <c r="Z171" s="24">
        <v>0</v>
      </c>
      <c r="AA171" s="24">
        <v>1</v>
      </c>
      <c r="AB171" s="24">
        <v>0</v>
      </c>
      <c r="AC171" s="24">
        <v>0</v>
      </c>
      <c r="AD171" s="24">
        <v>0</v>
      </c>
      <c r="AE171" s="24">
        <v>1</v>
      </c>
      <c r="AF171" s="24">
        <v>0</v>
      </c>
      <c r="AG171" s="24">
        <v>0</v>
      </c>
      <c r="AH171" s="24">
        <v>1</v>
      </c>
      <c r="AI171" s="24">
        <v>0</v>
      </c>
      <c r="AJ171" s="24">
        <v>0</v>
      </c>
      <c r="AK171" s="24">
        <v>0</v>
      </c>
      <c r="AL171" s="24">
        <v>1</v>
      </c>
      <c r="AM171" s="24">
        <v>0</v>
      </c>
      <c r="AN171" s="24">
        <v>0</v>
      </c>
      <c r="AO171" s="24">
        <v>0</v>
      </c>
      <c r="AP171" s="24">
        <v>0</v>
      </c>
      <c r="AQ171" s="24">
        <v>0</v>
      </c>
      <c r="AR171" s="24">
        <v>0</v>
      </c>
      <c r="AS171" s="24">
        <v>0</v>
      </c>
      <c r="AT171" s="24">
        <v>1</v>
      </c>
      <c r="AU171" s="24">
        <v>0</v>
      </c>
      <c r="AV171" s="24">
        <v>0</v>
      </c>
      <c r="AW171" s="24">
        <v>0</v>
      </c>
      <c r="AX171" s="24">
        <v>1</v>
      </c>
      <c r="AY171" s="24">
        <v>0</v>
      </c>
      <c r="AZ171" s="24">
        <v>0</v>
      </c>
      <c r="BA171" s="24">
        <v>1</v>
      </c>
      <c r="BB171" s="24">
        <v>0</v>
      </c>
    </row>
    <row r="172" spans="2:54" ht="13.8" x14ac:dyDescent="0.3">
      <c r="B172" s="24">
        <v>152</v>
      </c>
      <c r="C172" s="24">
        <v>10</v>
      </c>
      <c r="D172" s="24">
        <v>0</v>
      </c>
      <c r="E172" s="24">
        <v>0</v>
      </c>
      <c r="F172" s="24">
        <v>0</v>
      </c>
      <c r="G172" s="24">
        <v>1</v>
      </c>
      <c r="H172" s="24">
        <v>0</v>
      </c>
      <c r="I172" s="24">
        <v>0</v>
      </c>
      <c r="J172" s="24">
        <v>1924</v>
      </c>
      <c r="K172" s="24">
        <v>1</v>
      </c>
      <c r="L172" s="24">
        <v>0</v>
      </c>
      <c r="M172" s="24">
        <v>1</v>
      </c>
      <c r="N172" s="24">
        <v>0</v>
      </c>
      <c r="O172" s="24">
        <v>0</v>
      </c>
      <c r="P172" s="24">
        <v>0</v>
      </c>
      <c r="Q172" s="24">
        <v>0</v>
      </c>
      <c r="R172" s="24">
        <v>0</v>
      </c>
      <c r="S172" s="24">
        <v>38</v>
      </c>
      <c r="T172" s="24">
        <v>0</v>
      </c>
      <c r="U172" s="24">
        <v>0</v>
      </c>
      <c r="V172" s="24">
        <v>1</v>
      </c>
      <c r="W172" s="24">
        <v>1</v>
      </c>
      <c r="X172" s="24">
        <v>1</v>
      </c>
      <c r="Y172" s="24">
        <v>1</v>
      </c>
      <c r="Z172" s="24">
        <v>1</v>
      </c>
      <c r="AA172" s="24">
        <v>1</v>
      </c>
      <c r="AB172" s="24">
        <v>0</v>
      </c>
      <c r="AC172" s="24">
        <v>0</v>
      </c>
      <c r="AD172" s="24">
        <v>0</v>
      </c>
      <c r="AE172" s="24">
        <v>1</v>
      </c>
      <c r="AF172" s="24">
        <v>0</v>
      </c>
      <c r="AG172" s="24">
        <v>0</v>
      </c>
      <c r="AH172" s="24">
        <v>1</v>
      </c>
      <c r="AI172" s="24">
        <v>0</v>
      </c>
      <c r="AJ172" s="24">
        <v>0</v>
      </c>
      <c r="AK172" s="24">
        <v>1</v>
      </c>
      <c r="AL172" s="24">
        <v>0</v>
      </c>
      <c r="AM172" s="24">
        <v>0</v>
      </c>
      <c r="AN172" s="24">
        <v>0</v>
      </c>
      <c r="AO172" s="24">
        <v>0</v>
      </c>
      <c r="AP172" s="24">
        <v>0</v>
      </c>
      <c r="AQ172" s="24">
        <v>0</v>
      </c>
      <c r="AR172" s="24">
        <v>1</v>
      </c>
      <c r="AS172" s="24">
        <v>0</v>
      </c>
      <c r="AT172" s="24">
        <v>0</v>
      </c>
      <c r="AU172" s="24">
        <v>0</v>
      </c>
      <c r="AV172" s="24">
        <v>0</v>
      </c>
      <c r="AW172" s="24">
        <v>0</v>
      </c>
      <c r="AX172" s="24">
        <v>1</v>
      </c>
      <c r="AY172" s="24">
        <v>0</v>
      </c>
      <c r="AZ172" s="24">
        <v>0</v>
      </c>
      <c r="BA172" s="24">
        <v>1</v>
      </c>
      <c r="BB172" s="24">
        <v>0</v>
      </c>
    </row>
    <row r="173" spans="2:54" ht="13.8" x14ac:dyDescent="0.3">
      <c r="B173" s="24">
        <v>153</v>
      </c>
      <c r="C173" s="24">
        <v>36</v>
      </c>
      <c r="D173" s="24">
        <v>0</v>
      </c>
      <c r="E173" s="24">
        <v>0</v>
      </c>
      <c r="F173" s="24">
        <v>0</v>
      </c>
      <c r="G173" s="24">
        <v>1</v>
      </c>
      <c r="H173" s="24">
        <v>0</v>
      </c>
      <c r="I173" s="24">
        <v>0</v>
      </c>
      <c r="J173" s="24">
        <v>5848</v>
      </c>
      <c r="K173" s="24">
        <v>4</v>
      </c>
      <c r="L173" s="24">
        <v>0</v>
      </c>
      <c r="M173" s="24">
        <v>1</v>
      </c>
      <c r="N173" s="24">
        <v>0</v>
      </c>
      <c r="O173" s="24">
        <v>0</v>
      </c>
      <c r="P173" s="24">
        <v>0</v>
      </c>
      <c r="Q173" s="24">
        <v>0</v>
      </c>
      <c r="R173" s="24">
        <v>0</v>
      </c>
      <c r="S173" s="24">
        <v>24</v>
      </c>
      <c r="T173" s="24">
        <v>0</v>
      </c>
      <c r="U173" s="24">
        <v>0</v>
      </c>
      <c r="V173" s="24">
        <v>1</v>
      </c>
      <c r="W173" s="24">
        <v>1</v>
      </c>
      <c r="X173" s="24">
        <v>1</v>
      </c>
      <c r="Y173" s="24">
        <v>0</v>
      </c>
      <c r="Z173" s="24">
        <v>0</v>
      </c>
      <c r="AA173" s="24">
        <v>1</v>
      </c>
      <c r="AB173" s="24">
        <v>0</v>
      </c>
      <c r="AC173" s="24">
        <v>0</v>
      </c>
      <c r="AD173" s="24">
        <v>1</v>
      </c>
      <c r="AE173" s="24">
        <v>0</v>
      </c>
      <c r="AF173" s="24">
        <v>0</v>
      </c>
      <c r="AG173" s="24">
        <v>0</v>
      </c>
      <c r="AH173" s="24">
        <v>1</v>
      </c>
      <c r="AI173" s="24">
        <v>0</v>
      </c>
      <c r="AJ173" s="24">
        <v>0</v>
      </c>
      <c r="AK173" s="24">
        <v>1</v>
      </c>
      <c r="AL173" s="24">
        <v>0</v>
      </c>
      <c r="AM173" s="24">
        <v>0</v>
      </c>
      <c r="AN173" s="24">
        <v>0</v>
      </c>
      <c r="AO173" s="24">
        <v>0</v>
      </c>
      <c r="AP173" s="24">
        <v>0</v>
      </c>
      <c r="AQ173" s="24">
        <v>0</v>
      </c>
      <c r="AR173" s="24">
        <v>1</v>
      </c>
      <c r="AS173" s="24">
        <v>0</v>
      </c>
      <c r="AT173" s="24">
        <v>0</v>
      </c>
      <c r="AU173" s="24">
        <v>1</v>
      </c>
      <c r="AV173" s="24">
        <v>0</v>
      </c>
      <c r="AW173" s="24">
        <v>0</v>
      </c>
      <c r="AX173" s="24">
        <v>0</v>
      </c>
      <c r="AY173" s="24">
        <v>0</v>
      </c>
      <c r="AZ173" s="24">
        <v>0</v>
      </c>
      <c r="BA173" s="24">
        <v>1</v>
      </c>
      <c r="BB173" s="24">
        <v>0</v>
      </c>
    </row>
    <row r="174" spans="2:54" ht="13.8" x14ac:dyDescent="0.3">
      <c r="B174" s="24">
        <v>154</v>
      </c>
      <c r="C174" s="24">
        <v>24</v>
      </c>
      <c r="D174" s="24">
        <v>0</v>
      </c>
      <c r="E174" s="24">
        <v>1</v>
      </c>
      <c r="F174" s="24">
        <v>0</v>
      </c>
      <c r="G174" s="24">
        <v>0</v>
      </c>
      <c r="H174" s="24">
        <v>0</v>
      </c>
      <c r="I174" s="24">
        <v>0</v>
      </c>
      <c r="J174" s="24">
        <v>7758</v>
      </c>
      <c r="K174" s="24">
        <v>2</v>
      </c>
      <c r="L174" s="24">
        <v>0</v>
      </c>
      <c r="M174" s="24">
        <v>0</v>
      </c>
      <c r="N174" s="24">
        <v>0</v>
      </c>
      <c r="O174" s="24">
        <v>0</v>
      </c>
      <c r="P174" s="24">
        <v>0</v>
      </c>
      <c r="Q174" s="24">
        <v>0</v>
      </c>
      <c r="R174" s="24">
        <v>1</v>
      </c>
      <c r="S174" s="24">
        <v>29</v>
      </c>
      <c r="T174" s="24">
        <v>0</v>
      </c>
      <c r="U174" s="24">
        <v>1</v>
      </c>
      <c r="V174" s="24">
        <v>0</v>
      </c>
      <c r="W174" s="24">
        <v>1</v>
      </c>
      <c r="X174" s="24">
        <v>1</v>
      </c>
      <c r="Y174" s="24">
        <v>0</v>
      </c>
      <c r="Z174" s="24">
        <v>0</v>
      </c>
      <c r="AA174" s="24">
        <v>1</v>
      </c>
      <c r="AB174" s="24">
        <v>0</v>
      </c>
      <c r="AC174" s="24">
        <v>1</v>
      </c>
      <c r="AD174" s="24">
        <v>0</v>
      </c>
      <c r="AE174" s="24">
        <v>0</v>
      </c>
      <c r="AF174" s="24">
        <v>0</v>
      </c>
      <c r="AG174" s="24">
        <v>0</v>
      </c>
      <c r="AH174" s="24">
        <v>0</v>
      </c>
      <c r="AI174" s="24">
        <v>0</v>
      </c>
      <c r="AJ174" s="24">
        <v>1</v>
      </c>
      <c r="AK174" s="24">
        <v>0</v>
      </c>
      <c r="AL174" s="24">
        <v>0</v>
      </c>
      <c r="AM174" s="24">
        <v>0</v>
      </c>
      <c r="AN174" s="24">
        <v>1</v>
      </c>
      <c r="AO174" s="24">
        <v>0</v>
      </c>
      <c r="AP174" s="24">
        <v>0</v>
      </c>
      <c r="AQ174" s="24">
        <v>0</v>
      </c>
      <c r="AR174" s="24">
        <v>0</v>
      </c>
      <c r="AS174" s="24">
        <v>0</v>
      </c>
      <c r="AT174" s="24">
        <v>1</v>
      </c>
      <c r="AU174" s="24">
        <v>0</v>
      </c>
      <c r="AV174" s="24">
        <v>0</v>
      </c>
      <c r="AW174" s="24">
        <v>0</v>
      </c>
      <c r="AX174" s="24">
        <v>1</v>
      </c>
      <c r="AY174" s="24">
        <v>0</v>
      </c>
      <c r="AZ174" s="24">
        <v>0</v>
      </c>
      <c r="BA174" s="24">
        <v>1</v>
      </c>
      <c r="BB174" s="24">
        <v>0</v>
      </c>
    </row>
    <row r="175" spans="2:54" ht="13.8" x14ac:dyDescent="0.3">
      <c r="B175" s="24">
        <v>155</v>
      </c>
      <c r="C175" s="24">
        <v>24</v>
      </c>
      <c r="D175" s="24">
        <v>0</v>
      </c>
      <c r="E175" s="24">
        <v>0</v>
      </c>
      <c r="F175" s="24">
        <v>0</v>
      </c>
      <c r="G175" s="24">
        <v>0</v>
      </c>
      <c r="H175" s="24">
        <v>0</v>
      </c>
      <c r="I175" s="24">
        <v>1</v>
      </c>
      <c r="J175" s="24">
        <v>6967</v>
      </c>
      <c r="K175" s="24">
        <v>4</v>
      </c>
      <c r="L175" s="24">
        <v>0</v>
      </c>
      <c r="M175" s="24">
        <v>1</v>
      </c>
      <c r="N175" s="24">
        <v>0</v>
      </c>
      <c r="O175" s="24">
        <v>0</v>
      </c>
      <c r="P175" s="24">
        <v>0</v>
      </c>
      <c r="Q175" s="24">
        <v>0</v>
      </c>
      <c r="R175" s="24">
        <v>0</v>
      </c>
      <c r="S175" s="24">
        <v>36</v>
      </c>
      <c r="T175" s="24">
        <v>0</v>
      </c>
      <c r="U175" s="24">
        <v>1</v>
      </c>
      <c r="V175" s="24">
        <v>0</v>
      </c>
      <c r="W175" s="24">
        <v>1</v>
      </c>
      <c r="X175" s="24">
        <v>1</v>
      </c>
      <c r="Y175" s="24">
        <v>1</v>
      </c>
      <c r="Z175" s="24">
        <v>0</v>
      </c>
      <c r="AA175" s="24">
        <v>1</v>
      </c>
      <c r="AB175" s="24">
        <v>0</v>
      </c>
      <c r="AC175" s="24">
        <v>1</v>
      </c>
      <c r="AD175" s="24">
        <v>0</v>
      </c>
      <c r="AE175" s="24">
        <v>0</v>
      </c>
      <c r="AF175" s="24">
        <v>0</v>
      </c>
      <c r="AG175" s="24">
        <v>0</v>
      </c>
      <c r="AH175" s="24">
        <v>0</v>
      </c>
      <c r="AI175" s="24">
        <v>1</v>
      </c>
      <c r="AJ175" s="24">
        <v>0</v>
      </c>
      <c r="AK175" s="24">
        <v>0</v>
      </c>
      <c r="AL175" s="24">
        <v>1</v>
      </c>
      <c r="AM175" s="24">
        <v>0</v>
      </c>
      <c r="AN175" s="24">
        <v>0</v>
      </c>
      <c r="AO175" s="24">
        <v>0</v>
      </c>
      <c r="AP175" s="24">
        <v>0</v>
      </c>
      <c r="AQ175" s="24">
        <v>0</v>
      </c>
      <c r="AR175" s="24">
        <v>0</v>
      </c>
      <c r="AS175" s="24">
        <v>1</v>
      </c>
      <c r="AT175" s="24">
        <v>0</v>
      </c>
      <c r="AU175" s="24">
        <v>0</v>
      </c>
      <c r="AV175" s="24">
        <v>0</v>
      </c>
      <c r="AW175" s="24">
        <v>0</v>
      </c>
      <c r="AX175" s="24">
        <v>1</v>
      </c>
      <c r="AY175" s="24">
        <v>0</v>
      </c>
      <c r="AZ175" s="24">
        <v>0</v>
      </c>
      <c r="BA175" s="24">
        <v>0</v>
      </c>
      <c r="BB175" s="24">
        <v>1</v>
      </c>
    </row>
    <row r="176" spans="2:54" ht="13.8" x14ac:dyDescent="0.3">
      <c r="B176" s="24">
        <v>156</v>
      </c>
      <c r="C176" s="24">
        <v>12</v>
      </c>
      <c r="D176" s="24">
        <v>0</v>
      </c>
      <c r="E176" s="24">
        <v>0</v>
      </c>
      <c r="F176" s="24">
        <v>1</v>
      </c>
      <c r="G176" s="24">
        <v>0</v>
      </c>
      <c r="H176" s="24">
        <v>0</v>
      </c>
      <c r="I176" s="24">
        <v>0</v>
      </c>
      <c r="J176" s="24">
        <v>1282</v>
      </c>
      <c r="K176" s="24">
        <v>2</v>
      </c>
      <c r="L176" s="24">
        <v>0</v>
      </c>
      <c r="M176" s="24">
        <v>0</v>
      </c>
      <c r="N176" s="24">
        <v>0</v>
      </c>
      <c r="O176" s="24">
        <v>0</v>
      </c>
      <c r="P176" s="24">
        <v>0</v>
      </c>
      <c r="Q176" s="24">
        <v>0</v>
      </c>
      <c r="R176" s="24">
        <v>0</v>
      </c>
      <c r="S176" s="24">
        <v>20</v>
      </c>
      <c r="T176" s="24">
        <v>0</v>
      </c>
      <c r="U176" s="24">
        <v>1</v>
      </c>
      <c r="V176" s="24">
        <v>0</v>
      </c>
      <c r="W176" s="24">
        <v>1</v>
      </c>
      <c r="X176" s="24">
        <v>1</v>
      </c>
      <c r="Y176" s="24">
        <v>0</v>
      </c>
      <c r="Z176" s="24">
        <v>0</v>
      </c>
      <c r="AA176" s="24">
        <v>0</v>
      </c>
      <c r="AB176" s="24">
        <v>1</v>
      </c>
      <c r="AC176" s="24">
        <v>0</v>
      </c>
      <c r="AD176" s="24">
        <v>0</v>
      </c>
      <c r="AE176" s="24">
        <v>0</v>
      </c>
      <c r="AF176" s="24">
        <v>0</v>
      </c>
      <c r="AG176" s="24">
        <v>0</v>
      </c>
      <c r="AH176" s="24">
        <v>1</v>
      </c>
      <c r="AI176" s="24">
        <v>0</v>
      </c>
      <c r="AJ176" s="24">
        <v>0</v>
      </c>
      <c r="AK176" s="24">
        <v>1</v>
      </c>
      <c r="AL176" s="24">
        <v>0</v>
      </c>
      <c r="AM176" s="24">
        <v>0</v>
      </c>
      <c r="AN176" s="24">
        <v>0</v>
      </c>
      <c r="AO176" s="24">
        <v>0</v>
      </c>
      <c r="AP176" s="24">
        <v>0</v>
      </c>
      <c r="AQ176" s="24">
        <v>0</v>
      </c>
      <c r="AR176" s="24">
        <v>1</v>
      </c>
      <c r="AS176" s="24">
        <v>0</v>
      </c>
      <c r="AT176" s="24">
        <v>0</v>
      </c>
      <c r="AU176" s="24">
        <v>0</v>
      </c>
      <c r="AV176" s="24">
        <v>0</v>
      </c>
      <c r="AW176" s="24">
        <v>0</v>
      </c>
      <c r="AX176" s="24">
        <v>1</v>
      </c>
      <c r="AY176" s="24">
        <v>0</v>
      </c>
      <c r="AZ176" s="24">
        <v>0</v>
      </c>
      <c r="BA176" s="24">
        <v>1</v>
      </c>
      <c r="BB176" s="24">
        <v>0</v>
      </c>
    </row>
    <row r="177" spans="2:54" ht="13.8" x14ac:dyDescent="0.3">
      <c r="B177" s="24">
        <v>157</v>
      </c>
      <c r="C177" s="24">
        <v>9</v>
      </c>
      <c r="D177" s="24">
        <v>0</v>
      </c>
      <c r="E177" s="24">
        <v>0</v>
      </c>
      <c r="F177" s="24">
        <v>0</v>
      </c>
      <c r="G177" s="24">
        <v>0</v>
      </c>
      <c r="H177" s="24">
        <v>0</v>
      </c>
      <c r="I177" s="24">
        <v>0</v>
      </c>
      <c r="J177" s="24">
        <v>1288</v>
      </c>
      <c r="K177" s="24">
        <v>3</v>
      </c>
      <c r="L177" s="24">
        <v>0</v>
      </c>
      <c r="M177" s="24">
        <v>1</v>
      </c>
      <c r="N177" s="24">
        <v>0</v>
      </c>
      <c r="O177" s="24">
        <v>0</v>
      </c>
      <c r="P177" s="24">
        <v>1</v>
      </c>
      <c r="Q177" s="24">
        <v>1</v>
      </c>
      <c r="R177" s="24">
        <v>0</v>
      </c>
      <c r="S177" s="24">
        <v>48</v>
      </c>
      <c r="T177" s="24">
        <v>0</v>
      </c>
      <c r="U177" s="24">
        <v>0</v>
      </c>
      <c r="V177" s="24">
        <v>1</v>
      </c>
      <c r="W177" s="24">
        <v>2</v>
      </c>
      <c r="X177" s="24">
        <v>2</v>
      </c>
      <c r="Y177" s="24">
        <v>0</v>
      </c>
      <c r="Z177" s="24">
        <v>1</v>
      </c>
      <c r="AA177" s="24">
        <v>1</v>
      </c>
      <c r="AB177" s="24">
        <v>1</v>
      </c>
      <c r="AC177" s="24">
        <v>0</v>
      </c>
      <c r="AD177" s="24">
        <v>0</v>
      </c>
      <c r="AE177" s="24">
        <v>0</v>
      </c>
      <c r="AF177" s="24">
        <v>0</v>
      </c>
      <c r="AG177" s="24">
        <v>0</v>
      </c>
      <c r="AH177" s="24">
        <v>0</v>
      </c>
      <c r="AI177" s="24">
        <v>0</v>
      </c>
      <c r="AJ177" s="24">
        <v>1</v>
      </c>
      <c r="AK177" s="24">
        <v>0</v>
      </c>
      <c r="AL177" s="24">
        <v>1</v>
      </c>
      <c r="AM177" s="24">
        <v>0</v>
      </c>
      <c r="AN177" s="24">
        <v>0</v>
      </c>
      <c r="AO177" s="24">
        <v>0</v>
      </c>
      <c r="AP177" s="24">
        <v>0</v>
      </c>
      <c r="AQ177" s="24">
        <v>0</v>
      </c>
      <c r="AR177" s="24">
        <v>0</v>
      </c>
      <c r="AS177" s="24">
        <v>0</v>
      </c>
      <c r="AT177" s="24">
        <v>1</v>
      </c>
      <c r="AU177" s="24">
        <v>0</v>
      </c>
      <c r="AV177" s="24">
        <v>0</v>
      </c>
      <c r="AW177" s="24">
        <v>0</v>
      </c>
      <c r="AX177" s="24">
        <v>1</v>
      </c>
      <c r="AY177" s="24">
        <v>0</v>
      </c>
      <c r="AZ177" s="24">
        <v>0</v>
      </c>
      <c r="BA177" s="24">
        <v>1</v>
      </c>
      <c r="BB177" s="24">
        <v>0</v>
      </c>
    </row>
    <row r="178" spans="2:54" ht="13.8" x14ac:dyDescent="0.3">
      <c r="B178" s="24">
        <v>158</v>
      </c>
      <c r="C178" s="24">
        <v>12</v>
      </c>
      <c r="D178" s="24">
        <v>0</v>
      </c>
      <c r="E178" s="24">
        <v>0</v>
      </c>
      <c r="F178" s="24">
        <v>0</v>
      </c>
      <c r="G178" s="24">
        <v>0</v>
      </c>
      <c r="H178" s="24">
        <v>0</v>
      </c>
      <c r="I178" s="24">
        <v>0</v>
      </c>
      <c r="J178" s="24">
        <v>339</v>
      </c>
      <c r="K178" s="24">
        <v>4</v>
      </c>
      <c r="L178" s="24">
        <v>0</v>
      </c>
      <c r="M178" s="24">
        <v>0</v>
      </c>
      <c r="N178" s="24">
        <v>1</v>
      </c>
      <c r="O178" s="24">
        <v>0</v>
      </c>
      <c r="P178" s="24">
        <v>0</v>
      </c>
      <c r="Q178" s="24">
        <v>0</v>
      </c>
      <c r="R178" s="24">
        <v>0</v>
      </c>
      <c r="S178" s="24">
        <v>45</v>
      </c>
      <c r="T178" s="24">
        <v>1</v>
      </c>
      <c r="U178" s="24">
        <v>0</v>
      </c>
      <c r="V178" s="24">
        <v>1</v>
      </c>
      <c r="W178" s="24">
        <v>1</v>
      </c>
      <c r="X178" s="24">
        <v>1</v>
      </c>
      <c r="Y178" s="24">
        <v>0</v>
      </c>
      <c r="Z178" s="24">
        <v>0</v>
      </c>
      <c r="AA178" s="24">
        <v>1</v>
      </c>
      <c r="AB178" s="24">
        <v>1</v>
      </c>
      <c r="AC178" s="24">
        <v>0</v>
      </c>
      <c r="AD178" s="24">
        <v>0</v>
      </c>
      <c r="AE178" s="24">
        <v>0</v>
      </c>
      <c r="AF178" s="24">
        <v>0</v>
      </c>
      <c r="AG178" s="24">
        <v>1</v>
      </c>
      <c r="AH178" s="24">
        <v>0</v>
      </c>
      <c r="AI178" s="24">
        <v>0</v>
      </c>
      <c r="AJ178" s="24">
        <v>0</v>
      </c>
      <c r="AK178" s="24">
        <v>1</v>
      </c>
      <c r="AL178" s="24">
        <v>0</v>
      </c>
      <c r="AM178" s="24">
        <v>0</v>
      </c>
      <c r="AN178" s="24">
        <v>0</v>
      </c>
      <c r="AO178" s="24">
        <v>0</v>
      </c>
      <c r="AP178" s="24">
        <v>0</v>
      </c>
      <c r="AQ178" s="24">
        <v>0</v>
      </c>
      <c r="AR178" s="24">
        <v>0</v>
      </c>
      <c r="AS178" s="24">
        <v>0</v>
      </c>
      <c r="AT178" s="24">
        <v>1</v>
      </c>
      <c r="AU178" s="24">
        <v>1</v>
      </c>
      <c r="AV178" s="24">
        <v>0</v>
      </c>
      <c r="AW178" s="24">
        <v>0</v>
      </c>
      <c r="AX178" s="24">
        <v>0</v>
      </c>
      <c r="AY178" s="24">
        <v>0</v>
      </c>
      <c r="AZ178" s="24">
        <v>1</v>
      </c>
      <c r="BA178" s="24">
        <v>0</v>
      </c>
      <c r="BB178" s="24">
        <v>0</v>
      </c>
    </row>
    <row r="179" spans="2:54" ht="13.8" x14ac:dyDescent="0.3">
      <c r="B179" s="24">
        <v>159</v>
      </c>
      <c r="C179" s="24">
        <v>24</v>
      </c>
      <c r="D179" s="24">
        <v>1</v>
      </c>
      <c r="E179" s="24">
        <v>0</v>
      </c>
      <c r="F179" s="24">
        <v>0</v>
      </c>
      <c r="G179" s="24">
        <v>0</v>
      </c>
      <c r="H179" s="24">
        <v>0</v>
      </c>
      <c r="I179" s="24">
        <v>0</v>
      </c>
      <c r="J179" s="24">
        <v>3512</v>
      </c>
      <c r="K179" s="24">
        <v>2</v>
      </c>
      <c r="L179" s="24">
        <v>0</v>
      </c>
      <c r="M179" s="24">
        <v>1</v>
      </c>
      <c r="N179" s="24">
        <v>0</v>
      </c>
      <c r="O179" s="24">
        <v>0</v>
      </c>
      <c r="P179" s="24">
        <v>0</v>
      </c>
      <c r="Q179" s="24">
        <v>0</v>
      </c>
      <c r="R179" s="24">
        <v>0</v>
      </c>
      <c r="S179" s="24">
        <v>38</v>
      </c>
      <c r="T179" s="24">
        <v>1</v>
      </c>
      <c r="U179" s="24">
        <v>0</v>
      </c>
      <c r="V179" s="24">
        <v>1</v>
      </c>
      <c r="W179" s="24">
        <v>2</v>
      </c>
      <c r="X179" s="24">
        <v>1</v>
      </c>
      <c r="Y179" s="24">
        <v>1</v>
      </c>
      <c r="Z179" s="24">
        <v>0</v>
      </c>
      <c r="AA179" s="24">
        <v>1</v>
      </c>
      <c r="AB179" s="24">
        <v>0</v>
      </c>
      <c r="AC179" s="24">
        <v>1</v>
      </c>
      <c r="AD179" s="24">
        <v>0</v>
      </c>
      <c r="AE179" s="24">
        <v>0</v>
      </c>
      <c r="AF179" s="24">
        <v>0</v>
      </c>
      <c r="AG179" s="24">
        <v>0</v>
      </c>
      <c r="AH179" s="24">
        <v>1</v>
      </c>
      <c r="AI179" s="24">
        <v>0</v>
      </c>
      <c r="AJ179" s="24">
        <v>0</v>
      </c>
      <c r="AK179" s="24">
        <v>0</v>
      </c>
      <c r="AL179" s="24">
        <v>1</v>
      </c>
      <c r="AM179" s="24">
        <v>0</v>
      </c>
      <c r="AN179" s="24">
        <v>0</v>
      </c>
      <c r="AO179" s="24">
        <v>0</v>
      </c>
      <c r="AP179" s="24">
        <v>0</v>
      </c>
      <c r="AQ179" s="24">
        <v>0</v>
      </c>
      <c r="AR179" s="24">
        <v>0</v>
      </c>
      <c r="AS179" s="24">
        <v>1</v>
      </c>
      <c r="AT179" s="24">
        <v>0</v>
      </c>
      <c r="AU179" s="24">
        <v>0</v>
      </c>
      <c r="AV179" s="24">
        <v>0</v>
      </c>
      <c r="AW179" s="24">
        <v>1</v>
      </c>
      <c r="AX179" s="24">
        <v>0</v>
      </c>
      <c r="AY179" s="24">
        <v>0</v>
      </c>
      <c r="AZ179" s="24">
        <v>0</v>
      </c>
      <c r="BA179" s="24">
        <v>1</v>
      </c>
      <c r="BB179" s="24">
        <v>0</v>
      </c>
    </row>
    <row r="180" spans="2:54" ht="13.8" x14ac:dyDescent="0.3">
      <c r="B180" s="24">
        <v>160</v>
      </c>
      <c r="C180" s="24">
        <v>6</v>
      </c>
      <c r="D180" s="24">
        <v>0</v>
      </c>
      <c r="E180" s="24">
        <v>0</v>
      </c>
      <c r="F180" s="24">
        <v>0</v>
      </c>
      <c r="G180" s="24">
        <v>1</v>
      </c>
      <c r="H180" s="24">
        <v>0</v>
      </c>
      <c r="I180" s="24">
        <v>0</v>
      </c>
      <c r="J180" s="24">
        <v>1898</v>
      </c>
      <c r="K180" s="24">
        <v>1</v>
      </c>
      <c r="L180" s="24">
        <v>0</v>
      </c>
      <c r="M180" s="24">
        <v>1</v>
      </c>
      <c r="N180" s="24">
        <v>0</v>
      </c>
      <c r="O180" s="24">
        <v>0</v>
      </c>
      <c r="P180" s="24">
        <v>0</v>
      </c>
      <c r="Q180" s="24">
        <v>1</v>
      </c>
      <c r="R180" s="24">
        <v>0</v>
      </c>
      <c r="S180" s="24">
        <v>34</v>
      </c>
      <c r="T180" s="24">
        <v>0</v>
      </c>
      <c r="U180" s="24">
        <v>0</v>
      </c>
      <c r="V180" s="24">
        <v>1</v>
      </c>
      <c r="W180" s="24">
        <v>2</v>
      </c>
      <c r="X180" s="24">
        <v>2</v>
      </c>
      <c r="Y180" s="24">
        <v>0</v>
      </c>
      <c r="Z180" s="24">
        <v>0</v>
      </c>
      <c r="AA180" s="24">
        <v>1</v>
      </c>
      <c r="AB180" s="24">
        <v>0</v>
      </c>
      <c r="AC180" s="24">
        <v>0</v>
      </c>
      <c r="AD180" s="24">
        <v>0</v>
      </c>
      <c r="AE180" s="24">
        <v>1</v>
      </c>
      <c r="AF180" s="24">
        <v>0</v>
      </c>
      <c r="AG180" s="24">
        <v>0</v>
      </c>
      <c r="AH180" s="24">
        <v>0</v>
      </c>
      <c r="AI180" s="24">
        <v>0</v>
      </c>
      <c r="AJ180" s="24">
        <v>1</v>
      </c>
      <c r="AK180" s="24">
        <v>0</v>
      </c>
      <c r="AL180" s="24">
        <v>0</v>
      </c>
      <c r="AM180" s="24">
        <v>0</v>
      </c>
      <c r="AN180" s="24">
        <v>0</v>
      </c>
      <c r="AO180" s="24">
        <v>1</v>
      </c>
      <c r="AP180" s="24">
        <v>0</v>
      </c>
      <c r="AQ180" s="24">
        <v>0</v>
      </c>
      <c r="AR180" s="24">
        <v>1</v>
      </c>
      <c r="AS180" s="24">
        <v>0</v>
      </c>
      <c r="AT180" s="24">
        <v>0</v>
      </c>
      <c r="AU180" s="24">
        <v>0</v>
      </c>
      <c r="AV180" s="24">
        <v>1</v>
      </c>
      <c r="AW180" s="24">
        <v>0</v>
      </c>
      <c r="AX180" s="24">
        <v>0</v>
      </c>
      <c r="AY180" s="24">
        <v>0</v>
      </c>
      <c r="AZ180" s="24">
        <v>1</v>
      </c>
      <c r="BA180" s="24">
        <v>0</v>
      </c>
      <c r="BB180" s="24">
        <v>0</v>
      </c>
    </row>
    <row r="181" spans="2:54" ht="13.8" x14ac:dyDescent="0.3">
      <c r="B181" s="24">
        <v>161</v>
      </c>
      <c r="C181" s="24">
        <v>24</v>
      </c>
      <c r="D181" s="24">
        <v>0</v>
      </c>
      <c r="E181" s="24">
        <v>0</v>
      </c>
      <c r="F181" s="24">
        <v>0</v>
      </c>
      <c r="G181" s="24">
        <v>1</v>
      </c>
      <c r="H181" s="24">
        <v>0</v>
      </c>
      <c r="I181" s="24">
        <v>0</v>
      </c>
      <c r="J181" s="24">
        <v>2872</v>
      </c>
      <c r="K181" s="24">
        <v>3</v>
      </c>
      <c r="L181" s="24">
        <v>0</v>
      </c>
      <c r="M181" s="24">
        <v>1</v>
      </c>
      <c r="N181" s="24">
        <v>0</v>
      </c>
      <c r="O181" s="24">
        <v>0</v>
      </c>
      <c r="P181" s="24">
        <v>0</v>
      </c>
      <c r="Q181" s="24">
        <v>1</v>
      </c>
      <c r="R181" s="24">
        <v>0</v>
      </c>
      <c r="S181" s="24">
        <v>36</v>
      </c>
      <c r="T181" s="24">
        <v>0</v>
      </c>
      <c r="U181" s="24">
        <v>0</v>
      </c>
      <c r="V181" s="24">
        <v>1</v>
      </c>
      <c r="W181" s="24">
        <v>1</v>
      </c>
      <c r="X181" s="24">
        <v>2</v>
      </c>
      <c r="Y181" s="24">
        <v>1</v>
      </c>
      <c r="Z181" s="24">
        <v>0</v>
      </c>
      <c r="AA181" s="24">
        <v>1</v>
      </c>
      <c r="AB181" s="24">
        <v>0</v>
      </c>
      <c r="AC181" s="24">
        <v>0</v>
      </c>
      <c r="AD181" s="24">
        <v>0</v>
      </c>
      <c r="AE181" s="24">
        <v>1</v>
      </c>
      <c r="AF181" s="24">
        <v>0</v>
      </c>
      <c r="AG181" s="24">
        <v>0</v>
      </c>
      <c r="AH181" s="24">
        <v>0</v>
      </c>
      <c r="AI181" s="24">
        <v>0</v>
      </c>
      <c r="AJ181" s="24">
        <v>1</v>
      </c>
      <c r="AK181" s="24">
        <v>0</v>
      </c>
      <c r="AL181" s="24">
        <v>1</v>
      </c>
      <c r="AM181" s="24">
        <v>0</v>
      </c>
      <c r="AN181" s="24">
        <v>0</v>
      </c>
      <c r="AO181" s="24">
        <v>0</v>
      </c>
      <c r="AP181" s="24">
        <v>0</v>
      </c>
      <c r="AQ181" s="24">
        <v>0</v>
      </c>
      <c r="AR181" s="24">
        <v>0</v>
      </c>
      <c r="AS181" s="24">
        <v>0</v>
      </c>
      <c r="AT181" s="24">
        <v>1</v>
      </c>
      <c r="AU181" s="24">
        <v>0</v>
      </c>
      <c r="AV181" s="24">
        <v>0</v>
      </c>
      <c r="AW181" s="24">
        <v>0</v>
      </c>
      <c r="AX181" s="24">
        <v>1</v>
      </c>
      <c r="AY181" s="24">
        <v>0</v>
      </c>
      <c r="AZ181" s="24">
        <v>0</v>
      </c>
      <c r="BA181" s="24">
        <v>1</v>
      </c>
      <c r="BB181" s="24">
        <v>0</v>
      </c>
    </row>
    <row r="182" spans="2:54" ht="13.8" x14ac:dyDescent="0.3">
      <c r="B182" s="24">
        <v>162</v>
      </c>
      <c r="C182" s="24">
        <v>18</v>
      </c>
      <c r="D182" s="24">
        <v>1</v>
      </c>
      <c r="E182" s="24">
        <v>0</v>
      </c>
      <c r="F182" s="24">
        <v>0</v>
      </c>
      <c r="G182" s="24">
        <v>0</v>
      </c>
      <c r="H182" s="24">
        <v>0</v>
      </c>
      <c r="I182" s="24">
        <v>0</v>
      </c>
      <c r="J182" s="24">
        <v>1055</v>
      </c>
      <c r="K182" s="24">
        <v>4</v>
      </c>
      <c r="L182" s="24">
        <v>0</v>
      </c>
      <c r="M182" s="24">
        <v>0</v>
      </c>
      <c r="N182" s="24">
        <v>0</v>
      </c>
      <c r="O182" s="24">
        <v>0</v>
      </c>
      <c r="P182" s="24">
        <v>0</v>
      </c>
      <c r="Q182" s="24">
        <v>0</v>
      </c>
      <c r="R182" s="24">
        <v>0</v>
      </c>
      <c r="S182" s="24">
        <v>30</v>
      </c>
      <c r="T182" s="24">
        <v>0</v>
      </c>
      <c r="U182" s="24">
        <v>0</v>
      </c>
      <c r="V182" s="24">
        <v>1</v>
      </c>
      <c r="W182" s="24">
        <v>2</v>
      </c>
      <c r="X182" s="24">
        <v>1</v>
      </c>
      <c r="Y182" s="24">
        <v>0</v>
      </c>
      <c r="Z182" s="24">
        <v>0</v>
      </c>
      <c r="AA182" s="24">
        <v>1</v>
      </c>
      <c r="AB182" s="24">
        <v>0</v>
      </c>
      <c r="AC182" s="24">
        <v>0</v>
      </c>
      <c r="AD182" s="24">
        <v>0</v>
      </c>
      <c r="AE182" s="24">
        <v>1</v>
      </c>
      <c r="AF182" s="24">
        <v>0</v>
      </c>
      <c r="AG182" s="24">
        <v>0</v>
      </c>
      <c r="AH182" s="24">
        <v>0</v>
      </c>
      <c r="AI182" s="24">
        <v>0</v>
      </c>
      <c r="AJ182" s="24">
        <v>1</v>
      </c>
      <c r="AK182" s="24">
        <v>1</v>
      </c>
      <c r="AL182" s="24">
        <v>0</v>
      </c>
      <c r="AM182" s="24">
        <v>0</v>
      </c>
      <c r="AN182" s="24">
        <v>0</v>
      </c>
      <c r="AO182" s="24">
        <v>0</v>
      </c>
      <c r="AP182" s="24">
        <v>0</v>
      </c>
      <c r="AQ182" s="24">
        <v>1</v>
      </c>
      <c r="AR182" s="24">
        <v>0</v>
      </c>
      <c r="AS182" s="24">
        <v>0</v>
      </c>
      <c r="AT182" s="24">
        <v>0</v>
      </c>
      <c r="AU182" s="24">
        <v>1</v>
      </c>
      <c r="AV182" s="24">
        <v>0</v>
      </c>
      <c r="AW182" s="24">
        <v>0</v>
      </c>
      <c r="AX182" s="24">
        <v>0</v>
      </c>
      <c r="AY182" s="24">
        <v>0</v>
      </c>
      <c r="AZ182" s="24">
        <v>0</v>
      </c>
      <c r="BA182" s="24">
        <v>1</v>
      </c>
      <c r="BB182" s="24">
        <v>0</v>
      </c>
    </row>
    <row r="183" spans="2:54" ht="13.8" x14ac:dyDescent="0.3">
      <c r="B183" s="24">
        <v>163</v>
      </c>
      <c r="C183" s="24">
        <v>15</v>
      </c>
      <c r="D183" s="24">
        <v>0</v>
      </c>
      <c r="E183" s="24">
        <v>0</v>
      </c>
      <c r="F183" s="24">
        <v>0</v>
      </c>
      <c r="G183" s="24">
        <v>0</v>
      </c>
      <c r="H183" s="24">
        <v>0</v>
      </c>
      <c r="I183" s="24">
        <v>0</v>
      </c>
      <c r="J183" s="24">
        <v>1262</v>
      </c>
      <c r="K183" s="24">
        <v>4</v>
      </c>
      <c r="L183" s="24">
        <v>0</v>
      </c>
      <c r="M183" s="24">
        <v>1</v>
      </c>
      <c r="N183" s="24">
        <v>0</v>
      </c>
      <c r="O183" s="24">
        <v>0</v>
      </c>
      <c r="P183" s="24">
        <v>0</v>
      </c>
      <c r="Q183" s="24">
        <v>0</v>
      </c>
      <c r="R183" s="24">
        <v>0</v>
      </c>
      <c r="S183" s="24">
        <v>36</v>
      </c>
      <c r="T183" s="24">
        <v>0</v>
      </c>
      <c r="U183" s="24">
        <v>0</v>
      </c>
      <c r="V183" s="24">
        <v>1</v>
      </c>
      <c r="W183" s="24">
        <v>2</v>
      </c>
      <c r="X183" s="24">
        <v>1</v>
      </c>
      <c r="Y183" s="24">
        <v>1</v>
      </c>
      <c r="Z183" s="24">
        <v>0</v>
      </c>
      <c r="AA183" s="24">
        <v>1</v>
      </c>
      <c r="AB183" s="24">
        <v>0</v>
      </c>
      <c r="AC183" s="24">
        <v>0</v>
      </c>
      <c r="AD183" s="24">
        <v>0</v>
      </c>
      <c r="AE183" s="24">
        <v>1</v>
      </c>
      <c r="AF183" s="24">
        <v>0</v>
      </c>
      <c r="AG183" s="24">
        <v>0</v>
      </c>
      <c r="AH183" s="24">
        <v>1</v>
      </c>
      <c r="AI183" s="24">
        <v>0</v>
      </c>
      <c r="AJ183" s="24">
        <v>0</v>
      </c>
      <c r="AK183" s="24">
        <v>0</v>
      </c>
      <c r="AL183" s="24">
        <v>0</v>
      </c>
      <c r="AM183" s="24">
        <v>1</v>
      </c>
      <c r="AN183" s="24">
        <v>0</v>
      </c>
      <c r="AO183" s="24">
        <v>0</v>
      </c>
      <c r="AP183" s="24">
        <v>0</v>
      </c>
      <c r="AQ183" s="24">
        <v>0</v>
      </c>
      <c r="AR183" s="24">
        <v>0</v>
      </c>
      <c r="AS183" s="24">
        <v>1</v>
      </c>
      <c r="AT183" s="24">
        <v>0</v>
      </c>
      <c r="AU183" s="24">
        <v>0</v>
      </c>
      <c r="AV183" s="24">
        <v>0</v>
      </c>
      <c r="AW183" s="24">
        <v>1</v>
      </c>
      <c r="AX183" s="24">
        <v>0</v>
      </c>
      <c r="AY183" s="24">
        <v>0</v>
      </c>
      <c r="AZ183" s="24">
        <v>0</v>
      </c>
      <c r="BA183" s="24">
        <v>1</v>
      </c>
      <c r="BB183" s="24">
        <v>0</v>
      </c>
    </row>
    <row r="184" spans="2:54" ht="13.8" x14ac:dyDescent="0.3">
      <c r="B184" s="24">
        <v>164</v>
      </c>
      <c r="C184" s="24">
        <v>10</v>
      </c>
      <c r="D184" s="24">
        <v>1</v>
      </c>
      <c r="E184" s="24">
        <v>0</v>
      </c>
      <c r="F184" s="24">
        <v>0</v>
      </c>
      <c r="G184" s="24">
        <v>0</v>
      </c>
      <c r="H184" s="24">
        <v>0</v>
      </c>
      <c r="I184" s="24">
        <v>0</v>
      </c>
      <c r="J184" s="24">
        <v>7308</v>
      </c>
      <c r="K184" s="24">
        <v>2</v>
      </c>
      <c r="L184" s="24">
        <v>0</v>
      </c>
      <c r="M184" s="24">
        <v>1</v>
      </c>
      <c r="N184" s="24">
        <v>0</v>
      </c>
      <c r="O184" s="24">
        <v>0</v>
      </c>
      <c r="P184" s="24">
        <v>0</v>
      </c>
      <c r="Q184" s="24">
        <v>0</v>
      </c>
      <c r="R184" s="24">
        <v>1</v>
      </c>
      <c r="S184" s="24">
        <v>70</v>
      </c>
      <c r="T184" s="24">
        <v>1</v>
      </c>
      <c r="U184" s="24">
        <v>0</v>
      </c>
      <c r="V184" s="24">
        <v>0</v>
      </c>
      <c r="W184" s="24">
        <v>1</v>
      </c>
      <c r="X184" s="24">
        <v>1</v>
      </c>
      <c r="Y184" s="24">
        <v>1</v>
      </c>
      <c r="Z184" s="24">
        <v>0</v>
      </c>
      <c r="AA184" s="24">
        <v>1</v>
      </c>
      <c r="AB184" s="24">
        <v>0</v>
      </c>
      <c r="AC184" s="24">
        <v>1</v>
      </c>
      <c r="AD184" s="24">
        <v>0</v>
      </c>
      <c r="AE184" s="24">
        <v>0</v>
      </c>
      <c r="AF184" s="24">
        <v>0</v>
      </c>
      <c r="AG184" s="24">
        <v>0</v>
      </c>
      <c r="AH184" s="24">
        <v>1</v>
      </c>
      <c r="AI184" s="24">
        <v>0</v>
      </c>
      <c r="AJ184" s="24">
        <v>0</v>
      </c>
      <c r="AK184" s="24">
        <v>1</v>
      </c>
      <c r="AL184" s="24">
        <v>0</v>
      </c>
      <c r="AM184" s="24">
        <v>0</v>
      </c>
      <c r="AN184" s="24">
        <v>0</v>
      </c>
      <c r="AO184" s="24">
        <v>0</v>
      </c>
      <c r="AP184" s="24">
        <v>1</v>
      </c>
      <c r="AQ184" s="24">
        <v>0</v>
      </c>
      <c r="AR184" s="24">
        <v>0</v>
      </c>
      <c r="AS184" s="24">
        <v>0</v>
      </c>
      <c r="AT184" s="24">
        <v>0</v>
      </c>
      <c r="AU184" s="24">
        <v>0</v>
      </c>
      <c r="AV184" s="24">
        <v>0</v>
      </c>
      <c r="AW184" s="24">
        <v>0</v>
      </c>
      <c r="AX184" s="24">
        <v>1</v>
      </c>
      <c r="AY184" s="24">
        <v>0</v>
      </c>
      <c r="AZ184" s="24">
        <v>0</v>
      </c>
      <c r="BA184" s="24">
        <v>0</v>
      </c>
      <c r="BB184" s="24">
        <v>1</v>
      </c>
    </row>
    <row r="185" spans="2:54" ht="13.8" x14ac:dyDescent="0.3">
      <c r="B185" s="24">
        <v>165</v>
      </c>
      <c r="C185" s="24">
        <v>36</v>
      </c>
      <c r="D185" s="24">
        <v>1</v>
      </c>
      <c r="E185" s="24">
        <v>0</v>
      </c>
      <c r="F185" s="24">
        <v>0</v>
      </c>
      <c r="G185" s="24">
        <v>0</v>
      </c>
      <c r="H185" s="24">
        <v>0</v>
      </c>
      <c r="I185" s="24">
        <v>0</v>
      </c>
      <c r="J185" s="24">
        <v>909</v>
      </c>
      <c r="K185" s="24">
        <v>4</v>
      </c>
      <c r="L185" s="24">
        <v>0</v>
      </c>
      <c r="M185" s="24">
        <v>1</v>
      </c>
      <c r="N185" s="24">
        <v>0</v>
      </c>
      <c r="O185" s="24">
        <v>0</v>
      </c>
      <c r="P185" s="24">
        <v>0</v>
      </c>
      <c r="Q185" s="24">
        <v>0</v>
      </c>
      <c r="R185" s="24">
        <v>0</v>
      </c>
      <c r="S185" s="24">
        <v>36</v>
      </c>
      <c r="T185" s="24">
        <v>0</v>
      </c>
      <c r="U185" s="24">
        <v>0</v>
      </c>
      <c r="V185" s="24">
        <v>1</v>
      </c>
      <c r="W185" s="24">
        <v>1</v>
      </c>
      <c r="X185" s="24">
        <v>1</v>
      </c>
      <c r="Y185" s="24">
        <v>0</v>
      </c>
      <c r="Z185" s="24">
        <v>0</v>
      </c>
      <c r="AA185" s="24">
        <v>1</v>
      </c>
      <c r="AB185" s="24">
        <v>0</v>
      </c>
      <c r="AC185" s="24">
        <v>0</v>
      </c>
      <c r="AD185" s="24">
        <v>0</v>
      </c>
      <c r="AE185" s="24">
        <v>1</v>
      </c>
      <c r="AF185" s="24">
        <v>0</v>
      </c>
      <c r="AG185" s="24">
        <v>0</v>
      </c>
      <c r="AH185" s="24">
        <v>1</v>
      </c>
      <c r="AI185" s="24">
        <v>0</v>
      </c>
      <c r="AJ185" s="24">
        <v>0</v>
      </c>
      <c r="AK185" s="24">
        <v>0</v>
      </c>
      <c r="AL185" s="24">
        <v>0</v>
      </c>
      <c r="AM185" s="24">
        <v>1</v>
      </c>
      <c r="AN185" s="24">
        <v>0</v>
      </c>
      <c r="AO185" s="24">
        <v>0</v>
      </c>
      <c r="AP185" s="24">
        <v>0</v>
      </c>
      <c r="AQ185" s="24">
        <v>0</v>
      </c>
      <c r="AR185" s="24">
        <v>0</v>
      </c>
      <c r="AS185" s="24">
        <v>0</v>
      </c>
      <c r="AT185" s="24">
        <v>1</v>
      </c>
      <c r="AU185" s="24">
        <v>0</v>
      </c>
      <c r="AV185" s="24">
        <v>0</v>
      </c>
      <c r="AW185" s="24">
        <v>0</v>
      </c>
      <c r="AX185" s="24">
        <v>1</v>
      </c>
      <c r="AY185" s="24">
        <v>0</v>
      </c>
      <c r="AZ185" s="24">
        <v>0</v>
      </c>
      <c r="BA185" s="24">
        <v>1</v>
      </c>
      <c r="BB185" s="24">
        <v>0</v>
      </c>
    </row>
    <row r="186" spans="2:54" ht="13.8" x14ac:dyDescent="0.3">
      <c r="B186" s="24">
        <v>166</v>
      </c>
      <c r="C186" s="24">
        <v>6</v>
      </c>
      <c r="D186" s="24">
        <v>0</v>
      </c>
      <c r="E186" s="24">
        <v>0</v>
      </c>
      <c r="F186" s="24">
        <v>1</v>
      </c>
      <c r="G186" s="24">
        <v>0</v>
      </c>
      <c r="H186" s="24">
        <v>0</v>
      </c>
      <c r="I186" s="24">
        <v>0</v>
      </c>
      <c r="J186" s="24">
        <v>2978</v>
      </c>
      <c r="K186" s="24">
        <v>1</v>
      </c>
      <c r="L186" s="24">
        <v>0</v>
      </c>
      <c r="M186" s="24">
        <v>1</v>
      </c>
      <c r="N186" s="24">
        <v>0</v>
      </c>
      <c r="O186" s="24">
        <v>0</v>
      </c>
      <c r="P186" s="24">
        <v>0</v>
      </c>
      <c r="Q186" s="24">
        <v>0</v>
      </c>
      <c r="R186" s="24">
        <v>0</v>
      </c>
      <c r="S186" s="24">
        <v>32</v>
      </c>
      <c r="T186" s="24">
        <v>0</v>
      </c>
      <c r="U186" s="24">
        <v>0</v>
      </c>
      <c r="V186" s="24">
        <v>1</v>
      </c>
      <c r="W186" s="24">
        <v>1</v>
      </c>
      <c r="X186" s="24">
        <v>1</v>
      </c>
      <c r="Y186" s="24">
        <v>1</v>
      </c>
      <c r="Z186" s="24">
        <v>0</v>
      </c>
      <c r="AA186" s="24">
        <v>1</v>
      </c>
      <c r="AB186" s="24">
        <v>0</v>
      </c>
      <c r="AC186" s="24">
        <v>0</v>
      </c>
      <c r="AD186" s="24">
        <v>0</v>
      </c>
      <c r="AE186" s="24">
        <v>1</v>
      </c>
      <c r="AF186" s="24">
        <v>0</v>
      </c>
      <c r="AG186" s="24">
        <v>0</v>
      </c>
      <c r="AH186" s="24">
        <v>1</v>
      </c>
      <c r="AI186" s="24">
        <v>0</v>
      </c>
      <c r="AJ186" s="24">
        <v>0</v>
      </c>
      <c r="AK186" s="24">
        <v>0</v>
      </c>
      <c r="AL186" s="24">
        <v>0</v>
      </c>
      <c r="AM186" s="24">
        <v>1</v>
      </c>
      <c r="AN186" s="24">
        <v>0</v>
      </c>
      <c r="AO186" s="24">
        <v>0</v>
      </c>
      <c r="AP186" s="24">
        <v>0</v>
      </c>
      <c r="AQ186" s="24">
        <v>0</v>
      </c>
      <c r="AR186" s="24">
        <v>1</v>
      </c>
      <c r="AS186" s="24">
        <v>0</v>
      </c>
      <c r="AT186" s="24">
        <v>0</v>
      </c>
      <c r="AU186" s="24">
        <v>0</v>
      </c>
      <c r="AV186" s="24">
        <v>1</v>
      </c>
      <c r="AW186" s="24">
        <v>0</v>
      </c>
      <c r="AX186" s="24">
        <v>0</v>
      </c>
      <c r="AY186" s="24">
        <v>0</v>
      </c>
      <c r="AZ186" s="24">
        <v>0</v>
      </c>
      <c r="BA186" s="24">
        <v>1</v>
      </c>
      <c r="BB186" s="24">
        <v>0</v>
      </c>
    </row>
    <row r="187" spans="2:54" ht="13.8" x14ac:dyDescent="0.3">
      <c r="B187" s="24">
        <v>167</v>
      </c>
      <c r="C187" s="24">
        <v>18</v>
      </c>
      <c r="D187" s="24">
        <v>0</v>
      </c>
      <c r="E187" s="24">
        <v>0</v>
      </c>
      <c r="F187" s="24">
        <v>1</v>
      </c>
      <c r="G187" s="24">
        <v>0</v>
      </c>
      <c r="H187" s="24">
        <v>0</v>
      </c>
      <c r="I187" s="24">
        <v>0</v>
      </c>
      <c r="J187" s="24">
        <v>1131</v>
      </c>
      <c r="K187" s="24">
        <v>4</v>
      </c>
      <c r="L187" s="24">
        <v>0</v>
      </c>
      <c r="M187" s="24">
        <v>0</v>
      </c>
      <c r="N187" s="24">
        <v>0</v>
      </c>
      <c r="O187" s="24">
        <v>0</v>
      </c>
      <c r="P187" s="24">
        <v>0</v>
      </c>
      <c r="Q187" s="24">
        <v>0</v>
      </c>
      <c r="R187" s="24">
        <v>0</v>
      </c>
      <c r="S187" s="24">
        <v>33</v>
      </c>
      <c r="T187" s="24">
        <v>0</v>
      </c>
      <c r="U187" s="24">
        <v>0</v>
      </c>
      <c r="V187" s="24">
        <v>1</v>
      </c>
      <c r="W187" s="24">
        <v>1</v>
      </c>
      <c r="X187" s="24">
        <v>1</v>
      </c>
      <c r="Y187" s="24">
        <v>0</v>
      </c>
      <c r="Z187" s="24">
        <v>0</v>
      </c>
      <c r="AA187" s="24">
        <v>0</v>
      </c>
      <c r="AB187" s="24">
        <v>1</v>
      </c>
      <c r="AC187" s="24">
        <v>0</v>
      </c>
      <c r="AD187" s="24">
        <v>0</v>
      </c>
      <c r="AE187" s="24">
        <v>0</v>
      </c>
      <c r="AF187" s="24">
        <v>0</v>
      </c>
      <c r="AG187" s="24">
        <v>0</v>
      </c>
      <c r="AH187" s="24">
        <v>1</v>
      </c>
      <c r="AI187" s="24">
        <v>0</v>
      </c>
      <c r="AJ187" s="24">
        <v>0</v>
      </c>
      <c r="AK187" s="24">
        <v>1</v>
      </c>
      <c r="AL187" s="24">
        <v>0</v>
      </c>
      <c r="AM187" s="24">
        <v>0</v>
      </c>
      <c r="AN187" s="24">
        <v>0</v>
      </c>
      <c r="AO187" s="24">
        <v>0</v>
      </c>
      <c r="AP187" s="24">
        <v>1</v>
      </c>
      <c r="AQ187" s="24">
        <v>0</v>
      </c>
      <c r="AR187" s="24">
        <v>0</v>
      </c>
      <c r="AS187" s="24">
        <v>0</v>
      </c>
      <c r="AT187" s="24">
        <v>0</v>
      </c>
      <c r="AU187" s="24">
        <v>0</v>
      </c>
      <c r="AV187" s="24">
        <v>1</v>
      </c>
      <c r="AW187" s="24">
        <v>0</v>
      </c>
      <c r="AX187" s="24">
        <v>0</v>
      </c>
      <c r="AY187" s="24">
        <v>0</v>
      </c>
      <c r="AZ187" s="24">
        <v>0</v>
      </c>
      <c r="BA187" s="24">
        <v>1</v>
      </c>
      <c r="BB187" s="24">
        <v>0</v>
      </c>
    </row>
    <row r="188" spans="2:54" ht="13.8" x14ac:dyDescent="0.3">
      <c r="B188" s="24">
        <v>168</v>
      </c>
      <c r="C188" s="24">
        <v>11</v>
      </c>
      <c r="D188" s="24">
        <v>0</v>
      </c>
      <c r="E188" s="24">
        <v>0</v>
      </c>
      <c r="F188" s="24">
        <v>1</v>
      </c>
      <c r="G188" s="24">
        <v>0</v>
      </c>
      <c r="H188" s="24">
        <v>0</v>
      </c>
      <c r="I188" s="24">
        <v>0</v>
      </c>
      <c r="J188" s="24">
        <v>1577</v>
      </c>
      <c r="K188" s="24">
        <v>4</v>
      </c>
      <c r="L188" s="24">
        <v>0</v>
      </c>
      <c r="M188" s="24">
        <v>0</v>
      </c>
      <c r="N188" s="24">
        <v>0</v>
      </c>
      <c r="O188" s="24">
        <v>0</v>
      </c>
      <c r="P188" s="24">
        <v>0</v>
      </c>
      <c r="Q188" s="24">
        <v>1</v>
      </c>
      <c r="R188" s="24">
        <v>0</v>
      </c>
      <c r="S188" s="24">
        <v>20</v>
      </c>
      <c r="T188" s="24">
        <v>0</v>
      </c>
      <c r="U188" s="24">
        <v>0</v>
      </c>
      <c r="V188" s="24">
        <v>1</v>
      </c>
      <c r="W188" s="24">
        <v>1</v>
      </c>
      <c r="X188" s="24">
        <v>1</v>
      </c>
      <c r="Y188" s="24">
        <v>0</v>
      </c>
      <c r="Z188" s="24">
        <v>0</v>
      </c>
      <c r="AA188" s="24">
        <v>1</v>
      </c>
      <c r="AB188" s="24">
        <v>0</v>
      </c>
      <c r="AC188" s="24">
        <v>1</v>
      </c>
      <c r="AD188" s="24">
        <v>0</v>
      </c>
      <c r="AE188" s="24">
        <v>0</v>
      </c>
      <c r="AF188" s="24">
        <v>0</v>
      </c>
      <c r="AG188" s="24">
        <v>0</v>
      </c>
      <c r="AH188" s="24">
        <v>1</v>
      </c>
      <c r="AI188" s="24">
        <v>0</v>
      </c>
      <c r="AJ188" s="24">
        <v>0</v>
      </c>
      <c r="AK188" s="24">
        <v>0</v>
      </c>
      <c r="AL188" s="24">
        <v>0</v>
      </c>
      <c r="AM188" s="24">
        <v>0</v>
      </c>
      <c r="AN188" s="24">
        <v>1</v>
      </c>
      <c r="AO188" s="24">
        <v>0</v>
      </c>
      <c r="AP188" s="24">
        <v>0</v>
      </c>
      <c r="AQ188" s="24">
        <v>1</v>
      </c>
      <c r="AR188" s="24">
        <v>0</v>
      </c>
      <c r="AS188" s="24">
        <v>0</v>
      </c>
      <c r="AT188" s="24">
        <v>0</v>
      </c>
      <c r="AU188" s="24">
        <v>1</v>
      </c>
      <c r="AV188" s="24">
        <v>0</v>
      </c>
      <c r="AW188" s="24">
        <v>0</v>
      </c>
      <c r="AX188" s="24">
        <v>0</v>
      </c>
      <c r="AY188" s="24">
        <v>0</v>
      </c>
      <c r="AZ188" s="24">
        <v>0</v>
      </c>
      <c r="BA188" s="24">
        <v>1</v>
      </c>
      <c r="BB188" s="24">
        <v>0</v>
      </c>
    </row>
    <row r="189" spans="2:54" ht="13.8" x14ac:dyDescent="0.3">
      <c r="B189" s="24">
        <v>169</v>
      </c>
      <c r="C189" s="24">
        <v>24</v>
      </c>
      <c r="D189" s="24">
        <v>0</v>
      </c>
      <c r="E189" s="24">
        <v>0</v>
      </c>
      <c r="F189" s="24">
        <v>1</v>
      </c>
      <c r="G189" s="24">
        <v>0</v>
      </c>
      <c r="H189" s="24">
        <v>0</v>
      </c>
      <c r="I189" s="24">
        <v>0</v>
      </c>
      <c r="J189" s="24">
        <v>3972</v>
      </c>
      <c r="K189" s="24">
        <v>2</v>
      </c>
      <c r="L189" s="24">
        <v>0</v>
      </c>
      <c r="M189" s="24">
        <v>0</v>
      </c>
      <c r="N189" s="24">
        <v>0</v>
      </c>
      <c r="O189" s="24">
        <v>0</v>
      </c>
      <c r="P189" s="24">
        <v>0</v>
      </c>
      <c r="Q189" s="24">
        <v>0</v>
      </c>
      <c r="R189" s="24">
        <v>0</v>
      </c>
      <c r="S189" s="24">
        <v>25</v>
      </c>
      <c r="T189" s="24">
        <v>0</v>
      </c>
      <c r="U189" s="24">
        <v>1</v>
      </c>
      <c r="V189" s="24">
        <v>0</v>
      </c>
      <c r="W189" s="24">
        <v>1</v>
      </c>
      <c r="X189" s="24">
        <v>1</v>
      </c>
      <c r="Y189" s="24">
        <v>1</v>
      </c>
      <c r="Z189" s="24">
        <v>0</v>
      </c>
      <c r="AA189" s="24">
        <v>1</v>
      </c>
      <c r="AB189" s="24">
        <v>0</v>
      </c>
      <c r="AC189" s="24">
        <v>0</v>
      </c>
      <c r="AD189" s="24">
        <v>0</v>
      </c>
      <c r="AE189" s="24">
        <v>1</v>
      </c>
      <c r="AF189" s="24">
        <v>0</v>
      </c>
      <c r="AG189" s="24">
        <v>0</v>
      </c>
      <c r="AH189" s="24">
        <v>1</v>
      </c>
      <c r="AI189" s="24">
        <v>0</v>
      </c>
      <c r="AJ189" s="24">
        <v>0</v>
      </c>
      <c r="AK189" s="24">
        <v>1</v>
      </c>
      <c r="AL189" s="24">
        <v>0</v>
      </c>
      <c r="AM189" s="24">
        <v>0</v>
      </c>
      <c r="AN189" s="24">
        <v>0</v>
      </c>
      <c r="AO189" s="24">
        <v>0</v>
      </c>
      <c r="AP189" s="24">
        <v>0</v>
      </c>
      <c r="AQ189" s="24">
        <v>0</v>
      </c>
      <c r="AR189" s="24">
        <v>0</v>
      </c>
      <c r="AS189" s="24">
        <v>1</v>
      </c>
      <c r="AT189" s="24">
        <v>0</v>
      </c>
      <c r="AU189" s="24">
        <v>0</v>
      </c>
      <c r="AV189" s="24">
        <v>0</v>
      </c>
      <c r="AW189" s="24">
        <v>0</v>
      </c>
      <c r="AX189" s="24">
        <v>1</v>
      </c>
      <c r="AY189" s="24">
        <v>0</v>
      </c>
      <c r="AZ189" s="24">
        <v>0</v>
      </c>
      <c r="BA189" s="24">
        <v>1</v>
      </c>
      <c r="BB189" s="24">
        <v>0</v>
      </c>
    </row>
    <row r="190" spans="2:54" ht="13.8" x14ac:dyDescent="0.3">
      <c r="B190" s="24">
        <v>170</v>
      </c>
      <c r="C190" s="24">
        <v>24</v>
      </c>
      <c r="D190" s="24">
        <v>0</v>
      </c>
      <c r="E190" s="24">
        <v>0</v>
      </c>
      <c r="F190" s="24">
        <v>0</v>
      </c>
      <c r="G190" s="24">
        <v>0</v>
      </c>
      <c r="H190" s="24">
        <v>0</v>
      </c>
      <c r="I190" s="24">
        <v>1</v>
      </c>
      <c r="J190" s="24">
        <v>1935</v>
      </c>
      <c r="K190" s="24">
        <v>4</v>
      </c>
      <c r="L190" s="24">
        <v>1</v>
      </c>
      <c r="M190" s="24">
        <v>0</v>
      </c>
      <c r="N190" s="24">
        <v>0</v>
      </c>
      <c r="O190" s="24">
        <v>0</v>
      </c>
      <c r="P190" s="24">
        <v>0</v>
      </c>
      <c r="Q190" s="24">
        <v>1</v>
      </c>
      <c r="R190" s="24">
        <v>0</v>
      </c>
      <c r="S190" s="24">
        <v>31</v>
      </c>
      <c r="T190" s="24">
        <v>0</v>
      </c>
      <c r="U190" s="24">
        <v>0</v>
      </c>
      <c r="V190" s="24">
        <v>1</v>
      </c>
      <c r="W190" s="24">
        <v>2</v>
      </c>
      <c r="X190" s="24">
        <v>1</v>
      </c>
      <c r="Y190" s="24">
        <v>1</v>
      </c>
      <c r="Z190" s="24">
        <v>0</v>
      </c>
      <c r="AA190" s="24">
        <v>0</v>
      </c>
      <c r="AB190" s="24">
        <v>0</v>
      </c>
      <c r="AC190" s="24">
        <v>1</v>
      </c>
      <c r="AD190" s="24">
        <v>0</v>
      </c>
      <c r="AE190" s="24">
        <v>0</v>
      </c>
      <c r="AF190" s="24">
        <v>0</v>
      </c>
      <c r="AG190" s="24">
        <v>0</v>
      </c>
      <c r="AH190" s="24">
        <v>0</v>
      </c>
      <c r="AI190" s="24">
        <v>0</v>
      </c>
      <c r="AJ190" s="24">
        <v>1</v>
      </c>
      <c r="AK190" s="24">
        <v>1</v>
      </c>
      <c r="AL190" s="24">
        <v>0</v>
      </c>
      <c r="AM190" s="24">
        <v>0</v>
      </c>
      <c r="AN190" s="24">
        <v>0</v>
      </c>
      <c r="AO190" s="24">
        <v>0</v>
      </c>
      <c r="AP190" s="24">
        <v>0</v>
      </c>
      <c r="AQ190" s="24">
        <v>0</v>
      </c>
      <c r="AR190" s="24">
        <v>0</v>
      </c>
      <c r="AS190" s="24">
        <v>0</v>
      </c>
      <c r="AT190" s="24">
        <v>1</v>
      </c>
      <c r="AU190" s="24">
        <v>0</v>
      </c>
      <c r="AV190" s="24">
        <v>0</v>
      </c>
      <c r="AW190" s="24">
        <v>0</v>
      </c>
      <c r="AX190" s="24">
        <v>1</v>
      </c>
      <c r="AY190" s="24">
        <v>0</v>
      </c>
      <c r="AZ190" s="24">
        <v>0</v>
      </c>
      <c r="BA190" s="24">
        <v>1</v>
      </c>
      <c r="BB190" s="24">
        <v>0</v>
      </c>
    </row>
    <row r="191" spans="2:54" ht="13.8" x14ac:dyDescent="0.3">
      <c r="B191" s="24">
        <v>171</v>
      </c>
      <c r="C191" s="24">
        <v>15</v>
      </c>
      <c r="D191" s="24">
        <v>1</v>
      </c>
      <c r="E191" s="24">
        <v>0</v>
      </c>
      <c r="F191" s="24">
        <v>0</v>
      </c>
      <c r="G191" s="24">
        <v>0</v>
      </c>
      <c r="H191" s="24">
        <v>0</v>
      </c>
      <c r="I191" s="24">
        <v>0</v>
      </c>
      <c r="J191" s="24">
        <v>950</v>
      </c>
      <c r="K191" s="24">
        <v>4</v>
      </c>
      <c r="L191" s="24">
        <v>0</v>
      </c>
      <c r="M191" s="24">
        <v>1</v>
      </c>
      <c r="N191" s="24">
        <v>0</v>
      </c>
      <c r="O191" s="24">
        <v>0</v>
      </c>
      <c r="P191" s="24">
        <v>0</v>
      </c>
      <c r="Q191" s="24">
        <v>0</v>
      </c>
      <c r="R191" s="24">
        <v>0</v>
      </c>
      <c r="S191" s="24">
        <v>33</v>
      </c>
      <c r="T191" s="24">
        <v>0</v>
      </c>
      <c r="U191" s="24">
        <v>1</v>
      </c>
      <c r="V191" s="24">
        <v>0</v>
      </c>
      <c r="W191" s="24">
        <v>2</v>
      </c>
      <c r="X191" s="24">
        <v>2</v>
      </c>
      <c r="Y191" s="24">
        <v>0</v>
      </c>
      <c r="Z191" s="24">
        <v>0</v>
      </c>
      <c r="AA191" s="24">
        <v>0</v>
      </c>
      <c r="AB191" s="24">
        <v>1</v>
      </c>
      <c r="AC191" s="24">
        <v>0</v>
      </c>
      <c r="AD191" s="24">
        <v>0</v>
      </c>
      <c r="AE191" s="24">
        <v>0</v>
      </c>
      <c r="AF191" s="24">
        <v>1</v>
      </c>
      <c r="AG191" s="24">
        <v>0</v>
      </c>
      <c r="AH191" s="24">
        <v>0</v>
      </c>
      <c r="AI191" s="24">
        <v>0</v>
      </c>
      <c r="AJ191" s="24">
        <v>0</v>
      </c>
      <c r="AK191" s="24">
        <v>1</v>
      </c>
      <c r="AL191" s="24">
        <v>0</v>
      </c>
      <c r="AM191" s="24">
        <v>0</v>
      </c>
      <c r="AN191" s="24">
        <v>0</v>
      </c>
      <c r="AO191" s="24">
        <v>0</v>
      </c>
      <c r="AP191" s="24">
        <v>0</v>
      </c>
      <c r="AQ191" s="24">
        <v>0</v>
      </c>
      <c r="AR191" s="24">
        <v>0</v>
      </c>
      <c r="AS191" s="24">
        <v>0</v>
      </c>
      <c r="AT191" s="24">
        <v>1</v>
      </c>
      <c r="AU191" s="24">
        <v>0</v>
      </c>
      <c r="AV191" s="24">
        <v>0</v>
      </c>
      <c r="AW191" s="24">
        <v>1</v>
      </c>
      <c r="AX191" s="24">
        <v>0</v>
      </c>
      <c r="AY191" s="24">
        <v>0</v>
      </c>
      <c r="AZ191" s="24">
        <v>0</v>
      </c>
      <c r="BA191" s="24">
        <v>1</v>
      </c>
      <c r="BB191" s="24">
        <v>0</v>
      </c>
    </row>
    <row r="192" spans="2:54" ht="13.8" x14ac:dyDescent="0.3">
      <c r="B192" s="24">
        <v>172</v>
      </c>
      <c r="C192" s="24">
        <v>12</v>
      </c>
      <c r="D192" s="24">
        <v>0</v>
      </c>
      <c r="E192" s="24">
        <v>0</v>
      </c>
      <c r="F192" s="24">
        <v>1</v>
      </c>
      <c r="G192" s="24">
        <v>0</v>
      </c>
      <c r="H192" s="24">
        <v>0</v>
      </c>
      <c r="I192" s="24">
        <v>0</v>
      </c>
      <c r="J192" s="24">
        <v>763</v>
      </c>
      <c r="K192" s="24">
        <v>4</v>
      </c>
      <c r="L192" s="24">
        <v>0</v>
      </c>
      <c r="M192" s="24">
        <v>0</v>
      </c>
      <c r="N192" s="24">
        <v>0</v>
      </c>
      <c r="O192" s="24">
        <v>0</v>
      </c>
      <c r="P192" s="24">
        <v>0</v>
      </c>
      <c r="Q192" s="24">
        <v>1</v>
      </c>
      <c r="R192" s="24">
        <v>0</v>
      </c>
      <c r="S192" s="24">
        <v>26</v>
      </c>
      <c r="T192" s="24">
        <v>0</v>
      </c>
      <c r="U192" s="24">
        <v>0</v>
      </c>
      <c r="V192" s="24">
        <v>1</v>
      </c>
      <c r="W192" s="24">
        <v>1</v>
      </c>
      <c r="X192" s="24">
        <v>1</v>
      </c>
      <c r="Y192" s="24">
        <v>1</v>
      </c>
      <c r="Z192" s="24">
        <v>0</v>
      </c>
      <c r="AA192" s="24">
        <v>1</v>
      </c>
      <c r="AB192" s="24">
        <v>0</v>
      </c>
      <c r="AC192" s="24">
        <v>0</v>
      </c>
      <c r="AD192" s="24">
        <v>0</v>
      </c>
      <c r="AE192" s="24">
        <v>1</v>
      </c>
      <c r="AF192" s="24">
        <v>0</v>
      </c>
      <c r="AG192" s="24">
        <v>0</v>
      </c>
      <c r="AH192" s="24">
        <v>1</v>
      </c>
      <c r="AI192" s="24">
        <v>0</v>
      </c>
      <c r="AJ192" s="24">
        <v>0</v>
      </c>
      <c r="AK192" s="24">
        <v>1</v>
      </c>
      <c r="AL192" s="24">
        <v>0</v>
      </c>
      <c r="AM192" s="24">
        <v>0</v>
      </c>
      <c r="AN192" s="24">
        <v>0</v>
      </c>
      <c r="AO192" s="24">
        <v>0</v>
      </c>
      <c r="AP192" s="24">
        <v>0</v>
      </c>
      <c r="AQ192" s="24">
        <v>0</v>
      </c>
      <c r="AR192" s="24">
        <v>1</v>
      </c>
      <c r="AS192" s="24">
        <v>0</v>
      </c>
      <c r="AT192" s="24">
        <v>0</v>
      </c>
      <c r="AU192" s="24">
        <v>1</v>
      </c>
      <c r="AV192" s="24">
        <v>0</v>
      </c>
      <c r="AW192" s="24">
        <v>0</v>
      </c>
      <c r="AX192" s="24">
        <v>0</v>
      </c>
      <c r="AY192" s="24">
        <v>0</v>
      </c>
      <c r="AZ192" s="24">
        <v>0</v>
      </c>
      <c r="BA192" s="24">
        <v>1</v>
      </c>
      <c r="BB192" s="24">
        <v>0</v>
      </c>
    </row>
    <row r="193" spans="2:54" ht="13.8" x14ac:dyDescent="0.3">
      <c r="B193" s="24">
        <v>173</v>
      </c>
      <c r="C193" s="24">
        <v>24</v>
      </c>
      <c r="D193" s="24">
        <v>0</v>
      </c>
      <c r="E193" s="24">
        <v>0</v>
      </c>
      <c r="F193" s="24">
        <v>1</v>
      </c>
      <c r="G193" s="24">
        <v>0</v>
      </c>
      <c r="H193" s="24">
        <v>0</v>
      </c>
      <c r="I193" s="24">
        <v>0</v>
      </c>
      <c r="J193" s="24">
        <v>2064</v>
      </c>
      <c r="K193" s="24">
        <v>3</v>
      </c>
      <c r="L193" s="24">
        <v>0</v>
      </c>
      <c r="M193" s="24">
        <v>0</v>
      </c>
      <c r="N193" s="24">
        <v>0</v>
      </c>
      <c r="O193" s="24">
        <v>0</v>
      </c>
      <c r="P193" s="24">
        <v>0</v>
      </c>
      <c r="Q193" s="24">
        <v>0</v>
      </c>
      <c r="R193" s="24">
        <v>0</v>
      </c>
      <c r="S193" s="24">
        <v>34</v>
      </c>
      <c r="T193" s="24">
        <v>0</v>
      </c>
      <c r="U193" s="24">
        <v>0</v>
      </c>
      <c r="V193" s="24">
        <v>1</v>
      </c>
      <c r="W193" s="24">
        <v>1</v>
      </c>
      <c r="X193" s="24">
        <v>1</v>
      </c>
      <c r="Y193" s="24">
        <v>1</v>
      </c>
      <c r="Z193" s="24">
        <v>0</v>
      </c>
      <c r="AA193" s="24">
        <v>0</v>
      </c>
      <c r="AB193" s="24">
        <v>0</v>
      </c>
      <c r="AC193" s="24">
        <v>1</v>
      </c>
      <c r="AD193" s="24">
        <v>0</v>
      </c>
      <c r="AE193" s="24">
        <v>0</v>
      </c>
      <c r="AF193" s="24">
        <v>0</v>
      </c>
      <c r="AG193" s="24">
        <v>0</v>
      </c>
      <c r="AH193" s="24">
        <v>0</v>
      </c>
      <c r="AI193" s="24">
        <v>1</v>
      </c>
      <c r="AJ193" s="24">
        <v>0</v>
      </c>
      <c r="AK193" s="24">
        <v>1</v>
      </c>
      <c r="AL193" s="24">
        <v>0</v>
      </c>
      <c r="AM193" s="24">
        <v>0</v>
      </c>
      <c r="AN193" s="24">
        <v>0</v>
      </c>
      <c r="AO193" s="24">
        <v>0</v>
      </c>
      <c r="AP193" s="24">
        <v>1</v>
      </c>
      <c r="AQ193" s="24">
        <v>0</v>
      </c>
      <c r="AR193" s="24">
        <v>0</v>
      </c>
      <c r="AS193" s="24">
        <v>0</v>
      </c>
      <c r="AT193" s="24">
        <v>0</v>
      </c>
      <c r="AU193" s="24">
        <v>0</v>
      </c>
      <c r="AV193" s="24">
        <v>1</v>
      </c>
      <c r="AW193" s="24">
        <v>0</v>
      </c>
      <c r="AX193" s="24">
        <v>0</v>
      </c>
      <c r="AY193" s="24">
        <v>0</v>
      </c>
      <c r="AZ193" s="24">
        <v>0</v>
      </c>
      <c r="BA193" s="24">
        <v>0</v>
      </c>
      <c r="BB193" s="24">
        <v>1</v>
      </c>
    </row>
    <row r="194" spans="2:54" ht="13.8" x14ac:dyDescent="0.3">
      <c r="B194" s="24">
        <v>174</v>
      </c>
      <c r="C194" s="24">
        <v>8</v>
      </c>
      <c r="D194" s="24">
        <v>0</v>
      </c>
      <c r="E194" s="24">
        <v>0</v>
      </c>
      <c r="F194" s="24">
        <v>0</v>
      </c>
      <c r="G194" s="24">
        <v>1</v>
      </c>
      <c r="H194" s="24">
        <v>0</v>
      </c>
      <c r="I194" s="24">
        <v>0</v>
      </c>
      <c r="J194" s="24">
        <v>1414</v>
      </c>
      <c r="K194" s="24">
        <v>4</v>
      </c>
      <c r="L194" s="24">
        <v>0</v>
      </c>
      <c r="M194" s="24">
        <v>1</v>
      </c>
      <c r="N194" s="24">
        <v>0</v>
      </c>
      <c r="O194" s="24">
        <v>0</v>
      </c>
      <c r="P194" s="24">
        <v>1</v>
      </c>
      <c r="Q194" s="24">
        <v>1</v>
      </c>
      <c r="R194" s="24">
        <v>0</v>
      </c>
      <c r="S194" s="24">
        <v>33</v>
      </c>
      <c r="T194" s="24">
        <v>0</v>
      </c>
      <c r="U194" s="24">
        <v>0</v>
      </c>
      <c r="V194" s="24">
        <v>1</v>
      </c>
      <c r="W194" s="24">
        <v>1</v>
      </c>
      <c r="X194" s="24">
        <v>1</v>
      </c>
      <c r="Y194" s="24">
        <v>0</v>
      </c>
      <c r="Z194" s="24">
        <v>1</v>
      </c>
      <c r="AA194" s="24">
        <v>1</v>
      </c>
      <c r="AB194" s="24">
        <v>0</v>
      </c>
      <c r="AC194" s="24">
        <v>1</v>
      </c>
      <c r="AD194" s="24">
        <v>0</v>
      </c>
      <c r="AE194" s="24">
        <v>0</v>
      </c>
      <c r="AF194" s="24">
        <v>0</v>
      </c>
      <c r="AG194" s="24">
        <v>0</v>
      </c>
      <c r="AH194" s="24">
        <v>1</v>
      </c>
      <c r="AI194" s="24">
        <v>0</v>
      </c>
      <c r="AJ194" s="24">
        <v>0</v>
      </c>
      <c r="AK194" s="24">
        <v>1</v>
      </c>
      <c r="AL194" s="24">
        <v>0</v>
      </c>
      <c r="AM194" s="24">
        <v>0</v>
      </c>
      <c r="AN194" s="24">
        <v>0</v>
      </c>
      <c r="AO194" s="24">
        <v>0</v>
      </c>
      <c r="AP194" s="24">
        <v>0</v>
      </c>
      <c r="AQ194" s="24">
        <v>0</v>
      </c>
      <c r="AR194" s="24">
        <v>1</v>
      </c>
      <c r="AS194" s="24">
        <v>0</v>
      </c>
      <c r="AT194" s="24">
        <v>0</v>
      </c>
      <c r="AU194" s="24">
        <v>0</v>
      </c>
      <c r="AV194" s="24">
        <v>1</v>
      </c>
      <c r="AW194" s="24">
        <v>0</v>
      </c>
      <c r="AX194" s="24">
        <v>0</v>
      </c>
      <c r="AY194" s="24">
        <v>0</v>
      </c>
      <c r="AZ194" s="24">
        <v>0</v>
      </c>
      <c r="BA194" s="24">
        <v>1</v>
      </c>
      <c r="BB194" s="24">
        <v>0</v>
      </c>
    </row>
    <row r="195" spans="2:54" ht="13.8" x14ac:dyDescent="0.3">
      <c r="B195" s="24">
        <v>175</v>
      </c>
      <c r="C195" s="24">
        <v>21</v>
      </c>
      <c r="D195" s="24">
        <v>0</v>
      </c>
      <c r="E195" s="24">
        <v>0</v>
      </c>
      <c r="F195" s="24">
        <v>0</v>
      </c>
      <c r="G195" s="24">
        <v>0</v>
      </c>
      <c r="H195" s="24">
        <v>1</v>
      </c>
      <c r="I195" s="24">
        <v>0</v>
      </c>
      <c r="J195" s="24">
        <v>3414</v>
      </c>
      <c r="K195" s="24">
        <v>2</v>
      </c>
      <c r="L195" s="24">
        <v>0</v>
      </c>
      <c r="M195" s="24">
        <v>1</v>
      </c>
      <c r="N195" s="24">
        <v>0</v>
      </c>
      <c r="O195" s="24">
        <v>0</v>
      </c>
      <c r="P195" s="24">
        <v>0</v>
      </c>
      <c r="Q195" s="24">
        <v>0</v>
      </c>
      <c r="R195" s="24">
        <v>0</v>
      </c>
      <c r="S195" s="24">
        <v>26</v>
      </c>
      <c r="T195" s="24">
        <v>0</v>
      </c>
      <c r="U195" s="24">
        <v>0</v>
      </c>
      <c r="V195" s="24">
        <v>1</v>
      </c>
      <c r="W195" s="24">
        <v>2</v>
      </c>
      <c r="X195" s="24">
        <v>1</v>
      </c>
      <c r="Y195" s="24">
        <v>0</v>
      </c>
      <c r="Z195" s="24">
        <v>0</v>
      </c>
      <c r="AA195" s="24">
        <v>0</v>
      </c>
      <c r="AB195" s="24">
        <v>1</v>
      </c>
      <c r="AC195" s="24">
        <v>0</v>
      </c>
      <c r="AD195" s="24">
        <v>0</v>
      </c>
      <c r="AE195" s="24">
        <v>0</v>
      </c>
      <c r="AF195" s="24">
        <v>0</v>
      </c>
      <c r="AG195" s="24">
        <v>0</v>
      </c>
      <c r="AH195" s="24">
        <v>0</v>
      </c>
      <c r="AI195" s="24">
        <v>1</v>
      </c>
      <c r="AJ195" s="24">
        <v>0</v>
      </c>
      <c r="AK195" s="24">
        <v>1</v>
      </c>
      <c r="AL195" s="24">
        <v>0</v>
      </c>
      <c r="AM195" s="24">
        <v>0</v>
      </c>
      <c r="AN195" s="24">
        <v>0</v>
      </c>
      <c r="AO195" s="24">
        <v>0</v>
      </c>
      <c r="AP195" s="24">
        <v>0</v>
      </c>
      <c r="AQ195" s="24">
        <v>1</v>
      </c>
      <c r="AR195" s="24">
        <v>0</v>
      </c>
      <c r="AS195" s="24">
        <v>0</v>
      </c>
      <c r="AT195" s="24">
        <v>0</v>
      </c>
      <c r="AU195" s="24">
        <v>1</v>
      </c>
      <c r="AV195" s="24">
        <v>0</v>
      </c>
      <c r="AW195" s="24">
        <v>0</v>
      </c>
      <c r="AX195" s="24">
        <v>0</v>
      </c>
      <c r="AY195" s="24">
        <v>0</v>
      </c>
      <c r="AZ195" s="24">
        <v>0</v>
      </c>
      <c r="BA195" s="24">
        <v>1</v>
      </c>
      <c r="BB195" s="24">
        <v>0</v>
      </c>
    </row>
    <row r="196" spans="2:54" ht="13.8" x14ac:dyDescent="0.3">
      <c r="B196" s="24">
        <v>176</v>
      </c>
      <c r="C196" s="24">
        <v>30</v>
      </c>
      <c r="D196" s="24">
        <v>0</v>
      </c>
      <c r="E196" s="24">
        <v>1</v>
      </c>
      <c r="F196" s="24">
        <v>0</v>
      </c>
      <c r="G196" s="24">
        <v>0</v>
      </c>
      <c r="H196" s="24">
        <v>0</v>
      </c>
      <c r="I196" s="24">
        <v>0</v>
      </c>
      <c r="J196" s="24">
        <v>7485</v>
      </c>
      <c r="K196" s="24">
        <v>4</v>
      </c>
      <c r="L196" s="24">
        <v>0</v>
      </c>
      <c r="M196" s="24">
        <v>0</v>
      </c>
      <c r="N196" s="24">
        <v>0</v>
      </c>
      <c r="O196" s="24">
        <v>0</v>
      </c>
      <c r="P196" s="24">
        <v>0</v>
      </c>
      <c r="Q196" s="24">
        <v>1</v>
      </c>
      <c r="R196" s="24">
        <v>0</v>
      </c>
      <c r="S196" s="24">
        <v>53</v>
      </c>
      <c r="T196" s="24">
        <v>1</v>
      </c>
      <c r="U196" s="24">
        <v>0</v>
      </c>
      <c r="V196" s="24">
        <v>1</v>
      </c>
      <c r="W196" s="24">
        <v>1</v>
      </c>
      <c r="X196" s="24">
        <v>1</v>
      </c>
      <c r="Y196" s="24">
        <v>1</v>
      </c>
      <c r="Z196" s="24">
        <v>0</v>
      </c>
      <c r="AA196" s="24">
        <v>0</v>
      </c>
      <c r="AB196" s="24">
        <v>0</v>
      </c>
      <c r="AC196" s="24">
        <v>0</v>
      </c>
      <c r="AD196" s="24">
        <v>0</v>
      </c>
      <c r="AE196" s="24">
        <v>1</v>
      </c>
      <c r="AF196" s="24">
        <v>0</v>
      </c>
      <c r="AG196" s="24">
        <v>1</v>
      </c>
      <c r="AH196" s="24">
        <v>0</v>
      </c>
      <c r="AI196" s="24">
        <v>0</v>
      </c>
      <c r="AJ196" s="24">
        <v>0</v>
      </c>
      <c r="AK196" s="24">
        <v>0</v>
      </c>
      <c r="AL196" s="24">
        <v>0</v>
      </c>
      <c r="AM196" s="24">
        <v>0</v>
      </c>
      <c r="AN196" s="24">
        <v>0</v>
      </c>
      <c r="AO196" s="24">
        <v>1</v>
      </c>
      <c r="AP196" s="24">
        <v>1</v>
      </c>
      <c r="AQ196" s="24">
        <v>0</v>
      </c>
      <c r="AR196" s="24">
        <v>0</v>
      </c>
      <c r="AS196" s="24">
        <v>0</v>
      </c>
      <c r="AT196" s="24">
        <v>0</v>
      </c>
      <c r="AU196" s="24">
        <v>1</v>
      </c>
      <c r="AV196" s="24">
        <v>0</v>
      </c>
      <c r="AW196" s="24">
        <v>0</v>
      </c>
      <c r="AX196" s="24">
        <v>0</v>
      </c>
      <c r="AY196" s="24">
        <v>0</v>
      </c>
      <c r="AZ196" s="24">
        <v>0</v>
      </c>
      <c r="BA196" s="24">
        <v>0</v>
      </c>
      <c r="BB196" s="24">
        <v>1</v>
      </c>
    </row>
    <row r="197" spans="2:54" ht="13.8" x14ac:dyDescent="0.3">
      <c r="B197" s="24">
        <v>177</v>
      </c>
      <c r="C197" s="24">
        <v>12</v>
      </c>
      <c r="D197" s="24">
        <v>0</v>
      </c>
      <c r="E197" s="24">
        <v>0</v>
      </c>
      <c r="F197" s="24">
        <v>1</v>
      </c>
      <c r="G197" s="24">
        <v>0</v>
      </c>
      <c r="H197" s="24">
        <v>0</v>
      </c>
      <c r="I197" s="24">
        <v>0</v>
      </c>
      <c r="J197" s="24">
        <v>2577</v>
      </c>
      <c r="K197" s="24">
        <v>2</v>
      </c>
      <c r="L197" s="24">
        <v>1</v>
      </c>
      <c r="M197" s="24">
        <v>0</v>
      </c>
      <c r="N197" s="24">
        <v>0</v>
      </c>
      <c r="O197" s="24">
        <v>0</v>
      </c>
      <c r="P197" s="24">
        <v>0</v>
      </c>
      <c r="Q197" s="24">
        <v>0</v>
      </c>
      <c r="R197" s="24">
        <v>0</v>
      </c>
      <c r="S197" s="24">
        <v>42</v>
      </c>
      <c r="T197" s="24">
        <v>0</v>
      </c>
      <c r="U197" s="24">
        <v>0</v>
      </c>
      <c r="V197" s="24">
        <v>1</v>
      </c>
      <c r="W197" s="24">
        <v>1</v>
      </c>
      <c r="X197" s="24">
        <v>1</v>
      </c>
      <c r="Y197" s="24">
        <v>0</v>
      </c>
      <c r="Z197" s="24">
        <v>0</v>
      </c>
      <c r="AA197" s="24">
        <v>1</v>
      </c>
      <c r="AB197" s="24">
        <v>1</v>
      </c>
      <c r="AC197" s="24">
        <v>0</v>
      </c>
      <c r="AD197" s="24">
        <v>0</v>
      </c>
      <c r="AE197" s="24">
        <v>0</v>
      </c>
      <c r="AF197" s="24">
        <v>0</v>
      </c>
      <c r="AG197" s="24">
        <v>0</v>
      </c>
      <c r="AH197" s="24">
        <v>1</v>
      </c>
      <c r="AI197" s="24">
        <v>0</v>
      </c>
      <c r="AJ197" s="24">
        <v>0</v>
      </c>
      <c r="AK197" s="24">
        <v>1</v>
      </c>
      <c r="AL197" s="24">
        <v>0</v>
      </c>
      <c r="AM197" s="24">
        <v>0</v>
      </c>
      <c r="AN197" s="24">
        <v>0</v>
      </c>
      <c r="AO197" s="24">
        <v>0</v>
      </c>
      <c r="AP197" s="24">
        <v>0</v>
      </c>
      <c r="AQ197" s="24">
        <v>0</v>
      </c>
      <c r="AR197" s="24">
        <v>1</v>
      </c>
      <c r="AS197" s="24">
        <v>0</v>
      </c>
      <c r="AT197" s="24">
        <v>0</v>
      </c>
      <c r="AU197" s="24">
        <v>1</v>
      </c>
      <c r="AV197" s="24">
        <v>0</v>
      </c>
      <c r="AW197" s="24">
        <v>0</v>
      </c>
      <c r="AX197" s="24">
        <v>0</v>
      </c>
      <c r="AY197" s="24">
        <v>0</v>
      </c>
      <c r="AZ197" s="24">
        <v>0</v>
      </c>
      <c r="BA197" s="24">
        <v>1</v>
      </c>
      <c r="BB197" s="24">
        <v>0</v>
      </c>
    </row>
    <row r="198" spans="2:54" ht="13.8" x14ac:dyDescent="0.3">
      <c r="B198" s="24">
        <v>178</v>
      </c>
      <c r="C198" s="24">
        <v>6</v>
      </c>
      <c r="D198" s="24">
        <v>0</v>
      </c>
      <c r="E198" s="24">
        <v>0</v>
      </c>
      <c r="F198" s="24">
        <v>0</v>
      </c>
      <c r="G198" s="24">
        <v>1</v>
      </c>
      <c r="H198" s="24">
        <v>0</v>
      </c>
      <c r="I198" s="24">
        <v>0</v>
      </c>
      <c r="J198" s="24">
        <v>338</v>
      </c>
      <c r="K198" s="24">
        <v>4</v>
      </c>
      <c r="L198" s="24">
        <v>0</v>
      </c>
      <c r="M198" s="24">
        <v>1</v>
      </c>
      <c r="N198" s="24">
        <v>0</v>
      </c>
      <c r="O198" s="24">
        <v>0</v>
      </c>
      <c r="P198" s="24">
        <v>0</v>
      </c>
      <c r="Q198" s="24">
        <v>0</v>
      </c>
      <c r="R198" s="24">
        <v>0</v>
      </c>
      <c r="S198" s="24">
        <v>52</v>
      </c>
      <c r="T198" s="24">
        <v>0</v>
      </c>
      <c r="U198" s="24">
        <v>0</v>
      </c>
      <c r="V198" s="24">
        <v>1</v>
      </c>
      <c r="W198" s="24">
        <v>2</v>
      </c>
      <c r="X198" s="24">
        <v>1</v>
      </c>
      <c r="Y198" s="24">
        <v>0</v>
      </c>
      <c r="Z198" s="24">
        <v>0</v>
      </c>
      <c r="AA198" s="24">
        <v>1</v>
      </c>
      <c r="AB198" s="24">
        <v>1</v>
      </c>
      <c r="AC198" s="24">
        <v>0</v>
      </c>
      <c r="AD198" s="24">
        <v>0</v>
      </c>
      <c r="AE198" s="24">
        <v>0</v>
      </c>
      <c r="AF198" s="24">
        <v>0</v>
      </c>
      <c r="AG198" s="24">
        <v>0</v>
      </c>
      <c r="AH198" s="24">
        <v>0</v>
      </c>
      <c r="AI198" s="24">
        <v>0</v>
      </c>
      <c r="AJ198" s="24">
        <v>1</v>
      </c>
      <c r="AK198" s="24">
        <v>0</v>
      </c>
      <c r="AL198" s="24">
        <v>0</v>
      </c>
      <c r="AM198" s="24">
        <v>1</v>
      </c>
      <c r="AN198" s="24">
        <v>0</v>
      </c>
      <c r="AO198" s="24">
        <v>0</v>
      </c>
      <c r="AP198" s="24">
        <v>0</v>
      </c>
      <c r="AQ198" s="24">
        <v>0</v>
      </c>
      <c r="AR198" s="24">
        <v>0</v>
      </c>
      <c r="AS198" s="24">
        <v>0</v>
      </c>
      <c r="AT198" s="24">
        <v>1</v>
      </c>
      <c r="AU198" s="24">
        <v>0</v>
      </c>
      <c r="AV198" s="24">
        <v>0</v>
      </c>
      <c r="AW198" s="24">
        <v>0</v>
      </c>
      <c r="AX198" s="24">
        <v>1</v>
      </c>
      <c r="AY198" s="24">
        <v>0</v>
      </c>
      <c r="AZ198" s="24">
        <v>0</v>
      </c>
      <c r="BA198" s="24">
        <v>1</v>
      </c>
      <c r="BB198" s="24">
        <v>0</v>
      </c>
    </row>
    <row r="199" spans="2:54" ht="13.8" x14ac:dyDescent="0.3">
      <c r="B199" s="24">
        <v>179</v>
      </c>
      <c r="C199" s="24">
        <v>12</v>
      </c>
      <c r="D199" s="24">
        <v>0</v>
      </c>
      <c r="E199" s="24">
        <v>0</v>
      </c>
      <c r="F199" s="24">
        <v>0</v>
      </c>
      <c r="G199" s="24">
        <v>1</v>
      </c>
      <c r="H199" s="24">
        <v>0</v>
      </c>
      <c r="I199" s="24">
        <v>0</v>
      </c>
      <c r="J199" s="24">
        <v>1963</v>
      </c>
      <c r="K199" s="24">
        <v>4</v>
      </c>
      <c r="L199" s="24">
        <v>0</v>
      </c>
      <c r="M199" s="24">
        <v>1</v>
      </c>
      <c r="N199" s="24">
        <v>0</v>
      </c>
      <c r="O199" s="24">
        <v>0</v>
      </c>
      <c r="P199" s="24">
        <v>0</v>
      </c>
      <c r="Q199" s="24">
        <v>0</v>
      </c>
      <c r="R199" s="24">
        <v>0</v>
      </c>
      <c r="S199" s="24">
        <v>31</v>
      </c>
      <c r="T199" s="24">
        <v>0</v>
      </c>
      <c r="U199" s="24">
        <v>1</v>
      </c>
      <c r="V199" s="24">
        <v>0</v>
      </c>
      <c r="W199" s="24">
        <v>2</v>
      </c>
      <c r="X199" s="24">
        <v>2</v>
      </c>
      <c r="Y199" s="24">
        <v>1</v>
      </c>
      <c r="Z199" s="24">
        <v>0</v>
      </c>
      <c r="AA199" s="24">
        <v>1</v>
      </c>
      <c r="AB199" s="24">
        <v>0</v>
      </c>
      <c r="AC199" s="24">
        <v>0</v>
      </c>
      <c r="AD199" s="24">
        <v>0</v>
      </c>
      <c r="AE199" s="24">
        <v>1</v>
      </c>
      <c r="AF199" s="24">
        <v>0</v>
      </c>
      <c r="AG199" s="24">
        <v>0</v>
      </c>
      <c r="AH199" s="24">
        <v>1</v>
      </c>
      <c r="AI199" s="24">
        <v>0</v>
      </c>
      <c r="AJ199" s="24">
        <v>0</v>
      </c>
      <c r="AK199" s="24">
        <v>1</v>
      </c>
      <c r="AL199" s="24">
        <v>0</v>
      </c>
      <c r="AM199" s="24">
        <v>0</v>
      </c>
      <c r="AN199" s="24">
        <v>0</v>
      </c>
      <c r="AO199" s="24">
        <v>0</v>
      </c>
      <c r="AP199" s="24">
        <v>0</v>
      </c>
      <c r="AQ199" s="24">
        <v>0</v>
      </c>
      <c r="AR199" s="24">
        <v>0</v>
      </c>
      <c r="AS199" s="24">
        <v>1</v>
      </c>
      <c r="AT199" s="24">
        <v>0</v>
      </c>
      <c r="AU199" s="24">
        <v>0</v>
      </c>
      <c r="AV199" s="24">
        <v>1</v>
      </c>
      <c r="AW199" s="24">
        <v>0</v>
      </c>
      <c r="AX199" s="24">
        <v>0</v>
      </c>
      <c r="AY199" s="24">
        <v>0</v>
      </c>
      <c r="AZ199" s="24">
        <v>0</v>
      </c>
      <c r="BA199" s="24">
        <v>0</v>
      </c>
      <c r="BB199" s="24">
        <v>1</v>
      </c>
    </row>
    <row r="200" spans="2:54" ht="13.8" x14ac:dyDescent="0.3">
      <c r="B200" s="24">
        <v>180</v>
      </c>
      <c r="C200" s="24">
        <v>21</v>
      </c>
      <c r="D200" s="24">
        <v>1</v>
      </c>
      <c r="E200" s="24">
        <v>0</v>
      </c>
      <c r="F200" s="24">
        <v>0</v>
      </c>
      <c r="G200" s="24">
        <v>0</v>
      </c>
      <c r="H200" s="24">
        <v>0</v>
      </c>
      <c r="I200" s="24">
        <v>0</v>
      </c>
      <c r="J200" s="24">
        <v>571</v>
      </c>
      <c r="K200" s="24">
        <v>4</v>
      </c>
      <c r="L200" s="24">
        <v>0</v>
      </c>
      <c r="M200" s="24">
        <v>1</v>
      </c>
      <c r="N200" s="24">
        <v>0</v>
      </c>
      <c r="O200" s="24">
        <v>0</v>
      </c>
      <c r="P200" s="24">
        <v>0</v>
      </c>
      <c r="Q200" s="24">
        <v>1</v>
      </c>
      <c r="R200" s="24">
        <v>0</v>
      </c>
      <c r="S200" s="24">
        <v>65</v>
      </c>
      <c r="T200" s="24">
        <v>0</v>
      </c>
      <c r="U200" s="24">
        <v>0</v>
      </c>
      <c r="V200" s="24">
        <v>1</v>
      </c>
      <c r="W200" s="24">
        <v>2</v>
      </c>
      <c r="X200" s="24">
        <v>1</v>
      </c>
      <c r="Y200" s="24">
        <v>0</v>
      </c>
      <c r="Z200" s="24">
        <v>0</v>
      </c>
      <c r="AA200" s="24">
        <v>1</v>
      </c>
      <c r="AB200" s="24">
        <v>1</v>
      </c>
      <c r="AC200" s="24">
        <v>0</v>
      </c>
      <c r="AD200" s="24">
        <v>0</v>
      </c>
      <c r="AE200" s="24">
        <v>0</v>
      </c>
      <c r="AF200" s="24">
        <v>0</v>
      </c>
      <c r="AG200" s="24">
        <v>0</v>
      </c>
      <c r="AH200" s="24">
        <v>0</v>
      </c>
      <c r="AI200" s="24">
        <v>0</v>
      </c>
      <c r="AJ200" s="24">
        <v>1</v>
      </c>
      <c r="AK200" s="24">
        <v>1</v>
      </c>
      <c r="AL200" s="24">
        <v>0</v>
      </c>
      <c r="AM200" s="24">
        <v>0</v>
      </c>
      <c r="AN200" s="24">
        <v>0</v>
      </c>
      <c r="AO200" s="24">
        <v>0</v>
      </c>
      <c r="AP200" s="24">
        <v>0</v>
      </c>
      <c r="AQ200" s="24">
        <v>0</v>
      </c>
      <c r="AR200" s="24">
        <v>0</v>
      </c>
      <c r="AS200" s="24">
        <v>0</v>
      </c>
      <c r="AT200" s="24">
        <v>1</v>
      </c>
      <c r="AU200" s="24">
        <v>0</v>
      </c>
      <c r="AV200" s="24">
        <v>0</v>
      </c>
      <c r="AW200" s="24">
        <v>0</v>
      </c>
      <c r="AX200" s="24">
        <v>1</v>
      </c>
      <c r="AY200" s="24">
        <v>0</v>
      </c>
      <c r="AZ200" s="24">
        <v>0</v>
      </c>
      <c r="BA200" s="24">
        <v>1</v>
      </c>
      <c r="BB200" s="24">
        <v>0</v>
      </c>
    </row>
    <row r="201" spans="2:54" ht="13.8" x14ac:dyDescent="0.3">
      <c r="B201" s="24">
        <v>181</v>
      </c>
      <c r="C201" s="24">
        <v>36</v>
      </c>
      <c r="D201" s="24">
        <v>0</v>
      </c>
      <c r="E201" s="24">
        <v>0</v>
      </c>
      <c r="F201" s="24">
        <v>0</v>
      </c>
      <c r="G201" s="24">
        <v>0</v>
      </c>
      <c r="H201" s="24">
        <v>0</v>
      </c>
      <c r="I201" s="24">
        <v>1</v>
      </c>
      <c r="J201" s="24">
        <v>9572</v>
      </c>
      <c r="K201" s="24">
        <v>1</v>
      </c>
      <c r="L201" s="24">
        <v>1</v>
      </c>
      <c r="M201" s="24">
        <v>0</v>
      </c>
      <c r="N201" s="24">
        <v>0</v>
      </c>
      <c r="O201" s="24">
        <v>0</v>
      </c>
      <c r="P201" s="24">
        <v>0</v>
      </c>
      <c r="Q201" s="24">
        <v>0</v>
      </c>
      <c r="R201" s="24">
        <v>0</v>
      </c>
      <c r="S201" s="24">
        <v>28</v>
      </c>
      <c r="T201" s="24">
        <v>0</v>
      </c>
      <c r="U201" s="24">
        <v>0</v>
      </c>
      <c r="V201" s="24">
        <v>1</v>
      </c>
      <c r="W201" s="24">
        <v>2</v>
      </c>
      <c r="X201" s="24">
        <v>1</v>
      </c>
      <c r="Y201" s="24">
        <v>0</v>
      </c>
      <c r="Z201" s="24">
        <v>0</v>
      </c>
      <c r="AA201" s="24">
        <v>0</v>
      </c>
      <c r="AB201" s="24">
        <v>0</v>
      </c>
      <c r="AC201" s="24">
        <v>0</v>
      </c>
      <c r="AD201" s="24">
        <v>0</v>
      </c>
      <c r="AE201" s="24">
        <v>1</v>
      </c>
      <c r="AF201" s="24">
        <v>0</v>
      </c>
      <c r="AG201" s="24">
        <v>0</v>
      </c>
      <c r="AH201" s="24">
        <v>0</v>
      </c>
      <c r="AI201" s="24">
        <v>1</v>
      </c>
      <c r="AJ201" s="24">
        <v>0</v>
      </c>
      <c r="AK201" s="24">
        <v>1</v>
      </c>
      <c r="AL201" s="24">
        <v>0</v>
      </c>
      <c r="AM201" s="24">
        <v>0</v>
      </c>
      <c r="AN201" s="24">
        <v>0</v>
      </c>
      <c r="AO201" s="24">
        <v>0</v>
      </c>
      <c r="AP201" s="24">
        <v>0</v>
      </c>
      <c r="AQ201" s="24">
        <v>1</v>
      </c>
      <c r="AR201" s="24">
        <v>0</v>
      </c>
      <c r="AS201" s="24">
        <v>0</v>
      </c>
      <c r="AT201" s="24">
        <v>0</v>
      </c>
      <c r="AU201" s="24">
        <v>1</v>
      </c>
      <c r="AV201" s="24">
        <v>0</v>
      </c>
      <c r="AW201" s="24">
        <v>0</v>
      </c>
      <c r="AX201" s="24">
        <v>0</v>
      </c>
      <c r="AY201" s="24">
        <v>0</v>
      </c>
      <c r="AZ201" s="24">
        <v>0</v>
      </c>
      <c r="BA201" s="24">
        <v>1</v>
      </c>
      <c r="BB201" s="24">
        <v>0</v>
      </c>
    </row>
    <row r="202" spans="2:54" ht="13.8" x14ac:dyDescent="0.3">
      <c r="B202" s="24">
        <v>182</v>
      </c>
      <c r="C202" s="24">
        <v>36</v>
      </c>
      <c r="D202" s="24">
        <v>0</v>
      </c>
      <c r="E202" s="24">
        <v>0</v>
      </c>
      <c r="F202" s="24">
        <v>0</v>
      </c>
      <c r="G202" s="24">
        <v>0</v>
      </c>
      <c r="H202" s="24">
        <v>0</v>
      </c>
      <c r="I202" s="24">
        <v>1</v>
      </c>
      <c r="J202" s="24">
        <v>4455</v>
      </c>
      <c r="K202" s="24">
        <v>2</v>
      </c>
      <c r="L202" s="24">
        <v>1</v>
      </c>
      <c r="M202" s="24">
        <v>0</v>
      </c>
      <c r="N202" s="24">
        <v>0</v>
      </c>
      <c r="O202" s="24">
        <v>0</v>
      </c>
      <c r="P202" s="24">
        <v>0</v>
      </c>
      <c r="Q202" s="24">
        <v>1</v>
      </c>
      <c r="R202" s="24">
        <v>0</v>
      </c>
      <c r="S202" s="24">
        <v>30</v>
      </c>
      <c r="T202" s="24">
        <v>1</v>
      </c>
      <c r="U202" s="24">
        <v>0</v>
      </c>
      <c r="V202" s="24">
        <v>1</v>
      </c>
      <c r="W202" s="24">
        <v>2</v>
      </c>
      <c r="X202" s="24">
        <v>1</v>
      </c>
      <c r="Y202" s="24">
        <v>1</v>
      </c>
      <c r="Z202" s="24">
        <v>0</v>
      </c>
      <c r="AA202" s="24">
        <v>0</v>
      </c>
      <c r="AB202" s="24">
        <v>0</v>
      </c>
      <c r="AC202" s="24">
        <v>1</v>
      </c>
      <c r="AD202" s="24">
        <v>0</v>
      </c>
      <c r="AE202" s="24">
        <v>0</v>
      </c>
      <c r="AF202" s="24">
        <v>0</v>
      </c>
      <c r="AG202" s="24">
        <v>0</v>
      </c>
      <c r="AH202" s="24">
        <v>0</v>
      </c>
      <c r="AI202" s="24">
        <v>1</v>
      </c>
      <c r="AJ202" s="24">
        <v>0</v>
      </c>
      <c r="AK202" s="24">
        <v>1</v>
      </c>
      <c r="AL202" s="24">
        <v>0</v>
      </c>
      <c r="AM202" s="24">
        <v>0</v>
      </c>
      <c r="AN202" s="24">
        <v>0</v>
      </c>
      <c r="AO202" s="24">
        <v>0</v>
      </c>
      <c r="AP202" s="24">
        <v>0</v>
      </c>
      <c r="AQ202" s="24">
        <v>0</v>
      </c>
      <c r="AR202" s="24">
        <v>1</v>
      </c>
      <c r="AS202" s="24">
        <v>0</v>
      </c>
      <c r="AT202" s="24">
        <v>0</v>
      </c>
      <c r="AU202" s="24">
        <v>0</v>
      </c>
      <c r="AV202" s="24">
        <v>1</v>
      </c>
      <c r="AW202" s="24">
        <v>0</v>
      </c>
      <c r="AX202" s="24">
        <v>0</v>
      </c>
      <c r="AY202" s="24">
        <v>0</v>
      </c>
      <c r="AZ202" s="24">
        <v>0</v>
      </c>
      <c r="BA202" s="24">
        <v>0</v>
      </c>
      <c r="BB202" s="24">
        <v>1</v>
      </c>
    </row>
    <row r="203" spans="2:54" ht="13.8" x14ac:dyDescent="0.3">
      <c r="B203" s="24">
        <v>183</v>
      </c>
      <c r="C203" s="24">
        <v>21</v>
      </c>
      <c r="D203" s="24">
        <v>1</v>
      </c>
      <c r="E203" s="24">
        <v>0</v>
      </c>
      <c r="F203" s="24">
        <v>0</v>
      </c>
      <c r="G203" s="24">
        <v>0</v>
      </c>
      <c r="H203" s="24">
        <v>0</v>
      </c>
      <c r="I203" s="24">
        <v>0</v>
      </c>
      <c r="J203" s="24">
        <v>1647</v>
      </c>
      <c r="K203" s="24">
        <v>4</v>
      </c>
      <c r="L203" s="24">
        <v>0</v>
      </c>
      <c r="M203" s="24">
        <v>1</v>
      </c>
      <c r="N203" s="24">
        <v>0</v>
      </c>
      <c r="O203" s="24">
        <v>0</v>
      </c>
      <c r="P203" s="24">
        <v>0</v>
      </c>
      <c r="Q203" s="24">
        <v>0</v>
      </c>
      <c r="R203" s="24">
        <v>0</v>
      </c>
      <c r="S203" s="24">
        <v>40</v>
      </c>
      <c r="T203" s="24">
        <v>0</v>
      </c>
      <c r="U203" s="24">
        <v>0</v>
      </c>
      <c r="V203" s="24">
        <v>1</v>
      </c>
      <c r="W203" s="24">
        <v>2</v>
      </c>
      <c r="X203" s="24">
        <v>2</v>
      </c>
      <c r="Y203" s="24">
        <v>0</v>
      </c>
      <c r="Z203" s="24">
        <v>0</v>
      </c>
      <c r="AA203" s="24">
        <v>0</v>
      </c>
      <c r="AB203" s="24">
        <v>1</v>
      </c>
      <c r="AC203" s="24">
        <v>0</v>
      </c>
      <c r="AD203" s="24">
        <v>0</v>
      </c>
      <c r="AE203" s="24">
        <v>0</v>
      </c>
      <c r="AF203" s="24">
        <v>0</v>
      </c>
      <c r="AG203" s="24">
        <v>1</v>
      </c>
      <c r="AH203" s="24">
        <v>0</v>
      </c>
      <c r="AI203" s="24">
        <v>0</v>
      </c>
      <c r="AJ203" s="24">
        <v>0</v>
      </c>
      <c r="AK203" s="24">
        <v>0</v>
      </c>
      <c r="AL203" s="24">
        <v>0</v>
      </c>
      <c r="AM203" s="24">
        <v>0</v>
      </c>
      <c r="AN203" s="24">
        <v>0</v>
      </c>
      <c r="AO203" s="24">
        <v>1</v>
      </c>
      <c r="AP203" s="24">
        <v>0</v>
      </c>
      <c r="AQ203" s="24">
        <v>0</v>
      </c>
      <c r="AR203" s="24">
        <v>1</v>
      </c>
      <c r="AS203" s="24">
        <v>0</v>
      </c>
      <c r="AT203" s="24">
        <v>0</v>
      </c>
      <c r="AU203" s="24">
        <v>0</v>
      </c>
      <c r="AV203" s="24">
        <v>1</v>
      </c>
      <c r="AW203" s="24">
        <v>0</v>
      </c>
      <c r="AX203" s="24">
        <v>0</v>
      </c>
      <c r="AY203" s="24">
        <v>0</v>
      </c>
      <c r="AZ203" s="24">
        <v>1</v>
      </c>
      <c r="BA203" s="24">
        <v>0</v>
      </c>
      <c r="BB203" s="24">
        <v>0</v>
      </c>
    </row>
    <row r="204" spans="2:54" ht="13.8" x14ac:dyDescent="0.3">
      <c r="B204" s="24">
        <v>184</v>
      </c>
      <c r="C204" s="24">
        <v>24</v>
      </c>
      <c r="D204" s="24">
        <v>0</v>
      </c>
      <c r="E204" s="24">
        <v>0</v>
      </c>
      <c r="F204" s="24">
        <v>1</v>
      </c>
      <c r="G204" s="24">
        <v>0</v>
      </c>
      <c r="H204" s="24">
        <v>0</v>
      </c>
      <c r="I204" s="24">
        <v>0</v>
      </c>
      <c r="J204" s="24">
        <v>3777</v>
      </c>
      <c r="K204" s="24">
        <v>4</v>
      </c>
      <c r="L204" s="24">
        <v>0</v>
      </c>
      <c r="M204" s="24">
        <v>1</v>
      </c>
      <c r="N204" s="24">
        <v>0</v>
      </c>
      <c r="O204" s="24">
        <v>0</v>
      </c>
      <c r="P204" s="24">
        <v>0</v>
      </c>
      <c r="Q204" s="24">
        <v>1</v>
      </c>
      <c r="R204" s="24">
        <v>0</v>
      </c>
      <c r="S204" s="24">
        <v>50</v>
      </c>
      <c r="T204" s="24">
        <v>0</v>
      </c>
      <c r="U204" s="24">
        <v>0</v>
      </c>
      <c r="V204" s="24">
        <v>1</v>
      </c>
      <c r="W204" s="24">
        <v>1</v>
      </c>
      <c r="X204" s="24">
        <v>1</v>
      </c>
      <c r="Y204" s="24">
        <v>1</v>
      </c>
      <c r="Z204" s="24">
        <v>0</v>
      </c>
      <c r="AA204" s="24">
        <v>1</v>
      </c>
      <c r="AB204" s="24">
        <v>0</v>
      </c>
      <c r="AC204" s="24">
        <v>0</v>
      </c>
      <c r="AD204" s="24">
        <v>0</v>
      </c>
      <c r="AE204" s="24">
        <v>1</v>
      </c>
      <c r="AF204" s="24">
        <v>0</v>
      </c>
      <c r="AG204" s="24">
        <v>0</v>
      </c>
      <c r="AH204" s="24">
        <v>0</v>
      </c>
      <c r="AI204" s="24">
        <v>0</v>
      </c>
      <c r="AJ204" s="24">
        <v>1</v>
      </c>
      <c r="AK204" s="24">
        <v>0</v>
      </c>
      <c r="AL204" s="24">
        <v>0</v>
      </c>
      <c r="AM204" s="24">
        <v>0</v>
      </c>
      <c r="AN204" s="24">
        <v>1</v>
      </c>
      <c r="AO204" s="24">
        <v>0</v>
      </c>
      <c r="AP204" s="24">
        <v>0</v>
      </c>
      <c r="AQ204" s="24">
        <v>0</v>
      </c>
      <c r="AR204" s="24">
        <v>1</v>
      </c>
      <c r="AS204" s="24">
        <v>0</v>
      </c>
      <c r="AT204" s="24">
        <v>0</v>
      </c>
      <c r="AU204" s="24">
        <v>0</v>
      </c>
      <c r="AV204" s="24">
        <v>0</v>
      </c>
      <c r="AW204" s="24">
        <v>0</v>
      </c>
      <c r="AX204" s="24">
        <v>1</v>
      </c>
      <c r="AY204" s="24">
        <v>0</v>
      </c>
      <c r="AZ204" s="24">
        <v>0</v>
      </c>
      <c r="BA204" s="24">
        <v>1</v>
      </c>
      <c r="BB204" s="24">
        <v>0</v>
      </c>
    </row>
    <row r="205" spans="2:54" ht="13.8" x14ac:dyDescent="0.3">
      <c r="B205" s="24">
        <v>185</v>
      </c>
      <c r="C205" s="24">
        <v>18</v>
      </c>
      <c r="D205" s="24">
        <v>1</v>
      </c>
      <c r="E205" s="24">
        <v>0</v>
      </c>
      <c r="F205" s="24">
        <v>0</v>
      </c>
      <c r="G205" s="24">
        <v>0</v>
      </c>
      <c r="H205" s="24">
        <v>0</v>
      </c>
      <c r="I205" s="24">
        <v>0</v>
      </c>
      <c r="J205" s="24">
        <v>884</v>
      </c>
      <c r="K205" s="24">
        <v>4</v>
      </c>
      <c r="L205" s="24">
        <v>0</v>
      </c>
      <c r="M205" s="24">
        <v>1</v>
      </c>
      <c r="N205" s="24">
        <v>0</v>
      </c>
      <c r="O205" s="24">
        <v>0</v>
      </c>
      <c r="P205" s="24">
        <v>0</v>
      </c>
      <c r="Q205" s="24">
        <v>0</v>
      </c>
      <c r="R205" s="24">
        <v>0</v>
      </c>
      <c r="S205" s="24">
        <v>36</v>
      </c>
      <c r="T205" s="24">
        <v>1</v>
      </c>
      <c r="U205" s="24">
        <v>0</v>
      </c>
      <c r="V205" s="24">
        <v>1</v>
      </c>
      <c r="W205" s="24">
        <v>1</v>
      </c>
      <c r="X205" s="24">
        <v>2</v>
      </c>
      <c r="Y205" s="24">
        <v>1</v>
      </c>
      <c r="Z205" s="24">
        <v>0</v>
      </c>
      <c r="AA205" s="24">
        <v>0</v>
      </c>
      <c r="AB205" s="24">
        <v>0</v>
      </c>
      <c r="AC205" s="24">
        <v>1</v>
      </c>
      <c r="AD205" s="24">
        <v>0</v>
      </c>
      <c r="AE205" s="24">
        <v>0</v>
      </c>
      <c r="AF205" s="24">
        <v>0</v>
      </c>
      <c r="AG205" s="24">
        <v>0</v>
      </c>
      <c r="AH205" s="24">
        <v>0</v>
      </c>
      <c r="AI205" s="24">
        <v>0</v>
      </c>
      <c r="AJ205" s="24">
        <v>1</v>
      </c>
      <c r="AK205" s="24">
        <v>1</v>
      </c>
      <c r="AL205" s="24">
        <v>0</v>
      </c>
      <c r="AM205" s="24">
        <v>0</v>
      </c>
      <c r="AN205" s="24">
        <v>0</v>
      </c>
      <c r="AO205" s="24">
        <v>0</v>
      </c>
      <c r="AP205" s="24">
        <v>0</v>
      </c>
      <c r="AQ205" s="24">
        <v>0</v>
      </c>
      <c r="AR205" s="24">
        <v>0</v>
      </c>
      <c r="AS205" s="24">
        <v>0</v>
      </c>
      <c r="AT205" s="24">
        <v>1</v>
      </c>
      <c r="AU205" s="24">
        <v>0</v>
      </c>
      <c r="AV205" s="24">
        <v>0</v>
      </c>
      <c r="AW205" s="24">
        <v>0</v>
      </c>
      <c r="AX205" s="24">
        <v>1</v>
      </c>
      <c r="AY205" s="24">
        <v>0</v>
      </c>
      <c r="AZ205" s="24">
        <v>0</v>
      </c>
      <c r="BA205" s="24">
        <v>1</v>
      </c>
      <c r="BB205" s="24">
        <v>0</v>
      </c>
    </row>
    <row r="206" spans="2:54" ht="13.8" x14ac:dyDescent="0.3">
      <c r="B206" s="24">
        <v>186</v>
      </c>
      <c r="C206" s="24">
        <v>15</v>
      </c>
      <c r="D206" s="24">
        <v>0</v>
      </c>
      <c r="E206" s="24">
        <v>0</v>
      </c>
      <c r="F206" s="24">
        <v>0</v>
      </c>
      <c r="G206" s="24">
        <v>1</v>
      </c>
      <c r="H206" s="24">
        <v>0</v>
      </c>
      <c r="I206" s="24">
        <v>0</v>
      </c>
      <c r="J206" s="24">
        <v>1360</v>
      </c>
      <c r="K206" s="24">
        <v>4</v>
      </c>
      <c r="L206" s="24">
        <v>0</v>
      </c>
      <c r="M206" s="24">
        <v>1</v>
      </c>
      <c r="N206" s="24">
        <v>0</v>
      </c>
      <c r="O206" s="24">
        <v>0</v>
      </c>
      <c r="P206" s="24">
        <v>0</v>
      </c>
      <c r="Q206" s="24">
        <v>0</v>
      </c>
      <c r="R206" s="24">
        <v>0</v>
      </c>
      <c r="S206" s="24">
        <v>31</v>
      </c>
      <c r="T206" s="24">
        <v>0</v>
      </c>
      <c r="U206" s="24">
        <v>0</v>
      </c>
      <c r="V206" s="24">
        <v>1</v>
      </c>
      <c r="W206" s="24">
        <v>2</v>
      </c>
      <c r="X206" s="24">
        <v>1</v>
      </c>
      <c r="Y206" s="24">
        <v>0</v>
      </c>
      <c r="Z206" s="24">
        <v>0</v>
      </c>
      <c r="AA206" s="24">
        <v>1</v>
      </c>
      <c r="AB206" s="24">
        <v>0</v>
      </c>
      <c r="AC206" s="24">
        <v>0</v>
      </c>
      <c r="AD206" s="24">
        <v>0</v>
      </c>
      <c r="AE206" s="24">
        <v>1</v>
      </c>
      <c r="AF206" s="24">
        <v>0</v>
      </c>
      <c r="AG206" s="24">
        <v>0</v>
      </c>
      <c r="AH206" s="24">
        <v>0</v>
      </c>
      <c r="AI206" s="24">
        <v>0</v>
      </c>
      <c r="AJ206" s="24">
        <v>1</v>
      </c>
      <c r="AK206" s="24">
        <v>1</v>
      </c>
      <c r="AL206" s="24">
        <v>0</v>
      </c>
      <c r="AM206" s="24">
        <v>0</v>
      </c>
      <c r="AN206" s="24">
        <v>0</v>
      </c>
      <c r="AO206" s="24">
        <v>0</v>
      </c>
      <c r="AP206" s="24">
        <v>0</v>
      </c>
      <c r="AQ206" s="24">
        <v>0</v>
      </c>
      <c r="AR206" s="24">
        <v>1</v>
      </c>
      <c r="AS206" s="24">
        <v>0</v>
      </c>
      <c r="AT206" s="24">
        <v>0</v>
      </c>
      <c r="AU206" s="24">
        <v>0</v>
      </c>
      <c r="AV206" s="24">
        <v>1</v>
      </c>
      <c r="AW206" s="24">
        <v>0</v>
      </c>
      <c r="AX206" s="24">
        <v>0</v>
      </c>
      <c r="AY206" s="24">
        <v>0</v>
      </c>
      <c r="AZ206" s="24">
        <v>0</v>
      </c>
      <c r="BA206" s="24">
        <v>1</v>
      </c>
      <c r="BB206" s="24">
        <v>0</v>
      </c>
    </row>
    <row r="207" spans="2:54" ht="13.8" x14ac:dyDescent="0.3">
      <c r="B207" s="24">
        <v>187</v>
      </c>
      <c r="C207" s="24">
        <v>9</v>
      </c>
      <c r="D207" s="24">
        <v>0</v>
      </c>
      <c r="E207" s="24">
        <v>1</v>
      </c>
      <c r="F207" s="24">
        <v>0</v>
      </c>
      <c r="G207" s="24">
        <v>0</v>
      </c>
      <c r="H207" s="24">
        <v>0</v>
      </c>
      <c r="I207" s="24">
        <v>0</v>
      </c>
      <c r="J207" s="24">
        <v>5129</v>
      </c>
      <c r="K207" s="24">
        <v>2</v>
      </c>
      <c r="L207" s="24">
        <v>0</v>
      </c>
      <c r="M207" s="24">
        <v>0</v>
      </c>
      <c r="N207" s="24">
        <v>0</v>
      </c>
      <c r="O207" s="24">
        <v>0</v>
      </c>
      <c r="P207" s="24">
        <v>0</v>
      </c>
      <c r="Q207" s="24">
        <v>0</v>
      </c>
      <c r="R207" s="24">
        <v>1</v>
      </c>
      <c r="S207" s="24">
        <v>74</v>
      </c>
      <c r="T207" s="24">
        <v>1</v>
      </c>
      <c r="U207" s="24">
        <v>0</v>
      </c>
      <c r="V207" s="24">
        <v>0</v>
      </c>
      <c r="W207" s="24">
        <v>1</v>
      </c>
      <c r="X207" s="24">
        <v>2</v>
      </c>
      <c r="Y207" s="24">
        <v>1</v>
      </c>
      <c r="Z207" s="24">
        <v>0</v>
      </c>
      <c r="AA207" s="24">
        <v>0</v>
      </c>
      <c r="AB207" s="24">
        <v>0</v>
      </c>
      <c r="AC207" s="24">
        <v>1</v>
      </c>
      <c r="AD207" s="24">
        <v>0</v>
      </c>
      <c r="AE207" s="24">
        <v>0</v>
      </c>
      <c r="AF207" s="24">
        <v>0</v>
      </c>
      <c r="AG207" s="24">
        <v>1</v>
      </c>
      <c r="AH207" s="24">
        <v>0</v>
      </c>
      <c r="AI207" s="24">
        <v>0</v>
      </c>
      <c r="AJ207" s="24">
        <v>0</v>
      </c>
      <c r="AK207" s="24">
        <v>1</v>
      </c>
      <c r="AL207" s="24">
        <v>0</v>
      </c>
      <c r="AM207" s="24">
        <v>0</v>
      </c>
      <c r="AN207" s="24">
        <v>0</v>
      </c>
      <c r="AO207" s="24">
        <v>0</v>
      </c>
      <c r="AP207" s="24">
        <v>0</v>
      </c>
      <c r="AQ207" s="24">
        <v>0</v>
      </c>
      <c r="AR207" s="24">
        <v>0</v>
      </c>
      <c r="AS207" s="24">
        <v>0</v>
      </c>
      <c r="AT207" s="24">
        <v>1</v>
      </c>
      <c r="AU207" s="24">
        <v>0</v>
      </c>
      <c r="AV207" s="24">
        <v>0</v>
      </c>
      <c r="AW207" s="24">
        <v>0</v>
      </c>
      <c r="AX207" s="24">
        <v>1</v>
      </c>
      <c r="AY207" s="24">
        <v>0</v>
      </c>
      <c r="AZ207" s="24">
        <v>0</v>
      </c>
      <c r="BA207" s="24">
        <v>0</v>
      </c>
      <c r="BB207" s="24">
        <v>1</v>
      </c>
    </row>
    <row r="208" spans="2:54" ht="13.8" x14ac:dyDescent="0.3">
      <c r="B208" s="24">
        <v>188</v>
      </c>
      <c r="C208" s="24">
        <v>16</v>
      </c>
      <c r="D208" s="24">
        <v>1</v>
      </c>
      <c r="E208" s="24">
        <v>0</v>
      </c>
      <c r="F208" s="24">
        <v>0</v>
      </c>
      <c r="G208" s="24">
        <v>0</v>
      </c>
      <c r="H208" s="24">
        <v>0</v>
      </c>
      <c r="I208" s="24">
        <v>0</v>
      </c>
      <c r="J208" s="24">
        <v>1175</v>
      </c>
      <c r="K208" s="24">
        <v>2</v>
      </c>
      <c r="L208" s="24">
        <v>0</v>
      </c>
      <c r="M208" s="24">
        <v>1</v>
      </c>
      <c r="N208" s="24">
        <v>0</v>
      </c>
      <c r="O208" s="24">
        <v>0</v>
      </c>
      <c r="P208" s="24">
        <v>0</v>
      </c>
      <c r="Q208" s="24">
        <v>0</v>
      </c>
      <c r="R208" s="24">
        <v>0</v>
      </c>
      <c r="S208" s="24">
        <v>68</v>
      </c>
      <c r="T208" s="24">
        <v>0</v>
      </c>
      <c r="U208" s="24">
        <v>0</v>
      </c>
      <c r="V208" s="24">
        <v>0</v>
      </c>
      <c r="W208" s="24">
        <v>3</v>
      </c>
      <c r="X208" s="24">
        <v>1</v>
      </c>
      <c r="Y208" s="24">
        <v>1</v>
      </c>
      <c r="Z208" s="24">
        <v>0</v>
      </c>
      <c r="AA208" s="24">
        <v>1</v>
      </c>
      <c r="AB208" s="24">
        <v>0</v>
      </c>
      <c r="AC208" s="24">
        <v>1</v>
      </c>
      <c r="AD208" s="24">
        <v>0</v>
      </c>
      <c r="AE208" s="24">
        <v>0</v>
      </c>
      <c r="AF208" s="24">
        <v>0</v>
      </c>
      <c r="AG208" s="24">
        <v>0</v>
      </c>
      <c r="AH208" s="24">
        <v>0</v>
      </c>
      <c r="AI208" s="24">
        <v>0</v>
      </c>
      <c r="AJ208" s="24">
        <v>1</v>
      </c>
      <c r="AK208" s="24">
        <v>1</v>
      </c>
      <c r="AL208" s="24">
        <v>0</v>
      </c>
      <c r="AM208" s="24">
        <v>0</v>
      </c>
      <c r="AN208" s="24">
        <v>0</v>
      </c>
      <c r="AO208" s="24">
        <v>0</v>
      </c>
      <c r="AP208" s="24">
        <v>1</v>
      </c>
      <c r="AQ208" s="24">
        <v>0</v>
      </c>
      <c r="AR208" s="24">
        <v>0</v>
      </c>
      <c r="AS208" s="24">
        <v>0</v>
      </c>
      <c r="AT208" s="24">
        <v>0</v>
      </c>
      <c r="AU208" s="24">
        <v>0</v>
      </c>
      <c r="AV208" s="24">
        <v>0</v>
      </c>
      <c r="AW208" s="24">
        <v>1</v>
      </c>
      <c r="AX208" s="24">
        <v>0</v>
      </c>
      <c r="AY208" s="24">
        <v>1</v>
      </c>
      <c r="AZ208" s="24">
        <v>0</v>
      </c>
      <c r="BA208" s="24">
        <v>0</v>
      </c>
      <c r="BB208" s="24">
        <v>0</v>
      </c>
    </row>
    <row r="209" spans="2:54" ht="13.8" x14ac:dyDescent="0.3">
      <c r="B209" s="24">
        <v>189</v>
      </c>
      <c r="C209" s="24">
        <v>12</v>
      </c>
      <c r="D209" s="24">
        <v>0</v>
      </c>
      <c r="E209" s="24">
        <v>0</v>
      </c>
      <c r="F209" s="24">
        <v>0</v>
      </c>
      <c r="G209" s="24">
        <v>1</v>
      </c>
      <c r="H209" s="24">
        <v>0</v>
      </c>
      <c r="I209" s="24">
        <v>0</v>
      </c>
      <c r="J209" s="24">
        <v>674</v>
      </c>
      <c r="K209" s="24">
        <v>4</v>
      </c>
      <c r="L209" s="24">
        <v>0</v>
      </c>
      <c r="M209" s="24">
        <v>0</v>
      </c>
      <c r="N209" s="24">
        <v>1</v>
      </c>
      <c r="O209" s="24">
        <v>0</v>
      </c>
      <c r="P209" s="24">
        <v>0</v>
      </c>
      <c r="Q209" s="24">
        <v>0</v>
      </c>
      <c r="R209" s="24">
        <v>0</v>
      </c>
      <c r="S209" s="24">
        <v>20</v>
      </c>
      <c r="T209" s="24">
        <v>0</v>
      </c>
      <c r="U209" s="24">
        <v>0</v>
      </c>
      <c r="V209" s="24">
        <v>1</v>
      </c>
      <c r="W209" s="24">
        <v>1</v>
      </c>
      <c r="X209" s="24">
        <v>1</v>
      </c>
      <c r="Y209" s="24">
        <v>0</v>
      </c>
      <c r="Z209" s="24">
        <v>0</v>
      </c>
      <c r="AA209" s="24">
        <v>0</v>
      </c>
      <c r="AB209" s="24">
        <v>1</v>
      </c>
      <c r="AC209" s="24">
        <v>0</v>
      </c>
      <c r="AD209" s="24">
        <v>0</v>
      </c>
      <c r="AE209" s="24">
        <v>0</v>
      </c>
      <c r="AF209" s="24">
        <v>0</v>
      </c>
      <c r="AG209" s="24">
        <v>0</v>
      </c>
      <c r="AH209" s="24">
        <v>1</v>
      </c>
      <c r="AI209" s="24">
        <v>0</v>
      </c>
      <c r="AJ209" s="24">
        <v>0</v>
      </c>
      <c r="AK209" s="24">
        <v>0</v>
      </c>
      <c r="AL209" s="24">
        <v>1</v>
      </c>
      <c r="AM209" s="24">
        <v>0</v>
      </c>
      <c r="AN209" s="24">
        <v>0</v>
      </c>
      <c r="AO209" s="24">
        <v>0</v>
      </c>
      <c r="AP209" s="24">
        <v>0</v>
      </c>
      <c r="AQ209" s="24">
        <v>0</v>
      </c>
      <c r="AR209" s="24">
        <v>0</v>
      </c>
      <c r="AS209" s="24">
        <v>1</v>
      </c>
      <c r="AT209" s="24">
        <v>0</v>
      </c>
      <c r="AU209" s="24">
        <v>1</v>
      </c>
      <c r="AV209" s="24">
        <v>0</v>
      </c>
      <c r="AW209" s="24">
        <v>0</v>
      </c>
      <c r="AX209" s="24">
        <v>0</v>
      </c>
      <c r="AY209" s="24">
        <v>0</v>
      </c>
      <c r="AZ209" s="24">
        <v>0</v>
      </c>
      <c r="BA209" s="24">
        <v>1</v>
      </c>
      <c r="BB209" s="24">
        <v>0</v>
      </c>
    </row>
    <row r="210" spans="2:54" ht="13.8" x14ac:dyDescent="0.3">
      <c r="B210" s="24">
        <v>190</v>
      </c>
      <c r="C210" s="24">
        <v>18</v>
      </c>
      <c r="D210" s="24">
        <v>0</v>
      </c>
      <c r="E210" s="24">
        <v>0</v>
      </c>
      <c r="F210" s="24">
        <v>1</v>
      </c>
      <c r="G210" s="24">
        <v>0</v>
      </c>
      <c r="H210" s="24">
        <v>0</v>
      </c>
      <c r="I210" s="24">
        <v>0</v>
      </c>
      <c r="J210" s="24">
        <v>3244</v>
      </c>
      <c r="K210" s="24">
        <v>1</v>
      </c>
      <c r="L210" s="24">
        <v>0</v>
      </c>
      <c r="M210" s="24">
        <v>0</v>
      </c>
      <c r="N210" s="24">
        <v>0</v>
      </c>
      <c r="O210" s="24">
        <v>0</v>
      </c>
      <c r="P210" s="24">
        <v>0</v>
      </c>
      <c r="Q210" s="24">
        <v>0</v>
      </c>
      <c r="R210" s="24">
        <v>0</v>
      </c>
      <c r="S210" s="24">
        <v>33</v>
      </c>
      <c r="T210" s="24">
        <v>1</v>
      </c>
      <c r="U210" s="24">
        <v>0</v>
      </c>
      <c r="V210" s="24">
        <v>1</v>
      </c>
      <c r="W210" s="24">
        <v>2</v>
      </c>
      <c r="X210" s="24">
        <v>1</v>
      </c>
      <c r="Y210" s="24">
        <v>1</v>
      </c>
      <c r="Z210" s="24">
        <v>0</v>
      </c>
      <c r="AA210" s="24">
        <v>1</v>
      </c>
      <c r="AB210" s="24">
        <v>0</v>
      </c>
      <c r="AC210" s="24">
        <v>1</v>
      </c>
      <c r="AD210" s="24">
        <v>0</v>
      </c>
      <c r="AE210" s="24">
        <v>0</v>
      </c>
      <c r="AF210" s="24">
        <v>1</v>
      </c>
      <c r="AG210" s="24">
        <v>0</v>
      </c>
      <c r="AH210" s="24">
        <v>0</v>
      </c>
      <c r="AI210" s="24">
        <v>0</v>
      </c>
      <c r="AJ210" s="24">
        <v>0</v>
      </c>
      <c r="AK210" s="24">
        <v>1</v>
      </c>
      <c r="AL210" s="24">
        <v>0</v>
      </c>
      <c r="AM210" s="24">
        <v>0</v>
      </c>
      <c r="AN210" s="24">
        <v>0</v>
      </c>
      <c r="AO210" s="24">
        <v>0</v>
      </c>
      <c r="AP210" s="24">
        <v>0</v>
      </c>
      <c r="AQ210" s="24">
        <v>0</v>
      </c>
      <c r="AR210" s="24">
        <v>1</v>
      </c>
      <c r="AS210" s="24">
        <v>0</v>
      </c>
      <c r="AT210" s="24">
        <v>0</v>
      </c>
      <c r="AU210" s="24">
        <v>0</v>
      </c>
      <c r="AV210" s="24">
        <v>0</v>
      </c>
      <c r="AW210" s="24">
        <v>0</v>
      </c>
      <c r="AX210" s="24">
        <v>1</v>
      </c>
      <c r="AY210" s="24">
        <v>0</v>
      </c>
      <c r="AZ210" s="24">
        <v>0</v>
      </c>
      <c r="BA210" s="24">
        <v>1</v>
      </c>
      <c r="BB210" s="24">
        <v>0</v>
      </c>
    </row>
    <row r="211" spans="2:54" ht="13.8" x14ac:dyDescent="0.3">
      <c r="B211" s="24">
        <v>191</v>
      </c>
      <c r="C211" s="24">
        <v>24</v>
      </c>
      <c r="D211" s="24">
        <v>0</v>
      </c>
      <c r="E211" s="24">
        <v>0</v>
      </c>
      <c r="F211" s="24">
        <v>0</v>
      </c>
      <c r="G211" s="24">
        <v>0</v>
      </c>
      <c r="H211" s="24">
        <v>0</v>
      </c>
      <c r="I211" s="24">
        <v>1</v>
      </c>
      <c r="J211" s="24">
        <v>4591</v>
      </c>
      <c r="K211" s="24">
        <v>2</v>
      </c>
      <c r="L211" s="24">
        <v>0</v>
      </c>
      <c r="M211" s="24">
        <v>1</v>
      </c>
      <c r="N211" s="24">
        <v>0</v>
      </c>
      <c r="O211" s="24">
        <v>0</v>
      </c>
      <c r="P211" s="24">
        <v>0</v>
      </c>
      <c r="Q211" s="24">
        <v>0</v>
      </c>
      <c r="R211" s="24">
        <v>0</v>
      </c>
      <c r="S211" s="24">
        <v>54</v>
      </c>
      <c r="T211" s="24">
        <v>0</v>
      </c>
      <c r="U211" s="24">
        <v>0</v>
      </c>
      <c r="V211" s="24">
        <v>1</v>
      </c>
      <c r="W211" s="24">
        <v>3</v>
      </c>
      <c r="X211" s="24">
        <v>1</v>
      </c>
      <c r="Y211" s="24">
        <v>1</v>
      </c>
      <c r="Z211" s="24">
        <v>0</v>
      </c>
      <c r="AA211" s="24">
        <v>0</v>
      </c>
      <c r="AB211" s="24">
        <v>0</v>
      </c>
      <c r="AC211" s="24">
        <v>0</v>
      </c>
      <c r="AD211" s="24">
        <v>0</v>
      </c>
      <c r="AE211" s="24">
        <v>1</v>
      </c>
      <c r="AF211" s="24">
        <v>0</v>
      </c>
      <c r="AG211" s="24">
        <v>0</v>
      </c>
      <c r="AH211" s="24">
        <v>1</v>
      </c>
      <c r="AI211" s="24">
        <v>0</v>
      </c>
      <c r="AJ211" s="24">
        <v>0</v>
      </c>
      <c r="AK211" s="24">
        <v>0</v>
      </c>
      <c r="AL211" s="24">
        <v>0</v>
      </c>
      <c r="AM211" s="24">
        <v>0</v>
      </c>
      <c r="AN211" s="24">
        <v>1</v>
      </c>
      <c r="AO211" s="24">
        <v>0</v>
      </c>
      <c r="AP211" s="24">
        <v>0</v>
      </c>
      <c r="AQ211" s="24">
        <v>0</v>
      </c>
      <c r="AR211" s="24">
        <v>1</v>
      </c>
      <c r="AS211" s="24">
        <v>0</v>
      </c>
      <c r="AT211" s="24">
        <v>0</v>
      </c>
      <c r="AU211" s="24">
        <v>0</v>
      </c>
      <c r="AV211" s="24">
        <v>0</v>
      </c>
      <c r="AW211" s="24">
        <v>1</v>
      </c>
      <c r="AX211" s="24">
        <v>0</v>
      </c>
      <c r="AY211" s="24">
        <v>0</v>
      </c>
      <c r="AZ211" s="24">
        <v>0</v>
      </c>
      <c r="BA211" s="24">
        <v>0</v>
      </c>
      <c r="BB211" s="24">
        <v>1</v>
      </c>
    </row>
    <row r="212" spans="2:54" ht="13.8" x14ac:dyDescent="0.3">
      <c r="B212" s="24">
        <v>192</v>
      </c>
      <c r="C212" s="24">
        <v>48</v>
      </c>
      <c r="D212" s="24">
        <v>0</v>
      </c>
      <c r="E212" s="24">
        <v>0</v>
      </c>
      <c r="F212" s="24">
        <v>0</v>
      </c>
      <c r="G212" s="24">
        <v>0</v>
      </c>
      <c r="H212" s="24">
        <v>0</v>
      </c>
      <c r="I212" s="24">
        <v>1</v>
      </c>
      <c r="J212" s="24">
        <v>3844</v>
      </c>
      <c r="K212" s="24">
        <v>4</v>
      </c>
      <c r="L212" s="24">
        <v>0</v>
      </c>
      <c r="M212" s="24">
        <v>1</v>
      </c>
      <c r="N212" s="24">
        <v>0</v>
      </c>
      <c r="O212" s="24">
        <v>0</v>
      </c>
      <c r="P212" s="24">
        <v>0</v>
      </c>
      <c r="Q212" s="24">
        <v>0</v>
      </c>
      <c r="R212" s="24">
        <v>1</v>
      </c>
      <c r="S212" s="24">
        <v>34</v>
      </c>
      <c r="T212" s="24">
        <v>0</v>
      </c>
      <c r="U212" s="24">
        <v>0</v>
      </c>
      <c r="V212" s="24">
        <v>0</v>
      </c>
      <c r="W212" s="24">
        <v>1</v>
      </c>
      <c r="X212" s="24">
        <v>2</v>
      </c>
      <c r="Y212" s="24">
        <v>0</v>
      </c>
      <c r="Z212" s="24">
        <v>0</v>
      </c>
      <c r="AA212" s="24">
        <v>0</v>
      </c>
      <c r="AB212" s="24">
        <v>0</v>
      </c>
      <c r="AC212" s="24">
        <v>1</v>
      </c>
      <c r="AD212" s="24">
        <v>0</v>
      </c>
      <c r="AE212" s="24">
        <v>0</v>
      </c>
      <c r="AF212" s="24">
        <v>1</v>
      </c>
      <c r="AG212" s="24">
        <v>0</v>
      </c>
      <c r="AH212" s="24">
        <v>0</v>
      </c>
      <c r="AI212" s="24">
        <v>0</v>
      </c>
      <c r="AJ212" s="24">
        <v>0</v>
      </c>
      <c r="AK212" s="24">
        <v>0</v>
      </c>
      <c r="AL212" s="24">
        <v>1</v>
      </c>
      <c r="AM212" s="24">
        <v>0</v>
      </c>
      <c r="AN212" s="24">
        <v>0</v>
      </c>
      <c r="AO212" s="24">
        <v>0</v>
      </c>
      <c r="AP212" s="24">
        <v>0</v>
      </c>
      <c r="AQ212" s="24">
        <v>0</v>
      </c>
      <c r="AR212" s="24">
        <v>0</v>
      </c>
      <c r="AS212" s="24">
        <v>1</v>
      </c>
      <c r="AT212" s="24">
        <v>0</v>
      </c>
      <c r="AU212" s="24">
        <v>0</v>
      </c>
      <c r="AV212" s="24">
        <v>0</v>
      </c>
      <c r="AW212" s="24">
        <v>0</v>
      </c>
      <c r="AX212" s="24">
        <v>1</v>
      </c>
      <c r="AY212" s="24">
        <v>0</v>
      </c>
      <c r="AZ212" s="24">
        <v>1</v>
      </c>
      <c r="BA212" s="24">
        <v>0</v>
      </c>
      <c r="BB212" s="24">
        <v>0</v>
      </c>
    </row>
    <row r="213" spans="2:54" ht="13.8" x14ac:dyDescent="0.3">
      <c r="B213" s="24">
        <v>193</v>
      </c>
      <c r="C213" s="24">
        <v>27</v>
      </c>
      <c r="D213" s="24">
        <v>0</v>
      </c>
      <c r="E213" s="24">
        <v>0</v>
      </c>
      <c r="F213" s="24">
        <v>0</v>
      </c>
      <c r="G213" s="24">
        <v>0</v>
      </c>
      <c r="H213" s="24">
        <v>0</v>
      </c>
      <c r="I213" s="24">
        <v>1</v>
      </c>
      <c r="J213" s="24">
        <v>3915</v>
      </c>
      <c r="K213" s="24">
        <v>4</v>
      </c>
      <c r="L213" s="24">
        <v>0</v>
      </c>
      <c r="M213" s="24">
        <v>1</v>
      </c>
      <c r="N213" s="24">
        <v>0</v>
      </c>
      <c r="O213" s="24">
        <v>0</v>
      </c>
      <c r="P213" s="24">
        <v>0</v>
      </c>
      <c r="Q213" s="24">
        <v>0</v>
      </c>
      <c r="R213" s="24">
        <v>0</v>
      </c>
      <c r="S213" s="24">
        <v>36</v>
      </c>
      <c r="T213" s="24">
        <v>0</v>
      </c>
      <c r="U213" s="24">
        <v>0</v>
      </c>
      <c r="V213" s="24">
        <v>1</v>
      </c>
      <c r="W213" s="24">
        <v>1</v>
      </c>
      <c r="X213" s="24">
        <v>2</v>
      </c>
      <c r="Y213" s="24">
        <v>1</v>
      </c>
      <c r="Z213" s="24">
        <v>0</v>
      </c>
      <c r="AA213" s="24">
        <v>0</v>
      </c>
      <c r="AB213" s="24">
        <v>0</v>
      </c>
      <c r="AC213" s="24">
        <v>1</v>
      </c>
      <c r="AD213" s="24">
        <v>0</v>
      </c>
      <c r="AE213" s="24">
        <v>0</v>
      </c>
      <c r="AF213" s="24">
        <v>0</v>
      </c>
      <c r="AG213" s="24">
        <v>0</v>
      </c>
      <c r="AH213" s="24">
        <v>1</v>
      </c>
      <c r="AI213" s="24">
        <v>0</v>
      </c>
      <c r="AJ213" s="24">
        <v>0</v>
      </c>
      <c r="AK213" s="24">
        <v>1</v>
      </c>
      <c r="AL213" s="24">
        <v>0</v>
      </c>
      <c r="AM213" s="24">
        <v>0</v>
      </c>
      <c r="AN213" s="24">
        <v>0</v>
      </c>
      <c r="AO213" s="24">
        <v>0</v>
      </c>
      <c r="AP213" s="24">
        <v>0</v>
      </c>
      <c r="AQ213" s="24">
        <v>0</v>
      </c>
      <c r="AR213" s="24">
        <v>1</v>
      </c>
      <c r="AS213" s="24">
        <v>0</v>
      </c>
      <c r="AT213" s="24">
        <v>0</v>
      </c>
      <c r="AU213" s="24">
        <v>0</v>
      </c>
      <c r="AV213" s="24">
        <v>1</v>
      </c>
      <c r="AW213" s="24">
        <v>0</v>
      </c>
      <c r="AX213" s="24">
        <v>0</v>
      </c>
      <c r="AY213" s="24">
        <v>0</v>
      </c>
      <c r="AZ213" s="24">
        <v>0</v>
      </c>
      <c r="BA213" s="24">
        <v>1</v>
      </c>
      <c r="BB213" s="24">
        <v>0</v>
      </c>
    </row>
    <row r="214" spans="2:54" ht="13.8" x14ac:dyDescent="0.3">
      <c r="B214" s="24">
        <v>194</v>
      </c>
      <c r="C214" s="24">
        <v>6</v>
      </c>
      <c r="D214" s="24">
        <v>0</v>
      </c>
      <c r="E214" s="24">
        <v>0</v>
      </c>
      <c r="F214" s="24">
        <v>0</v>
      </c>
      <c r="G214" s="24">
        <v>1</v>
      </c>
      <c r="H214" s="24">
        <v>0</v>
      </c>
      <c r="I214" s="24">
        <v>0</v>
      </c>
      <c r="J214" s="24">
        <v>2108</v>
      </c>
      <c r="K214" s="24">
        <v>2</v>
      </c>
      <c r="L214" s="24">
        <v>0</v>
      </c>
      <c r="M214" s="24">
        <v>0</v>
      </c>
      <c r="N214" s="24">
        <v>1</v>
      </c>
      <c r="O214" s="24">
        <v>0</v>
      </c>
      <c r="P214" s="24">
        <v>0</v>
      </c>
      <c r="Q214" s="24">
        <v>1</v>
      </c>
      <c r="R214" s="24">
        <v>0</v>
      </c>
      <c r="S214" s="24">
        <v>29</v>
      </c>
      <c r="T214" s="24">
        <v>0</v>
      </c>
      <c r="U214" s="24">
        <v>1</v>
      </c>
      <c r="V214" s="24">
        <v>0</v>
      </c>
      <c r="W214" s="24">
        <v>1</v>
      </c>
      <c r="X214" s="24">
        <v>1</v>
      </c>
      <c r="Y214" s="24">
        <v>0</v>
      </c>
      <c r="Z214" s="24">
        <v>0</v>
      </c>
      <c r="AA214" s="24">
        <v>1</v>
      </c>
      <c r="AB214" s="24">
        <v>0</v>
      </c>
      <c r="AC214" s="24">
        <v>0</v>
      </c>
      <c r="AD214" s="24">
        <v>0</v>
      </c>
      <c r="AE214" s="24">
        <v>1</v>
      </c>
      <c r="AF214" s="24">
        <v>0</v>
      </c>
      <c r="AG214" s="24">
        <v>0</v>
      </c>
      <c r="AH214" s="24">
        <v>1</v>
      </c>
      <c r="AI214" s="24">
        <v>0</v>
      </c>
      <c r="AJ214" s="24">
        <v>0</v>
      </c>
      <c r="AK214" s="24">
        <v>1</v>
      </c>
      <c r="AL214" s="24">
        <v>0</v>
      </c>
      <c r="AM214" s="24">
        <v>0</v>
      </c>
      <c r="AN214" s="24">
        <v>0</v>
      </c>
      <c r="AO214" s="24">
        <v>0</v>
      </c>
      <c r="AP214" s="24">
        <v>0</v>
      </c>
      <c r="AQ214" s="24">
        <v>0</v>
      </c>
      <c r="AR214" s="24">
        <v>0</v>
      </c>
      <c r="AS214" s="24">
        <v>1</v>
      </c>
      <c r="AT214" s="24">
        <v>0</v>
      </c>
      <c r="AU214" s="24">
        <v>0</v>
      </c>
      <c r="AV214" s="24">
        <v>1</v>
      </c>
      <c r="AW214" s="24">
        <v>0</v>
      </c>
      <c r="AX214" s="24">
        <v>0</v>
      </c>
      <c r="AY214" s="24">
        <v>0</v>
      </c>
      <c r="AZ214" s="24">
        <v>0</v>
      </c>
      <c r="BA214" s="24">
        <v>1</v>
      </c>
      <c r="BB214" s="24">
        <v>0</v>
      </c>
    </row>
    <row r="215" spans="2:54" ht="13.8" x14ac:dyDescent="0.3">
      <c r="B215" s="24">
        <v>195</v>
      </c>
      <c r="C215" s="24">
        <v>45</v>
      </c>
      <c r="D215" s="24">
        <v>0</v>
      </c>
      <c r="E215" s="24">
        <v>0</v>
      </c>
      <c r="F215" s="24">
        <v>0</v>
      </c>
      <c r="G215" s="24">
        <v>1</v>
      </c>
      <c r="H215" s="24">
        <v>0</v>
      </c>
      <c r="I215" s="24">
        <v>0</v>
      </c>
      <c r="J215" s="24">
        <v>3031</v>
      </c>
      <c r="K215" s="24">
        <v>4</v>
      </c>
      <c r="L215" s="24">
        <v>0</v>
      </c>
      <c r="M215" s="24">
        <v>1</v>
      </c>
      <c r="N215" s="24">
        <v>0</v>
      </c>
      <c r="O215" s="24">
        <v>0</v>
      </c>
      <c r="P215" s="24">
        <v>1</v>
      </c>
      <c r="Q215" s="24">
        <v>0</v>
      </c>
      <c r="R215" s="24">
        <v>0</v>
      </c>
      <c r="S215" s="24">
        <v>21</v>
      </c>
      <c r="T215" s="24">
        <v>0</v>
      </c>
      <c r="U215" s="24">
        <v>1</v>
      </c>
      <c r="V215" s="24">
        <v>0</v>
      </c>
      <c r="W215" s="24">
        <v>1</v>
      </c>
      <c r="X215" s="24">
        <v>1</v>
      </c>
      <c r="Y215" s="24">
        <v>0</v>
      </c>
      <c r="Z215" s="24">
        <v>0</v>
      </c>
      <c r="AA215" s="24">
        <v>0</v>
      </c>
      <c r="AB215" s="24">
        <v>0</v>
      </c>
      <c r="AC215" s="24">
        <v>1</v>
      </c>
      <c r="AD215" s="24">
        <v>0</v>
      </c>
      <c r="AE215" s="24">
        <v>0</v>
      </c>
      <c r="AF215" s="24">
        <v>0</v>
      </c>
      <c r="AG215" s="24">
        <v>0</v>
      </c>
      <c r="AH215" s="24">
        <v>1</v>
      </c>
      <c r="AI215" s="24">
        <v>0</v>
      </c>
      <c r="AJ215" s="24">
        <v>0</v>
      </c>
      <c r="AK215" s="24">
        <v>0</v>
      </c>
      <c r="AL215" s="24">
        <v>1</v>
      </c>
      <c r="AM215" s="24">
        <v>0</v>
      </c>
      <c r="AN215" s="24">
        <v>0</v>
      </c>
      <c r="AO215" s="24">
        <v>0</v>
      </c>
      <c r="AP215" s="24">
        <v>0</v>
      </c>
      <c r="AQ215" s="24">
        <v>0</v>
      </c>
      <c r="AR215" s="24">
        <v>1</v>
      </c>
      <c r="AS215" s="24">
        <v>0</v>
      </c>
      <c r="AT215" s="24">
        <v>0</v>
      </c>
      <c r="AU215" s="24">
        <v>0</v>
      </c>
      <c r="AV215" s="24">
        <v>0</v>
      </c>
      <c r="AW215" s="24">
        <v>0</v>
      </c>
      <c r="AX215" s="24">
        <v>1</v>
      </c>
      <c r="AY215" s="24">
        <v>0</v>
      </c>
      <c r="AZ215" s="24">
        <v>0</v>
      </c>
      <c r="BA215" s="24">
        <v>1</v>
      </c>
      <c r="BB215" s="24">
        <v>0</v>
      </c>
    </row>
    <row r="216" spans="2:54" ht="13.8" x14ac:dyDescent="0.3">
      <c r="B216" s="24">
        <v>196</v>
      </c>
      <c r="C216" s="24">
        <v>9</v>
      </c>
      <c r="D216" s="24">
        <v>0</v>
      </c>
      <c r="E216" s="24">
        <v>0</v>
      </c>
      <c r="F216" s="24">
        <v>0</v>
      </c>
      <c r="G216" s="24">
        <v>0</v>
      </c>
      <c r="H216" s="24">
        <v>1</v>
      </c>
      <c r="I216" s="24">
        <v>0</v>
      </c>
      <c r="J216" s="24">
        <v>1501</v>
      </c>
      <c r="K216" s="24">
        <v>2</v>
      </c>
      <c r="L216" s="24">
        <v>0</v>
      </c>
      <c r="M216" s="24">
        <v>0</v>
      </c>
      <c r="N216" s="24">
        <v>0</v>
      </c>
      <c r="O216" s="24">
        <v>0</v>
      </c>
      <c r="P216" s="24">
        <v>0</v>
      </c>
      <c r="Q216" s="24">
        <v>0</v>
      </c>
      <c r="R216" s="24">
        <v>0</v>
      </c>
      <c r="S216" s="24">
        <v>34</v>
      </c>
      <c r="T216" s="24">
        <v>0</v>
      </c>
      <c r="U216" s="24">
        <v>0</v>
      </c>
      <c r="V216" s="24">
        <v>1</v>
      </c>
      <c r="W216" s="24">
        <v>2</v>
      </c>
      <c r="X216" s="24">
        <v>1</v>
      </c>
      <c r="Y216" s="24">
        <v>1</v>
      </c>
      <c r="Z216" s="24">
        <v>0</v>
      </c>
      <c r="AA216" s="24">
        <v>0</v>
      </c>
      <c r="AB216" s="24">
        <v>0</v>
      </c>
      <c r="AC216" s="24">
        <v>1</v>
      </c>
      <c r="AD216" s="24">
        <v>0</v>
      </c>
      <c r="AE216" s="24">
        <v>0</v>
      </c>
      <c r="AF216" s="24">
        <v>0</v>
      </c>
      <c r="AG216" s="24">
        <v>0</v>
      </c>
      <c r="AH216" s="24">
        <v>0</v>
      </c>
      <c r="AI216" s="24">
        <v>0</v>
      </c>
      <c r="AJ216" s="24">
        <v>1</v>
      </c>
      <c r="AK216" s="24">
        <v>1</v>
      </c>
      <c r="AL216" s="24">
        <v>0</v>
      </c>
      <c r="AM216" s="24">
        <v>0</v>
      </c>
      <c r="AN216" s="24">
        <v>0</v>
      </c>
      <c r="AO216" s="24">
        <v>0</v>
      </c>
      <c r="AP216" s="24">
        <v>0</v>
      </c>
      <c r="AQ216" s="24">
        <v>0</v>
      </c>
      <c r="AR216" s="24">
        <v>0</v>
      </c>
      <c r="AS216" s="24">
        <v>0</v>
      </c>
      <c r="AT216" s="24">
        <v>1</v>
      </c>
      <c r="AU216" s="24">
        <v>0</v>
      </c>
      <c r="AV216" s="24">
        <v>0</v>
      </c>
      <c r="AW216" s="24">
        <v>1</v>
      </c>
      <c r="AX216" s="24">
        <v>0</v>
      </c>
      <c r="AY216" s="24">
        <v>0</v>
      </c>
      <c r="AZ216" s="24">
        <v>0</v>
      </c>
      <c r="BA216" s="24">
        <v>0</v>
      </c>
      <c r="BB216" s="24">
        <v>1</v>
      </c>
    </row>
    <row r="217" spans="2:54" ht="13.8" x14ac:dyDescent="0.3">
      <c r="B217" s="24">
        <v>197</v>
      </c>
      <c r="C217" s="24">
        <v>6</v>
      </c>
      <c r="D217" s="24">
        <v>0</v>
      </c>
      <c r="E217" s="24">
        <v>0</v>
      </c>
      <c r="F217" s="24">
        <v>0</v>
      </c>
      <c r="G217" s="24">
        <v>1</v>
      </c>
      <c r="H217" s="24">
        <v>0</v>
      </c>
      <c r="I217" s="24">
        <v>0</v>
      </c>
      <c r="J217" s="24">
        <v>1382</v>
      </c>
      <c r="K217" s="24">
        <v>1</v>
      </c>
      <c r="L217" s="24">
        <v>0</v>
      </c>
      <c r="M217" s="24">
        <v>0</v>
      </c>
      <c r="N217" s="24">
        <v>0</v>
      </c>
      <c r="O217" s="24">
        <v>0</v>
      </c>
      <c r="P217" s="24">
        <v>0</v>
      </c>
      <c r="Q217" s="24">
        <v>0</v>
      </c>
      <c r="R217" s="24">
        <v>0</v>
      </c>
      <c r="S217" s="24">
        <v>28</v>
      </c>
      <c r="T217" s="24">
        <v>0</v>
      </c>
      <c r="U217" s="24">
        <v>0</v>
      </c>
      <c r="V217" s="24">
        <v>1</v>
      </c>
      <c r="W217" s="24">
        <v>2</v>
      </c>
      <c r="X217" s="24">
        <v>1</v>
      </c>
      <c r="Y217" s="24">
        <v>1</v>
      </c>
      <c r="Z217" s="24">
        <v>0</v>
      </c>
      <c r="AA217" s="24">
        <v>1</v>
      </c>
      <c r="AB217" s="24">
        <v>0</v>
      </c>
      <c r="AC217" s="24">
        <v>0</v>
      </c>
      <c r="AD217" s="24">
        <v>0</v>
      </c>
      <c r="AE217" s="24">
        <v>1</v>
      </c>
      <c r="AF217" s="24">
        <v>0</v>
      </c>
      <c r="AG217" s="24">
        <v>0</v>
      </c>
      <c r="AH217" s="24">
        <v>0</v>
      </c>
      <c r="AI217" s="24">
        <v>0</v>
      </c>
      <c r="AJ217" s="24">
        <v>1</v>
      </c>
      <c r="AK217" s="24">
        <v>1</v>
      </c>
      <c r="AL217" s="24">
        <v>0</v>
      </c>
      <c r="AM217" s="24">
        <v>0</v>
      </c>
      <c r="AN217" s="24">
        <v>0</v>
      </c>
      <c r="AO217" s="24">
        <v>0</v>
      </c>
      <c r="AP217" s="24">
        <v>0</v>
      </c>
      <c r="AQ217" s="24">
        <v>0</v>
      </c>
      <c r="AR217" s="24">
        <v>1</v>
      </c>
      <c r="AS217" s="24">
        <v>0</v>
      </c>
      <c r="AT217" s="24">
        <v>0</v>
      </c>
      <c r="AU217" s="24">
        <v>1</v>
      </c>
      <c r="AV217" s="24">
        <v>0</v>
      </c>
      <c r="AW217" s="24">
        <v>0</v>
      </c>
      <c r="AX217" s="24">
        <v>0</v>
      </c>
      <c r="AY217" s="24">
        <v>0</v>
      </c>
      <c r="AZ217" s="24">
        <v>0</v>
      </c>
      <c r="BA217" s="24">
        <v>1</v>
      </c>
      <c r="BB217" s="24">
        <v>0</v>
      </c>
    </row>
    <row r="218" spans="2:54" ht="13.8" x14ac:dyDescent="0.3">
      <c r="B218" s="24">
        <v>198</v>
      </c>
      <c r="C218" s="24">
        <v>12</v>
      </c>
      <c r="D218" s="24">
        <v>0</v>
      </c>
      <c r="E218" s="24">
        <v>0</v>
      </c>
      <c r="F218" s="24">
        <v>1</v>
      </c>
      <c r="G218" s="24">
        <v>0</v>
      </c>
      <c r="H218" s="24">
        <v>0</v>
      </c>
      <c r="I218" s="24">
        <v>0</v>
      </c>
      <c r="J218" s="24">
        <v>951</v>
      </c>
      <c r="K218" s="24">
        <v>4</v>
      </c>
      <c r="L218" s="24">
        <v>0</v>
      </c>
      <c r="M218" s="24">
        <v>0</v>
      </c>
      <c r="N218" s="24">
        <v>0</v>
      </c>
      <c r="O218" s="24">
        <v>0</v>
      </c>
      <c r="P218" s="24">
        <v>0</v>
      </c>
      <c r="Q218" s="24">
        <v>0</v>
      </c>
      <c r="R218" s="24">
        <v>0</v>
      </c>
      <c r="S218" s="24">
        <v>27</v>
      </c>
      <c r="T218" s="24">
        <v>1</v>
      </c>
      <c r="U218" s="24">
        <v>1</v>
      </c>
      <c r="V218" s="24">
        <v>0</v>
      </c>
      <c r="W218" s="24">
        <v>4</v>
      </c>
      <c r="X218" s="24">
        <v>1</v>
      </c>
      <c r="Y218" s="24">
        <v>0</v>
      </c>
      <c r="Z218" s="24">
        <v>0</v>
      </c>
      <c r="AA218" s="24">
        <v>0</v>
      </c>
      <c r="AB218" s="24">
        <v>0</v>
      </c>
      <c r="AC218" s="24">
        <v>1</v>
      </c>
      <c r="AD218" s="24">
        <v>0</v>
      </c>
      <c r="AE218" s="24">
        <v>0</v>
      </c>
      <c r="AF218" s="24">
        <v>0</v>
      </c>
      <c r="AG218" s="24">
        <v>0</v>
      </c>
      <c r="AH218" s="24">
        <v>1</v>
      </c>
      <c r="AI218" s="24">
        <v>0</v>
      </c>
      <c r="AJ218" s="24">
        <v>0</v>
      </c>
      <c r="AK218" s="24">
        <v>0</v>
      </c>
      <c r="AL218" s="24">
        <v>1</v>
      </c>
      <c r="AM218" s="24">
        <v>0</v>
      </c>
      <c r="AN218" s="24">
        <v>0</v>
      </c>
      <c r="AO218" s="24">
        <v>0</v>
      </c>
      <c r="AP218" s="24">
        <v>0</v>
      </c>
      <c r="AQ218" s="24">
        <v>1</v>
      </c>
      <c r="AR218" s="24">
        <v>0</v>
      </c>
      <c r="AS218" s="24">
        <v>0</v>
      </c>
      <c r="AT218" s="24">
        <v>0</v>
      </c>
      <c r="AU218" s="24">
        <v>0</v>
      </c>
      <c r="AV218" s="24">
        <v>0</v>
      </c>
      <c r="AW218" s="24">
        <v>0</v>
      </c>
      <c r="AX218" s="24">
        <v>1</v>
      </c>
      <c r="AY218" s="24">
        <v>0</v>
      </c>
      <c r="AZ218" s="24">
        <v>0</v>
      </c>
      <c r="BA218" s="24">
        <v>1</v>
      </c>
      <c r="BB218" s="24">
        <v>0</v>
      </c>
    </row>
    <row r="219" spans="2:54" ht="13.8" x14ac:dyDescent="0.3">
      <c r="B219" s="24">
        <v>199</v>
      </c>
      <c r="C219" s="24">
        <v>24</v>
      </c>
      <c r="D219" s="24">
        <v>0</v>
      </c>
      <c r="E219" s="24">
        <v>1</v>
      </c>
      <c r="F219" s="24">
        <v>0</v>
      </c>
      <c r="G219" s="24">
        <v>0</v>
      </c>
      <c r="H219" s="24">
        <v>0</v>
      </c>
      <c r="I219" s="24">
        <v>0</v>
      </c>
      <c r="J219" s="24">
        <v>2760</v>
      </c>
      <c r="K219" s="24">
        <v>4</v>
      </c>
      <c r="L219" s="24">
        <v>0</v>
      </c>
      <c r="M219" s="24">
        <v>1</v>
      </c>
      <c r="N219" s="24">
        <v>0</v>
      </c>
      <c r="O219" s="24">
        <v>0</v>
      </c>
      <c r="P219" s="24">
        <v>0</v>
      </c>
      <c r="Q219" s="24">
        <v>0</v>
      </c>
      <c r="R219" s="24">
        <v>1</v>
      </c>
      <c r="S219" s="24">
        <v>36</v>
      </c>
      <c r="T219" s="24">
        <v>1</v>
      </c>
      <c r="U219" s="24">
        <v>0</v>
      </c>
      <c r="V219" s="24">
        <v>0</v>
      </c>
      <c r="W219" s="24">
        <v>1</v>
      </c>
      <c r="X219" s="24">
        <v>1</v>
      </c>
      <c r="Y219" s="24">
        <v>1</v>
      </c>
      <c r="Z219" s="24">
        <v>0</v>
      </c>
      <c r="AA219" s="24">
        <v>1</v>
      </c>
      <c r="AB219" s="24">
        <v>0</v>
      </c>
      <c r="AC219" s="24">
        <v>1</v>
      </c>
      <c r="AD219" s="24">
        <v>0</v>
      </c>
      <c r="AE219" s="24">
        <v>0</v>
      </c>
      <c r="AF219" s="24">
        <v>0</v>
      </c>
      <c r="AG219" s="24">
        <v>0</v>
      </c>
      <c r="AH219" s="24">
        <v>1</v>
      </c>
      <c r="AI219" s="24">
        <v>0</v>
      </c>
      <c r="AJ219" s="24">
        <v>0</v>
      </c>
      <c r="AK219" s="24">
        <v>0</v>
      </c>
      <c r="AL219" s="24">
        <v>0</v>
      </c>
      <c r="AM219" s="24">
        <v>0</v>
      </c>
      <c r="AN219" s="24">
        <v>0</v>
      </c>
      <c r="AO219" s="24">
        <v>1</v>
      </c>
      <c r="AP219" s="24">
        <v>0</v>
      </c>
      <c r="AQ219" s="24">
        <v>0</v>
      </c>
      <c r="AR219" s="24">
        <v>0</v>
      </c>
      <c r="AS219" s="24">
        <v>0</v>
      </c>
      <c r="AT219" s="24">
        <v>1</v>
      </c>
      <c r="AU219" s="24">
        <v>0</v>
      </c>
      <c r="AV219" s="24">
        <v>0</v>
      </c>
      <c r="AW219" s="24">
        <v>0</v>
      </c>
      <c r="AX219" s="24">
        <v>1</v>
      </c>
      <c r="AY219" s="24">
        <v>0</v>
      </c>
      <c r="AZ219" s="24">
        <v>0</v>
      </c>
      <c r="BA219" s="24">
        <v>1</v>
      </c>
      <c r="BB219" s="24">
        <v>0</v>
      </c>
    </row>
    <row r="220" spans="2:54" ht="13.8" x14ac:dyDescent="0.3">
      <c r="B220" s="24">
        <v>200</v>
      </c>
      <c r="C220" s="24">
        <v>18</v>
      </c>
      <c r="D220" s="24">
        <v>0</v>
      </c>
      <c r="E220" s="24">
        <v>0</v>
      </c>
      <c r="F220" s="24">
        <v>1</v>
      </c>
      <c r="G220" s="24">
        <v>0</v>
      </c>
      <c r="H220" s="24">
        <v>0</v>
      </c>
      <c r="I220" s="24">
        <v>0</v>
      </c>
      <c r="J220" s="24">
        <v>4297</v>
      </c>
      <c r="K220" s="24">
        <v>4</v>
      </c>
      <c r="L220" s="24">
        <v>1</v>
      </c>
      <c r="M220" s="24">
        <v>0</v>
      </c>
      <c r="N220" s="24">
        <v>0</v>
      </c>
      <c r="O220" s="24">
        <v>0</v>
      </c>
      <c r="P220" s="24">
        <v>0</v>
      </c>
      <c r="Q220" s="24">
        <v>0</v>
      </c>
      <c r="R220" s="24">
        <v>1</v>
      </c>
      <c r="S220" s="24">
        <v>40</v>
      </c>
      <c r="T220" s="24">
        <v>0</v>
      </c>
      <c r="U220" s="24">
        <v>0</v>
      </c>
      <c r="V220" s="24">
        <v>1</v>
      </c>
      <c r="W220" s="24">
        <v>1</v>
      </c>
      <c r="X220" s="24">
        <v>1</v>
      </c>
      <c r="Y220" s="24">
        <v>1</v>
      </c>
      <c r="Z220" s="24">
        <v>0</v>
      </c>
      <c r="AA220" s="24">
        <v>0</v>
      </c>
      <c r="AB220" s="24">
        <v>0</v>
      </c>
      <c r="AC220" s="24">
        <v>1</v>
      </c>
      <c r="AD220" s="24">
        <v>0</v>
      </c>
      <c r="AE220" s="24">
        <v>0</v>
      </c>
      <c r="AF220" s="24">
        <v>0</v>
      </c>
      <c r="AG220" s="24">
        <v>0</v>
      </c>
      <c r="AH220" s="24">
        <v>0</v>
      </c>
      <c r="AI220" s="24">
        <v>1</v>
      </c>
      <c r="AJ220" s="24">
        <v>0</v>
      </c>
      <c r="AK220" s="24">
        <v>1</v>
      </c>
      <c r="AL220" s="24">
        <v>0</v>
      </c>
      <c r="AM220" s="24">
        <v>0</v>
      </c>
      <c r="AN220" s="24">
        <v>0</v>
      </c>
      <c r="AO220" s="24">
        <v>0</v>
      </c>
      <c r="AP220" s="24">
        <v>0</v>
      </c>
      <c r="AQ220" s="24">
        <v>0</v>
      </c>
      <c r="AR220" s="24">
        <v>0</v>
      </c>
      <c r="AS220" s="24">
        <v>0</v>
      </c>
      <c r="AT220" s="24">
        <v>1</v>
      </c>
      <c r="AU220" s="24">
        <v>0</v>
      </c>
      <c r="AV220" s="24">
        <v>0</v>
      </c>
      <c r="AW220" s="24">
        <v>1</v>
      </c>
      <c r="AX220" s="24">
        <v>0</v>
      </c>
      <c r="AY220" s="24">
        <v>0</v>
      </c>
      <c r="AZ220" s="24">
        <v>0</v>
      </c>
      <c r="BA220" s="24">
        <v>0</v>
      </c>
      <c r="BB220" s="24">
        <v>1</v>
      </c>
    </row>
    <row r="221" spans="2:54" ht="13.8" x14ac:dyDescent="0.3">
      <c r="B221" s="24">
        <v>201</v>
      </c>
      <c r="C221" s="24">
        <v>9</v>
      </c>
      <c r="D221" s="24">
        <v>0</v>
      </c>
      <c r="E221" s="24">
        <v>0</v>
      </c>
      <c r="F221" s="24">
        <v>0</v>
      </c>
      <c r="G221" s="24">
        <v>0</v>
      </c>
      <c r="H221" s="24">
        <v>1</v>
      </c>
      <c r="I221" s="24">
        <v>0</v>
      </c>
      <c r="J221" s="24">
        <v>936</v>
      </c>
      <c r="K221" s="24">
        <v>4</v>
      </c>
      <c r="L221" s="24">
        <v>0</v>
      </c>
      <c r="M221" s="24">
        <v>1</v>
      </c>
      <c r="N221" s="24">
        <v>0</v>
      </c>
      <c r="O221" s="24">
        <v>0</v>
      </c>
      <c r="P221" s="24">
        <v>0</v>
      </c>
      <c r="Q221" s="24">
        <v>0</v>
      </c>
      <c r="R221" s="24">
        <v>0</v>
      </c>
      <c r="S221" s="24">
        <v>52</v>
      </c>
      <c r="T221" s="24">
        <v>0</v>
      </c>
      <c r="U221" s="24">
        <v>0</v>
      </c>
      <c r="V221" s="24">
        <v>1</v>
      </c>
      <c r="W221" s="24">
        <v>2</v>
      </c>
      <c r="X221" s="24">
        <v>1</v>
      </c>
      <c r="Y221" s="24">
        <v>1</v>
      </c>
      <c r="Z221" s="24">
        <v>0</v>
      </c>
      <c r="AA221" s="24">
        <v>1</v>
      </c>
      <c r="AB221" s="24">
        <v>0</v>
      </c>
      <c r="AC221" s="24">
        <v>0</v>
      </c>
      <c r="AD221" s="24">
        <v>0</v>
      </c>
      <c r="AE221" s="24">
        <v>1</v>
      </c>
      <c r="AF221" s="24">
        <v>0</v>
      </c>
      <c r="AG221" s="24">
        <v>0</v>
      </c>
      <c r="AH221" s="24">
        <v>0</v>
      </c>
      <c r="AI221" s="24">
        <v>0</v>
      </c>
      <c r="AJ221" s="24">
        <v>1</v>
      </c>
      <c r="AK221" s="24">
        <v>0</v>
      </c>
      <c r="AL221" s="24">
        <v>0</v>
      </c>
      <c r="AM221" s="24">
        <v>1</v>
      </c>
      <c r="AN221" s="24">
        <v>0</v>
      </c>
      <c r="AO221" s="24">
        <v>0</v>
      </c>
      <c r="AP221" s="24">
        <v>0</v>
      </c>
      <c r="AQ221" s="24">
        <v>0</v>
      </c>
      <c r="AR221" s="24">
        <v>0</v>
      </c>
      <c r="AS221" s="24">
        <v>0</v>
      </c>
      <c r="AT221" s="24">
        <v>1</v>
      </c>
      <c r="AU221" s="24">
        <v>0</v>
      </c>
      <c r="AV221" s="24">
        <v>1</v>
      </c>
      <c r="AW221" s="24">
        <v>0</v>
      </c>
      <c r="AX221" s="24">
        <v>0</v>
      </c>
      <c r="AY221" s="24">
        <v>0</v>
      </c>
      <c r="AZ221" s="24">
        <v>0</v>
      </c>
      <c r="BA221" s="24">
        <v>1</v>
      </c>
      <c r="BB221" s="24">
        <v>0</v>
      </c>
    </row>
    <row r="222" spans="2:54" ht="13.8" x14ac:dyDescent="0.3">
      <c r="B222" s="24">
        <v>202</v>
      </c>
      <c r="C222" s="24">
        <v>12</v>
      </c>
      <c r="D222" s="24">
        <v>1</v>
      </c>
      <c r="E222" s="24">
        <v>0</v>
      </c>
      <c r="F222" s="24">
        <v>0</v>
      </c>
      <c r="G222" s="24">
        <v>0</v>
      </c>
      <c r="H222" s="24">
        <v>0</v>
      </c>
      <c r="I222" s="24">
        <v>0</v>
      </c>
      <c r="J222" s="24">
        <v>1168</v>
      </c>
      <c r="K222" s="24">
        <v>4</v>
      </c>
      <c r="L222" s="24">
        <v>0</v>
      </c>
      <c r="M222" s="24">
        <v>0</v>
      </c>
      <c r="N222" s="24">
        <v>1</v>
      </c>
      <c r="O222" s="24">
        <v>0</v>
      </c>
      <c r="P222" s="24">
        <v>0</v>
      </c>
      <c r="Q222" s="24">
        <v>1</v>
      </c>
      <c r="R222" s="24">
        <v>0</v>
      </c>
      <c r="S222" s="24">
        <v>27</v>
      </c>
      <c r="T222" s="24">
        <v>0</v>
      </c>
      <c r="U222" s="24">
        <v>0</v>
      </c>
      <c r="V222" s="24">
        <v>1</v>
      </c>
      <c r="W222" s="24">
        <v>1</v>
      </c>
      <c r="X222" s="24">
        <v>1</v>
      </c>
      <c r="Y222" s="24">
        <v>0</v>
      </c>
      <c r="Z222" s="24">
        <v>0</v>
      </c>
      <c r="AA222" s="24">
        <v>1</v>
      </c>
      <c r="AB222" s="24">
        <v>1</v>
      </c>
      <c r="AC222" s="24">
        <v>0</v>
      </c>
      <c r="AD222" s="24">
        <v>0</v>
      </c>
      <c r="AE222" s="24">
        <v>0</v>
      </c>
      <c r="AF222" s="24">
        <v>0</v>
      </c>
      <c r="AG222" s="24">
        <v>0</v>
      </c>
      <c r="AH222" s="24">
        <v>1</v>
      </c>
      <c r="AI222" s="24">
        <v>0</v>
      </c>
      <c r="AJ222" s="24">
        <v>0</v>
      </c>
      <c r="AK222" s="24">
        <v>1</v>
      </c>
      <c r="AL222" s="24">
        <v>0</v>
      </c>
      <c r="AM222" s="24">
        <v>0</v>
      </c>
      <c r="AN222" s="24">
        <v>0</v>
      </c>
      <c r="AO222" s="24">
        <v>0</v>
      </c>
      <c r="AP222" s="24">
        <v>0</v>
      </c>
      <c r="AQ222" s="24">
        <v>0</v>
      </c>
      <c r="AR222" s="24">
        <v>1</v>
      </c>
      <c r="AS222" s="24">
        <v>0</v>
      </c>
      <c r="AT222" s="24">
        <v>0</v>
      </c>
      <c r="AU222" s="24">
        <v>0</v>
      </c>
      <c r="AV222" s="24">
        <v>0</v>
      </c>
      <c r="AW222" s="24">
        <v>1</v>
      </c>
      <c r="AX222" s="24">
        <v>0</v>
      </c>
      <c r="AY222" s="24">
        <v>0</v>
      </c>
      <c r="AZ222" s="24">
        <v>1</v>
      </c>
      <c r="BA222" s="24">
        <v>0</v>
      </c>
      <c r="BB222" s="24">
        <v>0</v>
      </c>
    </row>
    <row r="223" spans="2:54" ht="13.8" x14ac:dyDescent="0.3">
      <c r="B223" s="24">
        <v>203</v>
      </c>
      <c r="C223" s="24">
        <v>27</v>
      </c>
      <c r="D223" s="24">
        <v>0</v>
      </c>
      <c r="E223" s="24">
        <v>0</v>
      </c>
      <c r="F223" s="24">
        <v>0</v>
      </c>
      <c r="G223" s="24">
        <v>0</v>
      </c>
      <c r="H223" s="24">
        <v>0</v>
      </c>
      <c r="I223" s="24">
        <v>1</v>
      </c>
      <c r="J223" s="24">
        <v>5117</v>
      </c>
      <c r="K223" s="24">
        <v>3</v>
      </c>
      <c r="L223" s="24">
        <v>0</v>
      </c>
      <c r="M223" s="24">
        <v>1</v>
      </c>
      <c r="N223" s="24">
        <v>0</v>
      </c>
      <c r="O223" s="24">
        <v>0</v>
      </c>
      <c r="P223" s="24">
        <v>0</v>
      </c>
      <c r="Q223" s="24">
        <v>0</v>
      </c>
      <c r="R223" s="24">
        <v>0</v>
      </c>
      <c r="S223" s="24">
        <v>26</v>
      </c>
      <c r="T223" s="24">
        <v>0</v>
      </c>
      <c r="U223" s="24">
        <v>0</v>
      </c>
      <c r="V223" s="24">
        <v>1</v>
      </c>
      <c r="W223" s="24">
        <v>2</v>
      </c>
      <c r="X223" s="24">
        <v>1</v>
      </c>
      <c r="Y223" s="24">
        <v>0</v>
      </c>
      <c r="Z223" s="24">
        <v>0</v>
      </c>
      <c r="AA223" s="24">
        <v>1</v>
      </c>
      <c r="AB223" s="24">
        <v>0</v>
      </c>
      <c r="AC223" s="24">
        <v>0</v>
      </c>
      <c r="AD223" s="24">
        <v>0</v>
      </c>
      <c r="AE223" s="24">
        <v>1</v>
      </c>
      <c r="AF223" s="24">
        <v>0</v>
      </c>
      <c r="AG223" s="24">
        <v>0</v>
      </c>
      <c r="AH223" s="24">
        <v>0</v>
      </c>
      <c r="AI223" s="24">
        <v>1</v>
      </c>
      <c r="AJ223" s="24">
        <v>0</v>
      </c>
      <c r="AK223" s="24">
        <v>1</v>
      </c>
      <c r="AL223" s="24">
        <v>0</v>
      </c>
      <c r="AM223" s="24">
        <v>0</v>
      </c>
      <c r="AN223" s="24">
        <v>0</v>
      </c>
      <c r="AO223" s="24">
        <v>0</v>
      </c>
      <c r="AP223" s="24">
        <v>0</v>
      </c>
      <c r="AQ223" s="24">
        <v>0</v>
      </c>
      <c r="AR223" s="24">
        <v>0</v>
      </c>
      <c r="AS223" s="24">
        <v>1</v>
      </c>
      <c r="AT223" s="24">
        <v>0</v>
      </c>
      <c r="AU223" s="24">
        <v>0</v>
      </c>
      <c r="AV223" s="24">
        <v>0</v>
      </c>
      <c r="AW223" s="24">
        <v>0</v>
      </c>
      <c r="AX223" s="24">
        <v>1</v>
      </c>
      <c r="AY223" s="24">
        <v>0</v>
      </c>
      <c r="AZ223" s="24">
        <v>0</v>
      </c>
      <c r="BA223" s="24">
        <v>1</v>
      </c>
      <c r="BB223" s="24">
        <v>0</v>
      </c>
    </row>
    <row r="224" spans="2:54" ht="13.8" x14ac:dyDescent="0.3">
      <c r="B224" s="24">
        <v>204</v>
      </c>
      <c r="C224" s="24">
        <v>12</v>
      </c>
      <c r="D224" s="24">
        <v>0</v>
      </c>
      <c r="E224" s="24">
        <v>0</v>
      </c>
      <c r="F224" s="24">
        <v>0</v>
      </c>
      <c r="G224" s="24">
        <v>0</v>
      </c>
      <c r="H224" s="24">
        <v>0</v>
      </c>
      <c r="I224" s="24">
        <v>0</v>
      </c>
      <c r="J224" s="24">
        <v>902</v>
      </c>
      <c r="K224" s="24">
        <v>4</v>
      </c>
      <c r="L224" s="24">
        <v>0</v>
      </c>
      <c r="M224" s="24">
        <v>0</v>
      </c>
      <c r="N224" s="24">
        <v>1</v>
      </c>
      <c r="O224" s="24">
        <v>0</v>
      </c>
      <c r="P224" s="24">
        <v>0</v>
      </c>
      <c r="Q224" s="24">
        <v>0</v>
      </c>
      <c r="R224" s="24">
        <v>0</v>
      </c>
      <c r="S224" s="24">
        <v>21</v>
      </c>
      <c r="T224" s="24">
        <v>0</v>
      </c>
      <c r="U224" s="24">
        <v>1</v>
      </c>
      <c r="V224" s="24">
        <v>0</v>
      </c>
      <c r="W224" s="24">
        <v>1</v>
      </c>
      <c r="X224" s="24">
        <v>1</v>
      </c>
      <c r="Y224" s="24">
        <v>0</v>
      </c>
      <c r="Z224" s="24">
        <v>0</v>
      </c>
      <c r="AA224" s="24">
        <v>0</v>
      </c>
      <c r="AB224" s="24">
        <v>1</v>
      </c>
      <c r="AC224" s="24">
        <v>0</v>
      </c>
      <c r="AD224" s="24">
        <v>0</v>
      </c>
      <c r="AE224" s="24">
        <v>0</v>
      </c>
      <c r="AF224" s="24">
        <v>0</v>
      </c>
      <c r="AG224" s="24">
        <v>0</v>
      </c>
      <c r="AH224" s="24">
        <v>1</v>
      </c>
      <c r="AI224" s="24">
        <v>0</v>
      </c>
      <c r="AJ224" s="24">
        <v>0</v>
      </c>
      <c r="AK224" s="24">
        <v>1</v>
      </c>
      <c r="AL224" s="24">
        <v>0</v>
      </c>
      <c r="AM224" s="24">
        <v>0</v>
      </c>
      <c r="AN224" s="24">
        <v>0</v>
      </c>
      <c r="AO224" s="24">
        <v>0</v>
      </c>
      <c r="AP224" s="24">
        <v>0</v>
      </c>
      <c r="AQ224" s="24">
        <v>0</v>
      </c>
      <c r="AR224" s="24">
        <v>0</v>
      </c>
      <c r="AS224" s="24">
        <v>1</v>
      </c>
      <c r="AT224" s="24">
        <v>0</v>
      </c>
      <c r="AU224" s="24">
        <v>0</v>
      </c>
      <c r="AV224" s="24">
        <v>0</v>
      </c>
      <c r="AW224" s="24">
        <v>0</v>
      </c>
      <c r="AX224" s="24">
        <v>1</v>
      </c>
      <c r="AY224" s="24">
        <v>0</v>
      </c>
      <c r="AZ224" s="24">
        <v>0</v>
      </c>
      <c r="BA224" s="24">
        <v>1</v>
      </c>
      <c r="BB224" s="24">
        <v>0</v>
      </c>
    </row>
    <row r="225" spans="2:54" ht="13.8" x14ac:dyDescent="0.3">
      <c r="B225" s="24">
        <v>205</v>
      </c>
      <c r="C225" s="24">
        <v>12</v>
      </c>
      <c r="D225" s="24">
        <v>1</v>
      </c>
      <c r="E225" s="24">
        <v>0</v>
      </c>
      <c r="F225" s="24">
        <v>0</v>
      </c>
      <c r="G225" s="24">
        <v>0</v>
      </c>
      <c r="H225" s="24">
        <v>0</v>
      </c>
      <c r="I225" s="24">
        <v>0</v>
      </c>
      <c r="J225" s="24">
        <v>1495</v>
      </c>
      <c r="K225" s="24">
        <v>4</v>
      </c>
      <c r="L225" s="24">
        <v>0</v>
      </c>
      <c r="M225" s="24">
        <v>1</v>
      </c>
      <c r="N225" s="24">
        <v>0</v>
      </c>
      <c r="O225" s="24">
        <v>0</v>
      </c>
      <c r="P225" s="24">
        <v>0</v>
      </c>
      <c r="Q225" s="24">
        <v>1</v>
      </c>
      <c r="R225" s="24">
        <v>0</v>
      </c>
      <c r="S225" s="24">
        <v>38</v>
      </c>
      <c r="T225" s="24">
        <v>0</v>
      </c>
      <c r="U225" s="24">
        <v>0</v>
      </c>
      <c r="V225" s="24">
        <v>1</v>
      </c>
      <c r="W225" s="24">
        <v>2</v>
      </c>
      <c r="X225" s="24">
        <v>2</v>
      </c>
      <c r="Y225" s="24">
        <v>0</v>
      </c>
      <c r="Z225" s="24">
        <v>0</v>
      </c>
      <c r="AA225" s="24">
        <v>1</v>
      </c>
      <c r="AB225" s="24">
        <v>0</v>
      </c>
      <c r="AC225" s="24">
        <v>0</v>
      </c>
      <c r="AD225" s="24">
        <v>0</v>
      </c>
      <c r="AE225" s="24">
        <v>1</v>
      </c>
      <c r="AF225" s="24">
        <v>0</v>
      </c>
      <c r="AG225" s="24">
        <v>0</v>
      </c>
      <c r="AH225" s="24">
        <v>0</v>
      </c>
      <c r="AI225" s="24">
        <v>0</v>
      </c>
      <c r="AJ225" s="24">
        <v>1</v>
      </c>
      <c r="AK225" s="24">
        <v>1</v>
      </c>
      <c r="AL225" s="24">
        <v>0</v>
      </c>
      <c r="AM225" s="24">
        <v>0</v>
      </c>
      <c r="AN225" s="24">
        <v>0</v>
      </c>
      <c r="AO225" s="24">
        <v>0</v>
      </c>
      <c r="AP225" s="24">
        <v>0</v>
      </c>
      <c r="AQ225" s="24">
        <v>0</v>
      </c>
      <c r="AR225" s="24">
        <v>0</v>
      </c>
      <c r="AS225" s="24">
        <v>0</v>
      </c>
      <c r="AT225" s="24">
        <v>1</v>
      </c>
      <c r="AU225" s="24">
        <v>1</v>
      </c>
      <c r="AV225" s="24">
        <v>0</v>
      </c>
      <c r="AW225" s="24">
        <v>0</v>
      </c>
      <c r="AX225" s="24">
        <v>0</v>
      </c>
      <c r="AY225" s="24">
        <v>0</v>
      </c>
      <c r="AZ225" s="24">
        <v>1</v>
      </c>
      <c r="BA225" s="24">
        <v>0</v>
      </c>
      <c r="BB225" s="24">
        <v>0</v>
      </c>
    </row>
    <row r="226" spans="2:54" ht="13.8" x14ac:dyDescent="0.3">
      <c r="B226" s="24">
        <v>206</v>
      </c>
      <c r="C226" s="24">
        <v>30</v>
      </c>
      <c r="D226" s="24">
        <v>0</v>
      </c>
      <c r="E226" s="24">
        <v>1</v>
      </c>
      <c r="F226" s="24">
        <v>0</v>
      </c>
      <c r="G226" s="24">
        <v>0</v>
      </c>
      <c r="H226" s="24">
        <v>0</v>
      </c>
      <c r="I226" s="24">
        <v>0</v>
      </c>
      <c r="J226" s="24">
        <v>10623</v>
      </c>
      <c r="K226" s="24">
        <v>3</v>
      </c>
      <c r="L226" s="24">
        <v>0</v>
      </c>
      <c r="M226" s="24">
        <v>1</v>
      </c>
      <c r="N226" s="24">
        <v>0</v>
      </c>
      <c r="O226" s="24">
        <v>0</v>
      </c>
      <c r="P226" s="24">
        <v>0</v>
      </c>
      <c r="Q226" s="24">
        <v>0</v>
      </c>
      <c r="R226" s="24">
        <v>1</v>
      </c>
      <c r="S226" s="24">
        <v>38</v>
      </c>
      <c r="T226" s="24">
        <v>0</v>
      </c>
      <c r="U226" s="24">
        <v>0</v>
      </c>
      <c r="V226" s="24">
        <v>0</v>
      </c>
      <c r="W226" s="24">
        <v>3</v>
      </c>
      <c r="X226" s="24">
        <v>2</v>
      </c>
      <c r="Y226" s="24">
        <v>1</v>
      </c>
      <c r="Z226" s="24">
        <v>0</v>
      </c>
      <c r="AA226" s="24">
        <v>1</v>
      </c>
      <c r="AB226" s="24">
        <v>1</v>
      </c>
      <c r="AC226" s="24">
        <v>0</v>
      </c>
      <c r="AD226" s="24">
        <v>0</v>
      </c>
      <c r="AE226" s="24">
        <v>0</v>
      </c>
      <c r="AF226" s="24">
        <v>0</v>
      </c>
      <c r="AG226" s="24">
        <v>0</v>
      </c>
      <c r="AH226" s="24">
        <v>0</v>
      </c>
      <c r="AI226" s="24">
        <v>0</v>
      </c>
      <c r="AJ226" s="24">
        <v>1</v>
      </c>
      <c r="AK226" s="24">
        <v>1</v>
      </c>
      <c r="AL226" s="24">
        <v>0</v>
      </c>
      <c r="AM226" s="24">
        <v>0</v>
      </c>
      <c r="AN226" s="24">
        <v>0</v>
      </c>
      <c r="AO226" s="24">
        <v>0</v>
      </c>
      <c r="AP226" s="24">
        <v>0</v>
      </c>
      <c r="AQ226" s="24">
        <v>0</v>
      </c>
      <c r="AR226" s="24">
        <v>0</v>
      </c>
      <c r="AS226" s="24">
        <v>0</v>
      </c>
      <c r="AT226" s="24">
        <v>1</v>
      </c>
      <c r="AU226" s="24">
        <v>0</v>
      </c>
      <c r="AV226" s="24">
        <v>0</v>
      </c>
      <c r="AW226" s="24">
        <v>0</v>
      </c>
      <c r="AX226" s="24">
        <v>1</v>
      </c>
      <c r="AY226" s="24">
        <v>0</v>
      </c>
      <c r="AZ226" s="24">
        <v>0</v>
      </c>
      <c r="BA226" s="24">
        <v>0</v>
      </c>
      <c r="BB226" s="24">
        <v>1</v>
      </c>
    </row>
    <row r="227" spans="2:54" ht="13.8" x14ac:dyDescent="0.3">
      <c r="B227" s="24">
        <v>207</v>
      </c>
      <c r="C227" s="24">
        <v>12</v>
      </c>
      <c r="D227" s="24">
        <v>0</v>
      </c>
      <c r="E227" s="24">
        <v>0</v>
      </c>
      <c r="F227" s="24">
        <v>1</v>
      </c>
      <c r="G227" s="24">
        <v>0</v>
      </c>
      <c r="H227" s="24">
        <v>0</v>
      </c>
      <c r="I227" s="24">
        <v>0</v>
      </c>
      <c r="J227" s="24">
        <v>1935</v>
      </c>
      <c r="K227" s="24">
        <v>4</v>
      </c>
      <c r="L227" s="24">
        <v>0</v>
      </c>
      <c r="M227" s="24">
        <v>1</v>
      </c>
      <c r="N227" s="24">
        <v>0</v>
      </c>
      <c r="O227" s="24">
        <v>0</v>
      </c>
      <c r="P227" s="24">
        <v>0</v>
      </c>
      <c r="Q227" s="24">
        <v>1</v>
      </c>
      <c r="R227" s="24">
        <v>0</v>
      </c>
      <c r="S227" s="24">
        <v>43</v>
      </c>
      <c r="T227" s="24">
        <v>0</v>
      </c>
      <c r="U227" s="24">
        <v>0</v>
      </c>
      <c r="V227" s="24">
        <v>1</v>
      </c>
      <c r="W227" s="24">
        <v>3</v>
      </c>
      <c r="X227" s="24">
        <v>1</v>
      </c>
      <c r="Y227" s="24">
        <v>1</v>
      </c>
      <c r="Z227" s="24">
        <v>0</v>
      </c>
      <c r="AA227" s="24">
        <v>1</v>
      </c>
      <c r="AB227" s="24">
        <v>0</v>
      </c>
      <c r="AC227" s="24">
        <v>0</v>
      </c>
      <c r="AD227" s="24">
        <v>0</v>
      </c>
      <c r="AE227" s="24">
        <v>1</v>
      </c>
      <c r="AF227" s="24">
        <v>0</v>
      </c>
      <c r="AG227" s="24">
        <v>0</v>
      </c>
      <c r="AH227" s="24">
        <v>0</v>
      </c>
      <c r="AI227" s="24">
        <v>0</v>
      </c>
      <c r="AJ227" s="24">
        <v>1</v>
      </c>
      <c r="AK227" s="24">
        <v>1</v>
      </c>
      <c r="AL227" s="24">
        <v>0</v>
      </c>
      <c r="AM227" s="24">
        <v>0</v>
      </c>
      <c r="AN227" s="24">
        <v>0</v>
      </c>
      <c r="AO227" s="24">
        <v>0</v>
      </c>
      <c r="AP227" s="24">
        <v>0</v>
      </c>
      <c r="AQ227" s="24">
        <v>0</v>
      </c>
      <c r="AR227" s="24">
        <v>0</v>
      </c>
      <c r="AS227" s="24">
        <v>0</v>
      </c>
      <c r="AT227" s="24">
        <v>1</v>
      </c>
      <c r="AU227" s="24">
        <v>0</v>
      </c>
      <c r="AV227" s="24">
        <v>0</v>
      </c>
      <c r="AW227" s="24">
        <v>0</v>
      </c>
      <c r="AX227" s="24">
        <v>1</v>
      </c>
      <c r="AY227" s="24">
        <v>0</v>
      </c>
      <c r="AZ227" s="24">
        <v>0</v>
      </c>
      <c r="BA227" s="24">
        <v>1</v>
      </c>
      <c r="BB227" s="24">
        <v>0</v>
      </c>
    </row>
    <row r="228" spans="2:54" ht="13.8" x14ac:dyDescent="0.3">
      <c r="B228" s="24">
        <v>208</v>
      </c>
      <c r="C228" s="24">
        <v>12</v>
      </c>
      <c r="D228" s="24">
        <v>0</v>
      </c>
      <c r="E228" s="24">
        <v>0</v>
      </c>
      <c r="F228" s="24">
        <v>0</v>
      </c>
      <c r="G228" s="24">
        <v>0</v>
      </c>
      <c r="H228" s="24">
        <v>0</v>
      </c>
      <c r="I228" s="24">
        <v>0</v>
      </c>
      <c r="J228" s="24">
        <v>1424</v>
      </c>
      <c r="K228" s="24">
        <v>4</v>
      </c>
      <c r="L228" s="24">
        <v>0</v>
      </c>
      <c r="M228" s="24">
        <v>1</v>
      </c>
      <c r="N228" s="24">
        <v>0</v>
      </c>
      <c r="O228" s="24">
        <v>0</v>
      </c>
      <c r="P228" s="24">
        <v>0</v>
      </c>
      <c r="Q228" s="24">
        <v>0</v>
      </c>
      <c r="R228" s="24">
        <v>0</v>
      </c>
      <c r="S228" s="24">
        <v>26</v>
      </c>
      <c r="T228" s="24">
        <v>0</v>
      </c>
      <c r="U228" s="24">
        <v>0</v>
      </c>
      <c r="V228" s="24">
        <v>1</v>
      </c>
      <c r="W228" s="24">
        <v>1</v>
      </c>
      <c r="X228" s="24">
        <v>1</v>
      </c>
      <c r="Y228" s="24">
        <v>0</v>
      </c>
      <c r="Z228" s="24">
        <v>0</v>
      </c>
      <c r="AA228" s="24">
        <v>1</v>
      </c>
      <c r="AB228" s="24">
        <v>0</v>
      </c>
      <c r="AC228" s="24">
        <v>1</v>
      </c>
      <c r="AD228" s="24">
        <v>0</v>
      </c>
      <c r="AE228" s="24">
        <v>0</v>
      </c>
      <c r="AF228" s="24">
        <v>0</v>
      </c>
      <c r="AG228" s="24">
        <v>0</v>
      </c>
      <c r="AH228" s="24">
        <v>0</v>
      </c>
      <c r="AI228" s="24">
        <v>0</v>
      </c>
      <c r="AJ228" s="24">
        <v>1</v>
      </c>
      <c r="AK228" s="24">
        <v>1</v>
      </c>
      <c r="AL228" s="24">
        <v>0</v>
      </c>
      <c r="AM228" s="24">
        <v>0</v>
      </c>
      <c r="AN228" s="24">
        <v>0</v>
      </c>
      <c r="AO228" s="24">
        <v>0</v>
      </c>
      <c r="AP228" s="24">
        <v>0</v>
      </c>
      <c r="AQ228" s="24">
        <v>0</v>
      </c>
      <c r="AR228" s="24">
        <v>0</v>
      </c>
      <c r="AS228" s="24">
        <v>1</v>
      </c>
      <c r="AT228" s="24">
        <v>0</v>
      </c>
      <c r="AU228" s="24">
        <v>0</v>
      </c>
      <c r="AV228" s="24">
        <v>0</v>
      </c>
      <c r="AW228" s="24">
        <v>1</v>
      </c>
      <c r="AX228" s="24">
        <v>0</v>
      </c>
      <c r="AY228" s="24">
        <v>0</v>
      </c>
      <c r="AZ228" s="24">
        <v>0</v>
      </c>
      <c r="BA228" s="24">
        <v>1</v>
      </c>
      <c r="BB228" s="24">
        <v>0</v>
      </c>
    </row>
    <row r="229" spans="2:54" ht="13.8" x14ac:dyDescent="0.3">
      <c r="B229" s="24">
        <v>209</v>
      </c>
      <c r="C229" s="24">
        <v>24</v>
      </c>
      <c r="D229" s="24">
        <v>0</v>
      </c>
      <c r="E229" s="24">
        <v>0</v>
      </c>
      <c r="F229" s="24">
        <v>0</v>
      </c>
      <c r="G229" s="24">
        <v>0</v>
      </c>
      <c r="H229" s="24">
        <v>0</v>
      </c>
      <c r="I229" s="24">
        <v>1</v>
      </c>
      <c r="J229" s="24">
        <v>6568</v>
      </c>
      <c r="K229" s="24">
        <v>2</v>
      </c>
      <c r="L229" s="24">
        <v>0</v>
      </c>
      <c r="M229" s="24">
        <v>0</v>
      </c>
      <c r="N229" s="24">
        <v>1</v>
      </c>
      <c r="O229" s="24">
        <v>0</v>
      </c>
      <c r="P229" s="24">
        <v>0</v>
      </c>
      <c r="Q229" s="24">
        <v>0</v>
      </c>
      <c r="R229" s="24">
        <v>0</v>
      </c>
      <c r="S229" s="24">
        <v>21</v>
      </c>
      <c r="T229" s="24">
        <v>1</v>
      </c>
      <c r="U229" s="24">
        <v>0</v>
      </c>
      <c r="V229" s="24">
        <v>1</v>
      </c>
      <c r="W229" s="24">
        <v>1</v>
      </c>
      <c r="X229" s="24">
        <v>1</v>
      </c>
      <c r="Y229" s="24">
        <v>0</v>
      </c>
      <c r="Z229" s="24">
        <v>0</v>
      </c>
      <c r="AA229" s="24">
        <v>1</v>
      </c>
      <c r="AB229" s="24">
        <v>1</v>
      </c>
      <c r="AC229" s="24">
        <v>0</v>
      </c>
      <c r="AD229" s="24">
        <v>0</v>
      </c>
      <c r="AE229" s="24">
        <v>0</v>
      </c>
      <c r="AF229" s="24">
        <v>0</v>
      </c>
      <c r="AG229" s="24">
        <v>0</v>
      </c>
      <c r="AH229" s="24">
        <v>1</v>
      </c>
      <c r="AI229" s="24">
        <v>0</v>
      </c>
      <c r="AJ229" s="24">
        <v>0</v>
      </c>
      <c r="AK229" s="24">
        <v>1</v>
      </c>
      <c r="AL229" s="24">
        <v>0</v>
      </c>
      <c r="AM229" s="24">
        <v>0</v>
      </c>
      <c r="AN229" s="24">
        <v>0</v>
      </c>
      <c r="AO229" s="24">
        <v>0</v>
      </c>
      <c r="AP229" s="24">
        <v>0</v>
      </c>
      <c r="AQ229" s="24">
        <v>0</v>
      </c>
      <c r="AR229" s="24">
        <v>1</v>
      </c>
      <c r="AS229" s="24">
        <v>0</v>
      </c>
      <c r="AT229" s="24">
        <v>0</v>
      </c>
      <c r="AU229" s="24">
        <v>0</v>
      </c>
      <c r="AV229" s="24">
        <v>1</v>
      </c>
      <c r="AW229" s="24">
        <v>0</v>
      </c>
      <c r="AX229" s="24">
        <v>0</v>
      </c>
      <c r="AY229" s="24">
        <v>0</v>
      </c>
      <c r="AZ229" s="24">
        <v>1</v>
      </c>
      <c r="BA229" s="24">
        <v>0</v>
      </c>
      <c r="BB229" s="24">
        <v>0</v>
      </c>
    </row>
    <row r="230" spans="2:54" ht="13.8" x14ac:dyDescent="0.3">
      <c r="B230" s="24">
        <v>210</v>
      </c>
      <c r="C230" s="24">
        <v>12</v>
      </c>
      <c r="D230" s="24">
        <v>0</v>
      </c>
      <c r="E230" s="24">
        <v>1</v>
      </c>
      <c r="F230" s="24">
        <v>0</v>
      </c>
      <c r="G230" s="24">
        <v>0</v>
      </c>
      <c r="H230" s="24">
        <v>0</v>
      </c>
      <c r="I230" s="24">
        <v>0</v>
      </c>
      <c r="J230" s="24">
        <v>1413</v>
      </c>
      <c r="K230" s="24">
        <v>3</v>
      </c>
      <c r="L230" s="24">
        <v>0</v>
      </c>
      <c r="M230" s="24">
        <v>1</v>
      </c>
      <c r="N230" s="24">
        <v>0</v>
      </c>
      <c r="O230" s="24">
        <v>0</v>
      </c>
      <c r="P230" s="24">
        <v>0</v>
      </c>
      <c r="Q230" s="24">
        <v>0</v>
      </c>
      <c r="R230" s="24">
        <v>0</v>
      </c>
      <c r="S230" s="24">
        <v>55</v>
      </c>
      <c r="T230" s="24">
        <v>0</v>
      </c>
      <c r="U230" s="24">
        <v>0</v>
      </c>
      <c r="V230" s="24">
        <v>1</v>
      </c>
      <c r="W230" s="24">
        <v>1</v>
      </c>
      <c r="X230" s="24">
        <v>1</v>
      </c>
      <c r="Y230" s="24">
        <v>0</v>
      </c>
      <c r="Z230" s="24">
        <v>1</v>
      </c>
      <c r="AA230" s="24">
        <v>1</v>
      </c>
      <c r="AB230" s="24">
        <v>0</v>
      </c>
      <c r="AC230" s="24">
        <v>0</v>
      </c>
      <c r="AD230" s="24">
        <v>0</v>
      </c>
      <c r="AE230" s="24">
        <v>1</v>
      </c>
      <c r="AF230" s="24">
        <v>0</v>
      </c>
      <c r="AG230" s="24">
        <v>0</v>
      </c>
      <c r="AH230" s="24">
        <v>1</v>
      </c>
      <c r="AI230" s="24">
        <v>0</v>
      </c>
      <c r="AJ230" s="24">
        <v>0</v>
      </c>
      <c r="AK230" s="24">
        <v>0</v>
      </c>
      <c r="AL230" s="24">
        <v>0</v>
      </c>
      <c r="AM230" s="24">
        <v>0</v>
      </c>
      <c r="AN230" s="24">
        <v>1</v>
      </c>
      <c r="AO230" s="24">
        <v>0</v>
      </c>
      <c r="AP230" s="24">
        <v>0</v>
      </c>
      <c r="AQ230" s="24">
        <v>0</v>
      </c>
      <c r="AR230" s="24">
        <v>0</v>
      </c>
      <c r="AS230" s="24">
        <v>1</v>
      </c>
      <c r="AT230" s="24">
        <v>0</v>
      </c>
      <c r="AU230" s="24">
        <v>0</v>
      </c>
      <c r="AV230" s="24">
        <v>1</v>
      </c>
      <c r="AW230" s="24">
        <v>0</v>
      </c>
      <c r="AX230" s="24">
        <v>0</v>
      </c>
      <c r="AY230" s="24">
        <v>0</v>
      </c>
      <c r="AZ230" s="24">
        <v>0</v>
      </c>
      <c r="BA230" s="24">
        <v>1</v>
      </c>
      <c r="BB230" s="24">
        <v>0</v>
      </c>
    </row>
    <row r="231" spans="2:54" ht="13.8" x14ac:dyDescent="0.3">
      <c r="B231" s="24">
        <v>211</v>
      </c>
      <c r="C231" s="24">
        <v>9</v>
      </c>
      <c r="D231" s="24">
        <v>0</v>
      </c>
      <c r="E231" s="24">
        <v>0</v>
      </c>
      <c r="F231" s="24">
        <v>0</v>
      </c>
      <c r="G231" s="24">
        <v>1</v>
      </c>
      <c r="H231" s="24">
        <v>0</v>
      </c>
      <c r="I231" s="24">
        <v>0</v>
      </c>
      <c r="J231" s="24">
        <v>3074</v>
      </c>
      <c r="K231" s="24">
        <v>1</v>
      </c>
      <c r="L231" s="24">
        <v>0</v>
      </c>
      <c r="M231" s="24">
        <v>1</v>
      </c>
      <c r="N231" s="24">
        <v>0</v>
      </c>
      <c r="O231" s="24">
        <v>0</v>
      </c>
      <c r="P231" s="24">
        <v>0</v>
      </c>
      <c r="Q231" s="24">
        <v>1</v>
      </c>
      <c r="R231" s="24">
        <v>0</v>
      </c>
      <c r="S231" s="24">
        <v>33</v>
      </c>
      <c r="T231" s="24">
        <v>0</v>
      </c>
      <c r="U231" s="24">
        <v>0</v>
      </c>
      <c r="V231" s="24">
        <v>1</v>
      </c>
      <c r="W231" s="24">
        <v>2</v>
      </c>
      <c r="X231" s="24">
        <v>2</v>
      </c>
      <c r="Y231" s="24">
        <v>0</v>
      </c>
      <c r="Z231" s="24">
        <v>0</v>
      </c>
      <c r="AA231" s="24">
        <v>1</v>
      </c>
      <c r="AB231" s="24">
        <v>0</v>
      </c>
      <c r="AC231" s="24">
        <v>0</v>
      </c>
      <c r="AD231" s="24">
        <v>0</v>
      </c>
      <c r="AE231" s="24">
        <v>1</v>
      </c>
      <c r="AF231" s="24">
        <v>0</v>
      </c>
      <c r="AG231" s="24">
        <v>0</v>
      </c>
      <c r="AH231" s="24">
        <v>0</v>
      </c>
      <c r="AI231" s="24">
        <v>0</v>
      </c>
      <c r="AJ231" s="24">
        <v>1</v>
      </c>
      <c r="AK231" s="24">
        <v>0</v>
      </c>
      <c r="AL231" s="24">
        <v>0</v>
      </c>
      <c r="AM231" s="24">
        <v>0</v>
      </c>
      <c r="AN231" s="24">
        <v>0</v>
      </c>
      <c r="AO231" s="24">
        <v>1</v>
      </c>
      <c r="AP231" s="24">
        <v>0</v>
      </c>
      <c r="AQ231" s="24">
        <v>0</v>
      </c>
      <c r="AR231" s="24">
        <v>1</v>
      </c>
      <c r="AS231" s="24">
        <v>0</v>
      </c>
      <c r="AT231" s="24">
        <v>0</v>
      </c>
      <c r="AU231" s="24">
        <v>0</v>
      </c>
      <c r="AV231" s="24">
        <v>1</v>
      </c>
      <c r="AW231" s="24">
        <v>0</v>
      </c>
      <c r="AX231" s="24">
        <v>0</v>
      </c>
      <c r="AY231" s="24">
        <v>0</v>
      </c>
      <c r="AZ231" s="24">
        <v>0</v>
      </c>
      <c r="BA231" s="24">
        <v>1</v>
      </c>
      <c r="BB231" s="24">
        <v>0</v>
      </c>
    </row>
    <row r="232" spans="2:54" ht="13.8" x14ac:dyDescent="0.3">
      <c r="B232" s="24">
        <v>212</v>
      </c>
      <c r="C232" s="24">
        <v>36</v>
      </c>
      <c r="D232" s="24">
        <v>0</v>
      </c>
      <c r="E232" s="24">
        <v>0</v>
      </c>
      <c r="F232" s="24">
        <v>0</v>
      </c>
      <c r="G232" s="24">
        <v>1</v>
      </c>
      <c r="H232" s="24">
        <v>0</v>
      </c>
      <c r="I232" s="24">
        <v>0</v>
      </c>
      <c r="J232" s="24">
        <v>3835</v>
      </c>
      <c r="K232" s="24">
        <v>2</v>
      </c>
      <c r="L232" s="24">
        <v>0</v>
      </c>
      <c r="M232" s="24">
        <v>0</v>
      </c>
      <c r="N232" s="24">
        <v>0</v>
      </c>
      <c r="O232" s="24">
        <v>0</v>
      </c>
      <c r="P232" s="24">
        <v>0</v>
      </c>
      <c r="Q232" s="24">
        <v>1</v>
      </c>
      <c r="R232" s="24">
        <v>0</v>
      </c>
      <c r="S232" s="24">
        <v>45</v>
      </c>
      <c r="T232" s="24">
        <v>0</v>
      </c>
      <c r="U232" s="24">
        <v>0</v>
      </c>
      <c r="V232" s="24">
        <v>1</v>
      </c>
      <c r="W232" s="24">
        <v>1</v>
      </c>
      <c r="X232" s="24">
        <v>1</v>
      </c>
      <c r="Y232" s="24">
        <v>1</v>
      </c>
      <c r="Z232" s="24">
        <v>0</v>
      </c>
      <c r="AA232" s="24">
        <v>1</v>
      </c>
      <c r="AB232" s="24">
        <v>0</v>
      </c>
      <c r="AC232" s="24">
        <v>0</v>
      </c>
      <c r="AD232" s="24">
        <v>0</v>
      </c>
      <c r="AE232" s="24">
        <v>1</v>
      </c>
      <c r="AF232" s="24">
        <v>0</v>
      </c>
      <c r="AG232" s="24">
        <v>0</v>
      </c>
      <c r="AH232" s="24">
        <v>1</v>
      </c>
      <c r="AI232" s="24">
        <v>0</v>
      </c>
      <c r="AJ232" s="24">
        <v>0</v>
      </c>
      <c r="AK232" s="24">
        <v>0</v>
      </c>
      <c r="AL232" s="24">
        <v>0</v>
      </c>
      <c r="AM232" s="24">
        <v>0</v>
      </c>
      <c r="AN232" s="24">
        <v>0</v>
      </c>
      <c r="AO232" s="24">
        <v>1</v>
      </c>
      <c r="AP232" s="24">
        <v>0</v>
      </c>
      <c r="AQ232" s="24">
        <v>0</v>
      </c>
      <c r="AR232" s="24">
        <v>0</v>
      </c>
      <c r="AS232" s="24">
        <v>0</v>
      </c>
      <c r="AT232" s="24">
        <v>1</v>
      </c>
      <c r="AU232" s="24">
        <v>0</v>
      </c>
      <c r="AV232" s="24">
        <v>0</v>
      </c>
      <c r="AW232" s="24">
        <v>0</v>
      </c>
      <c r="AX232" s="24">
        <v>1</v>
      </c>
      <c r="AY232" s="24">
        <v>0</v>
      </c>
      <c r="AZ232" s="24">
        <v>1</v>
      </c>
      <c r="BA232" s="24">
        <v>0</v>
      </c>
      <c r="BB232" s="24">
        <v>0</v>
      </c>
    </row>
    <row r="233" spans="2:54" ht="13.8" x14ac:dyDescent="0.3">
      <c r="B233" s="24">
        <v>213</v>
      </c>
      <c r="C233" s="24">
        <v>27</v>
      </c>
      <c r="D233" s="24">
        <v>0</v>
      </c>
      <c r="E233" s="24">
        <v>0</v>
      </c>
      <c r="F233" s="24">
        <v>0</v>
      </c>
      <c r="G233" s="24">
        <v>0</v>
      </c>
      <c r="H233" s="24">
        <v>0</v>
      </c>
      <c r="I233" s="24">
        <v>1</v>
      </c>
      <c r="J233" s="24">
        <v>5293</v>
      </c>
      <c r="K233" s="24">
        <v>2</v>
      </c>
      <c r="L233" s="24">
        <v>0</v>
      </c>
      <c r="M233" s="24">
        <v>1</v>
      </c>
      <c r="N233" s="24">
        <v>0</v>
      </c>
      <c r="O233" s="24">
        <v>0</v>
      </c>
      <c r="P233" s="24">
        <v>0</v>
      </c>
      <c r="Q233" s="24">
        <v>0</v>
      </c>
      <c r="R233" s="24">
        <v>0</v>
      </c>
      <c r="S233" s="24">
        <v>50</v>
      </c>
      <c r="T233" s="24">
        <v>1</v>
      </c>
      <c r="U233" s="24">
        <v>0</v>
      </c>
      <c r="V233" s="24">
        <v>1</v>
      </c>
      <c r="W233" s="24">
        <v>2</v>
      </c>
      <c r="X233" s="24">
        <v>1</v>
      </c>
      <c r="Y233" s="24">
        <v>1</v>
      </c>
      <c r="Z233" s="24">
        <v>0</v>
      </c>
      <c r="AA233" s="24">
        <v>0</v>
      </c>
      <c r="AB233" s="24">
        <v>1</v>
      </c>
      <c r="AC233" s="24">
        <v>0</v>
      </c>
      <c r="AD233" s="24">
        <v>0</v>
      </c>
      <c r="AE233" s="24">
        <v>0</v>
      </c>
      <c r="AF233" s="24">
        <v>1</v>
      </c>
      <c r="AG233" s="24">
        <v>0</v>
      </c>
      <c r="AH233" s="24">
        <v>0</v>
      </c>
      <c r="AI233" s="24">
        <v>0</v>
      </c>
      <c r="AJ233" s="24">
        <v>0</v>
      </c>
      <c r="AK233" s="24">
        <v>1</v>
      </c>
      <c r="AL233" s="24">
        <v>0</v>
      </c>
      <c r="AM233" s="24">
        <v>0</v>
      </c>
      <c r="AN233" s="24">
        <v>0</v>
      </c>
      <c r="AO233" s="24">
        <v>0</v>
      </c>
      <c r="AP233" s="24">
        <v>1</v>
      </c>
      <c r="AQ233" s="24">
        <v>0</v>
      </c>
      <c r="AR233" s="24">
        <v>0</v>
      </c>
      <c r="AS233" s="24">
        <v>0</v>
      </c>
      <c r="AT233" s="24">
        <v>0</v>
      </c>
      <c r="AU233" s="24">
        <v>0</v>
      </c>
      <c r="AV233" s="24">
        <v>0</v>
      </c>
      <c r="AW233" s="24">
        <v>0</v>
      </c>
      <c r="AX233" s="24">
        <v>1</v>
      </c>
      <c r="AY233" s="24">
        <v>0</v>
      </c>
      <c r="AZ233" s="24">
        <v>0</v>
      </c>
      <c r="BA233" s="24">
        <v>1</v>
      </c>
      <c r="BB233" s="24">
        <v>0</v>
      </c>
    </row>
    <row r="234" spans="2:54" ht="13.8" x14ac:dyDescent="0.3">
      <c r="B234" s="24">
        <v>214</v>
      </c>
      <c r="C234" s="24">
        <v>30</v>
      </c>
      <c r="D234" s="24">
        <v>0</v>
      </c>
      <c r="E234" s="24">
        <v>0</v>
      </c>
      <c r="F234" s="24">
        <v>0</v>
      </c>
      <c r="G234" s="24">
        <v>0</v>
      </c>
      <c r="H234" s="24">
        <v>0</v>
      </c>
      <c r="I234" s="24">
        <v>1</v>
      </c>
      <c r="J234" s="24">
        <v>1908</v>
      </c>
      <c r="K234" s="24">
        <v>4</v>
      </c>
      <c r="L234" s="24">
        <v>0</v>
      </c>
      <c r="M234" s="24">
        <v>1</v>
      </c>
      <c r="N234" s="24">
        <v>0</v>
      </c>
      <c r="O234" s="24">
        <v>0</v>
      </c>
      <c r="P234" s="24">
        <v>0</v>
      </c>
      <c r="Q234" s="24">
        <v>1</v>
      </c>
      <c r="R234" s="24">
        <v>0</v>
      </c>
      <c r="S234" s="24">
        <v>66</v>
      </c>
      <c r="T234" s="24">
        <v>0</v>
      </c>
      <c r="U234" s="24">
        <v>0</v>
      </c>
      <c r="V234" s="24">
        <v>1</v>
      </c>
      <c r="W234" s="24">
        <v>1</v>
      </c>
      <c r="X234" s="24">
        <v>1</v>
      </c>
      <c r="Y234" s="24">
        <v>1</v>
      </c>
      <c r="Z234" s="24">
        <v>0</v>
      </c>
      <c r="AA234" s="24">
        <v>0</v>
      </c>
      <c r="AB234" s="24">
        <v>0</v>
      </c>
      <c r="AC234" s="24">
        <v>0</v>
      </c>
      <c r="AD234" s="24">
        <v>1</v>
      </c>
      <c r="AE234" s="24">
        <v>0</v>
      </c>
      <c r="AF234" s="24">
        <v>0</v>
      </c>
      <c r="AG234" s="24">
        <v>0</v>
      </c>
      <c r="AH234" s="24">
        <v>0</v>
      </c>
      <c r="AI234" s="24">
        <v>1</v>
      </c>
      <c r="AJ234" s="24">
        <v>0</v>
      </c>
      <c r="AK234" s="24">
        <v>1</v>
      </c>
      <c r="AL234" s="24">
        <v>0</v>
      </c>
      <c r="AM234" s="24">
        <v>0</v>
      </c>
      <c r="AN234" s="24">
        <v>0</v>
      </c>
      <c r="AO234" s="24">
        <v>0</v>
      </c>
      <c r="AP234" s="24">
        <v>0</v>
      </c>
      <c r="AQ234" s="24">
        <v>0</v>
      </c>
      <c r="AR234" s="24">
        <v>0</v>
      </c>
      <c r="AS234" s="24">
        <v>0</v>
      </c>
      <c r="AT234" s="24">
        <v>1</v>
      </c>
      <c r="AU234" s="24">
        <v>0</v>
      </c>
      <c r="AV234" s="24">
        <v>0</v>
      </c>
      <c r="AW234" s="24">
        <v>0</v>
      </c>
      <c r="AX234" s="24">
        <v>1</v>
      </c>
      <c r="AY234" s="24">
        <v>0</v>
      </c>
      <c r="AZ234" s="24">
        <v>0</v>
      </c>
      <c r="BA234" s="24">
        <v>0</v>
      </c>
      <c r="BB234" s="24">
        <v>1</v>
      </c>
    </row>
    <row r="235" spans="2:54" ht="13.8" x14ac:dyDescent="0.3">
      <c r="B235" s="24">
        <v>215</v>
      </c>
      <c r="C235" s="24">
        <v>36</v>
      </c>
      <c r="D235" s="24">
        <v>0</v>
      </c>
      <c r="E235" s="24">
        <v>0</v>
      </c>
      <c r="F235" s="24">
        <v>0</v>
      </c>
      <c r="G235" s="24">
        <v>1</v>
      </c>
      <c r="H235" s="24">
        <v>0</v>
      </c>
      <c r="I235" s="24">
        <v>0</v>
      </c>
      <c r="J235" s="24">
        <v>3342</v>
      </c>
      <c r="K235" s="24">
        <v>4</v>
      </c>
      <c r="L235" s="24">
        <v>0</v>
      </c>
      <c r="M235" s="24">
        <v>1</v>
      </c>
      <c r="N235" s="24">
        <v>0</v>
      </c>
      <c r="O235" s="24">
        <v>0</v>
      </c>
      <c r="P235" s="24">
        <v>0</v>
      </c>
      <c r="Q235" s="24">
        <v>0</v>
      </c>
      <c r="R235" s="24">
        <v>0</v>
      </c>
      <c r="S235" s="24">
        <v>51</v>
      </c>
      <c r="T235" s="24">
        <v>0</v>
      </c>
      <c r="U235" s="24">
        <v>0</v>
      </c>
      <c r="V235" s="24">
        <v>1</v>
      </c>
      <c r="W235" s="24">
        <v>1</v>
      </c>
      <c r="X235" s="24">
        <v>1</v>
      </c>
      <c r="Y235" s="24">
        <v>1</v>
      </c>
      <c r="Z235" s="24">
        <v>0</v>
      </c>
      <c r="AA235" s="24">
        <v>1</v>
      </c>
      <c r="AB235" s="24">
        <v>0</v>
      </c>
      <c r="AC235" s="24">
        <v>0</v>
      </c>
      <c r="AD235" s="24">
        <v>0</v>
      </c>
      <c r="AE235" s="24">
        <v>1</v>
      </c>
      <c r="AF235" s="24">
        <v>0</v>
      </c>
      <c r="AG235" s="24">
        <v>0</v>
      </c>
      <c r="AH235" s="24">
        <v>0</v>
      </c>
      <c r="AI235" s="24">
        <v>0</v>
      </c>
      <c r="AJ235" s="24">
        <v>1</v>
      </c>
      <c r="AK235" s="24">
        <v>0</v>
      </c>
      <c r="AL235" s="24">
        <v>0</v>
      </c>
      <c r="AM235" s="24">
        <v>0</v>
      </c>
      <c r="AN235" s="24">
        <v>0</v>
      </c>
      <c r="AO235" s="24">
        <v>1</v>
      </c>
      <c r="AP235" s="24">
        <v>0</v>
      </c>
      <c r="AQ235" s="24">
        <v>0</v>
      </c>
      <c r="AR235" s="24">
        <v>0</v>
      </c>
      <c r="AS235" s="24">
        <v>0</v>
      </c>
      <c r="AT235" s="24">
        <v>1</v>
      </c>
      <c r="AU235" s="24">
        <v>0</v>
      </c>
      <c r="AV235" s="24">
        <v>1</v>
      </c>
      <c r="AW235" s="24">
        <v>0</v>
      </c>
      <c r="AX235" s="24">
        <v>0</v>
      </c>
      <c r="AY235" s="24">
        <v>0</v>
      </c>
      <c r="AZ235" s="24">
        <v>0</v>
      </c>
      <c r="BA235" s="24">
        <v>1</v>
      </c>
      <c r="BB235" s="24">
        <v>0</v>
      </c>
    </row>
    <row r="236" spans="2:54" ht="13.8" x14ac:dyDescent="0.3">
      <c r="B236" s="24">
        <v>216</v>
      </c>
      <c r="C236" s="24">
        <v>6</v>
      </c>
      <c r="D236" s="24">
        <v>0</v>
      </c>
      <c r="E236" s="24">
        <v>0</v>
      </c>
      <c r="F236" s="24">
        <v>0</v>
      </c>
      <c r="G236" s="24">
        <v>0</v>
      </c>
      <c r="H236" s="24">
        <v>0</v>
      </c>
      <c r="I236" s="24">
        <v>0</v>
      </c>
      <c r="J236" s="24">
        <v>932</v>
      </c>
      <c r="K236" s="24">
        <v>1</v>
      </c>
      <c r="L236" s="24">
        <v>0</v>
      </c>
      <c r="M236" s="24">
        <v>0</v>
      </c>
      <c r="N236" s="24">
        <v>0</v>
      </c>
      <c r="O236" s="24">
        <v>0</v>
      </c>
      <c r="P236" s="24">
        <v>0</v>
      </c>
      <c r="Q236" s="24">
        <v>0</v>
      </c>
      <c r="R236" s="24">
        <v>0</v>
      </c>
      <c r="S236" s="24">
        <v>39</v>
      </c>
      <c r="T236" s="24">
        <v>0</v>
      </c>
      <c r="U236" s="24">
        <v>0</v>
      </c>
      <c r="V236" s="24">
        <v>1</v>
      </c>
      <c r="W236" s="24">
        <v>2</v>
      </c>
      <c r="X236" s="24">
        <v>1</v>
      </c>
      <c r="Y236" s="24">
        <v>0</v>
      </c>
      <c r="Z236" s="24">
        <v>0</v>
      </c>
      <c r="AA236" s="24">
        <v>1</v>
      </c>
      <c r="AB236" s="24">
        <v>0</v>
      </c>
      <c r="AC236" s="24">
        <v>1</v>
      </c>
      <c r="AD236" s="24">
        <v>0</v>
      </c>
      <c r="AE236" s="24">
        <v>0</v>
      </c>
      <c r="AF236" s="24">
        <v>0</v>
      </c>
      <c r="AG236" s="24">
        <v>0</v>
      </c>
      <c r="AH236" s="24">
        <v>0</v>
      </c>
      <c r="AI236" s="24">
        <v>0</v>
      </c>
      <c r="AJ236" s="24">
        <v>1</v>
      </c>
      <c r="AK236" s="24">
        <v>0</v>
      </c>
      <c r="AL236" s="24">
        <v>0</v>
      </c>
      <c r="AM236" s="24">
        <v>0</v>
      </c>
      <c r="AN236" s="24">
        <v>0</v>
      </c>
      <c r="AO236" s="24">
        <v>1</v>
      </c>
      <c r="AP236" s="24">
        <v>0</v>
      </c>
      <c r="AQ236" s="24">
        <v>0</v>
      </c>
      <c r="AR236" s="24">
        <v>0</v>
      </c>
      <c r="AS236" s="24">
        <v>1</v>
      </c>
      <c r="AT236" s="24">
        <v>0</v>
      </c>
      <c r="AU236" s="24">
        <v>0</v>
      </c>
      <c r="AV236" s="24">
        <v>0</v>
      </c>
      <c r="AW236" s="24">
        <v>1</v>
      </c>
      <c r="AX236" s="24">
        <v>0</v>
      </c>
      <c r="AY236" s="24">
        <v>0</v>
      </c>
      <c r="AZ236" s="24">
        <v>1</v>
      </c>
      <c r="BA236" s="24">
        <v>0</v>
      </c>
      <c r="BB236" s="24">
        <v>0</v>
      </c>
    </row>
    <row r="237" spans="2:54" ht="13.8" x14ac:dyDescent="0.3">
      <c r="B237" s="24">
        <v>217</v>
      </c>
      <c r="C237" s="24">
        <v>18</v>
      </c>
      <c r="D237" s="24">
        <v>0</v>
      </c>
      <c r="E237" s="24">
        <v>0</v>
      </c>
      <c r="F237" s="24">
        <v>0</v>
      </c>
      <c r="G237" s="24">
        <v>0</v>
      </c>
      <c r="H237" s="24">
        <v>0</v>
      </c>
      <c r="I237" s="24">
        <v>1</v>
      </c>
      <c r="J237" s="24">
        <v>3104</v>
      </c>
      <c r="K237" s="24">
        <v>3</v>
      </c>
      <c r="L237" s="24">
        <v>0</v>
      </c>
      <c r="M237" s="24">
        <v>1</v>
      </c>
      <c r="N237" s="24">
        <v>0</v>
      </c>
      <c r="O237" s="24">
        <v>0</v>
      </c>
      <c r="P237" s="24">
        <v>0</v>
      </c>
      <c r="Q237" s="24">
        <v>0</v>
      </c>
      <c r="R237" s="24">
        <v>0</v>
      </c>
      <c r="S237" s="24">
        <v>31</v>
      </c>
      <c r="T237" s="24">
        <v>1</v>
      </c>
      <c r="U237" s="24">
        <v>0</v>
      </c>
      <c r="V237" s="24">
        <v>1</v>
      </c>
      <c r="W237" s="24">
        <v>1</v>
      </c>
      <c r="X237" s="24">
        <v>1</v>
      </c>
      <c r="Y237" s="24">
        <v>1</v>
      </c>
      <c r="Z237" s="24">
        <v>0</v>
      </c>
      <c r="AA237" s="24">
        <v>1</v>
      </c>
      <c r="AB237" s="24">
        <v>1</v>
      </c>
      <c r="AC237" s="24">
        <v>0</v>
      </c>
      <c r="AD237" s="24">
        <v>0</v>
      </c>
      <c r="AE237" s="24">
        <v>0</v>
      </c>
      <c r="AF237" s="24">
        <v>1</v>
      </c>
      <c r="AG237" s="24">
        <v>0</v>
      </c>
      <c r="AH237" s="24">
        <v>0</v>
      </c>
      <c r="AI237" s="24">
        <v>0</v>
      </c>
      <c r="AJ237" s="24">
        <v>0</v>
      </c>
      <c r="AK237" s="24">
        <v>1</v>
      </c>
      <c r="AL237" s="24">
        <v>0</v>
      </c>
      <c r="AM237" s="24">
        <v>0</v>
      </c>
      <c r="AN237" s="24">
        <v>0</v>
      </c>
      <c r="AO237" s="24">
        <v>0</v>
      </c>
      <c r="AP237" s="24">
        <v>0</v>
      </c>
      <c r="AQ237" s="24">
        <v>0</v>
      </c>
      <c r="AR237" s="24">
        <v>0</v>
      </c>
      <c r="AS237" s="24">
        <v>1</v>
      </c>
      <c r="AT237" s="24">
        <v>0</v>
      </c>
      <c r="AU237" s="24">
        <v>1</v>
      </c>
      <c r="AV237" s="24">
        <v>0</v>
      </c>
      <c r="AW237" s="24">
        <v>0</v>
      </c>
      <c r="AX237" s="24">
        <v>0</v>
      </c>
      <c r="AY237" s="24">
        <v>0</v>
      </c>
      <c r="AZ237" s="24">
        <v>0</v>
      </c>
      <c r="BA237" s="24">
        <v>1</v>
      </c>
      <c r="BB237" s="24">
        <v>0</v>
      </c>
    </row>
    <row r="238" spans="2:54" ht="13.8" x14ac:dyDescent="0.3">
      <c r="B238" s="24">
        <v>218</v>
      </c>
      <c r="C238" s="24">
        <v>36</v>
      </c>
      <c r="D238" s="24">
        <v>0</v>
      </c>
      <c r="E238" s="24">
        <v>0</v>
      </c>
      <c r="F238" s="24">
        <v>0</v>
      </c>
      <c r="G238" s="24">
        <v>1</v>
      </c>
      <c r="H238" s="24">
        <v>0</v>
      </c>
      <c r="I238" s="24">
        <v>0</v>
      </c>
      <c r="J238" s="24">
        <v>3913</v>
      </c>
      <c r="K238" s="24">
        <v>2</v>
      </c>
      <c r="L238" s="24">
        <v>0</v>
      </c>
      <c r="M238" s="24">
        <v>1</v>
      </c>
      <c r="N238" s="24">
        <v>0</v>
      </c>
      <c r="O238" s="24">
        <v>0</v>
      </c>
      <c r="P238" s="24">
        <v>0</v>
      </c>
      <c r="Q238" s="24">
        <v>1</v>
      </c>
      <c r="R238" s="24">
        <v>0</v>
      </c>
      <c r="S238" s="24">
        <v>23</v>
      </c>
      <c r="T238" s="24">
        <v>0</v>
      </c>
      <c r="U238" s="24">
        <v>0</v>
      </c>
      <c r="V238" s="24">
        <v>1</v>
      </c>
      <c r="W238" s="24">
        <v>1</v>
      </c>
      <c r="X238" s="24">
        <v>1</v>
      </c>
      <c r="Y238" s="24">
        <v>1</v>
      </c>
      <c r="Z238" s="24">
        <v>0</v>
      </c>
      <c r="AA238" s="24">
        <v>1</v>
      </c>
      <c r="AB238" s="24">
        <v>0</v>
      </c>
      <c r="AC238" s="24">
        <v>0</v>
      </c>
      <c r="AD238" s="24">
        <v>1</v>
      </c>
      <c r="AE238" s="24">
        <v>0</v>
      </c>
      <c r="AF238" s="24">
        <v>0</v>
      </c>
      <c r="AG238" s="24">
        <v>0</v>
      </c>
      <c r="AH238" s="24">
        <v>1</v>
      </c>
      <c r="AI238" s="24">
        <v>0</v>
      </c>
      <c r="AJ238" s="24">
        <v>0</v>
      </c>
      <c r="AK238" s="24">
        <v>1</v>
      </c>
      <c r="AL238" s="24">
        <v>0</v>
      </c>
      <c r="AM238" s="24">
        <v>0</v>
      </c>
      <c r="AN238" s="24">
        <v>0</v>
      </c>
      <c r="AO238" s="24">
        <v>0</v>
      </c>
      <c r="AP238" s="24">
        <v>0</v>
      </c>
      <c r="AQ238" s="24">
        <v>0</v>
      </c>
      <c r="AR238" s="24">
        <v>1</v>
      </c>
      <c r="AS238" s="24">
        <v>0</v>
      </c>
      <c r="AT238" s="24">
        <v>0</v>
      </c>
      <c r="AU238" s="24">
        <v>0</v>
      </c>
      <c r="AV238" s="24">
        <v>1</v>
      </c>
      <c r="AW238" s="24">
        <v>0</v>
      </c>
      <c r="AX238" s="24">
        <v>0</v>
      </c>
      <c r="AY238" s="24">
        <v>0</v>
      </c>
      <c r="AZ238" s="24">
        <v>0</v>
      </c>
      <c r="BA238" s="24">
        <v>1</v>
      </c>
      <c r="BB238" s="24">
        <v>0</v>
      </c>
    </row>
    <row r="239" spans="2:54" ht="13.8" x14ac:dyDescent="0.3">
      <c r="B239" s="24">
        <v>219</v>
      </c>
      <c r="C239" s="24">
        <v>24</v>
      </c>
      <c r="D239" s="24">
        <v>0</v>
      </c>
      <c r="E239" s="24">
        <v>0</v>
      </c>
      <c r="F239" s="24">
        <v>1</v>
      </c>
      <c r="G239" s="24">
        <v>0</v>
      </c>
      <c r="H239" s="24">
        <v>0</v>
      </c>
      <c r="I239" s="24">
        <v>0</v>
      </c>
      <c r="J239" s="24">
        <v>3021</v>
      </c>
      <c r="K239" s="24">
        <v>2</v>
      </c>
      <c r="L239" s="24">
        <v>1</v>
      </c>
      <c r="M239" s="24">
        <v>0</v>
      </c>
      <c r="N239" s="24">
        <v>0</v>
      </c>
      <c r="O239" s="24">
        <v>0</v>
      </c>
      <c r="P239" s="24">
        <v>0</v>
      </c>
      <c r="Q239" s="24">
        <v>1</v>
      </c>
      <c r="R239" s="24">
        <v>0</v>
      </c>
      <c r="S239" s="24">
        <v>24</v>
      </c>
      <c r="T239" s="24">
        <v>0</v>
      </c>
      <c r="U239" s="24">
        <v>1</v>
      </c>
      <c r="V239" s="24">
        <v>0</v>
      </c>
      <c r="W239" s="24">
        <v>1</v>
      </c>
      <c r="X239" s="24">
        <v>1</v>
      </c>
      <c r="Y239" s="24">
        <v>0</v>
      </c>
      <c r="Z239" s="24">
        <v>0</v>
      </c>
      <c r="AA239" s="24">
        <v>1</v>
      </c>
      <c r="AB239" s="24">
        <v>1</v>
      </c>
      <c r="AC239" s="24">
        <v>0</v>
      </c>
      <c r="AD239" s="24">
        <v>0</v>
      </c>
      <c r="AE239" s="24">
        <v>0</v>
      </c>
      <c r="AF239" s="24">
        <v>0</v>
      </c>
      <c r="AG239" s="24">
        <v>0</v>
      </c>
      <c r="AH239" s="24">
        <v>1</v>
      </c>
      <c r="AI239" s="24">
        <v>0</v>
      </c>
      <c r="AJ239" s="24">
        <v>0</v>
      </c>
      <c r="AK239" s="24">
        <v>1</v>
      </c>
      <c r="AL239" s="24">
        <v>0</v>
      </c>
      <c r="AM239" s="24">
        <v>0</v>
      </c>
      <c r="AN239" s="24">
        <v>0</v>
      </c>
      <c r="AO239" s="24">
        <v>0</v>
      </c>
      <c r="AP239" s="24">
        <v>0</v>
      </c>
      <c r="AQ239" s="24">
        <v>0</v>
      </c>
      <c r="AR239" s="24">
        <v>1</v>
      </c>
      <c r="AS239" s="24">
        <v>0</v>
      </c>
      <c r="AT239" s="24">
        <v>0</v>
      </c>
      <c r="AU239" s="24">
        <v>0</v>
      </c>
      <c r="AV239" s="24">
        <v>1</v>
      </c>
      <c r="AW239" s="24">
        <v>0</v>
      </c>
      <c r="AX239" s="24">
        <v>0</v>
      </c>
      <c r="AY239" s="24">
        <v>0</v>
      </c>
      <c r="AZ239" s="24">
        <v>1</v>
      </c>
      <c r="BA239" s="24">
        <v>0</v>
      </c>
      <c r="BB239" s="24">
        <v>0</v>
      </c>
    </row>
    <row r="240" spans="2:54" ht="13.8" x14ac:dyDescent="0.3">
      <c r="B240" s="24">
        <v>220</v>
      </c>
      <c r="C240" s="24">
        <v>10</v>
      </c>
      <c r="D240" s="24">
        <v>1</v>
      </c>
      <c r="E240" s="24">
        <v>0</v>
      </c>
      <c r="F240" s="24">
        <v>0</v>
      </c>
      <c r="G240" s="24">
        <v>0</v>
      </c>
      <c r="H240" s="24">
        <v>0</v>
      </c>
      <c r="I240" s="24">
        <v>0</v>
      </c>
      <c r="J240" s="24">
        <v>1364</v>
      </c>
      <c r="K240" s="24">
        <v>2</v>
      </c>
      <c r="L240" s="24">
        <v>0</v>
      </c>
      <c r="M240" s="24">
        <v>0</v>
      </c>
      <c r="N240" s="24">
        <v>0</v>
      </c>
      <c r="O240" s="24">
        <v>0</v>
      </c>
      <c r="P240" s="24">
        <v>0</v>
      </c>
      <c r="Q240" s="24">
        <v>0</v>
      </c>
      <c r="R240" s="24">
        <v>0</v>
      </c>
      <c r="S240" s="24">
        <v>64</v>
      </c>
      <c r="T240" s="24">
        <v>0</v>
      </c>
      <c r="U240" s="24">
        <v>0</v>
      </c>
      <c r="V240" s="24">
        <v>1</v>
      </c>
      <c r="W240" s="24">
        <v>1</v>
      </c>
      <c r="X240" s="24">
        <v>1</v>
      </c>
      <c r="Y240" s="24">
        <v>1</v>
      </c>
      <c r="Z240" s="24">
        <v>0</v>
      </c>
      <c r="AA240" s="24">
        <v>1</v>
      </c>
      <c r="AB240" s="24">
        <v>0</v>
      </c>
      <c r="AC240" s="24">
        <v>0</v>
      </c>
      <c r="AD240" s="24">
        <v>0</v>
      </c>
      <c r="AE240" s="24">
        <v>1</v>
      </c>
      <c r="AF240" s="24">
        <v>0</v>
      </c>
      <c r="AG240" s="24">
        <v>0</v>
      </c>
      <c r="AH240" s="24">
        <v>1</v>
      </c>
      <c r="AI240" s="24">
        <v>0</v>
      </c>
      <c r="AJ240" s="24">
        <v>0</v>
      </c>
      <c r="AK240" s="24">
        <v>1</v>
      </c>
      <c r="AL240" s="24">
        <v>0</v>
      </c>
      <c r="AM240" s="24">
        <v>0</v>
      </c>
      <c r="AN240" s="24">
        <v>0</v>
      </c>
      <c r="AO240" s="24">
        <v>0</v>
      </c>
      <c r="AP240" s="24">
        <v>0</v>
      </c>
      <c r="AQ240" s="24">
        <v>0</v>
      </c>
      <c r="AR240" s="24">
        <v>1</v>
      </c>
      <c r="AS240" s="24">
        <v>0</v>
      </c>
      <c r="AT240" s="24">
        <v>0</v>
      </c>
      <c r="AU240" s="24">
        <v>0</v>
      </c>
      <c r="AV240" s="24">
        <v>0</v>
      </c>
      <c r="AW240" s="24">
        <v>0</v>
      </c>
      <c r="AX240" s="24">
        <v>1</v>
      </c>
      <c r="AY240" s="24">
        <v>0</v>
      </c>
      <c r="AZ240" s="24">
        <v>0</v>
      </c>
      <c r="BA240" s="24">
        <v>1</v>
      </c>
      <c r="BB240" s="24">
        <v>0</v>
      </c>
    </row>
    <row r="241" spans="2:54" ht="13.8" x14ac:dyDescent="0.3">
      <c r="B241" s="24">
        <v>221</v>
      </c>
      <c r="C241" s="24">
        <v>12</v>
      </c>
      <c r="D241" s="24">
        <v>0</v>
      </c>
      <c r="E241" s="24">
        <v>0</v>
      </c>
      <c r="F241" s="24">
        <v>0</v>
      </c>
      <c r="G241" s="24">
        <v>1</v>
      </c>
      <c r="H241" s="24">
        <v>0</v>
      </c>
      <c r="I241" s="24">
        <v>0</v>
      </c>
      <c r="J241" s="24">
        <v>625</v>
      </c>
      <c r="K241" s="24">
        <v>4</v>
      </c>
      <c r="L241" s="24">
        <v>0</v>
      </c>
      <c r="M241" s="24">
        <v>0</v>
      </c>
      <c r="N241" s="24">
        <v>1</v>
      </c>
      <c r="O241" s="24">
        <v>0</v>
      </c>
      <c r="P241" s="24">
        <v>1</v>
      </c>
      <c r="Q241" s="24">
        <v>1</v>
      </c>
      <c r="R241" s="24">
        <v>0</v>
      </c>
      <c r="S241" s="24">
        <v>26</v>
      </c>
      <c r="T241" s="24">
        <v>1</v>
      </c>
      <c r="U241" s="24">
        <v>0</v>
      </c>
      <c r="V241" s="24">
        <v>1</v>
      </c>
      <c r="W241" s="24">
        <v>1</v>
      </c>
      <c r="X241" s="24">
        <v>1</v>
      </c>
      <c r="Y241" s="24">
        <v>0</v>
      </c>
      <c r="Z241" s="24">
        <v>0</v>
      </c>
      <c r="AA241" s="24">
        <v>1</v>
      </c>
      <c r="AB241" s="24">
        <v>0</v>
      </c>
      <c r="AC241" s="24">
        <v>1</v>
      </c>
      <c r="AD241" s="24">
        <v>0</v>
      </c>
      <c r="AE241" s="24">
        <v>0</v>
      </c>
      <c r="AF241" s="24">
        <v>0</v>
      </c>
      <c r="AG241" s="24">
        <v>0</v>
      </c>
      <c r="AH241" s="24">
        <v>1</v>
      </c>
      <c r="AI241" s="24">
        <v>0</v>
      </c>
      <c r="AJ241" s="24">
        <v>0</v>
      </c>
      <c r="AK241" s="24">
        <v>1</v>
      </c>
      <c r="AL241" s="24">
        <v>0</v>
      </c>
      <c r="AM241" s="24">
        <v>0</v>
      </c>
      <c r="AN241" s="24">
        <v>0</v>
      </c>
      <c r="AO241" s="24">
        <v>0</v>
      </c>
      <c r="AP241" s="24">
        <v>0</v>
      </c>
      <c r="AQ241" s="24">
        <v>1</v>
      </c>
      <c r="AR241" s="24">
        <v>0</v>
      </c>
      <c r="AS241" s="24">
        <v>0</v>
      </c>
      <c r="AT241" s="24">
        <v>0</v>
      </c>
      <c r="AU241" s="24">
        <v>1</v>
      </c>
      <c r="AV241" s="24">
        <v>0</v>
      </c>
      <c r="AW241" s="24">
        <v>0</v>
      </c>
      <c r="AX241" s="24">
        <v>0</v>
      </c>
      <c r="AY241" s="24">
        <v>0</v>
      </c>
      <c r="AZ241" s="24">
        <v>1</v>
      </c>
      <c r="BA241" s="24">
        <v>0</v>
      </c>
      <c r="BB241" s="24">
        <v>0</v>
      </c>
    </row>
    <row r="242" spans="2:54" ht="13.8" x14ac:dyDescent="0.3">
      <c r="B242" s="24">
        <v>222</v>
      </c>
      <c r="C242" s="24">
        <v>12</v>
      </c>
      <c r="D242" s="24">
        <v>0</v>
      </c>
      <c r="E242" s="24">
        <v>0</v>
      </c>
      <c r="F242" s="24">
        <v>0</v>
      </c>
      <c r="G242" s="24">
        <v>0</v>
      </c>
      <c r="H242" s="24">
        <v>1</v>
      </c>
      <c r="I242" s="24">
        <v>0</v>
      </c>
      <c r="J242" s="24">
        <v>1200</v>
      </c>
      <c r="K242" s="24">
        <v>4</v>
      </c>
      <c r="L242" s="24">
        <v>0</v>
      </c>
      <c r="M242" s="24">
        <v>0</v>
      </c>
      <c r="N242" s="24">
        <v>0</v>
      </c>
      <c r="O242" s="24">
        <v>0</v>
      </c>
      <c r="P242" s="24">
        <v>0</v>
      </c>
      <c r="Q242" s="24">
        <v>0</v>
      </c>
      <c r="R242" s="24">
        <v>0</v>
      </c>
      <c r="S242" s="24">
        <v>23</v>
      </c>
      <c r="T242" s="24">
        <v>1</v>
      </c>
      <c r="U242" s="24">
        <v>1</v>
      </c>
      <c r="V242" s="24">
        <v>0</v>
      </c>
      <c r="W242" s="24">
        <v>1</v>
      </c>
      <c r="X242" s="24">
        <v>1</v>
      </c>
      <c r="Y242" s="24">
        <v>1</v>
      </c>
      <c r="Z242" s="24">
        <v>0</v>
      </c>
      <c r="AA242" s="24">
        <v>1</v>
      </c>
      <c r="AB242" s="24">
        <v>1</v>
      </c>
      <c r="AC242" s="24">
        <v>0</v>
      </c>
      <c r="AD242" s="24">
        <v>0</v>
      </c>
      <c r="AE242" s="24">
        <v>0</v>
      </c>
      <c r="AF242" s="24">
        <v>0</v>
      </c>
      <c r="AG242" s="24">
        <v>0</v>
      </c>
      <c r="AH242" s="24">
        <v>1</v>
      </c>
      <c r="AI242" s="24">
        <v>0</v>
      </c>
      <c r="AJ242" s="24">
        <v>0</v>
      </c>
      <c r="AK242" s="24">
        <v>0</v>
      </c>
      <c r="AL242" s="24">
        <v>0</v>
      </c>
      <c r="AM242" s="24">
        <v>0</v>
      </c>
      <c r="AN242" s="24">
        <v>0</v>
      </c>
      <c r="AO242" s="24">
        <v>1</v>
      </c>
      <c r="AP242" s="24">
        <v>0</v>
      </c>
      <c r="AQ242" s="24">
        <v>0</v>
      </c>
      <c r="AR242" s="24">
        <v>1</v>
      </c>
      <c r="AS242" s="24">
        <v>0</v>
      </c>
      <c r="AT242" s="24">
        <v>0</v>
      </c>
      <c r="AU242" s="24">
        <v>0</v>
      </c>
      <c r="AV242" s="24">
        <v>0</v>
      </c>
      <c r="AW242" s="24">
        <v>0</v>
      </c>
      <c r="AX242" s="24">
        <v>1</v>
      </c>
      <c r="AY242" s="24">
        <v>0</v>
      </c>
      <c r="AZ242" s="24">
        <v>0</v>
      </c>
      <c r="BA242" s="24">
        <v>1</v>
      </c>
      <c r="BB242" s="24">
        <v>0</v>
      </c>
    </row>
    <row r="243" spans="2:54" ht="13.8" x14ac:dyDescent="0.3">
      <c r="B243" s="24">
        <v>223</v>
      </c>
      <c r="C243" s="24">
        <v>12</v>
      </c>
      <c r="D243" s="24">
        <v>0</v>
      </c>
      <c r="E243" s="24">
        <v>0</v>
      </c>
      <c r="F243" s="24">
        <v>0</v>
      </c>
      <c r="G243" s="24">
        <v>1</v>
      </c>
      <c r="H243" s="24">
        <v>0</v>
      </c>
      <c r="I243" s="24">
        <v>0</v>
      </c>
      <c r="J243" s="24">
        <v>707</v>
      </c>
      <c r="K243" s="24">
        <v>4</v>
      </c>
      <c r="L243" s="24">
        <v>0</v>
      </c>
      <c r="M243" s="24">
        <v>1</v>
      </c>
      <c r="N243" s="24">
        <v>0</v>
      </c>
      <c r="O243" s="24">
        <v>0</v>
      </c>
      <c r="P243" s="24">
        <v>0</v>
      </c>
      <c r="Q243" s="24">
        <v>1</v>
      </c>
      <c r="R243" s="24">
        <v>0</v>
      </c>
      <c r="S243" s="24">
        <v>30</v>
      </c>
      <c r="T243" s="24">
        <v>1</v>
      </c>
      <c r="U243" s="24">
        <v>0</v>
      </c>
      <c r="V243" s="24">
        <v>1</v>
      </c>
      <c r="W243" s="24">
        <v>2</v>
      </c>
      <c r="X243" s="24">
        <v>1</v>
      </c>
      <c r="Y243" s="24">
        <v>0</v>
      </c>
      <c r="Z243" s="24">
        <v>0</v>
      </c>
      <c r="AA243" s="24">
        <v>1</v>
      </c>
      <c r="AB243" s="24">
        <v>0</v>
      </c>
      <c r="AC243" s="24">
        <v>0</v>
      </c>
      <c r="AD243" s="24">
        <v>0</v>
      </c>
      <c r="AE243" s="24">
        <v>1</v>
      </c>
      <c r="AF243" s="24">
        <v>0</v>
      </c>
      <c r="AG243" s="24">
        <v>0</v>
      </c>
      <c r="AH243" s="24">
        <v>1</v>
      </c>
      <c r="AI243" s="24">
        <v>0</v>
      </c>
      <c r="AJ243" s="24">
        <v>0</v>
      </c>
      <c r="AK243" s="24">
        <v>1</v>
      </c>
      <c r="AL243" s="24">
        <v>0</v>
      </c>
      <c r="AM243" s="24">
        <v>0</v>
      </c>
      <c r="AN243" s="24">
        <v>0</v>
      </c>
      <c r="AO243" s="24">
        <v>0</v>
      </c>
      <c r="AP243" s="24">
        <v>0</v>
      </c>
      <c r="AQ243" s="24">
        <v>0</v>
      </c>
      <c r="AR243" s="24">
        <v>1</v>
      </c>
      <c r="AS243" s="24">
        <v>0</v>
      </c>
      <c r="AT243" s="24">
        <v>0</v>
      </c>
      <c r="AU243" s="24">
        <v>0</v>
      </c>
      <c r="AV243" s="24">
        <v>1</v>
      </c>
      <c r="AW243" s="24">
        <v>0</v>
      </c>
      <c r="AX243" s="24">
        <v>0</v>
      </c>
      <c r="AY243" s="24">
        <v>0</v>
      </c>
      <c r="AZ243" s="24">
        <v>0</v>
      </c>
      <c r="BA243" s="24">
        <v>1</v>
      </c>
      <c r="BB243" s="24">
        <v>0</v>
      </c>
    </row>
    <row r="244" spans="2:54" ht="13.8" x14ac:dyDescent="0.3">
      <c r="B244" s="24">
        <v>224</v>
      </c>
      <c r="C244" s="24">
        <v>24</v>
      </c>
      <c r="D244" s="24">
        <v>0</v>
      </c>
      <c r="E244" s="24">
        <v>0</v>
      </c>
      <c r="F244" s="24">
        <v>0</v>
      </c>
      <c r="G244" s="24">
        <v>0</v>
      </c>
      <c r="H244" s="24">
        <v>0</v>
      </c>
      <c r="I244" s="24">
        <v>1</v>
      </c>
      <c r="J244" s="24">
        <v>2978</v>
      </c>
      <c r="K244" s="24">
        <v>4</v>
      </c>
      <c r="L244" s="24">
        <v>0</v>
      </c>
      <c r="M244" s="24">
        <v>1</v>
      </c>
      <c r="N244" s="24">
        <v>0</v>
      </c>
      <c r="O244" s="24">
        <v>0</v>
      </c>
      <c r="P244" s="24">
        <v>0</v>
      </c>
      <c r="Q244" s="24">
        <v>1</v>
      </c>
      <c r="R244" s="24">
        <v>0</v>
      </c>
      <c r="S244" s="24">
        <v>32</v>
      </c>
      <c r="T244" s="24">
        <v>0</v>
      </c>
      <c r="U244" s="24">
        <v>0</v>
      </c>
      <c r="V244" s="24">
        <v>1</v>
      </c>
      <c r="W244" s="24">
        <v>2</v>
      </c>
      <c r="X244" s="24">
        <v>2</v>
      </c>
      <c r="Y244" s="24">
        <v>1</v>
      </c>
      <c r="Z244" s="24">
        <v>0</v>
      </c>
      <c r="AA244" s="24">
        <v>1</v>
      </c>
      <c r="AB244" s="24">
        <v>0</v>
      </c>
      <c r="AC244" s="24">
        <v>0</v>
      </c>
      <c r="AD244" s="24">
        <v>0</v>
      </c>
      <c r="AE244" s="24">
        <v>1</v>
      </c>
      <c r="AF244" s="24">
        <v>0</v>
      </c>
      <c r="AG244" s="24">
        <v>0</v>
      </c>
      <c r="AH244" s="24">
        <v>0</v>
      </c>
      <c r="AI244" s="24">
        <v>1</v>
      </c>
      <c r="AJ244" s="24">
        <v>0</v>
      </c>
      <c r="AK244" s="24">
        <v>0</v>
      </c>
      <c r="AL244" s="24">
        <v>0</v>
      </c>
      <c r="AM244" s="24">
        <v>0</v>
      </c>
      <c r="AN244" s="24">
        <v>0</v>
      </c>
      <c r="AO244" s="24">
        <v>1</v>
      </c>
      <c r="AP244" s="24">
        <v>0</v>
      </c>
      <c r="AQ244" s="24">
        <v>0</v>
      </c>
      <c r="AR244" s="24">
        <v>1</v>
      </c>
      <c r="AS244" s="24">
        <v>0</v>
      </c>
      <c r="AT244" s="24">
        <v>0</v>
      </c>
      <c r="AU244" s="24">
        <v>0</v>
      </c>
      <c r="AV244" s="24">
        <v>0</v>
      </c>
      <c r="AW244" s="24">
        <v>0</v>
      </c>
      <c r="AX244" s="24">
        <v>1</v>
      </c>
      <c r="AY244" s="24">
        <v>0</v>
      </c>
      <c r="AZ244" s="24">
        <v>0</v>
      </c>
      <c r="BA244" s="24">
        <v>1</v>
      </c>
      <c r="BB244" s="24">
        <v>0</v>
      </c>
    </row>
    <row r="245" spans="2:54" ht="13.8" x14ac:dyDescent="0.3">
      <c r="B245" s="24">
        <v>225</v>
      </c>
      <c r="C245" s="24">
        <v>15</v>
      </c>
      <c r="D245" s="24">
        <v>0</v>
      </c>
      <c r="E245" s="24">
        <v>1</v>
      </c>
      <c r="F245" s="24">
        <v>0</v>
      </c>
      <c r="G245" s="24">
        <v>0</v>
      </c>
      <c r="H245" s="24">
        <v>0</v>
      </c>
      <c r="I245" s="24">
        <v>0</v>
      </c>
      <c r="J245" s="24">
        <v>4657</v>
      </c>
      <c r="K245" s="24">
        <v>3</v>
      </c>
      <c r="L245" s="24">
        <v>0</v>
      </c>
      <c r="M245" s="24">
        <v>1</v>
      </c>
      <c r="N245" s="24">
        <v>0</v>
      </c>
      <c r="O245" s="24">
        <v>0</v>
      </c>
      <c r="P245" s="24">
        <v>0</v>
      </c>
      <c r="Q245" s="24">
        <v>0</v>
      </c>
      <c r="R245" s="24">
        <v>0</v>
      </c>
      <c r="S245" s="24">
        <v>30</v>
      </c>
      <c r="T245" s="24">
        <v>0</v>
      </c>
      <c r="U245" s="24">
        <v>0</v>
      </c>
      <c r="V245" s="24">
        <v>1</v>
      </c>
      <c r="W245" s="24">
        <v>1</v>
      </c>
      <c r="X245" s="24">
        <v>1</v>
      </c>
      <c r="Y245" s="24">
        <v>1</v>
      </c>
      <c r="Z245" s="24">
        <v>0</v>
      </c>
      <c r="AA245" s="24">
        <v>1</v>
      </c>
      <c r="AB245" s="24">
        <v>0</v>
      </c>
      <c r="AC245" s="24">
        <v>0</v>
      </c>
      <c r="AD245" s="24">
        <v>0</v>
      </c>
      <c r="AE245" s="24">
        <v>1</v>
      </c>
      <c r="AF245" s="24">
        <v>0</v>
      </c>
      <c r="AG245" s="24">
        <v>0</v>
      </c>
      <c r="AH245" s="24">
        <v>1</v>
      </c>
      <c r="AI245" s="24">
        <v>0</v>
      </c>
      <c r="AJ245" s="24">
        <v>0</v>
      </c>
      <c r="AK245" s="24">
        <v>1</v>
      </c>
      <c r="AL245" s="24">
        <v>0</v>
      </c>
      <c r="AM245" s="24">
        <v>0</v>
      </c>
      <c r="AN245" s="24">
        <v>0</v>
      </c>
      <c r="AO245" s="24">
        <v>0</v>
      </c>
      <c r="AP245" s="24">
        <v>0</v>
      </c>
      <c r="AQ245" s="24">
        <v>0</v>
      </c>
      <c r="AR245" s="24">
        <v>1</v>
      </c>
      <c r="AS245" s="24">
        <v>0</v>
      </c>
      <c r="AT245" s="24">
        <v>0</v>
      </c>
      <c r="AU245" s="24">
        <v>0</v>
      </c>
      <c r="AV245" s="24">
        <v>1</v>
      </c>
      <c r="AW245" s="24">
        <v>0</v>
      </c>
      <c r="AX245" s="24">
        <v>0</v>
      </c>
      <c r="AY245" s="24">
        <v>0</v>
      </c>
      <c r="AZ245" s="24">
        <v>0</v>
      </c>
      <c r="BA245" s="24">
        <v>1</v>
      </c>
      <c r="BB245" s="24">
        <v>0</v>
      </c>
    </row>
    <row r="246" spans="2:54" ht="13.8" x14ac:dyDescent="0.3">
      <c r="B246" s="24">
        <v>226</v>
      </c>
      <c r="C246" s="24">
        <v>36</v>
      </c>
      <c r="D246" s="24">
        <v>0</v>
      </c>
      <c r="E246" s="24">
        <v>0</v>
      </c>
      <c r="F246" s="24">
        <v>0</v>
      </c>
      <c r="G246" s="24">
        <v>0</v>
      </c>
      <c r="H246" s="24">
        <v>0</v>
      </c>
      <c r="I246" s="24">
        <v>0</v>
      </c>
      <c r="J246" s="24">
        <v>2613</v>
      </c>
      <c r="K246" s="24">
        <v>4</v>
      </c>
      <c r="L246" s="24">
        <v>0</v>
      </c>
      <c r="M246" s="24">
        <v>1</v>
      </c>
      <c r="N246" s="24">
        <v>0</v>
      </c>
      <c r="O246" s="24">
        <v>0</v>
      </c>
      <c r="P246" s="24">
        <v>0</v>
      </c>
      <c r="Q246" s="24">
        <v>0</v>
      </c>
      <c r="R246" s="24">
        <v>0</v>
      </c>
      <c r="S246" s="24">
        <v>27</v>
      </c>
      <c r="T246" s="24">
        <v>0</v>
      </c>
      <c r="U246" s="24">
        <v>0</v>
      </c>
      <c r="V246" s="24">
        <v>1</v>
      </c>
      <c r="W246" s="24">
        <v>2</v>
      </c>
      <c r="X246" s="24">
        <v>1</v>
      </c>
      <c r="Y246" s="24">
        <v>0</v>
      </c>
      <c r="Z246" s="24">
        <v>0</v>
      </c>
      <c r="AA246" s="24">
        <v>1</v>
      </c>
      <c r="AB246" s="24">
        <v>0</v>
      </c>
      <c r="AC246" s="24">
        <v>0</v>
      </c>
      <c r="AD246" s="24">
        <v>0</v>
      </c>
      <c r="AE246" s="24">
        <v>1</v>
      </c>
      <c r="AF246" s="24">
        <v>1</v>
      </c>
      <c r="AG246" s="24">
        <v>0</v>
      </c>
      <c r="AH246" s="24">
        <v>0</v>
      </c>
      <c r="AI246" s="24">
        <v>0</v>
      </c>
      <c r="AJ246" s="24">
        <v>0</v>
      </c>
      <c r="AK246" s="24">
        <v>1</v>
      </c>
      <c r="AL246" s="24">
        <v>0</v>
      </c>
      <c r="AM246" s="24">
        <v>0</v>
      </c>
      <c r="AN246" s="24">
        <v>0</v>
      </c>
      <c r="AO246" s="24">
        <v>0</v>
      </c>
      <c r="AP246" s="24">
        <v>0</v>
      </c>
      <c r="AQ246" s="24">
        <v>0</v>
      </c>
      <c r="AR246" s="24">
        <v>1</v>
      </c>
      <c r="AS246" s="24">
        <v>0</v>
      </c>
      <c r="AT246" s="24">
        <v>0</v>
      </c>
      <c r="AU246" s="24">
        <v>0</v>
      </c>
      <c r="AV246" s="24">
        <v>1</v>
      </c>
      <c r="AW246" s="24">
        <v>0</v>
      </c>
      <c r="AX246" s="24">
        <v>0</v>
      </c>
      <c r="AY246" s="24">
        <v>0</v>
      </c>
      <c r="AZ246" s="24">
        <v>0</v>
      </c>
      <c r="BA246" s="24">
        <v>1</v>
      </c>
      <c r="BB246" s="24">
        <v>0</v>
      </c>
    </row>
    <row r="247" spans="2:54" ht="13.8" x14ac:dyDescent="0.3">
      <c r="B247" s="24">
        <v>227</v>
      </c>
      <c r="C247" s="24">
        <v>48</v>
      </c>
      <c r="D247" s="24">
        <v>0</v>
      </c>
      <c r="E247" s="24">
        <v>0</v>
      </c>
      <c r="F247" s="24">
        <v>0</v>
      </c>
      <c r="G247" s="24">
        <v>1</v>
      </c>
      <c r="H247" s="24">
        <v>0</v>
      </c>
      <c r="I247" s="24">
        <v>0</v>
      </c>
      <c r="J247" s="24">
        <v>10961</v>
      </c>
      <c r="K247" s="24">
        <v>1</v>
      </c>
      <c r="L247" s="24">
        <v>0</v>
      </c>
      <c r="M247" s="24">
        <v>1</v>
      </c>
      <c r="N247" s="24">
        <v>0</v>
      </c>
      <c r="O247" s="24">
        <v>1</v>
      </c>
      <c r="P247" s="24">
        <v>0</v>
      </c>
      <c r="Q247" s="24">
        <v>0</v>
      </c>
      <c r="R247" s="24">
        <v>1</v>
      </c>
      <c r="S247" s="24">
        <v>27</v>
      </c>
      <c r="T247" s="24">
        <v>1</v>
      </c>
      <c r="U247" s="24">
        <v>0</v>
      </c>
      <c r="V247" s="24">
        <v>1</v>
      </c>
      <c r="W247" s="24">
        <v>2</v>
      </c>
      <c r="X247" s="24">
        <v>1</v>
      </c>
      <c r="Y247" s="24">
        <v>1</v>
      </c>
      <c r="Z247" s="24">
        <v>0</v>
      </c>
      <c r="AA247" s="24">
        <v>0</v>
      </c>
      <c r="AB247" s="24">
        <v>0</v>
      </c>
      <c r="AC247" s="24">
        <v>1</v>
      </c>
      <c r="AD247" s="24">
        <v>0</v>
      </c>
      <c r="AE247" s="24">
        <v>0</v>
      </c>
      <c r="AF247" s="24">
        <v>0</v>
      </c>
      <c r="AG247" s="24">
        <v>0</v>
      </c>
      <c r="AH247" s="24">
        <v>1</v>
      </c>
      <c r="AI247" s="24">
        <v>0</v>
      </c>
      <c r="AJ247" s="24">
        <v>0</v>
      </c>
      <c r="AK247" s="24">
        <v>0</v>
      </c>
      <c r="AL247" s="24">
        <v>0</v>
      </c>
      <c r="AM247" s="24">
        <v>0</v>
      </c>
      <c r="AN247" s="24">
        <v>1</v>
      </c>
      <c r="AO247" s="24">
        <v>0</v>
      </c>
      <c r="AP247" s="24">
        <v>0</v>
      </c>
      <c r="AQ247" s="24">
        <v>0</v>
      </c>
      <c r="AR247" s="24">
        <v>0</v>
      </c>
      <c r="AS247" s="24">
        <v>1</v>
      </c>
      <c r="AT247" s="24">
        <v>0</v>
      </c>
      <c r="AU247" s="24">
        <v>0</v>
      </c>
      <c r="AV247" s="24">
        <v>1</v>
      </c>
      <c r="AW247" s="24">
        <v>0</v>
      </c>
      <c r="AX247" s="24">
        <v>0</v>
      </c>
      <c r="AY247" s="24">
        <v>0</v>
      </c>
      <c r="AZ247" s="24">
        <v>0</v>
      </c>
      <c r="BA247" s="24">
        <v>1</v>
      </c>
      <c r="BB247" s="24">
        <v>0</v>
      </c>
    </row>
    <row r="248" spans="2:54" ht="13.8" x14ac:dyDescent="0.3">
      <c r="B248" s="24">
        <v>228</v>
      </c>
      <c r="C248" s="24">
        <v>12</v>
      </c>
      <c r="D248" s="24">
        <v>0</v>
      </c>
      <c r="E248" s="24">
        <v>0</v>
      </c>
      <c r="F248" s="24">
        <v>1</v>
      </c>
      <c r="G248" s="24">
        <v>0</v>
      </c>
      <c r="H248" s="24">
        <v>0</v>
      </c>
      <c r="I248" s="24">
        <v>0</v>
      </c>
      <c r="J248" s="24">
        <v>7865</v>
      </c>
      <c r="K248" s="24">
        <v>4</v>
      </c>
      <c r="L248" s="24">
        <v>0</v>
      </c>
      <c r="M248" s="24">
        <v>1</v>
      </c>
      <c r="N248" s="24">
        <v>0</v>
      </c>
      <c r="O248" s="24">
        <v>0</v>
      </c>
      <c r="P248" s="24">
        <v>0</v>
      </c>
      <c r="Q248" s="24">
        <v>0</v>
      </c>
      <c r="R248" s="24">
        <v>1</v>
      </c>
      <c r="S248" s="24">
        <v>53</v>
      </c>
      <c r="T248" s="24">
        <v>0</v>
      </c>
      <c r="U248" s="24">
        <v>0</v>
      </c>
      <c r="V248" s="24">
        <v>0</v>
      </c>
      <c r="W248" s="24">
        <v>1</v>
      </c>
      <c r="X248" s="24">
        <v>1</v>
      </c>
      <c r="Y248" s="24">
        <v>1</v>
      </c>
      <c r="Z248" s="24">
        <v>0</v>
      </c>
      <c r="AA248" s="24">
        <v>0</v>
      </c>
      <c r="AB248" s="24">
        <v>1</v>
      </c>
      <c r="AC248" s="24">
        <v>0</v>
      </c>
      <c r="AD248" s="24">
        <v>0</v>
      </c>
      <c r="AE248" s="24">
        <v>0</v>
      </c>
      <c r="AF248" s="24">
        <v>0</v>
      </c>
      <c r="AG248" s="24">
        <v>0</v>
      </c>
      <c r="AH248" s="24">
        <v>1</v>
      </c>
      <c r="AI248" s="24">
        <v>0</v>
      </c>
      <c r="AJ248" s="24">
        <v>0</v>
      </c>
      <c r="AK248" s="24">
        <v>1</v>
      </c>
      <c r="AL248" s="24">
        <v>0</v>
      </c>
      <c r="AM248" s="24">
        <v>0</v>
      </c>
      <c r="AN248" s="24">
        <v>0</v>
      </c>
      <c r="AO248" s="24">
        <v>0</v>
      </c>
      <c r="AP248" s="24">
        <v>0</v>
      </c>
      <c r="AQ248" s="24">
        <v>0</v>
      </c>
      <c r="AR248" s="24">
        <v>0</v>
      </c>
      <c r="AS248" s="24">
        <v>0</v>
      </c>
      <c r="AT248" s="24">
        <v>1</v>
      </c>
      <c r="AU248" s="24">
        <v>0</v>
      </c>
      <c r="AV248" s="24">
        <v>0</v>
      </c>
      <c r="AW248" s="24">
        <v>0</v>
      </c>
      <c r="AX248" s="24">
        <v>1</v>
      </c>
      <c r="AY248" s="24">
        <v>0</v>
      </c>
      <c r="AZ248" s="24">
        <v>0</v>
      </c>
      <c r="BA248" s="24">
        <v>0</v>
      </c>
      <c r="BB248" s="24">
        <v>1</v>
      </c>
    </row>
    <row r="249" spans="2:54" ht="13.8" x14ac:dyDescent="0.3">
      <c r="B249" s="24">
        <v>229</v>
      </c>
      <c r="C249" s="24">
        <v>9</v>
      </c>
      <c r="D249" s="24">
        <v>0</v>
      </c>
      <c r="E249" s="24">
        <v>0</v>
      </c>
      <c r="F249" s="24">
        <v>0</v>
      </c>
      <c r="G249" s="24">
        <v>1</v>
      </c>
      <c r="H249" s="24">
        <v>0</v>
      </c>
      <c r="I249" s="24">
        <v>0</v>
      </c>
      <c r="J249" s="24">
        <v>1478</v>
      </c>
      <c r="K249" s="24">
        <v>4</v>
      </c>
      <c r="L249" s="24">
        <v>0</v>
      </c>
      <c r="M249" s="24">
        <v>1</v>
      </c>
      <c r="N249" s="24">
        <v>0</v>
      </c>
      <c r="O249" s="24">
        <v>0</v>
      </c>
      <c r="P249" s="24">
        <v>0</v>
      </c>
      <c r="Q249" s="24">
        <v>0</v>
      </c>
      <c r="R249" s="24">
        <v>0</v>
      </c>
      <c r="S249" s="24">
        <v>22</v>
      </c>
      <c r="T249" s="24">
        <v>0</v>
      </c>
      <c r="U249" s="24">
        <v>0</v>
      </c>
      <c r="V249" s="24">
        <v>1</v>
      </c>
      <c r="W249" s="24">
        <v>1</v>
      </c>
      <c r="X249" s="24">
        <v>1</v>
      </c>
      <c r="Y249" s="24">
        <v>0</v>
      </c>
      <c r="Z249" s="24">
        <v>0</v>
      </c>
      <c r="AA249" s="24">
        <v>0</v>
      </c>
      <c r="AB249" s="24">
        <v>0</v>
      </c>
      <c r="AC249" s="24">
        <v>0</v>
      </c>
      <c r="AD249" s="24">
        <v>0</v>
      </c>
      <c r="AE249" s="24">
        <v>1</v>
      </c>
      <c r="AF249" s="24">
        <v>0</v>
      </c>
      <c r="AG249" s="24">
        <v>0</v>
      </c>
      <c r="AH249" s="24">
        <v>1</v>
      </c>
      <c r="AI249" s="24">
        <v>0</v>
      </c>
      <c r="AJ249" s="24">
        <v>0</v>
      </c>
      <c r="AK249" s="24">
        <v>1</v>
      </c>
      <c r="AL249" s="24">
        <v>0</v>
      </c>
      <c r="AM249" s="24">
        <v>0</v>
      </c>
      <c r="AN249" s="24">
        <v>0</v>
      </c>
      <c r="AO249" s="24">
        <v>0</v>
      </c>
      <c r="AP249" s="24">
        <v>0</v>
      </c>
      <c r="AQ249" s="24">
        <v>0</v>
      </c>
      <c r="AR249" s="24">
        <v>0</v>
      </c>
      <c r="AS249" s="24">
        <v>1</v>
      </c>
      <c r="AT249" s="24">
        <v>0</v>
      </c>
      <c r="AU249" s="24">
        <v>0</v>
      </c>
      <c r="AV249" s="24">
        <v>1</v>
      </c>
      <c r="AW249" s="24">
        <v>0</v>
      </c>
      <c r="AX249" s="24">
        <v>0</v>
      </c>
      <c r="AY249" s="24">
        <v>0</v>
      </c>
      <c r="AZ249" s="24">
        <v>0</v>
      </c>
      <c r="BA249" s="24">
        <v>1</v>
      </c>
      <c r="BB249" s="24">
        <v>0</v>
      </c>
    </row>
    <row r="250" spans="2:54" ht="13.8" x14ac:dyDescent="0.3">
      <c r="B250" s="24">
        <v>230</v>
      </c>
      <c r="C250" s="24">
        <v>24</v>
      </c>
      <c r="D250" s="24">
        <v>0</v>
      </c>
      <c r="E250" s="24">
        <v>0</v>
      </c>
      <c r="F250" s="24">
        <v>1</v>
      </c>
      <c r="G250" s="24">
        <v>0</v>
      </c>
      <c r="H250" s="24">
        <v>0</v>
      </c>
      <c r="I250" s="24">
        <v>0</v>
      </c>
      <c r="J250" s="24">
        <v>3149</v>
      </c>
      <c r="K250" s="24">
        <v>4</v>
      </c>
      <c r="L250" s="24">
        <v>0</v>
      </c>
      <c r="M250" s="24">
        <v>1</v>
      </c>
      <c r="N250" s="24">
        <v>0</v>
      </c>
      <c r="O250" s="24">
        <v>0</v>
      </c>
      <c r="P250" s="24">
        <v>0</v>
      </c>
      <c r="Q250" s="24">
        <v>0</v>
      </c>
      <c r="R250" s="24">
        <v>1</v>
      </c>
      <c r="S250" s="24">
        <v>22</v>
      </c>
      <c r="T250" s="24">
        <v>1</v>
      </c>
      <c r="U250" s="24">
        <v>0</v>
      </c>
      <c r="V250" s="24">
        <v>0</v>
      </c>
      <c r="W250" s="24">
        <v>1</v>
      </c>
      <c r="X250" s="24">
        <v>1</v>
      </c>
      <c r="Y250" s="24">
        <v>0</v>
      </c>
      <c r="Z250" s="24">
        <v>0</v>
      </c>
      <c r="AA250" s="24">
        <v>1</v>
      </c>
      <c r="AB250" s="24">
        <v>1</v>
      </c>
      <c r="AC250" s="24">
        <v>0</v>
      </c>
      <c r="AD250" s="24">
        <v>0</v>
      </c>
      <c r="AE250" s="24">
        <v>0</v>
      </c>
      <c r="AF250" s="24">
        <v>0</v>
      </c>
      <c r="AG250" s="24">
        <v>0</v>
      </c>
      <c r="AH250" s="24">
        <v>1</v>
      </c>
      <c r="AI250" s="24">
        <v>0</v>
      </c>
      <c r="AJ250" s="24">
        <v>0</v>
      </c>
      <c r="AK250" s="24">
        <v>1</v>
      </c>
      <c r="AL250" s="24">
        <v>0</v>
      </c>
      <c r="AM250" s="24">
        <v>0</v>
      </c>
      <c r="AN250" s="24">
        <v>0</v>
      </c>
      <c r="AO250" s="24">
        <v>0</v>
      </c>
      <c r="AP250" s="24">
        <v>0</v>
      </c>
      <c r="AQ250" s="24">
        <v>1</v>
      </c>
      <c r="AR250" s="24">
        <v>0</v>
      </c>
      <c r="AS250" s="24">
        <v>0</v>
      </c>
      <c r="AT250" s="24">
        <v>0</v>
      </c>
      <c r="AU250" s="24">
        <v>1</v>
      </c>
      <c r="AV250" s="24">
        <v>0</v>
      </c>
      <c r="AW250" s="24">
        <v>0</v>
      </c>
      <c r="AX250" s="24">
        <v>0</v>
      </c>
      <c r="AY250" s="24">
        <v>0</v>
      </c>
      <c r="AZ250" s="24">
        <v>0</v>
      </c>
      <c r="BA250" s="24">
        <v>1</v>
      </c>
      <c r="BB250" s="24">
        <v>0</v>
      </c>
    </row>
    <row r="251" spans="2:54" ht="13.8" x14ac:dyDescent="0.3">
      <c r="B251" s="24">
        <v>231</v>
      </c>
      <c r="C251" s="24">
        <v>36</v>
      </c>
      <c r="D251" s="24">
        <v>0</v>
      </c>
      <c r="E251" s="24">
        <v>0</v>
      </c>
      <c r="F251" s="24">
        <v>0</v>
      </c>
      <c r="G251" s="24">
        <v>1</v>
      </c>
      <c r="H251" s="24">
        <v>0</v>
      </c>
      <c r="I251" s="24">
        <v>0</v>
      </c>
      <c r="J251" s="24">
        <v>4210</v>
      </c>
      <c r="K251" s="24">
        <v>4</v>
      </c>
      <c r="L251" s="24">
        <v>0</v>
      </c>
      <c r="M251" s="24">
        <v>1</v>
      </c>
      <c r="N251" s="24">
        <v>0</v>
      </c>
      <c r="O251" s="24">
        <v>0</v>
      </c>
      <c r="P251" s="24">
        <v>0</v>
      </c>
      <c r="Q251" s="24">
        <v>0</v>
      </c>
      <c r="R251" s="24">
        <v>0</v>
      </c>
      <c r="S251" s="24">
        <v>26</v>
      </c>
      <c r="T251" s="24">
        <v>0</v>
      </c>
      <c r="U251" s="24">
        <v>0</v>
      </c>
      <c r="V251" s="24">
        <v>1</v>
      </c>
      <c r="W251" s="24">
        <v>1</v>
      </c>
      <c r="X251" s="24">
        <v>1</v>
      </c>
      <c r="Y251" s="24">
        <v>0</v>
      </c>
      <c r="Z251" s="24">
        <v>0</v>
      </c>
      <c r="AA251" s="24">
        <v>0</v>
      </c>
      <c r="AB251" s="24">
        <v>0</v>
      </c>
      <c r="AC251" s="24">
        <v>0</v>
      </c>
      <c r="AD251" s="24">
        <v>1</v>
      </c>
      <c r="AE251" s="24">
        <v>0</v>
      </c>
      <c r="AF251" s="24">
        <v>0</v>
      </c>
      <c r="AG251" s="24">
        <v>0</v>
      </c>
      <c r="AH251" s="24">
        <v>1</v>
      </c>
      <c r="AI251" s="24">
        <v>0</v>
      </c>
      <c r="AJ251" s="24">
        <v>0</v>
      </c>
      <c r="AK251" s="24">
        <v>1</v>
      </c>
      <c r="AL251" s="24">
        <v>0</v>
      </c>
      <c r="AM251" s="24">
        <v>0</v>
      </c>
      <c r="AN251" s="24">
        <v>0</v>
      </c>
      <c r="AO251" s="24">
        <v>0</v>
      </c>
      <c r="AP251" s="24">
        <v>0</v>
      </c>
      <c r="AQ251" s="24">
        <v>0</v>
      </c>
      <c r="AR251" s="24">
        <v>1</v>
      </c>
      <c r="AS251" s="24">
        <v>0</v>
      </c>
      <c r="AT251" s="24">
        <v>0</v>
      </c>
      <c r="AU251" s="24">
        <v>0</v>
      </c>
      <c r="AV251" s="24">
        <v>1</v>
      </c>
      <c r="AW251" s="24">
        <v>0</v>
      </c>
      <c r="AX251" s="24">
        <v>0</v>
      </c>
      <c r="AY251" s="24">
        <v>0</v>
      </c>
      <c r="AZ251" s="24">
        <v>0</v>
      </c>
      <c r="BA251" s="24">
        <v>1</v>
      </c>
      <c r="BB251" s="24">
        <v>0</v>
      </c>
    </row>
    <row r="252" spans="2:54" ht="13.8" x14ac:dyDescent="0.3">
      <c r="B252" s="24">
        <v>232</v>
      </c>
      <c r="C252" s="24">
        <v>9</v>
      </c>
      <c r="D252" s="24">
        <v>1</v>
      </c>
      <c r="E252" s="24">
        <v>0</v>
      </c>
      <c r="F252" s="24">
        <v>0</v>
      </c>
      <c r="G252" s="24">
        <v>0</v>
      </c>
      <c r="H252" s="24">
        <v>0</v>
      </c>
      <c r="I252" s="24">
        <v>0</v>
      </c>
      <c r="J252" s="24">
        <v>2507</v>
      </c>
      <c r="K252" s="24">
        <v>2</v>
      </c>
      <c r="L252" s="24">
        <v>0</v>
      </c>
      <c r="M252" s="24">
        <v>1</v>
      </c>
      <c r="N252" s="24">
        <v>0</v>
      </c>
      <c r="O252" s="24">
        <v>0</v>
      </c>
      <c r="P252" s="24">
        <v>0</v>
      </c>
      <c r="Q252" s="24">
        <v>0</v>
      </c>
      <c r="R252" s="24">
        <v>1</v>
      </c>
      <c r="S252" s="24">
        <v>51</v>
      </c>
      <c r="T252" s="24">
        <v>0</v>
      </c>
      <c r="U252" s="24">
        <v>0</v>
      </c>
      <c r="V252" s="24">
        <v>0</v>
      </c>
      <c r="W252" s="24">
        <v>1</v>
      </c>
      <c r="X252" s="24">
        <v>1</v>
      </c>
      <c r="Y252" s="24">
        <v>0</v>
      </c>
      <c r="Z252" s="24">
        <v>0</v>
      </c>
      <c r="AA252" s="24">
        <v>1</v>
      </c>
      <c r="AB252" s="24">
        <v>0</v>
      </c>
      <c r="AC252" s="24">
        <v>0</v>
      </c>
      <c r="AD252" s="24">
        <v>0</v>
      </c>
      <c r="AE252" s="24">
        <v>1</v>
      </c>
      <c r="AF252" s="24">
        <v>0</v>
      </c>
      <c r="AG252" s="24">
        <v>0</v>
      </c>
      <c r="AH252" s="24">
        <v>1</v>
      </c>
      <c r="AI252" s="24">
        <v>0</v>
      </c>
      <c r="AJ252" s="24">
        <v>0</v>
      </c>
      <c r="AK252" s="24">
        <v>0</v>
      </c>
      <c r="AL252" s="24">
        <v>0</v>
      </c>
      <c r="AM252" s="24">
        <v>1</v>
      </c>
      <c r="AN252" s="24">
        <v>0</v>
      </c>
      <c r="AO252" s="24">
        <v>0</v>
      </c>
      <c r="AP252" s="24">
        <v>0</v>
      </c>
      <c r="AQ252" s="24">
        <v>0</v>
      </c>
      <c r="AR252" s="24">
        <v>0</v>
      </c>
      <c r="AS252" s="24">
        <v>0</v>
      </c>
      <c r="AT252" s="24">
        <v>1</v>
      </c>
      <c r="AU252" s="24">
        <v>0</v>
      </c>
      <c r="AV252" s="24">
        <v>0</v>
      </c>
      <c r="AW252" s="24">
        <v>0</v>
      </c>
      <c r="AX252" s="24">
        <v>1</v>
      </c>
      <c r="AY252" s="24">
        <v>0</v>
      </c>
      <c r="AZ252" s="24">
        <v>1</v>
      </c>
      <c r="BA252" s="24">
        <v>0</v>
      </c>
      <c r="BB252" s="24">
        <v>0</v>
      </c>
    </row>
    <row r="253" spans="2:54" ht="13.8" x14ac:dyDescent="0.3">
      <c r="B253" s="24">
        <v>233</v>
      </c>
      <c r="C253" s="24">
        <v>12</v>
      </c>
      <c r="D253" s="24">
        <v>0</v>
      </c>
      <c r="E253" s="24">
        <v>0</v>
      </c>
      <c r="F253" s="24">
        <v>0</v>
      </c>
      <c r="G253" s="24">
        <v>1</v>
      </c>
      <c r="H253" s="24">
        <v>0</v>
      </c>
      <c r="I253" s="24">
        <v>0</v>
      </c>
      <c r="J253" s="24">
        <v>2141</v>
      </c>
      <c r="K253" s="24">
        <v>3</v>
      </c>
      <c r="L253" s="24">
        <v>0</v>
      </c>
      <c r="M253" s="24">
        <v>1</v>
      </c>
      <c r="N253" s="24">
        <v>0</v>
      </c>
      <c r="O253" s="24">
        <v>0</v>
      </c>
      <c r="P253" s="24">
        <v>0</v>
      </c>
      <c r="Q253" s="24">
        <v>0</v>
      </c>
      <c r="R253" s="24">
        <v>1</v>
      </c>
      <c r="S253" s="24">
        <v>35</v>
      </c>
      <c r="T253" s="24">
        <v>0</v>
      </c>
      <c r="U253" s="24">
        <v>0</v>
      </c>
      <c r="V253" s="24">
        <v>1</v>
      </c>
      <c r="W253" s="24">
        <v>1</v>
      </c>
      <c r="X253" s="24">
        <v>1</v>
      </c>
      <c r="Y253" s="24">
        <v>0</v>
      </c>
      <c r="Z253" s="24">
        <v>0</v>
      </c>
      <c r="AA253" s="24">
        <v>1</v>
      </c>
      <c r="AB253" s="24">
        <v>0</v>
      </c>
      <c r="AC253" s="24">
        <v>0</v>
      </c>
      <c r="AD253" s="24">
        <v>0</v>
      </c>
      <c r="AE253" s="24">
        <v>1</v>
      </c>
      <c r="AF253" s="24">
        <v>0</v>
      </c>
      <c r="AG253" s="24">
        <v>0</v>
      </c>
      <c r="AH253" s="24">
        <v>1</v>
      </c>
      <c r="AI253" s="24">
        <v>0</v>
      </c>
      <c r="AJ253" s="24">
        <v>0</v>
      </c>
      <c r="AK253" s="24">
        <v>0</v>
      </c>
      <c r="AL253" s="24">
        <v>1</v>
      </c>
      <c r="AM253" s="24">
        <v>0</v>
      </c>
      <c r="AN253" s="24">
        <v>0</v>
      </c>
      <c r="AO253" s="24">
        <v>0</v>
      </c>
      <c r="AP253" s="24">
        <v>0</v>
      </c>
      <c r="AQ253" s="24">
        <v>0</v>
      </c>
      <c r="AR253" s="24">
        <v>0</v>
      </c>
      <c r="AS253" s="24">
        <v>1</v>
      </c>
      <c r="AT253" s="24">
        <v>0</v>
      </c>
      <c r="AU253" s="24">
        <v>1</v>
      </c>
      <c r="AV253" s="24">
        <v>0</v>
      </c>
      <c r="AW253" s="24">
        <v>0</v>
      </c>
      <c r="AX253" s="24">
        <v>0</v>
      </c>
      <c r="AY253" s="24">
        <v>0</v>
      </c>
      <c r="AZ253" s="24">
        <v>0</v>
      </c>
      <c r="BA253" s="24">
        <v>1</v>
      </c>
      <c r="BB253" s="24">
        <v>0</v>
      </c>
    </row>
    <row r="254" spans="2:54" ht="13.8" x14ac:dyDescent="0.3">
      <c r="B254" s="24">
        <v>234</v>
      </c>
      <c r="C254" s="24">
        <v>18</v>
      </c>
      <c r="D254" s="24">
        <v>0</v>
      </c>
      <c r="E254" s="24">
        <v>0</v>
      </c>
      <c r="F254" s="24">
        <v>0</v>
      </c>
      <c r="G254" s="24">
        <v>1</v>
      </c>
      <c r="H254" s="24">
        <v>0</v>
      </c>
      <c r="I254" s="24">
        <v>0</v>
      </c>
      <c r="J254" s="24">
        <v>866</v>
      </c>
      <c r="K254" s="24">
        <v>4</v>
      </c>
      <c r="L254" s="24">
        <v>0</v>
      </c>
      <c r="M254" s="24">
        <v>0</v>
      </c>
      <c r="N254" s="24">
        <v>1</v>
      </c>
      <c r="O254" s="24">
        <v>0</v>
      </c>
      <c r="P254" s="24">
        <v>1</v>
      </c>
      <c r="Q254" s="24">
        <v>1</v>
      </c>
      <c r="R254" s="24">
        <v>0</v>
      </c>
      <c r="S254" s="24">
        <v>25</v>
      </c>
      <c r="T254" s="24">
        <v>0</v>
      </c>
      <c r="U254" s="24">
        <v>0</v>
      </c>
      <c r="V254" s="24">
        <v>1</v>
      </c>
      <c r="W254" s="24">
        <v>1</v>
      </c>
      <c r="X254" s="24">
        <v>1</v>
      </c>
      <c r="Y254" s="24">
        <v>0</v>
      </c>
      <c r="Z254" s="24">
        <v>0</v>
      </c>
      <c r="AA254" s="24">
        <v>1</v>
      </c>
      <c r="AB254" s="24">
        <v>0</v>
      </c>
      <c r="AC254" s="24">
        <v>1</v>
      </c>
      <c r="AD254" s="24">
        <v>0</v>
      </c>
      <c r="AE254" s="24">
        <v>0</v>
      </c>
      <c r="AF254" s="24">
        <v>0</v>
      </c>
      <c r="AG254" s="24">
        <v>0</v>
      </c>
      <c r="AH254" s="24">
        <v>1</v>
      </c>
      <c r="AI254" s="24">
        <v>0</v>
      </c>
      <c r="AJ254" s="24">
        <v>0</v>
      </c>
      <c r="AK254" s="24">
        <v>1</v>
      </c>
      <c r="AL254" s="24">
        <v>0</v>
      </c>
      <c r="AM254" s="24">
        <v>0</v>
      </c>
      <c r="AN254" s="24">
        <v>0</v>
      </c>
      <c r="AO254" s="24">
        <v>0</v>
      </c>
      <c r="AP254" s="24">
        <v>0</v>
      </c>
      <c r="AQ254" s="24">
        <v>0</v>
      </c>
      <c r="AR254" s="24">
        <v>1</v>
      </c>
      <c r="AS254" s="24">
        <v>0</v>
      </c>
      <c r="AT254" s="24">
        <v>0</v>
      </c>
      <c r="AU254" s="24">
        <v>0</v>
      </c>
      <c r="AV254" s="24">
        <v>1</v>
      </c>
      <c r="AW254" s="24">
        <v>0</v>
      </c>
      <c r="AX254" s="24">
        <v>0</v>
      </c>
      <c r="AY254" s="24">
        <v>0</v>
      </c>
      <c r="AZ254" s="24">
        <v>1</v>
      </c>
      <c r="BA254" s="24">
        <v>0</v>
      </c>
      <c r="BB254" s="24">
        <v>0</v>
      </c>
    </row>
    <row r="255" spans="2:54" ht="13.8" x14ac:dyDescent="0.3">
      <c r="B255" s="24">
        <v>235</v>
      </c>
      <c r="C255" s="24">
        <v>4</v>
      </c>
      <c r="D255" s="24">
        <v>0</v>
      </c>
      <c r="E255" s="24">
        <v>0</v>
      </c>
      <c r="F255" s="24">
        <v>0</v>
      </c>
      <c r="G255" s="24">
        <v>1</v>
      </c>
      <c r="H255" s="24">
        <v>0</v>
      </c>
      <c r="I255" s="24">
        <v>0</v>
      </c>
      <c r="J255" s="24">
        <v>1544</v>
      </c>
      <c r="K255" s="24">
        <v>2</v>
      </c>
      <c r="L255" s="24">
        <v>0</v>
      </c>
      <c r="M255" s="24">
        <v>1</v>
      </c>
      <c r="N255" s="24">
        <v>0</v>
      </c>
      <c r="O255" s="24">
        <v>0</v>
      </c>
      <c r="P255" s="24">
        <v>0</v>
      </c>
      <c r="Q255" s="24">
        <v>1</v>
      </c>
      <c r="R255" s="24">
        <v>0</v>
      </c>
      <c r="S255" s="24">
        <v>42</v>
      </c>
      <c r="T255" s="24">
        <v>0</v>
      </c>
      <c r="U255" s="24">
        <v>0</v>
      </c>
      <c r="V255" s="24">
        <v>1</v>
      </c>
      <c r="W255" s="24">
        <v>3</v>
      </c>
      <c r="X255" s="24">
        <v>2</v>
      </c>
      <c r="Y255" s="24">
        <v>0</v>
      </c>
      <c r="Z255" s="24">
        <v>0</v>
      </c>
      <c r="AA255" s="24">
        <v>1</v>
      </c>
      <c r="AB255" s="24">
        <v>0</v>
      </c>
      <c r="AC255" s="24">
        <v>0</v>
      </c>
      <c r="AD255" s="24">
        <v>0</v>
      </c>
      <c r="AE255" s="24">
        <v>1</v>
      </c>
      <c r="AF255" s="24">
        <v>0</v>
      </c>
      <c r="AG255" s="24">
        <v>0</v>
      </c>
      <c r="AH255" s="24">
        <v>0</v>
      </c>
      <c r="AI255" s="24">
        <v>0</v>
      </c>
      <c r="AJ255" s="24">
        <v>1</v>
      </c>
      <c r="AK255" s="24">
        <v>1</v>
      </c>
      <c r="AL255" s="24">
        <v>0</v>
      </c>
      <c r="AM255" s="24">
        <v>0</v>
      </c>
      <c r="AN255" s="24">
        <v>0</v>
      </c>
      <c r="AO255" s="24">
        <v>0</v>
      </c>
      <c r="AP255" s="24">
        <v>0</v>
      </c>
      <c r="AQ255" s="24">
        <v>0</v>
      </c>
      <c r="AR255" s="24">
        <v>0</v>
      </c>
      <c r="AS255" s="24">
        <v>1</v>
      </c>
      <c r="AT255" s="24">
        <v>0</v>
      </c>
      <c r="AU255" s="24">
        <v>1</v>
      </c>
      <c r="AV255" s="24">
        <v>0</v>
      </c>
      <c r="AW255" s="24">
        <v>0</v>
      </c>
      <c r="AX255" s="24">
        <v>0</v>
      </c>
      <c r="AY255" s="24">
        <v>0</v>
      </c>
      <c r="AZ255" s="24">
        <v>1</v>
      </c>
      <c r="BA255" s="24">
        <v>0</v>
      </c>
      <c r="BB255" s="24">
        <v>0</v>
      </c>
    </row>
    <row r="256" spans="2:54" ht="13.8" x14ac:dyDescent="0.3">
      <c r="B256" s="24">
        <v>236</v>
      </c>
      <c r="C256" s="24">
        <v>24</v>
      </c>
      <c r="D256" s="24">
        <v>0</v>
      </c>
      <c r="E256" s="24">
        <v>0</v>
      </c>
      <c r="F256" s="24">
        <v>0</v>
      </c>
      <c r="G256" s="24">
        <v>1</v>
      </c>
      <c r="H256" s="24">
        <v>0</v>
      </c>
      <c r="I256" s="24">
        <v>0</v>
      </c>
      <c r="J256" s="24">
        <v>1823</v>
      </c>
      <c r="K256" s="24">
        <v>4</v>
      </c>
      <c r="L256" s="24">
        <v>0</v>
      </c>
      <c r="M256" s="24">
        <v>1</v>
      </c>
      <c r="N256" s="24">
        <v>0</v>
      </c>
      <c r="O256" s="24">
        <v>0</v>
      </c>
      <c r="P256" s="24">
        <v>0</v>
      </c>
      <c r="Q256" s="24">
        <v>0</v>
      </c>
      <c r="R256" s="24">
        <v>0</v>
      </c>
      <c r="S256" s="24">
        <v>30</v>
      </c>
      <c r="T256" s="24">
        <v>1</v>
      </c>
      <c r="U256" s="24">
        <v>0</v>
      </c>
      <c r="V256" s="24">
        <v>1</v>
      </c>
      <c r="W256" s="24">
        <v>1</v>
      </c>
      <c r="X256" s="24">
        <v>2</v>
      </c>
      <c r="Y256" s="24">
        <v>0</v>
      </c>
      <c r="Z256" s="24">
        <v>0</v>
      </c>
      <c r="AA256" s="24">
        <v>0</v>
      </c>
      <c r="AB256" s="24">
        <v>1</v>
      </c>
      <c r="AC256" s="24">
        <v>0</v>
      </c>
      <c r="AD256" s="24">
        <v>0</v>
      </c>
      <c r="AE256" s="24">
        <v>0</v>
      </c>
      <c r="AF256" s="24">
        <v>0</v>
      </c>
      <c r="AG256" s="24">
        <v>0</v>
      </c>
      <c r="AH256" s="24">
        <v>1</v>
      </c>
      <c r="AI256" s="24">
        <v>0</v>
      </c>
      <c r="AJ256" s="24">
        <v>0</v>
      </c>
      <c r="AK256" s="24">
        <v>1</v>
      </c>
      <c r="AL256" s="24">
        <v>0</v>
      </c>
      <c r="AM256" s="24">
        <v>0</v>
      </c>
      <c r="AN256" s="24">
        <v>0</v>
      </c>
      <c r="AO256" s="24">
        <v>0</v>
      </c>
      <c r="AP256" s="24">
        <v>1</v>
      </c>
      <c r="AQ256" s="24">
        <v>0</v>
      </c>
      <c r="AR256" s="24">
        <v>0</v>
      </c>
      <c r="AS256" s="24">
        <v>0</v>
      </c>
      <c r="AT256" s="24">
        <v>0</v>
      </c>
      <c r="AU256" s="24">
        <v>0</v>
      </c>
      <c r="AV256" s="24">
        <v>1</v>
      </c>
      <c r="AW256" s="24">
        <v>0</v>
      </c>
      <c r="AX256" s="24">
        <v>0</v>
      </c>
      <c r="AY256" s="24">
        <v>0</v>
      </c>
      <c r="AZ256" s="24">
        <v>0</v>
      </c>
      <c r="BA256" s="24">
        <v>0</v>
      </c>
      <c r="BB256" s="24">
        <v>1</v>
      </c>
    </row>
    <row r="257" spans="2:54" ht="13.8" x14ac:dyDescent="0.3">
      <c r="B257" s="24">
        <v>237</v>
      </c>
      <c r="C257" s="24">
        <v>6</v>
      </c>
      <c r="D257" s="24">
        <v>1</v>
      </c>
      <c r="E257" s="24">
        <v>0</v>
      </c>
      <c r="F257" s="24">
        <v>0</v>
      </c>
      <c r="G257" s="24">
        <v>0</v>
      </c>
      <c r="H257" s="24">
        <v>0</v>
      </c>
      <c r="I257" s="24">
        <v>0</v>
      </c>
      <c r="J257" s="24">
        <v>14555</v>
      </c>
      <c r="K257" s="24">
        <v>1</v>
      </c>
      <c r="L257" s="24">
        <v>0</v>
      </c>
      <c r="M257" s="24">
        <v>1</v>
      </c>
      <c r="N257" s="24">
        <v>0</v>
      </c>
      <c r="O257" s="24">
        <v>0</v>
      </c>
      <c r="P257" s="24">
        <v>0</v>
      </c>
      <c r="Q257" s="24">
        <v>0</v>
      </c>
      <c r="R257" s="24">
        <v>0</v>
      </c>
      <c r="S257" s="24">
        <v>23</v>
      </c>
      <c r="T257" s="24">
        <v>0</v>
      </c>
      <c r="U257" s="24">
        <v>0</v>
      </c>
      <c r="V257" s="24">
        <v>1</v>
      </c>
      <c r="W257" s="24">
        <v>1</v>
      </c>
      <c r="X257" s="24">
        <v>1</v>
      </c>
      <c r="Y257" s="24">
        <v>1</v>
      </c>
      <c r="Z257" s="24">
        <v>0</v>
      </c>
      <c r="AA257" s="24">
        <v>0</v>
      </c>
      <c r="AB257" s="24">
        <v>0</v>
      </c>
      <c r="AC257" s="24">
        <v>1</v>
      </c>
      <c r="AD257" s="24">
        <v>0</v>
      </c>
      <c r="AE257" s="24">
        <v>0</v>
      </c>
      <c r="AF257" s="24">
        <v>0</v>
      </c>
      <c r="AG257" s="24">
        <v>0</v>
      </c>
      <c r="AH257" s="24">
        <v>1</v>
      </c>
      <c r="AI257" s="24">
        <v>0</v>
      </c>
      <c r="AJ257" s="24">
        <v>0</v>
      </c>
      <c r="AK257" s="24">
        <v>0</v>
      </c>
      <c r="AL257" s="24">
        <v>0</v>
      </c>
      <c r="AM257" s="24">
        <v>0</v>
      </c>
      <c r="AN257" s="24">
        <v>0</v>
      </c>
      <c r="AO257" s="24">
        <v>1</v>
      </c>
      <c r="AP257" s="24">
        <v>1</v>
      </c>
      <c r="AQ257" s="24">
        <v>0</v>
      </c>
      <c r="AR257" s="24">
        <v>0</v>
      </c>
      <c r="AS257" s="24">
        <v>0</v>
      </c>
      <c r="AT257" s="24">
        <v>0</v>
      </c>
      <c r="AU257" s="24">
        <v>0</v>
      </c>
      <c r="AV257" s="24">
        <v>1</v>
      </c>
      <c r="AW257" s="24">
        <v>0</v>
      </c>
      <c r="AX257" s="24">
        <v>0</v>
      </c>
      <c r="AY257" s="24">
        <v>1</v>
      </c>
      <c r="AZ257" s="24">
        <v>0</v>
      </c>
      <c r="BA257" s="24">
        <v>0</v>
      </c>
      <c r="BB257" s="24">
        <v>0</v>
      </c>
    </row>
    <row r="258" spans="2:54" ht="13.8" x14ac:dyDescent="0.3">
      <c r="B258" s="24">
        <v>238</v>
      </c>
      <c r="C258" s="24">
        <v>21</v>
      </c>
      <c r="D258" s="24">
        <v>0</v>
      </c>
      <c r="E258" s="24">
        <v>0</v>
      </c>
      <c r="F258" s="24">
        <v>0</v>
      </c>
      <c r="G258" s="24">
        <v>0</v>
      </c>
      <c r="H258" s="24">
        <v>0</v>
      </c>
      <c r="I258" s="24">
        <v>1</v>
      </c>
      <c r="J258" s="24">
        <v>2767</v>
      </c>
      <c r="K258" s="24">
        <v>4</v>
      </c>
      <c r="L258" s="24">
        <v>1</v>
      </c>
      <c r="M258" s="24">
        <v>0</v>
      </c>
      <c r="N258" s="24">
        <v>0</v>
      </c>
      <c r="O258" s="24">
        <v>0</v>
      </c>
      <c r="P258" s="24">
        <v>0</v>
      </c>
      <c r="Q258" s="24">
        <v>0</v>
      </c>
      <c r="R258" s="24">
        <v>0</v>
      </c>
      <c r="S258" s="24">
        <v>61</v>
      </c>
      <c r="T258" s="24">
        <v>1</v>
      </c>
      <c r="U258" s="24">
        <v>1</v>
      </c>
      <c r="V258" s="24">
        <v>0</v>
      </c>
      <c r="W258" s="24">
        <v>2</v>
      </c>
      <c r="X258" s="24">
        <v>1</v>
      </c>
      <c r="Y258" s="24">
        <v>0</v>
      </c>
      <c r="Z258" s="24">
        <v>0</v>
      </c>
      <c r="AA258" s="24">
        <v>0</v>
      </c>
      <c r="AB258" s="24">
        <v>0</v>
      </c>
      <c r="AC258" s="24">
        <v>1</v>
      </c>
      <c r="AD258" s="24">
        <v>0</v>
      </c>
      <c r="AE258" s="24">
        <v>0</v>
      </c>
      <c r="AF258" s="24">
        <v>0</v>
      </c>
      <c r="AG258" s="24">
        <v>0</v>
      </c>
      <c r="AH258" s="24">
        <v>1</v>
      </c>
      <c r="AI258" s="24">
        <v>0</v>
      </c>
      <c r="AJ258" s="24">
        <v>0</v>
      </c>
      <c r="AK258" s="24">
        <v>0</v>
      </c>
      <c r="AL258" s="24">
        <v>1</v>
      </c>
      <c r="AM258" s="24">
        <v>0</v>
      </c>
      <c r="AN258" s="24">
        <v>0</v>
      </c>
      <c r="AO258" s="24">
        <v>0</v>
      </c>
      <c r="AP258" s="24">
        <v>0</v>
      </c>
      <c r="AQ258" s="24">
        <v>0</v>
      </c>
      <c r="AR258" s="24">
        <v>0</v>
      </c>
      <c r="AS258" s="24">
        <v>0</v>
      </c>
      <c r="AT258" s="24">
        <v>1</v>
      </c>
      <c r="AU258" s="24">
        <v>0</v>
      </c>
      <c r="AV258" s="24">
        <v>1</v>
      </c>
      <c r="AW258" s="24">
        <v>0</v>
      </c>
      <c r="AX258" s="24">
        <v>0</v>
      </c>
      <c r="AY258" s="24">
        <v>0</v>
      </c>
      <c r="AZ258" s="24">
        <v>1</v>
      </c>
      <c r="BA258" s="24">
        <v>0</v>
      </c>
      <c r="BB258" s="24">
        <v>0</v>
      </c>
    </row>
    <row r="259" spans="2:54" ht="13.8" x14ac:dyDescent="0.3">
      <c r="B259" s="24">
        <v>239</v>
      </c>
      <c r="C259" s="24">
        <v>12</v>
      </c>
      <c r="D259" s="24">
        <v>0</v>
      </c>
      <c r="E259" s="24">
        <v>0</v>
      </c>
      <c r="F259" s="24">
        <v>0</v>
      </c>
      <c r="G259" s="24">
        <v>1</v>
      </c>
      <c r="H259" s="24">
        <v>0</v>
      </c>
      <c r="I259" s="24">
        <v>0</v>
      </c>
      <c r="J259" s="24">
        <v>1291</v>
      </c>
      <c r="K259" s="24">
        <v>4</v>
      </c>
      <c r="L259" s="24">
        <v>0</v>
      </c>
      <c r="M259" s="24">
        <v>0</v>
      </c>
      <c r="N259" s="24">
        <v>0</v>
      </c>
      <c r="O259" s="24">
        <v>0</v>
      </c>
      <c r="P259" s="24">
        <v>0</v>
      </c>
      <c r="Q259" s="24">
        <v>0</v>
      </c>
      <c r="R259" s="24">
        <v>0</v>
      </c>
      <c r="S259" s="24">
        <v>35</v>
      </c>
      <c r="T259" s="24">
        <v>0</v>
      </c>
      <c r="U259" s="24">
        <v>0</v>
      </c>
      <c r="V259" s="24">
        <v>1</v>
      </c>
      <c r="W259" s="24">
        <v>2</v>
      </c>
      <c r="X259" s="24">
        <v>1</v>
      </c>
      <c r="Y259" s="24">
        <v>0</v>
      </c>
      <c r="Z259" s="24">
        <v>0</v>
      </c>
      <c r="AA259" s="24">
        <v>1</v>
      </c>
      <c r="AB259" s="24">
        <v>0</v>
      </c>
      <c r="AC259" s="24">
        <v>0</v>
      </c>
      <c r="AD259" s="24">
        <v>0</v>
      </c>
      <c r="AE259" s="24">
        <v>1</v>
      </c>
      <c r="AF259" s="24">
        <v>0</v>
      </c>
      <c r="AG259" s="24">
        <v>0</v>
      </c>
      <c r="AH259" s="24">
        <v>0</v>
      </c>
      <c r="AI259" s="24">
        <v>0</v>
      </c>
      <c r="AJ259" s="24">
        <v>1</v>
      </c>
      <c r="AK259" s="24">
        <v>1</v>
      </c>
      <c r="AL259" s="24">
        <v>0</v>
      </c>
      <c r="AM259" s="24">
        <v>0</v>
      </c>
      <c r="AN259" s="24">
        <v>0</v>
      </c>
      <c r="AO259" s="24">
        <v>0</v>
      </c>
      <c r="AP259" s="24">
        <v>0</v>
      </c>
      <c r="AQ259" s="24">
        <v>0</v>
      </c>
      <c r="AR259" s="24">
        <v>1</v>
      </c>
      <c r="AS259" s="24">
        <v>0</v>
      </c>
      <c r="AT259" s="24">
        <v>0</v>
      </c>
      <c r="AU259" s="24">
        <v>0</v>
      </c>
      <c r="AV259" s="24">
        <v>1</v>
      </c>
      <c r="AW259" s="24">
        <v>0</v>
      </c>
      <c r="AX259" s="24">
        <v>0</v>
      </c>
      <c r="AY259" s="24">
        <v>0</v>
      </c>
      <c r="AZ259" s="24">
        <v>0</v>
      </c>
      <c r="BA259" s="24">
        <v>1</v>
      </c>
      <c r="BB259" s="24">
        <v>0</v>
      </c>
    </row>
    <row r="260" spans="2:54" ht="13.8" x14ac:dyDescent="0.3">
      <c r="B260" s="24">
        <v>240</v>
      </c>
      <c r="C260" s="24">
        <v>30</v>
      </c>
      <c r="D260" s="24">
        <v>0</v>
      </c>
      <c r="E260" s="24">
        <v>0</v>
      </c>
      <c r="F260" s="24">
        <v>0</v>
      </c>
      <c r="G260" s="24">
        <v>1</v>
      </c>
      <c r="H260" s="24">
        <v>0</v>
      </c>
      <c r="I260" s="24">
        <v>0</v>
      </c>
      <c r="J260" s="24">
        <v>2522</v>
      </c>
      <c r="K260" s="24">
        <v>1</v>
      </c>
      <c r="L260" s="24">
        <v>0</v>
      </c>
      <c r="M260" s="24">
        <v>1</v>
      </c>
      <c r="N260" s="24">
        <v>0</v>
      </c>
      <c r="O260" s="24">
        <v>0</v>
      </c>
      <c r="P260" s="24">
        <v>1</v>
      </c>
      <c r="Q260" s="24">
        <v>0</v>
      </c>
      <c r="R260" s="24">
        <v>0</v>
      </c>
      <c r="S260" s="24">
        <v>39</v>
      </c>
      <c r="T260" s="24">
        <v>0</v>
      </c>
      <c r="U260" s="24">
        <v>0</v>
      </c>
      <c r="V260" s="24">
        <v>1</v>
      </c>
      <c r="W260" s="24">
        <v>1</v>
      </c>
      <c r="X260" s="24">
        <v>2</v>
      </c>
      <c r="Y260" s="24">
        <v>0</v>
      </c>
      <c r="Z260" s="24">
        <v>0</v>
      </c>
      <c r="AA260" s="24">
        <v>1</v>
      </c>
      <c r="AB260" s="24">
        <v>1</v>
      </c>
      <c r="AC260" s="24">
        <v>0</v>
      </c>
      <c r="AD260" s="24">
        <v>0</v>
      </c>
      <c r="AE260" s="24">
        <v>0</v>
      </c>
      <c r="AF260" s="24">
        <v>0</v>
      </c>
      <c r="AG260" s="24">
        <v>0</v>
      </c>
      <c r="AH260" s="24">
        <v>1</v>
      </c>
      <c r="AI260" s="24">
        <v>0</v>
      </c>
      <c r="AJ260" s="24">
        <v>0</v>
      </c>
      <c r="AK260" s="24">
        <v>1</v>
      </c>
      <c r="AL260" s="24">
        <v>0</v>
      </c>
      <c r="AM260" s="24">
        <v>0</v>
      </c>
      <c r="AN260" s="24">
        <v>0</v>
      </c>
      <c r="AO260" s="24">
        <v>0</v>
      </c>
      <c r="AP260" s="24">
        <v>0</v>
      </c>
      <c r="AQ260" s="24">
        <v>0</v>
      </c>
      <c r="AR260" s="24">
        <v>0</v>
      </c>
      <c r="AS260" s="24">
        <v>0</v>
      </c>
      <c r="AT260" s="24">
        <v>1</v>
      </c>
      <c r="AU260" s="24">
        <v>0</v>
      </c>
      <c r="AV260" s="24">
        <v>0</v>
      </c>
      <c r="AW260" s="24">
        <v>1</v>
      </c>
      <c r="AX260" s="24">
        <v>0</v>
      </c>
      <c r="AY260" s="24">
        <v>0</v>
      </c>
      <c r="AZ260" s="24">
        <v>0</v>
      </c>
      <c r="BA260" s="24">
        <v>1</v>
      </c>
      <c r="BB260" s="24">
        <v>0</v>
      </c>
    </row>
    <row r="261" spans="2:54" ht="13.8" x14ac:dyDescent="0.3">
      <c r="B261" s="24">
        <v>241</v>
      </c>
      <c r="C261" s="24">
        <v>24</v>
      </c>
      <c r="D261" s="24">
        <v>1</v>
      </c>
      <c r="E261" s="24">
        <v>0</v>
      </c>
      <c r="F261" s="24">
        <v>0</v>
      </c>
      <c r="G261" s="24">
        <v>0</v>
      </c>
      <c r="H261" s="24">
        <v>0</v>
      </c>
      <c r="I261" s="24">
        <v>0</v>
      </c>
      <c r="J261" s="24">
        <v>915</v>
      </c>
      <c r="K261" s="24">
        <v>4</v>
      </c>
      <c r="L261" s="24">
        <v>0</v>
      </c>
      <c r="M261" s="24">
        <v>0</v>
      </c>
      <c r="N261" s="24">
        <v>0</v>
      </c>
      <c r="O261" s="24">
        <v>0</v>
      </c>
      <c r="P261" s="24">
        <v>0</v>
      </c>
      <c r="Q261" s="24">
        <v>0</v>
      </c>
      <c r="R261" s="24">
        <v>0</v>
      </c>
      <c r="S261" s="24">
        <v>29</v>
      </c>
      <c r="T261" s="24">
        <v>1</v>
      </c>
      <c r="U261" s="24">
        <v>0</v>
      </c>
      <c r="V261" s="24">
        <v>1</v>
      </c>
      <c r="W261" s="24">
        <v>1</v>
      </c>
      <c r="X261" s="24">
        <v>1</v>
      </c>
      <c r="Y261" s="24">
        <v>0</v>
      </c>
      <c r="Z261" s="24">
        <v>0</v>
      </c>
      <c r="AA261" s="24">
        <v>0</v>
      </c>
      <c r="AB261" s="24">
        <v>1</v>
      </c>
      <c r="AC261" s="24">
        <v>0</v>
      </c>
      <c r="AD261" s="24">
        <v>0</v>
      </c>
      <c r="AE261" s="24">
        <v>0</v>
      </c>
      <c r="AF261" s="24">
        <v>0</v>
      </c>
      <c r="AG261" s="24">
        <v>0</v>
      </c>
      <c r="AH261" s="24">
        <v>1</v>
      </c>
      <c r="AI261" s="24">
        <v>0</v>
      </c>
      <c r="AJ261" s="24">
        <v>0</v>
      </c>
      <c r="AK261" s="24">
        <v>0</v>
      </c>
      <c r="AL261" s="24">
        <v>0</v>
      </c>
      <c r="AM261" s="24">
        <v>0</v>
      </c>
      <c r="AN261" s="24">
        <v>0</v>
      </c>
      <c r="AO261" s="24">
        <v>1</v>
      </c>
      <c r="AP261" s="24">
        <v>0</v>
      </c>
      <c r="AQ261" s="24">
        <v>0</v>
      </c>
      <c r="AR261" s="24">
        <v>0</v>
      </c>
      <c r="AS261" s="24">
        <v>0</v>
      </c>
      <c r="AT261" s="24">
        <v>1</v>
      </c>
      <c r="AU261" s="24">
        <v>0</v>
      </c>
      <c r="AV261" s="24">
        <v>1</v>
      </c>
      <c r="AW261" s="24">
        <v>0</v>
      </c>
      <c r="AX261" s="24">
        <v>0</v>
      </c>
      <c r="AY261" s="24">
        <v>0</v>
      </c>
      <c r="AZ261" s="24">
        <v>0</v>
      </c>
      <c r="BA261" s="24">
        <v>1</v>
      </c>
      <c r="BB261" s="24">
        <v>0</v>
      </c>
    </row>
    <row r="262" spans="2:54" ht="13.8" x14ac:dyDescent="0.3">
      <c r="B262" s="24">
        <v>242</v>
      </c>
      <c r="C262" s="24">
        <v>6</v>
      </c>
      <c r="D262" s="24">
        <v>0</v>
      </c>
      <c r="E262" s="24">
        <v>0</v>
      </c>
      <c r="F262" s="24">
        <v>0</v>
      </c>
      <c r="G262" s="24">
        <v>1</v>
      </c>
      <c r="H262" s="24">
        <v>0</v>
      </c>
      <c r="I262" s="24">
        <v>0</v>
      </c>
      <c r="J262" s="24">
        <v>1595</v>
      </c>
      <c r="K262" s="24">
        <v>3</v>
      </c>
      <c r="L262" s="24">
        <v>0</v>
      </c>
      <c r="M262" s="24">
        <v>1</v>
      </c>
      <c r="N262" s="24">
        <v>0</v>
      </c>
      <c r="O262" s="24">
        <v>0</v>
      </c>
      <c r="P262" s="24">
        <v>0</v>
      </c>
      <c r="Q262" s="24">
        <v>0</v>
      </c>
      <c r="R262" s="24">
        <v>0</v>
      </c>
      <c r="S262" s="24">
        <v>51</v>
      </c>
      <c r="T262" s="24">
        <v>0</v>
      </c>
      <c r="U262" s="24">
        <v>0</v>
      </c>
      <c r="V262" s="24">
        <v>1</v>
      </c>
      <c r="W262" s="24">
        <v>1</v>
      </c>
      <c r="X262" s="24">
        <v>2</v>
      </c>
      <c r="Y262" s="24">
        <v>0</v>
      </c>
      <c r="Z262" s="24">
        <v>0</v>
      </c>
      <c r="AA262" s="24">
        <v>1</v>
      </c>
      <c r="AB262" s="24">
        <v>0</v>
      </c>
      <c r="AC262" s="24">
        <v>0</v>
      </c>
      <c r="AD262" s="24">
        <v>0</v>
      </c>
      <c r="AE262" s="24">
        <v>1</v>
      </c>
      <c r="AF262" s="24">
        <v>0</v>
      </c>
      <c r="AG262" s="24">
        <v>0</v>
      </c>
      <c r="AH262" s="24">
        <v>1</v>
      </c>
      <c r="AI262" s="24">
        <v>0</v>
      </c>
      <c r="AJ262" s="24">
        <v>0</v>
      </c>
      <c r="AK262" s="24">
        <v>1</v>
      </c>
      <c r="AL262" s="24">
        <v>0</v>
      </c>
      <c r="AM262" s="24">
        <v>0</v>
      </c>
      <c r="AN262" s="24">
        <v>0</v>
      </c>
      <c r="AO262" s="24">
        <v>0</v>
      </c>
      <c r="AP262" s="24">
        <v>0</v>
      </c>
      <c r="AQ262" s="24">
        <v>0</v>
      </c>
      <c r="AR262" s="24">
        <v>0</v>
      </c>
      <c r="AS262" s="24">
        <v>1</v>
      </c>
      <c r="AT262" s="24">
        <v>0</v>
      </c>
      <c r="AU262" s="24">
        <v>0</v>
      </c>
      <c r="AV262" s="24">
        <v>1</v>
      </c>
      <c r="AW262" s="24">
        <v>0</v>
      </c>
      <c r="AX262" s="24">
        <v>0</v>
      </c>
      <c r="AY262" s="24">
        <v>0</v>
      </c>
      <c r="AZ262" s="24">
        <v>0</v>
      </c>
      <c r="BA262" s="24">
        <v>1</v>
      </c>
      <c r="BB262" s="24">
        <v>0</v>
      </c>
    </row>
    <row r="263" spans="2:54" ht="13.8" x14ac:dyDescent="0.3">
      <c r="B263" s="24">
        <v>243</v>
      </c>
      <c r="C263" s="24">
        <v>48</v>
      </c>
      <c r="D263" s="24">
        <v>0</v>
      </c>
      <c r="E263" s="24">
        <v>1</v>
      </c>
      <c r="F263" s="24">
        <v>0</v>
      </c>
      <c r="G263" s="24">
        <v>0</v>
      </c>
      <c r="H263" s="24">
        <v>0</v>
      </c>
      <c r="I263" s="24">
        <v>0</v>
      </c>
      <c r="J263" s="24">
        <v>4605</v>
      </c>
      <c r="K263" s="24">
        <v>3</v>
      </c>
      <c r="L263" s="24">
        <v>0</v>
      </c>
      <c r="M263" s="24">
        <v>1</v>
      </c>
      <c r="N263" s="24">
        <v>0</v>
      </c>
      <c r="O263" s="24">
        <v>0</v>
      </c>
      <c r="P263" s="24">
        <v>0</v>
      </c>
      <c r="Q263" s="24">
        <v>0</v>
      </c>
      <c r="R263" s="24">
        <v>1</v>
      </c>
      <c r="S263" s="24">
        <v>24</v>
      </c>
      <c r="T263" s="24">
        <v>0</v>
      </c>
      <c r="U263" s="24">
        <v>0</v>
      </c>
      <c r="V263" s="24">
        <v>0</v>
      </c>
      <c r="W263" s="24">
        <v>2</v>
      </c>
      <c r="X263" s="24">
        <v>2</v>
      </c>
      <c r="Y263" s="24">
        <v>0</v>
      </c>
      <c r="Z263" s="24">
        <v>0</v>
      </c>
      <c r="AA263" s="24">
        <v>0</v>
      </c>
      <c r="AB263" s="24">
        <v>1</v>
      </c>
      <c r="AC263" s="24">
        <v>0</v>
      </c>
      <c r="AD263" s="24">
        <v>0</v>
      </c>
      <c r="AE263" s="24">
        <v>0</v>
      </c>
      <c r="AF263" s="24">
        <v>1</v>
      </c>
      <c r="AG263" s="24">
        <v>0</v>
      </c>
      <c r="AH263" s="24">
        <v>0</v>
      </c>
      <c r="AI263" s="24">
        <v>0</v>
      </c>
      <c r="AJ263" s="24">
        <v>0</v>
      </c>
      <c r="AK263" s="24">
        <v>1</v>
      </c>
      <c r="AL263" s="24">
        <v>0</v>
      </c>
      <c r="AM263" s="24">
        <v>0</v>
      </c>
      <c r="AN263" s="24">
        <v>0</v>
      </c>
      <c r="AO263" s="24">
        <v>0</v>
      </c>
      <c r="AP263" s="24">
        <v>0</v>
      </c>
      <c r="AQ263" s="24">
        <v>0</v>
      </c>
      <c r="AR263" s="24">
        <v>0</v>
      </c>
      <c r="AS263" s="24">
        <v>0</v>
      </c>
      <c r="AT263" s="24">
        <v>1</v>
      </c>
      <c r="AU263" s="24">
        <v>0</v>
      </c>
      <c r="AV263" s="24">
        <v>0</v>
      </c>
      <c r="AW263" s="24">
        <v>0</v>
      </c>
      <c r="AX263" s="24">
        <v>1</v>
      </c>
      <c r="AY263" s="24">
        <v>0</v>
      </c>
      <c r="AZ263" s="24">
        <v>0</v>
      </c>
      <c r="BA263" s="24">
        <v>1</v>
      </c>
      <c r="BB263" s="24">
        <v>0</v>
      </c>
    </row>
    <row r="264" spans="2:54" ht="13.8" x14ac:dyDescent="0.3">
      <c r="B264" s="24">
        <v>244</v>
      </c>
      <c r="C264" s="24">
        <v>12</v>
      </c>
      <c r="D264" s="24">
        <v>0</v>
      </c>
      <c r="E264" s="24">
        <v>0</v>
      </c>
      <c r="F264" s="24">
        <v>0</v>
      </c>
      <c r="G264" s="24">
        <v>0</v>
      </c>
      <c r="H264" s="24">
        <v>0</v>
      </c>
      <c r="I264" s="24">
        <v>1</v>
      </c>
      <c r="J264" s="24">
        <v>1185</v>
      </c>
      <c r="K264" s="24">
        <v>3</v>
      </c>
      <c r="L264" s="24">
        <v>0</v>
      </c>
      <c r="M264" s="24">
        <v>0</v>
      </c>
      <c r="N264" s="24">
        <v>0</v>
      </c>
      <c r="O264" s="24">
        <v>0</v>
      </c>
      <c r="P264" s="24">
        <v>0</v>
      </c>
      <c r="Q264" s="24">
        <v>1</v>
      </c>
      <c r="R264" s="24">
        <v>0</v>
      </c>
      <c r="S264" s="24">
        <v>27</v>
      </c>
      <c r="T264" s="24">
        <v>0</v>
      </c>
      <c r="U264" s="24">
        <v>0</v>
      </c>
      <c r="V264" s="24">
        <v>1</v>
      </c>
      <c r="W264" s="24">
        <v>2</v>
      </c>
      <c r="X264" s="24">
        <v>1</v>
      </c>
      <c r="Y264" s="24">
        <v>0</v>
      </c>
      <c r="Z264" s="24">
        <v>0</v>
      </c>
      <c r="AA264" s="24">
        <v>1</v>
      </c>
      <c r="AB264" s="24">
        <v>0</v>
      </c>
      <c r="AC264" s="24">
        <v>0</v>
      </c>
      <c r="AD264" s="24">
        <v>0</v>
      </c>
      <c r="AE264" s="24">
        <v>1</v>
      </c>
      <c r="AF264" s="24">
        <v>0</v>
      </c>
      <c r="AG264" s="24">
        <v>0</v>
      </c>
      <c r="AH264" s="24">
        <v>0</v>
      </c>
      <c r="AI264" s="24">
        <v>0</v>
      </c>
      <c r="AJ264" s="24">
        <v>1</v>
      </c>
      <c r="AK264" s="24">
        <v>1</v>
      </c>
      <c r="AL264" s="24">
        <v>0</v>
      </c>
      <c r="AM264" s="24">
        <v>0</v>
      </c>
      <c r="AN264" s="24">
        <v>0</v>
      </c>
      <c r="AO264" s="24">
        <v>0</v>
      </c>
      <c r="AP264" s="24">
        <v>0</v>
      </c>
      <c r="AQ264" s="24">
        <v>0</v>
      </c>
      <c r="AR264" s="24">
        <v>1</v>
      </c>
      <c r="AS264" s="24">
        <v>0</v>
      </c>
      <c r="AT264" s="24">
        <v>0</v>
      </c>
      <c r="AU264" s="24">
        <v>0</v>
      </c>
      <c r="AV264" s="24">
        <v>1</v>
      </c>
      <c r="AW264" s="24">
        <v>0</v>
      </c>
      <c r="AX264" s="24">
        <v>0</v>
      </c>
      <c r="AY264" s="24">
        <v>0</v>
      </c>
      <c r="AZ264" s="24">
        <v>0</v>
      </c>
      <c r="BA264" s="24">
        <v>1</v>
      </c>
      <c r="BB264" s="24">
        <v>0</v>
      </c>
    </row>
    <row r="265" spans="2:54" ht="13.8" x14ac:dyDescent="0.3">
      <c r="B265" s="24">
        <v>245</v>
      </c>
      <c r="C265" s="24">
        <v>12</v>
      </c>
      <c r="D265" s="24">
        <v>0</v>
      </c>
      <c r="E265" s="24">
        <v>0</v>
      </c>
      <c r="F265" s="24">
        <v>0</v>
      </c>
      <c r="G265" s="24">
        <v>0</v>
      </c>
      <c r="H265" s="24">
        <v>0</v>
      </c>
      <c r="I265" s="24">
        <v>0</v>
      </c>
      <c r="J265" s="24">
        <v>3447</v>
      </c>
      <c r="K265" s="24">
        <v>4</v>
      </c>
      <c r="L265" s="24">
        <v>0</v>
      </c>
      <c r="M265" s="24">
        <v>0</v>
      </c>
      <c r="N265" s="24">
        <v>0</v>
      </c>
      <c r="O265" s="24">
        <v>0</v>
      </c>
      <c r="P265" s="24">
        <v>0</v>
      </c>
      <c r="Q265" s="24">
        <v>1</v>
      </c>
      <c r="R265" s="24">
        <v>0</v>
      </c>
      <c r="S265" s="24">
        <v>35</v>
      </c>
      <c r="T265" s="24">
        <v>0</v>
      </c>
      <c r="U265" s="24">
        <v>0</v>
      </c>
      <c r="V265" s="24">
        <v>1</v>
      </c>
      <c r="W265" s="24">
        <v>1</v>
      </c>
      <c r="X265" s="24">
        <v>2</v>
      </c>
      <c r="Y265" s="24">
        <v>0</v>
      </c>
      <c r="Z265" s="24">
        <v>0</v>
      </c>
      <c r="AA265" s="24">
        <v>1</v>
      </c>
      <c r="AB265" s="24">
        <v>0</v>
      </c>
      <c r="AC265" s="24">
        <v>0</v>
      </c>
      <c r="AD265" s="24">
        <v>0</v>
      </c>
      <c r="AE265" s="24">
        <v>1</v>
      </c>
      <c r="AF265" s="24">
        <v>0</v>
      </c>
      <c r="AG265" s="24">
        <v>1</v>
      </c>
      <c r="AH265" s="24">
        <v>0</v>
      </c>
      <c r="AI265" s="24">
        <v>0</v>
      </c>
      <c r="AJ265" s="24">
        <v>0</v>
      </c>
      <c r="AK265" s="24">
        <v>0</v>
      </c>
      <c r="AL265" s="24">
        <v>0</v>
      </c>
      <c r="AM265" s="24">
        <v>1</v>
      </c>
      <c r="AN265" s="24">
        <v>0</v>
      </c>
      <c r="AO265" s="24">
        <v>0</v>
      </c>
      <c r="AP265" s="24">
        <v>0</v>
      </c>
      <c r="AQ265" s="24">
        <v>0</v>
      </c>
      <c r="AR265" s="24">
        <v>1</v>
      </c>
      <c r="AS265" s="24">
        <v>0</v>
      </c>
      <c r="AT265" s="24">
        <v>0</v>
      </c>
      <c r="AU265" s="24">
        <v>0</v>
      </c>
      <c r="AV265" s="24">
        <v>0</v>
      </c>
      <c r="AW265" s="24">
        <v>1</v>
      </c>
      <c r="AX265" s="24">
        <v>0</v>
      </c>
      <c r="AY265" s="24">
        <v>0</v>
      </c>
      <c r="AZ265" s="24">
        <v>1</v>
      </c>
      <c r="BA265" s="24">
        <v>0</v>
      </c>
      <c r="BB265" s="24">
        <v>0</v>
      </c>
    </row>
    <row r="266" spans="2:54" ht="13.8" x14ac:dyDescent="0.3">
      <c r="B266" s="24">
        <v>246</v>
      </c>
      <c r="C266" s="24">
        <v>24</v>
      </c>
      <c r="D266" s="24">
        <v>0</v>
      </c>
      <c r="E266" s="24">
        <v>0</v>
      </c>
      <c r="F266" s="24">
        <v>0</v>
      </c>
      <c r="G266" s="24">
        <v>0</v>
      </c>
      <c r="H266" s="24">
        <v>0</v>
      </c>
      <c r="I266" s="24">
        <v>1</v>
      </c>
      <c r="J266" s="24">
        <v>1258</v>
      </c>
      <c r="K266" s="24">
        <v>4</v>
      </c>
      <c r="L266" s="24">
        <v>0</v>
      </c>
      <c r="M266" s="24">
        <v>1</v>
      </c>
      <c r="N266" s="24">
        <v>0</v>
      </c>
      <c r="O266" s="24">
        <v>0</v>
      </c>
      <c r="P266" s="24">
        <v>0</v>
      </c>
      <c r="Q266" s="24">
        <v>1</v>
      </c>
      <c r="R266" s="24">
        <v>0</v>
      </c>
      <c r="S266" s="24">
        <v>25</v>
      </c>
      <c r="T266" s="24">
        <v>0</v>
      </c>
      <c r="U266" s="24">
        <v>0</v>
      </c>
      <c r="V266" s="24">
        <v>1</v>
      </c>
      <c r="W266" s="24">
        <v>1</v>
      </c>
      <c r="X266" s="24">
        <v>1</v>
      </c>
      <c r="Y266" s="24">
        <v>1</v>
      </c>
      <c r="Z266" s="24">
        <v>0</v>
      </c>
      <c r="AA266" s="24">
        <v>1</v>
      </c>
      <c r="AB266" s="24">
        <v>0</v>
      </c>
      <c r="AC266" s="24">
        <v>0</v>
      </c>
      <c r="AD266" s="24">
        <v>0</v>
      </c>
      <c r="AE266" s="24">
        <v>1</v>
      </c>
      <c r="AF266" s="24">
        <v>0</v>
      </c>
      <c r="AG266" s="24">
        <v>0</v>
      </c>
      <c r="AH266" s="24">
        <v>1</v>
      </c>
      <c r="AI266" s="24">
        <v>0</v>
      </c>
      <c r="AJ266" s="24">
        <v>0</v>
      </c>
      <c r="AK266" s="24">
        <v>1</v>
      </c>
      <c r="AL266" s="24">
        <v>0</v>
      </c>
      <c r="AM266" s="24">
        <v>0</v>
      </c>
      <c r="AN266" s="24">
        <v>0</v>
      </c>
      <c r="AO266" s="24">
        <v>0</v>
      </c>
      <c r="AP266" s="24">
        <v>0</v>
      </c>
      <c r="AQ266" s="24">
        <v>0</v>
      </c>
      <c r="AR266" s="24">
        <v>0</v>
      </c>
      <c r="AS266" s="24">
        <v>1</v>
      </c>
      <c r="AT266" s="24">
        <v>0</v>
      </c>
      <c r="AU266" s="24">
        <v>1</v>
      </c>
      <c r="AV266" s="24">
        <v>0</v>
      </c>
      <c r="AW266" s="24">
        <v>0</v>
      </c>
      <c r="AX266" s="24">
        <v>0</v>
      </c>
      <c r="AY266" s="24">
        <v>0</v>
      </c>
      <c r="AZ266" s="24">
        <v>0</v>
      </c>
      <c r="BA266" s="24">
        <v>1</v>
      </c>
      <c r="BB266" s="24">
        <v>0</v>
      </c>
    </row>
    <row r="267" spans="2:54" ht="13.8" x14ac:dyDescent="0.3">
      <c r="B267" s="24">
        <v>247</v>
      </c>
      <c r="C267" s="24">
        <v>12</v>
      </c>
      <c r="D267" s="24">
        <v>0</v>
      </c>
      <c r="E267" s="24">
        <v>0</v>
      </c>
      <c r="F267" s="24">
        <v>0</v>
      </c>
      <c r="G267" s="24">
        <v>1</v>
      </c>
      <c r="H267" s="24">
        <v>0</v>
      </c>
      <c r="I267" s="24">
        <v>0</v>
      </c>
      <c r="J267" s="24">
        <v>717</v>
      </c>
      <c r="K267" s="24">
        <v>4</v>
      </c>
      <c r="L267" s="24">
        <v>0</v>
      </c>
      <c r="M267" s="24">
        <v>1</v>
      </c>
      <c r="N267" s="24">
        <v>0</v>
      </c>
      <c r="O267" s="24">
        <v>0</v>
      </c>
      <c r="P267" s="24">
        <v>0</v>
      </c>
      <c r="Q267" s="24">
        <v>1</v>
      </c>
      <c r="R267" s="24">
        <v>0</v>
      </c>
      <c r="S267" s="24">
        <v>52</v>
      </c>
      <c r="T267" s="24">
        <v>0</v>
      </c>
      <c r="U267" s="24">
        <v>0</v>
      </c>
      <c r="V267" s="24">
        <v>1</v>
      </c>
      <c r="W267" s="24">
        <v>3</v>
      </c>
      <c r="X267" s="24">
        <v>1</v>
      </c>
      <c r="Y267" s="24">
        <v>0</v>
      </c>
      <c r="Z267" s="24">
        <v>0</v>
      </c>
      <c r="AA267" s="24">
        <v>1</v>
      </c>
      <c r="AB267" s="24">
        <v>0</v>
      </c>
      <c r="AC267" s="24">
        <v>0</v>
      </c>
      <c r="AD267" s="24">
        <v>0</v>
      </c>
      <c r="AE267" s="24">
        <v>1</v>
      </c>
      <c r="AF267" s="24">
        <v>0</v>
      </c>
      <c r="AG267" s="24">
        <v>0</v>
      </c>
      <c r="AH267" s="24">
        <v>0</v>
      </c>
      <c r="AI267" s="24">
        <v>0</v>
      </c>
      <c r="AJ267" s="24">
        <v>1</v>
      </c>
      <c r="AK267" s="24">
        <v>1</v>
      </c>
      <c r="AL267" s="24">
        <v>0</v>
      </c>
      <c r="AM267" s="24">
        <v>0</v>
      </c>
      <c r="AN267" s="24">
        <v>0</v>
      </c>
      <c r="AO267" s="24">
        <v>0</v>
      </c>
      <c r="AP267" s="24">
        <v>0</v>
      </c>
      <c r="AQ267" s="24">
        <v>0</v>
      </c>
      <c r="AR267" s="24">
        <v>0</v>
      </c>
      <c r="AS267" s="24">
        <v>0</v>
      </c>
      <c r="AT267" s="24">
        <v>1</v>
      </c>
      <c r="AU267" s="24">
        <v>0</v>
      </c>
      <c r="AV267" s="24">
        <v>0</v>
      </c>
      <c r="AW267" s="24">
        <v>0</v>
      </c>
      <c r="AX267" s="24">
        <v>1</v>
      </c>
      <c r="AY267" s="24">
        <v>0</v>
      </c>
      <c r="AZ267" s="24">
        <v>0</v>
      </c>
      <c r="BA267" s="24">
        <v>1</v>
      </c>
      <c r="BB267" s="24">
        <v>0</v>
      </c>
    </row>
    <row r="268" spans="2:54" ht="13.8" x14ac:dyDescent="0.3">
      <c r="B268" s="24">
        <v>248</v>
      </c>
      <c r="C268" s="24">
        <v>6</v>
      </c>
      <c r="D268" s="24">
        <v>1</v>
      </c>
      <c r="E268" s="24">
        <v>0</v>
      </c>
      <c r="F268" s="24">
        <v>0</v>
      </c>
      <c r="G268" s="24">
        <v>0</v>
      </c>
      <c r="H268" s="24">
        <v>0</v>
      </c>
      <c r="I268" s="24">
        <v>0</v>
      </c>
      <c r="J268" s="24">
        <v>1204</v>
      </c>
      <c r="K268" s="24">
        <v>4</v>
      </c>
      <c r="L268" s="24">
        <v>0</v>
      </c>
      <c r="M268" s="24">
        <v>1</v>
      </c>
      <c r="N268" s="24">
        <v>0</v>
      </c>
      <c r="O268" s="24">
        <v>0</v>
      </c>
      <c r="P268" s="24">
        <v>0</v>
      </c>
      <c r="Q268" s="24">
        <v>0</v>
      </c>
      <c r="R268" s="24">
        <v>1</v>
      </c>
      <c r="S268" s="24">
        <v>35</v>
      </c>
      <c r="T268" s="24">
        <v>1</v>
      </c>
      <c r="U268" s="24">
        <v>1</v>
      </c>
      <c r="V268" s="24">
        <v>0</v>
      </c>
      <c r="W268" s="24">
        <v>1</v>
      </c>
      <c r="X268" s="24">
        <v>1</v>
      </c>
      <c r="Y268" s="24">
        <v>0</v>
      </c>
      <c r="Z268" s="24">
        <v>1</v>
      </c>
      <c r="AA268" s="24">
        <v>1</v>
      </c>
      <c r="AB268" s="24">
        <v>0</v>
      </c>
      <c r="AC268" s="24">
        <v>0</v>
      </c>
      <c r="AD268" s="24">
        <v>0</v>
      </c>
      <c r="AE268" s="24">
        <v>1</v>
      </c>
      <c r="AF268" s="24">
        <v>1</v>
      </c>
      <c r="AG268" s="24">
        <v>0</v>
      </c>
      <c r="AH268" s="24">
        <v>0</v>
      </c>
      <c r="AI268" s="24">
        <v>0</v>
      </c>
      <c r="AJ268" s="24">
        <v>0</v>
      </c>
      <c r="AK268" s="24">
        <v>0</v>
      </c>
      <c r="AL268" s="24">
        <v>1</v>
      </c>
      <c r="AM268" s="24">
        <v>0</v>
      </c>
      <c r="AN268" s="24">
        <v>0</v>
      </c>
      <c r="AO268" s="24">
        <v>0</v>
      </c>
      <c r="AP268" s="24">
        <v>0</v>
      </c>
      <c r="AQ268" s="24">
        <v>0</v>
      </c>
      <c r="AR268" s="24">
        <v>1</v>
      </c>
      <c r="AS268" s="24">
        <v>0</v>
      </c>
      <c r="AT268" s="24">
        <v>0</v>
      </c>
      <c r="AU268" s="24">
        <v>1</v>
      </c>
      <c r="AV268" s="24">
        <v>0</v>
      </c>
      <c r="AW268" s="24">
        <v>0</v>
      </c>
      <c r="AX268" s="24">
        <v>0</v>
      </c>
      <c r="AY268" s="24">
        <v>0</v>
      </c>
      <c r="AZ268" s="24">
        <v>0</v>
      </c>
      <c r="BA268" s="24">
        <v>1</v>
      </c>
      <c r="BB268" s="24">
        <v>0</v>
      </c>
    </row>
    <row r="269" spans="2:54" ht="13.8" x14ac:dyDescent="0.3">
      <c r="B269" s="24">
        <v>249</v>
      </c>
      <c r="C269" s="24">
        <v>24</v>
      </c>
      <c r="D269" s="24">
        <v>0</v>
      </c>
      <c r="E269" s="24">
        <v>0</v>
      </c>
      <c r="F269" s="24">
        <v>1</v>
      </c>
      <c r="G269" s="24">
        <v>0</v>
      </c>
      <c r="H269" s="24">
        <v>0</v>
      </c>
      <c r="I269" s="24">
        <v>0</v>
      </c>
      <c r="J269" s="24">
        <v>1925</v>
      </c>
      <c r="K269" s="24">
        <v>2</v>
      </c>
      <c r="L269" s="24">
        <v>0</v>
      </c>
      <c r="M269" s="24">
        <v>1</v>
      </c>
      <c r="N269" s="24">
        <v>0</v>
      </c>
      <c r="O269" s="24">
        <v>0</v>
      </c>
      <c r="P269" s="24">
        <v>0</v>
      </c>
      <c r="Q269" s="24">
        <v>1</v>
      </c>
      <c r="R269" s="24">
        <v>0</v>
      </c>
      <c r="S269" s="24">
        <v>26</v>
      </c>
      <c r="T269" s="24">
        <v>0</v>
      </c>
      <c r="U269" s="24">
        <v>0</v>
      </c>
      <c r="V269" s="24">
        <v>1</v>
      </c>
      <c r="W269" s="24">
        <v>1</v>
      </c>
      <c r="X269" s="24">
        <v>1</v>
      </c>
      <c r="Y269" s="24">
        <v>0</v>
      </c>
      <c r="Z269" s="24">
        <v>0</v>
      </c>
      <c r="AA269" s="24">
        <v>1</v>
      </c>
      <c r="AB269" s="24">
        <v>0</v>
      </c>
      <c r="AC269" s="24">
        <v>0</v>
      </c>
      <c r="AD269" s="24">
        <v>1</v>
      </c>
      <c r="AE269" s="24">
        <v>0</v>
      </c>
      <c r="AF269" s="24">
        <v>0</v>
      </c>
      <c r="AG269" s="24">
        <v>0</v>
      </c>
      <c r="AH269" s="24">
        <v>1</v>
      </c>
      <c r="AI269" s="24">
        <v>0</v>
      </c>
      <c r="AJ269" s="24">
        <v>0</v>
      </c>
      <c r="AK269" s="24">
        <v>1</v>
      </c>
      <c r="AL269" s="24">
        <v>0</v>
      </c>
      <c r="AM269" s="24">
        <v>0</v>
      </c>
      <c r="AN269" s="24">
        <v>0</v>
      </c>
      <c r="AO269" s="24">
        <v>0</v>
      </c>
      <c r="AP269" s="24">
        <v>0</v>
      </c>
      <c r="AQ269" s="24">
        <v>0</v>
      </c>
      <c r="AR269" s="24">
        <v>1</v>
      </c>
      <c r="AS269" s="24">
        <v>0</v>
      </c>
      <c r="AT269" s="24">
        <v>0</v>
      </c>
      <c r="AU269" s="24">
        <v>0</v>
      </c>
      <c r="AV269" s="24">
        <v>1</v>
      </c>
      <c r="AW269" s="24">
        <v>0</v>
      </c>
      <c r="AX269" s="24">
        <v>0</v>
      </c>
      <c r="AY269" s="24">
        <v>0</v>
      </c>
      <c r="AZ269" s="24">
        <v>0</v>
      </c>
      <c r="BA269" s="24">
        <v>1</v>
      </c>
      <c r="BB269" s="24">
        <v>0</v>
      </c>
    </row>
    <row r="270" spans="2:54" ht="13.8" x14ac:dyDescent="0.3">
      <c r="B270" s="24">
        <v>250</v>
      </c>
      <c r="C270" s="24">
        <v>18</v>
      </c>
      <c r="D270" s="24">
        <v>0</v>
      </c>
      <c r="E270" s="24">
        <v>0</v>
      </c>
      <c r="F270" s="24">
        <v>0</v>
      </c>
      <c r="G270" s="24">
        <v>1</v>
      </c>
      <c r="H270" s="24">
        <v>0</v>
      </c>
      <c r="I270" s="24">
        <v>0</v>
      </c>
      <c r="J270" s="24">
        <v>433</v>
      </c>
      <c r="K270" s="24">
        <v>3</v>
      </c>
      <c r="L270" s="24">
        <v>0</v>
      </c>
      <c r="M270" s="24">
        <v>0</v>
      </c>
      <c r="N270" s="24">
        <v>0</v>
      </c>
      <c r="O270" s="24">
        <v>1</v>
      </c>
      <c r="P270" s="24">
        <v>0</v>
      </c>
      <c r="Q270" s="24">
        <v>1</v>
      </c>
      <c r="R270" s="24">
        <v>0</v>
      </c>
      <c r="S270" s="24">
        <v>22</v>
      </c>
      <c r="T270" s="24">
        <v>0</v>
      </c>
      <c r="U270" s="24">
        <v>1</v>
      </c>
      <c r="V270" s="24">
        <v>0</v>
      </c>
      <c r="W270" s="24">
        <v>1</v>
      </c>
      <c r="X270" s="24">
        <v>1</v>
      </c>
      <c r="Y270" s="24">
        <v>0</v>
      </c>
      <c r="Z270" s="24">
        <v>0</v>
      </c>
      <c r="AA270" s="24">
        <v>0</v>
      </c>
      <c r="AB270" s="24">
        <v>0</v>
      </c>
      <c r="AC270" s="24">
        <v>0</v>
      </c>
      <c r="AD270" s="24">
        <v>0</v>
      </c>
      <c r="AE270" s="24">
        <v>1</v>
      </c>
      <c r="AF270" s="24">
        <v>0</v>
      </c>
      <c r="AG270" s="24">
        <v>0</v>
      </c>
      <c r="AH270" s="24">
        <v>1</v>
      </c>
      <c r="AI270" s="24">
        <v>0</v>
      </c>
      <c r="AJ270" s="24">
        <v>0</v>
      </c>
      <c r="AK270" s="24">
        <v>1</v>
      </c>
      <c r="AL270" s="24">
        <v>0</v>
      </c>
      <c r="AM270" s="24">
        <v>0</v>
      </c>
      <c r="AN270" s="24">
        <v>0</v>
      </c>
      <c r="AO270" s="24">
        <v>0</v>
      </c>
      <c r="AP270" s="24">
        <v>1</v>
      </c>
      <c r="AQ270" s="24">
        <v>0</v>
      </c>
      <c r="AR270" s="24">
        <v>0</v>
      </c>
      <c r="AS270" s="24">
        <v>0</v>
      </c>
      <c r="AT270" s="24">
        <v>0</v>
      </c>
      <c r="AU270" s="24">
        <v>0</v>
      </c>
      <c r="AV270" s="24">
        <v>0</v>
      </c>
      <c r="AW270" s="24">
        <v>0</v>
      </c>
      <c r="AX270" s="24">
        <v>1</v>
      </c>
      <c r="AY270" s="24">
        <v>0</v>
      </c>
      <c r="AZ270" s="24">
        <v>0</v>
      </c>
      <c r="BA270" s="24">
        <v>1</v>
      </c>
      <c r="BB270" s="24">
        <v>0</v>
      </c>
    </row>
    <row r="271" spans="2:54" ht="13.8" x14ac:dyDescent="0.3">
      <c r="B271" s="24">
        <v>251</v>
      </c>
      <c r="C271" s="24">
        <v>6</v>
      </c>
      <c r="D271" s="24">
        <v>1</v>
      </c>
      <c r="E271" s="24">
        <v>0</v>
      </c>
      <c r="F271" s="24">
        <v>0</v>
      </c>
      <c r="G271" s="24">
        <v>0</v>
      </c>
      <c r="H271" s="24">
        <v>0</v>
      </c>
      <c r="I271" s="24">
        <v>0</v>
      </c>
      <c r="J271" s="24">
        <v>666</v>
      </c>
      <c r="K271" s="24">
        <v>3</v>
      </c>
      <c r="L271" s="24">
        <v>0</v>
      </c>
      <c r="M271" s="24">
        <v>0</v>
      </c>
      <c r="N271" s="24">
        <v>0</v>
      </c>
      <c r="O271" s="24">
        <v>0</v>
      </c>
      <c r="P271" s="24">
        <v>0</v>
      </c>
      <c r="Q271" s="24">
        <v>1</v>
      </c>
      <c r="R271" s="24">
        <v>0</v>
      </c>
      <c r="S271" s="24">
        <v>39</v>
      </c>
      <c r="T271" s="24">
        <v>0</v>
      </c>
      <c r="U271" s="24">
        <v>0</v>
      </c>
      <c r="V271" s="24">
        <v>1</v>
      </c>
      <c r="W271" s="24">
        <v>2</v>
      </c>
      <c r="X271" s="24">
        <v>1</v>
      </c>
      <c r="Y271" s="24">
        <v>1</v>
      </c>
      <c r="Z271" s="24">
        <v>0</v>
      </c>
      <c r="AA271" s="24">
        <v>1</v>
      </c>
      <c r="AB271" s="24">
        <v>1</v>
      </c>
      <c r="AC271" s="24">
        <v>0</v>
      </c>
      <c r="AD271" s="24">
        <v>0</v>
      </c>
      <c r="AE271" s="24">
        <v>0</v>
      </c>
      <c r="AF271" s="24">
        <v>0</v>
      </c>
      <c r="AG271" s="24">
        <v>0</v>
      </c>
      <c r="AH271" s="24">
        <v>0</v>
      </c>
      <c r="AI271" s="24">
        <v>0</v>
      </c>
      <c r="AJ271" s="24">
        <v>1</v>
      </c>
      <c r="AK271" s="24">
        <v>0</v>
      </c>
      <c r="AL271" s="24">
        <v>0</v>
      </c>
      <c r="AM271" s="24">
        <v>0</v>
      </c>
      <c r="AN271" s="24">
        <v>1</v>
      </c>
      <c r="AO271" s="24">
        <v>0</v>
      </c>
      <c r="AP271" s="24">
        <v>0</v>
      </c>
      <c r="AQ271" s="24">
        <v>0</v>
      </c>
      <c r="AR271" s="24">
        <v>0</v>
      </c>
      <c r="AS271" s="24">
        <v>1</v>
      </c>
      <c r="AT271" s="24">
        <v>0</v>
      </c>
      <c r="AU271" s="24">
        <v>0</v>
      </c>
      <c r="AV271" s="24">
        <v>0</v>
      </c>
      <c r="AW271" s="24">
        <v>0</v>
      </c>
      <c r="AX271" s="24">
        <v>1</v>
      </c>
      <c r="AY271" s="24">
        <v>0</v>
      </c>
      <c r="AZ271" s="24">
        <v>1</v>
      </c>
      <c r="BA271" s="24">
        <v>0</v>
      </c>
      <c r="BB271" s="24">
        <v>0</v>
      </c>
    </row>
    <row r="272" spans="2:54" ht="13.8" x14ac:dyDescent="0.3">
      <c r="B272" s="24">
        <v>252</v>
      </c>
      <c r="C272" s="24">
        <v>12</v>
      </c>
      <c r="D272" s="24">
        <v>0</v>
      </c>
      <c r="E272" s="24">
        <v>0</v>
      </c>
      <c r="F272" s="24">
        <v>1</v>
      </c>
      <c r="G272" s="24">
        <v>0</v>
      </c>
      <c r="H272" s="24">
        <v>0</v>
      </c>
      <c r="I272" s="24">
        <v>0</v>
      </c>
      <c r="J272" s="24">
        <v>2251</v>
      </c>
      <c r="K272" s="24">
        <v>1</v>
      </c>
      <c r="L272" s="24">
        <v>0</v>
      </c>
      <c r="M272" s="24">
        <v>0</v>
      </c>
      <c r="N272" s="24">
        <v>0</v>
      </c>
      <c r="O272" s="24">
        <v>0</v>
      </c>
      <c r="P272" s="24">
        <v>0</v>
      </c>
      <c r="Q272" s="24">
        <v>0</v>
      </c>
      <c r="R272" s="24">
        <v>0</v>
      </c>
      <c r="S272" s="24">
        <v>46</v>
      </c>
      <c r="T272" s="24">
        <v>0</v>
      </c>
      <c r="U272" s="24">
        <v>0</v>
      </c>
      <c r="V272" s="24">
        <v>1</v>
      </c>
      <c r="W272" s="24">
        <v>1</v>
      </c>
      <c r="X272" s="24">
        <v>1</v>
      </c>
      <c r="Y272" s="24">
        <v>0</v>
      </c>
      <c r="Z272" s="24">
        <v>0</v>
      </c>
      <c r="AA272" s="24">
        <v>1</v>
      </c>
      <c r="AB272" s="24">
        <v>0</v>
      </c>
      <c r="AC272" s="24">
        <v>0</v>
      </c>
      <c r="AD272" s="24">
        <v>1</v>
      </c>
      <c r="AE272" s="24">
        <v>0</v>
      </c>
      <c r="AF272" s="24">
        <v>0</v>
      </c>
      <c r="AG272" s="24">
        <v>0</v>
      </c>
      <c r="AH272" s="24">
        <v>1</v>
      </c>
      <c r="AI272" s="24">
        <v>0</v>
      </c>
      <c r="AJ272" s="24">
        <v>0</v>
      </c>
      <c r="AK272" s="24">
        <v>1</v>
      </c>
      <c r="AL272" s="24">
        <v>0</v>
      </c>
      <c r="AM272" s="24">
        <v>0</v>
      </c>
      <c r="AN272" s="24">
        <v>0</v>
      </c>
      <c r="AO272" s="24">
        <v>0</v>
      </c>
      <c r="AP272" s="24">
        <v>0</v>
      </c>
      <c r="AQ272" s="24">
        <v>0</v>
      </c>
      <c r="AR272" s="24">
        <v>1</v>
      </c>
      <c r="AS272" s="24">
        <v>0</v>
      </c>
      <c r="AT272" s="24">
        <v>0</v>
      </c>
      <c r="AU272" s="24">
        <v>0</v>
      </c>
      <c r="AV272" s="24">
        <v>1</v>
      </c>
      <c r="AW272" s="24">
        <v>0</v>
      </c>
      <c r="AX272" s="24">
        <v>0</v>
      </c>
      <c r="AY272" s="24">
        <v>0</v>
      </c>
      <c r="AZ272" s="24">
        <v>1</v>
      </c>
      <c r="BA272" s="24">
        <v>0</v>
      </c>
      <c r="BB272" s="24">
        <v>0</v>
      </c>
    </row>
    <row r="273" spans="2:54" ht="13.8" x14ac:dyDescent="0.3">
      <c r="B273" s="24">
        <v>253</v>
      </c>
      <c r="C273" s="24">
        <v>30</v>
      </c>
      <c r="D273" s="24">
        <v>1</v>
      </c>
      <c r="E273" s="24">
        <v>0</v>
      </c>
      <c r="F273" s="24">
        <v>0</v>
      </c>
      <c r="G273" s="24">
        <v>0</v>
      </c>
      <c r="H273" s="24">
        <v>0</v>
      </c>
      <c r="I273" s="24">
        <v>0</v>
      </c>
      <c r="J273" s="24">
        <v>2150</v>
      </c>
      <c r="K273" s="24">
        <v>4</v>
      </c>
      <c r="L273" s="24">
        <v>0</v>
      </c>
      <c r="M273" s="24">
        <v>0</v>
      </c>
      <c r="N273" s="24">
        <v>0</v>
      </c>
      <c r="O273" s="24">
        <v>0</v>
      </c>
      <c r="P273" s="24">
        <v>1</v>
      </c>
      <c r="Q273" s="24">
        <v>0</v>
      </c>
      <c r="R273" s="24">
        <v>1</v>
      </c>
      <c r="S273" s="24">
        <v>24</v>
      </c>
      <c r="T273" s="24">
        <v>1</v>
      </c>
      <c r="U273" s="24">
        <v>0</v>
      </c>
      <c r="V273" s="24">
        <v>1</v>
      </c>
      <c r="W273" s="24">
        <v>1</v>
      </c>
      <c r="X273" s="24">
        <v>1</v>
      </c>
      <c r="Y273" s="24">
        <v>0</v>
      </c>
      <c r="Z273" s="24">
        <v>0</v>
      </c>
      <c r="AA273" s="24">
        <v>0</v>
      </c>
      <c r="AB273" s="24">
        <v>0</v>
      </c>
      <c r="AC273" s="24">
        <v>1</v>
      </c>
      <c r="AD273" s="24">
        <v>0</v>
      </c>
      <c r="AE273" s="24">
        <v>0</v>
      </c>
      <c r="AF273" s="24">
        <v>0</v>
      </c>
      <c r="AG273" s="24">
        <v>0</v>
      </c>
      <c r="AH273" s="24">
        <v>1</v>
      </c>
      <c r="AI273" s="24">
        <v>0</v>
      </c>
      <c r="AJ273" s="24">
        <v>0</v>
      </c>
      <c r="AK273" s="24">
        <v>1</v>
      </c>
      <c r="AL273" s="24">
        <v>0</v>
      </c>
      <c r="AM273" s="24">
        <v>0</v>
      </c>
      <c r="AN273" s="24">
        <v>0</v>
      </c>
      <c r="AO273" s="24">
        <v>0</v>
      </c>
      <c r="AP273" s="24">
        <v>0</v>
      </c>
      <c r="AQ273" s="24">
        <v>0</v>
      </c>
      <c r="AR273" s="24">
        <v>1</v>
      </c>
      <c r="AS273" s="24">
        <v>0</v>
      </c>
      <c r="AT273" s="24">
        <v>0</v>
      </c>
      <c r="AU273" s="24">
        <v>0</v>
      </c>
      <c r="AV273" s="24">
        <v>1</v>
      </c>
      <c r="AW273" s="24">
        <v>0</v>
      </c>
      <c r="AX273" s="24">
        <v>0</v>
      </c>
      <c r="AY273" s="24">
        <v>0</v>
      </c>
      <c r="AZ273" s="24">
        <v>0</v>
      </c>
      <c r="BA273" s="24">
        <v>1</v>
      </c>
      <c r="BB273" s="24">
        <v>0</v>
      </c>
    </row>
    <row r="274" spans="2:54" ht="13.8" x14ac:dyDescent="0.3">
      <c r="B274" s="24">
        <v>254</v>
      </c>
      <c r="C274" s="24">
        <v>24</v>
      </c>
      <c r="D274" s="24">
        <v>0</v>
      </c>
      <c r="E274" s="24">
        <v>0</v>
      </c>
      <c r="F274" s="24">
        <v>1</v>
      </c>
      <c r="G274" s="24">
        <v>0</v>
      </c>
      <c r="H274" s="24">
        <v>0</v>
      </c>
      <c r="I274" s="24">
        <v>0</v>
      </c>
      <c r="J274" s="24">
        <v>4151</v>
      </c>
      <c r="K274" s="24">
        <v>2</v>
      </c>
      <c r="L274" s="24">
        <v>0</v>
      </c>
      <c r="M274" s="24">
        <v>1</v>
      </c>
      <c r="N274" s="24">
        <v>0</v>
      </c>
      <c r="O274" s="24">
        <v>0</v>
      </c>
      <c r="P274" s="24">
        <v>0</v>
      </c>
      <c r="Q274" s="24">
        <v>0</v>
      </c>
      <c r="R274" s="24">
        <v>0</v>
      </c>
      <c r="S274" s="24">
        <v>35</v>
      </c>
      <c r="T274" s="24">
        <v>0</v>
      </c>
      <c r="U274" s="24">
        <v>0</v>
      </c>
      <c r="V274" s="24">
        <v>1</v>
      </c>
      <c r="W274" s="24">
        <v>2</v>
      </c>
      <c r="X274" s="24">
        <v>1</v>
      </c>
      <c r="Y274" s="24">
        <v>0</v>
      </c>
      <c r="Z274" s="24">
        <v>0</v>
      </c>
      <c r="AA274" s="24">
        <v>1</v>
      </c>
      <c r="AB274" s="24">
        <v>0</v>
      </c>
      <c r="AC274" s="24">
        <v>0</v>
      </c>
      <c r="AD274" s="24">
        <v>0</v>
      </c>
      <c r="AE274" s="24">
        <v>1</v>
      </c>
      <c r="AF274" s="24">
        <v>0</v>
      </c>
      <c r="AG274" s="24">
        <v>0</v>
      </c>
      <c r="AH274" s="24">
        <v>0</v>
      </c>
      <c r="AI274" s="24">
        <v>1</v>
      </c>
      <c r="AJ274" s="24">
        <v>0</v>
      </c>
      <c r="AK274" s="24">
        <v>0</v>
      </c>
      <c r="AL274" s="24">
        <v>1</v>
      </c>
      <c r="AM274" s="24">
        <v>0</v>
      </c>
      <c r="AN274" s="24">
        <v>0</v>
      </c>
      <c r="AO274" s="24">
        <v>0</v>
      </c>
      <c r="AP274" s="24">
        <v>0</v>
      </c>
      <c r="AQ274" s="24">
        <v>0</v>
      </c>
      <c r="AR274" s="24">
        <v>1</v>
      </c>
      <c r="AS274" s="24">
        <v>0</v>
      </c>
      <c r="AT274" s="24">
        <v>0</v>
      </c>
      <c r="AU274" s="24">
        <v>0</v>
      </c>
      <c r="AV274" s="24">
        <v>0</v>
      </c>
      <c r="AW274" s="24">
        <v>1</v>
      </c>
      <c r="AX274" s="24">
        <v>0</v>
      </c>
      <c r="AY274" s="24">
        <v>0</v>
      </c>
      <c r="AZ274" s="24">
        <v>0</v>
      </c>
      <c r="BA274" s="24">
        <v>1</v>
      </c>
      <c r="BB274" s="24">
        <v>0</v>
      </c>
    </row>
    <row r="275" spans="2:54" ht="13.8" x14ac:dyDescent="0.3">
      <c r="B275" s="24">
        <v>255</v>
      </c>
      <c r="C275" s="24">
        <v>9</v>
      </c>
      <c r="D275" s="24">
        <v>0</v>
      </c>
      <c r="E275" s="24">
        <v>0</v>
      </c>
      <c r="F275" s="24">
        <v>1</v>
      </c>
      <c r="G275" s="24">
        <v>0</v>
      </c>
      <c r="H275" s="24">
        <v>0</v>
      </c>
      <c r="I275" s="24">
        <v>0</v>
      </c>
      <c r="J275" s="24">
        <v>2030</v>
      </c>
      <c r="K275" s="24">
        <v>2</v>
      </c>
      <c r="L275" s="24">
        <v>0</v>
      </c>
      <c r="M275" s="24">
        <v>1</v>
      </c>
      <c r="N275" s="24">
        <v>0</v>
      </c>
      <c r="O275" s="24">
        <v>0</v>
      </c>
      <c r="P275" s="24">
        <v>0</v>
      </c>
      <c r="Q275" s="24">
        <v>0</v>
      </c>
      <c r="R275" s="24">
        <v>0</v>
      </c>
      <c r="S275" s="24">
        <v>24</v>
      </c>
      <c r="T275" s="24">
        <v>0</v>
      </c>
      <c r="U275" s="24">
        <v>0</v>
      </c>
      <c r="V275" s="24">
        <v>1</v>
      </c>
      <c r="W275" s="24">
        <v>1</v>
      </c>
      <c r="X275" s="24">
        <v>1</v>
      </c>
      <c r="Y275" s="24">
        <v>1</v>
      </c>
      <c r="Z275" s="24">
        <v>0</v>
      </c>
      <c r="AA275" s="24">
        <v>1</v>
      </c>
      <c r="AB275" s="24">
        <v>0</v>
      </c>
      <c r="AC275" s="24">
        <v>1</v>
      </c>
      <c r="AD275" s="24">
        <v>0</v>
      </c>
      <c r="AE275" s="24">
        <v>0</v>
      </c>
      <c r="AF275" s="24">
        <v>0</v>
      </c>
      <c r="AG275" s="24">
        <v>0</v>
      </c>
      <c r="AH275" s="24">
        <v>1</v>
      </c>
      <c r="AI275" s="24">
        <v>0</v>
      </c>
      <c r="AJ275" s="24">
        <v>0</v>
      </c>
      <c r="AK275" s="24">
        <v>0</v>
      </c>
      <c r="AL275" s="24">
        <v>0</v>
      </c>
      <c r="AM275" s="24">
        <v>0</v>
      </c>
      <c r="AN275" s="24">
        <v>0</v>
      </c>
      <c r="AO275" s="24">
        <v>1</v>
      </c>
      <c r="AP275" s="24">
        <v>0</v>
      </c>
      <c r="AQ275" s="24">
        <v>0</v>
      </c>
      <c r="AR275" s="24">
        <v>0</v>
      </c>
      <c r="AS275" s="24">
        <v>1</v>
      </c>
      <c r="AT275" s="24">
        <v>0</v>
      </c>
      <c r="AU275" s="24">
        <v>1</v>
      </c>
      <c r="AV275" s="24">
        <v>0</v>
      </c>
      <c r="AW275" s="24">
        <v>0</v>
      </c>
      <c r="AX275" s="24">
        <v>0</v>
      </c>
      <c r="AY275" s="24">
        <v>0</v>
      </c>
      <c r="AZ275" s="24">
        <v>0</v>
      </c>
      <c r="BA275" s="24">
        <v>1</v>
      </c>
      <c r="BB275" s="24">
        <v>0</v>
      </c>
    </row>
    <row r="276" spans="2:54" ht="13.8" x14ac:dyDescent="0.3">
      <c r="B276" s="24">
        <v>256</v>
      </c>
      <c r="C276" s="24">
        <v>60</v>
      </c>
      <c r="D276" s="24">
        <v>0</v>
      </c>
      <c r="E276" s="24">
        <v>0</v>
      </c>
      <c r="F276" s="24">
        <v>0</v>
      </c>
      <c r="G276" s="24">
        <v>1</v>
      </c>
      <c r="H276" s="24">
        <v>0</v>
      </c>
      <c r="I276" s="24">
        <v>0</v>
      </c>
      <c r="J276" s="24">
        <v>7418</v>
      </c>
      <c r="K276" s="24">
        <v>1</v>
      </c>
      <c r="L276" s="24">
        <v>0</v>
      </c>
      <c r="M276" s="24">
        <v>1</v>
      </c>
      <c r="N276" s="24">
        <v>0</v>
      </c>
      <c r="O276" s="24">
        <v>0</v>
      </c>
      <c r="P276" s="24">
        <v>0</v>
      </c>
      <c r="Q276" s="24">
        <v>1</v>
      </c>
      <c r="R276" s="24">
        <v>0</v>
      </c>
      <c r="S276" s="24">
        <v>27</v>
      </c>
      <c r="T276" s="24">
        <v>0</v>
      </c>
      <c r="U276" s="24">
        <v>0</v>
      </c>
      <c r="V276" s="24">
        <v>1</v>
      </c>
      <c r="W276" s="24">
        <v>1</v>
      </c>
      <c r="X276" s="24">
        <v>1</v>
      </c>
      <c r="Y276" s="24">
        <v>0</v>
      </c>
      <c r="Z276" s="24">
        <v>0</v>
      </c>
      <c r="AA276" s="24">
        <v>1</v>
      </c>
      <c r="AB276" s="24">
        <v>0</v>
      </c>
      <c r="AC276" s="24">
        <v>1</v>
      </c>
      <c r="AD276" s="24">
        <v>0</v>
      </c>
      <c r="AE276" s="24">
        <v>0</v>
      </c>
      <c r="AF276" s="24">
        <v>0</v>
      </c>
      <c r="AG276" s="24">
        <v>0</v>
      </c>
      <c r="AH276" s="24">
        <v>0</v>
      </c>
      <c r="AI276" s="24">
        <v>1</v>
      </c>
      <c r="AJ276" s="24">
        <v>0</v>
      </c>
      <c r="AK276" s="24">
        <v>0</v>
      </c>
      <c r="AL276" s="24">
        <v>0</v>
      </c>
      <c r="AM276" s="24">
        <v>0</v>
      </c>
      <c r="AN276" s="24">
        <v>0</v>
      </c>
      <c r="AO276" s="24">
        <v>1</v>
      </c>
      <c r="AP276" s="24">
        <v>0</v>
      </c>
      <c r="AQ276" s="24">
        <v>0</v>
      </c>
      <c r="AR276" s="24">
        <v>1</v>
      </c>
      <c r="AS276" s="24">
        <v>0</v>
      </c>
      <c r="AT276" s="24">
        <v>0</v>
      </c>
      <c r="AU276" s="24">
        <v>1</v>
      </c>
      <c r="AV276" s="24">
        <v>0</v>
      </c>
      <c r="AW276" s="24">
        <v>0</v>
      </c>
      <c r="AX276" s="24">
        <v>0</v>
      </c>
      <c r="AY276" s="24">
        <v>0</v>
      </c>
      <c r="AZ276" s="24">
        <v>1</v>
      </c>
      <c r="BA276" s="24">
        <v>0</v>
      </c>
      <c r="BB276" s="24">
        <v>0</v>
      </c>
    </row>
    <row r="277" spans="2:54" ht="13.8" x14ac:dyDescent="0.3">
      <c r="B277" s="24">
        <v>257</v>
      </c>
      <c r="C277" s="24">
        <v>24</v>
      </c>
      <c r="D277" s="24">
        <v>0</v>
      </c>
      <c r="E277" s="24">
        <v>0</v>
      </c>
      <c r="F277" s="24">
        <v>0</v>
      </c>
      <c r="G277" s="24">
        <v>1</v>
      </c>
      <c r="H277" s="24">
        <v>0</v>
      </c>
      <c r="I277" s="24">
        <v>0</v>
      </c>
      <c r="J277" s="24">
        <v>2684</v>
      </c>
      <c r="K277" s="24">
        <v>4</v>
      </c>
      <c r="L277" s="24">
        <v>0</v>
      </c>
      <c r="M277" s="24">
        <v>1</v>
      </c>
      <c r="N277" s="24">
        <v>0</v>
      </c>
      <c r="O277" s="24">
        <v>0</v>
      </c>
      <c r="P277" s="24">
        <v>0</v>
      </c>
      <c r="Q277" s="24">
        <v>1</v>
      </c>
      <c r="R277" s="24">
        <v>0</v>
      </c>
      <c r="S277" s="24">
        <v>35</v>
      </c>
      <c r="T277" s="24">
        <v>0</v>
      </c>
      <c r="U277" s="24">
        <v>0</v>
      </c>
      <c r="V277" s="24">
        <v>1</v>
      </c>
      <c r="W277" s="24">
        <v>2</v>
      </c>
      <c r="X277" s="24">
        <v>1</v>
      </c>
      <c r="Y277" s="24">
        <v>0</v>
      </c>
      <c r="Z277" s="24">
        <v>0</v>
      </c>
      <c r="AA277" s="24">
        <v>1</v>
      </c>
      <c r="AB277" s="24">
        <v>0</v>
      </c>
      <c r="AC277" s="24">
        <v>0</v>
      </c>
      <c r="AD277" s="24">
        <v>0</v>
      </c>
      <c r="AE277" s="24">
        <v>1</v>
      </c>
      <c r="AF277" s="24">
        <v>0</v>
      </c>
      <c r="AG277" s="24">
        <v>0</v>
      </c>
      <c r="AH277" s="24">
        <v>0</v>
      </c>
      <c r="AI277" s="24">
        <v>0</v>
      </c>
      <c r="AJ277" s="24">
        <v>1</v>
      </c>
      <c r="AK277" s="24">
        <v>1</v>
      </c>
      <c r="AL277" s="24">
        <v>0</v>
      </c>
      <c r="AM277" s="24">
        <v>0</v>
      </c>
      <c r="AN277" s="24">
        <v>0</v>
      </c>
      <c r="AO277" s="24">
        <v>0</v>
      </c>
      <c r="AP277" s="24">
        <v>0</v>
      </c>
      <c r="AQ277" s="24">
        <v>0</v>
      </c>
      <c r="AR277" s="24">
        <v>1</v>
      </c>
      <c r="AS277" s="24">
        <v>0</v>
      </c>
      <c r="AT277" s="24">
        <v>0</v>
      </c>
      <c r="AU277" s="24">
        <v>0</v>
      </c>
      <c r="AV277" s="24">
        <v>1</v>
      </c>
      <c r="AW277" s="24">
        <v>0</v>
      </c>
      <c r="AX277" s="24">
        <v>0</v>
      </c>
      <c r="AY277" s="24">
        <v>0</v>
      </c>
      <c r="AZ277" s="24">
        <v>1</v>
      </c>
      <c r="BA277" s="24">
        <v>0</v>
      </c>
      <c r="BB277" s="24">
        <v>0</v>
      </c>
    </row>
    <row r="278" spans="2:54" ht="13.8" x14ac:dyDescent="0.3">
      <c r="B278" s="24">
        <v>258</v>
      </c>
      <c r="C278" s="24">
        <v>12</v>
      </c>
      <c r="D278" s="24">
        <v>0</v>
      </c>
      <c r="E278" s="24">
        <v>0</v>
      </c>
      <c r="F278" s="24">
        <v>0</v>
      </c>
      <c r="G278" s="24">
        <v>1</v>
      </c>
      <c r="H278" s="24">
        <v>0</v>
      </c>
      <c r="I278" s="24">
        <v>0</v>
      </c>
      <c r="J278" s="24">
        <v>2149</v>
      </c>
      <c r="K278" s="24">
        <v>4</v>
      </c>
      <c r="L278" s="24">
        <v>1</v>
      </c>
      <c r="M278" s="24">
        <v>0</v>
      </c>
      <c r="N278" s="24">
        <v>0</v>
      </c>
      <c r="O278" s="24">
        <v>0</v>
      </c>
      <c r="P278" s="24">
        <v>0</v>
      </c>
      <c r="Q278" s="24">
        <v>0</v>
      </c>
      <c r="R278" s="24">
        <v>1</v>
      </c>
      <c r="S278" s="24">
        <v>29</v>
      </c>
      <c r="T278" s="24">
        <v>0</v>
      </c>
      <c r="U278" s="24">
        <v>0</v>
      </c>
      <c r="V278" s="24">
        <v>0</v>
      </c>
      <c r="W278" s="24">
        <v>1</v>
      </c>
      <c r="X278" s="24">
        <v>1</v>
      </c>
      <c r="Y278" s="24">
        <v>0</v>
      </c>
      <c r="Z278" s="24">
        <v>0</v>
      </c>
      <c r="AA278" s="24">
        <v>0</v>
      </c>
      <c r="AB278" s="24">
        <v>1</v>
      </c>
      <c r="AC278" s="24">
        <v>0</v>
      </c>
      <c r="AD278" s="24">
        <v>0</v>
      </c>
      <c r="AE278" s="24">
        <v>0</v>
      </c>
      <c r="AF278" s="24">
        <v>0</v>
      </c>
      <c r="AG278" s="24">
        <v>1</v>
      </c>
      <c r="AH278" s="24">
        <v>0</v>
      </c>
      <c r="AI278" s="24">
        <v>0</v>
      </c>
      <c r="AJ278" s="24">
        <v>0</v>
      </c>
      <c r="AK278" s="24">
        <v>1</v>
      </c>
      <c r="AL278" s="24">
        <v>0</v>
      </c>
      <c r="AM278" s="24">
        <v>0</v>
      </c>
      <c r="AN278" s="24">
        <v>0</v>
      </c>
      <c r="AO278" s="24">
        <v>0</v>
      </c>
      <c r="AP278" s="24">
        <v>0</v>
      </c>
      <c r="AQ278" s="24">
        <v>0</v>
      </c>
      <c r="AR278" s="24">
        <v>1</v>
      </c>
      <c r="AS278" s="24">
        <v>0</v>
      </c>
      <c r="AT278" s="24">
        <v>0</v>
      </c>
      <c r="AU278" s="24">
        <v>1</v>
      </c>
      <c r="AV278" s="24">
        <v>0</v>
      </c>
      <c r="AW278" s="24">
        <v>0</v>
      </c>
      <c r="AX278" s="24">
        <v>0</v>
      </c>
      <c r="AY278" s="24">
        <v>0</v>
      </c>
      <c r="AZ278" s="24">
        <v>0</v>
      </c>
      <c r="BA278" s="24">
        <v>1</v>
      </c>
      <c r="BB278" s="24">
        <v>0</v>
      </c>
    </row>
    <row r="279" spans="2:54" ht="13.8" x14ac:dyDescent="0.3">
      <c r="B279" s="24">
        <v>259</v>
      </c>
      <c r="C279" s="24">
        <v>15</v>
      </c>
      <c r="D279" s="24">
        <v>0</v>
      </c>
      <c r="E279" s="24">
        <v>1</v>
      </c>
      <c r="F279" s="24">
        <v>0</v>
      </c>
      <c r="G279" s="24">
        <v>0</v>
      </c>
      <c r="H279" s="24">
        <v>0</v>
      </c>
      <c r="I279" s="24">
        <v>0</v>
      </c>
      <c r="J279" s="24">
        <v>3812</v>
      </c>
      <c r="K279" s="24">
        <v>1</v>
      </c>
      <c r="L279" s="24">
        <v>0</v>
      </c>
      <c r="M279" s="24">
        <v>0</v>
      </c>
      <c r="N279" s="24">
        <v>0</v>
      </c>
      <c r="O279" s="24">
        <v>0</v>
      </c>
      <c r="P279" s="24">
        <v>0</v>
      </c>
      <c r="Q279" s="24">
        <v>0</v>
      </c>
      <c r="R279" s="24">
        <v>0</v>
      </c>
      <c r="S279" s="24">
        <v>23</v>
      </c>
      <c r="T279" s="24">
        <v>0</v>
      </c>
      <c r="U279" s="24">
        <v>0</v>
      </c>
      <c r="V279" s="24">
        <v>1</v>
      </c>
      <c r="W279" s="24">
        <v>1</v>
      </c>
      <c r="X279" s="24">
        <v>1</v>
      </c>
      <c r="Y279" s="24">
        <v>1</v>
      </c>
      <c r="Z279" s="24">
        <v>0</v>
      </c>
      <c r="AA279" s="24">
        <v>1</v>
      </c>
      <c r="AB279" s="24">
        <v>0</v>
      </c>
      <c r="AC279" s="24">
        <v>0</v>
      </c>
      <c r="AD279" s="24">
        <v>0</v>
      </c>
      <c r="AE279" s="24">
        <v>1</v>
      </c>
      <c r="AF279" s="24">
        <v>0</v>
      </c>
      <c r="AG279" s="24">
        <v>0</v>
      </c>
      <c r="AH279" s="24">
        <v>1</v>
      </c>
      <c r="AI279" s="24">
        <v>0</v>
      </c>
      <c r="AJ279" s="24">
        <v>0</v>
      </c>
      <c r="AK279" s="24">
        <v>0</v>
      </c>
      <c r="AL279" s="24">
        <v>1</v>
      </c>
      <c r="AM279" s="24">
        <v>0</v>
      </c>
      <c r="AN279" s="24">
        <v>0</v>
      </c>
      <c r="AO279" s="24">
        <v>0</v>
      </c>
      <c r="AP279" s="24">
        <v>0</v>
      </c>
      <c r="AQ279" s="24">
        <v>1</v>
      </c>
      <c r="AR279" s="24">
        <v>0</v>
      </c>
      <c r="AS279" s="24">
        <v>0</v>
      </c>
      <c r="AT279" s="24">
        <v>0</v>
      </c>
      <c r="AU279" s="24">
        <v>0</v>
      </c>
      <c r="AV279" s="24">
        <v>0</v>
      </c>
      <c r="AW279" s="24">
        <v>0</v>
      </c>
      <c r="AX279" s="24">
        <v>1</v>
      </c>
      <c r="AY279" s="24">
        <v>0</v>
      </c>
      <c r="AZ279" s="24">
        <v>0</v>
      </c>
      <c r="BA279" s="24">
        <v>1</v>
      </c>
      <c r="BB279" s="24">
        <v>0</v>
      </c>
    </row>
    <row r="280" spans="2:54" ht="13.8" x14ac:dyDescent="0.3">
      <c r="B280" s="24">
        <v>260</v>
      </c>
      <c r="C280" s="24">
        <v>11</v>
      </c>
      <c r="D280" s="24">
        <v>0</v>
      </c>
      <c r="E280" s="24">
        <v>0</v>
      </c>
      <c r="F280" s="24">
        <v>0</v>
      </c>
      <c r="G280" s="24">
        <v>1</v>
      </c>
      <c r="H280" s="24">
        <v>0</v>
      </c>
      <c r="I280" s="24">
        <v>0</v>
      </c>
      <c r="J280" s="24">
        <v>1154</v>
      </c>
      <c r="K280" s="24">
        <v>4</v>
      </c>
      <c r="L280" s="24">
        <v>0</v>
      </c>
      <c r="M280" s="24">
        <v>0</v>
      </c>
      <c r="N280" s="24">
        <v>0</v>
      </c>
      <c r="O280" s="24">
        <v>0</v>
      </c>
      <c r="P280" s="24">
        <v>0</v>
      </c>
      <c r="Q280" s="24">
        <v>1</v>
      </c>
      <c r="R280" s="24">
        <v>0</v>
      </c>
      <c r="S280" s="24">
        <v>57</v>
      </c>
      <c r="T280" s="24">
        <v>0</v>
      </c>
      <c r="U280" s="24">
        <v>0</v>
      </c>
      <c r="V280" s="24">
        <v>1</v>
      </c>
      <c r="W280" s="24">
        <v>3</v>
      </c>
      <c r="X280" s="24">
        <v>1</v>
      </c>
      <c r="Y280" s="24">
        <v>0</v>
      </c>
      <c r="Z280" s="24">
        <v>0</v>
      </c>
      <c r="AA280" s="24">
        <v>1</v>
      </c>
      <c r="AB280" s="24">
        <v>0</v>
      </c>
      <c r="AC280" s="24">
        <v>0</v>
      </c>
      <c r="AD280" s="24">
        <v>0</v>
      </c>
      <c r="AE280" s="24">
        <v>1</v>
      </c>
      <c r="AF280" s="24">
        <v>0</v>
      </c>
      <c r="AG280" s="24">
        <v>0</v>
      </c>
      <c r="AH280" s="24">
        <v>0</v>
      </c>
      <c r="AI280" s="24">
        <v>0</v>
      </c>
      <c r="AJ280" s="24">
        <v>1</v>
      </c>
      <c r="AK280" s="24">
        <v>0</v>
      </c>
      <c r="AL280" s="24">
        <v>1</v>
      </c>
      <c r="AM280" s="24">
        <v>0</v>
      </c>
      <c r="AN280" s="24">
        <v>0</v>
      </c>
      <c r="AO280" s="24">
        <v>0</v>
      </c>
      <c r="AP280" s="24">
        <v>1</v>
      </c>
      <c r="AQ280" s="24">
        <v>0</v>
      </c>
      <c r="AR280" s="24">
        <v>0</v>
      </c>
      <c r="AS280" s="24">
        <v>0</v>
      </c>
      <c r="AT280" s="24">
        <v>0</v>
      </c>
      <c r="AU280" s="24">
        <v>0</v>
      </c>
      <c r="AV280" s="24">
        <v>0</v>
      </c>
      <c r="AW280" s="24">
        <v>0</v>
      </c>
      <c r="AX280" s="24">
        <v>1</v>
      </c>
      <c r="AY280" s="24">
        <v>0</v>
      </c>
      <c r="AZ280" s="24">
        <v>1</v>
      </c>
      <c r="BA280" s="24">
        <v>0</v>
      </c>
      <c r="BB280" s="24">
        <v>0</v>
      </c>
    </row>
    <row r="281" spans="2:54" ht="13.8" x14ac:dyDescent="0.3">
      <c r="B281" s="24">
        <v>261</v>
      </c>
      <c r="C281" s="24">
        <v>12</v>
      </c>
      <c r="D281" s="24">
        <v>0</v>
      </c>
      <c r="E281" s="24">
        <v>0</v>
      </c>
      <c r="F281" s="24">
        <v>1</v>
      </c>
      <c r="G281" s="24">
        <v>0</v>
      </c>
      <c r="H281" s="24">
        <v>0</v>
      </c>
      <c r="I281" s="24">
        <v>0</v>
      </c>
      <c r="J281" s="24">
        <v>1657</v>
      </c>
      <c r="K281" s="24">
        <v>2</v>
      </c>
      <c r="L281" s="24">
        <v>0</v>
      </c>
      <c r="M281" s="24">
        <v>1</v>
      </c>
      <c r="N281" s="24">
        <v>0</v>
      </c>
      <c r="O281" s="24">
        <v>0</v>
      </c>
      <c r="P281" s="24">
        <v>0</v>
      </c>
      <c r="Q281" s="24">
        <v>1</v>
      </c>
      <c r="R281" s="24">
        <v>0</v>
      </c>
      <c r="S281" s="24">
        <v>27</v>
      </c>
      <c r="T281" s="24">
        <v>0</v>
      </c>
      <c r="U281" s="24">
        <v>0</v>
      </c>
      <c r="V281" s="24">
        <v>1</v>
      </c>
      <c r="W281" s="24">
        <v>1</v>
      </c>
      <c r="X281" s="24">
        <v>1</v>
      </c>
      <c r="Y281" s="24">
        <v>0</v>
      </c>
      <c r="Z281" s="24">
        <v>0</v>
      </c>
      <c r="AA281" s="24">
        <v>1</v>
      </c>
      <c r="AB281" s="24">
        <v>1</v>
      </c>
      <c r="AC281" s="24">
        <v>0</v>
      </c>
      <c r="AD281" s="24">
        <v>0</v>
      </c>
      <c r="AE281" s="24">
        <v>0</v>
      </c>
      <c r="AF281" s="24">
        <v>0</v>
      </c>
      <c r="AG281" s="24">
        <v>0</v>
      </c>
      <c r="AH281" s="24">
        <v>1</v>
      </c>
      <c r="AI281" s="24">
        <v>0</v>
      </c>
      <c r="AJ281" s="24">
        <v>0</v>
      </c>
      <c r="AK281" s="24">
        <v>1</v>
      </c>
      <c r="AL281" s="24">
        <v>0</v>
      </c>
      <c r="AM281" s="24">
        <v>0</v>
      </c>
      <c r="AN281" s="24">
        <v>0</v>
      </c>
      <c r="AO281" s="24">
        <v>0</v>
      </c>
      <c r="AP281" s="24">
        <v>0</v>
      </c>
      <c r="AQ281" s="24">
        <v>0</v>
      </c>
      <c r="AR281" s="24">
        <v>1</v>
      </c>
      <c r="AS281" s="24">
        <v>0</v>
      </c>
      <c r="AT281" s="24">
        <v>0</v>
      </c>
      <c r="AU281" s="24">
        <v>0</v>
      </c>
      <c r="AV281" s="24">
        <v>1</v>
      </c>
      <c r="AW281" s="24">
        <v>0</v>
      </c>
      <c r="AX281" s="24">
        <v>0</v>
      </c>
      <c r="AY281" s="24">
        <v>0</v>
      </c>
      <c r="AZ281" s="24">
        <v>0</v>
      </c>
      <c r="BA281" s="24">
        <v>1</v>
      </c>
      <c r="BB281" s="24">
        <v>0</v>
      </c>
    </row>
    <row r="282" spans="2:54" ht="13.8" x14ac:dyDescent="0.3">
      <c r="B282" s="24">
        <v>262</v>
      </c>
      <c r="C282" s="24">
        <v>24</v>
      </c>
      <c r="D282" s="24">
        <v>0</v>
      </c>
      <c r="E282" s="24">
        <v>0</v>
      </c>
      <c r="F282" s="24">
        <v>0</v>
      </c>
      <c r="G282" s="24">
        <v>1</v>
      </c>
      <c r="H282" s="24">
        <v>0</v>
      </c>
      <c r="I282" s="24">
        <v>0</v>
      </c>
      <c r="J282" s="24">
        <v>1603</v>
      </c>
      <c r="K282" s="24">
        <v>4</v>
      </c>
      <c r="L282" s="24">
        <v>0</v>
      </c>
      <c r="M282" s="24">
        <v>0</v>
      </c>
      <c r="N282" s="24">
        <v>0</v>
      </c>
      <c r="O282" s="24">
        <v>0</v>
      </c>
      <c r="P282" s="24">
        <v>0</v>
      </c>
      <c r="Q282" s="24">
        <v>0</v>
      </c>
      <c r="R282" s="24">
        <v>0</v>
      </c>
      <c r="S282" s="24">
        <v>55</v>
      </c>
      <c r="T282" s="24">
        <v>0</v>
      </c>
      <c r="U282" s="24">
        <v>0</v>
      </c>
      <c r="V282" s="24">
        <v>1</v>
      </c>
      <c r="W282" s="24">
        <v>1</v>
      </c>
      <c r="X282" s="24">
        <v>1</v>
      </c>
      <c r="Y282" s="24">
        <v>0</v>
      </c>
      <c r="Z282" s="24">
        <v>0</v>
      </c>
      <c r="AA282" s="24">
        <v>1</v>
      </c>
      <c r="AB282" s="24">
        <v>1</v>
      </c>
      <c r="AC282" s="24">
        <v>0</v>
      </c>
      <c r="AD282" s="24">
        <v>0</v>
      </c>
      <c r="AE282" s="24">
        <v>0</v>
      </c>
      <c r="AF282" s="24">
        <v>0</v>
      </c>
      <c r="AG282" s="24">
        <v>0</v>
      </c>
      <c r="AH282" s="24">
        <v>1</v>
      </c>
      <c r="AI282" s="24">
        <v>0</v>
      </c>
      <c r="AJ282" s="24">
        <v>0</v>
      </c>
      <c r="AK282" s="24">
        <v>1</v>
      </c>
      <c r="AL282" s="24">
        <v>0</v>
      </c>
      <c r="AM282" s="24">
        <v>0</v>
      </c>
      <c r="AN282" s="24">
        <v>0</v>
      </c>
      <c r="AO282" s="24">
        <v>0</v>
      </c>
      <c r="AP282" s="24">
        <v>0</v>
      </c>
      <c r="AQ282" s="24">
        <v>0</v>
      </c>
      <c r="AR282" s="24">
        <v>0</v>
      </c>
      <c r="AS282" s="24">
        <v>0</v>
      </c>
      <c r="AT282" s="24">
        <v>1</v>
      </c>
      <c r="AU282" s="24">
        <v>0</v>
      </c>
      <c r="AV282" s="24">
        <v>0</v>
      </c>
      <c r="AW282" s="24">
        <v>0</v>
      </c>
      <c r="AX282" s="24">
        <v>1</v>
      </c>
      <c r="AY282" s="24">
        <v>0</v>
      </c>
      <c r="AZ282" s="24">
        <v>0</v>
      </c>
      <c r="BA282" s="24">
        <v>1</v>
      </c>
      <c r="BB282" s="24">
        <v>0</v>
      </c>
    </row>
    <row r="283" spans="2:54" ht="13.8" x14ac:dyDescent="0.3">
      <c r="B283" s="24">
        <v>263</v>
      </c>
      <c r="C283" s="24">
        <v>18</v>
      </c>
      <c r="D283" s="24">
        <v>1</v>
      </c>
      <c r="E283" s="24">
        <v>0</v>
      </c>
      <c r="F283" s="24">
        <v>0</v>
      </c>
      <c r="G283" s="24">
        <v>0</v>
      </c>
      <c r="H283" s="24">
        <v>0</v>
      </c>
      <c r="I283" s="24">
        <v>0</v>
      </c>
      <c r="J283" s="24">
        <v>5302</v>
      </c>
      <c r="K283" s="24">
        <v>2</v>
      </c>
      <c r="L283" s="24">
        <v>0</v>
      </c>
      <c r="M283" s="24">
        <v>1</v>
      </c>
      <c r="N283" s="24">
        <v>0</v>
      </c>
      <c r="O283" s="24">
        <v>0</v>
      </c>
      <c r="P283" s="24">
        <v>0</v>
      </c>
      <c r="Q283" s="24">
        <v>0</v>
      </c>
      <c r="R283" s="24">
        <v>1</v>
      </c>
      <c r="S283" s="24">
        <v>36</v>
      </c>
      <c r="T283" s="24">
        <v>0</v>
      </c>
      <c r="U283" s="24">
        <v>0</v>
      </c>
      <c r="V283" s="24">
        <v>0</v>
      </c>
      <c r="W283" s="24">
        <v>3</v>
      </c>
      <c r="X283" s="24">
        <v>1</v>
      </c>
      <c r="Y283" s="24">
        <v>1</v>
      </c>
      <c r="Z283" s="24">
        <v>0</v>
      </c>
      <c r="AA283" s="24">
        <v>1</v>
      </c>
      <c r="AB283" s="24">
        <v>1</v>
      </c>
      <c r="AC283" s="24">
        <v>0</v>
      </c>
      <c r="AD283" s="24">
        <v>0</v>
      </c>
      <c r="AE283" s="24">
        <v>0</v>
      </c>
      <c r="AF283" s="24">
        <v>0</v>
      </c>
      <c r="AG283" s="24">
        <v>0</v>
      </c>
      <c r="AH283" s="24">
        <v>0</v>
      </c>
      <c r="AI283" s="24">
        <v>0</v>
      </c>
      <c r="AJ283" s="24">
        <v>1</v>
      </c>
      <c r="AK283" s="24">
        <v>1</v>
      </c>
      <c r="AL283" s="24">
        <v>0</v>
      </c>
      <c r="AM283" s="24">
        <v>0</v>
      </c>
      <c r="AN283" s="24">
        <v>0</v>
      </c>
      <c r="AO283" s="24">
        <v>0</v>
      </c>
      <c r="AP283" s="24">
        <v>0</v>
      </c>
      <c r="AQ283" s="24">
        <v>0</v>
      </c>
      <c r="AR283" s="24">
        <v>0</v>
      </c>
      <c r="AS283" s="24">
        <v>0</v>
      </c>
      <c r="AT283" s="24">
        <v>1</v>
      </c>
      <c r="AU283" s="24">
        <v>0</v>
      </c>
      <c r="AV283" s="24">
        <v>0</v>
      </c>
      <c r="AW283" s="24">
        <v>0</v>
      </c>
      <c r="AX283" s="24">
        <v>1</v>
      </c>
      <c r="AY283" s="24">
        <v>0</v>
      </c>
      <c r="AZ283" s="24">
        <v>0</v>
      </c>
      <c r="BA283" s="24">
        <v>0</v>
      </c>
      <c r="BB283" s="24">
        <v>1</v>
      </c>
    </row>
    <row r="284" spans="2:54" ht="13.8" x14ac:dyDescent="0.3">
      <c r="B284" s="24">
        <v>264</v>
      </c>
      <c r="C284" s="24">
        <v>12</v>
      </c>
      <c r="D284" s="24">
        <v>0</v>
      </c>
      <c r="E284" s="24">
        <v>0</v>
      </c>
      <c r="F284" s="24">
        <v>0</v>
      </c>
      <c r="G284" s="24">
        <v>0</v>
      </c>
      <c r="H284" s="24">
        <v>1</v>
      </c>
      <c r="I284" s="24">
        <v>0</v>
      </c>
      <c r="J284" s="24">
        <v>2748</v>
      </c>
      <c r="K284" s="24">
        <v>2</v>
      </c>
      <c r="L284" s="24">
        <v>0</v>
      </c>
      <c r="M284" s="24">
        <v>0</v>
      </c>
      <c r="N284" s="24">
        <v>0</v>
      </c>
      <c r="O284" s="24">
        <v>0</v>
      </c>
      <c r="P284" s="24">
        <v>0</v>
      </c>
      <c r="Q284" s="24">
        <v>0</v>
      </c>
      <c r="R284" s="24">
        <v>1</v>
      </c>
      <c r="S284" s="24">
        <v>57</v>
      </c>
      <c r="T284" s="24">
        <v>1</v>
      </c>
      <c r="U284" s="24">
        <v>0</v>
      </c>
      <c r="V284" s="24">
        <v>0</v>
      </c>
      <c r="W284" s="24">
        <v>3</v>
      </c>
      <c r="X284" s="24">
        <v>1</v>
      </c>
      <c r="Y284" s="24">
        <v>0</v>
      </c>
      <c r="Z284" s="24">
        <v>0</v>
      </c>
      <c r="AA284" s="24">
        <v>1</v>
      </c>
      <c r="AB284" s="24">
        <v>0</v>
      </c>
      <c r="AC284" s="24">
        <v>0</v>
      </c>
      <c r="AD284" s="24">
        <v>0</v>
      </c>
      <c r="AE284" s="24">
        <v>1</v>
      </c>
      <c r="AF284" s="24">
        <v>0</v>
      </c>
      <c r="AG284" s="24">
        <v>0</v>
      </c>
      <c r="AH284" s="24">
        <v>0</v>
      </c>
      <c r="AI284" s="24">
        <v>0</v>
      </c>
      <c r="AJ284" s="24">
        <v>1</v>
      </c>
      <c r="AK284" s="24">
        <v>1</v>
      </c>
      <c r="AL284" s="24">
        <v>0</v>
      </c>
      <c r="AM284" s="24">
        <v>0</v>
      </c>
      <c r="AN284" s="24">
        <v>0</v>
      </c>
      <c r="AO284" s="24">
        <v>0</v>
      </c>
      <c r="AP284" s="24">
        <v>0</v>
      </c>
      <c r="AQ284" s="24">
        <v>0</v>
      </c>
      <c r="AR284" s="24">
        <v>0</v>
      </c>
      <c r="AS284" s="24">
        <v>0</v>
      </c>
      <c r="AT284" s="24">
        <v>1</v>
      </c>
      <c r="AU284" s="24">
        <v>0</v>
      </c>
      <c r="AV284" s="24">
        <v>0</v>
      </c>
      <c r="AW284" s="24">
        <v>0</v>
      </c>
      <c r="AX284" s="24">
        <v>1</v>
      </c>
      <c r="AY284" s="24">
        <v>0</v>
      </c>
      <c r="AZ284" s="24">
        <v>1</v>
      </c>
      <c r="BA284" s="24">
        <v>0</v>
      </c>
      <c r="BB284" s="24">
        <v>0</v>
      </c>
    </row>
    <row r="285" spans="2:54" ht="13.8" x14ac:dyDescent="0.3">
      <c r="B285" s="24">
        <v>265</v>
      </c>
      <c r="C285" s="24">
        <v>10</v>
      </c>
      <c r="D285" s="24">
        <v>1</v>
      </c>
      <c r="E285" s="24">
        <v>0</v>
      </c>
      <c r="F285" s="24">
        <v>0</v>
      </c>
      <c r="G285" s="24">
        <v>0</v>
      </c>
      <c r="H285" s="24">
        <v>0</v>
      </c>
      <c r="I285" s="24">
        <v>0</v>
      </c>
      <c r="J285" s="24">
        <v>1231</v>
      </c>
      <c r="K285" s="24">
        <v>3</v>
      </c>
      <c r="L285" s="24">
        <v>0</v>
      </c>
      <c r="M285" s="24">
        <v>1</v>
      </c>
      <c r="N285" s="24">
        <v>0</v>
      </c>
      <c r="O285" s="24">
        <v>0</v>
      </c>
      <c r="P285" s="24">
        <v>0</v>
      </c>
      <c r="Q285" s="24">
        <v>1</v>
      </c>
      <c r="R285" s="24">
        <v>0</v>
      </c>
      <c r="S285" s="24">
        <v>32</v>
      </c>
      <c r="T285" s="24">
        <v>0</v>
      </c>
      <c r="U285" s="24">
        <v>0</v>
      </c>
      <c r="V285" s="24">
        <v>1</v>
      </c>
      <c r="W285" s="24">
        <v>2</v>
      </c>
      <c r="X285" s="24">
        <v>2</v>
      </c>
      <c r="Y285" s="24">
        <v>0</v>
      </c>
      <c r="Z285" s="24">
        <v>1</v>
      </c>
      <c r="AA285" s="24">
        <v>1</v>
      </c>
      <c r="AB285" s="24">
        <v>0</v>
      </c>
      <c r="AC285" s="24">
        <v>0</v>
      </c>
      <c r="AD285" s="24">
        <v>0</v>
      </c>
      <c r="AE285" s="24">
        <v>1</v>
      </c>
      <c r="AF285" s="24">
        <v>0</v>
      </c>
      <c r="AG285" s="24">
        <v>0</v>
      </c>
      <c r="AH285" s="24">
        <v>0</v>
      </c>
      <c r="AI285" s="24">
        <v>0</v>
      </c>
      <c r="AJ285" s="24">
        <v>1</v>
      </c>
      <c r="AK285" s="24">
        <v>1</v>
      </c>
      <c r="AL285" s="24">
        <v>0</v>
      </c>
      <c r="AM285" s="24">
        <v>0</v>
      </c>
      <c r="AN285" s="24">
        <v>0</v>
      </c>
      <c r="AO285" s="24">
        <v>0</v>
      </c>
      <c r="AP285" s="24">
        <v>0</v>
      </c>
      <c r="AQ285" s="24">
        <v>0</v>
      </c>
      <c r="AR285" s="24">
        <v>0</v>
      </c>
      <c r="AS285" s="24">
        <v>0</v>
      </c>
      <c r="AT285" s="24">
        <v>1</v>
      </c>
      <c r="AU285" s="24">
        <v>0</v>
      </c>
      <c r="AV285" s="24">
        <v>0</v>
      </c>
      <c r="AW285" s="24">
        <v>0</v>
      </c>
      <c r="AX285" s="24">
        <v>1</v>
      </c>
      <c r="AY285" s="24">
        <v>0</v>
      </c>
      <c r="AZ285" s="24">
        <v>1</v>
      </c>
      <c r="BA285" s="24">
        <v>0</v>
      </c>
      <c r="BB285" s="24">
        <v>0</v>
      </c>
    </row>
    <row r="286" spans="2:54" ht="13.8" x14ac:dyDescent="0.3">
      <c r="B286" s="24">
        <v>266</v>
      </c>
      <c r="C286" s="24">
        <v>15</v>
      </c>
      <c r="D286" s="24">
        <v>0</v>
      </c>
      <c r="E286" s="24">
        <v>0</v>
      </c>
      <c r="F286" s="24">
        <v>0</v>
      </c>
      <c r="G286" s="24">
        <v>1</v>
      </c>
      <c r="H286" s="24">
        <v>0</v>
      </c>
      <c r="I286" s="24">
        <v>0</v>
      </c>
      <c r="J286" s="24">
        <v>802</v>
      </c>
      <c r="K286" s="24">
        <v>4</v>
      </c>
      <c r="L286" s="24">
        <v>0</v>
      </c>
      <c r="M286" s="24">
        <v>1</v>
      </c>
      <c r="N286" s="24">
        <v>0</v>
      </c>
      <c r="O286" s="24">
        <v>0</v>
      </c>
      <c r="P286" s="24">
        <v>0</v>
      </c>
      <c r="Q286" s="24">
        <v>0</v>
      </c>
      <c r="R286" s="24">
        <v>0</v>
      </c>
      <c r="S286" s="24">
        <v>37</v>
      </c>
      <c r="T286" s="24">
        <v>0</v>
      </c>
      <c r="U286" s="24">
        <v>0</v>
      </c>
      <c r="V286" s="24">
        <v>1</v>
      </c>
      <c r="W286" s="24">
        <v>1</v>
      </c>
      <c r="X286" s="24">
        <v>2</v>
      </c>
      <c r="Y286" s="24">
        <v>0</v>
      </c>
      <c r="Z286" s="24">
        <v>0</v>
      </c>
      <c r="AA286" s="24">
        <v>0</v>
      </c>
      <c r="AB286" s="24">
        <v>0</v>
      </c>
      <c r="AC286" s="24">
        <v>1</v>
      </c>
      <c r="AD286" s="24">
        <v>0</v>
      </c>
      <c r="AE286" s="24">
        <v>0</v>
      </c>
      <c r="AF286" s="24">
        <v>0</v>
      </c>
      <c r="AG286" s="24">
        <v>0</v>
      </c>
      <c r="AH286" s="24">
        <v>1</v>
      </c>
      <c r="AI286" s="24">
        <v>0</v>
      </c>
      <c r="AJ286" s="24">
        <v>0</v>
      </c>
      <c r="AK286" s="24">
        <v>1</v>
      </c>
      <c r="AL286" s="24">
        <v>0</v>
      </c>
      <c r="AM286" s="24">
        <v>0</v>
      </c>
      <c r="AN286" s="24">
        <v>0</v>
      </c>
      <c r="AO286" s="24">
        <v>0</v>
      </c>
      <c r="AP286" s="24">
        <v>0</v>
      </c>
      <c r="AQ286" s="24">
        <v>0</v>
      </c>
      <c r="AR286" s="24">
        <v>0</v>
      </c>
      <c r="AS286" s="24">
        <v>0</v>
      </c>
      <c r="AT286" s="24">
        <v>1</v>
      </c>
      <c r="AU286" s="24">
        <v>0</v>
      </c>
      <c r="AV286" s="24">
        <v>0</v>
      </c>
      <c r="AW286" s="24">
        <v>1</v>
      </c>
      <c r="AX286" s="24">
        <v>0</v>
      </c>
      <c r="AY286" s="24">
        <v>0</v>
      </c>
      <c r="AZ286" s="24">
        <v>0</v>
      </c>
      <c r="BA286" s="24">
        <v>1</v>
      </c>
      <c r="BB286" s="24">
        <v>0</v>
      </c>
    </row>
    <row r="287" spans="2:54" ht="13.8" x14ac:dyDescent="0.3">
      <c r="B287" s="24">
        <v>267</v>
      </c>
      <c r="C287" s="24">
        <v>36</v>
      </c>
      <c r="D287" s="24">
        <v>0</v>
      </c>
      <c r="E287" s="24">
        <v>0</v>
      </c>
      <c r="F287" s="24">
        <v>0</v>
      </c>
      <c r="G287" s="24">
        <v>0</v>
      </c>
      <c r="H287" s="24">
        <v>0</v>
      </c>
      <c r="I287" s="24">
        <v>1</v>
      </c>
      <c r="J287" s="24">
        <v>6304</v>
      </c>
      <c r="K287" s="24">
        <v>4</v>
      </c>
      <c r="L287" s="24">
        <v>0</v>
      </c>
      <c r="M287" s="24">
        <v>1</v>
      </c>
      <c r="N287" s="24">
        <v>0</v>
      </c>
      <c r="O287" s="24">
        <v>0</v>
      </c>
      <c r="P287" s="24">
        <v>0</v>
      </c>
      <c r="Q287" s="24">
        <v>1</v>
      </c>
      <c r="R287" s="24">
        <v>0</v>
      </c>
      <c r="S287" s="24">
        <v>36</v>
      </c>
      <c r="T287" s="24">
        <v>0</v>
      </c>
      <c r="U287" s="24">
        <v>0</v>
      </c>
      <c r="V287" s="24">
        <v>1</v>
      </c>
      <c r="W287" s="24">
        <v>2</v>
      </c>
      <c r="X287" s="24">
        <v>1</v>
      </c>
      <c r="Y287" s="24">
        <v>0</v>
      </c>
      <c r="Z287" s="24">
        <v>0</v>
      </c>
      <c r="AA287" s="24">
        <v>1</v>
      </c>
      <c r="AB287" s="24">
        <v>0</v>
      </c>
      <c r="AC287" s="24">
        <v>0</v>
      </c>
      <c r="AD287" s="24">
        <v>0</v>
      </c>
      <c r="AE287" s="24">
        <v>1</v>
      </c>
      <c r="AF287" s="24">
        <v>0</v>
      </c>
      <c r="AG287" s="24">
        <v>0</v>
      </c>
      <c r="AH287" s="24">
        <v>0</v>
      </c>
      <c r="AI287" s="24">
        <v>0</v>
      </c>
      <c r="AJ287" s="24">
        <v>1</v>
      </c>
      <c r="AK287" s="24">
        <v>0</v>
      </c>
      <c r="AL287" s="24">
        <v>0</v>
      </c>
      <c r="AM287" s="24">
        <v>0</v>
      </c>
      <c r="AN287" s="24">
        <v>0</v>
      </c>
      <c r="AO287" s="24">
        <v>1</v>
      </c>
      <c r="AP287" s="24">
        <v>0</v>
      </c>
      <c r="AQ287" s="24">
        <v>0</v>
      </c>
      <c r="AR287" s="24">
        <v>0</v>
      </c>
      <c r="AS287" s="24">
        <v>0</v>
      </c>
      <c r="AT287" s="24">
        <v>1</v>
      </c>
      <c r="AU287" s="24">
        <v>0</v>
      </c>
      <c r="AV287" s="24">
        <v>0</v>
      </c>
      <c r="AW287" s="24">
        <v>0</v>
      </c>
      <c r="AX287" s="24">
        <v>1</v>
      </c>
      <c r="AY287" s="24">
        <v>0</v>
      </c>
      <c r="AZ287" s="24">
        <v>0</v>
      </c>
      <c r="BA287" s="24">
        <v>1</v>
      </c>
      <c r="BB287" s="24">
        <v>0</v>
      </c>
    </row>
    <row r="288" spans="2:54" ht="13.8" x14ac:dyDescent="0.3">
      <c r="B288" s="24">
        <v>268</v>
      </c>
      <c r="C288" s="24">
        <v>24</v>
      </c>
      <c r="D288" s="24">
        <v>0</v>
      </c>
      <c r="E288" s="24">
        <v>0</v>
      </c>
      <c r="F288" s="24">
        <v>0</v>
      </c>
      <c r="G288" s="24">
        <v>1</v>
      </c>
      <c r="H288" s="24">
        <v>0</v>
      </c>
      <c r="I288" s="24">
        <v>0</v>
      </c>
      <c r="J288" s="24">
        <v>1533</v>
      </c>
      <c r="K288" s="24">
        <v>4</v>
      </c>
      <c r="L288" s="24">
        <v>0</v>
      </c>
      <c r="M288" s="24">
        <v>0</v>
      </c>
      <c r="N288" s="24">
        <v>0</v>
      </c>
      <c r="O288" s="24">
        <v>0</v>
      </c>
      <c r="P288" s="24">
        <v>0</v>
      </c>
      <c r="Q288" s="24">
        <v>0</v>
      </c>
      <c r="R288" s="24">
        <v>0</v>
      </c>
      <c r="S288" s="24">
        <v>38</v>
      </c>
      <c r="T288" s="24">
        <v>1</v>
      </c>
      <c r="U288" s="24">
        <v>0</v>
      </c>
      <c r="V288" s="24">
        <v>1</v>
      </c>
      <c r="W288" s="24">
        <v>1</v>
      </c>
      <c r="X288" s="24">
        <v>1</v>
      </c>
      <c r="Y288" s="24">
        <v>1</v>
      </c>
      <c r="Z288" s="24">
        <v>0</v>
      </c>
      <c r="AA288" s="24">
        <v>1</v>
      </c>
      <c r="AB288" s="24">
        <v>0</v>
      </c>
      <c r="AC288" s="24">
        <v>0</v>
      </c>
      <c r="AD288" s="24">
        <v>0</v>
      </c>
      <c r="AE288" s="24">
        <v>1</v>
      </c>
      <c r="AF288" s="24">
        <v>0</v>
      </c>
      <c r="AG288" s="24">
        <v>0</v>
      </c>
      <c r="AH288" s="24">
        <v>1</v>
      </c>
      <c r="AI288" s="24">
        <v>0</v>
      </c>
      <c r="AJ288" s="24">
        <v>0</v>
      </c>
      <c r="AK288" s="24">
        <v>1</v>
      </c>
      <c r="AL288" s="24">
        <v>0</v>
      </c>
      <c r="AM288" s="24">
        <v>0</v>
      </c>
      <c r="AN288" s="24">
        <v>0</v>
      </c>
      <c r="AO288" s="24">
        <v>0</v>
      </c>
      <c r="AP288" s="24">
        <v>0</v>
      </c>
      <c r="AQ288" s="24">
        <v>1</v>
      </c>
      <c r="AR288" s="24">
        <v>0</v>
      </c>
      <c r="AS288" s="24">
        <v>0</v>
      </c>
      <c r="AT288" s="24">
        <v>0</v>
      </c>
      <c r="AU288" s="24">
        <v>0</v>
      </c>
      <c r="AV288" s="24">
        <v>0</v>
      </c>
      <c r="AW288" s="24">
        <v>1</v>
      </c>
      <c r="AX288" s="24">
        <v>0</v>
      </c>
      <c r="AY288" s="24">
        <v>0</v>
      </c>
      <c r="AZ288" s="24">
        <v>0</v>
      </c>
      <c r="BA288" s="24">
        <v>1</v>
      </c>
      <c r="BB288" s="24">
        <v>0</v>
      </c>
    </row>
    <row r="289" spans="2:54" ht="13.8" x14ac:dyDescent="0.3">
      <c r="B289" s="24">
        <v>269</v>
      </c>
      <c r="C289" s="24">
        <v>14</v>
      </c>
      <c r="D289" s="24">
        <v>1</v>
      </c>
      <c r="E289" s="24">
        <v>0</v>
      </c>
      <c r="F289" s="24">
        <v>0</v>
      </c>
      <c r="G289" s="24">
        <v>0</v>
      </c>
      <c r="H289" s="24">
        <v>0</v>
      </c>
      <c r="I289" s="24">
        <v>0</v>
      </c>
      <c r="J289" s="24">
        <v>8978</v>
      </c>
      <c r="K289" s="24">
        <v>1</v>
      </c>
      <c r="L289" s="24">
        <v>1</v>
      </c>
      <c r="M289" s="24">
        <v>0</v>
      </c>
      <c r="N289" s="24">
        <v>0</v>
      </c>
      <c r="O289" s="24">
        <v>0</v>
      </c>
      <c r="P289" s="24">
        <v>0</v>
      </c>
      <c r="Q289" s="24">
        <v>0</v>
      </c>
      <c r="R289" s="24">
        <v>0</v>
      </c>
      <c r="S289" s="24">
        <v>45</v>
      </c>
      <c r="T289" s="24">
        <v>0</v>
      </c>
      <c r="U289" s="24">
        <v>0</v>
      </c>
      <c r="V289" s="24">
        <v>1</v>
      </c>
      <c r="W289" s="24">
        <v>1</v>
      </c>
      <c r="X289" s="24">
        <v>1</v>
      </c>
      <c r="Y289" s="24">
        <v>1</v>
      </c>
      <c r="Z289" s="24">
        <v>1</v>
      </c>
      <c r="AA289" s="24">
        <v>0</v>
      </c>
      <c r="AB289" s="24">
        <v>1</v>
      </c>
      <c r="AC289" s="24">
        <v>0</v>
      </c>
      <c r="AD289" s="24">
        <v>0</v>
      </c>
      <c r="AE289" s="24">
        <v>0</v>
      </c>
      <c r="AF289" s="24">
        <v>0</v>
      </c>
      <c r="AG289" s="24">
        <v>0</v>
      </c>
      <c r="AH289" s="24">
        <v>1</v>
      </c>
      <c r="AI289" s="24">
        <v>0</v>
      </c>
      <c r="AJ289" s="24">
        <v>0</v>
      </c>
      <c r="AK289" s="24">
        <v>1</v>
      </c>
      <c r="AL289" s="24">
        <v>0</v>
      </c>
      <c r="AM289" s="24">
        <v>0</v>
      </c>
      <c r="AN289" s="24">
        <v>0</v>
      </c>
      <c r="AO289" s="24">
        <v>0</v>
      </c>
      <c r="AP289" s="24">
        <v>0</v>
      </c>
      <c r="AQ289" s="24">
        <v>0</v>
      </c>
      <c r="AR289" s="24">
        <v>0</v>
      </c>
      <c r="AS289" s="24">
        <v>0</v>
      </c>
      <c r="AT289" s="24">
        <v>1</v>
      </c>
      <c r="AU289" s="24">
        <v>0</v>
      </c>
      <c r="AV289" s="24">
        <v>0</v>
      </c>
      <c r="AW289" s="24">
        <v>0</v>
      </c>
      <c r="AX289" s="24">
        <v>1</v>
      </c>
      <c r="AY289" s="24">
        <v>0</v>
      </c>
      <c r="AZ289" s="24">
        <v>0</v>
      </c>
      <c r="BA289" s="24">
        <v>0</v>
      </c>
      <c r="BB289" s="24">
        <v>1</v>
      </c>
    </row>
    <row r="290" spans="2:54" ht="13.8" x14ac:dyDescent="0.3">
      <c r="B290" s="24">
        <v>270</v>
      </c>
      <c r="C290" s="24">
        <v>24</v>
      </c>
      <c r="D290" s="24">
        <v>0</v>
      </c>
      <c r="E290" s="24">
        <v>0</v>
      </c>
      <c r="F290" s="24">
        <v>0</v>
      </c>
      <c r="G290" s="24">
        <v>1</v>
      </c>
      <c r="H290" s="24">
        <v>0</v>
      </c>
      <c r="I290" s="24">
        <v>0</v>
      </c>
      <c r="J290" s="24">
        <v>999</v>
      </c>
      <c r="K290" s="24">
        <v>4</v>
      </c>
      <c r="L290" s="24">
        <v>0</v>
      </c>
      <c r="M290" s="24">
        <v>1</v>
      </c>
      <c r="N290" s="24">
        <v>0</v>
      </c>
      <c r="O290" s="24">
        <v>0</v>
      </c>
      <c r="P290" s="24">
        <v>0</v>
      </c>
      <c r="Q290" s="24">
        <v>0</v>
      </c>
      <c r="R290" s="24">
        <v>0</v>
      </c>
      <c r="S290" s="24">
        <v>25</v>
      </c>
      <c r="T290" s="24">
        <v>0</v>
      </c>
      <c r="U290" s="24">
        <v>0</v>
      </c>
      <c r="V290" s="24">
        <v>1</v>
      </c>
      <c r="W290" s="24">
        <v>2</v>
      </c>
      <c r="X290" s="24">
        <v>1</v>
      </c>
      <c r="Y290" s="24">
        <v>0</v>
      </c>
      <c r="Z290" s="24">
        <v>0</v>
      </c>
      <c r="AA290" s="24">
        <v>1</v>
      </c>
      <c r="AB290" s="24">
        <v>0</v>
      </c>
      <c r="AC290" s="24">
        <v>0</v>
      </c>
      <c r="AD290" s="24">
        <v>0</v>
      </c>
      <c r="AE290" s="24">
        <v>1</v>
      </c>
      <c r="AF290" s="24">
        <v>0</v>
      </c>
      <c r="AG290" s="24">
        <v>0</v>
      </c>
      <c r="AH290" s="24">
        <v>1</v>
      </c>
      <c r="AI290" s="24">
        <v>0</v>
      </c>
      <c r="AJ290" s="24">
        <v>0</v>
      </c>
      <c r="AK290" s="24">
        <v>0</v>
      </c>
      <c r="AL290" s="24">
        <v>0</v>
      </c>
      <c r="AM290" s="24">
        <v>0</v>
      </c>
      <c r="AN290" s="24">
        <v>0</v>
      </c>
      <c r="AO290" s="24">
        <v>1</v>
      </c>
      <c r="AP290" s="24">
        <v>0</v>
      </c>
      <c r="AQ290" s="24">
        <v>0</v>
      </c>
      <c r="AR290" s="24">
        <v>0</v>
      </c>
      <c r="AS290" s="24">
        <v>0</v>
      </c>
      <c r="AT290" s="24">
        <v>1</v>
      </c>
      <c r="AU290" s="24">
        <v>0</v>
      </c>
      <c r="AV290" s="24">
        <v>1</v>
      </c>
      <c r="AW290" s="24">
        <v>0</v>
      </c>
      <c r="AX290" s="24">
        <v>0</v>
      </c>
      <c r="AY290" s="24">
        <v>0</v>
      </c>
      <c r="AZ290" s="24">
        <v>0</v>
      </c>
      <c r="BA290" s="24">
        <v>1</v>
      </c>
      <c r="BB290" s="24">
        <v>0</v>
      </c>
    </row>
    <row r="291" spans="2:54" ht="13.8" x14ac:dyDescent="0.3">
      <c r="B291" s="24">
        <v>271</v>
      </c>
      <c r="C291" s="24">
        <v>18</v>
      </c>
      <c r="D291" s="24">
        <v>1</v>
      </c>
      <c r="E291" s="24">
        <v>0</v>
      </c>
      <c r="F291" s="24">
        <v>0</v>
      </c>
      <c r="G291" s="24">
        <v>0</v>
      </c>
      <c r="H291" s="24">
        <v>0</v>
      </c>
      <c r="I291" s="24">
        <v>0</v>
      </c>
      <c r="J291" s="24">
        <v>2662</v>
      </c>
      <c r="K291" s="24">
        <v>4</v>
      </c>
      <c r="L291" s="24">
        <v>0</v>
      </c>
      <c r="M291" s="24">
        <v>1</v>
      </c>
      <c r="N291" s="24">
        <v>0</v>
      </c>
      <c r="O291" s="24">
        <v>0</v>
      </c>
      <c r="P291" s="24">
        <v>0</v>
      </c>
      <c r="Q291" s="24">
        <v>0</v>
      </c>
      <c r="R291" s="24">
        <v>0</v>
      </c>
      <c r="S291" s="24">
        <v>32</v>
      </c>
      <c r="T291" s="24">
        <v>0</v>
      </c>
      <c r="U291" s="24">
        <v>0</v>
      </c>
      <c r="V291" s="24">
        <v>1</v>
      </c>
      <c r="W291" s="24">
        <v>1</v>
      </c>
      <c r="X291" s="24">
        <v>1</v>
      </c>
      <c r="Y291" s="24">
        <v>0</v>
      </c>
      <c r="Z291" s="24">
        <v>1</v>
      </c>
      <c r="AA291" s="24">
        <v>1</v>
      </c>
      <c r="AB291" s="24">
        <v>0</v>
      </c>
      <c r="AC291" s="24">
        <v>0</v>
      </c>
      <c r="AD291" s="24">
        <v>0</v>
      </c>
      <c r="AE291" s="24">
        <v>1</v>
      </c>
      <c r="AF291" s="24">
        <v>0</v>
      </c>
      <c r="AG291" s="24">
        <v>0</v>
      </c>
      <c r="AH291" s="24">
        <v>1</v>
      </c>
      <c r="AI291" s="24">
        <v>0</v>
      </c>
      <c r="AJ291" s="24">
        <v>0</v>
      </c>
      <c r="AK291" s="24">
        <v>0</v>
      </c>
      <c r="AL291" s="24">
        <v>0</v>
      </c>
      <c r="AM291" s="24">
        <v>0</v>
      </c>
      <c r="AN291" s="24">
        <v>0</v>
      </c>
      <c r="AO291" s="24">
        <v>1</v>
      </c>
      <c r="AP291" s="24">
        <v>0</v>
      </c>
      <c r="AQ291" s="24">
        <v>0</v>
      </c>
      <c r="AR291" s="24">
        <v>0</v>
      </c>
      <c r="AS291" s="24">
        <v>1</v>
      </c>
      <c r="AT291" s="24">
        <v>0</v>
      </c>
      <c r="AU291" s="24">
        <v>0</v>
      </c>
      <c r="AV291" s="24">
        <v>0</v>
      </c>
      <c r="AW291" s="24">
        <v>1</v>
      </c>
      <c r="AX291" s="24">
        <v>0</v>
      </c>
      <c r="AY291" s="24">
        <v>0</v>
      </c>
      <c r="AZ291" s="24">
        <v>0</v>
      </c>
      <c r="BA291" s="24">
        <v>1</v>
      </c>
      <c r="BB291" s="24">
        <v>0</v>
      </c>
    </row>
    <row r="292" spans="2:54" ht="13.8" x14ac:dyDescent="0.3">
      <c r="B292" s="24">
        <v>272</v>
      </c>
      <c r="C292" s="24">
        <v>12</v>
      </c>
      <c r="D292" s="24">
        <v>0</v>
      </c>
      <c r="E292" s="24">
        <v>0</v>
      </c>
      <c r="F292" s="24">
        <v>1</v>
      </c>
      <c r="G292" s="24">
        <v>0</v>
      </c>
      <c r="H292" s="24">
        <v>0</v>
      </c>
      <c r="I292" s="24">
        <v>0</v>
      </c>
      <c r="J292" s="24">
        <v>1402</v>
      </c>
      <c r="K292" s="24">
        <v>3</v>
      </c>
      <c r="L292" s="24">
        <v>0</v>
      </c>
      <c r="M292" s="24">
        <v>0</v>
      </c>
      <c r="N292" s="24">
        <v>0</v>
      </c>
      <c r="O292" s="24">
        <v>0</v>
      </c>
      <c r="P292" s="24">
        <v>0</v>
      </c>
      <c r="Q292" s="24">
        <v>0</v>
      </c>
      <c r="R292" s="24">
        <v>0</v>
      </c>
      <c r="S292" s="24">
        <v>37</v>
      </c>
      <c r="T292" s="24">
        <v>0</v>
      </c>
      <c r="U292" s="24">
        <v>1</v>
      </c>
      <c r="V292" s="24">
        <v>0</v>
      </c>
      <c r="W292" s="24">
        <v>1</v>
      </c>
      <c r="X292" s="24">
        <v>1</v>
      </c>
      <c r="Y292" s="24">
        <v>1</v>
      </c>
      <c r="Z292" s="24">
        <v>0</v>
      </c>
      <c r="AA292" s="24">
        <v>1</v>
      </c>
      <c r="AB292" s="24">
        <v>0</v>
      </c>
      <c r="AC292" s="24">
        <v>0</v>
      </c>
      <c r="AD292" s="24">
        <v>0</v>
      </c>
      <c r="AE292" s="24">
        <v>1</v>
      </c>
      <c r="AF292" s="24">
        <v>0</v>
      </c>
      <c r="AG292" s="24">
        <v>0</v>
      </c>
      <c r="AH292" s="24">
        <v>0</v>
      </c>
      <c r="AI292" s="24">
        <v>0</v>
      </c>
      <c r="AJ292" s="24">
        <v>1</v>
      </c>
      <c r="AK292" s="24">
        <v>0</v>
      </c>
      <c r="AL292" s="24">
        <v>0</v>
      </c>
      <c r="AM292" s="24">
        <v>1</v>
      </c>
      <c r="AN292" s="24">
        <v>0</v>
      </c>
      <c r="AO292" s="24">
        <v>0</v>
      </c>
      <c r="AP292" s="24">
        <v>0</v>
      </c>
      <c r="AQ292" s="24">
        <v>0</v>
      </c>
      <c r="AR292" s="24">
        <v>0</v>
      </c>
      <c r="AS292" s="24">
        <v>1</v>
      </c>
      <c r="AT292" s="24">
        <v>0</v>
      </c>
      <c r="AU292" s="24">
        <v>0</v>
      </c>
      <c r="AV292" s="24">
        <v>0</v>
      </c>
      <c r="AW292" s="24">
        <v>0</v>
      </c>
      <c r="AX292" s="24">
        <v>1</v>
      </c>
      <c r="AY292" s="24">
        <v>0</v>
      </c>
      <c r="AZ292" s="24">
        <v>0</v>
      </c>
      <c r="BA292" s="24">
        <v>1</v>
      </c>
      <c r="BB292" s="24">
        <v>0</v>
      </c>
    </row>
    <row r="293" spans="2:54" ht="13.8" x14ac:dyDescent="0.3">
      <c r="B293" s="24">
        <v>273</v>
      </c>
      <c r="C293" s="24">
        <v>48</v>
      </c>
      <c r="D293" s="24">
        <v>1</v>
      </c>
      <c r="E293" s="24">
        <v>0</v>
      </c>
      <c r="F293" s="24">
        <v>0</v>
      </c>
      <c r="G293" s="24">
        <v>0</v>
      </c>
      <c r="H293" s="24">
        <v>0</v>
      </c>
      <c r="I293" s="24">
        <v>0</v>
      </c>
      <c r="J293" s="24">
        <v>12169</v>
      </c>
      <c r="K293" s="24">
        <v>4</v>
      </c>
      <c r="L293" s="24">
        <v>0</v>
      </c>
      <c r="M293" s="24">
        <v>1</v>
      </c>
      <c r="N293" s="24">
        <v>0</v>
      </c>
      <c r="O293" s="24">
        <v>1</v>
      </c>
      <c r="P293" s="24">
        <v>0</v>
      </c>
      <c r="Q293" s="24">
        <v>0</v>
      </c>
      <c r="R293" s="24">
        <v>1</v>
      </c>
      <c r="S293" s="24">
        <v>36</v>
      </c>
      <c r="T293" s="24">
        <v>0</v>
      </c>
      <c r="U293" s="24">
        <v>0</v>
      </c>
      <c r="V293" s="24">
        <v>0</v>
      </c>
      <c r="W293" s="24">
        <v>1</v>
      </c>
      <c r="X293" s="24">
        <v>1</v>
      </c>
      <c r="Y293" s="24">
        <v>1</v>
      </c>
      <c r="Z293" s="24">
        <v>0</v>
      </c>
      <c r="AA293" s="24">
        <v>1</v>
      </c>
      <c r="AB293" s="24">
        <v>0</v>
      </c>
      <c r="AC293" s="24">
        <v>1</v>
      </c>
      <c r="AD293" s="24">
        <v>0</v>
      </c>
      <c r="AE293" s="24">
        <v>0</v>
      </c>
      <c r="AF293" s="24">
        <v>0</v>
      </c>
      <c r="AG293" s="24">
        <v>1</v>
      </c>
      <c r="AH293" s="24">
        <v>0</v>
      </c>
      <c r="AI293" s="24">
        <v>0</v>
      </c>
      <c r="AJ293" s="24">
        <v>0</v>
      </c>
      <c r="AK293" s="24">
        <v>0</v>
      </c>
      <c r="AL293" s="24">
        <v>0</v>
      </c>
      <c r="AM293" s="24">
        <v>0</v>
      </c>
      <c r="AN293" s="24">
        <v>0</v>
      </c>
      <c r="AO293" s="24">
        <v>1</v>
      </c>
      <c r="AP293" s="24">
        <v>1</v>
      </c>
      <c r="AQ293" s="24">
        <v>0</v>
      </c>
      <c r="AR293" s="24">
        <v>0</v>
      </c>
      <c r="AS293" s="24">
        <v>0</v>
      </c>
      <c r="AT293" s="24">
        <v>0</v>
      </c>
      <c r="AU293" s="24">
        <v>0</v>
      </c>
      <c r="AV293" s="24">
        <v>0</v>
      </c>
      <c r="AW293" s="24">
        <v>0</v>
      </c>
      <c r="AX293" s="24">
        <v>1</v>
      </c>
      <c r="AY293" s="24">
        <v>0</v>
      </c>
      <c r="AZ293" s="24">
        <v>0</v>
      </c>
      <c r="BA293" s="24">
        <v>0</v>
      </c>
      <c r="BB293" s="24">
        <v>1</v>
      </c>
    </row>
    <row r="294" spans="2:54" ht="13.8" x14ac:dyDescent="0.3">
      <c r="B294" s="24">
        <v>274</v>
      </c>
      <c r="C294" s="24">
        <v>48</v>
      </c>
      <c r="D294" s="24">
        <v>0</v>
      </c>
      <c r="E294" s="24">
        <v>0</v>
      </c>
      <c r="F294" s="24">
        <v>0</v>
      </c>
      <c r="G294" s="24">
        <v>1</v>
      </c>
      <c r="H294" s="24">
        <v>0</v>
      </c>
      <c r="I294" s="24">
        <v>0</v>
      </c>
      <c r="J294" s="24">
        <v>3060</v>
      </c>
      <c r="K294" s="24">
        <v>4</v>
      </c>
      <c r="L294" s="24">
        <v>0</v>
      </c>
      <c r="M294" s="24">
        <v>1</v>
      </c>
      <c r="N294" s="24">
        <v>0</v>
      </c>
      <c r="O294" s="24">
        <v>0</v>
      </c>
      <c r="P294" s="24">
        <v>0</v>
      </c>
      <c r="Q294" s="24">
        <v>1</v>
      </c>
      <c r="R294" s="24">
        <v>0</v>
      </c>
      <c r="S294" s="24">
        <v>28</v>
      </c>
      <c r="T294" s="24">
        <v>0</v>
      </c>
      <c r="U294" s="24">
        <v>0</v>
      </c>
      <c r="V294" s="24">
        <v>1</v>
      </c>
      <c r="W294" s="24">
        <v>2</v>
      </c>
      <c r="X294" s="24">
        <v>1</v>
      </c>
      <c r="Y294" s="24">
        <v>0</v>
      </c>
      <c r="Z294" s="24">
        <v>0</v>
      </c>
      <c r="AA294" s="24">
        <v>0</v>
      </c>
      <c r="AB294" s="24">
        <v>0</v>
      </c>
      <c r="AC294" s="24">
        <v>1</v>
      </c>
      <c r="AD294" s="24">
        <v>0</v>
      </c>
      <c r="AE294" s="24">
        <v>0</v>
      </c>
      <c r="AF294" s="24">
        <v>0</v>
      </c>
      <c r="AG294" s="24">
        <v>0</v>
      </c>
      <c r="AH294" s="24">
        <v>1</v>
      </c>
      <c r="AI294" s="24">
        <v>0</v>
      </c>
      <c r="AJ294" s="24">
        <v>0</v>
      </c>
      <c r="AK294" s="24">
        <v>1</v>
      </c>
      <c r="AL294" s="24">
        <v>0</v>
      </c>
      <c r="AM294" s="24">
        <v>0</v>
      </c>
      <c r="AN294" s="24">
        <v>0</v>
      </c>
      <c r="AO294" s="24">
        <v>0</v>
      </c>
      <c r="AP294" s="24">
        <v>0</v>
      </c>
      <c r="AQ294" s="24">
        <v>0</v>
      </c>
      <c r="AR294" s="24">
        <v>0</v>
      </c>
      <c r="AS294" s="24">
        <v>1</v>
      </c>
      <c r="AT294" s="24">
        <v>0</v>
      </c>
      <c r="AU294" s="24">
        <v>0</v>
      </c>
      <c r="AV294" s="24">
        <v>0</v>
      </c>
      <c r="AW294" s="24">
        <v>0</v>
      </c>
      <c r="AX294" s="24">
        <v>1</v>
      </c>
      <c r="AY294" s="24">
        <v>0</v>
      </c>
      <c r="AZ294" s="24">
        <v>0</v>
      </c>
      <c r="BA294" s="24">
        <v>1</v>
      </c>
      <c r="BB294" s="24">
        <v>0</v>
      </c>
    </row>
    <row r="295" spans="2:54" ht="13.8" x14ac:dyDescent="0.3">
      <c r="B295" s="24">
        <v>275</v>
      </c>
      <c r="C295" s="24">
        <v>30</v>
      </c>
      <c r="D295" s="24">
        <v>0</v>
      </c>
      <c r="E295" s="24">
        <v>0</v>
      </c>
      <c r="F295" s="24">
        <v>0</v>
      </c>
      <c r="G295" s="24">
        <v>0</v>
      </c>
      <c r="H295" s="24">
        <v>0</v>
      </c>
      <c r="I295" s="24">
        <v>0</v>
      </c>
      <c r="J295" s="24">
        <v>11998</v>
      </c>
      <c r="K295" s="24">
        <v>1</v>
      </c>
      <c r="L295" s="24">
        <v>1</v>
      </c>
      <c r="M295" s="24">
        <v>0</v>
      </c>
      <c r="N295" s="24">
        <v>0</v>
      </c>
      <c r="O295" s="24">
        <v>0</v>
      </c>
      <c r="P295" s="24">
        <v>0</v>
      </c>
      <c r="Q295" s="24">
        <v>0</v>
      </c>
      <c r="R295" s="24">
        <v>1</v>
      </c>
      <c r="S295" s="24">
        <v>34</v>
      </c>
      <c r="T295" s="24">
        <v>0</v>
      </c>
      <c r="U295" s="24">
        <v>0</v>
      </c>
      <c r="V295" s="24">
        <v>1</v>
      </c>
      <c r="W295" s="24">
        <v>1</v>
      </c>
      <c r="X295" s="24">
        <v>1</v>
      </c>
      <c r="Y295" s="24">
        <v>1</v>
      </c>
      <c r="Z295" s="24">
        <v>0</v>
      </c>
      <c r="AA295" s="24">
        <v>0</v>
      </c>
      <c r="AB295" s="24">
        <v>1</v>
      </c>
      <c r="AC295" s="24">
        <v>0</v>
      </c>
      <c r="AD295" s="24">
        <v>0</v>
      </c>
      <c r="AE295" s="24">
        <v>0</v>
      </c>
      <c r="AF295" s="24">
        <v>0</v>
      </c>
      <c r="AG295" s="24">
        <v>0</v>
      </c>
      <c r="AH295" s="24">
        <v>1</v>
      </c>
      <c r="AI295" s="24">
        <v>0</v>
      </c>
      <c r="AJ295" s="24">
        <v>0</v>
      </c>
      <c r="AK295" s="24">
        <v>1</v>
      </c>
      <c r="AL295" s="24">
        <v>0</v>
      </c>
      <c r="AM295" s="24">
        <v>0</v>
      </c>
      <c r="AN295" s="24">
        <v>0</v>
      </c>
      <c r="AO295" s="24">
        <v>0</v>
      </c>
      <c r="AP295" s="24">
        <v>0</v>
      </c>
      <c r="AQ295" s="24">
        <v>1</v>
      </c>
      <c r="AR295" s="24">
        <v>0</v>
      </c>
      <c r="AS295" s="24">
        <v>0</v>
      </c>
      <c r="AT295" s="24">
        <v>0</v>
      </c>
      <c r="AU295" s="24">
        <v>1</v>
      </c>
      <c r="AV295" s="24">
        <v>0</v>
      </c>
      <c r="AW295" s="24">
        <v>0</v>
      </c>
      <c r="AX295" s="24">
        <v>0</v>
      </c>
      <c r="AY295" s="24">
        <v>0</v>
      </c>
      <c r="AZ295" s="24">
        <v>1</v>
      </c>
      <c r="BA295" s="24">
        <v>0</v>
      </c>
      <c r="BB295" s="24">
        <v>0</v>
      </c>
    </row>
    <row r="296" spans="2:54" ht="13.8" x14ac:dyDescent="0.3">
      <c r="B296" s="24">
        <v>276</v>
      </c>
      <c r="C296" s="24">
        <v>9</v>
      </c>
      <c r="D296" s="24">
        <v>0</v>
      </c>
      <c r="E296" s="24">
        <v>0</v>
      </c>
      <c r="F296" s="24">
        <v>0</v>
      </c>
      <c r="G296" s="24">
        <v>1</v>
      </c>
      <c r="H296" s="24">
        <v>0</v>
      </c>
      <c r="I296" s="24">
        <v>0</v>
      </c>
      <c r="J296" s="24">
        <v>2697</v>
      </c>
      <c r="K296" s="24">
        <v>1</v>
      </c>
      <c r="L296" s="24">
        <v>0</v>
      </c>
      <c r="M296" s="24">
        <v>1</v>
      </c>
      <c r="N296" s="24">
        <v>0</v>
      </c>
      <c r="O296" s="24">
        <v>0</v>
      </c>
      <c r="P296" s="24">
        <v>0</v>
      </c>
      <c r="Q296" s="24">
        <v>1</v>
      </c>
      <c r="R296" s="24">
        <v>0</v>
      </c>
      <c r="S296" s="24">
        <v>32</v>
      </c>
      <c r="T296" s="24">
        <v>0</v>
      </c>
      <c r="U296" s="24">
        <v>0</v>
      </c>
      <c r="V296" s="24">
        <v>1</v>
      </c>
      <c r="W296" s="24">
        <v>1</v>
      </c>
      <c r="X296" s="24">
        <v>2</v>
      </c>
      <c r="Y296" s="24">
        <v>0</v>
      </c>
      <c r="Z296" s="24">
        <v>0</v>
      </c>
      <c r="AA296" s="24">
        <v>1</v>
      </c>
      <c r="AB296" s="24">
        <v>0</v>
      </c>
      <c r="AC296" s="24">
        <v>0</v>
      </c>
      <c r="AD296" s="24">
        <v>0</v>
      </c>
      <c r="AE296" s="24">
        <v>1</v>
      </c>
      <c r="AF296" s="24">
        <v>0</v>
      </c>
      <c r="AG296" s="24">
        <v>0</v>
      </c>
      <c r="AH296" s="24">
        <v>1</v>
      </c>
      <c r="AI296" s="24">
        <v>0</v>
      </c>
      <c r="AJ296" s="24">
        <v>0</v>
      </c>
      <c r="AK296" s="24">
        <v>1</v>
      </c>
      <c r="AL296" s="24">
        <v>0</v>
      </c>
      <c r="AM296" s="24">
        <v>0</v>
      </c>
      <c r="AN296" s="24">
        <v>0</v>
      </c>
      <c r="AO296" s="24">
        <v>0</v>
      </c>
      <c r="AP296" s="24">
        <v>0</v>
      </c>
      <c r="AQ296" s="24">
        <v>0</v>
      </c>
      <c r="AR296" s="24">
        <v>1</v>
      </c>
      <c r="AS296" s="24">
        <v>0</v>
      </c>
      <c r="AT296" s="24">
        <v>0</v>
      </c>
      <c r="AU296" s="24">
        <v>0</v>
      </c>
      <c r="AV296" s="24">
        <v>1</v>
      </c>
      <c r="AW296" s="24">
        <v>0</v>
      </c>
      <c r="AX296" s="24">
        <v>0</v>
      </c>
      <c r="AY296" s="24">
        <v>0</v>
      </c>
      <c r="AZ296" s="24">
        <v>0</v>
      </c>
      <c r="BA296" s="24">
        <v>1</v>
      </c>
      <c r="BB296" s="24">
        <v>0</v>
      </c>
    </row>
    <row r="297" spans="2:54" ht="13.8" x14ac:dyDescent="0.3">
      <c r="B297" s="24">
        <v>277</v>
      </c>
      <c r="C297" s="24">
        <v>18</v>
      </c>
      <c r="D297" s="24">
        <v>0</v>
      </c>
      <c r="E297" s="24">
        <v>0</v>
      </c>
      <c r="F297" s="24">
        <v>0</v>
      </c>
      <c r="G297" s="24">
        <v>1</v>
      </c>
      <c r="H297" s="24">
        <v>0</v>
      </c>
      <c r="I297" s="24">
        <v>0</v>
      </c>
      <c r="J297" s="24">
        <v>2404</v>
      </c>
      <c r="K297" s="24">
        <v>2</v>
      </c>
      <c r="L297" s="24">
        <v>0</v>
      </c>
      <c r="M297" s="24">
        <v>0</v>
      </c>
      <c r="N297" s="24">
        <v>0</v>
      </c>
      <c r="O297" s="24">
        <v>0</v>
      </c>
      <c r="P297" s="24">
        <v>0</v>
      </c>
      <c r="Q297" s="24">
        <v>0</v>
      </c>
      <c r="R297" s="24">
        <v>0</v>
      </c>
      <c r="S297" s="24">
        <v>26</v>
      </c>
      <c r="T297" s="24">
        <v>0</v>
      </c>
      <c r="U297" s="24">
        <v>0</v>
      </c>
      <c r="V297" s="24">
        <v>1</v>
      </c>
      <c r="W297" s="24">
        <v>2</v>
      </c>
      <c r="X297" s="24">
        <v>1</v>
      </c>
      <c r="Y297" s="24">
        <v>0</v>
      </c>
      <c r="Z297" s="24">
        <v>0</v>
      </c>
      <c r="AA297" s="24">
        <v>1</v>
      </c>
      <c r="AB297" s="24">
        <v>0</v>
      </c>
      <c r="AC297" s="24">
        <v>0</v>
      </c>
      <c r="AD297" s="24">
        <v>0</v>
      </c>
      <c r="AE297" s="24">
        <v>1</v>
      </c>
      <c r="AF297" s="24">
        <v>0</v>
      </c>
      <c r="AG297" s="24">
        <v>0</v>
      </c>
      <c r="AH297" s="24">
        <v>0</v>
      </c>
      <c r="AI297" s="24">
        <v>0</v>
      </c>
      <c r="AJ297" s="24">
        <v>1</v>
      </c>
      <c r="AK297" s="24">
        <v>1</v>
      </c>
      <c r="AL297" s="24">
        <v>0</v>
      </c>
      <c r="AM297" s="24">
        <v>0</v>
      </c>
      <c r="AN297" s="24">
        <v>0</v>
      </c>
      <c r="AO297" s="24">
        <v>0</v>
      </c>
      <c r="AP297" s="24">
        <v>0</v>
      </c>
      <c r="AQ297" s="24">
        <v>0</v>
      </c>
      <c r="AR297" s="24">
        <v>1</v>
      </c>
      <c r="AS297" s="24">
        <v>0</v>
      </c>
      <c r="AT297" s="24">
        <v>0</v>
      </c>
      <c r="AU297" s="24">
        <v>0</v>
      </c>
      <c r="AV297" s="24">
        <v>1</v>
      </c>
      <c r="AW297" s="24">
        <v>0</v>
      </c>
      <c r="AX297" s="24">
        <v>0</v>
      </c>
      <c r="AY297" s="24">
        <v>0</v>
      </c>
      <c r="AZ297" s="24">
        <v>0</v>
      </c>
      <c r="BA297" s="24">
        <v>1</v>
      </c>
      <c r="BB297" s="24">
        <v>0</v>
      </c>
    </row>
    <row r="298" spans="2:54" ht="13.8" x14ac:dyDescent="0.3">
      <c r="B298" s="24">
        <v>278</v>
      </c>
      <c r="C298" s="24">
        <v>12</v>
      </c>
      <c r="D298" s="24">
        <v>0</v>
      </c>
      <c r="E298" s="24">
        <v>0</v>
      </c>
      <c r="F298" s="24">
        <v>1</v>
      </c>
      <c r="G298" s="24">
        <v>0</v>
      </c>
      <c r="H298" s="24">
        <v>0</v>
      </c>
      <c r="I298" s="24">
        <v>0</v>
      </c>
      <c r="J298" s="24">
        <v>1262</v>
      </c>
      <c r="K298" s="24">
        <v>2</v>
      </c>
      <c r="L298" s="24">
        <v>1</v>
      </c>
      <c r="M298" s="24">
        <v>0</v>
      </c>
      <c r="N298" s="24">
        <v>0</v>
      </c>
      <c r="O298" s="24">
        <v>0</v>
      </c>
      <c r="P298" s="24">
        <v>0</v>
      </c>
      <c r="Q298" s="24">
        <v>0</v>
      </c>
      <c r="R298" s="24">
        <v>0</v>
      </c>
      <c r="S298" s="24">
        <v>49</v>
      </c>
      <c r="T298" s="24">
        <v>0</v>
      </c>
      <c r="U298" s="24">
        <v>0</v>
      </c>
      <c r="V298" s="24">
        <v>1</v>
      </c>
      <c r="W298" s="24">
        <v>1</v>
      </c>
      <c r="X298" s="24">
        <v>1</v>
      </c>
      <c r="Y298" s="24">
        <v>1</v>
      </c>
      <c r="Z298" s="24">
        <v>0</v>
      </c>
      <c r="AA298" s="24">
        <v>1</v>
      </c>
      <c r="AB298" s="24">
        <v>1</v>
      </c>
      <c r="AC298" s="24">
        <v>0</v>
      </c>
      <c r="AD298" s="24">
        <v>0</v>
      </c>
      <c r="AE298" s="24">
        <v>0</v>
      </c>
      <c r="AF298" s="24">
        <v>0</v>
      </c>
      <c r="AG298" s="24">
        <v>0</v>
      </c>
      <c r="AH298" s="24">
        <v>1</v>
      </c>
      <c r="AI298" s="24">
        <v>0</v>
      </c>
      <c r="AJ298" s="24">
        <v>0</v>
      </c>
      <c r="AK298" s="24">
        <v>0</v>
      </c>
      <c r="AL298" s="24">
        <v>0</v>
      </c>
      <c r="AM298" s="24">
        <v>0</v>
      </c>
      <c r="AN298" s="24">
        <v>0</v>
      </c>
      <c r="AO298" s="24">
        <v>1</v>
      </c>
      <c r="AP298" s="24">
        <v>0</v>
      </c>
      <c r="AQ298" s="24">
        <v>0</v>
      </c>
      <c r="AR298" s="24">
        <v>0</v>
      </c>
      <c r="AS298" s="24">
        <v>0</v>
      </c>
      <c r="AT298" s="24">
        <v>1</v>
      </c>
      <c r="AU298" s="24">
        <v>0</v>
      </c>
      <c r="AV298" s="24">
        <v>0</v>
      </c>
      <c r="AW298" s="24">
        <v>0</v>
      </c>
      <c r="AX298" s="24">
        <v>1</v>
      </c>
      <c r="AY298" s="24">
        <v>0</v>
      </c>
      <c r="AZ298" s="24">
        <v>1</v>
      </c>
      <c r="BA298" s="24">
        <v>0</v>
      </c>
      <c r="BB298" s="24">
        <v>0</v>
      </c>
    </row>
    <row r="299" spans="2:54" ht="13.8" x14ac:dyDescent="0.3">
      <c r="B299" s="24">
        <v>279</v>
      </c>
      <c r="C299" s="24">
        <v>6</v>
      </c>
      <c r="D299" s="24">
        <v>0</v>
      </c>
      <c r="E299" s="24">
        <v>0</v>
      </c>
      <c r="F299" s="24">
        <v>1</v>
      </c>
      <c r="G299" s="24">
        <v>0</v>
      </c>
      <c r="H299" s="24">
        <v>0</v>
      </c>
      <c r="I299" s="24">
        <v>0</v>
      </c>
      <c r="J299" s="24">
        <v>4611</v>
      </c>
      <c r="K299" s="24">
        <v>1</v>
      </c>
      <c r="L299" s="24">
        <v>0</v>
      </c>
      <c r="M299" s="24">
        <v>0</v>
      </c>
      <c r="N299" s="24">
        <v>0</v>
      </c>
      <c r="O299" s="24">
        <v>0</v>
      </c>
      <c r="P299" s="24">
        <v>0</v>
      </c>
      <c r="Q299" s="24">
        <v>0</v>
      </c>
      <c r="R299" s="24">
        <v>0</v>
      </c>
      <c r="S299" s="24">
        <v>32</v>
      </c>
      <c r="T299" s="24">
        <v>0</v>
      </c>
      <c r="U299" s="24">
        <v>0</v>
      </c>
      <c r="V299" s="24">
        <v>1</v>
      </c>
      <c r="W299" s="24">
        <v>1</v>
      </c>
      <c r="X299" s="24">
        <v>1</v>
      </c>
      <c r="Y299" s="24">
        <v>0</v>
      </c>
      <c r="Z299" s="24">
        <v>0</v>
      </c>
      <c r="AA299" s="24">
        <v>0</v>
      </c>
      <c r="AB299" s="24">
        <v>0</v>
      </c>
      <c r="AC299" s="24">
        <v>0</v>
      </c>
      <c r="AD299" s="24">
        <v>0</v>
      </c>
      <c r="AE299" s="24">
        <v>1</v>
      </c>
      <c r="AF299" s="24">
        <v>0</v>
      </c>
      <c r="AG299" s="24">
        <v>0</v>
      </c>
      <c r="AH299" s="24">
        <v>1</v>
      </c>
      <c r="AI299" s="24">
        <v>0</v>
      </c>
      <c r="AJ299" s="24">
        <v>0</v>
      </c>
      <c r="AK299" s="24">
        <v>1</v>
      </c>
      <c r="AL299" s="24">
        <v>0</v>
      </c>
      <c r="AM299" s="24">
        <v>0</v>
      </c>
      <c r="AN299" s="24">
        <v>0</v>
      </c>
      <c r="AO299" s="24">
        <v>0</v>
      </c>
      <c r="AP299" s="24">
        <v>0</v>
      </c>
      <c r="AQ299" s="24">
        <v>1</v>
      </c>
      <c r="AR299" s="24">
        <v>0</v>
      </c>
      <c r="AS299" s="24">
        <v>0</v>
      </c>
      <c r="AT299" s="24">
        <v>0</v>
      </c>
      <c r="AU299" s="24">
        <v>0</v>
      </c>
      <c r="AV299" s="24">
        <v>0</v>
      </c>
      <c r="AW299" s="24">
        <v>0</v>
      </c>
      <c r="AX299" s="24">
        <v>1</v>
      </c>
      <c r="AY299" s="24">
        <v>0</v>
      </c>
      <c r="AZ299" s="24">
        <v>0</v>
      </c>
      <c r="BA299" s="24">
        <v>1</v>
      </c>
      <c r="BB299" s="24">
        <v>0</v>
      </c>
    </row>
    <row r="300" spans="2:54" ht="13.8" x14ac:dyDescent="0.3">
      <c r="B300" s="24">
        <v>280</v>
      </c>
      <c r="C300" s="24">
        <v>24</v>
      </c>
      <c r="D300" s="24">
        <v>0</v>
      </c>
      <c r="E300" s="24">
        <v>0</v>
      </c>
      <c r="F300" s="24">
        <v>0</v>
      </c>
      <c r="G300" s="24">
        <v>1</v>
      </c>
      <c r="H300" s="24">
        <v>0</v>
      </c>
      <c r="I300" s="24">
        <v>0</v>
      </c>
      <c r="J300" s="24">
        <v>1901</v>
      </c>
      <c r="K300" s="24">
        <v>4</v>
      </c>
      <c r="L300" s="24">
        <v>0</v>
      </c>
      <c r="M300" s="24">
        <v>1</v>
      </c>
      <c r="N300" s="24">
        <v>0</v>
      </c>
      <c r="O300" s="24">
        <v>0</v>
      </c>
      <c r="P300" s="24">
        <v>0</v>
      </c>
      <c r="Q300" s="24">
        <v>0</v>
      </c>
      <c r="R300" s="24">
        <v>0</v>
      </c>
      <c r="S300" s="24">
        <v>29</v>
      </c>
      <c r="T300" s="24">
        <v>0</v>
      </c>
      <c r="U300" s="24">
        <v>1</v>
      </c>
      <c r="V300" s="24">
        <v>0</v>
      </c>
      <c r="W300" s="24">
        <v>1</v>
      </c>
      <c r="X300" s="24">
        <v>1</v>
      </c>
      <c r="Y300" s="24">
        <v>1</v>
      </c>
      <c r="Z300" s="24">
        <v>0</v>
      </c>
      <c r="AA300" s="24">
        <v>1</v>
      </c>
      <c r="AB300" s="24">
        <v>0</v>
      </c>
      <c r="AC300" s="24">
        <v>0</v>
      </c>
      <c r="AD300" s="24">
        <v>0</v>
      </c>
      <c r="AE300" s="24">
        <v>1</v>
      </c>
      <c r="AF300" s="24">
        <v>0</v>
      </c>
      <c r="AG300" s="24">
        <v>0</v>
      </c>
      <c r="AH300" s="24">
        <v>1</v>
      </c>
      <c r="AI300" s="24">
        <v>0</v>
      </c>
      <c r="AJ300" s="24">
        <v>0</v>
      </c>
      <c r="AK300" s="24">
        <v>0</v>
      </c>
      <c r="AL300" s="24">
        <v>1</v>
      </c>
      <c r="AM300" s="24">
        <v>0</v>
      </c>
      <c r="AN300" s="24">
        <v>0</v>
      </c>
      <c r="AO300" s="24">
        <v>0</v>
      </c>
      <c r="AP300" s="24">
        <v>0</v>
      </c>
      <c r="AQ300" s="24">
        <v>0</v>
      </c>
      <c r="AR300" s="24">
        <v>1</v>
      </c>
      <c r="AS300" s="24">
        <v>0</v>
      </c>
      <c r="AT300" s="24">
        <v>0</v>
      </c>
      <c r="AU300" s="24">
        <v>0</v>
      </c>
      <c r="AV300" s="24">
        <v>0</v>
      </c>
      <c r="AW300" s="24">
        <v>0</v>
      </c>
      <c r="AX300" s="24">
        <v>1</v>
      </c>
      <c r="AY300" s="24">
        <v>0</v>
      </c>
      <c r="AZ300" s="24">
        <v>0</v>
      </c>
      <c r="BA300" s="24">
        <v>0</v>
      </c>
      <c r="BB300" s="24">
        <v>1</v>
      </c>
    </row>
    <row r="301" spans="2:54" ht="13.8" x14ac:dyDescent="0.3">
      <c r="B301" s="24">
        <v>281</v>
      </c>
      <c r="C301" s="24">
        <v>15</v>
      </c>
      <c r="D301" s="24">
        <v>0</v>
      </c>
      <c r="E301" s="24">
        <v>1</v>
      </c>
      <c r="F301" s="24">
        <v>0</v>
      </c>
      <c r="G301" s="24">
        <v>0</v>
      </c>
      <c r="H301" s="24">
        <v>0</v>
      </c>
      <c r="I301" s="24">
        <v>0</v>
      </c>
      <c r="J301" s="24">
        <v>3368</v>
      </c>
      <c r="K301" s="24">
        <v>3</v>
      </c>
      <c r="L301" s="24">
        <v>0</v>
      </c>
      <c r="M301" s="24">
        <v>1</v>
      </c>
      <c r="N301" s="24">
        <v>0</v>
      </c>
      <c r="O301" s="24">
        <v>0</v>
      </c>
      <c r="P301" s="24">
        <v>0</v>
      </c>
      <c r="Q301" s="24">
        <v>0</v>
      </c>
      <c r="R301" s="24">
        <v>1</v>
      </c>
      <c r="S301" s="24">
        <v>23</v>
      </c>
      <c r="T301" s="24">
        <v>0</v>
      </c>
      <c r="U301" s="24">
        <v>1</v>
      </c>
      <c r="V301" s="24">
        <v>0</v>
      </c>
      <c r="W301" s="24">
        <v>2</v>
      </c>
      <c r="X301" s="24">
        <v>1</v>
      </c>
      <c r="Y301" s="24">
        <v>1</v>
      </c>
      <c r="Z301" s="24">
        <v>0</v>
      </c>
      <c r="AA301" s="24">
        <v>1</v>
      </c>
      <c r="AB301" s="24">
        <v>0</v>
      </c>
      <c r="AC301" s="24">
        <v>0</v>
      </c>
      <c r="AD301" s="24">
        <v>0</v>
      </c>
      <c r="AE301" s="24">
        <v>1</v>
      </c>
      <c r="AF301" s="24">
        <v>0</v>
      </c>
      <c r="AG301" s="24">
        <v>0</v>
      </c>
      <c r="AH301" s="24">
        <v>0</v>
      </c>
      <c r="AI301" s="24">
        <v>0</v>
      </c>
      <c r="AJ301" s="24">
        <v>1</v>
      </c>
      <c r="AK301" s="24">
        <v>0</v>
      </c>
      <c r="AL301" s="24">
        <v>0</v>
      </c>
      <c r="AM301" s="24">
        <v>0</v>
      </c>
      <c r="AN301" s="24">
        <v>1</v>
      </c>
      <c r="AO301" s="24">
        <v>0</v>
      </c>
      <c r="AP301" s="24">
        <v>0</v>
      </c>
      <c r="AQ301" s="24">
        <v>0</v>
      </c>
      <c r="AR301" s="24">
        <v>0</v>
      </c>
      <c r="AS301" s="24">
        <v>0</v>
      </c>
      <c r="AT301" s="24">
        <v>1</v>
      </c>
      <c r="AU301" s="24">
        <v>0</v>
      </c>
      <c r="AV301" s="24">
        <v>0</v>
      </c>
      <c r="AW301" s="24">
        <v>0</v>
      </c>
      <c r="AX301" s="24">
        <v>1</v>
      </c>
      <c r="AY301" s="24">
        <v>0</v>
      </c>
      <c r="AZ301" s="24">
        <v>0</v>
      </c>
      <c r="BA301" s="24">
        <v>1</v>
      </c>
      <c r="BB301" s="24">
        <v>0</v>
      </c>
    </row>
    <row r="302" spans="2:54" ht="13.8" x14ac:dyDescent="0.3">
      <c r="B302" s="24">
        <v>282</v>
      </c>
      <c r="C302" s="24">
        <v>12</v>
      </c>
      <c r="D302" s="24">
        <v>0</v>
      </c>
      <c r="E302" s="24">
        <v>0</v>
      </c>
      <c r="F302" s="24">
        <v>1</v>
      </c>
      <c r="G302" s="24">
        <v>0</v>
      </c>
      <c r="H302" s="24">
        <v>0</v>
      </c>
      <c r="I302" s="24">
        <v>0</v>
      </c>
      <c r="J302" s="24">
        <v>1574</v>
      </c>
      <c r="K302" s="24">
        <v>4</v>
      </c>
      <c r="L302" s="24">
        <v>0</v>
      </c>
      <c r="M302" s="24">
        <v>1</v>
      </c>
      <c r="N302" s="24">
        <v>0</v>
      </c>
      <c r="O302" s="24">
        <v>0</v>
      </c>
      <c r="P302" s="24">
        <v>0</v>
      </c>
      <c r="Q302" s="24">
        <v>1</v>
      </c>
      <c r="R302" s="24">
        <v>0</v>
      </c>
      <c r="S302" s="24">
        <v>50</v>
      </c>
      <c r="T302" s="24">
        <v>0</v>
      </c>
      <c r="U302" s="24">
        <v>0</v>
      </c>
      <c r="V302" s="24">
        <v>1</v>
      </c>
      <c r="W302" s="24">
        <v>1</v>
      </c>
      <c r="X302" s="24">
        <v>1</v>
      </c>
      <c r="Y302" s="24">
        <v>0</v>
      </c>
      <c r="Z302" s="24">
        <v>0</v>
      </c>
      <c r="AA302" s="24">
        <v>1</v>
      </c>
      <c r="AB302" s="24">
        <v>0</v>
      </c>
      <c r="AC302" s="24">
        <v>0</v>
      </c>
      <c r="AD302" s="24">
        <v>0</v>
      </c>
      <c r="AE302" s="24">
        <v>1</v>
      </c>
      <c r="AF302" s="24">
        <v>0</v>
      </c>
      <c r="AG302" s="24">
        <v>0</v>
      </c>
      <c r="AH302" s="24">
        <v>1</v>
      </c>
      <c r="AI302" s="24">
        <v>0</v>
      </c>
      <c r="AJ302" s="24">
        <v>0</v>
      </c>
      <c r="AK302" s="24">
        <v>1</v>
      </c>
      <c r="AL302" s="24">
        <v>0</v>
      </c>
      <c r="AM302" s="24">
        <v>0</v>
      </c>
      <c r="AN302" s="24">
        <v>0</v>
      </c>
      <c r="AO302" s="24">
        <v>0</v>
      </c>
      <c r="AP302" s="24">
        <v>0</v>
      </c>
      <c r="AQ302" s="24">
        <v>0</v>
      </c>
      <c r="AR302" s="24">
        <v>1</v>
      </c>
      <c r="AS302" s="24">
        <v>0</v>
      </c>
      <c r="AT302" s="24">
        <v>0</v>
      </c>
      <c r="AU302" s="24">
        <v>0</v>
      </c>
      <c r="AV302" s="24">
        <v>1</v>
      </c>
      <c r="AW302" s="24">
        <v>0</v>
      </c>
      <c r="AX302" s="24">
        <v>0</v>
      </c>
      <c r="AY302" s="24">
        <v>0</v>
      </c>
      <c r="AZ302" s="24">
        <v>0</v>
      </c>
      <c r="BA302" s="24">
        <v>1</v>
      </c>
      <c r="BB302" s="24">
        <v>0</v>
      </c>
    </row>
    <row r="303" spans="2:54" ht="13.8" x14ac:dyDescent="0.3">
      <c r="B303" s="24">
        <v>283</v>
      </c>
      <c r="C303" s="24">
        <v>18</v>
      </c>
      <c r="D303" s="24">
        <v>0</v>
      </c>
      <c r="E303" s="24">
        <v>0</v>
      </c>
      <c r="F303" s="24">
        <v>0</v>
      </c>
      <c r="G303" s="24">
        <v>1</v>
      </c>
      <c r="H303" s="24">
        <v>0</v>
      </c>
      <c r="I303" s="24">
        <v>0</v>
      </c>
      <c r="J303" s="24">
        <v>1445</v>
      </c>
      <c r="K303" s="24">
        <v>4</v>
      </c>
      <c r="L303" s="24">
        <v>0</v>
      </c>
      <c r="M303" s="24">
        <v>1</v>
      </c>
      <c r="N303" s="24">
        <v>0</v>
      </c>
      <c r="O303" s="24">
        <v>0</v>
      </c>
      <c r="P303" s="24">
        <v>0</v>
      </c>
      <c r="Q303" s="24">
        <v>0</v>
      </c>
      <c r="R303" s="24">
        <v>0</v>
      </c>
      <c r="S303" s="24">
        <v>49</v>
      </c>
      <c r="T303" s="24">
        <v>1</v>
      </c>
      <c r="U303" s="24">
        <v>0</v>
      </c>
      <c r="V303" s="24">
        <v>1</v>
      </c>
      <c r="W303" s="24">
        <v>1</v>
      </c>
      <c r="X303" s="24">
        <v>1</v>
      </c>
      <c r="Y303" s="24">
        <v>0</v>
      </c>
      <c r="Z303" s="24">
        <v>0</v>
      </c>
      <c r="AA303" s="24">
        <v>1</v>
      </c>
      <c r="AB303" s="24">
        <v>0</v>
      </c>
      <c r="AC303" s="24">
        <v>0</v>
      </c>
      <c r="AD303" s="24">
        <v>1</v>
      </c>
      <c r="AE303" s="24">
        <v>0</v>
      </c>
      <c r="AF303" s="24">
        <v>0</v>
      </c>
      <c r="AG303" s="24">
        <v>1</v>
      </c>
      <c r="AH303" s="24">
        <v>0</v>
      </c>
      <c r="AI303" s="24">
        <v>0</v>
      </c>
      <c r="AJ303" s="24">
        <v>0</v>
      </c>
      <c r="AK303" s="24">
        <v>0</v>
      </c>
      <c r="AL303" s="24">
        <v>0</v>
      </c>
      <c r="AM303" s="24">
        <v>0</v>
      </c>
      <c r="AN303" s="24">
        <v>0</v>
      </c>
      <c r="AO303" s="24">
        <v>1</v>
      </c>
      <c r="AP303" s="24">
        <v>0</v>
      </c>
      <c r="AQ303" s="24">
        <v>0</v>
      </c>
      <c r="AR303" s="24">
        <v>0</v>
      </c>
      <c r="AS303" s="24">
        <v>1</v>
      </c>
      <c r="AT303" s="24">
        <v>0</v>
      </c>
      <c r="AU303" s="24">
        <v>0</v>
      </c>
      <c r="AV303" s="24">
        <v>0</v>
      </c>
      <c r="AW303" s="24">
        <v>0</v>
      </c>
      <c r="AX303" s="24">
        <v>1</v>
      </c>
      <c r="AY303" s="24">
        <v>0</v>
      </c>
      <c r="AZ303" s="24">
        <v>1</v>
      </c>
      <c r="BA303" s="24">
        <v>0</v>
      </c>
      <c r="BB303" s="24">
        <v>0</v>
      </c>
    </row>
    <row r="304" spans="2:54" ht="13.8" x14ac:dyDescent="0.3">
      <c r="B304" s="24">
        <v>284</v>
      </c>
      <c r="C304" s="24">
        <v>15</v>
      </c>
      <c r="D304" s="24">
        <v>0</v>
      </c>
      <c r="E304" s="24">
        <v>0</v>
      </c>
      <c r="F304" s="24">
        <v>1</v>
      </c>
      <c r="G304" s="24">
        <v>0</v>
      </c>
      <c r="H304" s="24">
        <v>0</v>
      </c>
      <c r="I304" s="24">
        <v>0</v>
      </c>
      <c r="J304" s="24">
        <v>1520</v>
      </c>
      <c r="K304" s="24">
        <v>4</v>
      </c>
      <c r="L304" s="24">
        <v>0</v>
      </c>
      <c r="M304" s="24">
        <v>1</v>
      </c>
      <c r="N304" s="24">
        <v>0</v>
      </c>
      <c r="O304" s="24">
        <v>0</v>
      </c>
      <c r="P304" s="24">
        <v>0</v>
      </c>
      <c r="Q304" s="24">
        <v>0</v>
      </c>
      <c r="R304" s="24">
        <v>0</v>
      </c>
      <c r="S304" s="24">
        <v>63</v>
      </c>
      <c r="T304" s="24">
        <v>0</v>
      </c>
      <c r="U304" s="24">
        <v>0</v>
      </c>
      <c r="V304" s="24">
        <v>1</v>
      </c>
      <c r="W304" s="24">
        <v>1</v>
      </c>
      <c r="X304" s="24">
        <v>1</v>
      </c>
      <c r="Y304" s="24">
        <v>0</v>
      </c>
      <c r="Z304" s="24">
        <v>0</v>
      </c>
      <c r="AA304" s="24">
        <v>1</v>
      </c>
      <c r="AB304" s="24">
        <v>0</v>
      </c>
      <c r="AC304" s="24">
        <v>0</v>
      </c>
      <c r="AD304" s="24">
        <v>0</v>
      </c>
      <c r="AE304" s="24">
        <v>1</v>
      </c>
      <c r="AF304" s="24">
        <v>0</v>
      </c>
      <c r="AG304" s="24">
        <v>0</v>
      </c>
      <c r="AH304" s="24">
        <v>0</v>
      </c>
      <c r="AI304" s="24">
        <v>0</v>
      </c>
      <c r="AJ304" s="24">
        <v>1</v>
      </c>
      <c r="AK304" s="24">
        <v>0</v>
      </c>
      <c r="AL304" s="24">
        <v>0</v>
      </c>
      <c r="AM304" s="24">
        <v>0</v>
      </c>
      <c r="AN304" s="24">
        <v>0</v>
      </c>
      <c r="AO304" s="24">
        <v>1</v>
      </c>
      <c r="AP304" s="24">
        <v>0</v>
      </c>
      <c r="AQ304" s="24">
        <v>0</v>
      </c>
      <c r="AR304" s="24">
        <v>0</v>
      </c>
      <c r="AS304" s="24">
        <v>0</v>
      </c>
      <c r="AT304" s="24">
        <v>1</v>
      </c>
      <c r="AU304" s="24">
        <v>0</v>
      </c>
      <c r="AV304" s="24">
        <v>0</v>
      </c>
      <c r="AW304" s="24">
        <v>0</v>
      </c>
      <c r="AX304" s="24">
        <v>1</v>
      </c>
      <c r="AY304" s="24">
        <v>0</v>
      </c>
      <c r="AZ304" s="24">
        <v>0</v>
      </c>
      <c r="BA304" s="24">
        <v>1</v>
      </c>
      <c r="BB304" s="24">
        <v>0</v>
      </c>
    </row>
    <row r="305" spans="2:54" ht="13.8" x14ac:dyDescent="0.3">
      <c r="B305" s="24">
        <v>285</v>
      </c>
      <c r="C305" s="24">
        <v>24</v>
      </c>
      <c r="D305" s="24">
        <v>1</v>
      </c>
      <c r="E305" s="24">
        <v>0</v>
      </c>
      <c r="F305" s="24">
        <v>0</v>
      </c>
      <c r="G305" s="24">
        <v>0</v>
      </c>
      <c r="H305" s="24">
        <v>0</v>
      </c>
      <c r="I305" s="24">
        <v>0</v>
      </c>
      <c r="J305" s="24">
        <v>3878</v>
      </c>
      <c r="K305" s="24">
        <v>4</v>
      </c>
      <c r="L305" s="24">
        <v>1</v>
      </c>
      <c r="M305" s="24">
        <v>0</v>
      </c>
      <c r="N305" s="24">
        <v>0</v>
      </c>
      <c r="O305" s="24">
        <v>0</v>
      </c>
      <c r="P305" s="24">
        <v>0</v>
      </c>
      <c r="Q305" s="24">
        <v>0</v>
      </c>
      <c r="R305" s="24">
        <v>0</v>
      </c>
      <c r="S305" s="24">
        <v>37</v>
      </c>
      <c r="T305" s="24">
        <v>0</v>
      </c>
      <c r="U305" s="24">
        <v>0</v>
      </c>
      <c r="V305" s="24">
        <v>1</v>
      </c>
      <c r="W305" s="24">
        <v>1</v>
      </c>
      <c r="X305" s="24">
        <v>1</v>
      </c>
      <c r="Y305" s="24">
        <v>1</v>
      </c>
      <c r="Z305" s="24">
        <v>0</v>
      </c>
      <c r="AA305" s="24">
        <v>1</v>
      </c>
      <c r="AB305" s="24">
        <v>0</v>
      </c>
      <c r="AC305" s="24">
        <v>1</v>
      </c>
      <c r="AD305" s="24">
        <v>0</v>
      </c>
      <c r="AE305" s="24">
        <v>0</v>
      </c>
      <c r="AF305" s="24">
        <v>0</v>
      </c>
      <c r="AG305" s="24">
        <v>0</v>
      </c>
      <c r="AH305" s="24">
        <v>0</v>
      </c>
      <c r="AI305" s="24">
        <v>0</v>
      </c>
      <c r="AJ305" s="24">
        <v>1</v>
      </c>
      <c r="AK305" s="24">
        <v>0</v>
      </c>
      <c r="AL305" s="24">
        <v>1</v>
      </c>
      <c r="AM305" s="24">
        <v>0</v>
      </c>
      <c r="AN305" s="24">
        <v>0</v>
      </c>
      <c r="AO305" s="24">
        <v>0</v>
      </c>
      <c r="AP305" s="24">
        <v>0</v>
      </c>
      <c r="AQ305" s="24">
        <v>1</v>
      </c>
      <c r="AR305" s="24">
        <v>0</v>
      </c>
      <c r="AS305" s="24">
        <v>0</v>
      </c>
      <c r="AT305" s="24">
        <v>0</v>
      </c>
      <c r="AU305" s="24">
        <v>0</v>
      </c>
      <c r="AV305" s="24">
        <v>1</v>
      </c>
      <c r="AW305" s="24">
        <v>0</v>
      </c>
      <c r="AX305" s="24">
        <v>0</v>
      </c>
      <c r="AY305" s="24">
        <v>0</v>
      </c>
      <c r="AZ305" s="24">
        <v>0</v>
      </c>
      <c r="BA305" s="24">
        <v>1</v>
      </c>
      <c r="BB305" s="24">
        <v>0</v>
      </c>
    </row>
    <row r="306" spans="2:54" ht="13.8" x14ac:dyDescent="0.3">
      <c r="B306" s="24">
        <v>286</v>
      </c>
      <c r="C306" s="24">
        <v>47</v>
      </c>
      <c r="D306" s="24">
        <v>1</v>
      </c>
      <c r="E306" s="24">
        <v>0</v>
      </c>
      <c r="F306" s="24">
        <v>0</v>
      </c>
      <c r="G306" s="24">
        <v>0</v>
      </c>
      <c r="H306" s="24">
        <v>0</v>
      </c>
      <c r="I306" s="24">
        <v>0</v>
      </c>
      <c r="J306" s="24">
        <v>10722</v>
      </c>
      <c r="K306" s="24">
        <v>1</v>
      </c>
      <c r="L306" s="24">
        <v>0</v>
      </c>
      <c r="M306" s="24">
        <v>0</v>
      </c>
      <c r="N306" s="24">
        <v>0</v>
      </c>
      <c r="O306" s="24">
        <v>0</v>
      </c>
      <c r="P306" s="24">
        <v>0</v>
      </c>
      <c r="Q306" s="24">
        <v>1</v>
      </c>
      <c r="R306" s="24">
        <v>0</v>
      </c>
      <c r="S306" s="24">
        <v>35</v>
      </c>
      <c r="T306" s="24">
        <v>0</v>
      </c>
      <c r="U306" s="24">
        <v>0</v>
      </c>
      <c r="V306" s="24">
        <v>1</v>
      </c>
      <c r="W306" s="24">
        <v>1</v>
      </c>
      <c r="X306" s="24">
        <v>1</v>
      </c>
      <c r="Y306" s="24">
        <v>1</v>
      </c>
      <c r="Z306" s="24">
        <v>0</v>
      </c>
      <c r="AA306" s="24">
        <v>1</v>
      </c>
      <c r="AB306" s="24">
        <v>1</v>
      </c>
      <c r="AC306" s="24">
        <v>0</v>
      </c>
      <c r="AD306" s="24">
        <v>0</v>
      </c>
      <c r="AE306" s="24">
        <v>0</v>
      </c>
      <c r="AF306" s="24">
        <v>0</v>
      </c>
      <c r="AG306" s="24">
        <v>0</v>
      </c>
      <c r="AH306" s="24">
        <v>1</v>
      </c>
      <c r="AI306" s="24">
        <v>0</v>
      </c>
      <c r="AJ306" s="24">
        <v>0</v>
      </c>
      <c r="AK306" s="24">
        <v>1</v>
      </c>
      <c r="AL306" s="24">
        <v>0</v>
      </c>
      <c r="AM306" s="24">
        <v>0</v>
      </c>
      <c r="AN306" s="24">
        <v>0</v>
      </c>
      <c r="AO306" s="24">
        <v>0</v>
      </c>
      <c r="AP306" s="24">
        <v>0</v>
      </c>
      <c r="AQ306" s="24">
        <v>1</v>
      </c>
      <c r="AR306" s="24">
        <v>0</v>
      </c>
      <c r="AS306" s="24">
        <v>0</v>
      </c>
      <c r="AT306" s="24">
        <v>0</v>
      </c>
      <c r="AU306" s="24">
        <v>1</v>
      </c>
      <c r="AV306" s="24">
        <v>0</v>
      </c>
      <c r="AW306" s="24">
        <v>0</v>
      </c>
      <c r="AX306" s="24">
        <v>0</v>
      </c>
      <c r="AY306" s="24">
        <v>0</v>
      </c>
      <c r="AZ306" s="24">
        <v>1</v>
      </c>
      <c r="BA306" s="24">
        <v>0</v>
      </c>
      <c r="BB306" s="24">
        <v>0</v>
      </c>
    </row>
    <row r="307" spans="2:54" ht="13.8" x14ac:dyDescent="0.3">
      <c r="B307" s="24">
        <v>287</v>
      </c>
      <c r="C307" s="24">
        <v>48</v>
      </c>
      <c r="D307" s="24">
        <v>0</v>
      </c>
      <c r="E307" s="24">
        <v>1</v>
      </c>
      <c r="F307" s="24">
        <v>0</v>
      </c>
      <c r="G307" s="24">
        <v>0</v>
      </c>
      <c r="H307" s="24">
        <v>0</v>
      </c>
      <c r="I307" s="24">
        <v>0</v>
      </c>
      <c r="J307" s="24">
        <v>4788</v>
      </c>
      <c r="K307" s="24">
        <v>4</v>
      </c>
      <c r="L307" s="24">
        <v>0</v>
      </c>
      <c r="M307" s="24">
        <v>1</v>
      </c>
      <c r="N307" s="24">
        <v>0</v>
      </c>
      <c r="O307" s="24">
        <v>0</v>
      </c>
      <c r="P307" s="24">
        <v>0</v>
      </c>
      <c r="Q307" s="24">
        <v>0</v>
      </c>
      <c r="R307" s="24">
        <v>0</v>
      </c>
      <c r="S307" s="24">
        <v>26</v>
      </c>
      <c r="T307" s="24">
        <v>0</v>
      </c>
      <c r="U307" s="24">
        <v>0</v>
      </c>
      <c r="V307" s="24">
        <v>1</v>
      </c>
      <c r="W307" s="24">
        <v>1</v>
      </c>
      <c r="X307" s="24">
        <v>2</v>
      </c>
      <c r="Y307" s="24">
        <v>0</v>
      </c>
      <c r="Z307" s="24">
        <v>0</v>
      </c>
      <c r="AA307" s="24">
        <v>1</v>
      </c>
      <c r="AB307" s="24">
        <v>1</v>
      </c>
      <c r="AC307" s="24">
        <v>0</v>
      </c>
      <c r="AD307" s="24">
        <v>0</v>
      </c>
      <c r="AE307" s="24">
        <v>0</v>
      </c>
      <c r="AF307" s="24">
        <v>0</v>
      </c>
      <c r="AG307" s="24">
        <v>0</v>
      </c>
      <c r="AH307" s="24">
        <v>1</v>
      </c>
      <c r="AI307" s="24">
        <v>0</v>
      </c>
      <c r="AJ307" s="24">
        <v>0</v>
      </c>
      <c r="AK307" s="24">
        <v>1</v>
      </c>
      <c r="AL307" s="24">
        <v>0</v>
      </c>
      <c r="AM307" s="24">
        <v>0</v>
      </c>
      <c r="AN307" s="24">
        <v>0</v>
      </c>
      <c r="AO307" s="24">
        <v>0</v>
      </c>
      <c r="AP307" s="24">
        <v>0</v>
      </c>
      <c r="AQ307" s="24">
        <v>0</v>
      </c>
      <c r="AR307" s="24">
        <v>0</v>
      </c>
      <c r="AS307" s="24">
        <v>1</v>
      </c>
      <c r="AT307" s="24">
        <v>0</v>
      </c>
      <c r="AU307" s="24">
        <v>0</v>
      </c>
      <c r="AV307" s="24">
        <v>0</v>
      </c>
      <c r="AW307" s="24">
        <v>1</v>
      </c>
      <c r="AX307" s="24">
        <v>0</v>
      </c>
      <c r="AY307" s="24">
        <v>0</v>
      </c>
      <c r="AZ307" s="24">
        <v>0</v>
      </c>
      <c r="BA307" s="24">
        <v>1</v>
      </c>
      <c r="BB307" s="24">
        <v>0</v>
      </c>
    </row>
    <row r="308" spans="2:54" ht="13.8" x14ac:dyDescent="0.3">
      <c r="B308" s="24">
        <v>288</v>
      </c>
      <c r="C308" s="24">
        <v>48</v>
      </c>
      <c r="D308" s="24">
        <v>0</v>
      </c>
      <c r="E308" s="24">
        <v>0</v>
      </c>
      <c r="F308" s="24">
        <v>0</v>
      </c>
      <c r="G308" s="24">
        <v>0</v>
      </c>
      <c r="H308" s="24">
        <v>0</v>
      </c>
      <c r="I308" s="24">
        <v>0</v>
      </c>
      <c r="J308" s="24">
        <v>7582</v>
      </c>
      <c r="K308" s="24">
        <v>2</v>
      </c>
      <c r="L308" s="24">
        <v>0</v>
      </c>
      <c r="M308" s="24">
        <v>1</v>
      </c>
      <c r="N308" s="24">
        <v>0</v>
      </c>
      <c r="O308" s="24">
        <v>0</v>
      </c>
      <c r="P308" s="24">
        <v>0</v>
      </c>
      <c r="Q308" s="24">
        <v>0</v>
      </c>
      <c r="R308" s="24">
        <v>1</v>
      </c>
      <c r="S308" s="24">
        <v>31</v>
      </c>
      <c r="T308" s="24">
        <v>0</v>
      </c>
      <c r="U308" s="24">
        <v>0</v>
      </c>
      <c r="V308" s="24">
        <v>0</v>
      </c>
      <c r="W308" s="24">
        <v>1</v>
      </c>
      <c r="X308" s="24">
        <v>1</v>
      </c>
      <c r="Y308" s="24">
        <v>1</v>
      </c>
      <c r="Z308" s="24">
        <v>0</v>
      </c>
      <c r="AA308" s="24">
        <v>1</v>
      </c>
      <c r="AB308" s="24">
        <v>0</v>
      </c>
      <c r="AC308" s="24">
        <v>1</v>
      </c>
      <c r="AD308" s="24">
        <v>0</v>
      </c>
      <c r="AE308" s="24">
        <v>0</v>
      </c>
      <c r="AF308" s="24">
        <v>0</v>
      </c>
      <c r="AG308" s="24">
        <v>0</v>
      </c>
      <c r="AH308" s="24">
        <v>0</v>
      </c>
      <c r="AI308" s="24">
        <v>1</v>
      </c>
      <c r="AJ308" s="24">
        <v>0</v>
      </c>
      <c r="AK308" s="24">
        <v>0</v>
      </c>
      <c r="AL308" s="24">
        <v>1</v>
      </c>
      <c r="AM308" s="24">
        <v>0</v>
      </c>
      <c r="AN308" s="24">
        <v>0</v>
      </c>
      <c r="AO308" s="24">
        <v>0</v>
      </c>
      <c r="AP308" s="24">
        <v>1</v>
      </c>
      <c r="AQ308" s="24">
        <v>0</v>
      </c>
      <c r="AR308" s="24">
        <v>0</v>
      </c>
      <c r="AS308" s="24">
        <v>0</v>
      </c>
      <c r="AT308" s="24">
        <v>0</v>
      </c>
      <c r="AU308" s="24">
        <v>0</v>
      </c>
      <c r="AV308" s="24">
        <v>0</v>
      </c>
      <c r="AW308" s="24">
        <v>0</v>
      </c>
      <c r="AX308" s="24">
        <v>1</v>
      </c>
      <c r="AY308" s="24">
        <v>0</v>
      </c>
      <c r="AZ308" s="24">
        <v>0</v>
      </c>
      <c r="BA308" s="24">
        <v>0</v>
      </c>
      <c r="BB308" s="24">
        <v>1</v>
      </c>
    </row>
    <row r="309" spans="2:54" ht="13.8" x14ac:dyDescent="0.3">
      <c r="B309" s="24">
        <v>289</v>
      </c>
      <c r="C309" s="24">
        <v>12</v>
      </c>
      <c r="D309" s="24">
        <v>0</v>
      </c>
      <c r="E309" s="24">
        <v>0</v>
      </c>
      <c r="F309" s="24">
        <v>0</v>
      </c>
      <c r="G309" s="24">
        <v>1</v>
      </c>
      <c r="H309" s="24">
        <v>0</v>
      </c>
      <c r="I309" s="24">
        <v>0</v>
      </c>
      <c r="J309" s="24">
        <v>1092</v>
      </c>
      <c r="K309" s="24">
        <v>4</v>
      </c>
      <c r="L309" s="24">
        <v>0</v>
      </c>
      <c r="M309" s="24">
        <v>0</v>
      </c>
      <c r="N309" s="24">
        <v>0</v>
      </c>
      <c r="O309" s="24">
        <v>0</v>
      </c>
      <c r="P309" s="24">
        <v>1</v>
      </c>
      <c r="Q309" s="24">
        <v>1</v>
      </c>
      <c r="R309" s="24">
        <v>0</v>
      </c>
      <c r="S309" s="24">
        <v>49</v>
      </c>
      <c r="T309" s="24">
        <v>0</v>
      </c>
      <c r="U309" s="24">
        <v>0</v>
      </c>
      <c r="V309" s="24">
        <v>1</v>
      </c>
      <c r="W309" s="24">
        <v>2</v>
      </c>
      <c r="X309" s="24">
        <v>1</v>
      </c>
      <c r="Y309" s="24">
        <v>1</v>
      </c>
      <c r="Z309" s="24">
        <v>0</v>
      </c>
      <c r="AA309" s="24">
        <v>1</v>
      </c>
      <c r="AB309" s="24">
        <v>0</v>
      </c>
      <c r="AC309" s="24">
        <v>1</v>
      </c>
      <c r="AD309" s="24">
        <v>0</v>
      </c>
      <c r="AE309" s="24">
        <v>0</v>
      </c>
      <c r="AF309" s="24">
        <v>0</v>
      </c>
      <c r="AG309" s="24">
        <v>0</v>
      </c>
      <c r="AH309" s="24">
        <v>1</v>
      </c>
      <c r="AI309" s="24">
        <v>0</v>
      </c>
      <c r="AJ309" s="24">
        <v>0</v>
      </c>
      <c r="AK309" s="24">
        <v>1</v>
      </c>
      <c r="AL309" s="24">
        <v>0</v>
      </c>
      <c r="AM309" s="24">
        <v>0</v>
      </c>
      <c r="AN309" s="24">
        <v>0</v>
      </c>
      <c r="AO309" s="24">
        <v>0</v>
      </c>
      <c r="AP309" s="24">
        <v>0</v>
      </c>
      <c r="AQ309" s="24">
        <v>0</v>
      </c>
      <c r="AR309" s="24">
        <v>1</v>
      </c>
      <c r="AS309" s="24">
        <v>0</v>
      </c>
      <c r="AT309" s="24">
        <v>0</v>
      </c>
      <c r="AU309" s="24">
        <v>0</v>
      </c>
      <c r="AV309" s="24">
        <v>0</v>
      </c>
      <c r="AW309" s="24">
        <v>0</v>
      </c>
      <c r="AX309" s="24">
        <v>1</v>
      </c>
      <c r="AY309" s="24">
        <v>0</v>
      </c>
      <c r="AZ309" s="24">
        <v>0</v>
      </c>
      <c r="BA309" s="24">
        <v>1</v>
      </c>
      <c r="BB309" s="24">
        <v>0</v>
      </c>
    </row>
    <row r="310" spans="2:54" ht="13.8" x14ac:dyDescent="0.3">
      <c r="B310" s="24">
        <v>290</v>
      </c>
      <c r="C310" s="24">
        <v>24</v>
      </c>
      <c r="D310" s="24">
        <v>0</v>
      </c>
      <c r="E310" s="24">
        <v>0</v>
      </c>
      <c r="F310" s="24">
        <v>0</v>
      </c>
      <c r="G310" s="24">
        <v>1</v>
      </c>
      <c r="H310" s="24">
        <v>0</v>
      </c>
      <c r="I310" s="24">
        <v>0</v>
      </c>
      <c r="J310" s="24">
        <v>1024</v>
      </c>
      <c r="K310" s="24">
        <v>4</v>
      </c>
      <c r="L310" s="24">
        <v>0</v>
      </c>
      <c r="M310" s="24">
        <v>0</v>
      </c>
      <c r="N310" s="24">
        <v>1</v>
      </c>
      <c r="O310" s="24">
        <v>0</v>
      </c>
      <c r="P310" s="24">
        <v>0</v>
      </c>
      <c r="Q310" s="24">
        <v>1</v>
      </c>
      <c r="R310" s="24">
        <v>0</v>
      </c>
      <c r="S310" s="24">
        <v>48</v>
      </c>
      <c r="T310" s="24">
        <v>1</v>
      </c>
      <c r="U310" s="24">
        <v>0</v>
      </c>
      <c r="V310" s="24">
        <v>1</v>
      </c>
      <c r="W310" s="24">
        <v>1</v>
      </c>
      <c r="X310" s="24">
        <v>1</v>
      </c>
      <c r="Y310" s="24">
        <v>0</v>
      </c>
      <c r="Z310" s="24">
        <v>0</v>
      </c>
      <c r="AA310" s="24">
        <v>0</v>
      </c>
      <c r="AB310" s="24">
        <v>1</v>
      </c>
      <c r="AC310" s="24">
        <v>0</v>
      </c>
      <c r="AD310" s="24">
        <v>0</v>
      </c>
      <c r="AE310" s="24">
        <v>0</v>
      </c>
      <c r="AF310" s="24">
        <v>0</v>
      </c>
      <c r="AG310" s="24">
        <v>0</v>
      </c>
      <c r="AH310" s="24">
        <v>0</v>
      </c>
      <c r="AI310" s="24">
        <v>1</v>
      </c>
      <c r="AJ310" s="24">
        <v>0</v>
      </c>
      <c r="AK310" s="24">
        <v>1</v>
      </c>
      <c r="AL310" s="24">
        <v>0</v>
      </c>
      <c r="AM310" s="24">
        <v>0</v>
      </c>
      <c r="AN310" s="24">
        <v>0</v>
      </c>
      <c r="AO310" s="24">
        <v>0</v>
      </c>
      <c r="AP310" s="24">
        <v>0</v>
      </c>
      <c r="AQ310" s="24">
        <v>1</v>
      </c>
      <c r="AR310" s="24">
        <v>0</v>
      </c>
      <c r="AS310" s="24">
        <v>0</v>
      </c>
      <c r="AT310" s="24">
        <v>0</v>
      </c>
      <c r="AU310" s="24">
        <v>0</v>
      </c>
      <c r="AV310" s="24">
        <v>0</v>
      </c>
      <c r="AW310" s="24">
        <v>0</v>
      </c>
      <c r="AX310" s="24">
        <v>1</v>
      </c>
      <c r="AY310" s="24">
        <v>0</v>
      </c>
      <c r="AZ310" s="24">
        <v>0</v>
      </c>
      <c r="BA310" s="24">
        <v>1</v>
      </c>
      <c r="BB310" s="24">
        <v>0</v>
      </c>
    </row>
    <row r="311" spans="2:54" ht="13.8" x14ac:dyDescent="0.3">
      <c r="B311" s="24">
        <v>291</v>
      </c>
      <c r="C311" s="24">
        <v>12</v>
      </c>
      <c r="D311" s="24">
        <v>0</v>
      </c>
      <c r="E311" s="24">
        <v>0</v>
      </c>
      <c r="F311" s="24">
        <v>0</v>
      </c>
      <c r="G311" s="24">
        <v>0</v>
      </c>
      <c r="H311" s="24">
        <v>0</v>
      </c>
      <c r="I311" s="24">
        <v>1</v>
      </c>
      <c r="J311" s="24">
        <v>1076</v>
      </c>
      <c r="K311" s="24">
        <v>2</v>
      </c>
      <c r="L311" s="24">
        <v>0</v>
      </c>
      <c r="M311" s="24">
        <v>0</v>
      </c>
      <c r="N311" s="24">
        <v>1</v>
      </c>
      <c r="O311" s="24">
        <v>0</v>
      </c>
      <c r="P311" s="24">
        <v>0</v>
      </c>
      <c r="Q311" s="24">
        <v>1</v>
      </c>
      <c r="R311" s="24">
        <v>0</v>
      </c>
      <c r="S311" s="24">
        <v>26</v>
      </c>
      <c r="T311" s="24">
        <v>0</v>
      </c>
      <c r="U311" s="24">
        <v>0</v>
      </c>
      <c r="V311" s="24">
        <v>1</v>
      </c>
      <c r="W311" s="24">
        <v>1</v>
      </c>
      <c r="X311" s="24">
        <v>1</v>
      </c>
      <c r="Y311" s="24">
        <v>1</v>
      </c>
      <c r="Z311" s="24">
        <v>1</v>
      </c>
      <c r="AA311" s="24">
        <v>1</v>
      </c>
      <c r="AB311" s="24">
        <v>0</v>
      </c>
      <c r="AC311" s="24">
        <v>0</v>
      </c>
      <c r="AD311" s="24">
        <v>0</v>
      </c>
      <c r="AE311" s="24">
        <v>1</v>
      </c>
      <c r="AF311" s="24">
        <v>0</v>
      </c>
      <c r="AG311" s="24">
        <v>0</v>
      </c>
      <c r="AH311" s="24">
        <v>1</v>
      </c>
      <c r="AI311" s="24">
        <v>0</v>
      </c>
      <c r="AJ311" s="24">
        <v>0</v>
      </c>
      <c r="AK311" s="24">
        <v>1</v>
      </c>
      <c r="AL311" s="24">
        <v>0</v>
      </c>
      <c r="AM311" s="24">
        <v>0</v>
      </c>
      <c r="AN311" s="24">
        <v>0</v>
      </c>
      <c r="AO311" s="24">
        <v>0</v>
      </c>
      <c r="AP311" s="24">
        <v>0</v>
      </c>
      <c r="AQ311" s="24">
        <v>0</v>
      </c>
      <c r="AR311" s="24">
        <v>1</v>
      </c>
      <c r="AS311" s="24">
        <v>0</v>
      </c>
      <c r="AT311" s="24">
        <v>0</v>
      </c>
      <c r="AU311" s="24">
        <v>0</v>
      </c>
      <c r="AV311" s="24">
        <v>1</v>
      </c>
      <c r="AW311" s="24">
        <v>0</v>
      </c>
      <c r="AX311" s="24">
        <v>0</v>
      </c>
      <c r="AY311" s="24">
        <v>0</v>
      </c>
      <c r="AZ311" s="24">
        <v>0</v>
      </c>
      <c r="BA311" s="24">
        <v>1</v>
      </c>
      <c r="BB311" s="24">
        <v>0</v>
      </c>
    </row>
    <row r="312" spans="2:54" ht="13.8" x14ac:dyDescent="0.3">
      <c r="B312" s="24">
        <v>292</v>
      </c>
      <c r="C312" s="24">
        <v>36</v>
      </c>
      <c r="D312" s="24">
        <v>0</v>
      </c>
      <c r="E312" s="24">
        <v>1</v>
      </c>
      <c r="F312" s="24">
        <v>0</v>
      </c>
      <c r="G312" s="24">
        <v>0</v>
      </c>
      <c r="H312" s="24">
        <v>0</v>
      </c>
      <c r="I312" s="24">
        <v>0</v>
      </c>
      <c r="J312" s="24">
        <v>9398</v>
      </c>
      <c r="K312" s="24">
        <v>1</v>
      </c>
      <c r="L312" s="24">
        <v>0</v>
      </c>
      <c r="M312" s="24">
        <v>0</v>
      </c>
      <c r="N312" s="24">
        <v>1</v>
      </c>
      <c r="O312" s="24">
        <v>0</v>
      </c>
      <c r="P312" s="24">
        <v>0</v>
      </c>
      <c r="Q312" s="24">
        <v>0</v>
      </c>
      <c r="R312" s="24">
        <v>0</v>
      </c>
      <c r="S312" s="24">
        <v>28</v>
      </c>
      <c r="T312" s="24">
        <v>0</v>
      </c>
      <c r="U312" s="24">
        <v>1</v>
      </c>
      <c r="V312" s="24">
        <v>0</v>
      </c>
      <c r="W312" s="24">
        <v>1</v>
      </c>
      <c r="X312" s="24">
        <v>1</v>
      </c>
      <c r="Y312" s="24">
        <v>1</v>
      </c>
      <c r="Z312" s="24">
        <v>0</v>
      </c>
      <c r="AA312" s="24">
        <v>0</v>
      </c>
      <c r="AB312" s="24">
        <v>0</v>
      </c>
      <c r="AC312" s="24">
        <v>1</v>
      </c>
      <c r="AD312" s="24">
        <v>0</v>
      </c>
      <c r="AE312" s="24">
        <v>0</v>
      </c>
      <c r="AF312" s="24">
        <v>0</v>
      </c>
      <c r="AG312" s="24">
        <v>0</v>
      </c>
      <c r="AH312" s="24">
        <v>1</v>
      </c>
      <c r="AI312" s="24">
        <v>0</v>
      </c>
      <c r="AJ312" s="24">
        <v>0</v>
      </c>
      <c r="AK312" s="24">
        <v>1</v>
      </c>
      <c r="AL312" s="24">
        <v>0</v>
      </c>
      <c r="AM312" s="24">
        <v>0</v>
      </c>
      <c r="AN312" s="24">
        <v>0</v>
      </c>
      <c r="AO312" s="24">
        <v>0</v>
      </c>
      <c r="AP312" s="24">
        <v>0</v>
      </c>
      <c r="AQ312" s="24">
        <v>1</v>
      </c>
      <c r="AR312" s="24">
        <v>0</v>
      </c>
      <c r="AS312" s="24">
        <v>0</v>
      </c>
      <c r="AT312" s="24">
        <v>0</v>
      </c>
      <c r="AU312" s="24">
        <v>0</v>
      </c>
      <c r="AV312" s="24">
        <v>0</v>
      </c>
      <c r="AW312" s="24">
        <v>0</v>
      </c>
      <c r="AX312" s="24">
        <v>1</v>
      </c>
      <c r="AY312" s="24">
        <v>0</v>
      </c>
      <c r="AZ312" s="24">
        <v>0</v>
      </c>
      <c r="BA312" s="24">
        <v>0</v>
      </c>
      <c r="BB312" s="24">
        <v>1</v>
      </c>
    </row>
    <row r="313" spans="2:54" ht="13.8" x14ac:dyDescent="0.3">
      <c r="B313" s="24">
        <v>293</v>
      </c>
      <c r="C313" s="24">
        <v>24</v>
      </c>
      <c r="D313" s="24">
        <v>0</v>
      </c>
      <c r="E313" s="24">
        <v>1</v>
      </c>
      <c r="F313" s="24">
        <v>0</v>
      </c>
      <c r="G313" s="24">
        <v>0</v>
      </c>
      <c r="H313" s="24">
        <v>0</v>
      </c>
      <c r="I313" s="24">
        <v>0</v>
      </c>
      <c r="J313" s="24">
        <v>6419</v>
      </c>
      <c r="K313" s="24">
        <v>2</v>
      </c>
      <c r="L313" s="24">
        <v>0</v>
      </c>
      <c r="M313" s="24">
        <v>0</v>
      </c>
      <c r="N313" s="24">
        <v>0</v>
      </c>
      <c r="O313" s="24">
        <v>0</v>
      </c>
      <c r="P313" s="24">
        <v>0</v>
      </c>
      <c r="Q313" s="24">
        <v>0</v>
      </c>
      <c r="R313" s="24">
        <v>1</v>
      </c>
      <c r="S313" s="24">
        <v>44</v>
      </c>
      <c r="T313" s="24">
        <v>0</v>
      </c>
      <c r="U313" s="24">
        <v>0</v>
      </c>
      <c r="V313" s="24">
        <v>0</v>
      </c>
      <c r="W313" s="24">
        <v>2</v>
      </c>
      <c r="X313" s="24">
        <v>2</v>
      </c>
      <c r="Y313" s="24">
        <v>1</v>
      </c>
      <c r="Z313" s="24">
        <v>0</v>
      </c>
      <c r="AA313" s="24">
        <v>1</v>
      </c>
      <c r="AB313" s="24">
        <v>1</v>
      </c>
      <c r="AC313" s="24">
        <v>0</v>
      </c>
      <c r="AD313" s="24">
        <v>0</v>
      </c>
      <c r="AE313" s="24">
        <v>0</v>
      </c>
      <c r="AF313" s="24">
        <v>0</v>
      </c>
      <c r="AG313" s="24">
        <v>0</v>
      </c>
      <c r="AH313" s="24">
        <v>0</v>
      </c>
      <c r="AI313" s="24">
        <v>0</v>
      </c>
      <c r="AJ313" s="24">
        <v>1</v>
      </c>
      <c r="AK313" s="24">
        <v>1</v>
      </c>
      <c r="AL313" s="24">
        <v>0</v>
      </c>
      <c r="AM313" s="24">
        <v>0</v>
      </c>
      <c r="AN313" s="24">
        <v>0</v>
      </c>
      <c r="AO313" s="24">
        <v>0</v>
      </c>
      <c r="AP313" s="24">
        <v>0</v>
      </c>
      <c r="AQ313" s="24">
        <v>0</v>
      </c>
      <c r="AR313" s="24">
        <v>0</v>
      </c>
      <c r="AS313" s="24">
        <v>0</v>
      </c>
      <c r="AT313" s="24">
        <v>1</v>
      </c>
      <c r="AU313" s="24">
        <v>0</v>
      </c>
      <c r="AV313" s="24">
        <v>0</v>
      </c>
      <c r="AW313" s="24">
        <v>0</v>
      </c>
      <c r="AX313" s="24">
        <v>1</v>
      </c>
      <c r="AY313" s="24">
        <v>0</v>
      </c>
      <c r="AZ313" s="24">
        <v>0</v>
      </c>
      <c r="BA313" s="24">
        <v>0</v>
      </c>
      <c r="BB313" s="24">
        <v>1</v>
      </c>
    </row>
    <row r="314" spans="2:54" ht="13.8" x14ac:dyDescent="0.3">
      <c r="B314" s="24">
        <v>294</v>
      </c>
      <c r="C314" s="24">
        <v>42</v>
      </c>
      <c r="D314" s="24">
        <v>0</v>
      </c>
      <c r="E314" s="24">
        <v>1</v>
      </c>
      <c r="F314" s="24">
        <v>0</v>
      </c>
      <c r="G314" s="24">
        <v>0</v>
      </c>
      <c r="H314" s="24">
        <v>0</v>
      </c>
      <c r="I314" s="24">
        <v>0</v>
      </c>
      <c r="J314" s="24">
        <v>4796</v>
      </c>
      <c r="K314" s="24">
        <v>4</v>
      </c>
      <c r="L314" s="24">
        <v>0</v>
      </c>
      <c r="M314" s="24">
        <v>1</v>
      </c>
      <c r="N314" s="24">
        <v>0</v>
      </c>
      <c r="O314" s="24">
        <v>0</v>
      </c>
      <c r="P314" s="24">
        <v>0</v>
      </c>
      <c r="Q314" s="24">
        <v>0</v>
      </c>
      <c r="R314" s="24">
        <v>1</v>
      </c>
      <c r="S314" s="24">
        <v>56</v>
      </c>
      <c r="T314" s="24">
        <v>0</v>
      </c>
      <c r="U314" s="24">
        <v>0</v>
      </c>
      <c r="V314" s="24">
        <v>0</v>
      </c>
      <c r="W314" s="24">
        <v>1</v>
      </c>
      <c r="X314" s="24">
        <v>1</v>
      </c>
      <c r="Y314" s="24">
        <v>0</v>
      </c>
      <c r="Z314" s="24">
        <v>0</v>
      </c>
      <c r="AA314" s="24">
        <v>1</v>
      </c>
      <c r="AB314" s="24">
        <v>0</v>
      </c>
      <c r="AC314" s="24">
        <v>0</v>
      </c>
      <c r="AD314" s="24">
        <v>1</v>
      </c>
      <c r="AE314" s="24">
        <v>0</v>
      </c>
      <c r="AF314" s="24">
        <v>0</v>
      </c>
      <c r="AG314" s="24">
        <v>0</v>
      </c>
      <c r="AH314" s="24">
        <v>0</v>
      </c>
      <c r="AI314" s="24">
        <v>0</v>
      </c>
      <c r="AJ314" s="24">
        <v>1</v>
      </c>
      <c r="AK314" s="24">
        <v>1</v>
      </c>
      <c r="AL314" s="24">
        <v>0</v>
      </c>
      <c r="AM314" s="24">
        <v>0</v>
      </c>
      <c r="AN314" s="24">
        <v>0</v>
      </c>
      <c r="AO314" s="24">
        <v>0</v>
      </c>
      <c r="AP314" s="24">
        <v>0</v>
      </c>
      <c r="AQ314" s="24">
        <v>0</v>
      </c>
      <c r="AR314" s="24">
        <v>0</v>
      </c>
      <c r="AS314" s="24">
        <v>0</v>
      </c>
      <c r="AT314" s="24">
        <v>1</v>
      </c>
      <c r="AU314" s="24">
        <v>0</v>
      </c>
      <c r="AV314" s="24">
        <v>0</v>
      </c>
      <c r="AW314" s="24">
        <v>0</v>
      </c>
      <c r="AX314" s="24">
        <v>1</v>
      </c>
      <c r="AY314" s="24">
        <v>0</v>
      </c>
      <c r="AZ314" s="24">
        <v>0</v>
      </c>
      <c r="BA314" s="24">
        <v>1</v>
      </c>
      <c r="BB314" s="24">
        <v>0</v>
      </c>
    </row>
    <row r="315" spans="2:54" ht="13.8" x14ac:dyDescent="0.3">
      <c r="B315" s="24">
        <v>295</v>
      </c>
      <c r="C315" s="24">
        <v>48</v>
      </c>
      <c r="D315" s="24">
        <v>0</v>
      </c>
      <c r="E315" s="24">
        <v>0</v>
      </c>
      <c r="F315" s="24">
        <v>0</v>
      </c>
      <c r="G315" s="24">
        <v>0</v>
      </c>
      <c r="H315" s="24">
        <v>0</v>
      </c>
      <c r="I315" s="24">
        <v>1</v>
      </c>
      <c r="J315" s="24">
        <v>7629</v>
      </c>
      <c r="K315" s="24">
        <v>4</v>
      </c>
      <c r="L315" s="24">
        <v>1</v>
      </c>
      <c r="M315" s="24">
        <v>0</v>
      </c>
      <c r="N315" s="24">
        <v>0</v>
      </c>
      <c r="O315" s="24">
        <v>0</v>
      </c>
      <c r="P315" s="24">
        <v>0</v>
      </c>
      <c r="Q315" s="24">
        <v>0</v>
      </c>
      <c r="R315" s="24">
        <v>0</v>
      </c>
      <c r="S315" s="24">
        <v>46</v>
      </c>
      <c r="T315" s="24">
        <v>1</v>
      </c>
      <c r="U315" s="24">
        <v>0</v>
      </c>
      <c r="V315" s="24">
        <v>1</v>
      </c>
      <c r="W315" s="24">
        <v>2</v>
      </c>
      <c r="X315" s="24">
        <v>2</v>
      </c>
      <c r="Y315" s="24">
        <v>0</v>
      </c>
      <c r="Z315" s="24">
        <v>0</v>
      </c>
      <c r="AA315" s="24">
        <v>1</v>
      </c>
      <c r="AB315" s="24">
        <v>0</v>
      </c>
      <c r="AC315" s="24">
        <v>0</v>
      </c>
      <c r="AD315" s="24">
        <v>0</v>
      </c>
      <c r="AE315" s="24">
        <v>1</v>
      </c>
      <c r="AF315" s="24">
        <v>0</v>
      </c>
      <c r="AG315" s="24">
        <v>0</v>
      </c>
      <c r="AH315" s="24">
        <v>0</v>
      </c>
      <c r="AI315" s="24">
        <v>0</v>
      </c>
      <c r="AJ315" s="24">
        <v>1</v>
      </c>
      <c r="AK315" s="24">
        <v>0</v>
      </c>
      <c r="AL315" s="24">
        <v>0</v>
      </c>
      <c r="AM315" s="24">
        <v>0</v>
      </c>
      <c r="AN315" s="24">
        <v>0</v>
      </c>
      <c r="AO315" s="24">
        <v>1</v>
      </c>
      <c r="AP315" s="24">
        <v>0</v>
      </c>
      <c r="AQ315" s="24">
        <v>0</v>
      </c>
      <c r="AR315" s="24">
        <v>0</v>
      </c>
      <c r="AS315" s="24">
        <v>0</v>
      </c>
      <c r="AT315" s="24">
        <v>1</v>
      </c>
      <c r="AU315" s="24">
        <v>0</v>
      </c>
      <c r="AV315" s="24">
        <v>1</v>
      </c>
      <c r="AW315" s="24">
        <v>0</v>
      </c>
      <c r="AX315" s="24">
        <v>0</v>
      </c>
      <c r="AY315" s="24">
        <v>0</v>
      </c>
      <c r="AZ315" s="24">
        <v>0</v>
      </c>
      <c r="BA315" s="24">
        <v>0</v>
      </c>
      <c r="BB315" s="24">
        <v>1</v>
      </c>
    </row>
    <row r="316" spans="2:54" ht="13.8" x14ac:dyDescent="0.3">
      <c r="B316" s="24">
        <v>296</v>
      </c>
      <c r="C316" s="24">
        <v>48</v>
      </c>
      <c r="D316" s="24">
        <v>0</v>
      </c>
      <c r="E316" s="24">
        <v>0</v>
      </c>
      <c r="F316" s="24">
        <v>1</v>
      </c>
      <c r="G316" s="24">
        <v>0</v>
      </c>
      <c r="H316" s="24">
        <v>0</v>
      </c>
      <c r="I316" s="24">
        <v>0</v>
      </c>
      <c r="J316" s="24">
        <v>9960</v>
      </c>
      <c r="K316" s="24">
        <v>1</v>
      </c>
      <c r="L316" s="24">
        <v>0</v>
      </c>
      <c r="M316" s="24">
        <v>0</v>
      </c>
      <c r="N316" s="24">
        <v>0</v>
      </c>
      <c r="O316" s="24">
        <v>0</v>
      </c>
      <c r="P316" s="24">
        <v>0</v>
      </c>
      <c r="Q316" s="24">
        <v>0</v>
      </c>
      <c r="R316" s="24">
        <v>0</v>
      </c>
      <c r="S316" s="24">
        <v>26</v>
      </c>
      <c r="T316" s="24">
        <v>0</v>
      </c>
      <c r="U316" s="24">
        <v>0</v>
      </c>
      <c r="V316" s="24">
        <v>1</v>
      </c>
      <c r="W316" s="24">
        <v>1</v>
      </c>
      <c r="X316" s="24">
        <v>1</v>
      </c>
      <c r="Y316" s="24">
        <v>1</v>
      </c>
      <c r="Z316" s="24">
        <v>0</v>
      </c>
      <c r="AA316" s="24">
        <v>0</v>
      </c>
      <c r="AB316" s="24">
        <v>0</v>
      </c>
      <c r="AC316" s="24">
        <v>1</v>
      </c>
      <c r="AD316" s="24">
        <v>0</v>
      </c>
      <c r="AE316" s="24">
        <v>0</v>
      </c>
      <c r="AF316" s="24">
        <v>0</v>
      </c>
      <c r="AG316" s="24">
        <v>0</v>
      </c>
      <c r="AH316" s="24">
        <v>1</v>
      </c>
      <c r="AI316" s="24">
        <v>0</v>
      </c>
      <c r="AJ316" s="24">
        <v>0</v>
      </c>
      <c r="AK316" s="24">
        <v>1</v>
      </c>
      <c r="AL316" s="24">
        <v>0</v>
      </c>
      <c r="AM316" s="24">
        <v>0</v>
      </c>
      <c r="AN316" s="24">
        <v>0</v>
      </c>
      <c r="AO316" s="24">
        <v>0</v>
      </c>
      <c r="AP316" s="24">
        <v>0</v>
      </c>
      <c r="AQ316" s="24">
        <v>1</v>
      </c>
      <c r="AR316" s="24">
        <v>0</v>
      </c>
      <c r="AS316" s="24">
        <v>0</v>
      </c>
      <c r="AT316" s="24">
        <v>0</v>
      </c>
      <c r="AU316" s="24">
        <v>0</v>
      </c>
      <c r="AV316" s="24">
        <v>1</v>
      </c>
      <c r="AW316" s="24">
        <v>0</v>
      </c>
      <c r="AX316" s="24">
        <v>0</v>
      </c>
      <c r="AY316" s="24">
        <v>0</v>
      </c>
      <c r="AZ316" s="24">
        <v>0</v>
      </c>
      <c r="BA316" s="24">
        <v>1</v>
      </c>
      <c r="BB316" s="24">
        <v>0</v>
      </c>
    </row>
    <row r="317" spans="2:54" ht="13.8" x14ac:dyDescent="0.3">
      <c r="B317" s="24">
        <v>297</v>
      </c>
      <c r="C317" s="24">
        <v>12</v>
      </c>
      <c r="D317" s="24">
        <v>0</v>
      </c>
      <c r="E317" s="24">
        <v>1</v>
      </c>
      <c r="F317" s="24">
        <v>0</v>
      </c>
      <c r="G317" s="24">
        <v>0</v>
      </c>
      <c r="H317" s="24">
        <v>0</v>
      </c>
      <c r="I317" s="24">
        <v>0</v>
      </c>
      <c r="J317" s="24">
        <v>4675</v>
      </c>
      <c r="K317" s="24">
        <v>1</v>
      </c>
      <c r="L317" s="24">
        <v>0</v>
      </c>
      <c r="M317" s="24">
        <v>0</v>
      </c>
      <c r="N317" s="24">
        <v>0</v>
      </c>
      <c r="O317" s="24">
        <v>0</v>
      </c>
      <c r="P317" s="24">
        <v>0</v>
      </c>
      <c r="Q317" s="24">
        <v>0</v>
      </c>
      <c r="R317" s="24">
        <v>0</v>
      </c>
      <c r="S317" s="24">
        <v>20</v>
      </c>
      <c r="T317" s="24">
        <v>0</v>
      </c>
      <c r="U317" s="24">
        <v>1</v>
      </c>
      <c r="V317" s="24">
        <v>0</v>
      </c>
      <c r="W317" s="24">
        <v>1</v>
      </c>
      <c r="X317" s="24">
        <v>1</v>
      </c>
      <c r="Y317" s="24">
        <v>0</v>
      </c>
      <c r="Z317" s="24">
        <v>0</v>
      </c>
      <c r="AA317" s="24">
        <v>1</v>
      </c>
      <c r="AB317" s="24">
        <v>0</v>
      </c>
      <c r="AC317" s="24">
        <v>0</v>
      </c>
      <c r="AD317" s="24">
        <v>0</v>
      </c>
      <c r="AE317" s="24">
        <v>1</v>
      </c>
      <c r="AF317" s="24">
        <v>0</v>
      </c>
      <c r="AG317" s="24">
        <v>0</v>
      </c>
      <c r="AH317" s="24">
        <v>1</v>
      </c>
      <c r="AI317" s="24">
        <v>0</v>
      </c>
      <c r="AJ317" s="24">
        <v>0</v>
      </c>
      <c r="AK317" s="24">
        <v>0</v>
      </c>
      <c r="AL317" s="24">
        <v>0</v>
      </c>
      <c r="AM317" s="24">
        <v>0</v>
      </c>
      <c r="AN317" s="24">
        <v>0</v>
      </c>
      <c r="AO317" s="24">
        <v>1</v>
      </c>
      <c r="AP317" s="24">
        <v>0</v>
      </c>
      <c r="AQ317" s="24">
        <v>1</v>
      </c>
      <c r="AR317" s="24">
        <v>0</v>
      </c>
      <c r="AS317" s="24">
        <v>0</v>
      </c>
      <c r="AT317" s="24">
        <v>0</v>
      </c>
      <c r="AU317" s="24">
        <v>0</v>
      </c>
      <c r="AV317" s="24">
        <v>0</v>
      </c>
      <c r="AW317" s="24">
        <v>0</v>
      </c>
      <c r="AX317" s="24">
        <v>1</v>
      </c>
      <c r="AY317" s="24">
        <v>0</v>
      </c>
      <c r="AZ317" s="24">
        <v>0</v>
      </c>
      <c r="BA317" s="24">
        <v>1</v>
      </c>
      <c r="BB317" s="24">
        <v>0</v>
      </c>
    </row>
    <row r="318" spans="2:54" ht="13.8" x14ac:dyDescent="0.3">
      <c r="B318" s="24">
        <v>298</v>
      </c>
      <c r="C318" s="24">
        <v>10</v>
      </c>
      <c r="D318" s="24">
        <v>1</v>
      </c>
      <c r="E318" s="24">
        <v>0</v>
      </c>
      <c r="F318" s="24">
        <v>0</v>
      </c>
      <c r="G318" s="24">
        <v>0</v>
      </c>
      <c r="H318" s="24">
        <v>0</v>
      </c>
      <c r="I318" s="24">
        <v>0</v>
      </c>
      <c r="J318" s="24">
        <v>1287</v>
      </c>
      <c r="K318" s="24">
        <v>4</v>
      </c>
      <c r="L318" s="24">
        <v>0</v>
      </c>
      <c r="M318" s="24">
        <v>1</v>
      </c>
      <c r="N318" s="24">
        <v>0</v>
      </c>
      <c r="O318" s="24">
        <v>1</v>
      </c>
      <c r="P318" s="24">
        <v>0</v>
      </c>
      <c r="Q318" s="24">
        <v>0</v>
      </c>
      <c r="R318" s="24">
        <v>0</v>
      </c>
      <c r="S318" s="24">
        <v>45</v>
      </c>
      <c r="T318" s="24">
        <v>0</v>
      </c>
      <c r="U318" s="24">
        <v>0</v>
      </c>
      <c r="V318" s="24">
        <v>1</v>
      </c>
      <c r="W318" s="24">
        <v>1</v>
      </c>
      <c r="X318" s="24">
        <v>1</v>
      </c>
      <c r="Y318" s="24">
        <v>0</v>
      </c>
      <c r="Z318" s="24">
        <v>1</v>
      </c>
      <c r="AA318" s="24">
        <v>1</v>
      </c>
      <c r="AB318" s="24">
        <v>0</v>
      </c>
      <c r="AC318" s="24">
        <v>0</v>
      </c>
      <c r="AD318" s="24">
        <v>0</v>
      </c>
      <c r="AE318" s="24">
        <v>1</v>
      </c>
      <c r="AF318" s="24">
        <v>0</v>
      </c>
      <c r="AG318" s="24">
        <v>0</v>
      </c>
      <c r="AH318" s="24">
        <v>1</v>
      </c>
      <c r="AI318" s="24">
        <v>0</v>
      </c>
      <c r="AJ318" s="24">
        <v>0</v>
      </c>
      <c r="AK318" s="24">
        <v>0</v>
      </c>
      <c r="AL318" s="24">
        <v>0</v>
      </c>
      <c r="AM318" s="24">
        <v>0</v>
      </c>
      <c r="AN318" s="24">
        <v>0</v>
      </c>
      <c r="AO318" s="24">
        <v>1</v>
      </c>
      <c r="AP318" s="24">
        <v>0</v>
      </c>
      <c r="AQ318" s="24">
        <v>0</v>
      </c>
      <c r="AR318" s="24">
        <v>0</v>
      </c>
      <c r="AS318" s="24">
        <v>0</v>
      </c>
      <c r="AT318" s="24">
        <v>1</v>
      </c>
      <c r="AU318" s="24">
        <v>0</v>
      </c>
      <c r="AV318" s="24">
        <v>1</v>
      </c>
      <c r="AW318" s="24">
        <v>0</v>
      </c>
      <c r="AX318" s="24">
        <v>0</v>
      </c>
      <c r="AY318" s="24">
        <v>0</v>
      </c>
      <c r="AZ318" s="24">
        <v>1</v>
      </c>
      <c r="BA318" s="24">
        <v>0</v>
      </c>
      <c r="BB318" s="24">
        <v>0</v>
      </c>
    </row>
    <row r="319" spans="2:54" ht="13.8" x14ac:dyDescent="0.3">
      <c r="B319" s="24">
        <v>299</v>
      </c>
      <c r="C319" s="24">
        <v>18</v>
      </c>
      <c r="D319" s="24">
        <v>0</v>
      </c>
      <c r="E319" s="24">
        <v>0</v>
      </c>
      <c r="F319" s="24">
        <v>1</v>
      </c>
      <c r="G319" s="24">
        <v>0</v>
      </c>
      <c r="H319" s="24">
        <v>0</v>
      </c>
      <c r="I319" s="24">
        <v>0</v>
      </c>
      <c r="J319" s="24">
        <v>2515</v>
      </c>
      <c r="K319" s="24">
        <v>3</v>
      </c>
      <c r="L319" s="24">
        <v>0</v>
      </c>
      <c r="M319" s="24">
        <v>1</v>
      </c>
      <c r="N319" s="24">
        <v>0</v>
      </c>
      <c r="O319" s="24">
        <v>0</v>
      </c>
      <c r="P319" s="24">
        <v>0</v>
      </c>
      <c r="Q319" s="24">
        <v>1</v>
      </c>
      <c r="R319" s="24">
        <v>0</v>
      </c>
      <c r="S319" s="24">
        <v>43</v>
      </c>
      <c r="T319" s="24">
        <v>0</v>
      </c>
      <c r="U319" s="24">
        <v>0</v>
      </c>
      <c r="V319" s="24">
        <v>1</v>
      </c>
      <c r="W319" s="24">
        <v>1</v>
      </c>
      <c r="X319" s="24">
        <v>1</v>
      </c>
      <c r="Y319" s="24">
        <v>1</v>
      </c>
      <c r="Z319" s="24">
        <v>0</v>
      </c>
      <c r="AA319" s="24">
        <v>1</v>
      </c>
      <c r="AB319" s="24">
        <v>0</v>
      </c>
      <c r="AC319" s="24">
        <v>0</v>
      </c>
      <c r="AD319" s="24">
        <v>0</v>
      </c>
      <c r="AE319" s="24">
        <v>1</v>
      </c>
      <c r="AF319" s="24">
        <v>0</v>
      </c>
      <c r="AG319" s="24">
        <v>0</v>
      </c>
      <c r="AH319" s="24">
        <v>1</v>
      </c>
      <c r="AI319" s="24">
        <v>0</v>
      </c>
      <c r="AJ319" s="24">
        <v>0</v>
      </c>
      <c r="AK319" s="24">
        <v>1</v>
      </c>
      <c r="AL319" s="24">
        <v>0</v>
      </c>
      <c r="AM319" s="24">
        <v>0</v>
      </c>
      <c r="AN319" s="24">
        <v>0</v>
      </c>
      <c r="AO319" s="24">
        <v>0</v>
      </c>
      <c r="AP319" s="24">
        <v>0</v>
      </c>
      <c r="AQ319" s="24">
        <v>0</v>
      </c>
      <c r="AR319" s="24">
        <v>1</v>
      </c>
      <c r="AS319" s="24">
        <v>0</v>
      </c>
      <c r="AT319" s="24">
        <v>0</v>
      </c>
      <c r="AU319" s="24">
        <v>0</v>
      </c>
      <c r="AV319" s="24">
        <v>0</v>
      </c>
      <c r="AW319" s="24">
        <v>0</v>
      </c>
      <c r="AX319" s="24">
        <v>1</v>
      </c>
      <c r="AY319" s="24">
        <v>0</v>
      </c>
      <c r="AZ319" s="24">
        <v>0</v>
      </c>
      <c r="BA319" s="24">
        <v>1</v>
      </c>
      <c r="BB319" s="24">
        <v>0</v>
      </c>
    </row>
    <row r="320" spans="2:54" ht="13.8" x14ac:dyDescent="0.3">
      <c r="B320" s="24">
        <v>300</v>
      </c>
      <c r="C320" s="24">
        <v>21</v>
      </c>
      <c r="D320" s="24">
        <v>0</v>
      </c>
      <c r="E320" s="24">
        <v>0</v>
      </c>
      <c r="F320" s="24">
        <v>1</v>
      </c>
      <c r="G320" s="24">
        <v>0</v>
      </c>
      <c r="H320" s="24">
        <v>0</v>
      </c>
      <c r="I320" s="24">
        <v>0</v>
      </c>
      <c r="J320" s="24">
        <v>2745</v>
      </c>
      <c r="K320" s="24">
        <v>3</v>
      </c>
      <c r="L320" s="24">
        <v>0</v>
      </c>
      <c r="M320" s="24">
        <v>1</v>
      </c>
      <c r="N320" s="24">
        <v>0</v>
      </c>
      <c r="O320" s="24">
        <v>0</v>
      </c>
      <c r="P320" s="24">
        <v>0</v>
      </c>
      <c r="Q320" s="24">
        <v>0</v>
      </c>
      <c r="R320" s="24">
        <v>0</v>
      </c>
      <c r="S320" s="24">
        <v>32</v>
      </c>
      <c r="T320" s="24">
        <v>0</v>
      </c>
      <c r="U320" s="24">
        <v>0</v>
      </c>
      <c r="V320" s="24">
        <v>1</v>
      </c>
      <c r="W320" s="24">
        <v>2</v>
      </c>
      <c r="X320" s="24">
        <v>1</v>
      </c>
      <c r="Y320" s="24">
        <v>1</v>
      </c>
      <c r="Z320" s="24">
        <v>0</v>
      </c>
      <c r="AA320" s="24">
        <v>1</v>
      </c>
      <c r="AB320" s="24">
        <v>0</v>
      </c>
      <c r="AC320" s="24">
        <v>1</v>
      </c>
      <c r="AD320" s="24">
        <v>0</v>
      </c>
      <c r="AE320" s="24">
        <v>0</v>
      </c>
      <c r="AF320" s="24">
        <v>0</v>
      </c>
      <c r="AG320" s="24">
        <v>0</v>
      </c>
      <c r="AH320" s="24">
        <v>0</v>
      </c>
      <c r="AI320" s="24">
        <v>0</v>
      </c>
      <c r="AJ320" s="24">
        <v>1</v>
      </c>
      <c r="AK320" s="24">
        <v>0</v>
      </c>
      <c r="AL320" s="24">
        <v>0</v>
      </c>
      <c r="AM320" s="24">
        <v>0</v>
      </c>
      <c r="AN320" s="24">
        <v>1</v>
      </c>
      <c r="AO320" s="24">
        <v>0</v>
      </c>
      <c r="AP320" s="24">
        <v>0</v>
      </c>
      <c r="AQ320" s="24">
        <v>0</v>
      </c>
      <c r="AR320" s="24">
        <v>0</v>
      </c>
      <c r="AS320" s="24">
        <v>1</v>
      </c>
      <c r="AT320" s="24">
        <v>0</v>
      </c>
      <c r="AU320" s="24">
        <v>0</v>
      </c>
      <c r="AV320" s="24">
        <v>1</v>
      </c>
      <c r="AW320" s="24">
        <v>0</v>
      </c>
      <c r="AX320" s="24">
        <v>0</v>
      </c>
      <c r="AY320" s="24">
        <v>0</v>
      </c>
      <c r="AZ320" s="24">
        <v>0</v>
      </c>
      <c r="BA320" s="24">
        <v>1</v>
      </c>
      <c r="BB320" s="24">
        <v>0</v>
      </c>
    </row>
    <row r="321" spans="2:54" ht="13.8" x14ac:dyDescent="0.3">
      <c r="B321" s="24">
        <v>301</v>
      </c>
      <c r="C321" s="24">
        <v>6</v>
      </c>
      <c r="D321" s="24">
        <v>1</v>
      </c>
      <c r="E321" s="24">
        <v>0</v>
      </c>
      <c r="F321" s="24">
        <v>0</v>
      </c>
      <c r="G321" s="24">
        <v>0</v>
      </c>
      <c r="H321" s="24">
        <v>0</v>
      </c>
      <c r="I321" s="24">
        <v>0</v>
      </c>
      <c r="J321" s="24">
        <v>672</v>
      </c>
      <c r="K321" s="24">
        <v>1</v>
      </c>
      <c r="L321" s="24">
        <v>0</v>
      </c>
      <c r="M321" s="24">
        <v>0</v>
      </c>
      <c r="N321" s="24">
        <v>0</v>
      </c>
      <c r="O321" s="24">
        <v>0</v>
      </c>
      <c r="P321" s="24">
        <v>0</v>
      </c>
      <c r="Q321" s="24">
        <v>1</v>
      </c>
      <c r="R321" s="24">
        <v>0</v>
      </c>
      <c r="S321" s="24">
        <v>54</v>
      </c>
      <c r="T321" s="24">
        <v>0</v>
      </c>
      <c r="U321" s="24">
        <v>0</v>
      </c>
      <c r="V321" s="24">
        <v>1</v>
      </c>
      <c r="W321" s="24">
        <v>1</v>
      </c>
      <c r="X321" s="24">
        <v>1</v>
      </c>
      <c r="Y321" s="24">
        <v>1</v>
      </c>
      <c r="Z321" s="24">
        <v>0</v>
      </c>
      <c r="AA321" s="24">
        <v>1</v>
      </c>
      <c r="AB321" s="24">
        <v>0</v>
      </c>
      <c r="AC321" s="24">
        <v>0</v>
      </c>
      <c r="AD321" s="24">
        <v>0</v>
      </c>
      <c r="AE321" s="24">
        <v>1</v>
      </c>
      <c r="AF321" s="24">
        <v>0</v>
      </c>
      <c r="AG321" s="24">
        <v>0</v>
      </c>
      <c r="AH321" s="24">
        <v>1</v>
      </c>
      <c r="AI321" s="24">
        <v>0</v>
      </c>
      <c r="AJ321" s="24">
        <v>0</v>
      </c>
      <c r="AK321" s="24">
        <v>1</v>
      </c>
      <c r="AL321" s="24">
        <v>0</v>
      </c>
      <c r="AM321" s="24">
        <v>0</v>
      </c>
      <c r="AN321" s="24">
        <v>0</v>
      </c>
      <c r="AO321" s="24">
        <v>0</v>
      </c>
      <c r="AP321" s="24">
        <v>1</v>
      </c>
      <c r="AQ321" s="24">
        <v>0</v>
      </c>
      <c r="AR321" s="24">
        <v>0</v>
      </c>
      <c r="AS321" s="24">
        <v>0</v>
      </c>
      <c r="AT321" s="24">
        <v>0</v>
      </c>
      <c r="AU321" s="24">
        <v>0</v>
      </c>
      <c r="AV321" s="24">
        <v>0</v>
      </c>
      <c r="AW321" s="24">
        <v>0</v>
      </c>
      <c r="AX321" s="24">
        <v>1</v>
      </c>
      <c r="AY321" s="24">
        <v>1</v>
      </c>
      <c r="AZ321" s="24">
        <v>0</v>
      </c>
      <c r="BA321" s="24">
        <v>0</v>
      </c>
      <c r="BB321" s="24">
        <v>0</v>
      </c>
    </row>
    <row r="322" spans="2:54" ht="13.8" x14ac:dyDescent="0.3">
      <c r="B322" s="24">
        <v>302</v>
      </c>
      <c r="C322" s="24">
        <v>36</v>
      </c>
      <c r="D322" s="24">
        <v>0</v>
      </c>
      <c r="E322" s="24">
        <v>0</v>
      </c>
      <c r="F322" s="24">
        <v>0</v>
      </c>
      <c r="G322" s="24">
        <v>1</v>
      </c>
      <c r="H322" s="24">
        <v>0</v>
      </c>
      <c r="I322" s="24">
        <v>0</v>
      </c>
      <c r="J322" s="24">
        <v>3804</v>
      </c>
      <c r="K322" s="24">
        <v>4</v>
      </c>
      <c r="L322" s="24">
        <v>0</v>
      </c>
      <c r="M322" s="24">
        <v>0</v>
      </c>
      <c r="N322" s="24">
        <v>0</v>
      </c>
      <c r="O322" s="24">
        <v>0</v>
      </c>
      <c r="P322" s="24">
        <v>0</v>
      </c>
      <c r="Q322" s="24">
        <v>0</v>
      </c>
      <c r="R322" s="24">
        <v>0</v>
      </c>
      <c r="S322" s="24">
        <v>42</v>
      </c>
      <c r="T322" s="24">
        <v>0</v>
      </c>
      <c r="U322" s="24">
        <v>0</v>
      </c>
      <c r="V322" s="24">
        <v>1</v>
      </c>
      <c r="W322" s="24">
        <v>1</v>
      </c>
      <c r="X322" s="24">
        <v>1</v>
      </c>
      <c r="Y322" s="24">
        <v>1</v>
      </c>
      <c r="Z322" s="24">
        <v>0</v>
      </c>
      <c r="AA322" s="24">
        <v>0</v>
      </c>
      <c r="AB322" s="24">
        <v>0</v>
      </c>
      <c r="AC322" s="24">
        <v>1</v>
      </c>
      <c r="AD322" s="24">
        <v>0</v>
      </c>
      <c r="AE322" s="24">
        <v>0</v>
      </c>
      <c r="AF322" s="24">
        <v>1</v>
      </c>
      <c r="AG322" s="24">
        <v>0</v>
      </c>
      <c r="AH322" s="24">
        <v>0</v>
      </c>
      <c r="AI322" s="24">
        <v>0</v>
      </c>
      <c r="AJ322" s="24">
        <v>0</v>
      </c>
      <c r="AK322" s="24">
        <v>1</v>
      </c>
      <c r="AL322" s="24">
        <v>0</v>
      </c>
      <c r="AM322" s="24">
        <v>0</v>
      </c>
      <c r="AN322" s="24">
        <v>0</v>
      </c>
      <c r="AO322" s="24">
        <v>0</v>
      </c>
      <c r="AP322" s="24">
        <v>0</v>
      </c>
      <c r="AQ322" s="24">
        <v>0</v>
      </c>
      <c r="AR322" s="24">
        <v>1</v>
      </c>
      <c r="AS322" s="24">
        <v>0</v>
      </c>
      <c r="AT322" s="24">
        <v>0</v>
      </c>
      <c r="AU322" s="24">
        <v>1</v>
      </c>
      <c r="AV322" s="24">
        <v>0</v>
      </c>
      <c r="AW322" s="24">
        <v>0</v>
      </c>
      <c r="AX322" s="24">
        <v>0</v>
      </c>
      <c r="AY322" s="24">
        <v>0</v>
      </c>
      <c r="AZ322" s="24">
        <v>0</v>
      </c>
      <c r="BA322" s="24">
        <v>1</v>
      </c>
      <c r="BB322" s="24">
        <v>0</v>
      </c>
    </row>
    <row r="323" spans="2:54" ht="13.8" x14ac:dyDescent="0.3">
      <c r="B323" s="24">
        <v>303</v>
      </c>
      <c r="C323" s="24">
        <v>24</v>
      </c>
      <c r="D323" s="24">
        <v>1</v>
      </c>
      <c r="E323" s="24">
        <v>0</v>
      </c>
      <c r="F323" s="24">
        <v>0</v>
      </c>
      <c r="G323" s="24">
        <v>0</v>
      </c>
      <c r="H323" s="24">
        <v>0</v>
      </c>
      <c r="I323" s="24">
        <v>0</v>
      </c>
      <c r="J323" s="24">
        <v>1344</v>
      </c>
      <c r="K323" s="24">
        <v>4</v>
      </c>
      <c r="L323" s="24">
        <v>0</v>
      </c>
      <c r="M323" s="24">
        <v>1</v>
      </c>
      <c r="N323" s="24">
        <v>0</v>
      </c>
      <c r="O323" s="24">
        <v>0</v>
      </c>
      <c r="P323" s="24">
        <v>0</v>
      </c>
      <c r="Q323" s="24">
        <v>1</v>
      </c>
      <c r="R323" s="24">
        <v>0</v>
      </c>
      <c r="S323" s="24">
        <v>37</v>
      </c>
      <c r="T323" s="24">
        <v>1</v>
      </c>
      <c r="U323" s="24">
        <v>0</v>
      </c>
      <c r="V323" s="24">
        <v>1</v>
      </c>
      <c r="W323" s="24">
        <v>2</v>
      </c>
      <c r="X323" s="24">
        <v>2</v>
      </c>
      <c r="Y323" s="24">
        <v>0</v>
      </c>
      <c r="Z323" s="24">
        <v>0</v>
      </c>
      <c r="AA323" s="24">
        <v>0</v>
      </c>
      <c r="AB323" s="24">
        <v>0</v>
      </c>
      <c r="AC323" s="24">
        <v>0</v>
      </c>
      <c r="AD323" s="24">
        <v>1</v>
      </c>
      <c r="AE323" s="24">
        <v>0</v>
      </c>
      <c r="AF323" s="24">
        <v>0</v>
      </c>
      <c r="AG323" s="24">
        <v>0</v>
      </c>
      <c r="AH323" s="24">
        <v>0</v>
      </c>
      <c r="AI323" s="24">
        <v>0</v>
      </c>
      <c r="AJ323" s="24">
        <v>1</v>
      </c>
      <c r="AK323" s="24">
        <v>0</v>
      </c>
      <c r="AL323" s="24">
        <v>0</v>
      </c>
      <c r="AM323" s="24">
        <v>0</v>
      </c>
      <c r="AN323" s="24">
        <v>0</v>
      </c>
      <c r="AO323" s="24">
        <v>1</v>
      </c>
      <c r="AP323" s="24">
        <v>0</v>
      </c>
      <c r="AQ323" s="24">
        <v>0</v>
      </c>
      <c r="AR323" s="24">
        <v>0</v>
      </c>
      <c r="AS323" s="24">
        <v>1</v>
      </c>
      <c r="AT323" s="24">
        <v>0</v>
      </c>
      <c r="AU323" s="24">
        <v>0</v>
      </c>
      <c r="AV323" s="24">
        <v>1</v>
      </c>
      <c r="AW323" s="24">
        <v>0</v>
      </c>
      <c r="AX323" s="24">
        <v>0</v>
      </c>
      <c r="AY323" s="24">
        <v>0</v>
      </c>
      <c r="AZ323" s="24">
        <v>1</v>
      </c>
      <c r="BA323" s="24">
        <v>0</v>
      </c>
      <c r="BB323" s="24">
        <v>0</v>
      </c>
    </row>
    <row r="324" spans="2:54" ht="13.8" x14ac:dyDescent="0.3">
      <c r="B324" s="24">
        <v>304</v>
      </c>
      <c r="C324" s="24">
        <v>10</v>
      </c>
      <c r="D324" s="24">
        <v>1</v>
      </c>
      <c r="E324" s="24">
        <v>0</v>
      </c>
      <c r="F324" s="24">
        <v>0</v>
      </c>
      <c r="G324" s="24">
        <v>0</v>
      </c>
      <c r="H324" s="24">
        <v>0</v>
      </c>
      <c r="I324" s="24">
        <v>0</v>
      </c>
      <c r="J324" s="24">
        <v>1038</v>
      </c>
      <c r="K324" s="24">
        <v>4</v>
      </c>
      <c r="L324" s="24">
        <v>0</v>
      </c>
      <c r="M324" s="24">
        <v>1</v>
      </c>
      <c r="N324" s="24">
        <v>0</v>
      </c>
      <c r="O324" s="24">
        <v>1</v>
      </c>
      <c r="P324" s="24">
        <v>0</v>
      </c>
      <c r="Q324" s="24">
        <v>0</v>
      </c>
      <c r="R324" s="24">
        <v>0</v>
      </c>
      <c r="S324" s="24">
        <v>49</v>
      </c>
      <c r="T324" s="24">
        <v>0</v>
      </c>
      <c r="U324" s="24">
        <v>0</v>
      </c>
      <c r="V324" s="24">
        <v>1</v>
      </c>
      <c r="W324" s="24">
        <v>2</v>
      </c>
      <c r="X324" s="24">
        <v>1</v>
      </c>
      <c r="Y324" s="24">
        <v>1</v>
      </c>
      <c r="Z324" s="24">
        <v>0</v>
      </c>
      <c r="AA324" s="24">
        <v>1</v>
      </c>
      <c r="AB324" s="24">
        <v>1</v>
      </c>
      <c r="AC324" s="24">
        <v>0</v>
      </c>
      <c r="AD324" s="24">
        <v>0</v>
      </c>
      <c r="AE324" s="24">
        <v>0</v>
      </c>
      <c r="AF324" s="24">
        <v>0</v>
      </c>
      <c r="AG324" s="24">
        <v>0</v>
      </c>
      <c r="AH324" s="24">
        <v>0</v>
      </c>
      <c r="AI324" s="24">
        <v>0</v>
      </c>
      <c r="AJ324" s="24">
        <v>1</v>
      </c>
      <c r="AK324" s="24">
        <v>1</v>
      </c>
      <c r="AL324" s="24">
        <v>0</v>
      </c>
      <c r="AM324" s="24">
        <v>0</v>
      </c>
      <c r="AN324" s="24">
        <v>0</v>
      </c>
      <c r="AO324" s="24">
        <v>0</v>
      </c>
      <c r="AP324" s="24">
        <v>0</v>
      </c>
      <c r="AQ324" s="24">
        <v>0</v>
      </c>
      <c r="AR324" s="24">
        <v>0</v>
      </c>
      <c r="AS324" s="24">
        <v>1</v>
      </c>
      <c r="AT324" s="24">
        <v>0</v>
      </c>
      <c r="AU324" s="24">
        <v>0</v>
      </c>
      <c r="AV324" s="24">
        <v>0</v>
      </c>
      <c r="AW324" s="24">
        <v>1</v>
      </c>
      <c r="AX324" s="24">
        <v>0</v>
      </c>
      <c r="AY324" s="24">
        <v>0</v>
      </c>
      <c r="AZ324" s="24">
        <v>0</v>
      </c>
      <c r="BA324" s="24">
        <v>1</v>
      </c>
      <c r="BB324" s="24">
        <v>0</v>
      </c>
    </row>
    <row r="325" spans="2:54" ht="13.8" x14ac:dyDescent="0.3">
      <c r="B325" s="24">
        <v>305</v>
      </c>
      <c r="C325" s="24">
        <v>48</v>
      </c>
      <c r="D325" s="24">
        <v>1</v>
      </c>
      <c r="E325" s="24">
        <v>0</v>
      </c>
      <c r="F325" s="24">
        <v>0</v>
      </c>
      <c r="G325" s="24">
        <v>0</v>
      </c>
      <c r="H325" s="24">
        <v>0</v>
      </c>
      <c r="I325" s="24">
        <v>0</v>
      </c>
      <c r="J325" s="24">
        <v>10127</v>
      </c>
      <c r="K325" s="24">
        <v>2</v>
      </c>
      <c r="L325" s="24">
        <v>0</v>
      </c>
      <c r="M325" s="24">
        <v>1</v>
      </c>
      <c r="N325" s="24">
        <v>0</v>
      </c>
      <c r="O325" s="24">
        <v>0</v>
      </c>
      <c r="P325" s="24">
        <v>0</v>
      </c>
      <c r="Q325" s="24">
        <v>0</v>
      </c>
      <c r="R325" s="24">
        <v>1</v>
      </c>
      <c r="S325" s="24">
        <v>44</v>
      </c>
      <c r="T325" s="24">
        <v>1</v>
      </c>
      <c r="U325" s="24">
        <v>0</v>
      </c>
      <c r="V325" s="24">
        <v>0</v>
      </c>
      <c r="W325" s="24">
        <v>1</v>
      </c>
      <c r="X325" s="24">
        <v>1</v>
      </c>
      <c r="Y325" s="24">
        <v>0</v>
      </c>
      <c r="Z325" s="24">
        <v>0</v>
      </c>
      <c r="AA325" s="24">
        <v>0</v>
      </c>
      <c r="AB325" s="24">
        <v>0</v>
      </c>
      <c r="AC325" s="24">
        <v>0</v>
      </c>
      <c r="AD325" s="24">
        <v>0</v>
      </c>
      <c r="AE325" s="24">
        <v>1</v>
      </c>
      <c r="AF325" s="24">
        <v>0</v>
      </c>
      <c r="AG325" s="24">
        <v>0</v>
      </c>
      <c r="AH325" s="24">
        <v>0</v>
      </c>
      <c r="AI325" s="24">
        <v>0</v>
      </c>
      <c r="AJ325" s="24">
        <v>1</v>
      </c>
      <c r="AK325" s="24">
        <v>0</v>
      </c>
      <c r="AL325" s="24">
        <v>0</v>
      </c>
      <c r="AM325" s="24">
        <v>1</v>
      </c>
      <c r="AN325" s="24">
        <v>0</v>
      </c>
      <c r="AO325" s="24">
        <v>0</v>
      </c>
      <c r="AP325" s="24">
        <v>0</v>
      </c>
      <c r="AQ325" s="24">
        <v>0</v>
      </c>
      <c r="AR325" s="24">
        <v>1</v>
      </c>
      <c r="AS325" s="24">
        <v>0</v>
      </c>
      <c r="AT325" s="24">
        <v>0</v>
      </c>
      <c r="AU325" s="24">
        <v>0</v>
      </c>
      <c r="AV325" s="24">
        <v>1</v>
      </c>
      <c r="AW325" s="24">
        <v>0</v>
      </c>
      <c r="AX325" s="24">
        <v>0</v>
      </c>
      <c r="AY325" s="24">
        <v>0</v>
      </c>
      <c r="AZ325" s="24">
        <v>0</v>
      </c>
      <c r="BA325" s="24">
        <v>1</v>
      </c>
      <c r="BB325" s="24">
        <v>0</v>
      </c>
    </row>
    <row r="326" spans="2:54" ht="13.8" x14ac:dyDescent="0.3">
      <c r="B326" s="24">
        <v>306</v>
      </c>
      <c r="C326" s="24">
        <v>6</v>
      </c>
      <c r="D326" s="24">
        <v>0</v>
      </c>
      <c r="E326" s="24">
        <v>0</v>
      </c>
      <c r="F326" s="24">
        <v>1</v>
      </c>
      <c r="G326" s="24">
        <v>0</v>
      </c>
      <c r="H326" s="24">
        <v>0</v>
      </c>
      <c r="I326" s="24">
        <v>0</v>
      </c>
      <c r="J326" s="24">
        <v>1543</v>
      </c>
      <c r="K326" s="24">
        <v>4</v>
      </c>
      <c r="L326" s="24">
        <v>1</v>
      </c>
      <c r="M326" s="24">
        <v>0</v>
      </c>
      <c r="N326" s="24">
        <v>0</v>
      </c>
      <c r="O326" s="24">
        <v>0</v>
      </c>
      <c r="P326" s="24">
        <v>0</v>
      </c>
      <c r="Q326" s="24">
        <v>1</v>
      </c>
      <c r="R326" s="24">
        <v>0</v>
      </c>
      <c r="S326" s="24">
        <v>33</v>
      </c>
      <c r="T326" s="24">
        <v>0</v>
      </c>
      <c r="U326" s="24">
        <v>0</v>
      </c>
      <c r="V326" s="24">
        <v>1</v>
      </c>
      <c r="W326" s="24">
        <v>1</v>
      </c>
      <c r="X326" s="24">
        <v>1</v>
      </c>
      <c r="Y326" s="24">
        <v>0</v>
      </c>
      <c r="Z326" s="24">
        <v>0</v>
      </c>
      <c r="AA326" s="24">
        <v>1</v>
      </c>
      <c r="AB326" s="24">
        <v>0</v>
      </c>
      <c r="AC326" s="24">
        <v>0</v>
      </c>
      <c r="AD326" s="24">
        <v>0</v>
      </c>
      <c r="AE326" s="24">
        <v>1</v>
      </c>
      <c r="AF326" s="24">
        <v>0</v>
      </c>
      <c r="AG326" s="24">
        <v>0</v>
      </c>
      <c r="AH326" s="24">
        <v>1</v>
      </c>
      <c r="AI326" s="24">
        <v>0</v>
      </c>
      <c r="AJ326" s="24">
        <v>0</v>
      </c>
      <c r="AK326" s="24">
        <v>0</v>
      </c>
      <c r="AL326" s="24">
        <v>0</v>
      </c>
      <c r="AM326" s="24">
        <v>0</v>
      </c>
      <c r="AN326" s="24">
        <v>1</v>
      </c>
      <c r="AO326" s="24">
        <v>0</v>
      </c>
      <c r="AP326" s="24">
        <v>0</v>
      </c>
      <c r="AQ326" s="24">
        <v>0</v>
      </c>
      <c r="AR326" s="24">
        <v>1</v>
      </c>
      <c r="AS326" s="24">
        <v>0</v>
      </c>
      <c r="AT326" s="24">
        <v>0</v>
      </c>
      <c r="AU326" s="24">
        <v>0</v>
      </c>
      <c r="AV326" s="24">
        <v>1</v>
      </c>
      <c r="AW326" s="24">
        <v>0</v>
      </c>
      <c r="AX326" s="24">
        <v>0</v>
      </c>
      <c r="AY326" s="24">
        <v>0</v>
      </c>
      <c r="AZ326" s="24">
        <v>0</v>
      </c>
      <c r="BA326" s="24">
        <v>1</v>
      </c>
      <c r="BB326" s="24">
        <v>0</v>
      </c>
    </row>
    <row r="327" spans="2:54" ht="13.8" x14ac:dyDescent="0.3">
      <c r="B327" s="24">
        <v>307</v>
      </c>
      <c r="C327" s="24">
        <v>30</v>
      </c>
      <c r="D327" s="24">
        <v>0</v>
      </c>
      <c r="E327" s="24">
        <v>1</v>
      </c>
      <c r="F327" s="24">
        <v>0</v>
      </c>
      <c r="G327" s="24">
        <v>0</v>
      </c>
      <c r="H327" s="24">
        <v>0</v>
      </c>
      <c r="I327" s="24">
        <v>0</v>
      </c>
      <c r="J327" s="24">
        <v>4811</v>
      </c>
      <c r="K327" s="24">
        <v>2</v>
      </c>
      <c r="L327" s="24">
        <v>0</v>
      </c>
      <c r="M327" s="24">
        <v>0</v>
      </c>
      <c r="N327" s="24">
        <v>0</v>
      </c>
      <c r="O327" s="24">
        <v>0</v>
      </c>
      <c r="P327" s="24">
        <v>0</v>
      </c>
      <c r="Q327" s="24">
        <v>0</v>
      </c>
      <c r="R327" s="24">
        <v>0</v>
      </c>
      <c r="S327" s="24">
        <v>24</v>
      </c>
      <c r="T327" s="24">
        <v>1</v>
      </c>
      <c r="U327" s="24">
        <v>1</v>
      </c>
      <c r="V327" s="24">
        <v>0</v>
      </c>
      <c r="W327" s="24">
        <v>1</v>
      </c>
      <c r="X327" s="24">
        <v>1</v>
      </c>
      <c r="Y327" s="24">
        <v>0</v>
      </c>
      <c r="Z327" s="24">
        <v>0</v>
      </c>
      <c r="AA327" s="24">
        <v>1</v>
      </c>
      <c r="AB327" s="24">
        <v>0</v>
      </c>
      <c r="AC327" s="24">
        <v>0</v>
      </c>
      <c r="AD327" s="24">
        <v>0</v>
      </c>
      <c r="AE327" s="24">
        <v>1</v>
      </c>
      <c r="AF327" s="24">
        <v>0</v>
      </c>
      <c r="AG327" s="24">
        <v>0</v>
      </c>
      <c r="AH327" s="24">
        <v>1</v>
      </c>
      <c r="AI327" s="24">
        <v>0</v>
      </c>
      <c r="AJ327" s="24">
        <v>0</v>
      </c>
      <c r="AK327" s="24">
        <v>0</v>
      </c>
      <c r="AL327" s="24">
        <v>0</v>
      </c>
      <c r="AM327" s="24">
        <v>0</v>
      </c>
      <c r="AN327" s="24">
        <v>0</v>
      </c>
      <c r="AO327" s="24">
        <v>1</v>
      </c>
      <c r="AP327" s="24">
        <v>0</v>
      </c>
      <c r="AQ327" s="24">
        <v>0</v>
      </c>
      <c r="AR327" s="24">
        <v>0</v>
      </c>
      <c r="AS327" s="24">
        <v>1</v>
      </c>
      <c r="AT327" s="24">
        <v>0</v>
      </c>
      <c r="AU327" s="24">
        <v>0</v>
      </c>
      <c r="AV327" s="24">
        <v>0</v>
      </c>
      <c r="AW327" s="24">
        <v>0</v>
      </c>
      <c r="AX327" s="24">
        <v>1</v>
      </c>
      <c r="AY327" s="24">
        <v>0</v>
      </c>
      <c r="AZ327" s="24">
        <v>1</v>
      </c>
      <c r="BA327" s="24">
        <v>0</v>
      </c>
      <c r="BB327" s="24">
        <v>0</v>
      </c>
    </row>
    <row r="328" spans="2:54" ht="13.8" x14ac:dyDescent="0.3">
      <c r="B328" s="24">
        <v>308</v>
      </c>
      <c r="C328" s="24">
        <v>12</v>
      </c>
      <c r="D328" s="24">
        <v>0</v>
      </c>
      <c r="E328" s="24">
        <v>0</v>
      </c>
      <c r="F328" s="24">
        <v>0</v>
      </c>
      <c r="G328" s="24">
        <v>1</v>
      </c>
      <c r="H328" s="24">
        <v>0</v>
      </c>
      <c r="I328" s="24">
        <v>0</v>
      </c>
      <c r="J328" s="24">
        <v>727</v>
      </c>
      <c r="K328" s="24">
        <v>4</v>
      </c>
      <c r="L328" s="24">
        <v>0</v>
      </c>
      <c r="M328" s="24">
        <v>0</v>
      </c>
      <c r="N328" s="24">
        <v>1</v>
      </c>
      <c r="O328" s="24">
        <v>0</v>
      </c>
      <c r="P328" s="24">
        <v>0</v>
      </c>
      <c r="Q328" s="24">
        <v>0</v>
      </c>
      <c r="R328" s="24">
        <v>1</v>
      </c>
      <c r="S328" s="24">
        <v>33</v>
      </c>
      <c r="T328" s="24">
        <v>0</v>
      </c>
      <c r="U328" s="24">
        <v>0</v>
      </c>
      <c r="V328" s="24">
        <v>1</v>
      </c>
      <c r="W328" s="24">
        <v>1</v>
      </c>
      <c r="X328" s="24">
        <v>1</v>
      </c>
      <c r="Y328" s="24">
        <v>1</v>
      </c>
      <c r="Z328" s="24">
        <v>0</v>
      </c>
      <c r="AA328" s="24">
        <v>0</v>
      </c>
      <c r="AB328" s="24">
        <v>1</v>
      </c>
      <c r="AC328" s="24">
        <v>0</v>
      </c>
      <c r="AD328" s="24">
        <v>0</v>
      </c>
      <c r="AE328" s="24">
        <v>0</v>
      </c>
      <c r="AF328" s="24">
        <v>0</v>
      </c>
      <c r="AG328" s="24">
        <v>0</v>
      </c>
      <c r="AH328" s="24">
        <v>1</v>
      </c>
      <c r="AI328" s="24">
        <v>0</v>
      </c>
      <c r="AJ328" s="24">
        <v>0</v>
      </c>
      <c r="AK328" s="24">
        <v>0</v>
      </c>
      <c r="AL328" s="24">
        <v>1</v>
      </c>
      <c r="AM328" s="24">
        <v>0</v>
      </c>
      <c r="AN328" s="24">
        <v>0</v>
      </c>
      <c r="AO328" s="24">
        <v>0</v>
      </c>
      <c r="AP328" s="24">
        <v>0</v>
      </c>
      <c r="AQ328" s="24">
        <v>1</v>
      </c>
      <c r="AR328" s="24">
        <v>0</v>
      </c>
      <c r="AS328" s="24">
        <v>0</v>
      </c>
      <c r="AT328" s="24">
        <v>0</v>
      </c>
      <c r="AU328" s="24">
        <v>0</v>
      </c>
      <c r="AV328" s="24">
        <v>0</v>
      </c>
      <c r="AW328" s="24">
        <v>1</v>
      </c>
      <c r="AX328" s="24">
        <v>0</v>
      </c>
      <c r="AY328" s="24">
        <v>0</v>
      </c>
      <c r="AZ328" s="24">
        <v>1</v>
      </c>
      <c r="BA328" s="24">
        <v>0</v>
      </c>
      <c r="BB328" s="24">
        <v>0</v>
      </c>
    </row>
    <row r="329" spans="2:54" ht="13.8" x14ac:dyDescent="0.3">
      <c r="B329" s="24">
        <v>309</v>
      </c>
      <c r="C329" s="24">
        <v>8</v>
      </c>
      <c r="D329" s="24">
        <v>0</v>
      </c>
      <c r="E329" s="24">
        <v>0</v>
      </c>
      <c r="F329" s="24">
        <v>1</v>
      </c>
      <c r="G329" s="24">
        <v>0</v>
      </c>
      <c r="H329" s="24">
        <v>0</v>
      </c>
      <c r="I329" s="24">
        <v>0</v>
      </c>
      <c r="J329" s="24">
        <v>1237</v>
      </c>
      <c r="K329" s="24">
        <v>3</v>
      </c>
      <c r="L329" s="24">
        <v>0</v>
      </c>
      <c r="M329" s="24">
        <v>0</v>
      </c>
      <c r="N329" s="24">
        <v>0</v>
      </c>
      <c r="O329" s="24">
        <v>0</v>
      </c>
      <c r="P329" s="24">
        <v>0</v>
      </c>
      <c r="Q329" s="24">
        <v>1</v>
      </c>
      <c r="R329" s="24">
        <v>0</v>
      </c>
      <c r="S329" s="24">
        <v>24</v>
      </c>
      <c r="T329" s="24">
        <v>0</v>
      </c>
      <c r="U329" s="24">
        <v>0</v>
      </c>
      <c r="V329" s="24">
        <v>1</v>
      </c>
      <c r="W329" s="24">
        <v>1</v>
      </c>
      <c r="X329" s="24">
        <v>1</v>
      </c>
      <c r="Y329" s="24">
        <v>0</v>
      </c>
      <c r="Z329" s="24">
        <v>0</v>
      </c>
      <c r="AA329" s="24">
        <v>0</v>
      </c>
      <c r="AB329" s="24">
        <v>0</v>
      </c>
      <c r="AC329" s="24">
        <v>1</v>
      </c>
      <c r="AD329" s="24">
        <v>0</v>
      </c>
      <c r="AE329" s="24">
        <v>0</v>
      </c>
      <c r="AF329" s="24">
        <v>0</v>
      </c>
      <c r="AG329" s="24">
        <v>0</v>
      </c>
      <c r="AH329" s="24">
        <v>1</v>
      </c>
      <c r="AI329" s="24">
        <v>0</v>
      </c>
      <c r="AJ329" s="24">
        <v>0</v>
      </c>
      <c r="AK329" s="24">
        <v>1</v>
      </c>
      <c r="AL329" s="24">
        <v>0</v>
      </c>
      <c r="AM329" s="24">
        <v>0</v>
      </c>
      <c r="AN329" s="24">
        <v>0</v>
      </c>
      <c r="AO329" s="24">
        <v>0</v>
      </c>
      <c r="AP329" s="24">
        <v>0</v>
      </c>
      <c r="AQ329" s="24">
        <v>0</v>
      </c>
      <c r="AR329" s="24">
        <v>1</v>
      </c>
      <c r="AS329" s="24">
        <v>0</v>
      </c>
      <c r="AT329" s="24">
        <v>0</v>
      </c>
      <c r="AU329" s="24">
        <v>0</v>
      </c>
      <c r="AV329" s="24">
        <v>0</v>
      </c>
      <c r="AW329" s="24">
        <v>0</v>
      </c>
      <c r="AX329" s="24">
        <v>1</v>
      </c>
      <c r="AY329" s="24">
        <v>0</v>
      </c>
      <c r="AZ329" s="24">
        <v>0</v>
      </c>
      <c r="BA329" s="24">
        <v>1</v>
      </c>
      <c r="BB329" s="24">
        <v>0</v>
      </c>
    </row>
    <row r="330" spans="2:54" ht="13.8" x14ac:dyDescent="0.3">
      <c r="B330" s="24">
        <v>310</v>
      </c>
      <c r="C330" s="24">
        <v>9</v>
      </c>
      <c r="D330" s="24">
        <v>1</v>
      </c>
      <c r="E330" s="24">
        <v>0</v>
      </c>
      <c r="F330" s="24">
        <v>0</v>
      </c>
      <c r="G330" s="24">
        <v>0</v>
      </c>
      <c r="H330" s="24">
        <v>0</v>
      </c>
      <c r="I330" s="24">
        <v>0</v>
      </c>
      <c r="J330" s="24">
        <v>276</v>
      </c>
      <c r="K330" s="24">
        <v>4</v>
      </c>
      <c r="L330" s="24">
        <v>0</v>
      </c>
      <c r="M330" s="24">
        <v>0</v>
      </c>
      <c r="N330" s="24">
        <v>1</v>
      </c>
      <c r="O330" s="24">
        <v>0</v>
      </c>
      <c r="P330" s="24">
        <v>0</v>
      </c>
      <c r="Q330" s="24">
        <v>1</v>
      </c>
      <c r="R330" s="24">
        <v>0</v>
      </c>
      <c r="S330" s="24">
        <v>22</v>
      </c>
      <c r="T330" s="24">
        <v>0</v>
      </c>
      <c r="U330" s="24">
        <v>1</v>
      </c>
      <c r="V330" s="24">
        <v>0</v>
      </c>
      <c r="W330" s="24">
        <v>1</v>
      </c>
      <c r="X330" s="24">
        <v>1</v>
      </c>
      <c r="Y330" s="24">
        <v>0</v>
      </c>
      <c r="Z330" s="24">
        <v>0</v>
      </c>
      <c r="AA330" s="24">
        <v>1</v>
      </c>
      <c r="AB330" s="24">
        <v>0</v>
      </c>
      <c r="AC330" s="24">
        <v>1</v>
      </c>
      <c r="AD330" s="24">
        <v>0</v>
      </c>
      <c r="AE330" s="24">
        <v>0</v>
      </c>
      <c r="AF330" s="24">
        <v>0</v>
      </c>
      <c r="AG330" s="24">
        <v>0</v>
      </c>
      <c r="AH330" s="24">
        <v>1</v>
      </c>
      <c r="AI330" s="24">
        <v>0</v>
      </c>
      <c r="AJ330" s="24">
        <v>0</v>
      </c>
      <c r="AK330" s="24">
        <v>1</v>
      </c>
      <c r="AL330" s="24">
        <v>0</v>
      </c>
      <c r="AM330" s="24">
        <v>0</v>
      </c>
      <c r="AN330" s="24">
        <v>0</v>
      </c>
      <c r="AO330" s="24">
        <v>0</v>
      </c>
      <c r="AP330" s="24">
        <v>0</v>
      </c>
      <c r="AQ330" s="24">
        <v>0</v>
      </c>
      <c r="AR330" s="24">
        <v>1</v>
      </c>
      <c r="AS330" s="24">
        <v>0</v>
      </c>
      <c r="AT330" s="24">
        <v>0</v>
      </c>
      <c r="AU330" s="24">
        <v>0</v>
      </c>
      <c r="AV330" s="24">
        <v>0</v>
      </c>
      <c r="AW330" s="24">
        <v>0</v>
      </c>
      <c r="AX330" s="24">
        <v>1</v>
      </c>
      <c r="AY330" s="24">
        <v>0</v>
      </c>
      <c r="AZ330" s="24">
        <v>1</v>
      </c>
      <c r="BA330" s="24">
        <v>0</v>
      </c>
      <c r="BB330" s="24">
        <v>0</v>
      </c>
    </row>
    <row r="331" spans="2:54" ht="13.8" x14ac:dyDescent="0.3">
      <c r="B331" s="24">
        <v>311</v>
      </c>
      <c r="C331" s="24">
        <v>48</v>
      </c>
      <c r="D331" s="24">
        <v>0</v>
      </c>
      <c r="E331" s="24">
        <v>0</v>
      </c>
      <c r="F331" s="24">
        <v>0</v>
      </c>
      <c r="G331" s="24">
        <v>0</v>
      </c>
      <c r="H331" s="24">
        <v>0</v>
      </c>
      <c r="I331" s="24">
        <v>0</v>
      </c>
      <c r="J331" s="24">
        <v>5381</v>
      </c>
      <c r="K331" s="24">
        <v>3</v>
      </c>
      <c r="L331" s="24">
        <v>0</v>
      </c>
      <c r="M331" s="24">
        <v>1</v>
      </c>
      <c r="N331" s="24">
        <v>0</v>
      </c>
      <c r="O331" s="24">
        <v>0</v>
      </c>
      <c r="P331" s="24">
        <v>0</v>
      </c>
      <c r="Q331" s="24">
        <v>0</v>
      </c>
      <c r="R331" s="24">
        <v>1</v>
      </c>
      <c r="S331" s="24">
        <v>40</v>
      </c>
      <c r="T331" s="24">
        <v>1</v>
      </c>
      <c r="U331" s="24">
        <v>0</v>
      </c>
      <c r="V331" s="24">
        <v>0</v>
      </c>
      <c r="W331" s="24">
        <v>1</v>
      </c>
      <c r="X331" s="24">
        <v>1</v>
      </c>
      <c r="Y331" s="24">
        <v>1</v>
      </c>
      <c r="Z331" s="24">
        <v>0</v>
      </c>
      <c r="AA331" s="24">
        <v>1</v>
      </c>
      <c r="AB331" s="24">
        <v>0</v>
      </c>
      <c r="AC331" s="24">
        <v>1</v>
      </c>
      <c r="AD331" s="24">
        <v>0</v>
      </c>
      <c r="AE331" s="24">
        <v>0</v>
      </c>
      <c r="AF331" s="24">
        <v>0</v>
      </c>
      <c r="AG331" s="24">
        <v>0</v>
      </c>
      <c r="AH331" s="24">
        <v>1</v>
      </c>
      <c r="AI331" s="24">
        <v>0</v>
      </c>
      <c r="AJ331" s="24">
        <v>0</v>
      </c>
      <c r="AK331" s="24">
        <v>0</v>
      </c>
      <c r="AL331" s="24">
        <v>0</v>
      </c>
      <c r="AM331" s="24">
        <v>0</v>
      </c>
      <c r="AN331" s="24">
        <v>0</v>
      </c>
      <c r="AO331" s="24">
        <v>1</v>
      </c>
      <c r="AP331" s="24">
        <v>1</v>
      </c>
      <c r="AQ331" s="24">
        <v>0</v>
      </c>
      <c r="AR331" s="24">
        <v>0</v>
      </c>
      <c r="AS331" s="24">
        <v>0</v>
      </c>
      <c r="AT331" s="24">
        <v>0</v>
      </c>
      <c r="AU331" s="24">
        <v>0</v>
      </c>
      <c r="AV331" s="24">
        <v>0</v>
      </c>
      <c r="AW331" s="24">
        <v>0</v>
      </c>
      <c r="AX331" s="24">
        <v>1</v>
      </c>
      <c r="AY331" s="24">
        <v>1</v>
      </c>
      <c r="AZ331" s="24">
        <v>0</v>
      </c>
      <c r="BA331" s="24">
        <v>0</v>
      </c>
      <c r="BB331" s="24">
        <v>0</v>
      </c>
    </row>
    <row r="332" spans="2:54" ht="13.8" x14ac:dyDescent="0.3">
      <c r="B332" s="24">
        <v>312</v>
      </c>
      <c r="C332" s="24">
        <v>24</v>
      </c>
      <c r="D332" s="24">
        <v>0</v>
      </c>
      <c r="E332" s="24">
        <v>0</v>
      </c>
      <c r="F332" s="24">
        <v>1</v>
      </c>
      <c r="G332" s="24">
        <v>0</v>
      </c>
      <c r="H332" s="24">
        <v>0</v>
      </c>
      <c r="I332" s="24">
        <v>0</v>
      </c>
      <c r="J332" s="24">
        <v>5511</v>
      </c>
      <c r="K332" s="24">
        <v>4</v>
      </c>
      <c r="L332" s="24">
        <v>0</v>
      </c>
      <c r="M332" s="24">
        <v>1</v>
      </c>
      <c r="N332" s="24">
        <v>0</v>
      </c>
      <c r="O332" s="24">
        <v>0</v>
      </c>
      <c r="P332" s="24">
        <v>0</v>
      </c>
      <c r="Q332" s="24">
        <v>0</v>
      </c>
      <c r="R332" s="24">
        <v>0</v>
      </c>
      <c r="S332" s="24">
        <v>25</v>
      </c>
      <c r="T332" s="24">
        <v>1</v>
      </c>
      <c r="U332" s="24">
        <v>0</v>
      </c>
      <c r="V332" s="24">
        <v>1</v>
      </c>
      <c r="W332" s="24">
        <v>1</v>
      </c>
      <c r="X332" s="24">
        <v>1</v>
      </c>
      <c r="Y332" s="24">
        <v>0</v>
      </c>
      <c r="Z332" s="24">
        <v>0</v>
      </c>
      <c r="AA332" s="24">
        <v>1</v>
      </c>
      <c r="AB332" s="24">
        <v>0</v>
      </c>
      <c r="AC332" s="24">
        <v>0</v>
      </c>
      <c r="AD332" s="24">
        <v>0</v>
      </c>
      <c r="AE332" s="24">
        <v>1</v>
      </c>
      <c r="AF332" s="24">
        <v>0</v>
      </c>
      <c r="AG332" s="24">
        <v>0</v>
      </c>
      <c r="AH332" s="24">
        <v>1</v>
      </c>
      <c r="AI332" s="24">
        <v>0</v>
      </c>
      <c r="AJ332" s="24">
        <v>0</v>
      </c>
      <c r="AK332" s="24">
        <v>0</v>
      </c>
      <c r="AL332" s="24">
        <v>1</v>
      </c>
      <c r="AM332" s="24">
        <v>0</v>
      </c>
      <c r="AN332" s="24">
        <v>0</v>
      </c>
      <c r="AO332" s="24">
        <v>0</v>
      </c>
      <c r="AP332" s="24">
        <v>0</v>
      </c>
      <c r="AQ332" s="24">
        <v>0</v>
      </c>
      <c r="AR332" s="24">
        <v>1</v>
      </c>
      <c r="AS332" s="24">
        <v>0</v>
      </c>
      <c r="AT332" s="24">
        <v>0</v>
      </c>
      <c r="AU332" s="24">
        <v>1</v>
      </c>
      <c r="AV332" s="24">
        <v>0</v>
      </c>
      <c r="AW332" s="24">
        <v>0</v>
      </c>
      <c r="AX332" s="24">
        <v>0</v>
      </c>
      <c r="AY332" s="24">
        <v>0</v>
      </c>
      <c r="AZ332" s="24">
        <v>0</v>
      </c>
      <c r="BA332" s="24">
        <v>1</v>
      </c>
      <c r="BB332" s="24">
        <v>0</v>
      </c>
    </row>
    <row r="333" spans="2:54" ht="13.8" x14ac:dyDescent="0.3">
      <c r="B333" s="24">
        <v>313</v>
      </c>
      <c r="C333" s="24">
        <v>24</v>
      </c>
      <c r="D333" s="24">
        <v>0</v>
      </c>
      <c r="E333" s="24">
        <v>0</v>
      </c>
      <c r="F333" s="24">
        <v>1</v>
      </c>
      <c r="G333" s="24">
        <v>0</v>
      </c>
      <c r="H333" s="24">
        <v>0</v>
      </c>
      <c r="I333" s="24">
        <v>0</v>
      </c>
      <c r="J333" s="24">
        <v>3749</v>
      </c>
      <c r="K333" s="24">
        <v>2</v>
      </c>
      <c r="L333" s="24">
        <v>0</v>
      </c>
      <c r="M333" s="24">
        <v>0</v>
      </c>
      <c r="N333" s="24">
        <v>0</v>
      </c>
      <c r="O333" s="24">
        <v>0</v>
      </c>
      <c r="P333" s="24">
        <v>0</v>
      </c>
      <c r="Q333" s="24">
        <v>0</v>
      </c>
      <c r="R333" s="24">
        <v>0</v>
      </c>
      <c r="S333" s="24">
        <v>26</v>
      </c>
      <c r="T333" s="24">
        <v>0</v>
      </c>
      <c r="U333" s="24">
        <v>0</v>
      </c>
      <c r="V333" s="24">
        <v>1</v>
      </c>
      <c r="W333" s="24">
        <v>1</v>
      </c>
      <c r="X333" s="24">
        <v>1</v>
      </c>
      <c r="Y333" s="24">
        <v>0</v>
      </c>
      <c r="Z333" s="24">
        <v>0</v>
      </c>
      <c r="AA333" s="24">
        <v>1</v>
      </c>
      <c r="AB333" s="24">
        <v>0</v>
      </c>
      <c r="AC333" s="24">
        <v>0</v>
      </c>
      <c r="AD333" s="24">
        <v>1</v>
      </c>
      <c r="AE333" s="24">
        <v>0</v>
      </c>
      <c r="AF333" s="24">
        <v>0</v>
      </c>
      <c r="AG333" s="24">
        <v>0</v>
      </c>
      <c r="AH333" s="24">
        <v>1</v>
      </c>
      <c r="AI333" s="24">
        <v>0</v>
      </c>
      <c r="AJ333" s="24">
        <v>0</v>
      </c>
      <c r="AK333" s="24">
        <v>1</v>
      </c>
      <c r="AL333" s="24">
        <v>0</v>
      </c>
      <c r="AM333" s="24">
        <v>0</v>
      </c>
      <c r="AN333" s="24">
        <v>0</v>
      </c>
      <c r="AO333" s="24">
        <v>0</v>
      </c>
      <c r="AP333" s="24">
        <v>0</v>
      </c>
      <c r="AQ333" s="24">
        <v>1</v>
      </c>
      <c r="AR333" s="24">
        <v>0</v>
      </c>
      <c r="AS333" s="24">
        <v>0</v>
      </c>
      <c r="AT333" s="24">
        <v>0</v>
      </c>
      <c r="AU333" s="24">
        <v>0</v>
      </c>
      <c r="AV333" s="24">
        <v>0</v>
      </c>
      <c r="AW333" s="24">
        <v>0</v>
      </c>
      <c r="AX333" s="24">
        <v>1</v>
      </c>
      <c r="AY333" s="24">
        <v>0</v>
      </c>
      <c r="AZ333" s="24">
        <v>0</v>
      </c>
      <c r="BA333" s="24">
        <v>1</v>
      </c>
      <c r="BB333" s="24">
        <v>0</v>
      </c>
    </row>
    <row r="334" spans="2:54" ht="13.8" x14ac:dyDescent="0.3">
      <c r="B334" s="24">
        <v>314</v>
      </c>
      <c r="C334" s="24">
        <v>12</v>
      </c>
      <c r="D334" s="24">
        <v>1</v>
      </c>
      <c r="E334" s="24">
        <v>0</v>
      </c>
      <c r="F334" s="24">
        <v>0</v>
      </c>
      <c r="G334" s="24">
        <v>0</v>
      </c>
      <c r="H334" s="24">
        <v>0</v>
      </c>
      <c r="I334" s="24">
        <v>0</v>
      </c>
      <c r="J334" s="24">
        <v>685</v>
      </c>
      <c r="K334" s="24">
        <v>2</v>
      </c>
      <c r="L334" s="24">
        <v>0</v>
      </c>
      <c r="M334" s="24">
        <v>0</v>
      </c>
      <c r="N334" s="24">
        <v>1</v>
      </c>
      <c r="O334" s="24">
        <v>0</v>
      </c>
      <c r="P334" s="24">
        <v>0</v>
      </c>
      <c r="Q334" s="24">
        <v>0</v>
      </c>
      <c r="R334" s="24">
        <v>0</v>
      </c>
      <c r="S334" s="24">
        <v>25</v>
      </c>
      <c r="T334" s="24">
        <v>1</v>
      </c>
      <c r="U334" s="24">
        <v>0</v>
      </c>
      <c r="V334" s="24">
        <v>1</v>
      </c>
      <c r="W334" s="24">
        <v>1</v>
      </c>
      <c r="X334" s="24">
        <v>1</v>
      </c>
      <c r="Y334" s="24">
        <v>0</v>
      </c>
      <c r="Z334" s="24">
        <v>0</v>
      </c>
      <c r="AA334" s="24">
        <v>0</v>
      </c>
      <c r="AB334" s="24">
        <v>0</v>
      </c>
      <c r="AC334" s="24">
        <v>1</v>
      </c>
      <c r="AD334" s="24">
        <v>0</v>
      </c>
      <c r="AE334" s="24">
        <v>0</v>
      </c>
      <c r="AF334" s="24">
        <v>0</v>
      </c>
      <c r="AG334" s="24">
        <v>0</v>
      </c>
      <c r="AH334" s="24">
        <v>1</v>
      </c>
      <c r="AI334" s="24">
        <v>0</v>
      </c>
      <c r="AJ334" s="24">
        <v>0</v>
      </c>
      <c r="AK334" s="24">
        <v>1</v>
      </c>
      <c r="AL334" s="24">
        <v>0</v>
      </c>
      <c r="AM334" s="24">
        <v>0</v>
      </c>
      <c r="AN334" s="24">
        <v>0</v>
      </c>
      <c r="AO334" s="24">
        <v>0</v>
      </c>
      <c r="AP334" s="24">
        <v>0</v>
      </c>
      <c r="AQ334" s="24">
        <v>0</v>
      </c>
      <c r="AR334" s="24">
        <v>0</v>
      </c>
      <c r="AS334" s="24">
        <v>1</v>
      </c>
      <c r="AT334" s="24">
        <v>0</v>
      </c>
      <c r="AU334" s="24">
        <v>0</v>
      </c>
      <c r="AV334" s="24">
        <v>0</v>
      </c>
      <c r="AW334" s="24">
        <v>1</v>
      </c>
      <c r="AX334" s="24">
        <v>0</v>
      </c>
      <c r="AY334" s="24">
        <v>0</v>
      </c>
      <c r="AZ334" s="24">
        <v>1</v>
      </c>
      <c r="BA334" s="24">
        <v>0</v>
      </c>
      <c r="BB334" s="24">
        <v>0</v>
      </c>
    </row>
    <row r="335" spans="2:54" ht="13.8" x14ac:dyDescent="0.3">
      <c r="B335" s="24">
        <v>315</v>
      </c>
      <c r="C335" s="24">
        <v>4</v>
      </c>
      <c r="D335" s="24">
        <v>1</v>
      </c>
      <c r="E335" s="24">
        <v>0</v>
      </c>
      <c r="F335" s="24">
        <v>0</v>
      </c>
      <c r="G335" s="24">
        <v>0</v>
      </c>
      <c r="H335" s="24">
        <v>0</v>
      </c>
      <c r="I335" s="24">
        <v>0</v>
      </c>
      <c r="J335" s="24">
        <v>1494</v>
      </c>
      <c r="K335" s="24">
        <v>1</v>
      </c>
      <c r="L335" s="24">
        <v>0</v>
      </c>
      <c r="M335" s="24">
        <v>1</v>
      </c>
      <c r="N335" s="24">
        <v>0</v>
      </c>
      <c r="O335" s="24">
        <v>0</v>
      </c>
      <c r="P335" s="24">
        <v>0</v>
      </c>
      <c r="Q335" s="24">
        <v>1</v>
      </c>
      <c r="R335" s="24">
        <v>0</v>
      </c>
      <c r="S335" s="24">
        <v>29</v>
      </c>
      <c r="T335" s="24">
        <v>0</v>
      </c>
      <c r="U335" s="24">
        <v>0</v>
      </c>
      <c r="V335" s="24">
        <v>1</v>
      </c>
      <c r="W335" s="24">
        <v>1</v>
      </c>
      <c r="X335" s="24">
        <v>2</v>
      </c>
      <c r="Y335" s="24">
        <v>0</v>
      </c>
      <c r="Z335" s="24">
        <v>1</v>
      </c>
      <c r="AA335" s="24">
        <v>1</v>
      </c>
      <c r="AB335" s="24">
        <v>0</v>
      </c>
      <c r="AC335" s="24">
        <v>0</v>
      </c>
      <c r="AD335" s="24">
        <v>1</v>
      </c>
      <c r="AE335" s="24">
        <v>0</v>
      </c>
      <c r="AF335" s="24">
        <v>0</v>
      </c>
      <c r="AG335" s="24">
        <v>0</v>
      </c>
      <c r="AH335" s="24">
        <v>1</v>
      </c>
      <c r="AI335" s="24">
        <v>0</v>
      </c>
      <c r="AJ335" s="24">
        <v>0</v>
      </c>
      <c r="AK335" s="24">
        <v>0</v>
      </c>
      <c r="AL335" s="24">
        <v>0</v>
      </c>
      <c r="AM335" s="24">
        <v>0</v>
      </c>
      <c r="AN335" s="24">
        <v>0</v>
      </c>
      <c r="AO335" s="24">
        <v>1</v>
      </c>
      <c r="AP335" s="24">
        <v>0</v>
      </c>
      <c r="AQ335" s="24">
        <v>1</v>
      </c>
      <c r="AR335" s="24">
        <v>0</v>
      </c>
      <c r="AS335" s="24">
        <v>0</v>
      </c>
      <c r="AT335" s="24">
        <v>0</v>
      </c>
      <c r="AU335" s="24">
        <v>0</v>
      </c>
      <c r="AV335" s="24">
        <v>1</v>
      </c>
      <c r="AW335" s="24">
        <v>0</v>
      </c>
      <c r="AX335" s="24">
        <v>0</v>
      </c>
      <c r="AY335" s="24">
        <v>0</v>
      </c>
      <c r="AZ335" s="24">
        <v>1</v>
      </c>
      <c r="BA335" s="24">
        <v>0</v>
      </c>
      <c r="BB335" s="24">
        <v>0</v>
      </c>
    </row>
    <row r="336" spans="2:54" ht="13.8" x14ac:dyDescent="0.3">
      <c r="B336" s="24">
        <v>316</v>
      </c>
      <c r="C336" s="24">
        <v>36</v>
      </c>
      <c r="D336" s="24">
        <v>0</v>
      </c>
      <c r="E336" s="24">
        <v>0</v>
      </c>
      <c r="F336" s="24">
        <v>1</v>
      </c>
      <c r="G336" s="24">
        <v>0</v>
      </c>
      <c r="H336" s="24">
        <v>0</v>
      </c>
      <c r="I336" s="24">
        <v>0</v>
      </c>
      <c r="J336" s="24">
        <v>2746</v>
      </c>
      <c r="K336" s="24">
        <v>4</v>
      </c>
      <c r="L336" s="24">
        <v>0</v>
      </c>
      <c r="M336" s="24">
        <v>1</v>
      </c>
      <c r="N336" s="24">
        <v>0</v>
      </c>
      <c r="O336" s="24">
        <v>0</v>
      </c>
      <c r="P336" s="24">
        <v>0</v>
      </c>
      <c r="Q336" s="24">
        <v>0</v>
      </c>
      <c r="R336" s="24">
        <v>0</v>
      </c>
      <c r="S336" s="24">
        <v>31</v>
      </c>
      <c r="T336" s="24">
        <v>1</v>
      </c>
      <c r="U336" s="24">
        <v>0</v>
      </c>
      <c r="V336" s="24">
        <v>1</v>
      </c>
      <c r="W336" s="24">
        <v>1</v>
      </c>
      <c r="X336" s="24">
        <v>1</v>
      </c>
      <c r="Y336" s="24">
        <v>0</v>
      </c>
      <c r="Z336" s="24">
        <v>0</v>
      </c>
      <c r="AA336" s="24">
        <v>0</v>
      </c>
      <c r="AB336" s="24">
        <v>1</v>
      </c>
      <c r="AC336" s="24">
        <v>0</v>
      </c>
      <c r="AD336" s="24">
        <v>0</v>
      </c>
      <c r="AE336" s="24">
        <v>0</v>
      </c>
      <c r="AF336" s="24">
        <v>0</v>
      </c>
      <c r="AG336" s="24">
        <v>1</v>
      </c>
      <c r="AH336" s="24">
        <v>0</v>
      </c>
      <c r="AI336" s="24">
        <v>0</v>
      </c>
      <c r="AJ336" s="24">
        <v>0</v>
      </c>
      <c r="AK336" s="24">
        <v>1</v>
      </c>
      <c r="AL336" s="24">
        <v>0</v>
      </c>
      <c r="AM336" s="24">
        <v>0</v>
      </c>
      <c r="AN336" s="24">
        <v>0</v>
      </c>
      <c r="AO336" s="24">
        <v>0</v>
      </c>
      <c r="AP336" s="24">
        <v>0</v>
      </c>
      <c r="AQ336" s="24">
        <v>0</v>
      </c>
      <c r="AR336" s="24">
        <v>0</v>
      </c>
      <c r="AS336" s="24">
        <v>0</v>
      </c>
      <c r="AT336" s="24">
        <v>1</v>
      </c>
      <c r="AU336" s="24">
        <v>0</v>
      </c>
      <c r="AV336" s="24">
        <v>0</v>
      </c>
      <c r="AW336" s="24">
        <v>0</v>
      </c>
      <c r="AX336" s="24">
        <v>1</v>
      </c>
      <c r="AY336" s="24">
        <v>0</v>
      </c>
      <c r="AZ336" s="24">
        <v>0</v>
      </c>
      <c r="BA336" s="24">
        <v>1</v>
      </c>
      <c r="BB336" s="24">
        <v>0</v>
      </c>
    </row>
    <row r="337" spans="2:54" ht="13.8" x14ac:dyDescent="0.3">
      <c r="B337" s="24">
        <v>317</v>
      </c>
      <c r="C337" s="24">
        <v>12</v>
      </c>
      <c r="D337" s="24">
        <v>0</v>
      </c>
      <c r="E337" s="24">
        <v>0</v>
      </c>
      <c r="F337" s="24">
        <v>1</v>
      </c>
      <c r="G337" s="24">
        <v>0</v>
      </c>
      <c r="H337" s="24">
        <v>0</v>
      </c>
      <c r="I337" s="24">
        <v>0</v>
      </c>
      <c r="J337" s="24">
        <v>708</v>
      </c>
      <c r="K337" s="24">
        <v>2</v>
      </c>
      <c r="L337" s="24">
        <v>0</v>
      </c>
      <c r="M337" s="24">
        <v>1</v>
      </c>
      <c r="N337" s="24">
        <v>0</v>
      </c>
      <c r="O337" s="24">
        <v>0</v>
      </c>
      <c r="P337" s="24">
        <v>1</v>
      </c>
      <c r="Q337" s="24">
        <v>0</v>
      </c>
      <c r="R337" s="24">
        <v>0</v>
      </c>
      <c r="S337" s="24">
        <v>38</v>
      </c>
      <c r="T337" s="24">
        <v>0</v>
      </c>
      <c r="U337" s="24">
        <v>0</v>
      </c>
      <c r="V337" s="24">
        <v>1</v>
      </c>
      <c r="W337" s="24">
        <v>1</v>
      </c>
      <c r="X337" s="24">
        <v>2</v>
      </c>
      <c r="Y337" s="24">
        <v>0</v>
      </c>
      <c r="Z337" s="24">
        <v>0</v>
      </c>
      <c r="AA337" s="24">
        <v>1</v>
      </c>
      <c r="AB337" s="24">
        <v>1</v>
      </c>
      <c r="AC337" s="24">
        <v>0</v>
      </c>
      <c r="AD337" s="24">
        <v>0</v>
      </c>
      <c r="AE337" s="24">
        <v>0</v>
      </c>
      <c r="AF337" s="24">
        <v>0</v>
      </c>
      <c r="AG337" s="24">
        <v>0</v>
      </c>
      <c r="AH337" s="24">
        <v>1</v>
      </c>
      <c r="AI337" s="24">
        <v>0</v>
      </c>
      <c r="AJ337" s="24">
        <v>0</v>
      </c>
      <c r="AK337" s="24">
        <v>1</v>
      </c>
      <c r="AL337" s="24">
        <v>0</v>
      </c>
      <c r="AM337" s="24">
        <v>0</v>
      </c>
      <c r="AN337" s="24">
        <v>0</v>
      </c>
      <c r="AO337" s="24">
        <v>0</v>
      </c>
      <c r="AP337" s="24">
        <v>0</v>
      </c>
      <c r="AQ337" s="24">
        <v>0</v>
      </c>
      <c r="AR337" s="24">
        <v>1</v>
      </c>
      <c r="AS337" s="24">
        <v>0</v>
      </c>
      <c r="AT337" s="24">
        <v>0</v>
      </c>
      <c r="AU337" s="24">
        <v>0</v>
      </c>
      <c r="AV337" s="24">
        <v>0</v>
      </c>
      <c r="AW337" s="24">
        <v>1</v>
      </c>
      <c r="AX337" s="24">
        <v>0</v>
      </c>
      <c r="AY337" s="24">
        <v>0</v>
      </c>
      <c r="AZ337" s="24">
        <v>1</v>
      </c>
      <c r="BA337" s="24">
        <v>0</v>
      </c>
      <c r="BB337" s="24">
        <v>0</v>
      </c>
    </row>
    <row r="338" spans="2:54" ht="13.8" x14ac:dyDescent="0.3">
      <c r="B338" s="24">
        <v>318</v>
      </c>
      <c r="C338" s="24">
        <v>24</v>
      </c>
      <c r="D338" s="24">
        <v>0</v>
      </c>
      <c r="E338" s="24">
        <v>0</v>
      </c>
      <c r="F338" s="24">
        <v>1</v>
      </c>
      <c r="G338" s="24">
        <v>0</v>
      </c>
      <c r="H338" s="24">
        <v>0</v>
      </c>
      <c r="I338" s="24">
        <v>0</v>
      </c>
      <c r="J338" s="24">
        <v>4351</v>
      </c>
      <c r="K338" s="24">
        <v>1</v>
      </c>
      <c r="L338" s="24">
        <v>0</v>
      </c>
      <c r="M338" s="24">
        <v>0</v>
      </c>
      <c r="N338" s="24">
        <v>0</v>
      </c>
      <c r="O338" s="24">
        <v>0</v>
      </c>
      <c r="P338" s="24">
        <v>0</v>
      </c>
      <c r="Q338" s="24">
        <v>0</v>
      </c>
      <c r="R338" s="24">
        <v>0</v>
      </c>
      <c r="S338" s="24">
        <v>48</v>
      </c>
      <c r="T338" s="24">
        <v>0</v>
      </c>
      <c r="U338" s="24">
        <v>0</v>
      </c>
      <c r="V338" s="24">
        <v>1</v>
      </c>
      <c r="W338" s="24">
        <v>1</v>
      </c>
      <c r="X338" s="24">
        <v>1</v>
      </c>
      <c r="Y338" s="24">
        <v>1</v>
      </c>
      <c r="Z338" s="24">
        <v>0</v>
      </c>
      <c r="AA338" s="24">
        <v>1</v>
      </c>
      <c r="AB338" s="24">
        <v>0</v>
      </c>
      <c r="AC338" s="24">
        <v>1</v>
      </c>
      <c r="AD338" s="24">
        <v>0</v>
      </c>
      <c r="AE338" s="24">
        <v>0</v>
      </c>
      <c r="AF338" s="24">
        <v>0</v>
      </c>
      <c r="AG338" s="24">
        <v>0</v>
      </c>
      <c r="AH338" s="24">
        <v>1</v>
      </c>
      <c r="AI338" s="24">
        <v>0</v>
      </c>
      <c r="AJ338" s="24">
        <v>0</v>
      </c>
      <c r="AK338" s="24">
        <v>0</v>
      </c>
      <c r="AL338" s="24">
        <v>0</v>
      </c>
      <c r="AM338" s="24">
        <v>0</v>
      </c>
      <c r="AN338" s="24">
        <v>0</v>
      </c>
      <c r="AO338" s="24">
        <v>1</v>
      </c>
      <c r="AP338" s="24">
        <v>0</v>
      </c>
      <c r="AQ338" s="24">
        <v>0</v>
      </c>
      <c r="AR338" s="24">
        <v>1</v>
      </c>
      <c r="AS338" s="24">
        <v>0</v>
      </c>
      <c r="AT338" s="24">
        <v>0</v>
      </c>
      <c r="AU338" s="24">
        <v>0</v>
      </c>
      <c r="AV338" s="24">
        <v>0</v>
      </c>
      <c r="AW338" s="24">
        <v>0</v>
      </c>
      <c r="AX338" s="24">
        <v>1</v>
      </c>
      <c r="AY338" s="24">
        <v>0</v>
      </c>
      <c r="AZ338" s="24">
        <v>1</v>
      </c>
      <c r="BA338" s="24">
        <v>0</v>
      </c>
      <c r="BB338" s="24">
        <v>0</v>
      </c>
    </row>
    <row r="339" spans="2:54" ht="13.8" x14ac:dyDescent="0.3">
      <c r="B339" s="24">
        <v>319</v>
      </c>
      <c r="C339" s="24">
        <v>12</v>
      </c>
      <c r="D339" s="24">
        <v>0</v>
      </c>
      <c r="E339" s="24">
        <v>0</v>
      </c>
      <c r="F339" s="24">
        <v>0</v>
      </c>
      <c r="G339" s="24">
        <v>0</v>
      </c>
      <c r="H339" s="24">
        <v>1</v>
      </c>
      <c r="I339" s="24">
        <v>0</v>
      </c>
      <c r="J339" s="24">
        <v>701</v>
      </c>
      <c r="K339" s="24">
        <v>4</v>
      </c>
      <c r="L339" s="24">
        <v>0</v>
      </c>
      <c r="M339" s="24">
        <v>1</v>
      </c>
      <c r="N339" s="24">
        <v>0</v>
      </c>
      <c r="O339" s="24">
        <v>0</v>
      </c>
      <c r="P339" s="24">
        <v>0</v>
      </c>
      <c r="Q339" s="24">
        <v>0</v>
      </c>
      <c r="R339" s="24">
        <v>0</v>
      </c>
      <c r="S339" s="24">
        <v>32</v>
      </c>
      <c r="T339" s="24">
        <v>0</v>
      </c>
      <c r="U339" s="24">
        <v>0</v>
      </c>
      <c r="V339" s="24">
        <v>1</v>
      </c>
      <c r="W339" s="24">
        <v>2</v>
      </c>
      <c r="X339" s="24">
        <v>1</v>
      </c>
      <c r="Y339" s="24">
        <v>0</v>
      </c>
      <c r="Z339" s="24">
        <v>0</v>
      </c>
      <c r="AA339" s="24">
        <v>1</v>
      </c>
      <c r="AB339" s="24">
        <v>0</v>
      </c>
      <c r="AC339" s="24">
        <v>0</v>
      </c>
      <c r="AD339" s="24">
        <v>0</v>
      </c>
      <c r="AE339" s="24">
        <v>1</v>
      </c>
      <c r="AF339" s="24">
        <v>0</v>
      </c>
      <c r="AG339" s="24">
        <v>0</v>
      </c>
      <c r="AH339" s="24">
        <v>0</v>
      </c>
      <c r="AI339" s="24">
        <v>0</v>
      </c>
      <c r="AJ339" s="24">
        <v>1</v>
      </c>
      <c r="AK339" s="24">
        <v>1</v>
      </c>
      <c r="AL339" s="24">
        <v>0</v>
      </c>
      <c r="AM339" s="24">
        <v>0</v>
      </c>
      <c r="AN339" s="24">
        <v>0</v>
      </c>
      <c r="AO339" s="24">
        <v>0</v>
      </c>
      <c r="AP339" s="24">
        <v>0</v>
      </c>
      <c r="AQ339" s="24">
        <v>0</v>
      </c>
      <c r="AR339" s="24">
        <v>1</v>
      </c>
      <c r="AS339" s="24">
        <v>0</v>
      </c>
      <c r="AT339" s="24">
        <v>0</v>
      </c>
      <c r="AU339" s="24">
        <v>0</v>
      </c>
      <c r="AV339" s="24">
        <v>1</v>
      </c>
      <c r="AW339" s="24">
        <v>0</v>
      </c>
      <c r="AX339" s="24">
        <v>0</v>
      </c>
      <c r="AY339" s="24">
        <v>0</v>
      </c>
      <c r="AZ339" s="24">
        <v>0</v>
      </c>
      <c r="BA339" s="24">
        <v>1</v>
      </c>
      <c r="BB339" s="24">
        <v>0</v>
      </c>
    </row>
    <row r="340" spans="2:54" ht="13.8" x14ac:dyDescent="0.3">
      <c r="B340" s="24">
        <v>320</v>
      </c>
      <c r="C340" s="24">
        <v>15</v>
      </c>
      <c r="D340" s="24">
        <v>0</v>
      </c>
      <c r="E340" s="24">
        <v>0</v>
      </c>
      <c r="F340" s="24">
        <v>1</v>
      </c>
      <c r="G340" s="24">
        <v>0</v>
      </c>
      <c r="H340" s="24">
        <v>0</v>
      </c>
      <c r="I340" s="24">
        <v>0</v>
      </c>
      <c r="J340" s="24">
        <v>3643</v>
      </c>
      <c r="K340" s="24">
        <v>1</v>
      </c>
      <c r="L340" s="24">
        <v>0</v>
      </c>
      <c r="M340" s="24">
        <v>0</v>
      </c>
      <c r="N340" s="24">
        <v>0</v>
      </c>
      <c r="O340" s="24">
        <v>0</v>
      </c>
      <c r="P340" s="24">
        <v>0</v>
      </c>
      <c r="Q340" s="24">
        <v>0</v>
      </c>
      <c r="R340" s="24">
        <v>0</v>
      </c>
      <c r="S340" s="24">
        <v>27</v>
      </c>
      <c r="T340" s="24">
        <v>0</v>
      </c>
      <c r="U340" s="24">
        <v>0</v>
      </c>
      <c r="V340" s="24">
        <v>1</v>
      </c>
      <c r="W340" s="24">
        <v>2</v>
      </c>
      <c r="X340" s="24">
        <v>1</v>
      </c>
      <c r="Y340" s="24">
        <v>0</v>
      </c>
      <c r="Z340" s="24">
        <v>0</v>
      </c>
      <c r="AA340" s="24">
        <v>1</v>
      </c>
      <c r="AB340" s="24">
        <v>1</v>
      </c>
      <c r="AC340" s="24">
        <v>0</v>
      </c>
      <c r="AD340" s="24">
        <v>0</v>
      </c>
      <c r="AE340" s="24">
        <v>0</v>
      </c>
      <c r="AF340" s="24">
        <v>0</v>
      </c>
      <c r="AG340" s="24">
        <v>0</v>
      </c>
      <c r="AH340" s="24">
        <v>0</v>
      </c>
      <c r="AI340" s="24">
        <v>1</v>
      </c>
      <c r="AJ340" s="24">
        <v>0</v>
      </c>
      <c r="AK340" s="24">
        <v>1</v>
      </c>
      <c r="AL340" s="24">
        <v>0</v>
      </c>
      <c r="AM340" s="24">
        <v>0</v>
      </c>
      <c r="AN340" s="24">
        <v>0</v>
      </c>
      <c r="AO340" s="24">
        <v>0</v>
      </c>
      <c r="AP340" s="24">
        <v>0</v>
      </c>
      <c r="AQ340" s="24">
        <v>0</v>
      </c>
      <c r="AR340" s="24">
        <v>0</v>
      </c>
      <c r="AS340" s="24">
        <v>0</v>
      </c>
      <c r="AT340" s="24">
        <v>1</v>
      </c>
      <c r="AU340" s="24">
        <v>0</v>
      </c>
      <c r="AV340" s="24">
        <v>0</v>
      </c>
      <c r="AW340" s="24">
        <v>0</v>
      </c>
      <c r="AX340" s="24">
        <v>1</v>
      </c>
      <c r="AY340" s="24">
        <v>0</v>
      </c>
      <c r="AZ340" s="24">
        <v>1</v>
      </c>
      <c r="BA340" s="24">
        <v>0</v>
      </c>
      <c r="BB340" s="24">
        <v>0</v>
      </c>
    </row>
    <row r="341" spans="2:54" ht="13.8" x14ac:dyDescent="0.3">
      <c r="B341" s="24">
        <v>321</v>
      </c>
      <c r="C341" s="24">
        <v>30</v>
      </c>
      <c r="D341" s="24">
        <v>1</v>
      </c>
      <c r="E341" s="24">
        <v>0</v>
      </c>
      <c r="F341" s="24">
        <v>0</v>
      </c>
      <c r="G341" s="24">
        <v>0</v>
      </c>
      <c r="H341" s="24">
        <v>0</v>
      </c>
      <c r="I341" s="24">
        <v>0</v>
      </c>
      <c r="J341" s="24">
        <v>4249</v>
      </c>
      <c r="K341" s="24">
        <v>4</v>
      </c>
      <c r="L341" s="24">
        <v>0</v>
      </c>
      <c r="M341" s="24">
        <v>0</v>
      </c>
      <c r="N341" s="24">
        <v>1</v>
      </c>
      <c r="O341" s="24">
        <v>0</v>
      </c>
      <c r="P341" s="24">
        <v>0</v>
      </c>
      <c r="Q341" s="24">
        <v>0</v>
      </c>
      <c r="R341" s="24">
        <v>0</v>
      </c>
      <c r="S341" s="24">
        <v>28</v>
      </c>
      <c r="T341" s="24">
        <v>0</v>
      </c>
      <c r="U341" s="24">
        <v>0</v>
      </c>
      <c r="V341" s="24">
        <v>1</v>
      </c>
      <c r="W341" s="24">
        <v>2</v>
      </c>
      <c r="X341" s="24">
        <v>1</v>
      </c>
      <c r="Y341" s="24">
        <v>0</v>
      </c>
      <c r="Z341" s="24">
        <v>0</v>
      </c>
      <c r="AA341" s="24">
        <v>0</v>
      </c>
      <c r="AB341" s="24">
        <v>0</v>
      </c>
      <c r="AC341" s="24">
        <v>1</v>
      </c>
      <c r="AD341" s="24">
        <v>0</v>
      </c>
      <c r="AE341" s="24">
        <v>0</v>
      </c>
      <c r="AF341" s="24">
        <v>0</v>
      </c>
      <c r="AG341" s="24">
        <v>0</v>
      </c>
      <c r="AH341" s="24">
        <v>0</v>
      </c>
      <c r="AI341" s="24">
        <v>0</v>
      </c>
      <c r="AJ341" s="24">
        <v>1</v>
      </c>
      <c r="AK341" s="24">
        <v>1</v>
      </c>
      <c r="AL341" s="24">
        <v>0</v>
      </c>
      <c r="AM341" s="24">
        <v>0</v>
      </c>
      <c r="AN341" s="24">
        <v>0</v>
      </c>
      <c r="AO341" s="24">
        <v>0</v>
      </c>
      <c r="AP341" s="24">
        <v>1</v>
      </c>
      <c r="AQ341" s="24">
        <v>0</v>
      </c>
      <c r="AR341" s="24">
        <v>0</v>
      </c>
      <c r="AS341" s="24">
        <v>0</v>
      </c>
      <c r="AT341" s="24">
        <v>0</v>
      </c>
      <c r="AU341" s="24">
        <v>0</v>
      </c>
      <c r="AV341" s="24">
        <v>1</v>
      </c>
      <c r="AW341" s="24">
        <v>0</v>
      </c>
      <c r="AX341" s="24">
        <v>0</v>
      </c>
      <c r="AY341" s="24">
        <v>0</v>
      </c>
      <c r="AZ341" s="24">
        <v>0</v>
      </c>
      <c r="BA341" s="24">
        <v>0</v>
      </c>
      <c r="BB341" s="24">
        <v>1</v>
      </c>
    </row>
    <row r="342" spans="2:54" ht="13.8" x14ac:dyDescent="0.3">
      <c r="B342" s="24">
        <v>322</v>
      </c>
      <c r="C342" s="24">
        <v>24</v>
      </c>
      <c r="D342" s="24">
        <v>0</v>
      </c>
      <c r="E342" s="24">
        <v>0</v>
      </c>
      <c r="F342" s="24">
        <v>0</v>
      </c>
      <c r="G342" s="24">
        <v>1</v>
      </c>
      <c r="H342" s="24">
        <v>0</v>
      </c>
      <c r="I342" s="24">
        <v>0</v>
      </c>
      <c r="J342" s="24">
        <v>1938</v>
      </c>
      <c r="K342" s="24">
        <v>4</v>
      </c>
      <c r="L342" s="24">
        <v>1</v>
      </c>
      <c r="M342" s="24">
        <v>0</v>
      </c>
      <c r="N342" s="24">
        <v>0</v>
      </c>
      <c r="O342" s="24">
        <v>0</v>
      </c>
      <c r="P342" s="24">
        <v>0</v>
      </c>
      <c r="Q342" s="24">
        <v>0</v>
      </c>
      <c r="R342" s="24">
        <v>0</v>
      </c>
      <c r="S342" s="24">
        <v>32</v>
      </c>
      <c r="T342" s="24">
        <v>0</v>
      </c>
      <c r="U342" s="24">
        <v>0</v>
      </c>
      <c r="V342" s="24">
        <v>1</v>
      </c>
      <c r="W342" s="24">
        <v>1</v>
      </c>
      <c r="X342" s="24">
        <v>1</v>
      </c>
      <c r="Y342" s="24">
        <v>0</v>
      </c>
      <c r="Z342" s="24">
        <v>0</v>
      </c>
      <c r="AA342" s="24">
        <v>0</v>
      </c>
      <c r="AB342" s="24">
        <v>1</v>
      </c>
      <c r="AC342" s="24">
        <v>0</v>
      </c>
      <c r="AD342" s="24">
        <v>0</v>
      </c>
      <c r="AE342" s="24">
        <v>0</v>
      </c>
      <c r="AF342" s="24">
        <v>0</v>
      </c>
      <c r="AG342" s="24">
        <v>0</v>
      </c>
      <c r="AH342" s="24">
        <v>1</v>
      </c>
      <c r="AI342" s="24">
        <v>0</v>
      </c>
      <c r="AJ342" s="24">
        <v>0</v>
      </c>
      <c r="AK342" s="24">
        <v>1</v>
      </c>
      <c r="AL342" s="24">
        <v>0</v>
      </c>
      <c r="AM342" s="24">
        <v>0</v>
      </c>
      <c r="AN342" s="24">
        <v>0</v>
      </c>
      <c r="AO342" s="24">
        <v>0</v>
      </c>
      <c r="AP342" s="24">
        <v>0</v>
      </c>
      <c r="AQ342" s="24">
        <v>1</v>
      </c>
      <c r="AR342" s="24">
        <v>0</v>
      </c>
      <c r="AS342" s="24">
        <v>0</v>
      </c>
      <c r="AT342" s="24">
        <v>0</v>
      </c>
      <c r="AU342" s="24">
        <v>0</v>
      </c>
      <c r="AV342" s="24">
        <v>0</v>
      </c>
      <c r="AW342" s="24">
        <v>1</v>
      </c>
      <c r="AX342" s="24">
        <v>0</v>
      </c>
      <c r="AY342" s="24">
        <v>0</v>
      </c>
      <c r="AZ342" s="24">
        <v>0</v>
      </c>
      <c r="BA342" s="24">
        <v>1</v>
      </c>
      <c r="BB342" s="24">
        <v>0</v>
      </c>
    </row>
    <row r="343" spans="2:54" ht="13.8" x14ac:dyDescent="0.3">
      <c r="B343" s="24">
        <v>323</v>
      </c>
      <c r="C343" s="24">
        <v>24</v>
      </c>
      <c r="D343" s="24">
        <v>0</v>
      </c>
      <c r="E343" s="24">
        <v>1</v>
      </c>
      <c r="F343" s="24">
        <v>0</v>
      </c>
      <c r="G343" s="24">
        <v>0</v>
      </c>
      <c r="H343" s="24">
        <v>0</v>
      </c>
      <c r="I343" s="24">
        <v>0</v>
      </c>
      <c r="J343" s="24">
        <v>2910</v>
      </c>
      <c r="K343" s="24">
        <v>2</v>
      </c>
      <c r="L343" s="24">
        <v>0</v>
      </c>
      <c r="M343" s="24">
        <v>1</v>
      </c>
      <c r="N343" s="24">
        <v>0</v>
      </c>
      <c r="O343" s="24">
        <v>0</v>
      </c>
      <c r="P343" s="24">
        <v>0</v>
      </c>
      <c r="Q343" s="24">
        <v>0</v>
      </c>
      <c r="R343" s="24">
        <v>1</v>
      </c>
      <c r="S343" s="24">
        <v>34</v>
      </c>
      <c r="T343" s="24">
        <v>0</v>
      </c>
      <c r="U343" s="24">
        <v>0</v>
      </c>
      <c r="V343" s="24">
        <v>0</v>
      </c>
      <c r="W343" s="24">
        <v>1</v>
      </c>
      <c r="X343" s="24">
        <v>1</v>
      </c>
      <c r="Y343" s="24">
        <v>1</v>
      </c>
      <c r="Z343" s="24">
        <v>0</v>
      </c>
      <c r="AA343" s="24">
        <v>1</v>
      </c>
      <c r="AB343" s="24">
        <v>1</v>
      </c>
      <c r="AC343" s="24">
        <v>0</v>
      </c>
      <c r="AD343" s="24">
        <v>0</v>
      </c>
      <c r="AE343" s="24">
        <v>0</v>
      </c>
      <c r="AF343" s="24">
        <v>0</v>
      </c>
      <c r="AG343" s="24">
        <v>0</v>
      </c>
      <c r="AH343" s="24">
        <v>1</v>
      </c>
      <c r="AI343" s="24">
        <v>0</v>
      </c>
      <c r="AJ343" s="24">
        <v>0</v>
      </c>
      <c r="AK343" s="24">
        <v>1</v>
      </c>
      <c r="AL343" s="24">
        <v>0</v>
      </c>
      <c r="AM343" s="24">
        <v>0</v>
      </c>
      <c r="AN343" s="24">
        <v>0</v>
      </c>
      <c r="AO343" s="24">
        <v>0</v>
      </c>
      <c r="AP343" s="24">
        <v>0</v>
      </c>
      <c r="AQ343" s="24">
        <v>0</v>
      </c>
      <c r="AR343" s="24">
        <v>0</v>
      </c>
      <c r="AS343" s="24">
        <v>1</v>
      </c>
      <c r="AT343" s="24">
        <v>0</v>
      </c>
      <c r="AU343" s="24">
        <v>1</v>
      </c>
      <c r="AV343" s="24">
        <v>0</v>
      </c>
      <c r="AW343" s="24">
        <v>0</v>
      </c>
      <c r="AX343" s="24">
        <v>0</v>
      </c>
      <c r="AY343" s="24">
        <v>0</v>
      </c>
      <c r="AZ343" s="24">
        <v>0</v>
      </c>
      <c r="BA343" s="24">
        <v>0</v>
      </c>
      <c r="BB343" s="24">
        <v>1</v>
      </c>
    </row>
    <row r="344" spans="2:54" ht="13.8" x14ac:dyDescent="0.3">
      <c r="B344" s="24">
        <v>324</v>
      </c>
      <c r="C344" s="24">
        <v>18</v>
      </c>
      <c r="D344" s="24">
        <v>0</v>
      </c>
      <c r="E344" s="24">
        <v>0</v>
      </c>
      <c r="F344" s="24">
        <v>1</v>
      </c>
      <c r="G344" s="24">
        <v>0</v>
      </c>
      <c r="H344" s="24">
        <v>0</v>
      </c>
      <c r="I344" s="24">
        <v>0</v>
      </c>
      <c r="J344" s="24">
        <v>2659</v>
      </c>
      <c r="K344" s="24">
        <v>4</v>
      </c>
      <c r="L344" s="24">
        <v>0</v>
      </c>
      <c r="M344" s="24">
        <v>1</v>
      </c>
      <c r="N344" s="24">
        <v>0</v>
      </c>
      <c r="O344" s="24">
        <v>0</v>
      </c>
      <c r="P344" s="24">
        <v>0</v>
      </c>
      <c r="Q344" s="24">
        <v>0</v>
      </c>
      <c r="R344" s="24">
        <v>0</v>
      </c>
      <c r="S344" s="24">
        <v>28</v>
      </c>
      <c r="T344" s="24">
        <v>0</v>
      </c>
      <c r="U344" s="24">
        <v>0</v>
      </c>
      <c r="V344" s="24">
        <v>1</v>
      </c>
      <c r="W344" s="24">
        <v>1</v>
      </c>
      <c r="X344" s="24">
        <v>1</v>
      </c>
      <c r="Y344" s="24">
        <v>0</v>
      </c>
      <c r="Z344" s="24">
        <v>0</v>
      </c>
      <c r="AA344" s="24">
        <v>1</v>
      </c>
      <c r="AB344" s="24">
        <v>1</v>
      </c>
      <c r="AC344" s="24">
        <v>0</v>
      </c>
      <c r="AD344" s="24">
        <v>0</v>
      </c>
      <c r="AE344" s="24">
        <v>0</v>
      </c>
      <c r="AF344" s="24">
        <v>0</v>
      </c>
      <c r="AG344" s="24">
        <v>0</v>
      </c>
      <c r="AH344" s="24">
        <v>1</v>
      </c>
      <c r="AI344" s="24">
        <v>0</v>
      </c>
      <c r="AJ344" s="24">
        <v>0</v>
      </c>
      <c r="AK344" s="24">
        <v>0</v>
      </c>
      <c r="AL344" s="24">
        <v>0</v>
      </c>
      <c r="AM344" s="24">
        <v>0</v>
      </c>
      <c r="AN344" s="24">
        <v>1</v>
      </c>
      <c r="AO344" s="24">
        <v>0</v>
      </c>
      <c r="AP344" s="24">
        <v>0</v>
      </c>
      <c r="AQ344" s="24">
        <v>0</v>
      </c>
      <c r="AR344" s="24">
        <v>1</v>
      </c>
      <c r="AS344" s="24">
        <v>0</v>
      </c>
      <c r="AT344" s="24">
        <v>0</v>
      </c>
      <c r="AU344" s="24">
        <v>0</v>
      </c>
      <c r="AV344" s="24">
        <v>1</v>
      </c>
      <c r="AW344" s="24">
        <v>0</v>
      </c>
      <c r="AX344" s="24">
        <v>0</v>
      </c>
      <c r="AY344" s="24">
        <v>0</v>
      </c>
      <c r="AZ344" s="24">
        <v>0</v>
      </c>
      <c r="BA344" s="24">
        <v>1</v>
      </c>
      <c r="BB344" s="24">
        <v>0</v>
      </c>
    </row>
    <row r="345" spans="2:54" ht="13.8" x14ac:dyDescent="0.3">
      <c r="B345" s="24">
        <v>325</v>
      </c>
      <c r="C345" s="24">
        <v>18</v>
      </c>
      <c r="D345" s="24">
        <v>1</v>
      </c>
      <c r="E345" s="24">
        <v>0</v>
      </c>
      <c r="F345" s="24">
        <v>0</v>
      </c>
      <c r="G345" s="24">
        <v>0</v>
      </c>
      <c r="H345" s="24">
        <v>0</v>
      </c>
      <c r="I345" s="24">
        <v>0</v>
      </c>
      <c r="J345" s="24">
        <v>1028</v>
      </c>
      <c r="K345" s="24">
        <v>4</v>
      </c>
      <c r="L345" s="24">
        <v>0</v>
      </c>
      <c r="M345" s="24">
        <v>0</v>
      </c>
      <c r="N345" s="24">
        <v>0</v>
      </c>
      <c r="O345" s="24">
        <v>0</v>
      </c>
      <c r="P345" s="24">
        <v>0</v>
      </c>
      <c r="Q345" s="24">
        <v>1</v>
      </c>
      <c r="R345" s="24">
        <v>0</v>
      </c>
      <c r="S345" s="24">
        <v>36</v>
      </c>
      <c r="T345" s="24">
        <v>0</v>
      </c>
      <c r="U345" s="24">
        <v>0</v>
      </c>
      <c r="V345" s="24">
        <v>1</v>
      </c>
      <c r="W345" s="24">
        <v>2</v>
      </c>
      <c r="X345" s="24">
        <v>1</v>
      </c>
      <c r="Y345" s="24">
        <v>0</v>
      </c>
      <c r="Z345" s="24">
        <v>0</v>
      </c>
      <c r="AA345" s="24">
        <v>1</v>
      </c>
      <c r="AB345" s="24">
        <v>0</v>
      </c>
      <c r="AC345" s="24">
        <v>0</v>
      </c>
      <c r="AD345" s="24">
        <v>0</v>
      </c>
      <c r="AE345" s="24">
        <v>1</v>
      </c>
      <c r="AF345" s="24">
        <v>0</v>
      </c>
      <c r="AG345" s="24">
        <v>0</v>
      </c>
      <c r="AH345" s="24">
        <v>0</v>
      </c>
      <c r="AI345" s="24">
        <v>0</v>
      </c>
      <c r="AJ345" s="24">
        <v>1</v>
      </c>
      <c r="AK345" s="24">
        <v>1</v>
      </c>
      <c r="AL345" s="24">
        <v>0</v>
      </c>
      <c r="AM345" s="24">
        <v>0</v>
      </c>
      <c r="AN345" s="24">
        <v>0</v>
      </c>
      <c r="AO345" s="24">
        <v>0</v>
      </c>
      <c r="AP345" s="24">
        <v>0</v>
      </c>
      <c r="AQ345" s="24">
        <v>0</v>
      </c>
      <c r="AR345" s="24">
        <v>1</v>
      </c>
      <c r="AS345" s="24">
        <v>0</v>
      </c>
      <c r="AT345" s="24">
        <v>0</v>
      </c>
      <c r="AU345" s="24">
        <v>0</v>
      </c>
      <c r="AV345" s="24">
        <v>0</v>
      </c>
      <c r="AW345" s="24">
        <v>1</v>
      </c>
      <c r="AX345" s="24">
        <v>0</v>
      </c>
      <c r="AY345" s="24">
        <v>0</v>
      </c>
      <c r="AZ345" s="24">
        <v>0</v>
      </c>
      <c r="BA345" s="24">
        <v>1</v>
      </c>
      <c r="BB345" s="24">
        <v>0</v>
      </c>
    </row>
    <row r="346" spans="2:54" ht="13.8" x14ac:dyDescent="0.3">
      <c r="B346" s="24">
        <v>326</v>
      </c>
      <c r="C346" s="24">
        <v>8</v>
      </c>
      <c r="D346" s="24">
        <v>1</v>
      </c>
      <c r="E346" s="24">
        <v>0</v>
      </c>
      <c r="F346" s="24">
        <v>0</v>
      </c>
      <c r="G346" s="24">
        <v>0</v>
      </c>
      <c r="H346" s="24">
        <v>0</v>
      </c>
      <c r="I346" s="24">
        <v>0</v>
      </c>
      <c r="J346" s="24">
        <v>3398</v>
      </c>
      <c r="K346" s="24">
        <v>1</v>
      </c>
      <c r="L346" s="24">
        <v>0</v>
      </c>
      <c r="M346" s="24">
        <v>1</v>
      </c>
      <c r="N346" s="24">
        <v>0</v>
      </c>
      <c r="O346" s="24">
        <v>0</v>
      </c>
      <c r="P346" s="24">
        <v>0</v>
      </c>
      <c r="Q346" s="24">
        <v>1</v>
      </c>
      <c r="R346" s="24">
        <v>0</v>
      </c>
      <c r="S346" s="24">
        <v>39</v>
      </c>
      <c r="T346" s="24">
        <v>0</v>
      </c>
      <c r="U346" s="24">
        <v>0</v>
      </c>
      <c r="V346" s="24">
        <v>1</v>
      </c>
      <c r="W346" s="24">
        <v>2</v>
      </c>
      <c r="X346" s="24">
        <v>1</v>
      </c>
      <c r="Y346" s="24">
        <v>0</v>
      </c>
      <c r="Z346" s="24">
        <v>1</v>
      </c>
      <c r="AA346" s="24">
        <v>1</v>
      </c>
      <c r="AB346" s="24">
        <v>1</v>
      </c>
      <c r="AC346" s="24">
        <v>0</v>
      </c>
      <c r="AD346" s="24">
        <v>0</v>
      </c>
      <c r="AE346" s="24">
        <v>0</v>
      </c>
      <c r="AF346" s="24">
        <v>0</v>
      </c>
      <c r="AG346" s="24">
        <v>0</v>
      </c>
      <c r="AH346" s="24">
        <v>0</v>
      </c>
      <c r="AI346" s="24">
        <v>0</v>
      </c>
      <c r="AJ346" s="24">
        <v>1</v>
      </c>
      <c r="AK346" s="24">
        <v>1</v>
      </c>
      <c r="AL346" s="24">
        <v>0</v>
      </c>
      <c r="AM346" s="24">
        <v>0</v>
      </c>
      <c r="AN346" s="24">
        <v>0</v>
      </c>
      <c r="AO346" s="24">
        <v>0</v>
      </c>
      <c r="AP346" s="24">
        <v>0</v>
      </c>
      <c r="AQ346" s="24">
        <v>0</v>
      </c>
      <c r="AR346" s="24">
        <v>0</v>
      </c>
      <c r="AS346" s="24">
        <v>1</v>
      </c>
      <c r="AT346" s="24">
        <v>0</v>
      </c>
      <c r="AU346" s="24">
        <v>0</v>
      </c>
      <c r="AV346" s="24">
        <v>0</v>
      </c>
      <c r="AW346" s="24">
        <v>0</v>
      </c>
      <c r="AX346" s="24">
        <v>1</v>
      </c>
      <c r="AY346" s="24">
        <v>0</v>
      </c>
      <c r="AZ346" s="24">
        <v>1</v>
      </c>
      <c r="BA346" s="24">
        <v>0</v>
      </c>
      <c r="BB346" s="24">
        <v>0</v>
      </c>
    </row>
    <row r="347" spans="2:54" ht="13.8" x14ac:dyDescent="0.3">
      <c r="B347" s="24">
        <v>327</v>
      </c>
      <c r="C347" s="24">
        <v>12</v>
      </c>
      <c r="D347" s="24">
        <v>0</v>
      </c>
      <c r="E347" s="24">
        <v>0</v>
      </c>
      <c r="F347" s="24">
        <v>1</v>
      </c>
      <c r="G347" s="24">
        <v>0</v>
      </c>
      <c r="H347" s="24">
        <v>0</v>
      </c>
      <c r="I347" s="24">
        <v>0</v>
      </c>
      <c r="J347" s="24">
        <v>5801</v>
      </c>
      <c r="K347" s="24">
        <v>2</v>
      </c>
      <c r="L347" s="24">
        <v>0</v>
      </c>
      <c r="M347" s="24">
        <v>1</v>
      </c>
      <c r="N347" s="24">
        <v>0</v>
      </c>
      <c r="O347" s="24">
        <v>0</v>
      </c>
      <c r="P347" s="24">
        <v>0</v>
      </c>
      <c r="Q347" s="24">
        <v>0</v>
      </c>
      <c r="R347" s="24">
        <v>0</v>
      </c>
      <c r="S347" s="24">
        <v>49</v>
      </c>
      <c r="T347" s="24">
        <v>0</v>
      </c>
      <c r="U347" s="24">
        <v>1</v>
      </c>
      <c r="V347" s="24">
        <v>0</v>
      </c>
      <c r="W347" s="24">
        <v>1</v>
      </c>
      <c r="X347" s="24">
        <v>1</v>
      </c>
      <c r="Y347" s="24">
        <v>1</v>
      </c>
      <c r="Z347" s="24">
        <v>0</v>
      </c>
      <c r="AA347" s="24">
        <v>1</v>
      </c>
      <c r="AB347" s="24">
        <v>0</v>
      </c>
      <c r="AC347" s="24">
        <v>0</v>
      </c>
      <c r="AD347" s="24">
        <v>0</v>
      </c>
      <c r="AE347" s="24">
        <v>1</v>
      </c>
      <c r="AF347" s="24">
        <v>0</v>
      </c>
      <c r="AG347" s="24">
        <v>0</v>
      </c>
      <c r="AH347" s="24">
        <v>0</v>
      </c>
      <c r="AI347" s="24">
        <v>0</v>
      </c>
      <c r="AJ347" s="24">
        <v>1</v>
      </c>
      <c r="AK347" s="24">
        <v>0</v>
      </c>
      <c r="AL347" s="24">
        <v>0</v>
      </c>
      <c r="AM347" s="24">
        <v>0</v>
      </c>
      <c r="AN347" s="24">
        <v>0</v>
      </c>
      <c r="AO347" s="24">
        <v>1</v>
      </c>
      <c r="AP347" s="24">
        <v>0</v>
      </c>
      <c r="AQ347" s="24">
        <v>0</v>
      </c>
      <c r="AR347" s="24">
        <v>0</v>
      </c>
      <c r="AS347" s="24">
        <v>0</v>
      </c>
      <c r="AT347" s="24">
        <v>1</v>
      </c>
      <c r="AU347" s="24">
        <v>0</v>
      </c>
      <c r="AV347" s="24">
        <v>0</v>
      </c>
      <c r="AW347" s="24">
        <v>0</v>
      </c>
      <c r="AX347" s="24">
        <v>1</v>
      </c>
      <c r="AY347" s="24">
        <v>0</v>
      </c>
      <c r="AZ347" s="24">
        <v>0</v>
      </c>
      <c r="BA347" s="24">
        <v>1</v>
      </c>
      <c r="BB347" s="24">
        <v>0</v>
      </c>
    </row>
    <row r="348" spans="2:54" ht="13.8" x14ac:dyDescent="0.3">
      <c r="B348" s="24">
        <v>328</v>
      </c>
      <c r="C348" s="24">
        <v>24</v>
      </c>
      <c r="D348" s="24">
        <v>1</v>
      </c>
      <c r="E348" s="24">
        <v>0</v>
      </c>
      <c r="F348" s="24">
        <v>0</v>
      </c>
      <c r="G348" s="24">
        <v>0</v>
      </c>
      <c r="H348" s="24">
        <v>0</v>
      </c>
      <c r="I348" s="24">
        <v>0</v>
      </c>
      <c r="J348" s="24">
        <v>1525</v>
      </c>
      <c r="K348" s="24">
        <v>4</v>
      </c>
      <c r="L348" s="24">
        <v>0</v>
      </c>
      <c r="M348" s="24">
        <v>0</v>
      </c>
      <c r="N348" s="24">
        <v>0</v>
      </c>
      <c r="O348" s="24">
        <v>0</v>
      </c>
      <c r="P348" s="24">
        <v>0</v>
      </c>
      <c r="Q348" s="24">
        <v>0</v>
      </c>
      <c r="R348" s="24">
        <v>0</v>
      </c>
      <c r="S348" s="24">
        <v>34</v>
      </c>
      <c r="T348" s="24">
        <v>0</v>
      </c>
      <c r="U348" s="24">
        <v>0</v>
      </c>
      <c r="V348" s="24">
        <v>1</v>
      </c>
      <c r="W348" s="24">
        <v>1</v>
      </c>
      <c r="X348" s="24">
        <v>2</v>
      </c>
      <c r="Y348" s="24">
        <v>1</v>
      </c>
      <c r="Z348" s="24">
        <v>0</v>
      </c>
      <c r="AA348" s="24">
        <v>1</v>
      </c>
      <c r="AB348" s="24">
        <v>0</v>
      </c>
      <c r="AC348" s="24">
        <v>0</v>
      </c>
      <c r="AD348" s="24">
        <v>0</v>
      </c>
      <c r="AE348" s="24">
        <v>1</v>
      </c>
      <c r="AF348" s="24">
        <v>0</v>
      </c>
      <c r="AG348" s="24">
        <v>0</v>
      </c>
      <c r="AH348" s="24">
        <v>1</v>
      </c>
      <c r="AI348" s="24">
        <v>0</v>
      </c>
      <c r="AJ348" s="24">
        <v>0</v>
      </c>
      <c r="AK348" s="24">
        <v>0</v>
      </c>
      <c r="AL348" s="24">
        <v>0</v>
      </c>
      <c r="AM348" s="24">
        <v>0</v>
      </c>
      <c r="AN348" s="24">
        <v>1</v>
      </c>
      <c r="AO348" s="24">
        <v>0</v>
      </c>
      <c r="AP348" s="24">
        <v>0</v>
      </c>
      <c r="AQ348" s="24">
        <v>0</v>
      </c>
      <c r="AR348" s="24">
        <v>0</v>
      </c>
      <c r="AS348" s="24">
        <v>1</v>
      </c>
      <c r="AT348" s="24">
        <v>0</v>
      </c>
      <c r="AU348" s="24">
        <v>0</v>
      </c>
      <c r="AV348" s="24">
        <v>0</v>
      </c>
      <c r="AW348" s="24">
        <v>1</v>
      </c>
      <c r="AX348" s="24">
        <v>0</v>
      </c>
      <c r="AY348" s="24">
        <v>0</v>
      </c>
      <c r="AZ348" s="24">
        <v>0</v>
      </c>
      <c r="BA348" s="24">
        <v>1</v>
      </c>
      <c r="BB348" s="24">
        <v>0</v>
      </c>
    </row>
    <row r="349" spans="2:54" ht="13.8" x14ac:dyDescent="0.3">
      <c r="B349" s="24">
        <v>329</v>
      </c>
      <c r="C349" s="24">
        <v>36</v>
      </c>
      <c r="D349" s="24">
        <v>0</v>
      </c>
      <c r="E349" s="24">
        <v>0</v>
      </c>
      <c r="F349" s="24">
        <v>0</v>
      </c>
      <c r="G349" s="24">
        <v>1</v>
      </c>
      <c r="H349" s="24">
        <v>0</v>
      </c>
      <c r="I349" s="24">
        <v>0</v>
      </c>
      <c r="J349" s="24">
        <v>4473</v>
      </c>
      <c r="K349" s="24">
        <v>4</v>
      </c>
      <c r="L349" s="24">
        <v>0</v>
      </c>
      <c r="M349" s="24">
        <v>1</v>
      </c>
      <c r="N349" s="24">
        <v>0</v>
      </c>
      <c r="O349" s="24">
        <v>0</v>
      </c>
      <c r="P349" s="24">
        <v>0</v>
      </c>
      <c r="Q349" s="24">
        <v>0</v>
      </c>
      <c r="R349" s="24">
        <v>0</v>
      </c>
      <c r="S349" s="24">
        <v>31</v>
      </c>
      <c r="T349" s="24">
        <v>0</v>
      </c>
      <c r="U349" s="24">
        <v>0</v>
      </c>
      <c r="V349" s="24">
        <v>1</v>
      </c>
      <c r="W349" s="24">
        <v>1</v>
      </c>
      <c r="X349" s="24">
        <v>1</v>
      </c>
      <c r="Y349" s="24">
        <v>0</v>
      </c>
      <c r="Z349" s="24">
        <v>0</v>
      </c>
      <c r="AA349" s="24">
        <v>1</v>
      </c>
      <c r="AB349" s="24">
        <v>0</v>
      </c>
      <c r="AC349" s="24">
        <v>0</v>
      </c>
      <c r="AD349" s="24">
        <v>1</v>
      </c>
      <c r="AE349" s="24">
        <v>0</v>
      </c>
      <c r="AF349" s="24">
        <v>0</v>
      </c>
      <c r="AG349" s="24">
        <v>0</v>
      </c>
      <c r="AH349" s="24">
        <v>1</v>
      </c>
      <c r="AI349" s="24">
        <v>0</v>
      </c>
      <c r="AJ349" s="24">
        <v>0</v>
      </c>
      <c r="AK349" s="24">
        <v>1</v>
      </c>
      <c r="AL349" s="24">
        <v>0</v>
      </c>
      <c r="AM349" s="24">
        <v>0</v>
      </c>
      <c r="AN349" s="24">
        <v>0</v>
      </c>
      <c r="AO349" s="24">
        <v>0</v>
      </c>
      <c r="AP349" s="24">
        <v>0</v>
      </c>
      <c r="AQ349" s="24">
        <v>0</v>
      </c>
      <c r="AR349" s="24">
        <v>0</v>
      </c>
      <c r="AS349" s="24">
        <v>0</v>
      </c>
      <c r="AT349" s="24">
        <v>1</v>
      </c>
      <c r="AU349" s="24">
        <v>0</v>
      </c>
      <c r="AV349" s="24">
        <v>1</v>
      </c>
      <c r="AW349" s="24">
        <v>0</v>
      </c>
      <c r="AX349" s="24">
        <v>0</v>
      </c>
      <c r="AY349" s="24">
        <v>0</v>
      </c>
      <c r="AZ349" s="24">
        <v>0</v>
      </c>
      <c r="BA349" s="24">
        <v>1</v>
      </c>
      <c r="BB349" s="24">
        <v>0</v>
      </c>
    </row>
    <row r="350" spans="2:54" ht="13.8" x14ac:dyDescent="0.3">
      <c r="B350" s="24">
        <v>330</v>
      </c>
      <c r="C350" s="24">
        <v>6</v>
      </c>
      <c r="D350" s="24">
        <v>0</v>
      </c>
      <c r="E350" s="24">
        <v>0</v>
      </c>
      <c r="F350" s="24">
        <v>0</v>
      </c>
      <c r="G350" s="24">
        <v>1</v>
      </c>
      <c r="H350" s="24">
        <v>0</v>
      </c>
      <c r="I350" s="24">
        <v>0</v>
      </c>
      <c r="J350" s="24">
        <v>1068</v>
      </c>
      <c r="K350" s="24">
        <v>4</v>
      </c>
      <c r="L350" s="24">
        <v>0</v>
      </c>
      <c r="M350" s="24">
        <v>1</v>
      </c>
      <c r="N350" s="24">
        <v>0</v>
      </c>
      <c r="O350" s="24">
        <v>0</v>
      </c>
      <c r="P350" s="24">
        <v>0</v>
      </c>
      <c r="Q350" s="24">
        <v>0</v>
      </c>
      <c r="R350" s="24">
        <v>0</v>
      </c>
      <c r="S350" s="24">
        <v>28</v>
      </c>
      <c r="T350" s="24">
        <v>0</v>
      </c>
      <c r="U350" s="24">
        <v>0</v>
      </c>
      <c r="V350" s="24">
        <v>1</v>
      </c>
      <c r="W350" s="24">
        <v>1</v>
      </c>
      <c r="X350" s="24">
        <v>2</v>
      </c>
      <c r="Y350" s="24">
        <v>0</v>
      </c>
      <c r="Z350" s="24">
        <v>0</v>
      </c>
      <c r="AA350" s="24">
        <v>1</v>
      </c>
      <c r="AB350" s="24">
        <v>0</v>
      </c>
      <c r="AC350" s="24">
        <v>1</v>
      </c>
      <c r="AD350" s="24">
        <v>0</v>
      </c>
      <c r="AE350" s="24">
        <v>0</v>
      </c>
      <c r="AF350" s="24">
        <v>0</v>
      </c>
      <c r="AG350" s="24">
        <v>0</v>
      </c>
      <c r="AH350" s="24">
        <v>1</v>
      </c>
      <c r="AI350" s="24">
        <v>0</v>
      </c>
      <c r="AJ350" s="24">
        <v>0</v>
      </c>
      <c r="AK350" s="24">
        <v>1</v>
      </c>
      <c r="AL350" s="24">
        <v>0</v>
      </c>
      <c r="AM350" s="24">
        <v>0</v>
      </c>
      <c r="AN350" s="24">
        <v>0</v>
      </c>
      <c r="AO350" s="24">
        <v>0</v>
      </c>
      <c r="AP350" s="24">
        <v>0</v>
      </c>
      <c r="AQ350" s="24">
        <v>0</v>
      </c>
      <c r="AR350" s="24">
        <v>0</v>
      </c>
      <c r="AS350" s="24">
        <v>0</v>
      </c>
      <c r="AT350" s="24">
        <v>1</v>
      </c>
      <c r="AU350" s="24">
        <v>0</v>
      </c>
      <c r="AV350" s="24">
        <v>0</v>
      </c>
      <c r="AW350" s="24">
        <v>0</v>
      </c>
      <c r="AX350" s="24">
        <v>1</v>
      </c>
      <c r="AY350" s="24">
        <v>0</v>
      </c>
      <c r="AZ350" s="24">
        <v>0</v>
      </c>
      <c r="BA350" s="24">
        <v>1</v>
      </c>
      <c r="BB350" s="24">
        <v>0</v>
      </c>
    </row>
    <row r="351" spans="2:54" ht="13.8" x14ac:dyDescent="0.3">
      <c r="B351" s="24">
        <v>331</v>
      </c>
      <c r="C351" s="24">
        <v>24</v>
      </c>
      <c r="D351" s="24">
        <v>0</v>
      </c>
      <c r="E351" s="24">
        <v>1</v>
      </c>
      <c r="F351" s="24">
        <v>0</v>
      </c>
      <c r="G351" s="24">
        <v>0</v>
      </c>
      <c r="H351" s="24">
        <v>0</v>
      </c>
      <c r="I351" s="24">
        <v>0</v>
      </c>
      <c r="J351" s="24">
        <v>6615</v>
      </c>
      <c r="K351" s="24">
        <v>2</v>
      </c>
      <c r="L351" s="24">
        <v>0</v>
      </c>
      <c r="M351" s="24">
        <v>1</v>
      </c>
      <c r="N351" s="24">
        <v>0</v>
      </c>
      <c r="O351" s="24">
        <v>0</v>
      </c>
      <c r="P351" s="24">
        <v>0</v>
      </c>
      <c r="Q351" s="24">
        <v>0</v>
      </c>
      <c r="R351" s="24">
        <v>1</v>
      </c>
      <c r="S351" s="24">
        <v>75</v>
      </c>
      <c r="T351" s="24">
        <v>0</v>
      </c>
      <c r="U351" s="24">
        <v>0</v>
      </c>
      <c r="V351" s="24">
        <v>0</v>
      </c>
      <c r="W351" s="24">
        <v>2</v>
      </c>
      <c r="X351" s="24">
        <v>1</v>
      </c>
      <c r="Y351" s="24">
        <v>1</v>
      </c>
      <c r="Z351" s="24">
        <v>0</v>
      </c>
      <c r="AA351" s="24">
        <v>1</v>
      </c>
      <c r="AB351" s="24">
        <v>1</v>
      </c>
      <c r="AC351" s="24">
        <v>0</v>
      </c>
      <c r="AD351" s="24">
        <v>0</v>
      </c>
      <c r="AE351" s="24">
        <v>0</v>
      </c>
      <c r="AF351" s="24">
        <v>0</v>
      </c>
      <c r="AG351" s="24">
        <v>0</v>
      </c>
      <c r="AH351" s="24">
        <v>0</v>
      </c>
      <c r="AI351" s="24">
        <v>0</v>
      </c>
      <c r="AJ351" s="24">
        <v>1</v>
      </c>
      <c r="AK351" s="24">
        <v>1</v>
      </c>
      <c r="AL351" s="24">
        <v>0</v>
      </c>
      <c r="AM351" s="24">
        <v>0</v>
      </c>
      <c r="AN351" s="24">
        <v>0</v>
      </c>
      <c r="AO351" s="24">
        <v>0</v>
      </c>
      <c r="AP351" s="24">
        <v>1</v>
      </c>
      <c r="AQ351" s="24">
        <v>0</v>
      </c>
      <c r="AR351" s="24">
        <v>0</v>
      </c>
      <c r="AS351" s="24">
        <v>0</v>
      </c>
      <c r="AT351" s="24">
        <v>0</v>
      </c>
      <c r="AU351" s="24">
        <v>0</v>
      </c>
      <c r="AV351" s="24">
        <v>0</v>
      </c>
      <c r="AW351" s="24">
        <v>0</v>
      </c>
      <c r="AX351" s="24">
        <v>1</v>
      </c>
      <c r="AY351" s="24">
        <v>0</v>
      </c>
      <c r="AZ351" s="24">
        <v>0</v>
      </c>
      <c r="BA351" s="24">
        <v>0</v>
      </c>
      <c r="BB351" s="24">
        <v>1</v>
      </c>
    </row>
    <row r="352" spans="2:54" ht="13.8" x14ac:dyDescent="0.3">
      <c r="B352" s="24">
        <v>332</v>
      </c>
      <c r="C352" s="24">
        <v>18</v>
      </c>
      <c r="D352" s="24">
        <v>0</v>
      </c>
      <c r="E352" s="24">
        <v>0</v>
      </c>
      <c r="F352" s="24">
        <v>0</v>
      </c>
      <c r="G352" s="24">
        <v>0</v>
      </c>
      <c r="H352" s="24">
        <v>1</v>
      </c>
      <c r="I352" s="24">
        <v>0</v>
      </c>
      <c r="J352" s="24">
        <v>1864</v>
      </c>
      <c r="K352" s="24">
        <v>4</v>
      </c>
      <c r="L352" s="24">
        <v>0</v>
      </c>
      <c r="M352" s="24">
        <v>0</v>
      </c>
      <c r="N352" s="24">
        <v>0</v>
      </c>
      <c r="O352" s="24">
        <v>0</v>
      </c>
      <c r="P352" s="24">
        <v>0</v>
      </c>
      <c r="Q352" s="24">
        <v>1</v>
      </c>
      <c r="R352" s="24">
        <v>0</v>
      </c>
      <c r="S352" s="24">
        <v>30</v>
      </c>
      <c r="T352" s="24">
        <v>0</v>
      </c>
      <c r="U352" s="24">
        <v>0</v>
      </c>
      <c r="V352" s="24">
        <v>1</v>
      </c>
      <c r="W352" s="24">
        <v>2</v>
      </c>
      <c r="X352" s="24">
        <v>1</v>
      </c>
      <c r="Y352" s="24">
        <v>0</v>
      </c>
      <c r="Z352" s="24">
        <v>0</v>
      </c>
      <c r="AA352" s="24">
        <v>0</v>
      </c>
      <c r="AB352" s="24">
        <v>0</v>
      </c>
      <c r="AC352" s="24">
        <v>0</v>
      </c>
      <c r="AD352" s="24">
        <v>0</v>
      </c>
      <c r="AE352" s="24">
        <v>1</v>
      </c>
      <c r="AF352" s="24">
        <v>0</v>
      </c>
      <c r="AG352" s="24">
        <v>0</v>
      </c>
      <c r="AH352" s="24">
        <v>0</v>
      </c>
      <c r="AI352" s="24">
        <v>0</v>
      </c>
      <c r="AJ352" s="24">
        <v>1</v>
      </c>
      <c r="AK352" s="24">
        <v>0</v>
      </c>
      <c r="AL352" s="24">
        <v>1</v>
      </c>
      <c r="AM352" s="24">
        <v>0</v>
      </c>
      <c r="AN352" s="24">
        <v>0</v>
      </c>
      <c r="AO352" s="24">
        <v>0</v>
      </c>
      <c r="AP352" s="24">
        <v>0</v>
      </c>
      <c r="AQ352" s="24">
        <v>0</v>
      </c>
      <c r="AR352" s="24">
        <v>1</v>
      </c>
      <c r="AS352" s="24">
        <v>0</v>
      </c>
      <c r="AT352" s="24">
        <v>0</v>
      </c>
      <c r="AU352" s="24">
        <v>0</v>
      </c>
      <c r="AV352" s="24">
        <v>1</v>
      </c>
      <c r="AW352" s="24">
        <v>0</v>
      </c>
      <c r="AX352" s="24">
        <v>0</v>
      </c>
      <c r="AY352" s="24">
        <v>0</v>
      </c>
      <c r="AZ352" s="24">
        <v>0</v>
      </c>
      <c r="BA352" s="24">
        <v>1</v>
      </c>
      <c r="BB352" s="24">
        <v>0</v>
      </c>
    </row>
    <row r="353" spans="2:54" ht="13.8" x14ac:dyDescent="0.3">
      <c r="B353" s="24">
        <v>333</v>
      </c>
      <c r="C353" s="24">
        <v>60</v>
      </c>
      <c r="D353" s="24">
        <v>1</v>
      </c>
      <c r="E353" s="24">
        <v>0</v>
      </c>
      <c r="F353" s="24">
        <v>0</v>
      </c>
      <c r="G353" s="24">
        <v>0</v>
      </c>
      <c r="H353" s="24">
        <v>0</v>
      </c>
      <c r="I353" s="24">
        <v>0</v>
      </c>
      <c r="J353" s="24">
        <v>7408</v>
      </c>
      <c r="K353" s="24">
        <v>4</v>
      </c>
      <c r="L353" s="24">
        <v>0</v>
      </c>
      <c r="M353" s="24">
        <v>0</v>
      </c>
      <c r="N353" s="24">
        <v>0</v>
      </c>
      <c r="O353" s="24">
        <v>0</v>
      </c>
      <c r="P353" s="24">
        <v>0</v>
      </c>
      <c r="Q353" s="24">
        <v>0</v>
      </c>
      <c r="R353" s="24">
        <v>0</v>
      </c>
      <c r="S353" s="24">
        <v>24</v>
      </c>
      <c r="T353" s="24">
        <v>0</v>
      </c>
      <c r="U353" s="24">
        <v>0</v>
      </c>
      <c r="V353" s="24">
        <v>1</v>
      </c>
      <c r="W353" s="24">
        <v>1</v>
      </c>
      <c r="X353" s="24">
        <v>1</v>
      </c>
      <c r="Y353" s="24">
        <v>0</v>
      </c>
      <c r="Z353" s="24">
        <v>0</v>
      </c>
      <c r="AA353" s="24">
        <v>0</v>
      </c>
      <c r="AB353" s="24">
        <v>0</v>
      </c>
      <c r="AC353" s="24">
        <v>1</v>
      </c>
      <c r="AD353" s="24">
        <v>0</v>
      </c>
      <c r="AE353" s="24">
        <v>0</v>
      </c>
      <c r="AF353" s="24">
        <v>0</v>
      </c>
      <c r="AG353" s="24">
        <v>0</v>
      </c>
      <c r="AH353" s="24">
        <v>1</v>
      </c>
      <c r="AI353" s="24">
        <v>0</v>
      </c>
      <c r="AJ353" s="24">
        <v>0</v>
      </c>
      <c r="AK353" s="24">
        <v>0</v>
      </c>
      <c r="AL353" s="24">
        <v>1</v>
      </c>
      <c r="AM353" s="24">
        <v>0</v>
      </c>
      <c r="AN353" s="24">
        <v>0</v>
      </c>
      <c r="AO353" s="24">
        <v>0</v>
      </c>
      <c r="AP353" s="24">
        <v>0</v>
      </c>
      <c r="AQ353" s="24">
        <v>1</v>
      </c>
      <c r="AR353" s="24">
        <v>0</v>
      </c>
      <c r="AS353" s="24">
        <v>0</v>
      </c>
      <c r="AT353" s="24">
        <v>0</v>
      </c>
      <c r="AU353" s="24">
        <v>0</v>
      </c>
      <c r="AV353" s="24">
        <v>1</v>
      </c>
      <c r="AW353" s="24">
        <v>0</v>
      </c>
      <c r="AX353" s="24">
        <v>0</v>
      </c>
      <c r="AY353" s="24">
        <v>0</v>
      </c>
      <c r="AZ353" s="24">
        <v>0</v>
      </c>
      <c r="BA353" s="24">
        <v>0</v>
      </c>
      <c r="BB353" s="24">
        <v>1</v>
      </c>
    </row>
    <row r="354" spans="2:54" ht="13.8" x14ac:dyDescent="0.3">
      <c r="B354" s="24">
        <v>334</v>
      </c>
      <c r="C354" s="24">
        <v>48</v>
      </c>
      <c r="D354" s="24">
        <v>0</v>
      </c>
      <c r="E354" s="24">
        <v>1</v>
      </c>
      <c r="F354" s="24">
        <v>0</v>
      </c>
      <c r="G354" s="24">
        <v>0</v>
      </c>
      <c r="H354" s="24">
        <v>0</v>
      </c>
      <c r="I354" s="24">
        <v>0</v>
      </c>
      <c r="J354" s="24">
        <v>11590</v>
      </c>
      <c r="K354" s="24">
        <v>2</v>
      </c>
      <c r="L354" s="24">
        <v>0</v>
      </c>
      <c r="M354" s="24">
        <v>0</v>
      </c>
      <c r="N354" s="24">
        <v>0</v>
      </c>
      <c r="O354" s="24">
        <v>0</v>
      </c>
      <c r="P354" s="24">
        <v>0</v>
      </c>
      <c r="Q354" s="24">
        <v>0</v>
      </c>
      <c r="R354" s="24">
        <v>0</v>
      </c>
      <c r="S354" s="24">
        <v>24</v>
      </c>
      <c r="T354" s="24">
        <v>1</v>
      </c>
      <c r="U354" s="24">
        <v>1</v>
      </c>
      <c r="V354" s="24">
        <v>0</v>
      </c>
      <c r="W354" s="24">
        <v>2</v>
      </c>
      <c r="X354" s="24">
        <v>1</v>
      </c>
      <c r="Y354" s="24">
        <v>0</v>
      </c>
      <c r="Z354" s="24">
        <v>0</v>
      </c>
      <c r="AA354" s="24">
        <v>0</v>
      </c>
      <c r="AB354" s="24">
        <v>0</v>
      </c>
      <c r="AC354" s="24">
        <v>0</v>
      </c>
      <c r="AD354" s="24">
        <v>0</v>
      </c>
      <c r="AE354" s="24">
        <v>1</v>
      </c>
      <c r="AF354" s="24">
        <v>0</v>
      </c>
      <c r="AG354" s="24">
        <v>0</v>
      </c>
      <c r="AH354" s="24">
        <v>0</v>
      </c>
      <c r="AI354" s="24">
        <v>0</v>
      </c>
      <c r="AJ354" s="24">
        <v>1</v>
      </c>
      <c r="AK354" s="24">
        <v>0</v>
      </c>
      <c r="AL354" s="24">
        <v>1</v>
      </c>
      <c r="AM354" s="24">
        <v>0</v>
      </c>
      <c r="AN354" s="24">
        <v>0</v>
      </c>
      <c r="AO354" s="24">
        <v>0</v>
      </c>
      <c r="AP354" s="24">
        <v>0</v>
      </c>
      <c r="AQ354" s="24">
        <v>0</v>
      </c>
      <c r="AR354" s="24">
        <v>1</v>
      </c>
      <c r="AS354" s="24">
        <v>0</v>
      </c>
      <c r="AT354" s="24">
        <v>0</v>
      </c>
      <c r="AU354" s="24">
        <v>0</v>
      </c>
      <c r="AV354" s="24">
        <v>0</v>
      </c>
      <c r="AW354" s="24">
        <v>0</v>
      </c>
      <c r="AX354" s="24">
        <v>1</v>
      </c>
      <c r="AY354" s="24">
        <v>0</v>
      </c>
      <c r="AZ354" s="24">
        <v>1</v>
      </c>
      <c r="BA354" s="24">
        <v>0</v>
      </c>
      <c r="BB354" s="24">
        <v>0</v>
      </c>
    </row>
    <row r="355" spans="2:54" ht="13.8" x14ac:dyDescent="0.3">
      <c r="B355" s="24">
        <v>335</v>
      </c>
      <c r="C355" s="24">
        <v>24</v>
      </c>
      <c r="D355" s="24">
        <v>0</v>
      </c>
      <c r="E355" s="24">
        <v>0</v>
      </c>
      <c r="F355" s="24">
        <v>1</v>
      </c>
      <c r="G355" s="24">
        <v>0</v>
      </c>
      <c r="H355" s="24">
        <v>0</v>
      </c>
      <c r="I355" s="24">
        <v>0</v>
      </c>
      <c r="J355" s="24">
        <v>4110</v>
      </c>
      <c r="K355" s="24">
        <v>3</v>
      </c>
      <c r="L355" s="24">
        <v>0</v>
      </c>
      <c r="M355" s="24">
        <v>1</v>
      </c>
      <c r="N355" s="24">
        <v>0</v>
      </c>
      <c r="O355" s="24">
        <v>0</v>
      </c>
      <c r="P355" s="24">
        <v>0</v>
      </c>
      <c r="Q355" s="24">
        <v>0</v>
      </c>
      <c r="R355" s="24">
        <v>1</v>
      </c>
      <c r="S355" s="24">
        <v>23</v>
      </c>
      <c r="T355" s="24">
        <v>1</v>
      </c>
      <c r="U355" s="24">
        <v>1</v>
      </c>
      <c r="V355" s="24">
        <v>0</v>
      </c>
      <c r="W355" s="24">
        <v>2</v>
      </c>
      <c r="X355" s="24">
        <v>2</v>
      </c>
      <c r="Y355" s="24">
        <v>0</v>
      </c>
      <c r="Z355" s="24">
        <v>0</v>
      </c>
      <c r="AA355" s="24">
        <v>0</v>
      </c>
      <c r="AB355" s="24">
        <v>1</v>
      </c>
      <c r="AC355" s="24">
        <v>0</v>
      </c>
      <c r="AD355" s="24">
        <v>0</v>
      </c>
      <c r="AE355" s="24">
        <v>0</v>
      </c>
      <c r="AF355" s="24">
        <v>1</v>
      </c>
      <c r="AG355" s="24">
        <v>0</v>
      </c>
      <c r="AH355" s="24">
        <v>0</v>
      </c>
      <c r="AI355" s="24">
        <v>0</v>
      </c>
      <c r="AJ355" s="24">
        <v>0</v>
      </c>
      <c r="AK355" s="24">
        <v>1</v>
      </c>
      <c r="AL355" s="24">
        <v>0</v>
      </c>
      <c r="AM355" s="24">
        <v>0</v>
      </c>
      <c r="AN355" s="24">
        <v>0</v>
      </c>
      <c r="AO355" s="24">
        <v>0</v>
      </c>
      <c r="AP355" s="24">
        <v>0</v>
      </c>
      <c r="AQ355" s="24">
        <v>0</v>
      </c>
      <c r="AR355" s="24">
        <v>0</v>
      </c>
      <c r="AS355" s="24">
        <v>0</v>
      </c>
      <c r="AT355" s="24">
        <v>1</v>
      </c>
      <c r="AU355" s="24">
        <v>0</v>
      </c>
      <c r="AV355" s="24">
        <v>0</v>
      </c>
      <c r="AW355" s="24">
        <v>0</v>
      </c>
      <c r="AX355" s="24">
        <v>1</v>
      </c>
      <c r="AY355" s="24">
        <v>0</v>
      </c>
      <c r="AZ355" s="24">
        <v>0</v>
      </c>
      <c r="BA355" s="24">
        <v>1</v>
      </c>
      <c r="BB355" s="24">
        <v>0</v>
      </c>
    </row>
    <row r="356" spans="2:54" ht="13.8" x14ac:dyDescent="0.3">
      <c r="B356" s="24">
        <v>336</v>
      </c>
      <c r="C356" s="24">
        <v>6</v>
      </c>
      <c r="D356" s="24">
        <v>0</v>
      </c>
      <c r="E356" s="24">
        <v>0</v>
      </c>
      <c r="F356" s="24">
        <v>1</v>
      </c>
      <c r="G356" s="24">
        <v>0</v>
      </c>
      <c r="H356" s="24">
        <v>0</v>
      </c>
      <c r="I356" s="24">
        <v>0</v>
      </c>
      <c r="J356" s="24">
        <v>3384</v>
      </c>
      <c r="K356" s="24">
        <v>1</v>
      </c>
      <c r="L356" s="24">
        <v>1</v>
      </c>
      <c r="M356" s="24">
        <v>0</v>
      </c>
      <c r="N356" s="24">
        <v>0</v>
      </c>
      <c r="O356" s="24">
        <v>0</v>
      </c>
      <c r="P356" s="24">
        <v>0</v>
      </c>
      <c r="Q356" s="24">
        <v>1</v>
      </c>
      <c r="R356" s="24">
        <v>0</v>
      </c>
      <c r="S356" s="24">
        <v>44</v>
      </c>
      <c r="T356" s="24">
        <v>0</v>
      </c>
      <c r="U356" s="24">
        <v>1</v>
      </c>
      <c r="V356" s="24">
        <v>0</v>
      </c>
      <c r="W356" s="24">
        <v>1</v>
      </c>
      <c r="X356" s="24">
        <v>1</v>
      </c>
      <c r="Y356" s="24">
        <v>1</v>
      </c>
      <c r="Z356" s="24">
        <v>0</v>
      </c>
      <c r="AA356" s="24">
        <v>0</v>
      </c>
      <c r="AB356" s="24">
        <v>1</v>
      </c>
      <c r="AC356" s="24">
        <v>0</v>
      </c>
      <c r="AD356" s="24">
        <v>0</v>
      </c>
      <c r="AE356" s="24">
        <v>0</v>
      </c>
      <c r="AF356" s="24">
        <v>0</v>
      </c>
      <c r="AG356" s="24">
        <v>0</v>
      </c>
      <c r="AH356" s="24">
        <v>0</v>
      </c>
      <c r="AI356" s="24">
        <v>0</v>
      </c>
      <c r="AJ356" s="24">
        <v>1</v>
      </c>
      <c r="AK356" s="24">
        <v>1</v>
      </c>
      <c r="AL356" s="24">
        <v>0</v>
      </c>
      <c r="AM356" s="24">
        <v>0</v>
      </c>
      <c r="AN356" s="24">
        <v>0</v>
      </c>
      <c r="AO356" s="24">
        <v>0</v>
      </c>
      <c r="AP356" s="24">
        <v>0</v>
      </c>
      <c r="AQ356" s="24">
        <v>0</v>
      </c>
      <c r="AR356" s="24">
        <v>1</v>
      </c>
      <c r="AS356" s="24">
        <v>0</v>
      </c>
      <c r="AT356" s="24">
        <v>0</v>
      </c>
      <c r="AU356" s="24">
        <v>0</v>
      </c>
      <c r="AV356" s="24">
        <v>0</v>
      </c>
      <c r="AW356" s="24">
        <v>0</v>
      </c>
      <c r="AX356" s="24">
        <v>1</v>
      </c>
      <c r="AY356" s="24">
        <v>0</v>
      </c>
      <c r="AZ356" s="24">
        <v>0</v>
      </c>
      <c r="BA356" s="24">
        <v>0</v>
      </c>
      <c r="BB356" s="24">
        <v>1</v>
      </c>
    </row>
    <row r="357" spans="2:54" ht="13.8" x14ac:dyDescent="0.3">
      <c r="B357" s="24">
        <v>337</v>
      </c>
      <c r="C357" s="24">
        <v>13</v>
      </c>
      <c r="D357" s="24">
        <v>0</v>
      </c>
      <c r="E357" s="24">
        <v>0</v>
      </c>
      <c r="F357" s="24">
        <v>0</v>
      </c>
      <c r="G357" s="24">
        <v>1</v>
      </c>
      <c r="H357" s="24">
        <v>0</v>
      </c>
      <c r="I357" s="24">
        <v>0</v>
      </c>
      <c r="J357" s="24">
        <v>2101</v>
      </c>
      <c r="K357" s="24">
        <v>2</v>
      </c>
      <c r="L357" s="24">
        <v>0</v>
      </c>
      <c r="M357" s="24">
        <v>0</v>
      </c>
      <c r="N357" s="24">
        <v>0</v>
      </c>
      <c r="O357" s="24">
        <v>0</v>
      </c>
      <c r="P357" s="24">
        <v>1</v>
      </c>
      <c r="Q357" s="24">
        <v>0</v>
      </c>
      <c r="R357" s="24">
        <v>0</v>
      </c>
      <c r="S357" s="24">
        <v>23</v>
      </c>
      <c r="T357" s="24">
        <v>0</v>
      </c>
      <c r="U357" s="24">
        <v>0</v>
      </c>
      <c r="V357" s="24">
        <v>1</v>
      </c>
      <c r="W357" s="24">
        <v>1</v>
      </c>
      <c r="X357" s="24">
        <v>1</v>
      </c>
      <c r="Y357" s="24">
        <v>0</v>
      </c>
      <c r="Z357" s="24">
        <v>0</v>
      </c>
      <c r="AA357" s="24">
        <v>1</v>
      </c>
      <c r="AB357" s="24">
        <v>0</v>
      </c>
      <c r="AC357" s="24">
        <v>1</v>
      </c>
      <c r="AD357" s="24">
        <v>0</v>
      </c>
      <c r="AE357" s="24">
        <v>0</v>
      </c>
      <c r="AF357" s="24">
        <v>0</v>
      </c>
      <c r="AG357" s="24">
        <v>0</v>
      </c>
      <c r="AH357" s="24">
        <v>1</v>
      </c>
      <c r="AI357" s="24">
        <v>0</v>
      </c>
      <c r="AJ357" s="24">
        <v>0</v>
      </c>
      <c r="AK357" s="24">
        <v>1</v>
      </c>
      <c r="AL357" s="24">
        <v>0</v>
      </c>
      <c r="AM357" s="24">
        <v>0</v>
      </c>
      <c r="AN357" s="24">
        <v>0</v>
      </c>
      <c r="AO357" s="24">
        <v>0</v>
      </c>
      <c r="AP357" s="24">
        <v>0</v>
      </c>
      <c r="AQ357" s="24">
        <v>1</v>
      </c>
      <c r="AR357" s="24">
        <v>0</v>
      </c>
      <c r="AS357" s="24">
        <v>0</v>
      </c>
      <c r="AT357" s="24">
        <v>0</v>
      </c>
      <c r="AU357" s="24">
        <v>0</v>
      </c>
      <c r="AV357" s="24">
        <v>0</v>
      </c>
      <c r="AW357" s="24">
        <v>0</v>
      </c>
      <c r="AX357" s="24">
        <v>1</v>
      </c>
      <c r="AY357" s="24">
        <v>0</v>
      </c>
      <c r="AZ357" s="24">
        <v>1</v>
      </c>
      <c r="BA357" s="24">
        <v>0</v>
      </c>
      <c r="BB357" s="24">
        <v>0</v>
      </c>
    </row>
    <row r="358" spans="2:54" ht="13.8" x14ac:dyDescent="0.3">
      <c r="B358" s="24">
        <v>338</v>
      </c>
      <c r="C358" s="24">
        <v>15</v>
      </c>
      <c r="D358" s="24">
        <v>0</v>
      </c>
      <c r="E358" s="24">
        <v>0</v>
      </c>
      <c r="F358" s="24">
        <v>0</v>
      </c>
      <c r="G358" s="24">
        <v>0</v>
      </c>
      <c r="H358" s="24">
        <v>0</v>
      </c>
      <c r="I358" s="24">
        <v>0</v>
      </c>
      <c r="J358" s="24">
        <v>1275</v>
      </c>
      <c r="K358" s="24">
        <v>4</v>
      </c>
      <c r="L358" s="24">
        <v>0</v>
      </c>
      <c r="M358" s="24">
        <v>0</v>
      </c>
      <c r="N358" s="24">
        <v>0</v>
      </c>
      <c r="O358" s="24">
        <v>0</v>
      </c>
      <c r="P358" s="24">
        <v>0</v>
      </c>
      <c r="Q358" s="24">
        <v>0</v>
      </c>
      <c r="R358" s="24">
        <v>0</v>
      </c>
      <c r="S358" s="24">
        <v>24</v>
      </c>
      <c r="T358" s="24">
        <v>0</v>
      </c>
      <c r="U358" s="24">
        <v>1</v>
      </c>
      <c r="V358" s="24">
        <v>0</v>
      </c>
      <c r="W358" s="24">
        <v>1</v>
      </c>
      <c r="X358" s="24">
        <v>1</v>
      </c>
      <c r="Y358" s="24">
        <v>0</v>
      </c>
      <c r="Z358" s="24">
        <v>0</v>
      </c>
      <c r="AA358" s="24">
        <v>0</v>
      </c>
      <c r="AB358" s="24">
        <v>1</v>
      </c>
      <c r="AC358" s="24">
        <v>0</v>
      </c>
      <c r="AD358" s="24">
        <v>0</v>
      </c>
      <c r="AE358" s="24">
        <v>0</v>
      </c>
      <c r="AF358" s="24">
        <v>0</v>
      </c>
      <c r="AG358" s="24">
        <v>0</v>
      </c>
      <c r="AH358" s="24">
        <v>1</v>
      </c>
      <c r="AI358" s="24">
        <v>0</v>
      </c>
      <c r="AJ358" s="24">
        <v>0</v>
      </c>
      <c r="AK358" s="24">
        <v>0</v>
      </c>
      <c r="AL358" s="24">
        <v>0</v>
      </c>
      <c r="AM358" s="24">
        <v>0</v>
      </c>
      <c r="AN358" s="24">
        <v>0</v>
      </c>
      <c r="AO358" s="24">
        <v>1</v>
      </c>
      <c r="AP358" s="24">
        <v>0</v>
      </c>
      <c r="AQ358" s="24">
        <v>0</v>
      </c>
      <c r="AR358" s="24">
        <v>1</v>
      </c>
      <c r="AS358" s="24">
        <v>0</v>
      </c>
      <c r="AT358" s="24">
        <v>0</v>
      </c>
      <c r="AU358" s="24">
        <v>0</v>
      </c>
      <c r="AV358" s="24">
        <v>1</v>
      </c>
      <c r="AW358" s="24">
        <v>0</v>
      </c>
      <c r="AX358" s="24">
        <v>0</v>
      </c>
      <c r="AY358" s="24">
        <v>0</v>
      </c>
      <c r="AZ358" s="24">
        <v>0</v>
      </c>
      <c r="BA358" s="24">
        <v>1</v>
      </c>
      <c r="BB358" s="24">
        <v>0</v>
      </c>
    </row>
    <row r="359" spans="2:54" ht="13.8" x14ac:dyDescent="0.3">
      <c r="B359" s="24">
        <v>339</v>
      </c>
      <c r="C359" s="24">
        <v>24</v>
      </c>
      <c r="D359" s="24">
        <v>0</v>
      </c>
      <c r="E359" s="24">
        <v>0</v>
      </c>
      <c r="F359" s="24">
        <v>1</v>
      </c>
      <c r="G359" s="24">
        <v>0</v>
      </c>
      <c r="H359" s="24">
        <v>0</v>
      </c>
      <c r="I359" s="24">
        <v>0</v>
      </c>
      <c r="J359" s="24">
        <v>4169</v>
      </c>
      <c r="K359" s="24">
        <v>4</v>
      </c>
      <c r="L359" s="24">
        <v>0</v>
      </c>
      <c r="M359" s="24">
        <v>1</v>
      </c>
      <c r="N359" s="24">
        <v>0</v>
      </c>
      <c r="O359" s="24">
        <v>0</v>
      </c>
      <c r="P359" s="24">
        <v>0</v>
      </c>
      <c r="Q359" s="24">
        <v>0</v>
      </c>
      <c r="R359" s="24">
        <v>0</v>
      </c>
      <c r="S359" s="24">
        <v>28</v>
      </c>
      <c r="T359" s="24">
        <v>0</v>
      </c>
      <c r="U359" s="24">
        <v>0</v>
      </c>
      <c r="V359" s="24">
        <v>1</v>
      </c>
      <c r="W359" s="24">
        <v>1</v>
      </c>
      <c r="X359" s="24">
        <v>1</v>
      </c>
      <c r="Y359" s="24">
        <v>0</v>
      </c>
      <c r="Z359" s="24">
        <v>0</v>
      </c>
      <c r="AA359" s="24">
        <v>1</v>
      </c>
      <c r="AB359" s="24">
        <v>1</v>
      </c>
      <c r="AC359" s="24">
        <v>0</v>
      </c>
      <c r="AD359" s="24">
        <v>0</v>
      </c>
      <c r="AE359" s="24">
        <v>0</v>
      </c>
      <c r="AF359" s="24">
        <v>0</v>
      </c>
      <c r="AG359" s="24">
        <v>0</v>
      </c>
      <c r="AH359" s="24">
        <v>1</v>
      </c>
      <c r="AI359" s="24">
        <v>0</v>
      </c>
      <c r="AJ359" s="24">
        <v>0</v>
      </c>
      <c r="AK359" s="24">
        <v>1</v>
      </c>
      <c r="AL359" s="24">
        <v>0</v>
      </c>
      <c r="AM359" s="24">
        <v>0</v>
      </c>
      <c r="AN359" s="24">
        <v>0</v>
      </c>
      <c r="AO359" s="24">
        <v>0</v>
      </c>
      <c r="AP359" s="24">
        <v>0</v>
      </c>
      <c r="AQ359" s="24">
        <v>0</v>
      </c>
      <c r="AR359" s="24">
        <v>1</v>
      </c>
      <c r="AS359" s="24">
        <v>0</v>
      </c>
      <c r="AT359" s="24">
        <v>0</v>
      </c>
      <c r="AU359" s="24">
        <v>0</v>
      </c>
      <c r="AV359" s="24">
        <v>0</v>
      </c>
      <c r="AW359" s="24">
        <v>0</v>
      </c>
      <c r="AX359" s="24">
        <v>1</v>
      </c>
      <c r="AY359" s="24">
        <v>0</v>
      </c>
      <c r="AZ359" s="24">
        <v>0</v>
      </c>
      <c r="BA359" s="24">
        <v>1</v>
      </c>
      <c r="BB359" s="24">
        <v>0</v>
      </c>
    </row>
    <row r="360" spans="2:54" ht="13.8" x14ac:dyDescent="0.3">
      <c r="B360" s="24">
        <v>340</v>
      </c>
      <c r="C360" s="24">
        <v>10</v>
      </c>
      <c r="D360" s="24">
        <v>0</v>
      </c>
      <c r="E360" s="24">
        <v>0</v>
      </c>
      <c r="F360" s="24">
        <v>1</v>
      </c>
      <c r="G360" s="24">
        <v>0</v>
      </c>
      <c r="H360" s="24">
        <v>0</v>
      </c>
      <c r="I360" s="24">
        <v>0</v>
      </c>
      <c r="J360" s="24">
        <v>1521</v>
      </c>
      <c r="K360" s="24">
        <v>4</v>
      </c>
      <c r="L360" s="24">
        <v>1</v>
      </c>
      <c r="M360" s="24">
        <v>0</v>
      </c>
      <c r="N360" s="24">
        <v>0</v>
      </c>
      <c r="O360" s="24">
        <v>0</v>
      </c>
      <c r="P360" s="24">
        <v>0</v>
      </c>
      <c r="Q360" s="24">
        <v>0</v>
      </c>
      <c r="R360" s="24">
        <v>0</v>
      </c>
      <c r="S360" s="24">
        <v>31</v>
      </c>
      <c r="T360" s="24">
        <v>0</v>
      </c>
      <c r="U360" s="24">
        <v>0</v>
      </c>
      <c r="V360" s="24">
        <v>1</v>
      </c>
      <c r="W360" s="24">
        <v>1</v>
      </c>
      <c r="X360" s="24">
        <v>1</v>
      </c>
      <c r="Y360" s="24">
        <v>0</v>
      </c>
      <c r="Z360" s="24">
        <v>0</v>
      </c>
      <c r="AA360" s="24">
        <v>1</v>
      </c>
      <c r="AB360" s="24">
        <v>0</v>
      </c>
      <c r="AC360" s="24">
        <v>1</v>
      </c>
      <c r="AD360" s="24">
        <v>0</v>
      </c>
      <c r="AE360" s="24">
        <v>0</v>
      </c>
      <c r="AF360" s="24">
        <v>0</v>
      </c>
      <c r="AG360" s="24">
        <v>0</v>
      </c>
      <c r="AH360" s="24">
        <v>1</v>
      </c>
      <c r="AI360" s="24">
        <v>0</v>
      </c>
      <c r="AJ360" s="24">
        <v>0</v>
      </c>
      <c r="AK360" s="24">
        <v>1</v>
      </c>
      <c r="AL360" s="24">
        <v>0</v>
      </c>
      <c r="AM360" s="24">
        <v>0</v>
      </c>
      <c r="AN360" s="24">
        <v>0</v>
      </c>
      <c r="AO360" s="24">
        <v>0</v>
      </c>
      <c r="AP360" s="24">
        <v>0</v>
      </c>
      <c r="AQ360" s="24">
        <v>0</v>
      </c>
      <c r="AR360" s="24">
        <v>1</v>
      </c>
      <c r="AS360" s="24">
        <v>0</v>
      </c>
      <c r="AT360" s="24">
        <v>0</v>
      </c>
      <c r="AU360" s="24">
        <v>0</v>
      </c>
      <c r="AV360" s="24">
        <v>1</v>
      </c>
      <c r="AW360" s="24">
        <v>0</v>
      </c>
      <c r="AX360" s="24">
        <v>0</v>
      </c>
      <c r="AY360" s="24">
        <v>0</v>
      </c>
      <c r="AZ360" s="24">
        <v>1</v>
      </c>
      <c r="BA360" s="24">
        <v>0</v>
      </c>
      <c r="BB360" s="24">
        <v>0</v>
      </c>
    </row>
    <row r="361" spans="2:54" ht="13.8" x14ac:dyDescent="0.3">
      <c r="B361" s="24">
        <v>341</v>
      </c>
      <c r="C361" s="24">
        <v>24</v>
      </c>
      <c r="D361" s="24">
        <v>0</v>
      </c>
      <c r="E361" s="24">
        <v>0</v>
      </c>
      <c r="F361" s="24">
        <v>0</v>
      </c>
      <c r="G361" s="24">
        <v>0</v>
      </c>
      <c r="H361" s="24">
        <v>1</v>
      </c>
      <c r="I361" s="24">
        <v>0</v>
      </c>
      <c r="J361" s="24">
        <v>5743</v>
      </c>
      <c r="K361" s="24">
        <v>2</v>
      </c>
      <c r="L361" s="24">
        <v>0</v>
      </c>
      <c r="M361" s="24">
        <v>0</v>
      </c>
      <c r="N361" s="24">
        <v>0</v>
      </c>
      <c r="O361" s="24">
        <v>0</v>
      </c>
      <c r="P361" s="24">
        <v>0</v>
      </c>
      <c r="Q361" s="24">
        <v>0</v>
      </c>
      <c r="R361" s="24">
        <v>1</v>
      </c>
      <c r="S361" s="24">
        <v>24</v>
      </c>
      <c r="T361" s="24">
        <v>0</v>
      </c>
      <c r="U361" s="24">
        <v>0</v>
      </c>
      <c r="V361" s="24">
        <v>0</v>
      </c>
      <c r="W361" s="24">
        <v>2</v>
      </c>
      <c r="X361" s="24">
        <v>1</v>
      </c>
      <c r="Y361" s="24">
        <v>1</v>
      </c>
      <c r="Z361" s="24">
        <v>0</v>
      </c>
      <c r="AA361" s="24">
        <v>1</v>
      </c>
      <c r="AB361" s="24">
        <v>0</v>
      </c>
      <c r="AC361" s="24">
        <v>1</v>
      </c>
      <c r="AD361" s="24">
        <v>0</v>
      </c>
      <c r="AE361" s="24">
        <v>0</v>
      </c>
      <c r="AF361" s="24">
        <v>0</v>
      </c>
      <c r="AG361" s="24">
        <v>0</v>
      </c>
      <c r="AH361" s="24">
        <v>0</v>
      </c>
      <c r="AI361" s="24">
        <v>0</v>
      </c>
      <c r="AJ361" s="24">
        <v>1</v>
      </c>
      <c r="AK361" s="24">
        <v>1</v>
      </c>
      <c r="AL361" s="24">
        <v>0</v>
      </c>
      <c r="AM361" s="24">
        <v>0</v>
      </c>
      <c r="AN361" s="24">
        <v>0</v>
      </c>
      <c r="AO361" s="24">
        <v>0</v>
      </c>
      <c r="AP361" s="24">
        <v>0</v>
      </c>
      <c r="AQ361" s="24">
        <v>1</v>
      </c>
      <c r="AR361" s="24">
        <v>0</v>
      </c>
      <c r="AS361" s="24">
        <v>0</v>
      </c>
      <c r="AT361" s="24">
        <v>0</v>
      </c>
      <c r="AU361" s="24">
        <v>0</v>
      </c>
      <c r="AV361" s="24">
        <v>0</v>
      </c>
      <c r="AW361" s="24">
        <v>0</v>
      </c>
      <c r="AX361" s="24">
        <v>1</v>
      </c>
      <c r="AY361" s="24">
        <v>0</v>
      </c>
      <c r="AZ361" s="24">
        <v>0</v>
      </c>
      <c r="BA361" s="24">
        <v>1</v>
      </c>
      <c r="BB361" s="24">
        <v>0</v>
      </c>
    </row>
    <row r="362" spans="2:54" ht="13.8" x14ac:dyDescent="0.3">
      <c r="B362" s="24">
        <v>342</v>
      </c>
      <c r="C362" s="24">
        <v>21</v>
      </c>
      <c r="D362" s="24">
        <v>0</v>
      </c>
      <c r="E362" s="24">
        <v>0</v>
      </c>
      <c r="F362" s="24">
        <v>1</v>
      </c>
      <c r="G362" s="24">
        <v>0</v>
      </c>
      <c r="H362" s="24">
        <v>0</v>
      </c>
      <c r="I362" s="24">
        <v>0</v>
      </c>
      <c r="J362" s="24">
        <v>3599</v>
      </c>
      <c r="K362" s="24">
        <v>1</v>
      </c>
      <c r="L362" s="24">
        <v>0</v>
      </c>
      <c r="M362" s="24">
        <v>0</v>
      </c>
      <c r="N362" s="24">
        <v>0</v>
      </c>
      <c r="O362" s="24">
        <v>0</v>
      </c>
      <c r="P362" s="24">
        <v>0</v>
      </c>
      <c r="Q362" s="24">
        <v>0</v>
      </c>
      <c r="R362" s="24">
        <v>0</v>
      </c>
      <c r="S362" s="24">
        <v>26</v>
      </c>
      <c r="T362" s="24">
        <v>0</v>
      </c>
      <c r="U362" s="24">
        <v>1</v>
      </c>
      <c r="V362" s="24">
        <v>0</v>
      </c>
      <c r="W362" s="24">
        <v>1</v>
      </c>
      <c r="X362" s="24">
        <v>1</v>
      </c>
      <c r="Y362" s="24">
        <v>0</v>
      </c>
      <c r="Z362" s="24">
        <v>0</v>
      </c>
      <c r="AA362" s="24">
        <v>1</v>
      </c>
      <c r="AB362" s="24">
        <v>1</v>
      </c>
      <c r="AC362" s="24">
        <v>0</v>
      </c>
      <c r="AD362" s="24">
        <v>0</v>
      </c>
      <c r="AE362" s="24">
        <v>0</v>
      </c>
      <c r="AF362" s="24">
        <v>0</v>
      </c>
      <c r="AG362" s="24">
        <v>0</v>
      </c>
      <c r="AH362" s="24">
        <v>1</v>
      </c>
      <c r="AI362" s="24">
        <v>0</v>
      </c>
      <c r="AJ362" s="24">
        <v>0</v>
      </c>
      <c r="AK362" s="24">
        <v>1</v>
      </c>
      <c r="AL362" s="24">
        <v>0</v>
      </c>
      <c r="AM362" s="24">
        <v>0</v>
      </c>
      <c r="AN362" s="24">
        <v>0</v>
      </c>
      <c r="AO362" s="24">
        <v>0</v>
      </c>
      <c r="AP362" s="24">
        <v>0</v>
      </c>
      <c r="AQ362" s="24">
        <v>0</v>
      </c>
      <c r="AR362" s="24">
        <v>0</v>
      </c>
      <c r="AS362" s="24">
        <v>1</v>
      </c>
      <c r="AT362" s="24">
        <v>0</v>
      </c>
      <c r="AU362" s="24">
        <v>0</v>
      </c>
      <c r="AV362" s="24">
        <v>0</v>
      </c>
      <c r="AW362" s="24">
        <v>0</v>
      </c>
      <c r="AX362" s="24">
        <v>1</v>
      </c>
      <c r="AY362" s="24">
        <v>0</v>
      </c>
      <c r="AZ362" s="24">
        <v>1</v>
      </c>
      <c r="BA362" s="24">
        <v>0</v>
      </c>
      <c r="BB362" s="24">
        <v>0</v>
      </c>
    </row>
    <row r="363" spans="2:54" ht="13.8" x14ac:dyDescent="0.3">
      <c r="B363" s="24">
        <v>343</v>
      </c>
      <c r="C363" s="24">
        <v>18</v>
      </c>
      <c r="D363" s="24">
        <v>0</v>
      </c>
      <c r="E363" s="24">
        <v>0</v>
      </c>
      <c r="F363" s="24">
        <v>0</v>
      </c>
      <c r="G363" s="24">
        <v>1</v>
      </c>
      <c r="H363" s="24">
        <v>0</v>
      </c>
      <c r="I363" s="24">
        <v>0</v>
      </c>
      <c r="J363" s="24">
        <v>3213</v>
      </c>
      <c r="K363" s="24">
        <v>1</v>
      </c>
      <c r="L363" s="24">
        <v>0</v>
      </c>
      <c r="M363" s="24">
        <v>0</v>
      </c>
      <c r="N363" s="24">
        <v>1</v>
      </c>
      <c r="O363" s="24">
        <v>0</v>
      </c>
      <c r="P363" s="24">
        <v>0</v>
      </c>
      <c r="Q363" s="24">
        <v>1</v>
      </c>
      <c r="R363" s="24">
        <v>0</v>
      </c>
      <c r="S363" s="24">
        <v>25</v>
      </c>
      <c r="T363" s="24">
        <v>0</v>
      </c>
      <c r="U363" s="24">
        <v>1</v>
      </c>
      <c r="V363" s="24">
        <v>0</v>
      </c>
      <c r="W363" s="24">
        <v>1</v>
      </c>
      <c r="X363" s="24">
        <v>1</v>
      </c>
      <c r="Y363" s="24">
        <v>0</v>
      </c>
      <c r="Z363" s="24">
        <v>0</v>
      </c>
      <c r="AA363" s="24">
        <v>1</v>
      </c>
      <c r="AB363" s="24">
        <v>0</v>
      </c>
      <c r="AC363" s="24">
        <v>1</v>
      </c>
      <c r="AD363" s="24">
        <v>0</v>
      </c>
      <c r="AE363" s="24">
        <v>0</v>
      </c>
      <c r="AF363" s="24">
        <v>0</v>
      </c>
      <c r="AG363" s="24">
        <v>0</v>
      </c>
      <c r="AH363" s="24">
        <v>1</v>
      </c>
      <c r="AI363" s="24">
        <v>0</v>
      </c>
      <c r="AJ363" s="24">
        <v>0</v>
      </c>
      <c r="AK363" s="24">
        <v>0</v>
      </c>
      <c r="AL363" s="24">
        <v>0</v>
      </c>
      <c r="AM363" s="24">
        <v>1</v>
      </c>
      <c r="AN363" s="24">
        <v>0</v>
      </c>
      <c r="AO363" s="24">
        <v>0</v>
      </c>
      <c r="AP363" s="24">
        <v>0</v>
      </c>
      <c r="AQ363" s="24">
        <v>1</v>
      </c>
      <c r="AR363" s="24">
        <v>0</v>
      </c>
      <c r="AS363" s="24">
        <v>0</v>
      </c>
      <c r="AT363" s="24">
        <v>0</v>
      </c>
      <c r="AU363" s="24">
        <v>0</v>
      </c>
      <c r="AV363" s="24">
        <v>0</v>
      </c>
      <c r="AW363" s="24">
        <v>1</v>
      </c>
      <c r="AX363" s="24">
        <v>0</v>
      </c>
      <c r="AY363" s="24">
        <v>0</v>
      </c>
      <c r="AZ363" s="24">
        <v>0</v>
      </c>
      <c r="BA363" s="24">
        <v>1</v>
      </c>
      <c r="BB363" s="24">
        <v>0</v>
      </c>
    </row>
    <row r="364" spans="2:54" ht="13.8" x14ac:dyDescent="0.3">
      <c r="B364" s="24">
        <v>344</v>
      </c>
      <c r="C364" s="24">
        <v>18</v>
      </c>
      <c r="D364" s="24">
        <v>0</v>
      </c>
      <c r="E364" s="24">
        <v>0</v>
      </c>
      <c r="F364" s="24">
        <v>0</v>
      </c>
      <c r="G364" s="24">
        <v>0</v>
      </c>
      <c r="H364" s="24">
        <v>0</v>
      </c>
      <c r="I364" s="24">
        <v>1</v>
      </c>
      <c r="J364" s="24">
        <v>4439</v>
      </c>
      <c r="K364" s="24">
        <v>1</v>
      </c>
      <c r="L364" s="24">
        <v>0</v>
      </c>
      <c r="M364" s="24">
        <v>1</v>
      </c>
      <c r="N364" s="24">
        <v>0</v>
      </c>
      <c r="O364" s="24">
        <v>1</v>
      </c>
      <c r="P364" s="24">
        <v>0</v>
      </c>
      <c r="Q364" s="24">
        <v>1</v>
      </c>
      <c r="R364" s="24">
        <v>0</v>
      </c>
      <c r="S364" s="24">
        <v>33</v>
      </c>
      <c r="T364" s="24">
        <v>1</v>
      </c>
      <c r="U364" s="24">
        <v>0</v>
      </c>
      <c r="V364" s="24">
        <v>1</v>
      </c>
      <c r="W364" s="24">
        <v>1</v>
      </c>
      <c r="X364" s="24">
        <v>1</v>
      </c>
      <c r="Y364" s="24">
        <v>1</v>
      </c>
      <c r="Z364" s="24">
        <v>0</v>
      </c>
      <c r="AA364" s="24">
        <v>1</v>
      </c>
      <c r="AB364" s="24">
        <v>0</v>
      </c>
      <c r="AC364" s="24">
        <v>1</v>
      </c>
      <c r="AD364" s="24">
        <v>0</v>
      </c>
      <c r="AE364" s="24">
        <v>0</v>
      </c>
      <c r="AF364" s="24">
        <v>0</v>
      </c>
      <c r="AG364" s="24">
        <v>0</v>
      </c>
      <c r="AH364" s="24">
        <v>1</v>
      </c>
      <c r="AI364" s="24">
        <v>0</v>
      </c>
      <c r="AJ364" s="24">
        <v>0</v>
      </c>
      <c r="AK364" s="24">
        <v>1</v>
      </c>
      <c r="AL364" s="24">
        <v>0</v>
      </c>
      <c r="AM364" s="24">
        <v>0</v>
      </c>
      <c r="AN364" s="24">
        <v>0</v>
      </c>
      <c r="AO364" s="24">
        <v>0</v>
      </c>
      <c r="AP364" s="24">
        <v>0</v>
      </c>
      <c r="AQ364" s="24">
        <v>0</v>
      </c>
      <c r="AR364" s="24">
        <v>0</v>
      </c>
      <c r="AS364" s="24">
        <v>0</v>
      </c>
      <c r="AT364" s="24">
        <v>1</v>
      </c>
      <c r="AU364" s="24">
        <v>1</v>
      </c>
      <c r="AV364" s="24">
        <v>0</v>
      </c>
      <c r="AW364" s="24">
        <v>0</v>
      </c>
      <c r="AX364" s="24">
        <v>0</v>
      </c>
      <c r="AY364" s="24">
        <v>0</v>
      </c>
      <c r="AZ364" s="24">
        <v>0</v>
      </c>
      <c r="BA364" s="24">
        <v>0</v>
      </c>
      <c r="BB364" s="24">
        <v>1</v>
      </c>
    </row>
    <row r="365" spans="2:54" ht="13.8" x14ac:dyDescent="0.3">
      <c r="B365" s="24">
        <v>345</v>
      </c>
      <c r="C365" s="24">
        <v>10</v>
      </c>
      <c r="D365" s="24">
        <v>1</v>
      </c>
      <c r="E365" s="24">
        <v>0</v>
      </c>
      <c r="F365" s="24">
        <v>0</v>
      </c>
      <c r="G365" s="24">
        <v>0</v>
      </c>
      <c r="H365" s="24">
        <v>0</v>
      </c>
      <c r="I365" s="24">
        <v>0</v>
      </c>
      <c r="J365" s="24">
        <v>3949</v>
      </c>
      <c r="K365" s="24">
        <v>1</v>
      </c>
      <c r="L365" s="24">
        <v>0</v>
      </c>
      <c r="M365" s="24">
        <v>1</v>
      </c>
      <c r="N365" s="24">
        <v>0</v>
      </c>
      <c r="O365" s="24">
        <v>0</v>
      </c>
      <c r="P365" s="24">
        <v>1</v>
      </c>
      <c r="Q365" s="24">
        <v>0</v>
      </c>
      <c r="R365" s="24">
        <v>0</v>
      </c>
      <c r="S365" s="24">
        <v>37</v>
      </c>
      <c r="T365" s="24">
        <v>0</v>
      </c>
      <c r="U365" s="24">
        <v>0</v>
      </c>
      <c r="V365" s="24">
        <v>1</v>
      </c>
      <c r="W365" s="24">
        <v>1</v>
      </c>
      <c r="X365" s="24">
        <v>2</v>
      </c>
      <c r="Y365" s="24">
        <v>0</v>
      </c>
      <c r="Z365" s="24">
        <v>0</v>
      </c>
      <c r="AA365" s="24">
        <v>1</v>
      </c>
      <c r="AB365" s="24">
        <v>0</v>
      </c>
      <c r="AC365" s="24">
        <v>0</v>
      </c>
      <c r="AD365" s="24">
        <v>1</v>
      </c>
      <c r="AE365" s="24">
        <v>0</v>
      </c>
      <c r="AF365" s="24">
        <v>0</v>
      </c>
      <c r="AG365" s="24">
        <v>0</v>
      </c>
      <c r="AH365" s="24">
        <v>1</v>
      </c>
      <c r="AI365" s="24">
        <v>0</v>
      </c>
      <c r="AJ365" s="24">
        <v>0</v>
      </c>
      <c r="AK365" s="24">
        <v>1</v>
      </c>
      <c r="AL365" s="24">
        <v>0</v>
      </c>
      <c r="AM365" s="24">
        <v>0</v>
      </c>
      <c r="AN365" s="24">
        <v>0</v>
      </c>
      <c r="AO365" s="24">
        <v>0</v>
      </c>
      <c r="AP365" s="24">
        <v>0</v>
      </c>
      <c r="AQ365" s="24">
        <v>1</v>
      </c>
      <c r="AR365" s="24">
        <v>0</v>
      </c>
      <c r="AS365" s="24">
        <v>0</v>
      </c>
      <c r="AT365" s="24">
        <v>0</v>
      </c>
      <c r="AU365" s="24">
        <v>1</v>
      </c>
      <c r="AV365" s="24">
        <v>0</v>
      </c>
      <c r="AW365" s="24">
        <v>0</v>
      </c>
      <c r="AX365" s="24">
        <v>0</v>
      </c>
      <c r="AY365" s="24">
        <v>0</v>
      </c>
      <c r="AZ365" s="24">
        <v>1</v>
      </c>
      <c r="BA365" s="24">
        <v>0</v>
      </c>
      <c r="BB365" s="24">
        <v>0</v>
      </c>
    </row>
    <row r="366" spans="2:54" ht="13.8" x14ac:dyDescent="0.3">
      <c r="B366" s="24">
        <v>346</v>
      </c>
      <c r="C366" s="24">
        <v>15</v>
      </c>
      <c r="D366" s="24">
        <v>0</v>
      </c>
      <c r="E366" s="24">
        <v>0</v>
      </c>
      <c r="F366" s="24">
        <v>0</v>
      </c>
      <c r="G366" s="24">
        <v>1</v>
      </c>
      <c r="H366" s="24">
        <v>0</v>
      </c>
      <c r="I366" s="24">
        <v>0</v>
      </c>
      <c r="J366" s="24">
        <v>1459</v>
      </c>
      <c r="K366" s="24">
        <v>4</v>
      </c>
      <c r="L366" s="24">
        <v>0</v>
      </c>
      <c r="M366" s="24">
        <v>0</v>
      </c>
      <c r="N366" s="24">
        <v>0</v>
      </c>
      <c r="O366" s="24">
        <v>0</v>
      </c>
      <c r="P366" s="24">
        <v>0</v>
      </c>
      <c r="Q366" s="24">
        <v>0</v>
      </c>
      <c r="R366" s="24">
        <v>0</v>
      </c>
      <c r="S366" s="24">
        <v>43</v>
      </c>
      <c r="T366" s="24">
        <v>0</v>
      </c>
      <c r="U366" s="24">
        <v>0</v>
      </c>
      <c r="V366" s="24">
        <v>1</v>
      </c>
      <c r="W366" s="24">
        <v>1</v>
      </c>
      <c r="X366" s="24">
        <v>1</v>
      </c>
      <c r="Y366" s="24">
        <v>0</v>
      </c>
      <c r="Z366" s="24">
        <v>0</v>
      </c>
      <c r="AA366" s="24">
        <v>1</v>
      </c>
      <c r="AB366" s="24">
        <v>0</v>
      </c>
      <c r="AC366" s="24">
        <v>0</v>
      </c>
      <c r="AD366" s="24">
        <v>0</v>
      </c>
      <c r="AE366" s="24">
        <v>1</v>
      </c>
      <c r="AF366" s="24">
        <v>0</v>
      </c>
      <c r="AG366" s="24">
        <v>0</v>
      </c>
      <c r="AH366" s="24">
        <v>0</v>
      </c>
      <c r="AI366" s="24">
        <v>0</v>
      </c>
      <c r="AJ366" s="24">
        <v>1</v>
      </c>
      <c r="AK366" s="24">
        <v>1</v>
      </c>
      <c r="AL366" s="24">
        <v>0</v>
      </c>
      <c r="AM366" s="24">
        <v>0</v>
      </c>
      <c r="AN366" s="24">
        <v>0</v>
      </c>
      <c r="AO366" s="24">
        <v>0</v>
      </c>
      <c r="AP366" s="24">
        <v>0</v>
      </c>
      <c r="AQ366" s="24">
        <v>0</v>
      </c>
      <c r="AR366" s="24">
        <v>1</v>
      </c>
      <c r="AS366" s="24">
        <v>0</v>
      </c>
      <c r="AT366" s="24">
        <v>0</v>
      </c>
      <c r="AU366" s="24">
        <v>0</v>
      </c>
      <c r="AV366" s="24">
        <v>1</v>
      </c>
      <c r="AW366" s="24">
        <v>0</v>
      </c>
      <c r="AX366" s="24">
        <v>0</v>
      </c>
      <c r="AY366" s="24">
        <v>0</v>
      </c>
      <c r="AZ366" s="24">
        <v>1</v>
      </c>
      <c r="BA366" s="24">
        <v>0</v>
      </c>
      <c r="BB366" s="24">
        <v>0</v>
      </c>
    </row>
    <row r="367" spans="2:54" ht="13.8" x14ac:dyDescent="0.3">
      <c r="B367" s="24">
        <v>347</v>
      </c>
      <c r="C367" s="24">
        <v>13</v>
      </c>
      <c r="D367" s="24">
        <v>0</v>
      </c>
      <c r="E367" s="24">
        <v>0</v>
      </c>
      <c r="F367" s="24">
        <v>0</v>
      </c>
      <c r="G367" s="24">
        <v>1</v>
      </c>
      <c r="H367" s="24">
        <v>0</v>
      </c>
      <c r="I367" s="24">
        <v>0</v>
      </c>
      <c r="J367" s="24">
        <v>882</v>
      </c>
      <c r="K367" s="24">
        <v>4</v>
      </c>
      <c r="L367" s="24">
        <v>0</v>
      </c>
      <c r="M367" s="24">
        <v>1</v>
      </c>
      <c r="N367" s="24">
        <v>0</v>
      </c>
      <c r="O367" s="24">
        <v>0</v>
      </c>
      <c r="P367" s="24">
        <v>1</v>
      </c>
      <c r="Q367" s="24">
        <v>1</v>
      </c>
      <c r="R367" s="24">
        <v>0</v>
      </c>
      <c r="S367" s="24">
        <v>23</v>
      </c>
      <c r="T367" s="24">
        <v>0</v>
      </c>
      <c r="U367" s="24">
        <v>0</v>
      </c>
      <c r="V367" s="24">
        <v>1</v>
      </c>
      <c r="W367" s="24">
        <v>2</v>
      </c>
      <c r="X367" s="24">
        <v>1</v>
      </c>
      <c r="Y367" s="24">
        <v>0</v>
      </c>
      <c r="Z367" s="24">
        <v>0</v>
      </c>
      <c r="AA367" s="24">
        <v>1</v>
      </c>
      <c r="AB367" s="24">
        <v>0</v>
      </c>
      <c r="AC367" s="24">
        <v>1</v>
      </c>
      <c r="AD367" s="24">
        <v>0</v>
      </c>
      <c r="AE367" s="24">
        <v>0</v>
      </c>
      <c r="AF367" s="24">
        <v>0</v>
      </c>
      <c r="AG367" s="24">
        <v>0</v>
      </c>
      <c r="AH367" s="24">
        <v>0</v>
      </c>
      <c r="AI367" s="24">
        <v>0</v>
      </c>
      <c r="AJ367" s="24">
        <v>1</v>
      </c>
      <c r="AK367" s="24">
        <v>1</v>
      </c>
      <c r="AL367" s="24">
        <v>0</v>
      </c>
      <c r="AM367" s="24">
        <v>0</v>
      </c>
      <c r="AN367" s="24">
        <v>0</v>
      </c>
      <c r="AO367" s="24">
        <v>0</v>
      </c>
      <c r="AP367" s="24">
        <v>0</v>
      </c>
      <c r="AQ367" s="24">
        <v>1</v>
      </c>
      <c r="AR367" s="24">
        <v>0</v>
      </c>
      <c r="AS367" s="24">
        <v>0</v>
      </c>
      <c r="AT367" s="24">
        <v>0</v>
      </c>
      <c r="AU367" s="24">
        <v>0</v>
      </c>
      <c r="AV367" s="24">
        <v>0</v>
      </c>
      <c r="AW367" s="24">
        <v>0</v>
      </c>
      <c r="AX367" s="24">
        <v>1</v>
      </c>
      <c r="AY367" s="24">
        <v>0</v>
      </c>
      <c r="AZ367" s="24">
        <v>0</v>
      </c>
      <c r="BA367" s="24">
        <v>1</v>
      </c>
      <c r="BB367" s="24">
        <v>0</v>
      </c>
    </row>
    <row r="368" spans="2:54" ht="13.8" x14ac:dyDescent="0.3">
      <c r="B368" s="24">
        <v>348</v>
      </c>
      <c r="C368" s="24">
        <v>24</v>
      </c>
      <c r="D368" s="24">
        <v>0</v>
      </c>
      <c r="E368" s="24">
        <v>0</v>
      </c>
      <c r="F368" s="24">
        <v>0</v>
      </c>
      <c r="G368" s="24">
        <v>1</v>
      </c>
      <c r="H368" s="24">
        <v>0</v>
      </c>
      <c r="I368" s="24">
        <v>0</v>
      </c>
      <c r="J368" s="24">
        <v>3758</v>
      </c>
      <c r="K368" s="24">
        <v>1</v>
      </c>
      <c r="L368" s="24">
        <v>0</v>
      </c>
      <c r="M368" s="24">
        <v>0</v>
      </c>
      <c r="N368" s="24">
        <v>0</v>
      </c>
      <c r="O368" s="24">
        <v>0</v>
      </c>
      <c r="P368" s="24">
        <v>0</v>
      </c>
      <c r="Q368" s="24">
        <v>0</v>
      </c>
      <c r="R368" s="24">
        <v>1</v>
      </c>
      <c r="S368" s="24">
        <v>23</v>
      </c>
      <c r="T368" s="24">
        <v>0</v>
      </c>
      <c r="U368" s="24">
        <v>1</v>
      </c>
      <c r="V368" s="24">
        <v>0</v>
      </c>
      <c r="W368" s="24">
        <v>1</v>
      </c>
      <c r="X368" s="24">
        <v>1</v>
      </c>
      <c r="Y368" s="24">
        <v>0</v>
      </c>
      <c r="Z368" s="24">
        <v>0</v>
      </c>
      <c r="AA368" s="24">
        <v>1</v>
      </c>
      <c r="AB368" s="24">
        <v>0</v>
      </c>
      <c r="AC368" s="24">
        <v>1</v>
      </c>
      <c r="AD368" s="24">
        <v>0</v>
      </c>
      <c r="AE368" s="24">
        <v>0</v>
      </c>
      <c r="AF368" s="24">
        <v>0</v>
      </c>
      <c r="AG368" s="24">
        <v>0</v>
      </c>
      <c r="AH368" s="24">
        <v>1</v>
      </c>
      <c r="AI368" s="24">
        <v>0</v>
      </c>
      <c r="AJ368" s="24">
        <v>0</v>
      </c>
      <c r="AK368" s="24">
        <v>0</v>
      </c>
      <c r="AL368" s="24">
        <v>0</v>
      </c>
      <c r="AM368" s="24">
        <v>1</v>
      </c>
      <c r="AN368" s="24">
        <v>0</v>
      </c>
      <c r="AO368" s="24">
        <v>0</v>
      </c>
      <c r="AP368" s="24">
        <v>1</v>
      </c>
      <c r="AQ368" s="24">
        <v>0</v>
      </c>
      <c r="AR368" s="24">
        <v>0</v>
      </c>
      <c r="AS368" s="24">
        <v>0</v>
      </c>
      <c r="AT368" s="24">
        <v>0</v>
      </c>
      <c r="AU368" s="24">
        <v>0</v>
      </c>
      <c r="AV368" s="24">
        <v>0</v>
      </c>
      <c r="AW368" s="24">
        <v>0</v>
      </c>
      <c r="AX368" s="24">
        <v>1</v>
      </c>
      <c r="AY368" s="24">
        <v>1</v>
      </c>
      <c r="AZ368" s="24">
        <v>0</v>
      </c>
      <c r="BA368" s="24">
        <v>0</v>
      </c>
      <c r="BB368" s="24">
        <v>0</v>
      </c>
    </row>
    <row r="369" spans="2:54" ht="13.8" x14ac:dyDescent="0.3">
      <c r="B369" s="24">
        <v>349</v>
      </c>
      <c r="C369" s="24">
        <v>6</v>
      </c>
      <c r="D369" s="24">
        <v>0</v>
      </c>
      <c r="E369" s="24">
        <v>0</v>
      </c>
      <c r="F369" s="24">
        <v>0</v>
      </c>
      <c r="G369" s="24">
        <v>0</v>
      </c>
      <c r="H369" s="24">
        <v>0</v>
      </c>
      <c r="I369" s="24">
        <v>1</v>
      </c>
      <c r="J369" s="24">
        <v>1743</v>
      </c>
      <c r="K369" s="24">
        <v>1</v>
      </c>
      <c r="L369" s="24">
        <v>0</v>
      </c>
      <c r="M369" s="24">
        <v>1</v>
      </c>
      <c r="N369" s="24">
        <v>0</v>
      </c>
      <c r="O369" s="24">
        <v>0</v>
      </c>
      <c r="P369" s="24">
        <v>0</v>
      </c>
      <c r="Q369" s="24">
        <v>1</v>
      </c>
      <c r="R369" s="24">
        <v>0</v>
      </c>
      <c r="S369" s="24">
        <v>34</v>
      </c>
      <c r="T369" s="24">
        <v>0</v>
      </c>
      <c r="U369" s="24">
        <v>0</v>
      </c>
      <c r="V369" s="24">
        <v>1</v>
      </c>
      <c r="W369" s="24">
        <v>2</v>
      </c>
      <c r="X369" s="24">
        <v>1</v>
      </c>
      <c r="Y369" s="24">
        <v>0</v>
      </c>
      <c r="Z369" s="24">
        <v>0</v>
      </c>
      <c r="AA369" s="24">
        <v>1</v>
      </c>
      <c r="AB369" s="24">
        <v>0</v>
      </c>
      <c r="AC369" s="24">
        <v>0</v>
      </c>
      <c r="AD369" s="24">
        <v>0</v>
      </c>
      <c r="AE369" s="24">
        <v>1</v>
      </c>
      <c r="AF369" s="24">
        <v>0</v>
      </c>
      <c r="AG369" s="24">
        <v>0</v>
      </c>
      <c r="AH369" s="24">
        <v>0</v>
      </c>
      <c r="AI369" s="24">
        <v>1</v>
      </c>
      <c r="AJ369" s="24">
        <v>0</v>
      </c>
      <c r="AK369" s="24">
        <v>0</v>
      </c>
      <c r="AL369" s="24">
        <v>1</v>
      </c>
      <c r="AM369" s="24">
        <v>0</v>
      </c>
      <c r="AN369" s="24">
        <v>0</v>
      </c>
      <c r="AO369" s="24">
        <v>0</v>
      </c>
      <c r="AP369" s="24">
        <v>0</v>
      </c>
      <c r="AQ369" s="24">
        <v>0</v>
      </c>
      <c r="AR369" s="24">
        <v>1</v>
      </c>
      <c r="AS369" s="24">
        <v>0</v>
      </c>
      <c r="AT369" s="24">
        <v>0</v>
      </c>
      <c r="AU369" s="24">
        <v>0</v>
      </c>
      <c r="AV369" s="24">
        <v>1</v>
      </c>
      <c r="AW369" s="24">
        <v>0</v>
      </c>
      <c r="AX369" s="24">
        <v>0</v>
      </c>
      <c r="AY369" s="24">
        <v>0</v>
      </c>
      <c r="AZ369" s="24">
        <v>1</v>
      </c>
      <c r="BA369" s="24">
        <v>0</v>
      </c>
      <c r="BB369" s="24">
        <v>0</v>
      </c>
    </row>
    <row r="370" spans="2:54" ht="13.8" x14ac:dyDescent="0.3">
      <c r="B370" s="24">
        <v>350</v>
      </c>
      <c r="C370" s="24">
        <v>9</v>
      </c>
      <c r="D370" s="24">
        <v>0</v>
      </c>
      <c r="E370" s="24">
        <v>0</v>
      </c>
      <c r="F370" s="24">
        <v>0</v>
      </c>
      <c r="G370" s="24">
        <v>0</v>
      </c>
      <c r="H370" s="24">
        <v>1</v>
      </c>
      <c r="I370" s="24">
        <v>0</v>
      </c>
      <c r="J370" s="24">
        <v>1136</v>
      </c>
      <c r="K370" s="24">
        <v>4</v>
      </c>
      <c r="L370" s="24">
        <v>0</v>
      </c>
      <c r="M370" s="24">
        <v>1</v>
      </c>
      <c r="N370" s="24">
        <v>0</v>
      </c>
      <c r="O370" s="24">
        <v>0</v>
      </c>
      <c r="P370" s="24">
        <v>0</v>
      </c>
      <c r="Q370" s="24">
        <v>0</v>
      </c>
      <c r="R370" s="24">
        <v>1</v>
      </c>
      <c r="S370" s="24">
        <v>32</v>
      </c>
      <c r="T370" s="24">
        <v>0</v>
      </c>
      <c r="U370" s="24">
        <v>0</v>
      </c>
      <c r="V370" s="24">
        <v>0</v>
      </c>
      <c r="W370" s="24">
        <v>2</v>
      </c>
      <c r="X370" s="24">
        <v>2</v>
      </c>
      <c r="Y370" s="24">
        <v>0</v>
      </c>
      <c r="Z370" s="24">
        <v>0</v>
      </c>
      <c r="AA370" s="24">
        <v>0</v>
      </c>
      <c r="AB370" s="24">
        <v>0</v>
      </c>
      <c r="AC370" s="24">
        <v>1</v>
      </c>
      <c r="AD370" s="24">
        <v>0</v>
      </c>
      <c r="AE370" s="24">
        <v>0</v>
      </c>
      <c r="AF370" s="24">
        <v>0</v>
      </c>
      <c r="AG370" s="24">
        <v>0</v>
      </c>
      <c r="AH370" s="24">
        <v>0</v>
      </c>
      <c r="AI370" s="24">
        <v>0</v>
      </c>
      <c r="AJ370" s="24">
        <v>1</v>
      </c>
      <c r="AK370" s="24">
        <v>0</v>
      </c>
      <c r="AL370" s="24">
        <v>0</v>
      </c>
      <c r="AM370" s="24">
        <v>0</v>
      </c>
      <c r="AN370" s="24">
        <v>1</v>
      </c>
      <c r="AO370" s="24">
        <v>0</v>
      </c>
      <c r="AP370" s="24">
        <v>0</v>
      </c>
      <c r="AQ370" s="24">
        <v>0</v>
      </c>
      <c r="AR370" s="24">
        <v>0</v>
      </c>
      <c r="AS370" s="24">
        <v>0</v>
      </c>
      <c r="AT370" s="24">
        <v>1</v>
      </c>
      <c r="AU370" s="24">
        <v>0</v>
      </c>
      <c r="AV370" s="24">
        <v>0</v>
      </c>
      <c r="AW370" s="24">
        <v>1</v>
      </c>
      <c r="AX370" s="24">
        <v>0</v>
      </c>
      <c r="AY370" s="24">
        <v>0</v>
      </c>
      <c r="AZ370" s="24">
        <v>0</v>
      </c>
      <c r="BA370" s="24">
        <v>1</v>
      </c>
      <c r="BB370" s="24">
        <v>0</v>
      </c>
    </row>
    <row r="371" spans="2:54" ht="13.8" x14ac:dyDescent="0.3">
      <c r="B371" s="24">
        <v>351</v>
      </c>
      <c r="C371" s="24">
        <v>9</v>
      </c>
      <c r="D371" s="24">
        <v>0</v>
      </c>
      <c r="E371" s="24">
        <v>0</v>
      </c>
      <c r="F371" s="24">
        <v>0</v>
      </c>
      <c r="G371" s="24">
        <v>0</v>
      </c>
      <c r="H371" s="24">
        <v>0</v>
      </c>
      <c r="I371" s="24">
        <v>0</v>
      </c>
      <c r="J371" s="24">
        <v>1236</v>
      </c>
      <c r="K371" s="24">
        <v>1</v>
      </c>
      <c r="L371" s="24">
        <v>0</v>
      </c>
      <c r="M371" s="24">
        <v>0</v>
      </c>
      <c r="N371" s="24">
        <v>0</v>
      </c>
      <c r="O371" s="24">
        <v>0</v>
      </c>
      <c r="P371" s="24">
        <v>0</v>
      </c>
      <c r="Q371" s="24">
        <v>1</v>
      </c>
      <c r="R371" s="24">
        <v>0</v>
      </c>
      <c r="S371" s="24">
        <v>23</v>
      </c>
      <c r="T371" s="24">
        <v>0</v>
      </c>
      <c r="U371" s="24">
        <v>1</v>
      </c>
      <c r="V371" s="24">
        <v>0</v>
      </c>
      <c r="W371" s="24">
        <v>1</v>
      </c>
      <c r="X371" s="24">
        <v>1</v>
      </c>
      <c r="Y371" s="24">
        <v>1</v>
      </c>
      <c r="Z371" s="24">
        <v>0</v>
      </c>
      <c r="AA371" s="24">
        <v>1</v>
      </c>
      <c r="AB371" s="24">
        <v>0</v>
      </c>
      <c r="AC371" s="24">
        <v>0</v>
      </c>
      <c r="AD371" s="24">
        <v>0</v>
      </c>
      <c r="AE371" s="24">
        <v>1</v>
      </c>
      <c r="AF371" s="24">
        <v>0</v>
      </c>
      <c r="AG371" s="24">
        <v>0</v>
      </c>
      <c r="AH371" s="24">
        <v>1</v>
      </c>
      <c r="AI371" s="24">
        <v>0</v>
      </c>
      <c r="AJ371" s="24">
        <v>0</v>
      </c>
      <c r="AK371" s="24">
        <v>1</v>
      </c>
      <c r="AL371" s="24">
        <v>0</v>
      </c>
      <c r="AM371" s="24">
        <v>0</v>
      </c>
      <c r="AN371" s="24">
        <v>0</v>
      </c>
      <c r="AO371" s="24">
        <v>0</v>
      </c>
      <c r="AP371" s="24">
        <v>0</v>
      </c>
      <c r="AQ371" s="24">
        <v>1</v>
      </c>
      <c r="AR371" s="24">
        <v>0</v>
      </c>
      <c r="AS371" s="24">
        <v>0</v>
      </c>
      <c r="AT371" s="24">
        <v>0</v>
      </c>
      <c r="AU371" s="24">
        <v>0</v>
      </c>
      <c r="AV371" s="24">
        <v>0</v>
      </c>
      <c r="AW371" s="24">
        <v>0</v>
      </c>
      <c r="AX371" s="24">
        <v>1</v>
      </c>
      <c r="AY371" s="24">
        <v>0</v>
      </c>
      <c r="AZ371" s="24">
        <v>0</v>
      </c>
      <c r="BA371" s="24">
        <v>1</v>
      </c>
      <c r="BB371" s="24">
        <v>0</v>
      </c>
    </row>
    <row r="372" spans="2:54" ht="13.8" x14ac:dyDescent="0.3">
      <c r="B372" s="24">
        <v>352</v>
      </c>
      <c r="C372" s="24">
        <v>9</v>
      </c>
      <c r="D372" s="24">
        <v>0</v>
      </c>
      <c r="E372" s="24">
        <v>0</v>
      </c>
      <c r="F372" s="24">
        <v>1</v>
      </c>
      <c r="G372" s="24">
        <v>0</v>
      </c>
      <c r="H372" s="24">
        <v>0</v>
      </c>
      <c r="I372" s="24">
        <v>0</v>
      </c>
      <c r="J372" s="24">
        <v>959</v>
      </c>
      <c r="K372" s="24">
        <v>1</v>
      </c>
      <c r="L372" s="24">
        <v>0</v>
      </c>
      <c r="M372" s="24">
        <v>0</v>
      </c>
      <c r="N372" s="24">
        <v>0</v>
      </c>
      <c r="O372" s="24">
        <v>0</v>
      </c>
      <c r="P372" s="24">
        <v>0</v>
      </c>
      <c r="Q372" s="24">
        <v>0</v>
      </c>
      <c r="R372" s="24">
        <v>0</v>
      </c>
      <c r="S372" s="24">
        <v>29</v>
      </c>
      <c r="T372" s="24">
        <v>0</v>
      </c>
      <c r="U372" s="24">
        <v>0</v>
      </c>
      <c r="V372" s="24">
        <v>1</v>
      </c>
      <c r="W372" s="24">
        <v>1</v>
      </c>
      <c r="X372" s="24">
        <v>1</v>
      </c>
      <c r="Y372" s="24">
        <v>0</v>
      </c>
      <c r="Z372" s="24">
        <v>1</v>
      </c>
      <c r="AA372" s="24">
        <v>0</v>
      </c>
      <c r="AB372" s="24">
        <v>0</v>
      </c>
      <c r="AC372" s="24">
        <v>1</v>
      </c>
      <c r="AD372" s="24">
        <v>0</v>
      </c>
      <c r="AE372" s="24">
        <v>0</v>
      </c>
      <c r="AF372" s="24">
        <v>0</v>
      </c>
      <c r="AG372" s="24">
        <v>0</v>
      </c>
      <c r="AH372" s="24">
        <v>1</v>
      </c>
      <c r="AI372" s="24">
        <v>0</v>
      </c>
      <c r="AJ372" s="24">
        <v>0</v>
      </c>
      <c r="AK372" s="24">
        <v>1</v>
      </c>
      <c r="AL372" s="24">
        <v>0</v>
      </c>
      <c r="AM372" s="24">
        <v>0</v>
      </c>
      <c r="AN372" s="24">
        <v>0</v>
      </c>
      <c r="AO372" s="24">
        <v>0</v>
      </c>
      <c r="AP372" s="24">
        <v>0</v>
      </c>
      <c r="AQ372" s="24">
        <v>0</v>
      </c>
      <c r="AR372" s="24">
        <v>1</v>
      </c>
      <c r="AS372" s="24">
        <v>0</v>
      </c>
      <c r="AT372" s="24">
        <v>0</v>
      </c>
      <c r="AU372" s="24">
        <v>0</v>
      </c>
      <c r="AV372" s="24">
        <v>1</v>
      </c>
      <c r="AW372" s="24">
        <v>0</v>
      </c>
      <c r="AX372" s="24">
        <v>0</v>
      </c>
      <c r="AY372" s="24">
        <v>0</v>
      </c>
      <c r="AZ372" s="24">
        <v>0</v>
      </c>
      <c r="BA372" s="24">
        <v>1</v>
      </c>
      <c r="BB372" s="24">
        <v>0</v>
      </c>
    </row>
    <row r="373" spans="2:54" ht="13.8" x14ac:dyDescent="0.3">
      <c r="B373" s="24">
        <v>353</v>
      </c>
      <c r="C373" s="24">
        <v>18</v>
      </c>
      <c r="D373" s="24">
        <v>0</v>
      </c>
      <c r="E373" s="24">
        <v>1</v>
      </c>
      <c r="F373" s="24">
        <v>0</v>
      </c>
      <c r="G373" s="24">
        <v>0</v>
      </c>
      <c r="H373" s="24">
        <v>0</v>
      </c>
      <c r="I373" s="24">
        <v>0</v>
      </c>
      <c r="J373" s="24">
        <v>3229</v>
      </c>
      <c r="K373" s="24">
        <v>2</v>
      </c>
      <c r="L373" s="24">
        <v>0</v>
      </c>
      <c r="M373" s="24">
        <v>1</v>
      </c>
      <c r="N373" s="24">
        <v>0</v>
      </c>
      <c r="O373" s="24">
        <v>0</v>
      </c>
      <c r="P373" s="24">
        <v>0</v>
      </c>
      <c r="Q373" s="24">
        <v>0</v>
      </c>
      <c r="R373" s="24">
        <v>1</v>
      </c>
      <c r="S373" s="24">
        <v>38</v>
      </c>
      <c r="T373" s="24">
        <v>0</v>
      </c>
      <c r="U373" s="24">
        <v>0</v>
      </c>
      <c r="V373" s="24">
        <v>1</v>
      </c>
      <c r="W373" s="24">
        <v>1</v>
      </c>
      <c r="X373" s="24">
        <v>1</v>
      </c>
      <c r="Y373" s="24">
        <v>1</v>
      </c>
      <c r="Z373" s="24">
        <v>0</v>
      </c>
      <c r="AA373" s="24">
        <v>1</v>
      </c>
      <c r="AB373" s="24">
        <v>0</v>
      </c>
      <c r="AC373" s="24">
        <v>0</v>
      </c>
      <c r="AD373" s="24">
        <v>0</v>
      </c>
      <c r="AE373" s="24">
        <v>1</v>
      </c>
      <c r="AF373" s="24">
        <v>0</v>
      </c>
      <c r="AG373" s="24">
        <v>0</v>
      </c>
      <c r="AH373" s="24">
        <v>0</v>
      </c>
      <c r="AI373" s="24">
        <v>0</v>
      </c>
      <c r="AJ373" s="24">
        <v>1</v>
      </c>
      <c r="AK373" s="24">
        <v>0</v>
      </c>
      <c r="AL373" s="24">
        <v>0</v>
      </c>
      <c r="AM373" s="24">
        <v>0</v>
      </c>
      <c r="AN373" s="24">
        <v>0</v>
      </c>
      <c r="AO373" s="24">
        <v>1</v>
      </c>
      <c r="AP373" s="24">
        <v>1</v>
      </c>
      <c r="AQ373" s="24">
        <v>0</v>
      </c>
      <c r="AR373" s="24">
        <v>0</v>
      </c>
      <c r="AS373" s="24">
        <v>0</v>
      </c>
      <c r="AT373" s="24">
        <v>0</v>
      </c>
      <c r="AU373" s="24">
        <v>0</v>
      </c>
      <c r="AV373" s="24">
        <v>0</v>
      </c>
      <c r="AW373" s="24">
        <v>0</v>
      </c>
      <c r="AX373" s="24">
        <v>1</v>
      </c>
      <c r="AY373" s="24">
        <v>0</v>
      </c>
      <c r="AZ373" s="24">
        <v>0</v>
      </c>
      <c r="BA373" s="24">
        <v>0</v>
      </c>
      <c r="BB373" s="24">
        <v>1</v>
      </c>
    </row>
    <row r="374" spans="2:54" ht="13.8" x14ac:dyDescent="0.3">
      <c r="B374" s="24">
        <v>354</v>
      </c>
      <c r="C374" s="24">
        <v>12</v>
      </c>
      <c r="D374" s="24">
        <v>0</v>
      </c>
      <c r="E374" s="24">
        <v>0</v>
      </c>
      <c r="F374" s="24">
        <v>0</v>
      </c>
      <c r="G374" s="24">
        <v>1</v>
      </c>
      <c r="H374" s="24">
        <v>0</v>
      </c>
      <c r="I374" s="24">
        <v>0</v>
      </c>
      <c r="J374" s="24">
        <v>6199</v>
      </c>
      <c r="K374" s="24">
        <v>4</v>
      </c>
      <c r="L374" s="24">
        <v>0</v>
      </c>
      <c r="M374" s="24">
        <v>1</v>
      </c>
      <c r="N374" s="24">
        <v>0</v>
      </c>
      <c r="O374" s="24">
        <v>0</v>
      </c>
      <c r="P374" s="24">
        <v>0</v>
      </c>
      <c r="Q374" s="24">
        <v>0</v>
      </c>
      <c r="R374" s="24">
        <v>0</v>
      </c>
      <c r="S374" s="24">
        <v>28</v>
      </c>
      <c r="T374" s="24">
        <v>0</v>
      </c>
      <c r="U374" s="24">
        <v>1</v>
      </c>
      <c r="V374" s="24">
        <v>0</v>
      </c>
      <c r="W374" s="24">
        <v>2</v>
      </c>
      <c r="X374" s="24">
        <v>1</v>
      </c>
      <c r="Y374" s="24">
        <v>1</v>
      </c>
      <c r="Z374" s="24">
        <v>0</v>
      </c>
      <c r="AA374" s="24">
        <v>0</v>
      </c>
      <c r="AB374" s="24">
        <v>1</v>
      </c>
      <c r="AC374" s="24">
        <v>0</v>
      </c>
      <c r="AD374" s="24">
        <v>0</v>
      </c>
      <c r="AE374" s="24">
        <v>0</v>
      </c>
      <c r="AF374" s="24">
        <v>1</v>
      </c>
      <c r="AG374" s="24">
        <v>0</v>
      </c>
      <c r="AH374" s="24">
        <v>0</v>
      </c>
      <c r="AI374" s="24">
        <v>0</v>
      </c>
      <c r="AJ374" s="24">
        <v>0</v>
      </c>
      <c r="AK374" s="24">
        <v>1</v>
      </c>
      <c r="AL374" s="24">
        <v>0</v>
      </c>
      <c r="AM374" s="24">
        <v>0</v>
      </c>
      <c r="AN374" s="24">
        <v>0</v>
      </c>
      <c r="AO374" s="24">
        <v>0</v>
      </c>
      <c r="AP374" s="24">
        <v>0</v>
      </c>
      <c r="AQ374" s="24">
        <v>0</v>
      </c>
      <c r="AR374" s="24">
        <v>1</v>
      </c>
      <c r="AS374" s="24">
        <v>0</v>
      </c>
      <c r="AT374" s="24">
        <v>0</v>
      </c>
      <c r="AU374" s="24">
        <v>0</v>
      </c>
      <c r="AV374" s="24">
        <v>1</v>
      </c>
      <c r="AW374" s="24">
        <v>0</v>
      </c>
      <c r="AX374" s="24">
        <v>0</v>
      </c>
      <c r="AY374" s="24">
        <v>0</v>
      </c>
      <c r="AZ374" s="24">
        <v>0</v>
      </c>
      <c r="BA374" s="24">
        <v>1</v>
      </c>
      <c r="BB374" s="24">
        <v>0</v>
      </c>
    </row>
    <row r="375" spans="2:54" ht="13.8" x14ac:dyDescent="0.3">
      <c r="B375" s="24">
        <v>355</v>
      </c>
      <c r="C375" s="24">
        <v>10</v>
      </c>
      <c r="D375" s="24">
        <v>0</v>
      </c>
      <c r="E375" s="24">
        <v>0</v>
      </c>
      <c r="F375" s="24">
        <v>0</v>
      </c>
      <c r="G375" s="24">
        <v>0</v>
      </c>
      <c r="H375" s="24">
        <v>1</v>
      </c>
      <c r="I375" s="24">
        <v>0</v>
      </c>
      <c r="J375" s="24">
        <v>727</v>
      </c>
      <c r="K375" s="24">
        <v>4</v>
      </c>
      <c r="L375" s="24">
        <v>0</v>
      </c>
      <c r="M375" s="24">
        <v>1</v>
      </c>
      <c r="N375" s="24">
        <v>0</v>
      </c>
      <c r="O375" s="24">
        <v>0</v>
      </c>
      <c r="P375" s="24">
        <v>0</v>
      </c>
      <c r="Q375" s="24">
        <v>0</v>
      </c>
      <c r="R375" s="24">
        <v>1</v>
      </c>
      <c r="S375" s="24">
        <v>46</v>
      </c>
      <c r="T375" s="24">
        <v>0</v>
      </c>
      <c r="U375" s="24">
        <v>0</v>
      </c>
      <c r="V375" s="24">
        <v>0</v>
      </c>
      <c r="W375" s="24">
        <v>1</v>
      </c>
      <c r="X375" s="24">
        <v>1</v>
      </c>
      <c r="Y375" s="24">
        <v>1</v>
      </c>
      <c r="Z375" s="24">
        <v>0</v>
      </c>
      <c r="AA375" s="24">
        <v>1</v>
      </c>
      <c r="AB375" s="24">
        <v>0</v>
      </c>
      <c r="AC375" s="24">
        <v>0</v>
      </c>
      <c r="AD375" s="24">
        <v>0</v>
      </c>
      <c r="AE375" s="24">
        <v>1</v>
      </c>
      <c r="AF375" s="24">
        <v>0</v>
      </c>
      <c r="AG375" s="24">
        <v>0</v>
      </c>
      <c r="AH375" s="24">
        <v>1</v>
      </c>
      <c r="AI375" s="24">
        <v>0</v>
      </c>
      <c r="AJ375" s="24">
        <v>0</v>
      </c>
      <c r="AK375" s="24">
        <v>0</v>
      </c>
      <c r="AL375" s="24">
        <v>0</v>
      </c>
      <c r="AM375" s="24">
        <v>1</v>
      </c>
      <c r="AN375" s="24">
        <v>0</v>
      </c>
      <c r="AO375" s="24">
        <v>0</v>
      </c>
      <c r="AP375" s="24">
        <v>0</v>
      </c>
      <c r="AQ375" s="24">
        <v>0</v>
      </c>
      <c r="AR375" s="24">
        <v>0</v>
      </c>
      <c r="AS375" s="24">
        <v>0</v>
      </c>
      <c r="AT375" s="24">
        <v>1</v>
      </c>
      <c r="AU375" s="24">
        <v>0</v>
      </c>
      <c r="AV375" s="24">
        <v>0</v>
      </c>
      <c r="AW375" s="24">
        <v>0</v>
      </c>
      <c r="AX375" s="24">
        <v>1</v>
      </c>
      <c r="AY375" s="24">
        <v>0</v>
      </c>
      <c r="AZ375" s="24">
        <v>0</v>
      </c>
      <c r="BA375" s="24">
        <v>1</v>
      </c>
      <c r="BB375" s="24">
        <v>0</v>
      </c>
    </row>
    <row r="376" spans="2:54" ht="13.8" x14ac:dyDescent="0.3">
      <c r="B376" s="24">
        <v>356</v>
      </c>
      <c r="C376" s="24">
        <v>24</v>
      </c>
      <c r="D376" s="24">
        <v>1</v>
      </c>
      <c r="E376" s="24">
        <v>0</v>
      </c>
      <c r="F376" s="24">
        <v>0</v>
      </c>
      <c r="G376" s="24">
        <v>0</v>
      </c>
      <c r="H376" s="24">
        <v>0</v>
      </c>
      <c r="I376" s="24">
        <v>0</v>
      </c>
      <c r="J376" s="24">
        <v>1246</v>
      </c>
      <c r="K376" s="24">
        <v>4</v>
      </c>
      <c r="L376" s="24">
        <v>0</v>
      </c>
      <c r="M376" s="24">
        <v>1</v>
      </c>
      <c r="N376" s="24">
        <v>0</v>
      </c>
      <c r="O376" s="24">
        <v>0</v>
      </c>
      <c r="P376" s="24">
        <v>0</v>
      </c>
      <c r="Q376" s="24">
        <v>1</v>
      </c>
      <c r="R376" s="24">
        <v>0</v>
      </c>
      <c r="S376" s="24">
        <v>23</v>
      </c>
      <c r="T376" s="24">
        <v>1</v>
      </c>
      <c r="U376" s="24">
        <v>0</v>
      </c>
      <c r="V376" s="24">
        <v>1</v>
      </c>
      <c r="W376" s="24">
        <v>1</v>
      </c>
      <c r="X376" s="24">
        <v>1</v>
      </c>
      <c r="Y376" s="24">
        <v>0</v>
      </c>
      <c r="Z376" s="24">
        <v>0</v>
      </c>
      <c r="AA376" s="24">
        <v>0</v>
      </c>
      <c r="AB376" s="24">
        <v>0</v>
      </c>
      <c r="AC376" s="24">
        <v>1</v>
      </c>
      <c r="AD376" s="24">
        <v>0</v>
      </c>
      <c r="AE376" s="24">
        <v>0</v>
      </c>
      <c r="AF376" s="24">
        <v>0</v>
      </c>
      <c r="AG376" s="24">
        <v>0</v>
      </c>
      <c r="AH376" s="24">
        <v>1</v>
      </c>
      <c r="AI376" s="24">
        <v>0</v>
      </c>
      <c r="AJ376" s="24">
        <v>0</v>
      </c>
      <c r="AK376" s="24">
        <v>1</v>
      </c>
      <c r="AL376" s="24">
        <v>0</v>
      </c>
      <c r="AM376" s="24">
        <v>0</v>
      </c>
      <c r="AN376" s="24">
        <v>0</v>
      </c>
      <c r="AO376" s="24">
        <v>0</v>
      </c>
      <c r="AP376" s="24">
        <v>0</v>
      </c>
      <c r="AQ376" s="24">
        <v>1</v>
      </c>
      <c r="AR376" s="24">
        <v>0</v>
      </c>
      <c r="AS376" s="24">
        <v>0</v>
      </c>
      <c r="AT376" s="24">
        <v>0</v>
      </c>
      <c r="AU376" s="24">
        <v>0</v>
      </c>
      <c r="AV376" s="24">
        <v>1</v>
      </c>
      <c r="AW376" s="24">
        <v>0</v>
      </c>
      <c r="AX376" s="24">
        <v>0</v>
      </c>
      <c r="AY376" s="24">
        <v>0</v>
      </c>
      <c r="AZ376" s="24">
        <v>1</v>
      </c>
      <c r="BA376" s="24">
        <v>0</v>
      </c>
      <c r="BB376" s="24">
        <v>0</v>
      </c>
    </row>
    <row r="377" spans="2:54" ht="13.8" x14ac:dyDescent="0.3">
      <c r="B377" s="24">
        <v>357</v>
      </c>
      <c r="C377" s="24">
        <v>12</v>
      </c>
      <c r="D377" s="24">
        <v>0</v>
      </c>
      <c r="E377" s="24">
        <v>0</v>
      </c>
      <c r="F377" s="24">
        <v>0</v>
      </c>
      <c r="G377" s="24">
        <v>1</v>
      </c>
      <c r="H377" s="24">
        <v>0</v>
      </c>
      <c r="I377" s="24">
        <v>0</v>
      </c>
      <c r="J377" s="24">
        <v>2331</v>
      </c>
      <c r="K377" s="24">
        <v>1</v>
      </c>
      <c r="L377" s="24">
        <v>0</v>
      </c>
      <c r="M377" s="24">
        <v>1</v>
      </c>
      <c r="N377" s="24">
        <v>0</v>
      </c>
      <c r="O377" s="24">
        <v>1</v>
      </c>
      <c r="P377" s="24">
        <v>0</v>
      </c>
      <c r="Q377" s="24">
        <v>1</v>
      </c>
      <c r="R377" s="24">
        <v>0</v>
      </c>
      <c r="S377" s="24">
        <v>49</v>
      </c>
      <c r="T377" s="24">
        <v>0</v>
      </c>
      <c r="U377" s="24">
        <v>0</v>
      </c>
      <c r="V377" s="24">
        <v>1</v>
      </c>
      <c r="W377" s="24">
        <v>1</v>
      </c>
      <c r="X377" s="24">
        <v>1</v>
      </c>
      <c r="Y377" s="24">
        <v>1</v>
      </c>
      <c r="Z377" s="24">
        <v>0</v>
      </c>
      <c r="AA377" s="24">
        <v>1</v>
      </c>
      <c r="AB377" s="24">
        <v>0</v>
      </c>
      <c r="AC377" s="24">
        <v>0</v>
      </c>
      <c r="AD377" s="24">
        <v>0</v>
      </c>
      <c r="AE377" s="24">
        <v>1</v>
      </c>
      <c r="AF377" s="24">
        <v>0</v>
      </c>
      <c r="AG377" s="24">
        <v>0</v>
      </c>
      <c r="AH377" s="24">
        <v>0</v>
      </c>
      <c r="AI377" s="24">
        <v>0</v>
      </c>
      <c r="AJ377" s="24">
        <v>1</v>
      </c>
      <c r="AK377" s="24">
        <v>0</v>
      </c>
      <c r="AL377" s="24">
        <v>0</v>
      </c>
      <c r="AM377" s="24">
        <v>0</v>
      </c>
      <c r="AN377" s="24">
        <v>0</v>
      </c>
      <c r="AO377" s="24">
        <v>1</v>
      </c>
      <c r="AP377" s="24">
        <v>0</v>
      </c>
      <c r="AQ377" s="24">
        <v>0</v>
      </c>
      <c r="AR377" s="24">
        <v>0</v>
      </c>
      <c r="AS377" s="24">
        <v>0</v>
      </c>
      <c r="AT377" s="24">
        <v>1</v>
      </c>
      <c r="AU377" s="24">
        <v>0</v>
      </c>
      <c r="AV377" s="24">
        <v>0</v>
      </c>
      <c r="AW377" s="24">
        <v>0</v>
      </c>
      <c r="AX377" s="24">
        <v>1</v>
      </c>
      <c r="AY377" s="24">
        <v>0</v>
      </c>
      <c r="AZ377" s="24">
        <v>0</v>
      </c>
      <c r="BA377" s="24">
        <v>1</v>
      </c>
      <c r="BB377" s="24">
        <v>0</v>
      </c>
    </row>
    <row r="378" spans="2:54" ht="13.8" x14ac:dyDescent="0.3">
      <c r="B378" s="24">
        <v>358</v>
      </c>
      <c r="C378" s="24">
        <v>36</v>
      </c>
      <c r="D378" s="24">
        <v>0</v>
      </c>
      <c r="E378" s="24">
        <v>0</v>
      </c>
      <c r="F378" s="24">
        <v>0</v>
      </c>
      <c r="G378" s="24">
        <v>1</v>
      </c>
      <c r="H378" s="24">
        <v>0</v>
      </c>
      <c r="I378" s="24">
        <v>0</v>
      </c>
      <c r="J378" s="24">
        <v>4463</v>
      </c>
      <c r="K378" s="24">
        <v>4</v>
      </c>
      <c r="L378" s="24">
        <v>0</v>
      </c>
      <c r="M378" s="24">
        <v>1</v>
      </c>
      <c r="N378" s="24">
        <v>0</v>
      </c>
      <c r="O378" s="24">
        <v>0</v>
      </c>
      <c r="P378" s="24">
        <v>0</v>
      </c>
      <c r="Q378" s="24">
        <v>0</v>
      </c>
      <c r="R378" s="24">
        <v>0</v>
      </c>
      <c r="S378" s="24">
        <v>26</v>
      </c>
      <c r="T378" s="24">
        <v>0</v>
      </c>
      <c r="U378" s="24">
        <v>0</v>
      </c>
      <c r="V378" s="24">
        <v>1</v>
      </c>
      <c r="W378" s="24">
        <v>2</v>
      </c>
      <c r="X378" s="24">
        <v>1</v>
      </c>
      <c r="Y378" s="24">
        <v>1</v>
      </c>
      <c r="Z378" s="24">
        <v>0</v>
      </c>
      <c r="AA378" s="24">
        <v>0</v>
      </c>
      <c r="AB378" s="24">
        <v>0</v>
      </c>
      <c r="AC378" s="24">
        <v>0</v>
      </c>
      <c r="AD378" s="24">
        <v>0</v>
      </c>
      <c r="AE378" s="24">
        <v>1</v>
      </c>
      <c r="AF378" s="24">
        <v>0</v>
      </c>
      <c r="AG378" s="24">
        <v>0</v>
      </c>
      <c r="AH378" s="24">
        <v>0</v>
      </c>
      <c r="AI378" s="24">
        <v>1</v>
      </c>
      <c r="AJ378" s="24">
        <v>0</v>
      </c>
      <c r="AK378" s="24">
        <v>1</v>
      </c>
      <c r="AL378" s="24">
        <v>0</v>
      </c>
      <c r="AM378" s="24">
        <v>0</v>
      </c>
      <c r="AN378" s="24">
        <v>0</v>
      </c>
      <c r="AO378" s="24">
        <v>0</v>
      </c>
      <c r="AP378" s="24">
        <v>0</v>
      </c>
      <c r="AQ378" s="24">
        <v>0</v>
      </c>
      <c r="AR378" s="24">
        <v>1</v>
      </c>
      <c r="AS378" s="24">
        <v>0</v>
      </c>
      <c r="AT378" s="24">
        <v>0</v>
      </c>
      <c r="AU378" s="24">
        <v>0</v>
      </c>
      <c r="AV378" s="24">
        <v>1</v>
      </c>
      <c r="AW378" s="24">
        <v>0</v>
      </c>
      <c r="AX378" s="24">
        <v>0</v>
      </c>
      <c r="AY378" s="24">
        <v>0</v>
      </c>
      <c r="AZ378" s="24">
        <v>0</v>
      </c>
      <c r="BA378" s="24">
        <v>0</v>
      </c>
      <c r="BB378" s="24">
        <v>1</v>
      </c>
    </row>
    <row r="379" spans="2:54" ht="13.8" x14ac:dyDescent="0.3">
      <c r="B379" s="24">
        <v>359</v>
      </c>
      <c r="C379" s="24">
        <v>12</v>
      </c>
      <c r="D379" s="24">
        <v>0</v>
      </c>
      <c r="E379" s="24">
        <v>0</v>
      </c>
      <c r="F379" s="24">
        <v>0</v>
      </c>
      <c r="G379" s="24">
        <v>1</v>
      </c>
      <c r="H379" s="24">
        <v>0</v>
      </c>
      <c r="I379" s="24">
        <v>0</v>
      </c>
      <c r="J379" s="24">
        <v>776</v>
      </c>
      <c r="K379" s="24">
        <v>4</v>
      </c>
      <c r="L379" s="24">
        <v>0</v>
      </c>
      <c r="M379" s="24">
        <v>0</v>
      </c>
      <c r="N379" s="24">
        <v>1</v>
      </c>
      <c r="O379" s="24">
        <v>0</v>
      </c>
      <c r="P379" s="24">
        <v>0</v>
      </c>
      <c r="Q379" s="24">
        <v>1</v>
      </c>
      <c r="R379" s="24">
        <v>0</v>
      </c>
      <c r="S379" s="24">
        <v>28</v>
      </c>
      <c r="T379" s="24">
        <v>0</v>
      </c>
      <c r="U379" s="24">
        <v>0</v>
      </c>
      <c r="V379" s="24">
        <v>1</v>
      </c>
      <c r="W379" s="24">
        <v>1</v>
      </c>
      <c r="X379" s="24">
        <v>1</v>
      </c>
      <c r="Y379" s="24">
        <v>0</v>
      </c>
      <c r="Z379" s="24">
        <v>0</v>
      </c>
      <c r="AA379" s="24">
        <v>1</v>
      </c>
      <c r="AB379" s="24">
        <v>0</v>
      </c>
      <c r="AC379" s="24">
        <v>0</v>
      </c>
      <c r="AD379" s="24">
        <v>0</v>
      </c>
      <c r="AE379" s="24">
        <v>1</v>
      </c>
      <c r="AF379" s="24">
        <v>0</v>
      </c>
      <c r="AG379" s="24">
        <v>0</v>
      </c>
      <c r="AH379" s="24">
        <v>1</v>
      </c>
      <c r="AI379" s="24">
        <v>0</v>
      </c>
      <c r="AJ379" s="24">
        <v>0</v>
      </c>
      <c r="AK379" s="24">
        <v>1</v>
      </c>
      <c r="AL379" s="24">
        <v>0</v>
      </c>
      <c r="AM379" s="24">
        <v>0</v>
      </c>
      <c r="AN379" s="24">
        <v>0</v>
      </c>
      <c r="AO379" s="24">
        <v>0</v>
      </c>
      <c r="AP379" s="24">
        <v>0</v>
      </c>
      <c r="AQ379" s="24">
        <v>0</v>
      </c>
      <c r="AR379" s="24">
        <v>1</v>
      </c>
      <c r="AS379" s="24">
        <v>0</v>
      </c>
      <c r="AT379" s="24">
        <v>0</v>
      </c>
      <c r="AU379" s="24">
        <v>0</v>
      </c>
      <c r="AV379" s="24">
        <v>1</v>
      </c>
      <c r="AW379" s="24">
        <v>0</v>
      </c>
      <c r="AX379" s="24">
        <v>0</v>
      </c>
      <c r="AY379" s="24">
        <v>0</v>
      </c>
      <c r="AZ379" s="24">
        <v>0</v>
      </c>
      <c r="BA379" s="24">
        <v>1</v>
      </c>
      <c r="BB379" s="24">
        <v>0</v>
      </c>
    </row>
    <row r="380" spans="2:54" ht="13.8" x14ac:dyDescent="0.3">
      <c r="B380" s="24">
        <v>360</v>
      </c>
      <c r="C380" s="24">
        <v>30</v>
      </c>
      <c r="D380" s="24">
        <v>0</v>
      </c>
      <c r="E380" s="24">
        <v>0</v>
      </c>
      <c r="F380" s="24">
        <v>1</v>
      </c>
      <c r="G380" s="24">
        <v>0</v>
      </c>
      <c r="H380" s="24">
        <v>0</v>
      </c>
      <c r="I380" s="24">
        <v>0</v>
      </c>
      <c r="J380" s="24">
        <v>2406</v>
      </c>
      <c r="K380" s="24">
        <v>4</v>
      </c>
      <c r="L380" s="24">
        <v>0</v>
      </c>
      <c r="M380" s="24">
        <v>0</v>
      </c>
      <c r="N380" s="24">
        <v>0</v>
      </c>
      <c r="O380" s="24">
        <v>0</v>
      </c>
      <c r="P380" s="24">
        <v>0</v>
      </c>
      <c r="Q380" s="24">
        <v>1</v>
      </c>
      <c r="R380" s="24">
        <v>0</v>
      </c>
      <c r="S380" s="24">
        <v>23</v>
      </c>
      <c r="T380" s="24">
        <v>0</v>
      </c>
      <c r="U380" s="24">
        <v>1</v>
      </c>
      <c r="V380" s="24">
        <v>0</v>
      </c>
      <c r="W380" s="24">
        <v>1</v>
      </c>
      <c r="X380" s="24">
        <v>1</v>
      </c>
      <c r="Y380" s="24">
        <v>0</v>
      </c>
      <c r="Z380" s="24">
        <v>0</v>
      </c>
      <c r="AA380" s="24">
        <v>0</v>
      </c>
      <c r="AB380" s="24">
        <v>1</v>
      </c>
      <c r="AC380" s="24">
        <v>0</v>
      </c>
      <c r="AD380" s="24">
        <v>0</v>
      </c>
      <c r="AE380" s="24">
        <v>0</v>
      </c>
      <c r="AF380" s="24">
        <v>0</v>
      </c>
      <c r="AG380" s="24">
        <v>0</v>
      </c>
      <c r="AH380" s="24">
        <v>1</v>
      </c>
      <c r="AI380" s="24">
        <v>0</v>
      </c>
      <c r="AJ380" s="24">
        <v>0</v>
      </c>
      <c r="AK380" s="24">
        <v>1</v>
      </c>
      <c r="AL380" s="24">
        <v>0</v>
      </c>
      <c r="AM380" s="24">
        <v>0</v>
      </c>
      <c r="AN380" s="24">
        <v>0</v>
      </c>
      <c r="AO380" s="24">
        <v>0</v>
      </c>
      <c r="AP380" s="24">
        <v>0</v>
      </c>
      <c r="AQ380" s="24">
        <v>0</v>
      </c>
      <c r="AR380" s="24">
        <v>0</v>
      </c>
      <c r="AS380" s="24">
        <v>1</v>
      </c>
      <c r="AT380" s="24">
        <v>0</v>
      </c>
      <c r="AU380" s="24">
        <v>0</v>
      </c>
      <c r="AV380" s="24">
        <v>0</v>
      </c>
      <c r="AW380" s="24">
        <v>0</v>
      </c>
      <c r="AX380" s="24">
        <v>1</v>
      </c>
      <c r="AY380" s="24">
        <v>0</v>
      </c>
      <c r="AZ380" s="24">
        <v>0</v>
      </c>
      <c r="BA380" s="24">
        <v>1</v>
      </c>
      <c r="BB380" s="24">
        <v>0</v>
      </c>
    </row>
    <row r="381" spans="2:54" ht="13.8" x14ac:dyDescent="0.3">
      <c r="B381" s="24">
        <v>361</v>
      </c>
      <c r="C381" s="24">
        <v>18</v>
      </c>
      <c r="D381" s="24">
        <v>0</v>
      </c>
      <c r="E381" s="24">
        <v>0</v>
      </c>
      <c r="F381" s="24">
        <v>0</v>
      </c>
      <c r="G381" s="24">
        <v>0</v>
      </c>
      <c r="H381" s="24">
        <v>1</v>
      </c>
      <c r="I381" s="24">
        <v>0</v>
      </c>
      <c r="J381" s="24">
        <v>1239</v>
      </c>
      <c r="K381" s="24">
        <v>4</v>
      </c>
      <c r="L381" s="24">
        <v>0</v>
      </c>
      <c r="M381" s="24">
        <v>1</v>
      </c>
      <c r="N381" s="24">
        <v>0</v>
      </c>
      <c r="O381" s="24">
        <v>0</v>
      </c>
      <c r="P381" s="24">
        <v>0</v>
      </c>
      <c r="Q381" s="24">
        <v>0</v>
      </c>
      <c r="R381" s="24">
        <v>1</v>
      </c>
      <c r="S381" s="24">
        <v>61</v>
      </c>
      <c r="T381" s="24">
        <v>0</v>
      </c>
      <c r="U381" s="24">
        <v>0</v>
      </c>
      <c r="V381" s="24">
        <v>0</v>
      </c>
      <c r="W381" s="24">
        <v>1</v>
      </c>
      <c r="X381" s="24">
        <v>1</v>
      </c>
      <c r="Y381" s="24">
        <v>0</v>
      </c>
      <c r="Z381" s="24">
        <v>0</v>
      </c>
      <c r="AA381" s="24">
        <v>1</v>
      </c>
      <c r="AB381" s="24">
        <v>0</v>
      </c>
      <c r="AC381" s="24">
        <v>1</v>
      </c>
      <c r="AD381" s="24">
        <v>0</v>
      </c>
      <c r="AE381" s="24">
        <v>0</v>
      </c>
      <c r="AF381" s="24">
        <v>0</v>
      </c>
      <c r="AG381" s="24">
        <v>0</v>
      </c>
      <c r="AH381" s="24">
        <v>1</v>
      </c>
      <c r="AI381" s="24">
        <v>0</v>
      </c>
      <c r="AJ381" s="24">
        <v>0</v>
      </c>
      <c r="AK381" s="24">
        <v>0</v>
      </c>
      <c r="AL381" s="24">
        <v>0</v>
      </c>
      <c r="AM381" s="24">
        <v>0</v>
      </c>
      <c r="AN381" s="24">
        <v>0</v>
      </c>
      <c r="AO381" s="24">
        <v>1</v>
      </c>
      <c r="AP381" s="24">
        <v>0</v>
      </c>
      <c r="AQ381" s="24">
        <v>0</v>
      </c>
      <c r="AR381" s="24">
        <v>1</v>
      </c>
      <c r="AS381" s="24">
        <v>0</v>
      </c>
      <c r="AT381" s="24">
        <v>0</v>
      </c>
      <c r="AU381" s="24">
        <v>0</v>
      </c>
      <c r="AV381" s="24">
        <v>0</v>
      </c>
      <c r="AW381" s="24">
        <v>0</v>
      </c>
      <c r="AX381" s="24">
        <v>1</v>
      </c>
      <c r="AY381" s="24">
        <v>0</v>
      </c>
      <c r="AZ381" s="24">
        <v>0</v>
      </c>
      <c r="BA381" s="24">
        <v>1</v>
      </c>
      <c r="BB381" s="24">
        <v>0</v>
      </c>
    </row>
    <row r="382" spans="2:54" ht="13.8" x14ac:dyDescent="0.3">
      <c r="B382" s="24">
        <v>362</v>
      </c>
      <c r="C382" s="24">
        <v>12</v>
      </c>
      <c r="D382" s="24">
        <v>0</v>
      </c>
      <c r="E382" s="24">
        <v>0</v>
      </c>
      <c r="F382" s="24">
        <v>0</v>
      </c>
      <c r="G382" s="24">
        <v>1</v>
      </c>
      <c r="H382" s="24">
        <v>0</v>
      </c>
      <c r="I382" s="24">
        <v>0</v>
      </c>
      <c r="J382" s="24">
        <v>3399</v>
      </c>
      <c r="K382" s="24">
        <v>2</v>
      </c>
      <c r="L382" s="24">
        <v>0</v>
      </c>
      <c r="M382" s="24">
        <v>1</v>
      </c>
      <c r="N382" s="24">
        <v>0</v>
      </c>
      <c r="O382" s="24">
        <v>0</v>
      </c>
      <c r="P382" s="24">
        <v>0</v>
      </c>
      <c r="Q382" s="24">
        <v>0</v>
      </c>
      <c r="R382" s="24">
        <v>0</v>
      </c>
      <c r="S382" s="24">
        <v>37</v>
      </c>
      <c r="T382" s="24">
        <v>0</v>
      </c>
      <c r="U382" s="24">
        <v>0</v>
      </c>
      <c r="V382" s="24">
        <v>1</v>
      </c>
      <c r="W382" s="24">
        <v>1</v>
      </c>
      <c r="X382" s="24">
        <v>1</v>
      </c>
      <c r="Y382" s="24">
        <v>0</v>
      </c>
      <c r="Z382" s="24">
        <v>0</v>
      </c>
      <c r="AA382" s="24">
        <v>1</v>
      </c>
      <c r="AB382" s="24">
        <v>0</v>
      </c>
      <c r="AC382" s="24">
        <v>0</v>
      </c>
      <c r="AD382" s="24">
        <v>1</v>
      </c>
      <c r="AE382" s="24">
        <v>0</v>
      </c>
      <c r="AF382" s="24">
        <v>0</v>
      </c>
      <c r="AG382" s="24">
        <v>0</v>
      </c>
      <c r="AH382" s="24">
        <v>1</v>
      </c>
      <c r="AI382" s="24">
        <v>0</v>
      </c>
      <c r="AJ382" s="24">
        <v>0</v>
      </c>
      <c r="AK382" s="24">
        <v>0</v>
      </c>
      <c r="AL382" s="24">
        <v>0</v>
      </c>
      <c r="AM382" s="24">
        <v>0</v>
      </c>
      <c r="AN382" s="24">
        <v>0</v>
      </c>
      <c r="AO382" s="24">
        <v>1</v>
      </c>
      <c r="AP382" s="24">
        <v>0</v>
      </c>
      <c r="AQ382" s="24">
        <v>0</v>
      </c>
      <c r="AR382" s="24">
        <v>0</v>
      </c>
      <c r="AS382" s="24">
        <v>0</v>
      </c>
      <c r="AT382" s="24">
        <v>1</v>
      </c>
      <c r="AU382" s="24">
        <v>0</v>
      </c>
      <c r="AV382" s="24">
        <v>0</v>
      </c>
      <c r="AW382" s="24">
        <v>1</v>
      </c>
      <c r="AX382" s="24">
        <v>0</v>
      </c>
      <c r="AY382" s="24">
        <v>0</v>
      </c>
      <c r="AZ382" s="24">
        <v>0</v>
      </c>
      <c r="BA382" s="24">
        <v>0</v>
      </c>
      <c r="BB382" s="24">
        <v>1</v>
      </c>
    </row>
    <row r="383" spans="2:54" ht="13.8" x14ac:dyDescent="0.3">
      <c r="B383" s="24">
        <v>363</v>
      </c>
      <c r="C383" s="24">
        <v>12</v>
      </c>
      <c r="D383" s="24">
        <v>1</v>
      </c>
      <c r="E383" s="24">
        <v>0</v>
      </c>
      <c r="F383" s="24">
        <v>0</v>
      </c>
      <c r="G383" s="24">
        <v>0</v>
      </c>
      <c r="H383" s="24">
        <v>0</v>
      </c>
      <c r="I383" s="24">
        <v>0</v>
      </c>
      <c r="J383" s="24">
        <v>2247</v>
      </c>
      <c r="K383" s="24">
        <v>2</v>
      </c>
      <c r="L383" s="24">
        <v>0</v>
      </c>
      <c r="M383" s="24">
        <v>0</v>
      </c>
      <c r="N383" s="24">
        <v>0</v>
      </c>
      <c r="O383" s="24">
        <v>0</v>
      </c>
      <c r="P383" s="24">
        <v>0</v>
      </c>
      <c r="Q383" s="24">
        <v>0</v>
      </c>
      <c r="R383" s="24">
        <v>0</v>
      </c>
      <c r="S383" s="24">
        <v>36</v>
      </c>
      <c r="T383" s="24">
        <v>1</v>
      </c>
      <c r="U383" s="24">
        <v>0</v>
      </c>
      <c r="V383" s="24">
        <v>1</v>
      </c>
      <c r="W383" s="24">
        <v>2</v>
      </c>
      <c r="X383" s="24">
        <v>1</v>
      </c>
      <c r="Y383" s="24">
        <v>1</v>
      </c>
      <c r="Z383" s="24">
        <v>0</v>
      </c>
      <c r="AA383" s="24">
        <v>1</v>
      </c>
      <c r="AB383" s="24">
        <v>0</v>
      </c>
      <c r="AC383" s="24">
        <v>0</v>
      </c>
      <c r="AD383" s="24">
        <v>1</v>
      </c>
      <c r="AE383" s="24">
        <v>0</v>
      </c>
      <c r="AF383" s="24">
        <v>0</v>
      </c>
      <c r="AG383" s="24">
        <v>0</v>
      </c>
      <c r="AH383" s="24">
        <v>0</v>
      </c>
      <c r="AI383" s="24">
        <v>1</v>
      </c>
      <c r="AJ383" s="24">
        <v>0</v>
      </c>
      <c r="AK383" s="24">
        <v>1</v>
      </c>
      <c r="AL383" s="24">
        <v>0</v>
      </c>
      <c r="AM383" s="24">
        <v>0</v>
      </c>
      <c r="AN383" s="24">
        <v>0</v>
      </c>
      <c r="AO383" s="24">
        <v>0</v>
      </c>
      <c r="AP383" s="24">
        <v>0</v>
      </c>
      <c r="AQ383" s="24">
        <v>0</v>
      </c>
      <c r="AR383" s="24">
        <v>1</v>
      </c>
      <c r="AS383" s="24">
        <v>0</v>
      </c>
      <c r="AT383" s="24">
        <v>0</v>
      </c>
      <c r="AU383" s="24">
        <v>0</v>
      </c>
      <c r="AV383" s="24">
        <v>1</v>
      </c>
      <c r="AW383" s="24">
        <v>0</v>
      </c>
      <c r="AX383" s="24">
        <v>0</v>
      </c>
      <c r="AY383" s="24">
        <v>0</v>
      </c>
      <c r="AZ383" s="24">
        <v>0</v>
      </c>
      <c r="BA383" s="24">
        <v>1</v>
      </c>
      <c r="BB383" s="24">
        <v>0</v>
      </c>
    </row>
    <row r="384" spans="2:54" ht="13.8" x14ac:dyDescent="0.3">
      <c r="B384" s="24">
        <v>364</v>
      </c>
      <c r="C384" s="24">
        <v>6</v>
      </c>
      <c r="D384" s="24">
        <v>0</v>
      </c>
      <c r="E384" s="24">
        <v>0</v>
      </c>
      <c r="F384" s="24">
        <v>1</v>
      </c>
      <c r="G384" s="24">
        <v>0</v>
      </c>
      <c r="H384" s="24">
        <v>0</v>
      </c>
      <c r="I384" s="24">
        <v>0</v>
      </c>
      <c r="J384" s="24">
        <v>1766</v>
      </c>
      <c r="K384" s="24">
        <v>1</v>
      </c>
      <c r="L384" s="24">
        <v>0</v>
      </c>
      <c r="M384" s="24">
        <v>0</v>
      </c>
      <c r="N384" s="24">
        <v>1</v>
      </c>
      <c r="O384" s="24">
        <v>0</v>
      </c>
      <c r="P384" s="24">
        <v>0</v>
      </c>
      <c r="Q384" s="24">
        <v>0</v>
      </c>
      <c r="R384" s="24">
        <v>0</v>
      </c>
      <c r="S384" s="24">
        <v>21</v>
      </c>
      <c r="T384" s="24">
        <v>0</v>
      </c>
      <c r="U384" s="24">
        <v>1</v>
      </c>
      <c r="V384" s="24">
        <v>0</v>
      </c>
      <c r="W384" s="24">
        <v>1</v>
      </c>
      <c r="X384" s="24">
        <v>1</v>
      </c>
      <c r="Y384" s="24">
        <v>0</v>
      </c>
      <c r="Z384" s="24">
        <v>0</v>
      </c>
      <c r="AA384" s="24">
        <v>1</v>
      </c>
      <c r="AB384" s="24">
        <v>0</v>
      </c>
      <c r="AC384" s="24">
        <v>0</v>
      </c>
      <c r="AD384" s="24">
        <v>0</v>
      </c>
      <c r="AE384" s="24">
        <v>1</v>
      </c>
      <c r="AF384" s="24">
        <v>0</v>
      </c>
      <c r="AG384" s="24">
        <v>0</v>
      </c>
      <c r="AH384" s="24">
        <v>1</v>
      </c>
      <c r="AI384" s="24">
        <v>0</v>
      </c>
      <c r="AJ384" s="24">
        <v>0</v>
      </c>
      <c r="AK384" s="24">
        <v>1</v>
      </c>
      <c r="AL384" s="24">
        <v>0</v>
      </c>
      <c r="AM384" s="24">
        <v>0</v>
      </c>
      <c r="AN384" s="24">
        <v>0</v>
      </c>
      <c r="AO384" s="24">
        <v>0</v>
      </c>
      <c r="AP384" s="24">
        <v>0</v>
      </c>
      <c r="AQ384" s="24">
        <v>0</v>
      </c>
      <c r="AR384" s="24">
        <v>1</v>
      </c>
      <c r="AS384" s="24">
        <v>0</v>
      </c>
      <c r="AT384" s="24">
        <v>0</v>
      </c>
      <c r="AU384" s="24">
        <v>0</v>
      </c>
      <c r="AV384" s="24">
        <v>1</v>
      </c>
      <c r="AW384" s="24">
        <v>0</v>
      </c>
      <c r="AX384" s="24">
        <v>0</v>
      </c>
      <c r="AY384" s="24">
        <v>0</v>
      </c>
      <c r="AZ384" s="24">
        <v>0</v>
      </c>
      <c r="BA384" s="24">
        <v>1</v>
      </c>
      <c r="BB384" s="24">
        <v>0</v>
      </c>
    </row>
    <row r="385" spans="2:54" ht="13.8" x14ac:dyDescent="0.3">
      <c r="B385" s="24">
        <v>365</v>
      </c>
      <c r="C385" s="24">
        <v>18</v>
      </c>
      <c r="D385" s="24">
        <v>0</v>
      </c>
      <c r="E385" s="24">
        <v>0</v>
      </c>
      <c r="F385" s="24">
        <v>1</v>
      </c>
      <c r="G385" s="24">
        <v>0</v>
      </c>
      <c r="H385" s="24">
        <v>0</v>
      </c>
      <c r="I385" s="24">
        <v>0</v>
      </c>
      <c r="J385" s="24">
        <v>2473</v>
      </c>
      <c r="K385" s="24">
        <v>4</v>
      </c>
      <c r="L385" s="24">
        <v>0</v>
      </c>
      <c r="M385" s="24">
        <v>1</v>
      </c>
      <c r="N385" s="24">
        <v>0</v>
      </c>
      <c r="O385" s="24">
        <v>0</v>
      </c>
      <c r="P385" s="24">
        <v>0</v>
      </c>
      <c r="Q385" s="24">
        <v>0</v>
      </c>
      <c r="R385" s="24">
        <v>0</v>
      </c>
      <c r="S385" s="24">
        <v>25</v>
      </c>
      <c r="T385" s="24">
        <v>0</v>
      </c>
      <c r="U385" s="24">
        <v>0</v>
      </c>
      <c r="V385" s="24">
        <v>1</v>
      </c>
      <c r="W385" s="24">
        <v>1</v>
      </c>
      <c r="X385" s="24">
        <v>1</v>
      </c>
      <c r="Y385" s="24">
        <v>0</v>
      </c>
      <c r="Z385" s="24">
        <v>0</v>
      </c>
      <c r="AA385" s="24">
        <v>0</v>
      </c>
      <c r="AB385" s="24">
        <v>1</v>
      </c>
      <c r="AC385" s="24">
        <v>0</v>
      </c>
      <c r="AD385" s="24">
        <v>0</v>
      </c>
      <c r="AE385" s="24">
        <v>0</v>
      </c>
      <c r="AF385" s="24">
        <v>0</v>
      </c>
      <c r="AG385" s="24">
        <v>0</v>
      </c>
      <c r="AH385" s="24">
        <v>1</v>
      </c>
      <c r="AI385" s="24">
        <v>0</v>
      </c>
      <c r="AJ385" s="24">
        <v>0</v>
      </c>
      <c r="AK385" s="24">
        <v>1</v>
      </c>
      <c r="AL385" s="24">
        <v>0</v>
      </c>
      <c r="AM385" s="24">
        <v>0</v>
      </c>
      <c r="AN385" s="24">
        <v>0</v>
      </c>
      <c r="AO385" s="24">
        <v>0</v>
      </c>
      <c r="AP385" s="24">
        <v>1</v>
      </c>
      <c r="AQ385" s="24">
        <v>0</v>
      </c>
      <c r="AR385" s="24">
        <v>0</v>
      </c>
      <c r="AS385" s="24">
        <v>0</v>
      </c>
      <c r="AT385" s="24">
        <v>0</v>
      </c>
      <c r="AU385" s="24">
        <v>1</v>
      </c>
      <c r="AV385" s="24">
        <v>0</v>
      </c>
      <c r="AW385" s="24">
        <v>0</v>
      </c>
      <c r="AX385" s="24">
        <v>0</v>
      </c>
      <c r="AY385" s="24">
        <v>1</v>
      </c>
      <c r="AZ385" s="24">
        <v>0</v>
      </c>
      <c r="BA385" s="24">
        <v>0</v>
      </c>
      <c r="BB385" s="24">
        <v>0</v>
      </c>
    </row>
    <row r="386" spans="2:54" ht="13.8" x14ac:dyDescent="0.3">
      <c r="B386" s="24">
        <v>366</v>
      </c>
      <c r="C386" s="24">
        <v>12</v>
      </c>
      <c r="D386" s="24">
        <v>0</v>
      </c>
      <c r="E386" s="24">
        <v>0</v>
      </c>
      <c r="F386" s="24">
        <v>0</v>
      </c>
      <c r="G386" s="24">
        <v>0</v>
      </c>
      <c r="H386" s="24">
        <v>0</v>
      </c>
      <c r="I386" s="24">
        <v>1</v>
      </c>
      <c r="J386" s="24">
        <v>1542</v>
      </c>
      <c r="K386" s="24">
        <v>2</v>
      </c>
      <c r="L386" s="24">
        <v>0</v>
      </c>
      <c r="M386" s="24">
        <v>1</v>
      </c>
      <c r="N386" s="24">
        <v>0</v>
      </c>
      <c r="O386" s="24">
        <v>0</v>
      </c>
      <c r="P386" s="24">
        <v>0</v>
      </c>
      <c r="Q386" s="24">
        <v>0</v>
      </c>
      <c r="R386" s="24">
        <v>0</v>
      </c>
      <c r="S386" s="24">
        <v>36</v>
      </c>
      <c r="T386" s="24">
        <v>0</v>
      </c>
      <c r="U386" s="24">
        <v>0</v>
      </c>
      <c r="V386" s="24">
        <v>1</v>
      </c>
      <c r="W386" s="24">
        <v>1</v>
      </c>
      <c r="X386" s="24">
        <v>1</v>
      </c>
      <c r="Y386" s="24">
        <v>1</v>
      </c>
      <c r="Z386" s="24">
        <v>0</v>
      </c>
      <c r="AA386" s="24">
        <v>1</v>
      </c>
      <c r="AB386" s="24">
        <v>0</v>
      </c>
      <c r="AC386" s="24">
        <v>0</v>
      </c>
      <c r="AD386" s="24">
        <v>0</v>
      </c>
      <c r="AE386" s="24">
        <v>1</v>
      </c>
      <c r="AF386" s="24">
        <v>0</v>
      </c>
      <c r="AG386" s="24">
        <v>0</v>
      </c>
      <c r="AH386" s="24">
        <v>1</v>
      </c>
      <c r="AI386" s="24">
        <v>0</v>
      </c>
      <c r="AJ386" s="24">
        <v>0</v>
      </c>
      <c r="AK386" s="24">
        <v>1</v>
      </c>
      <c r="AL386" s="24">
        <v>0</v>
      </c>
      <c r="AM386" s="24">
        <v>0</v>
      </c>
      <c r="AN386" s="24">
        <v>0</v>
      </c>
      <c r="AO386" s="24">
        <v>0</v>
      </c>
      <c r="AP386" s="24">
        <v>0</v>
      </c>
      <c r="AQ386" s="24">
        <v>0</v>
      </c>
      <c r="AR386" s="24">
        <v>0</v>
      </c>
      <c r="AS386" s="24">
        <v>1</v>
      </c>
      <c r="AT386" s="24">
        <v>0</v>
      </c>
      <c r="AU386" s="24">
        <v>0</v>
      </c>
      <c r="AV386" s="24">
        <v>0</v>
      </c>
      <c r="AW386" s="24">
        <v>0</v>
      </c>
      <c r="AX386" s="24">
        <v>1</v>
      </c>
      <c r="AY386" s="24">
        <v>0</v>
      </c>
      <c r="AZ386" s="24">
        <v>0</v>
      </c>
      <c r="BA386" s="24">
        <v>1</v>
      </c>
      <c r="BB386" s="24">
        <v>0</v>
      </c>
    </row>
    <row r="387" spans="2:54" ht="13.8" x14ac:dyDescent="0.3">
      <c r="B387" s="24">
        <v>367</v>
      </c>
      <c r="C387" s="24">
        <v>18</v>
      </c>
      <c r="D387" s="24">
        <v>0</v>
      </c>
      <c r="E387" s="24">
        <v>1</v>
      </c>
      <c r="F387" s="24">
        <v>0</v>
      </c>
      <c r="G387" s="24">
        <v>0</v>
      </c>
      <c r="H387" s="24">
        <v>0</v>
      </c>
      <c r="I387" s="24">
        <v>0</v>
      </c>
      <c r="J387" s="24">
        <v>3850</v>
      </c>
      <c r="K387" s="24">
        <v>3</v>
      </c>
      <c r="L387" s="24">
        <v>0</v>
      </c>
      <c r="M387" s="24">
        <v>1</v>
      </c>
      <c r="N387" s="24">
        <v>0</v>
      </c>
      <c r="O387" s="24">
        <v>0</v>
      </c>
      <c r="P387" s="24">
        <v>0</v>
      </c>
      <c r="Q387" s="24">
        <v>0</v>
      </c>
      <c r="R387" s="24">
        <v>0</v>
      </c>
      <c r="S387" s="24">
        <v>27</v>
      </c>
      <c r="T387" s="24">
        <v>0</v>
      </c>
      <c r="U387" s="24">
        <v>0</v>
      </c>
      <c r="V387" s="24">
        <v>1</v>
      </c>
      <c r="W387" s="24">
        <v>2</v>
      </c>
      <c r="X387" s="24">
        <v>1</v>
      </c>
      <c r="Y387" s="24">
        <v>0</v>
      </c>
      <c r="Z387" s="24">
        <v>0</v>
      </c>
      <c r="AA387" s="24">
        <v>1</v>
      </c>
      <c r="AB387" s="24">
        <v>0</v>
      </c>
      <c r="AC387" s="24">
        <v>0</v>
      </c>
      <c r="AD387" s="24">
        <v>0</v>
      </c>
      <c r="AE387" s="24">
        <v>1</v>
      </c>
      <c r="AF387" s="24">
        <v>0</v>
      </c>
      <c r="AG387" s="24">
        <v>0</v>
      </c>
      <c r="AH387" s="24">
        <v>0</v>
      </c>
      <c r="AI387" s="24">
        <v>0</v>
      </c>
      <c r="AJ387" s="24">
        <v>1</v>
      </c>
      <c r="AK387" s="24">
        <v>1</v>
      </c>
      <c r="AL387" s="24">
        <v>0</v>
      </c>
      <c r="AM387" s="24">
        <v>0</v>
      </c>
      <c r="AN387" s="24">
        <v>0</v>
      </c>
      <c r="AO387" s="24">
        <v>0</v>
      </c>
      <c r="AP387" s="24">
        <v>0</v>
      </c>
      <c r="AQ387" s="24">
        <v>0</v>
      </c>
      <c r="AR387" s="24">
        <v>0</v>
      </c>
      <c r="AS387" s="24">
        <v>1</v>
      </c>
      <c r="AT387" s="24">
        <v>0</v>
      </c>
      <c r="AU387" s="24">
        <v>1</v>
      </c>
      <c r="AV387" s="24">
        <v>0</v>
      </c>
      <c r="AW387" s="24">
        <v>0</v>
      </c>
      <c r="AX387" s="24">
        <v>0</v>
      </c>
      <c r="AY387" s="24">
        <v>0</v>
      </c>
      <c r="AZ387" s="24">
        <v>0</v>
      </c>
      <c r="BA387" s="24">
        <v>1</v>
      </c>
      <c r="BB387" s="24">
        <v>0</v>
      </c>
    </row>
    <row r="388" spans="2:54" ht="13.8" x14ac:dyDescent="0.3">
      <c r="B388" s="24">
        <v>368</v>
      </c>
      <c r="C388" s="24">
        <v>18</v>
      </c>
      <c r="D388" s="24">
        <v>0</v>
      </c>
      <c r="E388" s="24">
        <v>0</v>
      </c>
      <c r="F388" s="24">
        <v>1</v>
      </c>
      <c r="G388" s="24">
        <v>0</v>
      </c>
      <c r="H388" s="24">
        <v>0</v>
      </c>
      <c r="I388" s="24">
        <v>0</v>
      </c>
      <c r="J388" s="24">
        <v>3650</v>
      </c>
      <c r="K388" s="24">
        <v>1</v>
      </c>
      <c r="L388" s="24">
        <v>0</v>
      </c>
      <c r="M388" s="24">
        <v>0</v>
      </c>
      <c r="N388" s="24">
        <v>0</v>
      </c>
      <c r="O388" s="24">
        <v>0</v>
      </c>
      <c r="P388" s="24">
        <v>0</v>
      </c>
      <c r="Q388" s="24">
        <v>0</v>
      </c>
      <c r="R388" s="24">
        <v>0</v>
      </c>
      <c r="S388" s="24">
        <v>22</v>
      </c>
      <c r="T388" s="24">
        <v>0</v>
      </c>
      <c r="U388" s="24">
        <v>1</v>
      </c>
      <c r="V388" s="24">
        <v>0</v>
      </c>
      <c r="W388" s="24">
        <v>1</v>
      </c>
      <c r="X388" s="24">
        <v>1</v>
      </c>
      <c r="Y388" s="24">
        <v>0</v>
      </c>
      <c r="Z388" s="24">
        <v>0</v>
      </c>
      <c r="AA388" s="24">
        <v>1</v>
      </c>
      <c r="AB388" s="24">
        <v>1</v>
      </c>
      <c r="AC388" s="24">
        <v>0</v>
      </c>
      <c r="AD388" s="24">
        <v>0</v>
      </c>
      <c r="AE388" s="24">
        <v>0</v>
      </c>
      <c r="AF388" s="24">
        <v>0</v>
      </c>
      <c r="AG388" s="24">
        <v>0</v>
      </c>
      <c r="AH388" s="24">
        <v>1</v>
      </c>
      <c r="AI388" s="24">
        <v>0</v>
      </c>
      <c r="AJ388" s="24">
        <v>0</v>
      </c>
      <c r="AK388" s="24">
        <v>1</v>
      </c>
      <c r="AL388" s="24">
        <v>0</v>
      </c>
      <c r="AM388" s="24">
        <v>0</v>
      </c>
      <c r="AN388" s="24">
        <v>0</v>
      </c>
      <c r="AO388" s="24">
        <v>0</v>
      </c>
      <c r="AP388" s="24">
        <v>0</v>
      </c>
      <c r="AQ388" s="24">
        <v>1</v>
      </c>
      <c r="AR388" s="24">
        <v>0</v>
      </c>
      <c r="AS388" s="24">
        <v>0</v>
      </c>
      <c r="AT388" s="24">
        <v>0</v>
      </c>
      <c r="AU388" s="24">
        <v>0</v>
      </c>
      <c r="AV388" s="24">
        <v>0</v>
      </c>
      <c r="AW388" s="24">
        <v>0</v>
      </c>
      <c r="AX388" s="24">
        <v>1</v>
      </c>
      <c r="AY388" s="24">
        <v>0</v>
      </c>
      <c r="AZ388" s="24">
        <v>0</v>
      </c>
      <c r="BA388" s="24">
        <v>1</v>
      </c>
      <c r="BB388" s="24">
        <v>0</v>
      </c>
    </row>
    <row r="389" spans="2:54" ht="13.8" x14ac:dyDescent="0.3">
      <c r="B389" s="24">
        <v>369</v>
      </c>
      <c r="C389" s="24">
        <v>36</v>
      </c>
      <c r="D389" s="24">
        <v>0</v>
      </c>
      <c r="E389" s="24">
        <v>0</v>
      </c>
      <c r="F389" s="24">
        <v>1</v>
      </c>
      <c r="G389" s="24">
        <v>0</v>
      </c>
      <c r="H389" s="24">
        <v>0</v>
      </c>
      <c r="I389" s="24">
        <v>0</v>
      </c>
      <c r="J389" s="24">
        <v>3446</v>
      </c>
      <c r="K389" s="24">
        <v>4</v>
      </c>
      <c r="L389" s="24">
        <v>0</v>
      </c>
      <c r="M389" s="24">
        <v>1</v>
      </c>
      <c r="N389" s="24">
        <v>0</v>
      </c>
      <c r="O389" s="24">
        <v>0</v>
      </c>
      <c r="P389" s="24">
        <v>0</v>
      </c>
      <c r="Q389" s="24">
        <v>0</v>
      </c>
      <c r="R389" s="24">
        <v>0</v>
      </c>
      <c r="S389" s="24">
        <v>42</v>
      </c>
      <c r="T389" s="24">
        <v>0</v>
      </c>
      <c r="U389" s="24">
        <v>0</v>
      </c>
      <c r="V389" s="24">
        <v>1</v>
      </c>
      <c r="W389" s="24">
        <v>1</v>
      </c>
      <c r="X389" s="24">
        <v>2</v>
      </c>
      <c r="Y389" s="24">
        <v>0</v>
      </c>
      <c r="Z389" s="24">
        <v>0</v>
      </c>
      <c r="AA389" s="24">
        <v>0</v>
      </c>
      <c r="AB389" s="24">
        <v>1</v>
      </c>
      <c r="AC389" s="24">
        <v>0</v>
      </c>
      <c r="AD389" s="24">
        <v>0</v>
      </c>
      <c r="AE389" s="24">
        <v>0</v>
      </c>
      <c r="AF389" s="24">
        <v>0</v>
      </c>
      <c r="AG389" s="24">
        <v>0</v>
      </c>
      <c r="AH389" s="24">
        <v>1</v>
      </c>
      <c r="AI389" s="24">
        <v>0</v>
      </c>
      <c r="AJ389" s="24">
        <v>0</v>
      </c>
      <c r="AK389" s="24">
        <v>1</v>
      </c>
      <c r="AL389" s="24">
        <v>0</v>
      </c>
      <c r="AM389" s="24">
        <v>0</v>
      </c>
      <c r="AN389" s="24">
        <v>0</v>
      </c>
      <c r="AO389" s="24">
        <v>0</v>
      </c>
      <c r="AP389" s="24">
        <v>0</v>
      </c>
      <c r="AQ389" s="24">
        <v>0</v>
      </c>
      <c r="AR389" s="24">
        <v>0</v>
      </c>
      <c r="AS389" s="24">
        <v>0</v>
      </c>
      <c r="AT389" s="24">
        <v>1</v>
      </c>
      <c r="AU389" s="24">
        <v>0</v>
      </c>
      <c r="AV389" s="24">
        <v>1</v>
      </c>
      <c r="AW389" s="24">
        <v>0</v>
      </c>
      <c r="AX389" s="24">
        <v>0</v>
      </c>
      <c r="AY389" s="24">
        <v>0</v>
      </c>
      <c r="AZ389" s="24">
        <v>0</v>
      </c>
      <c r="BA389" s="24">
        <v>1</v>
      </c>
      <c r="BB389" s="24">
        <v>0</v>
      </c>
    </row>
    <row r="390" spans="2:54" ht="13.8" x14ac:dyDescent="0.3">
      <c r="B390" s="24">
        <v>370</v>
      </c>
      <c r="C390" s="24">
        <v>18</v>
      </c>
      <c r="D390" s="24">
        <v>0</v>
      </c>
      <c r="E390" s="24">
        <v>0</v>
      </c>
      <c r="F390" s="24">
        <v>1</v>
      </c>
      <c r="G390" s="24">
        <v>0</v>
      </c>
      <c r="H390" s="24">
        <v>0</v>
      </c>
      <c r="I390" s="24">
        <v>0</v>
      </c>
      <c r="J390" s="24">
        <v>3001</v>
      </c>
      <c r="K390" s="24">
        <v>2</v>
      </c>
      <c r="L390" s="24">
        <v>0</v>
      </c>
      <c r="M390" s="24">
        <v>0</v>
      </c>
      <c r="N390" s="24">
        <v>0</v>
      </c>
      <c r="O390" s="24">
        <v>0</v>
      </c>
      <c r="P390" s="24">
        <v>0</v>
      </c>
      <c r="Q390" s="24">
        <v>1</v>
      </c>
      <c r="R390" s="24">
        <v>0</v>
      </c>
      <c r="S390" s="24">
        <v>40</v>
      </c>
      <c r="T390" s="24">
        <v>0</v>
      </c>
      <c r="U390" s="24">
        <v>1</v>
      </c>
      <c r="V390" s="24">
        <v>0</v>
      </c>
      <c r="W390" s="24">
        <v>1</v>
      </c>
      <c r="X390" s="24">
        <v>1</v>
      </c>
      <c r="Y390" s="24">
        <v>0</v>
      </c>
      <c r="Z390" s="24">
        <v>0</v>
      </c>
      <c r="AA390" s="24">
        <v>1</v>
      </c>
      <c r="AB390" s="24">
        <v>0</v>
      </c>
      <c r="AC390" s="24">
        <v>1</v>
      </c>
      <c r="AD390" s="24">
        <v>0</v>
      </c>
      <c r="AE390" s="24">
        <v>0</v>
      </c>
      <c r="AF390" s="24">
        <v>0</v>
      </c>
      <c r="AG390" s="24">
        <v>0</v>
      </c>
      <c r="AH390" s="24">
        <v>1</v>
      </c>
      <c r="AI390" s="24">
        <v>0</v>
      </c>
      <c r="AJ390" s="24">
        <v>0</v>
      </c>
      <c r="AK390" s="24">
        <v>1</v>
      </c>
      <c r="AL390" s="24">
        <v>0</v>
      </c>
      <c r="AM390" s="24">
        <v>0</v>
      </c>
      <c r="AN390" s="24">
        <v>0</v>
      </c>
      <c r="AO390" s="24">
        <v>0</v>
      </c>
      <c r="AP390" s="24">
        <v>0</v>
      </c>
      <c r="AQ390" s="24">
        <v>0</v>
      </c>
      <c r="AR390" s="24">
        <v>0</v>
      </c>
      <c r="AS390" s="24">
        <v>1</v>
      </c>
      <c r="AT390" s="24">
        <v>0</v>
      </c>
      <c r="AU390" s="24">
        <v>0</v>
      </c>
      <c r="AV390" s="24">
        <v>0</v>
      </c>
      <c r="AW390" s="24">
        <v>0</v>
      </c>
      <c r="AX390" s="24">
        <v>1</v>
      </c>
      <c r="AY390" s="24">
        <v>0</v>
      </c>
      <c r="AZ390" s="24">
        <v>0</v>
      </c>
      <c r="BA390" s="24">
        <v>1</v>
      </c>
      <c r="BB390" s="24">
        <v>0</v>
      </c>
    </row>
    <row r="391" spans="2:54" ht="13.8" x14ac:dyDescent="0.3">
      <c r="B391" s="24">
        <v>371</v>
      </c>
      <c r="C391" s="24">
        <v>36</v>
      </c>
      <c r="D391" s="24">
        <v>1</v>
      </c>
      <c r="E391" s="24">
        <v>0</v>
      </c>
      <c r="F391" s="24">
        <v>0</v>
      </c>
      <c r="G391" s="24">
        <v>0</v>
      </c>
      <c r="H391" s="24">
        <v>0</v>
      </c>
      <c r="I391" s="24">
        <v>0</v>
      </c>
      <c r="J391" s="24">
        <v>3079</v>
      </c>
      <c r="K391" s="24">
        <v>4</v>
      </c>
      <c r="L391" s="24">
        <v>0</v>
      </c>
      <c r="M391" s="24">
        <v>1</v>
      </c>
      <c r="N391" s="24">
        <v>0</v>
      </c>
      <c r="O391" s="24">
        <v>0</v>
      </c>
      <c r="P391" s="24">
        <v>0</v>
      </c>
      <c r="Q391" s="24">
        <v>1</v>
      </c>
      <c r="R391" s="24">
        <v>0</v>
      </c>
      <c r="S391" s="24">
        <v>36</v>
      </c>
      <c r="T391" s="24">
        <v>0</v>
      </c>
      <c r="U391" s="24">
        <v>0</v>
      </c>
      <c r="V391" s="24">
        <v>1</v>
      </c>
      <c r="W391" s="24">
        <v>1</v>
      </c>
      <c r="X391" s="24">
        <v>1</v>
      </c>
      <c r="Y391" s="24">
        <v>0</v>
      </c>
      <c r="Z391" s="24">
        <v>0</v>
      </c>
      <c r="AA391" s="24">
        <v>1</v>
      </c>
      <c r="AB391" s="24">
        <v>0</v>
      </c>
      <c r="AC391" s="24">
        <v>0</v>
      </c>
      <c r="AD391" s="24">
        <v>0</v>
      </c>
      <c r="AE391" s="24">
        <v>1</v>
      </c>
      <c r="AF391" s="24">
        <v>0</v>
      </c>
      <c r="AG391" s="24">
        <v>0</v>
      </c>
      <c r="AH391" s="24">
        <v>1</v>
      </c>
      <c r="AI391" s="24">
        <v>0</v>
      </c>
      <c r="AJ391" s="24">
        <v>0</v>
      </c>
      <c r="AK391" s="24">
        <v>0</v>
      </c>
      <c r="AL391" s="24">
        <v>0</v>
      </c>
      <c r="AM391" s="24">
        <v>0</v>
      </c>
      <c r="AN391" s="24">
        <v>0</v>
      </c>
      <c r="AO391" s="24">
        <v>1</v>
      </c>
      <c r="AP391" s="24">
        <v>0</v>
      </c>
      <c r="AQ391" s="24">
        <v>0</v>
      </c>
      <c r="AR391" s="24">
        <v>1</v>
      </c>
      <c r="AS391" s="24">
        <v>0</v>
      </c>
      <c r="AT391" s="24">
        <v>0</v>
      </c>
      <c r="AU391" s="24">
        <v>0</v>
      </c>
      <c r="AV391" s="24">
        <v>0</v>
      </c>
      <c r="AW391" s="24">
        <v>0</v>
      </c>
      <c r="AX391" s="24">
        <v>1</v>
      </c>
      <c r="AY391" s="24">
        <v>0</v>
      </c>
      <c r="AZ391" s="24">
        <v>0</v>
      </c>
      <c r="BA391" s="24">
        <v>1</v>
      </c>
      <c r="BB391" s="24">
        <v>0</v>
      </c>
    </row>
    <row r="392" spans="2:54" ht="13.8" x14ac:dyDescent="0.3">
      <c r="B392" s="24">
        <v>372</v>
      </c>
      <c r="C392" s="24">
        <v>18</v>
      </c>
      <c r="D392" s="24">
        <v>0</v>
      </c>
      <c r="E392" s="24">
        <v>0</v>
      </c>
      <c r="F392" s="24">
        <v>0</v>
      </c>
      <c r="G392" s="24">
        <v>1</v>
      </c>
      <c r="H392" s="24">
        <v>0</v>
      </c>
      <c r="I392" s="24">
        <v>0</v>
      </c>
      <c r="J392" s="24">
        <v>6070</v>
      </c>
      <c r="K392" s="24">
        <v>3</v>
      </c>
      <c r="L392" s="24">
        <v>0</v>
      </c>
      <c r="M392" s="24">
        <v>1</v>
      </c>
      <c r="N392" s="24">
        <v>0</v>
      </c>
      <c r="O392" s="24">
        <v>0</v>
      </c>
      <c r="P392" s="24">
        <v>0</v>
      </c>
      <c r="Q392" s="24">
        <v>0</v>
      </c>
      <c r="R392" s="24">
        <v>0</v>
      </c>
      <c r="S392" s="24">
        <v>33</v>
      </c>
      <c r="T392" s="24">
        <v>0</v>
      </c>
      <c r="U392" s="24">
        <v>0</v>
      </c>
      <c r="V392" s="24">
        <v>1</v>
      </c>
      <c r="W392" s="24">
        <v>2</v>
      </c>
      <c r="X392" s="24">
        <v>1</v>
      </c>
      <c r="Y392" s="24">
        <v>1</v>
      </c>
      <c r="Z392" s="24">
        <v>0</v>
      </c>
      <c r="AA392" s="24">
        <v>1</v>
      </c>
      <c r="AB392" s="24">
        <v>0</v>
      </c>
      <c r="AC392" s="24">
        <v>0</v>
      </c>
      <c r="AD392" s="24">
        <v>0</v>
      </c>
      <c r="AE392" s="24">
        <v>1</v>
      </c>
      <c r="AF392" s="24">
        <v>0</v>
      </c>
      <c r="AG392" s="24">
        <v>0</v>
      </c>
      <c r="AH392" s="24">
        <v>0</v>
      </c>
      <c r="AI392" s="24">
        <v>0</v>
      </c>
      <c r="AJ392" s="24">
        <v>1</v>
      </c>
      <c r="AK392" s="24">
        <v>1</v>
      </c>
      <c r="AL392" s="24">
        <v>0</v>
      </c>
      <c r="AM392" s="24">
        <v>0</v>
      </c>
      <c r="AN392" s="24">
        <v>0</v>
      </c>
      <c r="AO392" s="24">
        <v>0</v>
      </c>
      <c r="AP392" s="24">
        <v>0</v>
      </c>
      <c r="AQ392" s="24">
        <v>0</v>
      </c>
      <c r="AR392" s="24">
        <v>0</v>
      </c>
      <c r="AS392" s="24">
        <v>0</v>
      </c>
      <c r="AT392" s="24">
        <v>1</v>
      </c>
      <c r="AU392" s="24">
        <v>0</v>
      </c>
      <c r="AV392" s="24">
        <v>0</v>
      </c>
      <c r="AW392" s="24">
        <v>0</v>
      </c>
      <c r="AX392" s="24">
        <v>1</v>
      </c>
      <c r="AY392" s="24">
        <v>0</v>
      </c>
      <c r="AZ392" s="24">
        <v>0</v>
      </c>
      <c r="BA392" s="24">
        <v>1</v>
      </c>
      <c r="BB392" s="24">
        <v>0</v>
      </c>
    </row>
    <row r="393" spans="2:54" ht="13.8" x14ac:dyDescent="0.3">
      <c r="B393" s="24">
        <v>373</v>
      </c>
      <c r="C393" s="24">
        <v>10</v>
      </c>
      <c r="D393" s="24">
        <v>0</v>
      </c>
      <c r="E393" s="24">
        <v>0</v>
      </c>
      <c r="F393" s="24">
        <v>1</v>
      </c>
      <c r="G393" s="24">
        <v>0</v>
      </c>
      <c r="H393" s="24">
        <v>0</v>
      </c>
      <c r="I393" s="24">
        <v>0</v>
      </c>
      <c r="J393" s="24">
        <v>2146</v>
      </c>
      <c r="K393" s="24">
        <v>1</v>
      </c>
      <c r="L393" s="24">
        <v>0</v>
      </c>
      <c r="M393" s="24">
        <v>0</v>
      </c>
      <c r="N393" s="24">
        <v>0</v>
      </c>
      <c r="O393" s="24">
        <v>0</v>
      </c>
      <c r="P393" s="24">
        <v>0</v>
      </c>
      <c r="Q393" s="24">
        <v>1</v>
      </c>
      <c r="R393" s="24">
        <v>0</v>
      </c>
      <c r="S393" s="24">
        <v>23</v>
      </c>
      <c r="T393" s="24">
        <v>0</v>
      </c>
      <c r="U393" s="24">
        <v>1</v>
      </c>
      <c r="V393" s="24">
        <v>0</v>
      </c>
      <c r="W393" s="24">
        <v>2</v>
      </c>
      <c r="X393" s="24">
        <v>1</v>
      </c>
      <c r="Y393" s="24">
        <v>0</v>
      </c>
      <c r="Z393" s="24">
        <v>0</v>
      </c>
      <c r="AA393" s="24">
        <v>1</v>
      </c>
      <c r="AB393" s="24">
        <v>0</v>
      </c>
      <c r="AC393" s="24">
        <v>0</v>
      </c>
      <c r="AD393" s="24">
        <v>0</v>
      </c>
      <c r="AE393" s="24">
        <v>1</v>
      </c>
      <c r="AF393" s="24">
        <v>0</v>
      </c>
      <c r="AG393" s="24">
        <v>0</v>
      </c>
      <c r="AH393" s="24">
        <v>0</v>
      </c>
      <c r="AI393" s="24">
        <v>0</v>
      </c>
      <c r="AJ393" s="24">
        <v>1</v>
      </c>
      <c r="AK393" s="24">
        <v>1</v>
      </c>
      <c r="AL393" s="24">
        <v>0</v>
      </c>
      <c r="AM393" s="24">
        <v>0</v>
      </c>
      <c r="AN393" s="24">
        <v>0</v>
      </c>
      <c r="AO393" s="24">
        <v>0</v>
      </c>
      <c r="AP393" s="24">
        <v>0</v>
      </c>
      <c r="AQ393" s="24">
        <v>1</v>
      </c>
      <c r="AR393" s="24">
        <v>0</v>
      </c>
      <c r="AS393" s="24">
        <v>0</v>
      </c>
      <c r="AT393" s="24">
        <v>0</v>
      </c>
      <c r="AU393" s="24">
        <v>0</v>
      </c>
      <c r="AV393" s="24">
        <v>0</v>
      </c>
      <c r="AW393" s="24">
        <v>1</v>
      </c>
      <c r="AX393" s="24">
        <v>0</v>
      </c>
      <c r="AY393" s="24">
        <v>0</v>
      </c>
      <c r="AZ393" s="24">
        <v>0</v>
      </c>
      <c r="BA393" s="24">
        <v>1</v>
      </c>
      <c r="BB393" s="24">
        <v>0</v>
      </c>
    </row>
    <row r="394" spans="2:54" ht="13.8" x14ac:dyDescent="0.3">
      <c r="B394" s="24">
        <v>374</v>
      </c>
      <c r="C394" s="24">
        <v>60</v>
      </c>
      <c r="D394" s="24">
        <v>1</v>
      </c>
      <c r="E394" s="24">
        <v>0</v>
      </c>
      <c r="F394" s="24">
        <v>0</v>
      </c>
      <c r="G394" s="24">
        <v>0</v>
      </c>
      <c r="H394" s="24">
        <v>0</v>
      </c>
      <c r="I394" s="24">
        <v>0</v>
      </c>
      <c r="J394" s="24">
        <v>13756</v>
      </c>
      <c r="K394" s="24">
        <v>2</v>
      </c>
      <c r="L394" s="24">
        <v>0</v>
      </c>
      <c r="M394" s="24">
        <v>1</v>
      </c>
      <c r="N394" s="24">
        <v>0</v>
      </c>
      <c r="O394" s="24">
        <v>0</v>
      </c>
      <c r="P394" s="24">
        <v>0</v>
      </c>
      <c r="Q394" s="24">
        <v>0</v>
      </c>
      <c r="R394" s="24">
        <v>1</v>
      </c>
      <c r="S394" s="24">
        <v>63</v>
      </c>
      <c r="T394" s="24">
        <v>1</v>
      </c>
      <c r="U394" s="24">
        <v>0</v>
      </c>
      <c r="V394" s="24">
        <v>0</v>
      </c>
      <c r="W394" s="24">
        <v>1</v>
      </c>
      <c r="X394" s="24">
        <v>1</v>
      </c>
      <c r="Y394" s="24">
        <v>1</v>
      </c>
      <c r="Z394" s="24">
        <v>0</v>
      </c>
      <c r="AA394" s="24">
        <v>1</v>
      </c>
      <c r="AB394" s="24">
        <v>0</v>
      </c>
      <c r="AC394" s="24">
        <v>0</v>
      </c>
      <c r="AD394" s="24">
        <v>0</v>
      </c>
      <c r="AE394" s="24">
        <v>1</v>
      </c>
      <c r="AF394" s="24">
        <v>0</v>
      </c>
      <c r="AG394" s="24">
        <v>0</v>
      </c>
      <c r="AH394" s="24">
        <v>0</v>
      </c>
      <c r="AI394" s="24">
        <v>0</v>
      </c>
      <c r="AJ394" s="24">
        <v>1</v>
      </c>
      <c r="AK394" s="24">
        <v>0</v>
      </c>
      <c r="AL394" s="24">
        <v>0</v>
      </c>
      <c r="AM394" s="24">
        <v>0</v>
      </c>
      <c r="AN394" s="24">
        <v>0</v>
      </c>
      <c r="AO394" s="24">
        <v>1</v>
      </c>
      <c r="AP394" s="24">
        <v>0</v>
      </c>
      <c r="AQ394" s="24">
        <v>0</v>
      </c>
      <c r="AR394" s="24">
        <v>0</v>
      </c>
      <c r="AS394" s="24">
        <v>0</v>
      </c>
      <c r="AT394" s="24">
        <v>1</v>
      </c>
      <c r="AU394" s="24">
        <v>0</v>
      </c>
      <c r="AV394" s="24">
        <v>0</v>
      </c>
      <c r="AW394" s="24">
        <v>0</v>
      </c>
      <c r="AX394" s="24">
        <v>1</v>
      </c>
      <c r="AY394" s="24">
        <v>0</v>
      </c>
      <c r="AZ394" s="24">
        <v>0</v>
      </c>
      <c r="BA394" s="24">
        <v>0</v>
      </c>
      <c r="BB394" s="24">
        <v>1</v>
      </c>
    </row>
    <row r="395" spans="2:54" ht="13.8" x14ac:dyDescent="0.3">
      <c r="B395" s="24">
        <v>375</v>
      </c>
      <c r="C395" s="24">
        <v>60</v>
      </c>
      <c r="D395" s="24">
        <v>0</v>
      </c>
      <c r="E395" s="24">
        <v>0</v>
      </c>
      <c r="F395" s="24">
        <v>0</v>
      </c>
      <c r="G395" s="24">
        <v>0</v>
      </c>
      <c r="H395" s="24">
        <v>0</v>
      </c>
      <c r="I395" s="24">
        <v>0</v>
      </c>
      <c r="J395" s="24">
        <v>14782</v>
      </c>
      <c r="K395" s="24">
        <v>3</v>
      </c>
      <c r="L395" s="24">
        <v>0</v>
      </c>
      <c r="M395" s="24">
        <v>0</v>
      </c>
      <c r="N395" s="24">
        <v>0</v>
      </c>
      <c r="O395" s="24">
        <v>0</v>
      </c>
      <c r="P395" s="24">
        <v>0</v>
      </c>
      <c r="Q395" s="24">
        <v>0</v>
      </c>
      <c r="R395" s="24">
        <v>1</v>
      </c>
      <c r="S395" s="24">
        <v>60</v>
      </c>
      <c r="T395" s="24">
        <v>1</v>
      </c>
      <c r="U395" s="24">
        <v>0</v>
      </c>
      <c r="V395" s="24">
        <v>0</v>
      </c>
      <c r="W395" s="24">
        <v>2</v>
      </c>
      <c r="X395" s="24">
        <v>1</v>
      </c>
      <c r="Y395" s="24">
        <v>1</v>
      </c>
      <c r="Z395" s="24">
        <v>0</v>
      </c>
      <c r="AA395" s="24">
        <v>0</v>
      </c>
      <c r="AB395" s="24">
        <v>0</v>
      </c>
      <c r="AC395" s="24">
        <v>1</v>
      </c>
      <c r="AD395" s="24">
        <v>0</v>
      </c>
      <c r="AE395" s="24">
        <v>0</v>
      </c>
      <c r="AF395" s="24">
        <v>0</v>
      </c>
      <c r="AG395" s="24">
        <v>1</v>
      </c>
      <c r="AH395" s="24">
        <v>0</v>
      </c>
      <c r="AI395" s="24">
        <v>0</v>
      </c>
      <c r="AJ395" s="24">
        <v>0</v>
      </c>
      <c r="AK395" s="24">
        <v>0</v>
      </c>
      <c r="AL395" s="24">
        <v>1</v>
      </c>
      <c r="AM395" s="24">
        <v>0</v>
      </c>
      <c r="AN395" s="24">
        <v>0</v>
      </c>
      <c r="AO395" s="24">
        <v>0</v>
      </c>
      <c r="AP395" s="24">
        <v>0</v>
      </c>
      <c r="AQ395" s="24">
        <v>0</v>
      </c>
      <c r="AR395" s="24">
        <v>0</v>
      </c>
      <c r="AS395" s="24">
        <v>0</v>
      </c>
      <c r="AT395" s="24">
        <v>1</v>
      </c>
      <c r="AU395" s="24">
        <v>0</v>
      </c>
      <c r="AV395" s="24">
        <v>0</v>
      </c>
      <c r="AW395" s="24">
        <v>0</v>
      </c>
      <c r="AX395" s="24">
        <v>1</v>
      </c>
      <c r="AY395" s="24">
        <v>0</v>
      </c>
      <c r="AZ395" s="24">
        <v>0</v>
      </c>
      <c r="BA395" s="24">
        <v>0</v>
      </c>
      <c r="BB395" s="24">
        <v>1</v>
      </c>
    </row>
    <row r="396" spans="2:54" ht="13.8" x14ac:dyDescent="0.3">
      <c r="B396" s="24">
        <v>376</v>
      </c>
      <c r="C396" s="24">
        <v>48</v>
      </c>
      <c r="D396" s="24">
        <v>0</v>
      </c>
      <c r="E396" s="24">
        <v>0</v>
      </c>
      <c r="F396" s="24">
        <v>0</v>
      </c>
      <c r="G396" s="24">
        <v>0</v>
      </c>
      <c r="H396" s="24">
        <v>0</v>
      </c>
      <c r="I396" s="24">
        <v>1</v>
      </c>
      <c r="J396" s="24">
        <v>7685</v>
      </c>
      <c r="K396" s="24">
        <v>2</v>
      </c>
      <c r="L396" s="24">
        <v>0</v>
      </c>
      <c r="M396" s="24">
        <v>0</v>
      </c>
      <c r="N396" s="24">
        <v>0</v>
      </c>
      <c r="O396" s="24">
        <v>0</v>
      </c>
      <c r="P396" s="24">
        <v>1</v>
      </c>
      <c r="Q396" s="24">
        <v>0</v>
      </c>
      <c r="R396" s="24">
        <v>0</v>
      </c>
      <c r="S396" s="24">
        <v>37</v>
      </c>
      <c r="T396" s="24">
        <v>0</v>
      </c>
      <c r="U396" s="24">
        <v>1</v>
      </c>
      <c r="V396" s="24">
        <v>0</v>
      </c>
      <c r="W396" s="24">
        <v>1</v>
      </c>
      <c r="X396" s="24">
        <v>1</v>
      </c>
      <c r="Y396" s="24">
        <v>0</v>
      </c>
      <c r="Z396" s="24">
        <v>0</v>
      </c>
      <c r="AA396" s="24">
        <v>0</v>
      </c>
      <c r="AB396" s="24">
        <v>1</v>
      </c>
      <c r="AC396" s="24">
        <v>0</v>
      </c>
      <c r="AD396" s="24">
        <v>0</v>
      </c>
      <c r="AE396" s="24">
        <v>0</v>
      </c>
      <c r="AF396" s="24">
        <v>0</v>
      </c>
      <c r="AG396" s="24">
        <v>1</v>
      </c>
      <c r="AH396" s="24">
        <v>0</v>
      </c>
      <c r="AI396" s="24">
        <v>0</v>
      </c>
      <c r="AJ396" s="24">
        <v>0</v>
      </c>
      <c r="AK396" s="24">
        <v>1</v>
      </c>
      <c r="AL396" s="24">
        <v>0</v>
      </c>
      <c r="AM396" s="24">
        <v>0</v>
      </c>
      <c r="AN396" s="24">
        <v>0</v>
      </c>
      <c r="AO396" s="24">
        <v>0</v>
      </c>
      <c r="AP396" s="24">
        <v>0</v>
      </c>
      <c r="AQ396" s="24">
        <v>0</v>
      </c>
      <c r="AR396" s="24">
        <v>0</v>
      </c>
      <c r="AS396" s="24">
        <v>1</v>
      </c>
      <c r="AT396" s="24">
        <v>0</v>
      </c>
      <c r="AU396" s="24">
        <v>0</v>
      </c>
      <c r="AV396" s="24">
        <v>0</v>
      </c>
      <c r="AW396" s="24">
        <v>0</v>
      </c>
      <c r="AX396" s="24">
        <v>1</v>
      </c>
      <c r="AY396" s="24">
        <v>0</v>
      </c>
      <c r="AZ396" s="24">
        <v>0</v>
      </c>
      <c r="BA396" s="24">
        <v>1</v>
      </c>
      <c r="BB396" s="24">
        <v>0</v>
      </c>
    </row>
    <row r="397" spans="2:54" ht="13.8" x14ac:dyDescent="0.3">
      <c r="B397" s="24">
        <v>377</v>
      </c>
      <c r="C397" s="24">
        <v>18</v>
      </c>
      <c r="D397" s="24">
        <v>0</v>
      </c>
      <c r="E397" s="24">
        <v>0</v>
      </c>
      <c r="F397" s="24">
        <v>0</v>
      </c>
      <c r="G397" s="24">
        <v>1</v>
      </c>
      <c r="H397" s="24">
        <v>0</v>
      </c>
      <c r="I397" s="24">
        <v>0</v>
      </c>
      <c r="J397" s="24">
        <v>2320</v>
      </c>
      <c r="K397" s="24">
        <v>2</v>
      </c>
      <c r="L397" s="24">
        <v>0</v>
      </c>
      <c r="M397" s="24">
        <v>0</v>
      </c>
      <c r="N397" s="24">
        <v>1</v>
      </c>
      <c r="O397" s="24">
        <v>0</v>
      </c>
      <c r="P397" s="24">
        <v>0</v>
      </c>
      <c r="Q397" s="24">
        <v>1</v>
      </c>
      <c r="R397" s="24">
        <v>0</v>
      </c>
      <c r="S397" s="24">
        <v>34</v>
      </c>
      <c r="T397" s="24">
        <v>0</v>
      </c>
      <c r="U397" s="24">
        <v>0</v>
      </c>
      <c r="V397" s="24">
        <v>1</v>
      </c>
      <c r="W397" s="24">
        <v>2</v>
      </c>
      <c r="X397" s="24">
        <v>1</v>
      </c>
      <c r="Y397" s="24">
        <v>0</v>
      </c>
      <c r="Z397" s="24">
        <v>0</v>
      </c>
      <c r="AA397" s="24">
        <v>1</v>
      </c>
      <c r="AB397" s="24">
        <v>0</v>
      </c>
      <c r="AC397" s="24">
        <v>0</v>
      </c>
      <c r="AD397" s="24">
        <v>0</v>
      </c>
      <c r="AE397" s="24">
        <v>1</v>
      </c>
      <c r="AF397" s="24">
        <v>0</v>
      </c>
      <c r="AG397" s="24">
        <v>0</v>
      </c>
      <c r="AH397" s="24">
        <v>0</v>
      </c>
      <c r="AI397" s="24">
        <v>1</v>
      </c>
      <c r="AJ397" s="24">
        <v>0</v>
      </c>
      <c r="AK397" s="24">
        <v>1</v>
      </c>
      <c r="AL397" s="24">
        <v>0</v>
      </c>
      <c r="AM397" s="24">
        <v>0</v>
      </c>
      <c r="AN397" s="24">
        <v>0</v>
      </c>
      <c r="AO397" s="24">
        <v>0</v>
      </c>
      <c r="AP397" s="24">
        <v>1</v>
      </c>
      <c r="AQ397" s="24">
        <v>0</v>
      </c>
      <c r="AR397" s="24">
        <v>0</v>
      </c>
      <c r="AS397" s="24">
        <v>0</v>
      </c>
      <c r="AT397" s="24">
        <v>0</v>
      </c>
      <c r="AU397" s="24">
        <v>0</v>
      </c>
      <c r="AV397" s="24">
        <v>0</v>
      </c>
      <c r="AW397" s="24">
        <v>1</v>
      </c>
      <c r="AX397" s="24">
        <v>0</v>
      </c>
      <c r="AY397" s="24">
        <v>0</v>
      </c>
      <c r="AZ397" s="24">
        <v>0</v>
      </c>
      <c r="BA397" s="24">
        <v>1</v>
      </c>
      <c r="BB397" s="24">
        <v>0</v>
      </c>
    </row>
    <row r="398" spans="2:54" ht="13.8" x14ac:dyDescent="0.3">
      <c r="B398" s="24">
        <v>378</v>
      </c>
      <c r="C398" s="24">
        <v>7</v>
      </c>
      <c r="D398" s="24">
        <v>0</v>
      </c>
      <c r="E398" s="24">
        <v>0</v>
      </c>
      <c r="F398" s="24">
        <v>0</v>
      </c>
      <c r="G398" s="24">
        <v>1</v>
      </c>
      <c r="H398" s="24">
        <v>0</v>
      </c>
      <c r="I398" s="24">
        <v>0</v>
      </c>
      <c r="J398" s="24">
        <v>846</v>
      </c>
      <c r="K398" s="24">
        <v>3</v>
      </c>
      <c r="L398" s="24">
        <v>0</v>
      </c>
      <c r="M398" s="24">
        <v>1</v>
      </c>
      <c r="N398" s="24">
        <v>0</v>
      </c>
      <c r="O398" s="24">
        <v>0</v>
      </c>
      <c r="P398" s="24">
        <v>0</v>
      </c>
      <c r="Q398" s="24">
        <v>0</v>
      </c>
      <c r="R398" s="24">
        <v>1</v>
      </c>
      <c r="S398" s="24">
        <v>36</v>
      </c>
      <c r="T398" s="24">
        <v>0</v>
      </c>
      <c r="U398" s="24">
        <v>0</v>
      </c>
      <c r="V398" s="24">
        <v>0</v>
      </c>
      <c r="W398" s="24">
        <v>1</v>
      </c>
      <c r="X398" s="24">
        <v>1</v>
      </c>
      <c r="Y398" s="24">
        <v>0</v>
      </c>
      <c r="Z398" s="24">
        <v>0</v>
      </c>
      <c r="AA398" s="24">
        <v>1</v>
      </c>
      <c r="AB398" s="24">
        <v>0</v>
      </c>
      <c r="AC398" s="24">
        <v>0</v>
      </c>
      <c r="AD398" s="24">
        <v>0</v>
      </c>
      <c r="AE398" s="24">
        <v>1</v>
      </c>
      <c r="AF398" s="24">
        <v>0</v>
      </c>
      <c r="AG398" s="24">
        <v>0</v>
      </c>
      <c r="AH398" s="24">
        <v>0</v>
      </c>
      <c r="AI398" s="24">
        <v>1</v>
      </c>
      <c r="AJ398" s="24">
        <v>0</v>
      </c>
      <c r="AK398" s="24">
        <v>0</v>
      </c>
      <c r="AL398" s="24">
        <v>0</v>
      </c>
      <c r="AM398" s="24">
        <v>0</v>
      </c>
      <c r="AN398" s="24">
        <v>0</v>
      </c>
      <c r="AO398" s="24">
        <v>1</v>
      </c>
      <c r="AP398" s="24">
        <v>0</v>
      </c>
      <c r="AQ398" s="24">
        <v>0</v>
      </c>
      <c r="AR398" s="24">
        <v>0</v>
      </c>
      <c r="AS398" s="24">
        <v>0</v>
      </c>
      <c r="AT398" s="24">
        <v>1</v>
      </c>
      <c r="AU398" s="24">
        <v>0</v>
      </c>
      <c r="AV398" s="24">
        <v>0</v>
      </c>
      <c r="AW398" s="24">
        <v>0</v>
      </c>
      <c r="AX398" s="24">
        <v>1</v>
      </c>
      <c r="AY398" s="24">
        <v>0</v>
      </c>
      <c r="AZ398" s="24">
        <v>0</v>
      </c>
      <c r="BA398" s="24">
        <v>1</v>
      </c>
      <c r="BB398" s="24">
        <v>0</v>
      </c>
    </row>
    <row r="399" spans="2:54" ht="13.8" x14ac:dyDescent="0.3">
      <c r="B399" s="24">
        <v>379</v>
      </c>
      <c r="C399" s="24">
        <v>36</v>
      </c>
      <c r="D399" s="24">
        <v>1</v>
      </c>
      <c r="E399" s="24">
        <v>0</v>
      </c>
      <c r="F399" s="24">
        <v>0</v>
      </c>
      <c r="G399" s="24">
        <v>0</v>
      </c>
      <c r="H399" s="24">
        <v>0</v>
      </c>
      <c r="I399" s="24">
        <v>0</v>
      </c>
      <c r="J399" s="24">
        <v>14318</v>
      </c>
      <c r="K399" s="24">
        <v>4</v>
      </c>
      <c r="L399" s="24">
        <v>0</v>
      </c>
      <c r="M399" s="24">
        <v>1</v>
      </c>
      <c r="N399" s="24">
        <v>0</v>
      </c>
      <c r="O399" s="24">
        <v>0</v>
      </c>
      <c r="P399" s="24">
        <v>0</v>
      </c>
      <c r="Q399" s="24">
        <v>0</v>
      </c>
      <c r="R399" s="24">
        <v>1</v>
      </c>
      <c r="S399" s="24">
        <v>57</v>
      </c>
      <c r="T399" s="24">
        <v>0</v>
      </c>
      <c r="U399" s="24">
        <v>0</v>
      </c>
      <c r="V399" s="24">
        <v>0</v>
      </c>
      <c r="W399" s="24">
        <v>1</v>
      </c>
      <c r="X399" s="24">
        <v>1</v>
      </c>
      <c r="Y399" s="24">
        <v>1</v>
      </c>
      <c r="Z399" s="24">
        <v>0</v>
      </c>
      <c r="AA399" s="24">
        <v>0</v>
      </c>
      <c r="AB399" s="24">
        <v>0</v>
      </c>
      <c r="AC399" s="24">
        <v>1</v>
      </c>
      <c r="AD399" s="24">
        <v>0</v>
      </c>
      <c r="AE399" s="24">
        <v>0</v>
      </c>
      <c r="AF399" s="24">
        <v>0</v>
      </c>
      <c r="AG399" s="24">
        <v>0</v>
      </c>
      <c r="AH399" s="24">
        <v>1</v>
      </c>
      <c r="AI399" s="24">
        <v>0</v>
      </c>
      <c r="AJ399" s="24">
        <v>0</v>
      </c>
      <c r="AK399" s="24">
        <v>1</v>
      </c>
      <c r="AL399" s="24">
        <v>0</v>
      </c>
      <c r="AM399" s="24">
        <v>0</v>
      </c>
      <c r="AN399" s="24">
        <v>0</v>
      </c>
      <c r="AO399" s="24">
        <v>0</v>
      </c>
      <c r="AP399" s="24">
        <v>0</v>
      </c>
      <c r="AQ399" s="24">
        <v>0</v>
      </c>
      <c r="AR399" s="24">
        <v>0</v>
      </c>
      <c r="AS399" s="24">
        <v>0</v>
      </c>
      <c r="AT399" s="24">
        <v>1</v>
      </c>
      <c r="AU399" s="24">
        <v>0</v>
      </c>
      <c r="AV399" s="24">
        <v>1</v>
      </c>
      <c r="AW399" s="24">
        <v>0</v>
      </c>
      <c r="AX399" s="24">
        <v>0</v>
      </c>
      <c r="AY399" s="24">
        <v>0</v>
      </c>
      <c r="AZ399" s="24">
        <v>0</v>
      </c>
      <c r="BA399" s="24">
        <v>0</v>
      </c>
      <c r="BB399" s="24">
        <v>1</v>
      </c>
    </row>
    <row r="400" spans="2:54" ht="13.8" x14ac:dyDescent="0.3">
      <c r="B400" s="24">
        <v>380</v>
      </c>
      <c r="C400" s="24">
        <v>6</v>
      </c>
      <c r="D400" s="24">
        <v>1</v>
      </c>
      <c r="E400" s="24">
        <v>0</v>
      </c>
      <c r="F400" s="24">
        <v>0</v>
      </c>
      <c r="G400" s="24">
        <v>0</v>
      </c>
      <c r="H400" s="24">
        <v>0</v>
      </c>
      <c r="I400" s="24">
        <v>0</v>
      </c>
      <c r="J400" s="24">
        <v>362</v>
      </c>
      <c r="K400" s="24">
        <v>4</v>
      </c>
      <c r="L400" s="24">
        <v>0</v>
      </c>
      <c r="M400" s="24">
        <v>0</v>
      </c>
      <c r="N400" s="24">
        <v>0</v>
      </c>
      <c r="O400" s="24">
        <v>0</v>
      </c>
      <c r="P400" s="24">
        <v>0</v>
      </c>
      <c r="Q400" s="24">
        <v>0</v>
      </c>
      <c r="R400" s="24">
        <v>0</v>
      </c>
      <c r="S400" s="24">
        <v>52</v>
      </c>
      <c r="T400" s="24">
        <v>0</v>
      </c>
      <c r="U400" s="24">
        <v>0</v>
      </c>
      <c r="V400" s="24">
        <v>1</v>
      </c>
      <c r="W400" s="24">
        <v>2</v>
      </c>
      <c r="X400" s="24">
        <v>1</v>
      </c>
      <c r="Y400" s="24">
        <v>0</v>
      </c>
      <c r="Z400" s="24">
        <v>0</v>
      </c>
      <c r="AA400" s="24">
        <v>1</v>
      </c>
      <c r="AB400" s="24">
        <v>0</v>
      </c>
      <c r="AC400" s="24">
        <v>0</v>
      </c>
      <c r="AD400" s="24">
        <v>0</v>
      </c>
      <c r="AE400" s="24">
        <v>1</v>
      </c>
      <c r="AF400" s="24">
        <v>0</v>
      </c>
      <c r="AG400" s="24">
        <v>0</v>
      </c>
      <c r="AH400" s="24">
        <v>0</v>
      </c>
      <c r="AI400" s="24">
        <v>0</v>
      </c>
      <c r="AJ400" s="24">
        <v>1</v>
      </c>
      <c r="AK400" s="24">
        <v>0</v>
      </c>
      <c r="AL400" s="24">
        <v>1</v>
      </c>
      <c r="AM400" s="24">
        <v>0</v>
      </c>
      <c r="AN400" s="24">
        <v>0</v>
      </c>
      <c r="AO400" s="24">
        <v>0</v>
      </c>
      <c r="AP400" s="24">
        <v>0</v>
      </c>
      <c r="AQ400" s="24">
        <v>0</v>
      </c>
      <c r="AR400" s="24">
        <v>1</v>
      </c>
      <c r="AS400" s="24">
        <v>0</v>
      </c>
      <c r="AT400" s="24">
        <v>0</v>
      </c>
      <c r="AU400" s="24">
        <v>0</v>
      </c>
      <c r="AV400" s="24">
        <v>0</v>
      </c>
      <c r="AW400" s="24">
        <v>0</v>
      </c>
      <c r="AX400" s="24">
        <v>1</v>
      </c>
      <c r="AY400" s="24">
        <v>0</v>
      </c>
      <c r="AZ400" s="24">
        <v>1</v>
      </c>
      <c r="BA400" s="24">
        <v>0</v>
      </c>
      <c r="BB400" s="24">
        <v>0</v>
      </c>
    </row>
    <row r="401" spans="2:54" ht="13.8" x14ac:dyDescent="0.3">
      <c r="B401" s="24">
        <v>381</v>
      </c>
      <c r="C401" s="24">
        <v>20</v>
      </c>
      <c r="D401" s="24">
        <v>0</v>
      </c>
      <c r="E401" s="24">
        <v>0</v>
      </c>
      <c r="F401" s="24">
        <v>1</v>
      </c>
      <c r="G401" s="24">
        <v>0</v>
      </c>
      <c r="H401" s="24">
        <v>0</v>
      </c>
      <c r="I401" s="24">
        <v>0</v>
      </c>
      <c r="J401" s="24">
        <v>2212</v>
      </c>
      <c r="K401" s="24">
        <v>4</v>
      </c>
      <c r="L401" s="24">
        <v>0</v>
      </c>
      <c r="M401" s="24">
        <v>1</v>
      </c>
      <c r="N401" s="24">
        <v>0</v>
      </c>
      <c r="O401" s="24">
        <v>0</v>
      </c>
      <c r="P401" s="24">
        <v>0</v>
      </c>
      <c r="Q401" s="24">
        <v>0</v>
      </c>
      <c r="R401" s="24">
        <v>0</v>
      </c>
      <c r="S401" s="24">
        <v>39</v>
      </c>
      <c r="T401" s="24">
        <v>0</v>
      </c>
      <c r="U401" s="24">
        <v>0</v>
      </c>
      <c r="V401" s="24">
        <v>1</v>
      </c>
      <c r="W401" s="24">
        <v>1</v>
      </c>
      <c r="X401" s="24">
        <v>1</v>
      </c>
      <c r="Y401" s="24">
        <v>1</v>
      </c>
      <c r="Z401" s="24">
        <v>0</v>
      </c>
      <c r="AA401" s="24">
        <v>1</v>
      </c>
      <c r="AB401" s="24">
        <v>1</v>
      </c>
      <c r="AC401" s="24">
        <v>0</v>
      </c>
      <c r="AD401" s="24">
        <v>0</v>
      </c>
      <c r="AE401" s="24">
        <v>0</v>
      </c>
      <c r="AF401" s="24">
        <v>0</v>
      </c>
      <c r="AG401" s="24">
        <v>0</v>
      </c>
      <c r="AH401" s="24">
        <v>1</v>
      </c>
      <c r="AI401" s="24">
        <v>0</v>
      </c>
      <c r="AJ401" s="24">
        <v>0</v>
      </c>
      <c r="AK401" s="24">
        <v>0</v>
      </c>
      <c r="AL401" s="24">
        <v>0</v>
      </c>
      <c r="AM401" s="24">
        <v>0</v>
      </c>
      <c r="AN401" s="24">
        <v>0</v>
      </c>
      <c r="AO401" s="24">
        <v>1</v>
      </c>
      <c r="AP401" s="24">
        <v>0</v>
      </c>
      <c r="AQ401" s="24">
        <v>0</v>
      </c>
      <c r="AR401" s="24">
        <v>0</v>
      </c>
      <c r="AS401" s="24">
        <v>1</v>
      </c>
      <c r="AT401" s="24">
        <v>0</v>
      </c>
      <c r="AU401" s="24">
        <v>0</v>
      </c>
      <c r="AV401" s="24">
        <v>0</v>
      </c>
      <c r="AW401" s="24">
        <v>0</v>
      </c>
      <c r="AX401" s="24">
        <v>1</v>
      </c>
      <c r="AY401" s="24">
        <v>0</v>
      </c>
      <c r="AZ401" s="24">
        <v>0</v>
      </c>
      <c r="BA401" s="24">
        <v>1</v>
      </c>
      <c r="BB401" s="24">
        <v>0</v>
      </c>
    </row>
    <row r="402" spans="2:54" ht="13.8" x14ac:dyDescent="0.3">
      <c r="B402" s="24">
        <v>382</v>
      </c>
      <c r="C402" s="24">
        <v>18</v>
      </c>
      <c r="D402" s="24">
        <v>0</v>
      </c>
      <c r="E402" s="24">
        <v>1</v>
      </c>
      <c r="F402" s="24">
        <v>0</v>
      </c>
      <c r="G402" s="24">
        <v>0</v>
      </c>
      <c r="H402" s="24">
        <v>0</v>
      </c>
      <c r="I402" s="24">
        <v>0</v>
      </c>
      <c r="J402" s="24">
        <v>12976</v>
      </c>
      <c r="K402" s="24">
        <v>3</v>
      </c>
      <c r="L402" s="24">
        <v>0</v>
      </c>
      <c r="M402" s="24">
        <v>0</v>
      </c>
      <c r="N402" s="24">
        <v>0</v>
      </c>
      <c r="O402" s="24">
        <v>0</v>
      </c>
      <c r="P402" s="24">
        <v>0</v>
      </c>
      <c r="Q402" s="24">
        <v>0</v>
      </c>
      <c r="R402" s="24">
        <v>1</v>
      </c>
      <c r="S402" s="24">
        <v>38</v>
      </c>
      <c r="T402" s="24">
        <v>0</v>
      </c>
      <c r="U402" s="24">
        <v>0</v>
      </c>
      <c r="V402" s="24">
        <v>0</v>
      </c>
      <c r="W402" s="24">
        <v>1</v>
      </c>
      <c r="X402" s="24">
        <v>1</v>
      </c>
      <c r="Y402" s="24">
        <v>1</v>
      </c>
      <c r="Z402" s="24">
        <v>0</v>
      </c>
      <c r="AA402" s="24">
        <v>0</v>
      </c>
      <c r="AB402" s="24">
        <v>0</v>
      </c>
      <c r="AC402" s="24">
        <v>1</v>
      </c>
      <c r="AD402" s="24">
        <v>0</v>
      </c>
      <c r="AE402" s="24">
        <v>0</v>
      </c>
      <c r="AF402" s="24">
        <v>0</v>
      </c>
      <c r="AG402" s="24">
        <v>0</v>
      </c>
      <c r="AH402" s="24">
        <v>1</v>
      </c>
      <c r="AI402" s="24">
        <v>0</v>
      </c>
      <c r="AJ402" s="24">
        <v>0</v>
      </c>
      <c r="AK402" s="24">
        <v>1</v>
      </c>
      <c r="AL402" s="24">
        <v>0</v>
      </c>
      <c r="AM402" s="24">
        <v>0</v>
      </c>
      <c r="AN402" s="24">
        <v>0</v>
      </c>
      <c r="AO402" s="24">
        <v>0</v>
      </c>
      <c r="AP402" s="24">
        <v>1</v>
      </c>
      <c r="AQ402" s="24">
        <v>0</v>
      </c>
      <c r="AR402" s="24">
        <v>0</v>
      </c>
      <c r="AS402" s="24">
        <v>0</v>
      </c>
      <c r="AT402" s="24">
        <v>0</v>
      </c>
      <c r="AU402" s="24">
        <v>0</v>
      </c>
      <c r="AV402" s="24">
        <v>0</v>
      </c>
      <c r="AW402" s="24">
        <v>0</v>
      </c>
      <c r="AX402" s="24">
        <v>1</v>
      </c>
      <c r="AY402" s="24">
        <v>0</v>
      </c>
      <c r="AZ402" s="24">
        <v>0</v>
      </c>
      <c r="BA402" s="24">
        <v>0</v>
      </c>
      <c r="BB402" s="24">
        <v>1</v>
      </c>
    </row>
    <row r="403" spans="2:54" ht="13.8" x14ac:dyDescent="0.3">
      <c r="B403" s="24">
        <v>383</v>
      </c>
      <c r="C403" s="24">
        <v>22</v>
      </c>
      <c r="D403" s="24">
        <v>1</v>
      </c>
      <c r="E403" s="24">
        <v>0</v>
      </c>
      <c r="F403" s="24">
        <v>0</v>
      </c>
      <c r="G403" s="24">
        <v>0</v>
      </c>
      <c r="H403" s="24">
        <v>0</v>
      </c>
      <c r="I403" s="24">
        <v>0</v>
      </c>
      <c r="J403" s="24">
        <v>1283</v>
      </c>
      <c r="K403" s="24">
        <v>4</v>
      </c>
      <c r="L403" s="24">
        <v>0</v>
      </c>
      <c r="M403" s="24">
        <v>0</v>
      </c>
      <c r="N403" s="24">
        <v>0</v>
      </c>
      <c r="O403" s="24">
        <v>0</v>
      </c>
      <c r="P403" s="24">
        <v>0</v>
      </c>
      <c r="Q403" s="24">
        <v>0</v>
      </c>
      <c r="R403" s="24">
        <v>0</v>
      </c>
      <c r="S403" s="24">
        <v>25</v>
      </c>
      <c r="T403" s="24">
        <v>0</v>
      </c>
      <c r="U403" s="24">
        <v>1</v>
      </c>
      <c r="V403" s="24">
        <v>0</v>
      </c>
      <c r="W403" s="24">
        <v>1</v>
      </c>
      <c r="X403" s="24">
        <v>1</v>
      </c>
      <c r="Y403" s="24">
        <v>0</v>
      </c>
      <c r="Z403" s="24">
        <v>0</v>
      </c>
      <c r="AA403" s="24">
        <v>1</v>
      </c>
      <c r="AB403" s="24">
        <v>0</v>
      </c>
      <c r="AC403" s="24">
        <v>0</v>
      </c>
      <c r="AD403" s="24">
        <v>0</v>
      </c>
      <c r="AE403" s="24">
        <v>1</v>
      </c>
      <c r="AF403" s="24">
        <v>0</v>
      </c>
      <c r="AG403" s="24">
        <v>0</v>
      </c>
      <c r="AH403" s="24">
        <v>1</v>
      </c>
      <c r="AI403" s="24">
        <v>0</v>
      </c>
      <c r="AJ403" s="24">
        <v>0</v>
      </c>
      <c r="AK403" s="24">
        <v>0</v>
      </c>
      <c r="AL403" s="24">
        <v>0</v>
      </c>
      <c r="AM403" s="24">
        <v>0</v>
      </c>
      <c r="AN403" s="24">
        <v>0</v>
      </c>
      <c r="AO403" s="24">
        <v>1</v>
      </c>
      <c r="AP403" s="24">
        <v>0</v>
      </c>
      <c r="AQ403" s="24">
        <v>0</v>
      </c>
      <c r="AR403" s="24">
        <v>0</v>
      </c>
      <c r="AS403" s="24">
        <v>1</v>
      </c>
      <c r="AT403" s="24">
        <v>0</v>
      </c>
      <c r="AU403" s="24">
        <v>0</v>
      </c>
      <c r="AV403" s="24">
        <v>0</v>
      </c>
      <c r="AW403" s="24">
        <v>0</v>
      </c>
      <c r="AX403" s="24">
        <v>1</v>
      </c>
      <c r="AY403" s="24">
        <v>0</v>
      </c>
      <c r="AZ403" s="24">
        <v>0</v>
      </c>
      <c r="BA403" s="24">
        <v>1</v>
      </c>
      <c r="BB403" s="24">
        <v>0</v>
      </c>
    </row>
    <row r="404" spans="2:54" ht="13.8" x14ac:dyDescent="0.3">
      <c r="B404" s="24">
        <v>384</v>
      </c>
      <c r="C404" s="24">
        <v>12</v>
      </c>
      <c r="D404" s="24">
        <v>1</v>
      </c>
      <c r="E404" s="24">
        <v>0</v>
      </c>
      <c r="F404" s="24">
        <v>0</v>
      </c>
      <c r="G404" s="24">
        <v>0</v>
      </c>
      <c r="H404" s="24">
        <v>0</v>
      </c>
      <c r="I404" s="24">
        <v>0</v>
      </c>
      <c r="J404" s="24">
        <v>1330</v>
      </c>
      <c r="K404" s="24">
        <v>4</v>
      </c>
      <c r="L404" s="24">
        <v>0</v>
      </c>
      <c r="M404" s="24">
        <v>1</v>
      </c>
      <c r="N404" s="24">
        <v>0</v>
      </c>
      <c r="O404" s="24">
        <v>0</v>
      </c>
      <c r="P404" s="24">
        <v>0</v>
      </c>
      <c r="Q404" s="24">
        <v>1</v>
      </c>
      <c r="R404" s="24">
        <v>0</v>
      </c>
      <c r="S404" s="24">
        <v>26</v>
      </c>
      <c r="T404" s="24">
        <v>0</v>
      </c>
      <c r="U404" s="24">
        <v>0</v>
      </c>
      <c r="V404" s="24">
        <v>1</v>
      </c>
      <c r="W404" s="24">
        <v>1</v>
      </c>
      <c r="X404" s="24">
        <v>1</v>
      </c>
      <c r="Y404" s="24">
        <v>0</v>
      </c>
      <c r="Z404" s="24">
        <v>0</v>
      </c>
      <c r="AA404" s="24">
        <v>1</v>
      </c>
      <c r="AB404" s="24">
        <v>0</v>
      </c>
      <c r="AC404" s="24">
        <v>0</v>
      </c>
      <c r="AD404" s="24">
        <v>1</v>
      </c>
      <c r="AE404" s="24">
        <v>0</v>
      </c>
      <c r="AF404" s="24">
        <v>0</v>
      </c>
      <c r="AG404" s="24">
        <v>0</v>
      </c>
      <c r="AH404" s="24">
        <v>1</v>
      </c>
      <c r="AI404" s="24">
        <v>0</v>
      </c>
      <c r="AJ404" s="24">
        <v>0</v>
      </c>
      <c r="AK404" s="24">
        <v>1</v>
      </c>
      <c r="AL404" s="24">
        <v>0</v>
      </c>
      <c r="AM404" s="24">
        <v>0</v>
      </c>
      <c r="AN404" s="24">
        <v>0</v>
      </c>
      <c r="AO404" s="24">
        <v>0</v>
      </c>
      <c r="AP404" s="24">
        <v>0</v>
      </c>
      <c r="AQ404" s="24">
        <v>1</v>
      </c>
      <c r="AR404" s="24">
        <v>0</v>
      </c>
      <c r="AS404" s="24">
        <v>0</v>
      </c>
      <c r="AT404" s="24">
        <v>0</v>
      </c>
      <c r="AU404" s="24">
        <v>1</v>
      </c>
      <c r="AV404" s="24">
        <v>0</v>
      </c>
      <c r="AW404" s="24">
        <v>0</v>
      </c>
      <c r="AX404" s="24">
        <v>0</v>
      </c>
      <c r="AY404" s="24">
        <v>0</v>
      </c>
      <c r="AZ404" s="24">
        <v>0</v>
      </c>
      <c r="BA404" s="24">
        <v>1</v>
      </c>
      <c r="BB404" s="24">
        <v>0</v>
      </c>
    </row>
    <row r="405" spans="2:54" ht="13.8" x14ac:dyDescent="0.3">
      <c r="B405" s="24">
        <v>385</v>
      </c>
      <c r="C405" s="24">
        <v>30</v>
      </c>
      <c r="D405" s="24">
        <v>0</v>
      </c>
      <c r="E405" s="24">
        <v>0</v>
      </c>
      <c r="F405" s="24">
        <v>0</v>
      </c>
      <c r="G405" s="24">
        <v>0</v>
      </c>
      <c r="H405" s="24">
        <v>0</v>
      </c>
      <c r="I405" s="24">
        <v>1</v>
      </c>
      <c r="J405" s="24">
        <v>4272</v>
      </c>
      <c r="K405" s="24">
        <v>2</v>
      </c>
      <c r="L405" s="24">
        <v>0</v>
      </c>
      <c r="M405" s="24">
        <v>1</v>
      </c>
      <c r="N405" s="24">
        <v>0</v>
      </c>
      <c r="O405" s="24">
        <v>0</v>
      </c>
      <c r="P405" s="24">
        <v>0</v>
      </c>
      <c r="Q405" s="24">
        <v>0</v>
      </c>
      <c r="R405" s="24">
        <v>0</v>
      </c>
      <c r="S405" s="24">
        <v>26</v>
      </c>
      <c r="T405" s="24">
        <v>0</v>
      </c>
      <c r="U405" s="24">
        <v>0</v>
      </c>
      <c r="V405" s="24">
        <v>1</v>
      </c>
      <c r="W405" s="24">
        <v>2</v>
      </c>
      <c r="X405" s="24">
        <v>1</v>
      </c>
      <c r="Y405" s="24">
        <v>0</v>
      </c>
      <c r="Z405" s="24">
        <v>0</v>
      </c>
      <c r="AA405" s="24">
        <v>1</v>
      </c>
      <c r="AB405" s="24">
        <v>0</v>
      </c>
      <c r="AC405" s="24">
        <v>0</v>
      </c>
      <c r="AD405" s="24">
        <v>0</v>
      </c>
      <c r="AE405" s="24">
        <v>1</v>
      </c>
      <c r="AF405" s="24">
        <v>0</v>
      </c>
      <c r="AG405" s="24">
        <v>0</v>
      </c>
      <c r="AH405" s="24">
        <v>0</v>
      </c>
      <c r="AI405" s="24">
        <v>1</v>
      </c>
      <c r="AJ405" s="24">
        <v>0</v>
      </c>
      <c r="AK405" s="24">
        <v>0</v>
      </c>
      <c r="AL405" s="24">
        <v>1</v>
      </c>
      <c r="AM405" s="24">
        <v>0</v>
      </c>
      <c r="AN405" s="24">
        <v>0</v>
      </c>
      <c r="AO405" s="24">
        <v>0</v>
      </c>
      <c r="AP405" s="24">
        <v>0</v>
      </c>
      <c r="AQ405" s="24">
        <v>0</v>
      </c>
      <c r="AR405" s="24">
        <v>1</v>
      </c>
      <c r="AS405" s="24">
        <v>0</v>
      </c>
      <c r="AT405" s="24">
        <v>0</v>
      </c>
      <c r="AU405" s="24">
        <v>0</v>
      </c>
      <c r="AV405" s="24">
        <v>1</v>
      </c>
      <c r="AW405" s="24">
        <v>0</v>
      </c>
      <c r="AX405" s="24">
        <v>0</v>
      </c>
      <c r="AY405" s="24">
        <v>0</v>
      </c>
      <c r="AZ405" s="24">
        <v>1</v>
      </c>
      <c r="BA405" s="24">
        <v>0</v>
      </c>
      <c r="BB405" s="24">
        <v>0</v>
      </c>
    </row>
    <row r="406" spans="2:54" ht="13.8" x14ac:dyDescent="0.3">
      <c r="B406" s="24">
        <v>386</v>
      </c>
      <c r="C406" s="24">
        <v>18</v>
      </c>
      <c r="D406" s="24">
        <v>0</v>
      </c>
      <c r="E406" s="24">
        <v>0</v>
      </c>
      <c r="F406" s="24">
        <v>0</v>
      </c>
      <c r="G406" s="24">
        <v>1</v>
      </c>
      <c r="H406" s="24">
        <v>0</v>
      </c>
      <c r="I406" s="24">
        <v>0</v>
      </c>
      <c r="J406" s="24">
        <v>2238</v>
      </c>
      <c r="K406" s="24">
        <v>2</v>
      </c>
      <c r="L406" s="24">
        <v>0</v>
      </c>
      <c r="M406" s="24">
        <v>0</v>
      </c>
      <c r="N406" s="24">
        <v>0</v>
      </c>
      <c r="O406" s="24">
        <v>0</v>
      </c>
      <c r="P406" s="24">
        <v>0</v>
      </c>
      <c r="Q406" s="24">
        <v>0</v>
      </c>
      <c r="R406" s="24">
        <v>0</v>
      </c>
      <c r="S406" s="24">
        <v>25</v>
      </c>
      <c r="T406" s="24">
        <v>0</v>
      </c>
      <c r="U406" s="24">
        <v>0</v>
      </c>
      <c r="V406" s="24">
        <v>1</v>
      </c>
      <c r="W406" s="24">
        <v>2</v>
      </c>
      <c r="X406" s="24">
        <v>1</v>
      </c>
      <c r="Y406" s="24">
        <v>0</v>
      </c>
      <c r="Z406" s="24">
        <v>0</v>
      </c>
      <c r="AA406" s="24">
        <v>1</v>
      </c>
      <c r="AB406" s="24">
        <v>0</v>
      </c>
      <c r="AC406" s="24">
        <v>0</v>
      </c>
      <c r="AD406" s="24">
        <v>0</v>
      </c>
      <c r="AE406" s="24">
        <v>1</v>
      </c>
      <c r="AF406" s="24">
        <v>0</v>
      </c>
      <c r="AG406" s="24">
        <v>0</v>
      </c>
      <c r="AH406" s="24">
        <v>0</v>
      </c>
      <c r="AI406" s="24">
        <v>0</v>
      </c>
      <c r="AJ406" s="24">
        <v>1</v>
      </c>
      <c r="AK406" s="24">
        <v>1</v>
      </c>
      <c r="AL406" s="24">
        <v>0</v>
      </c>
      <c r="AM406" s="24">
        <v>0</v>
      </c>
      <c r="AN406" s="24">
        <v>0</v>
      </c>
      <c r="AO406" s="24">
        <v>0</v>
      </c>
      <c r="AP406" s="24">
        <v>0</v>
      </c>
      <c r="AQ406" s="24">
        <v>0</v>
      </c>
      <c r="AR406" s="24">
        <v>1</v>
      </c>
      <c r="AS406" s="24">
        <v>0</v>
      </c>
      <c r="AT406" s="24">
        <v>0</v>
      </c>
      <c r="AU406" s="24">
        <v>1</v>
      </c>
      <c r="AV406" s="24">
        <v>0</v>
      </c>
      <c r="AW406" s="24">
        <v>0</v>
      </c>
      <c r="AX406" s="24">
        <v>0</v>
      </c>
      <c r="AY406" s="24">
        <v>0</v>
      </c>
      <c r="AZ406" s="24">
        <v>0</v>
      </c>
      <c r="BA406" s="24">
        <v>1</v>
      </c>
      <c r="BB406" s="24">
        <v>0</v>
      </c>
    </row>
    <row r="407" spans="2:54" ht="13.8" x14ac:dyDescent="0.3">
      <c r="B407" s="24">
        <v>387</v>
      </c>
      <c r="C407" s="24">
        <v>18</v>
      </c>
      <c r="D407" s="24">
        <v>0</v>
      </c>
      <c r="E407" s="24">
        <v>0</v>
      </c>
      <c r="F407" s="24">
        <v>0</v>
      </c>
      <c r="G407" s="24">
        <v>1</v>
      </c>
      <c r="H407" s="24">
        <v>0</v>
      </c>
      <c r="I407" s="24">
        <v>0</v>
      </c>
      <c r="J407" s="24">
        <v>1126</v>
      </c>
      <c r="K407" s="24">
        <v>4</v>
      </c>
      <c r="L407" s="24">
        <v>0</v>
      </c>
      <c r="M407" s="24">
        <v>0</v>
      </c>
      <c r="N407" s="24">
        <v>0</v>
      </c>
      <c r="O407" s="24">
        <v>0</v>
      </c>
      <c r="P407" s="24">
        <v>0</v>
      </c>
      <c r="Q407" s="24">
        <v>1</v>
      </c>
      <c r="R407" s="24">
        <v>0</v>
      </c>
      <c r="S407" s="24">
        <v>21</v>
      </c>
      <c r="T407" s="24">
        <v>0</v>
      </c>
      <c r="U407" s="24">
        <v>1</v>
      </c>
      <c r="V407" s="24">
        <v>0</v>
      </c>
      <c r="W407" s="24">
        <v>1</v>
      </c>
      <c r="X407" s="24">
        <v>1</v>
      </c>
      <c r="Y407" s="24">
        <v>1</v>
      </c>
      <c r="Z407" s="24">
        <v>0</v>
      </c>
      <c r="AA407" s="24">
        <v>1</v>
      </c>
      <c r="AB407" s="24">
        <v>0</v>
      </c>
      <c r="AC407" s="24">
        <v>0</v>
      </c>
      <c r="AD407" s="24">
        <v>0</v>
      </c>
      <c r="AE407" s="24">
        <v>1</v>
      </c>
      <c r="AF407" s="24">
        <v>0</v>
      </c>
      <c r="AG407" s="24">
        <v>0</v>
      </c>
      <c r="AH407" s="24">
        <v>1</v>
      </c>
      <c r="AI407" s="24">
        <v>0</v>
      </c>
      <c r="AJ407" s="24">
        <v>0</v>
      </c>
      <c r="AK407" s="24">
        <v>0</v>
      </c>
      <c r="AL407" s="24">
        <v>0</v>
      </c>
      <c r="AM407" s="24">
        <v>0</v>
      </c>
      <c r="AN407" s="24">
        <v>0</v>
      </c>
      <c r="AO407" s="24">
        <v>1</v>
      </c>
      <c r="AP407" s="24">
        <v>0</v>
      </c>
      <c r="AQ407" s="24">
        <v>1</v>
      </c>
      <c r="AR407" s="24">
        <v>0</v>
      </c>
      <c r="AS407" s="24">
        <v>0</v>
      </c>
      <c r="AT407" s="24">
        <v>0</v>
      </c>
      <c r="AU407" s="24">
        <v>0</v>
      </c>
      <c r="AV407" s="24">
        <v>1</v>
      </c>
      <c r="AW407" s="24">
        <v>0</v>
      </c>
      <c r="AX407" s="24">
        <v>0</v>
      </c>
      <c r="AY407" s="24">
        <v>0</v>
      </c>
      <c r="AZ407" s="24">
        <v>0</v>
      </c>
      <c r="BA407" s="24">
        <v>1</v>
      </c>
      <c r="BB407" s="24">
        <v>0</v>
      </c>
    </row>
    <row r="408" spans="2:54" ht="13.8" x14ac:dyDescent="0.3">
      <c r="B408" s="24">
        <v>388</v>
      </c>
      <c r="C408" s="24">
        <v>18</v>
      </c>
      <c r="D408" s="24">
        <v>0</v>
      </c>
      <c r="E408" s="24">
        <v>0</v>
      </c>
      <c r="F408" s="24">
        <v>1</v>
      </c>
      <c r="G408" s="24">
        <v>0</v>
      </c>
      <c r="H408" s="24">
        <v>0</v>
      </c>
      <c r="I408" s="24">
        <v>0</v>
      </c>
      <c r="J408" s="24">
        <v>7374</v>
      </c>
      <c r="K408" s="24">
        <v>4</v>
      </c>
      <c r="L408" s="24">
        <v>0</v>
      </c>
      <c r="M408" s="24">
        <v>1</v>
      </c>
      <c r="N408" s="24">
        <v>0</v>
      </c>
      <c r="O408" s="24">
        <v>0</v>
      </c>
      <c r="P408" s="24">
        <v>0</v>
      </c>
      <c r="Q408" s="24">
        <v>0</v>
      </c>
      <c r="R408" s="24">
        <v>0</v>
      </c>
      <c r="S408" s="24">
        <v>40</v>
      </c>
      <c r="T408" s="24">
        <v>1</v>
      </c>
      <c r="U408" s="24">
        <v>0</v>
      </c>
      <c r="V408" s="24">
        <v>1</v>
      </c>
      <c r="W408" s="24">
        <v>2</v>
      </c>
      <c r="X408" s="24">
        <v>1</v>
      </c>
      <c r="Y408" s="24">
        <v>1</v>
      </c>
      <c r="Z408" s="24">
        <v>0</v>
      </c>
      <c r="AA408" s="24">
        <v>1</v>
      </c>
      <c r="AB408" s="24">
        <v>0</v>
      </c>
      <c r="AC408" s="24">
        <v>1</v>
      </c>
      <c r="AD408" s="24">
        <v>0</v>
      </c>
      <c r="AE408" s="24">
        <v>0</v>
      </c>
      <c r="AF408" s="24">
        <v>0</v>
      </c>
      <c r="AG408" s="24">
        <v>0</v>
      </c>
      <c r="AH408" s="24">
        <v>0</v>
      </c>
      <c r="AI408" s="24">
        <v>0</v>
      </c>
      <c r="AJ408" s="24">
        <v>1</v>
      </c>
      <c r="AK408" s="24">
        <v>1</v>
      </c>
      <c r="AL408" s="24">
        <v>0</v>
      </c>
      <c r="AM408" s="24">
        <v>0</v>
      </c>
      <c r="AN408" s="24">
        <v>0</v>
      </c>
      <c r="AO408" s="24">
        <v>0</v>
      </c>
      <c r="AP408" s="24">
        <v>1</v>
      </c>
      <c r="AQ408" s="24">
        <v>0</v>
      </c>
      <c r="AR408" s="24">
        <v>0</v>
      </c>
      <c r="AS408" s="24">
        <v>0</v>
      </c>
      <c r="AT408" s="24">
        <v>0</v>
      </c>
      <c r="AU408" s="24">
        <v>0</v>
      </c>
      <c r="AV408" s="24">
        <v>0</v>
      </c>
      <c r="AW408" s="24">
        <v>0</v>
      </c>
      <c r="AX408" s="24">
        <v>1</v>
      </c>
      <c r="AY408" s="24">
        <v>0</v>
      </c>
      <c r="AZ408" s="24">
        <v>0</v>
      </c>
      <c r="BA408" s="24">
        <v>0</v>
      </c>
      <c r="BB408" s="24">
        <v>1</v>
      </c>
    </row>
    <row r="409" spans="2:54" ht="13.8" x14ac:dyDescent="0.3">
      <c r="B409" s="24">
        <v>389</v>
      </c>
      <c r="C409" s="24">
        <v>15</v>
      </c>
      <c r="D409" s="24">
        <v>0</v>
      </c>
      <c r="E409" s="24">
        <v>0</v>
      </c>
      <c r="F409" s="24">
        <v>0</v>
      </c>
      <c r="G409" s="24">
        <v>0</v>
      </c>
      <c r="H409" s="24">
        <v>0</v>
      </c>
      <c r="I409" s="24">
        <v>1</v>
      </c>
      <c r="J409" s="24">
        <v>2326</v>
      </c>
      <c r="K409" s="24">
        <v>2</v>
      </c>
      <c r="L409" s="24">
        <v>0</v>
      </c>
      <c r="M409" s="24">
        <v>1</v>
      </c>
      <c r="N409" s="24">
        <v>0</v>
      </c>
      <c r="O409" s="24">
        <v>0</v>
      </c>
      <c r="P409" s="24">
        <v>0</v>
      </c>
      <c r="Q409" s="24">
        <v>0</v>
      </c>
      <c r="R409" s="24">
        <v>0</v>
      </c>
      <c r="S409" s="24">
        <v>27</v>
      </c>
      <c r="T409" s="24">
        <v>1</v>
      </c>
      <c r="U409" s="24">
        <v>0</v>
      </c>
      <c r="V409" s="24">
        <v>1</v>
      </c>
      <c r="W409" s="24">
        <v>1</v>
      </c>
      <c r="X409" s="24">
        <v>1</v>
      </c>
      <c r="Y409" s="24">
        <v>0</v>
      </c>
      <c r="Z409" s="24">
        <v>0</v>
      </c>
      <c r="AA409" s="24">
        <v>1</v>
      </c>
      <c r="AB409" s="24">
        <v>0</v>
      </c>
      <c r="AC409" s="24">
        <v>1</v>
      </c>
      <c r="AD409" s="24">
        <v>0</v>
      </c>
      <c r="AE409" s="24">
        <v>0</v>
      </c>
      <c r="AF409" s="24">
        <v>0</v>
      </c>
      <c r="AG409" s="24">
        <v>0</v>
      </c>
      <c r="AH409" s="24">
        <v>0</v>
      </c>
      <c r="AI409" s="24">
        <v>0</v>
      </c>
      <c r="AJ409" s="24">
        <v>1</v>
      </c>
      <c r="AK409" s="24">
        <v>0</v>
      </c>
      <c r="AL409" s="24">
        <v>0</v>
      </c>
      <c r="AM409" s="24">
        <v>1</v>
      </c>
      <c r="AN409" s="24">
        <v>0</v>
      </c>
      <c r="AO409" s="24">
        <v>0</v>
      </c>
      <c r="AP409" s="24">
        <v>0</v>
      </c>
      <c r="AQ409" s="24">
        <v>0</v>
      </c>
      <c r="AR409" s="24">
        <v>1</v>
      </c>
      <c r="AS409" s="24">
        <v>0</v>
      </c>
      <c r="AT409" s="24">
        <v>0</v>
      </c>
      <c r="AU409" s="24">
        <v>0</v>
      </c>
      <c r="AV409" s="24">
        <v>0</v>
      </c>
      <c r="AW409" s="24">
        <v>0</v>
      </c>
      <c r="AX409" s="24">
        <v>1</v>
      </c>
      <c r="AY409" s="24">
        <v>0</v>
      </c>
      <c r="AZ409" s="24">
        <v>0</v>
      </c>
      <c r="BA409" s="24">
        <v>1</v>
      </c>
      <c r="BB409" s="24">
        <v>0</v>
      </c>
    </row>
    <row r="410" spans="2:54" ht="13.8" x14ac:dyDescent="0.3">
      <c r="B410" s="24">
        <v>390</v>
      </c>
      <c r="C410" s="24">
        <v>9</v>
      </c>
      <c r="D410" s="24">
        <v>0</v>
      </c>
      <c r="E410" s="24">
        <v>0</v>
      </c>
      <c r="F410" s="24">
        <v>0</v>
      </c>
      <c r="G410" s="24">
        <v>0</v>
      </c>
      <c r="H410" s="24">
        <v>0</v>
      </c>
      <c r="I410" s="24">
        <v>1</v>
      </c>
      <c r="J410" s="24">
        <v>1449</v>
      </c>
      <c r="K410" s="24">
        <v>3</v>
      </c>
      <c r="L410" s="24">
        <v>0</v>
      </c>
      <c r="M410" s="24">
        <v>0</v>
      </c>
      <c r="N410" s="24">
        <v>0</v>
      </c>
      <c r="O410" s="24">
        <v>0</v>
      </c>
      <c r="P410" s="24">
        <v>0</v>
      </c>
      <c r="Q410" s="24">
        <v>0</v>
      </c>
      <c r="R410" s="24">
        <v>0</v>
      </c>
      <c r="S410" s="24">
        <v>27</v>
      </c>
      <c r="T410" s="24">
        <v>0</v>
      </c>
      <c r="U410" s="24">
        <v>0</v>
      </c>
      <c r="V410" s="24">
        <v>1</v>
      </c>
      <c r="W410" s="24">
        <v>2</v>
      </c>
      <c r="X410" s="24">
        <v>1</v>
      </c>
      <c r="Y410" s="24">
        <v>0</v>
      </c>
      <c r="Z410" s="24">
        <v>0</v>
      </c>
      <c r="AA410" s="24">
        <v>1</v>
      </c>
      <c r="AB410" s="24">
        <v>0</v>
      </c>
      <c r="AC410" s="24">
        <v>0</v>
      </c>
      <c r="AD410" s="24">
        <v>0</v>
      </c>
      <c r="AE410" s="24">
        <v>1</v>
      </c>
      <c r="AF410" s="24">
        <v>0</v>
      </c>
      <c r="AG410" s="24">
        <v>0</v>
      </c>
      <c r="AH410" s="24">
        <v>1</v>
      </c>
      <c r="AI410" s="24">
        <v>0</v>
      </c>
      <c r="AJ410" s="24">
        <v>0</v>
      </c>
      <c r="AK410" s="24">
        <v>1</v>
      </c>
      <c r="AL410" s="24">
        <v>0</v>
      </c>
      <c r="AM410" s="24">
        <v>0</v>
      </c>
      <c r="AN410" s="24">
        <v>0</v>
      </c>
      <c r="AO410" s="24">
        <v>0</v>
      </c>
      <c r="AP410" s="24">
        <v>0</v>
      </c>
      <c r="AQ410" s="24">
        <v>0</v>
      </c>
      <c r="AR410" s="24">
        <v>0</v>
      </c>
      <c r="AS410" s="24">
        <v>1</v>
      </c>
      <c r="AT410" s="24">
        <v>0</v>
      </c>
      <c r="AU410" s="24">
        <v>0</v>
      </c>
      <c r="AV410" s="24">
        <v>1</v>
      </c>
      <c r="AW410" s="24">
        <v>0</v>
      </c>
      <c r="AX410" s="24">
        <v>0</v>
      </c>
      <c r="AY410" s="24">
        <v>0</v>
      </c>
      <c r="AZ410" s="24">
        <v>0</v>
      </c>
      <c r="BA410" s="24">
        <v>1</v>
      </c>
      <c r="BB410" s="24">
        <v>0</v>
      </c>
    </row>
    <row r="411" spans="2:54" ht="13.8" x14ac:dyDescent="0.3">
      <c r="B411" s="24">
        <v>391</v>
      </c>
      <c r="C411" s="24">
        <v>18</v>
      </c>
      <c r="D411" s="24">
        <v>1</v>
      </c>
      <c r="E411" s="24">
        <v>0</v>
      </c>
      <c r="F411" s="24">
        <v>0</v>
      </c>
      <c r="G411" s="24">
        <v>0</v>
      </c>
      <c r="H411" s="24">
        <v>0</v>
      </c>
      <c r="I411" s="24">
        <v>0</v>
      </c>
      <c r="J411" s="24">
        <v>1820</v>
      </c>
      <c r="K411" s="24">
        <v>2</v>
      </c>
      <c r="L411" s="24">
        <v>0</v>
      </c>
      <c r="M411" s="24">
        <v>0</v>
      </c>
      <c r="N411" s="24">
        <v>1</v>
      </c>
      <c r="O411" s="24">
        <v>0</v>
      </c>
      <c r="P411" s="24">
        <v>0</v>
      </c>
      <c r="Q411" s="24">
        <v>0</v>
      </c>
      <c r="R411" s="24">
        <v>0</v>
      </c>
      <c r="S411" s="24">
        <v>30</v>
      </c>
      <c r="T411" s="24">
        <v>0</v>
      </c>
      <c r="U411" s="24">
        <v>0</v>
      </c>
      <c r="V411" s="24">
        <v>1</v>
      </c>
      <c r="W411" s="24">
        <v>1</v>
      </c>
      <c r="X411" s="24">
        <v>1</v>
      </c>
      <c r="Y411" s="24">
        <v>1</v>
      </c>
      <c r="Z411" s="24">
        <v>0</v>
      </c>
      <c r="AA411" s="24">
        <v>1</v>
      </c>
      <c r="AB411" s="24">
        <v>0</v>
      </c>
      <c r="AC411" s="24">
        <v>0</v>
      </c>
      <c r="AD411" s="24">
        <v>0</v>
      </c>
      <c r="AE411" s="24">
        <v>1</v>
      </c>
      <c r="AF411" s="24">
        <v>0</v>
      </c>
      <c r="AG411" s="24">
        <v>0</v>
      </c>
      <c r="AH411" s="24">
        <v>1</v>
      </c>
      <c r="AI411" s="24">
        <v>0</v>
      </c>
      <c r="AJ411" s="24">
        <v>0</v>
      </c>
      <c r="AK411" s="24">
        <v>1</v>
      </c>
      <c r="AL411" s="24">
        <v>0</v>
      </c>
      <c r="AM411" s="24">
        <v>0</v>
      </c>
      <c r="AN411" s="24">
        <v>0</v>
      </c>
      <c r="AO411" s="24">
        <v>0</v>
      </c>
      <c r="AP411" s="24">
        <v>0</v>
      </c>
      <c r="AQ411" s="24">
        <v>0</v>
      </c>
      <c r="AR411" s="24">
        <v>1</v>
      </c>
      <c r="AS411" s="24">
        <v>0</v>
      </c>
      <c r="AT411" s="24">
        <v>0</v>
      </c>
      <c r="AU411" s="24">
        <v>0</v>
      </c>
      <c r="AV411" s="24">
        <v>1</v>
      </c>
      <c r="AW411" s="24">
        <v>0</v>
      </c>
      <c r="AX411" s="24">
        <v>0</v>
      </c>
      <c r="AY411" s="24">
        <v>0</v>
      </c>
      <c r="AZ411" s="24">
        <v>0</v>
      </c>
      <c r="BA411" s="24">
        <v>0</v>
      </c>
      <c r="BB411" s="24">
        <v>1</v>
      </c>
    </row>
    <row r="412" spans="2:54" ht="13.8" x14ac:dyDescent="0.3">
      <c r="B412" s="24">
        <v>392</v>
      </c>
      <c r="C412" s="24">
        <v>12</v>
      </c>
      <c r="D412" s="24">
        <v>0</v>
      </c>
      <c r="E412" s="24">
        <v>0</v>
      </c>
      <c r="F412" s="24">
        <v>1</v>
      </c>
      <c r="G412" s="24">
        <v>0</v>
      </c>
      <c r="H412" s="24">
        <v>0</v>
      </c>
      <c r="I412" s="24">
        <v>0</v>
      </c>
      <c r="J412" s="24">
        <v>983</v>
      </c>
      <c r="K412" s="24">
        <v>1</v>
      </c>
      <c r="L412" s="24">
        <v>0</v>
      </c>
      <c r="M412" s="24">
        <v>0</v>
      </c>
      <c r="N412" s="24">
        <v>0</v>
      </c>
      <c r="O412" s="24">
        <v>0</v>
      </c>
      <c r="P412" s="24">
        <v>0</v>
      </c>
      <c r="Q412" s="24">
        <v>1</v>
      </c>
      <c r="R412" s="24">
        <v>0</v>
      </c>
      <c r="S412" s="24">
        <v>19</v>
      </c>
      <c r="T412" s="24">
        <v>0</v>
      </c>
      <c r="U412" s="24">
        <v>1</v>
      </c>
      <c r="V412" s="24">
        <v>0</v>
      </c>
      <c r="W412" s="24">
        <v>1</v>
      </c>
      <c r="X412" s="24">
        <v>1</v>
      </c>
      <c r="Y412" s="24">
        <v>0</v>
      </c>
      <c r="Z412" s="24">
        <v>0</v>
      </c>
      <c r="AA412" s="24">
        <v>1</v>
      </c>
      <c r="AB412" s="24">
        <v>0</v>
      </c>
      <c r="AC412" s="24">
        <v>1</v>
      </c>
      <c r="AD412" s="24">
        <v>0</v>
      </c>
      <c r="AE412" s="24">
        <v>0</v>
      </c>
      <c r="AF412" s="24">
        <v>0</v>
      </c>
      <c r="AG412" s="24">
        <v>0</v>
      </c>
      <c r="AH412" s="24">
        <v>1</v>
      </c>
      <c r="AI412" s="24">
        <v>0</v>
      </c>
      <c r="AJ412" s="24">
        <v>0</v>
      </c>
      <c r="AK412" s="24">
        <v>0</v>
      </c>
      <c r="AL412" s="24">
        <v>0</v>
      </c>
      <c r="AM412" s="24">
        <v>0</v>
      </c>
      <c r="AN412" s="24">
        <v>1</v>
      </c>
      <c r="AO412" s="24">
        <v>0</v>
      </c>
      <c r="AP412" s="24">
        <v>0</v>
      </c>
      <c r="AQ412" s="24">
        <v>1</v>
      </c>
      <c r="AR412" s="24">
        <v>0</v>
      </c>
      <c r="AS412" s="24">
        <v>0</v>
      </c>
      <c r="AT412" s="24">
        <v>0</v>
      </c>
      <c r="AU412" s="24">
        <v>0</v>
      </c>
      <c r="AV412" s="24">
        <v>0</v>
      </c>
      <c r="AW412" s="24">
        <v>0</v>
      </c>
      <c r="AX412" s="24">
        <v>1</v>
      </c>
      <c r="AY412" s="24">
        <v>0</v>
      </c>
      <c r="AZ412" s="24">
        <v>1</v>
      </c>
      <c r="BA412" s="24">
        <v>0</v>
      </c>
      <c r="BB412" s="24">
        <v>0</v>
      </c>
    </row>
    <row r="413" spans="2:54" ht="13.8" x14ac:dyDescent="0.3">
      <c r="B413" s="24">
        <v>393</v>
      </c>
      <c r="C413" s="24">
        <v>36</v>
      </c>
      <c r="D413" s="24">
        <v>1</v>
      </c>
      <c r="E413" s="24">
        <v>0</v>
      </c>
      <c r="F413" s="24">
        <v>0</v>
      </c>
      <c r="G413" s="24">
        <v>0</v>
      </c>
      <c r="H413" s="24">
        <v>0</v>
      </c>
      <c r="I413" s="24">
        <v>0</v>
      </c>
      <c r="J413" s="24">
        <v>3249</v>
      </c>
      <c r="K413" s="24">
        <v>2</v>
      </c>
      <c r="L413" s="24">
        <v>0</v>
      </c>
      <c r="M413" s="24">
        <v>1</v>
      </c>
      <c r="N413" s="24">
        <v>0</v>
      </c>
      <c r="O413" s="24">
        <v>0</v>
      </c>
      <c r="P413" s="24">
        <v>0</v>
      </c>
      <c r="Q413" s="24">
        <v>0</v>
      </c>
      <c r="R413" s="24">
        <v>1</v>
      </c>
      <c r="S413" s="24">
        <v>39</v>
      </c>
      <c r="T413" s="24">
        <v>1</v>
      </c>
      <c r="U413" s="24">
        <v>0</v>
      </c>
      <c r="V413" s="24">
        <v>0</v>
      </c>
      <c r="W413" s="24">
        <v>1</v>
      </c>
      <c r="X413" s="24">
        <v>2</v>
      </c>
      <c r="Y413" s="24">
        <v>1</v>
      </c>
      <c r="Z413" s="24">
        <v>0</v>
      </c>
      <c r="AA413" s="24">
        <v>1</v>
      </c>
      <c r="AB413" s="24">
        <v>1</v>
      </c>
      <c r="AC413" s="24">
        <v>0</v>
      </c>
      <c r="AD413" s="24">
        <v>0</v>
      </c>
      <c r="AE413" s="24">
        <v>0</v>
      </c>
      <c r="AF413" s="24">
        <v>0</v>
      </c>
      <c r="AG413" s="24">
        <v>0</v>
      </c>
      <c r="AH413" s="24">
        <v>1</v>
      </c>
      <c r="AI413" s="24">
        <v>0</v>
      </c>
      <c r="AJ413" s="24">
        <v>0</v>
      </c>
      <c r="AK413" s="24">
        <v>1</v>
      </c>
      <c r="AL413" s="24">
        <v>0</v>
      </c>
      <c r="AM413" s="24">
        <v>0</v>
      </c>
      <c r="AN413" s="24">
        <v>0</v>
      </c>
      <c r="AO413" s="24">
        <v>0</v>
      </c>
      <c r="AP413" s="24">
        <v>0</v>
      </c>
      <c r="AQ413" s="24">
        <v>0</v>
      </c>
      <c r="AR413" s="24">
        <v>0</v>
      </c>
      <c r="AS413" s="24">
        <v>1</v>
      </c>
      <c r="AT413" s="24">
        <v>0</v>
      </c>
      <c r="AU413" s="24">
        <v>0</v>
      </c>
      <c r="AV413" s="24">
        <v>0</v>
      </c>
      <c r="AW413" s="24">
        <v>0</v>
      </c>
      <c r="AX413" s="24">
        <v>1</v>
      </c>
      <c r="AY413" s="24">
        <v>0</v>
      </c>
      <c r="AZ413" s="24">
        <v>0</v>
      </c>
      <c r="BA413" s="24">
        <v>0</v>
      </c>
      <c r="BB413" s="24">
        <v>1</v>
      </c>
    </row>
    <row r="414" spans="2:54" ht="13.8" x14ac:dyDescent="0.3">
      <c r="B414" s="24">
        <v>394</v>
      </c>
      <c r="C414" s="24">
        <v>6</v>
      </c>
      <c r="D414" s="24">
        <v>0</v>
      </c>
      <c r="E414" s="24">
        <v>0</v>
      </c>
      <c r="F414" s="24">
        <v>0</v>
      </c>
      <c r="G414" s="24">
        <v>1</v>
      </c>
      <c r="H414" s="24">
        <v>0</v>
      </c>
      <c r="I414" s="24">
        <v>0</v>
      </c>
      <c r="J414" s="24">
        <v>1957</v>
      </c>
      <c r="K414" s="24">
        <v>1</v>
      </c>
      <c r="L414" s="24">
        <v>0</v>
      </c>
      <c r="M414" s="24">
        <v>0</v>
      </c>
      <c r="N414" s="24">
        <v>0</v>
      </c>
      <c r="O414" s="24">
        <v>0</v>
      </c>
      <c r="P414" s="24">
        <v>0</v>
      </c>
      <c r="Q414" s="24">
        <v>0</v>
      </c>
      <c r="R414" s="24">
        <v>0</v>
      </c>
      <c r="S414" s="24">
        <v>31</v>
      </c>
      <c r="T414" s="24">
        <v>0</v>
      </c>
      <c r="U414" s="24">
        <v>0</v>
      </c>
      <c r="V414" s="24">
        <v>1</v>
      </c>
      <c r="W414" s="24">
        <v>1</v>
      </c>
      <c r="X414" s="24">
        <v>1</v>
      </c>
      <c r="Y414" s="24">
        <v>0</v>
      </c>
      <c r="Z414" s="24">
        <v>0</v>
      </c>
      <c r="AA414" s="24">
        <v>1</v>
      </c>
      <c r="AB414" s="24">
        <v>1</v>
      </c>
      <c r="AC414" s="24">
        <v>0</v>
      </c>
      <c r="AD414" s="24">
        <v>0</v>
      </c>
      <c r="AE414" s="24">
        <v>0</v>
      </c>
      <c r="AF414" s="24">
        <v>0</v>
      </c>
      <c r="AG414" s="24">
        <v>0</v>
      </c>
      <c r="AH414" s="24">
        <v>0</v>
      </c>
      <c r="AI414" s="24">
        <v>0</v>
      </c>
      <c r="AJ414" s="24">
        <v>1</v>
      </c>
      <c r="AK414" s="24">
        <v>1</v>
      </c>
      <c r="AL414" s="24">
        <v>0</v>
      </c>
      <c r="AM414" s="24">
        <v>0</v>
      </c>
      <c r="AN414" s="24">
        <v>0</v>
      </c>
      <c r="AO414" s="24">
        <v>0</v>
      </c>
      <c r="AP414" s="24">
        <v>0</v>
      </c>
      <c r="AQ414" s="24">
        <v>0</v>
      </c>
      <c r="AR414" s="24">
        <v>0</v>
      </c>
      <c r="AS414" s="24">
        <v>1</v>
      </c>
      <c r="AT414" s="24">
        <v>0</v>
      </c>
      <c r="AU414" s="24">
        <v>0</v>
      </c>
      <c r="AV414" s="24">
        <v>0</v>
      </c>
      <c r="AW414" s="24">
        <v>0</v>
      </c>
      <c r="AX414" s="24">
        <v>1</v>
      </c>
      <c r="AY414" s="24">
        <v>0</v>
      </c>
      <c r="AZ414" s="24">
        <v>0</v>
      </c>
      <c r="BA414" s="24">
        <v>1</v>
      </c>
      <c r="BB414" s="24">
        <v>0</v>
      </c>
    </row>
    <row r="415" spans="2:54" ht="13.8" x14ac:dyDescent="0.3">
      <c r="B415" s="24">
        <v>395</v>
      </c>
      <c r="C415" s="24">
        <v>9</v>
      </c>
      <c r="D415" s="24">
        <v>0</v>
      </c>
      <c r="E415" s="24">
        <v>0</v>
      </c>
      <c r="F415" s="24">
        <v>1</v>
      </c>
      <c r="G415" s="24">
        <v>0</v>
      </c>
      <c r="H415" s="24">
        <v>0</v>
      </c>
      <c r="I415" s="24">
        <v>0</v>
      </c>
      <c r="J415" s="24">
        <v>2406</v>
      </c>
      <c r="K415" s="24">
        <v>2</v>
      </c>
      <c r="L415" s="24">
        <v>0</v>
      </c>
      <c r="M415" s="24">
        <v>1</v>
      </c>
      <c r="N415" s="24">
        <v>0</v>
      </c>
      <c r="O415" s="24">
        <v>0</v>
      </c>
      <c r="P415" s="24">
        <v>0</v>
      </c>
      <c r="Q415" s="24">
        <v>0</v>
      </c>
      <c r="R415" s="24">
        <v>0</v>
      </c>
      <c r="S415" s="24">
        <v>31</v>
      </c>
      <c r="T415" s="24">
        <v>0</v>
      </c>
      <c r="U415" s="24">
        <v>0</v>
      </c>
      <c r="V415" s="24">
        <v>1</v>
      </c>
      <c r="W415" s="24">
        <v>1</v>
      </c>
      <c r="X415" s="24">
        <v>1</v>
      </c>
      <c r="Y415" s="24">
        <v>0</v>
      </c>
      <c r="Z415" s="24">
        <v>0</v>
      </c>
      <c r="AA415" s="24">
        <v>1</v>
      </c>
      <c r="AB415" s="24">
        <v>0</v>
      </c>
      <c r="AC415" s="24">
        <v>0</v>
      </c>
      <c r="AD415" s="24">
        <v>0</v>
      </c>
      <c r="AE415" s="24">
        <v>1</v>
      </c>
      <c r="AF415" s="24">
        <v>0</v>
      </c>
      <c r="AG415" s="24">
        <v>0</v>
      </c>
      <c r="AH415" s="24">
        <v>0</v>
      </c>
      <c r="AI415" s="24">
        <v>0</v>
      </c>
      <c r="AJ415" s="24">
        <v>1</v>
      </c>
      <c r="AK415" s="24">
        <v>1</v>
      </c>
      <c r="AL415" s="24">
        <v>0</v>
      </c>
      <c r="AM415" s="24">
        <v>0</v>
      </c>
      <c r="AN415" s="24">
        <v>0</v>
      </c>
      <c r="AO415" s="24">
        <v>0</v>
      </c>
      <c r="AP415" s="24">
        <v>1</v>
      </c>
      <c r="AQ415" s="24">
        <v>0</v>
      </c>
      <c r="AR415" s="24">
        <v>0</v>
      </c>
      <c r="AS415" s="24">
        <v>0</v>
      </c>
      <c r="AT415" s="24">
        <v>0</v>
      </c>
      <c r="AU415" s="24">
        <v>0</v>
      </c>
      <c r="AV415" s="24">
        <v>0</v>
      </c>
      <c r="AW415" s="24">
        <v>1</v>
      </c>
      <c r="AX415" s="24">
        <v>0</v>
      </c>
      <c r="AY415" s="24">
        <v>0</v>
      </c>
      <c r="AZ415" s="24">
        <v>0</v>
      </c>
      <c r="BA415" s="24">
        <v>0</v>
      </c>
      <c r="BB415" s="24">
        <v>1</v>
      </c>
    </row>
    <row r="416" spans="2:54" ht="13.8" x14ac:dyDescent="0.3">
      <c r="B416" s="24">
        <v>396</v>
      </c>
      <c r="C416" s="24">
        <v>39</v>
      </c>
      <c r="D416" s="24">
        <v>0</v>
      </c>
      <c r="E416" s="24">
        <v>0</v>
      </c>
      <c r="F416" s="24">
        <v>0</v>
      </c>
      <c r="G416" s="24">
        <v>0</v>
      </c>
      <c r="H416" s="24">
        <v>1</v>
      </c>
      <c r="I416" s="24">
        <v>0</v>
      </c>
      <c r="J416" s="24">
        <v>11760</v>
      </c>
      <c r="K416" s="24">
        <v>2</v>
      </c>
      <c r="L416" s="24">
        <v>0</v>
      </c>
      <c r="M416" s="24">
        <v>1</v>
      </c>
      <c r="N416" s="24">
        <v>0</v>
      </c>
      <c r="O416" s="24">
        <v>0</v>
      </c>
      <c r="P416" s="24">
        <v>0</v>
      </c>
      <c r="Q416" s="24">
        <v>0</v>
      </c>
      <c r="R416" s="24">
        <v>1</v>
      </c>
      <c r="S416" s="24">
        <v>32</v>
      </c>
      <c r="T416" s="24">
        <v>0</v>
      </c>
      <c r="U416" s="24">
        <v>1</v>
      </c>
      <c r="V416" s="24">
        <v>0</v>
      </c>
      <c r="W416" s="24">
        <v>1</v>
      </c>
      <c r="X416" s="24">
        <v>1</v>
      </c>
      <c r="Y416" s="24">
        <v>1</v>
      </c>
      <c r="Z416" s="24">
        <v>0</v>
      </c>
      <c r="AA416" s="24">
        <v>1</v>
      </c>
      <c r="AB416" s="24">
        <v>0</v>
      </c>
      <c r="AC416" s="24">
        <v>1</v>
      </c>
      <c r="AD416" s="24">
        <v>0</v>
      </c>
      <c r="AE416" s="24">
        <v>0</v>
      </c>
      <c r="AF416" s="24">
        <v>0</v>
      </c>
      <c r="AG416" s="24">
        <v>0</v>
      </c>
      <c r="AH416" s="24">
        <v>0</v>
      </c>
      <c r="AI416" s="24">
        <v>1</v>
      </c>
      <c r="AJ416" s="24">
        <v>0</v>
      </c>
      <c r="AK416" s="24">
        <v>0</v>
      </c>
      <c r="AL416" s="24">
        <v>1</v>
      </c>
      <c r="AM416" s="24">
        <v>0</v>
      </c>
      <c r="AN416" s="24">
        <v>0</v>
      </c>
      <c r="AO416" s="24">
        <v>0</v>
      </c>
      <c r="AP416" s="24">
        <v>0</v>
      </c>
      <c r="AQ416" s="24">
        <v>0</v>
      </c>
      <c r="AR416" s="24">
        <v>0</v>
      </c>
      <c r="AS416" s="24">
        <v>1</v>
      </c>
      <c r="AT416" s="24">
        <v>0</v>
      </c>
      <c r="AU416" s="24">
        <v>0</v>
      </c>
      <c r="AV416" s="24">
        <v>0</v>
      </c>
      <c r="AW416" s="24">
        <v>1</v>
      </c>
      <c r="AX416" s="24">
        <v>0</v>
      </c>
      <c r="AY416" s="24">
        <v>0</v>
      </c>
      <c r="AZ416" s="24">
        <v>0</v>
      </c>
      <c r="BA416" s="24">
        <v>1</v>
      </c>
      <c r="BB416" s="24">
        <v>0</v>
      </c>
    </row>
    <row r="417" spans="2:54" ht="13.8" x14ac:dyDescent="0.3">
      <c r="B417" s="24">
        <v>397</v>
      </c>
      <c r="C417" s="24">
        <v>12</v>
      </c>
      <c r="D417" s="24">
        <v>0</v>
      </c>
      <c r="E417" s="24">
        <v>0</v>
      </c>
      <c r="F417" s="24">
        <v>1</v>
      </c>
      <c r="G417" s="24">
        <v>0</v>
      </c>
      <c r="H417" s="24">
        <v>0</v>
      </c>
      <c r="I417" s="24">
        <v>0</v>
      </c>
      <c r="J417" s="24">
        <v>2578</v>
      </c>
      <c r="K417" s="24">
        <v>3</v>
      </c>
      <c r="L417" s="24">
        <v>0</v>
      </c>
      <c r="M417" s="24">
        <v>0</v>
      </c>
      <c r="N417" s="24">
        <v>0</v>
      </c>
      <c r="O417" s="24">
        <v>0</v>
      </c>
      <c r="P417" s="24">
        <v>0</v>
      </c>
      <c r="Q417" s="24">
        <v>0</v>
      </c>
      <c r="R417" s="24">
        <v>1</v>
      </c>
      <c r="S417" s="24">
        <v>55</v>
      </c>
      <c r="T417" s="24">
        <v>0</v>
      </c>
      <c r="U417" s="24">
        <v>0</v>
      </c>
      <c r="V417" s="24">
        <v>0</v>
      </c>
      <c r="W417" s="24">
        <v>1</v>
      </c>
      <c r="X417" s="24">
        <v>1</v>
      </c>
      <c r="Y417" s="24">
        <v>0</v>
      </c>
      <c r="Z417" s="24">
        <v>0</v>
      </c>
      <c r="AA417" s="24">
        <v>1</v>
      </c>
      <c r="AB417" s="24">
        <v>1</v>
      </c>
      <c r="AC417" s="24">
        <v>0</v>
      </c>
      <c r="AD417" s="24">
        <v>0</v>
      </c>
      <c r="AE417" s="24">
        <v>0</v>
      </c>
      <c r="AF417" s="24">
        <v>0</v>
      </c>
      <c r="AG417" s="24">
        <v>0</v>
      </c>
      <c r="AH417" s="24">
        <v>1</v>
      </c>
      <c r="AI417" s="24">
        <v>0</v>
      </c>
      <c r="AJ417" s="24">
        <v>0</v>
      </c>
      <c r="AK417" s="24">
        <v>1</v>
      </c>
      <c r="AL417" s="24">
        <v>0</v>
      </c>
      <c r="AM417" s="24">
        <v>0</v>
      </c>
      <c r="AN417" s="24">
        <v>0</v>
      </c>
      <c r="AO417" s="24">
        <v>0</v>
      </c>
      <c r="AP417" s="24">
        <v>1</v>
      </c>
      <c r="AQ417" s="24">
        <v>0</v>
      </c>
      <c r="AR417" s="24">
        <v>0</v>
      </c>
      <c r="AS417" s="24">
        <v>0</v>
      </c>
      <c r="AT417" s="24">
        <v>0</v>
      </c>
      <c r="AU417" s="24">
        <v>0</v>
      </c>
      <c r="AV417" s="24">
        <v>0</v>
      </c>
      <c r="AW417" s="24">
        <v>0</v>
      </c>
      <c r="AX417" s="24">
        <v>1</v>
      </c>
      <c r="AY417" s="24">
        <v>0</v>
      </c>
      <c r="AZ417" s="24">
        <v>0</v>
      </c>
      <c r="BA417" s="24">
        <v>0</v>
      </c>
      <c r="BB417" s="24">
        <v>1</v>
      </c>
    </row>
    <row r="418" spans="2:54" ht="13.8" x14ac:dyDescent="0.3">
      <c r="B418" s="24">
        <v>398</v>
      </c>
      <c r="C418" s="24">
        <v>36</v>
      </c>
      <c r="D418" s="24">
        <v>0</v>
      </c>
      <c r="E418" s="24">
        <v>0</v>
      </c>
      <c r="F418" s="24">
        <v>1</v>
      </c>
      <c r="G418" s="24">
        <v>0</v>
      </c>
      <c r="H418" s="24">
        <v>0</v>
      </c>
      <c r="I418" s="24">
        <v>0</v>
      </c>
      <c r="J418" s="24">
        <v>2348</v>
      </c>
      <c r="K418" s="24">
        <v>3</v>
      </c>
      <c r="L418" s="24">
        <v>0</v>
      </c>
      <c r="M418" s="24">
        <v>0</v>
      </c>
      <c r="N418" s="24">
        <v>1</v>
      </c>
      <c r="O418" s="24">
        <v>0</v>
      </c>
      <c r="P418" s="24">
        <v>0</v>
      </c>
      <c r="Q418" s="24">
        <v>0</v>
      </c>
      <c r="R418" s="24">
        <v>0</v>
      </c>
      <c r="S418" s="24">
        <v>46</v>
      </c>
      <c r="T418" s="24">
        <v>0</v>
      </c>
      <c r="U418" s="24">
        <v>0</v>
      </c>
      <c r="V418" s="24">
        <v>1</v>
      </c>
      <c r="W418" s="24">
        <v>2</v>
      </c>
      <c r="X418" s="24">
        <v>1</v>
      </c>
      <c r="Y418" s="24">
        <v>1</v>
      </c>
      <c r="Z418" s="24">
        <v>0</v>
      </c>
      <c r="AA418" s="24">
        <v>1</v>
      </c>
      <c r="AB418" s="24">
        <v>1</v>
      </c>
      <c r="AC418" s="24">
        <v>0</v>
      </c>
      <c r="AD418" s="24">
        <v>0</v>
      </c>
      <c r="AE418" s="24">
        <v>0</v>
      </c>
      <c r="AF418" s="24">
        <v>0</v>
      </c>
      <c r="AG418" s="24">
        <v>0</v>
      </c>
      <c r="AH418" s="24">
        <v>0</v>
      </c>
      <c r="AI418" s="24">
        <v>0</v>
      </c>
      <c r="AJ418" s="24">
        <v>1</v>
      </c>
      <c r="AK418" s="24">
        <v>1</v>
      </c>
      <c r="AL418" s="24">
        <v>0</v>
      </c>
      <c r="AM418" s="24">
        <v>0</v>
      </c>
      <c r="AN418" s="24">
        <v>0</v>
      </c>
      <c r="AO418" s="24">
        <v>0</v>
      </c>
      <c r="AP418" s="24">
        <v>0</v>
      </c>
      <c r="AQ418" s="24">
        <v>0</v>
      </c>
      <c r="AR418" s="24">
        <v>1</v>
      </c>
      <c r="AS418" s="24">
        <v>0</v>
      </c>
      <c r="AT418" s="24">
        <v>0</v>
      </c>
      <c r="AU418" s="24">
        <v>0</v>
      </c>
      <c r="AV418" s="24">
        <v>1</v>
      </c>
      <c r="AW418" s="24">
        <v>0</v>
      </c>
      <c r="AX418" s="24">
        <v>0</v>
      </c>
      <c r="AY418" s="24">
        <v>0</v>
      </c>
      <c r="AZ418" s="24">
        <v>0</v>
      </c>
      <c r="BA418" s="24">
        <v>1</v>
      </c>
      <c r="BB418" s="24">
        <v>0</v>
      </c>
    </row>
    <row r="419" spans="2:54" ht="13.8" x14ac:dyDescent="0.3">
      <c r="B419" s="24">
        <v>399</v>
      </c>
      <c r="C419" s="24">
        <v>12</v>
      </c>
      <c r="D419" s="24">
        <v>1</v>
      </c>
      <c r="E419" s="24">
        <v>0</v>
      </c>
      <c r="F419" s="24">
        <v>0</v>
      </c>
      <c r="G419" s="24">
        <v>0</v>
      </c>
      <c r="H419" s="24">
        <v>0</v>
      </c>
      <c r="I419" s="24">
        <v>0</v>
      </c>
      <c r="J419" s="24">
        <v>1223</v>
      </c>
      <c r="K419" s="24">
        <v>1</v>
      </c>
      <c r="L419" s="24">
        <v>1</v>
      </c>
      <c r="M419" s="24">
        <v>0</v>
      </c>
      <c r="N419" s="24">
        <v>0</v>
      </c>
      <c r="O419" s="24">
        <v>0</v>
      </c>
      <c r="P419" s="24">
        <v>0</v>
      </c>
      <c r="Q419" s="24">
        <v>1</v>
      </c>
      <c r="R419" s="24">
        <v>0</v>
      </c>
      <c r="S419" s="24">
        <v>46</v>
      </c>
      <c r="T419" s="24">
        <v>0</v>
      </c>
      <c r="U419" s="24">
        <v>1</v>
      </c>
      <c r="V419" s="24">
        <v>0</v>
      </c>
      <c r="W419" s="24">
        <v>2</v>
      </c>
      <c r="X419" s="24">
        <v>1</v>
      </c>
      <c r="Y419" s="24">
        <v>0</v>
      </c>
      <c r="Z419" s="24">
        <v>0</v>
      </c>
      <c r="AA419" s="24">
        <v>0</v>
      </c>
      <c r="AB419" s="24">
        <v>0</v>
      </c>
      <c r="AC419" s="24">
        <v>1</v>
      </c>
      <c r="AD419" s="24">
        <v>0</v>
      </c>
      <c r="AE419" s="24">
        <v>0</v>
      </c>
      <c r="AF419" s="24">
        <v>0</v>
      </c>
      <c r="AG419" s="24">
        <v>0</v>
      </c>
      <c r="AH419" s="24">
        <v>1</v>
      </c>
      <c r="AI419" s="24">
        <v>0</v>
      </c>
      <c r="AJ419" s="24">
        <v>0</v>
      </c>
      <c r="AK419" s="24">
        <v>1</v>
      </c>
      <c r="AL419" s="24">
        <v>0</v>
      </c>
      <c r="AM419" s="24">
        <v>0</v>
      </c>
      <c r="AN419" s="24">
        <v>0</v>
      </c>
      <c r="AO419" s="24">
        <v>0</v>
      </c>
      <c r="AP419" s="24">
        <v>0</v>
      </c>
      <c r="AQ419" s="24">
        <v>0</v>
      </c>
      <c r="AR419" s="24">
        <v>0</v>
      </c>
      <c r="AS419" s="24">
        <v>0</v>
      </c>
      <c r="AT419" s="24">
        <v>1</v>
      </c>
      <c r="AU419" s="24">
        <v>1</v>
      </c>
      <c r="AV419" s="24">
        <v>0</v>
      </c>
      <c r="AW419" s="24">
        <v>0</v>
      </c>
      <c r="AX419" s="24">
        <v>0</v>
      </c>
      <c r="AY419" s="24">
        <v>0</v>
      </c>
      <c r="AZ419" s="24">
        <v>0</v>
      </c>
      <c r="BA419" s="24">
        <v>1</v>
      </c>
      <c r="BB419" s="24">
        <v>0</v>
      </c>
    </row>
    <row r="420" spans="2:54" ht="13.8" x14ac:dyDescent="0.3">
      <c r="B420" s="24">
        <v>400</v>
      </c>
      <c r="C420" s="24">
        <v>24</v>
      </c>
      <c r="D420" s="24">
        <v>0</v>
      </c>
      <c r="E420" s="24">
        <v>0</v>
      </c>
      <c r="F420" s="24">
        <v>0</v>
      </c>
      <c r="G420" s="24">
        <v>1</v>
      </c>
      <c r="H420" s="24">
        <v>0</v>
      </c>
      <c r="I420" s="24">
        <v>0</v>
      </c>
      <c r="J420" s="24">
        <v>1516</v>
      </c>
      <c r="K420" s="24">
        <v>4</v>
      </c>
      <c r="L420" s="24">
        <v>0</v>
      </c>
      <c r="M420" s="24">
        <v>0</v>
      </c>
      <c r="N420" s="24">
        <v>0</v>
      </c>
      <c r="O420" s="24">
        <v>0</v>
      </c>
      <c r="P420" s="24">
        <v>0</v>
      </c>
      <c r="Q420" s="24">
        <v>1</v>
      </c>
      <c r="R420" s="24">
        <v>0</v>
      </c>
      <c r="S420" s="24">
        <v>43</v>
      </c>
      <c r="T420" s="24">
        <v>0</v>
      </c>
      <c r="U420" s="24">
        <v>0</v>
      </c>
      <c r="V420" s="24">
        <v>1</v>
      </c>
      <c r="W420" s="24">
        <v>2</v>
      </c>
      <c r="X420" s="24">
        <v>1</v>
      </c>
      <c r="Y420" s="24">
        <v>0</v>
      </c>
      <c r="Z420" s="24">
        <v>0</v>
      </c>
      <c r="AA420" s="24">
        <v>1</v>
      </c>
      <c r="AB420" s="24">
        <v>0</v>
      </c>
      <c r="AC420" s="24">
        <v>0</v>
      </c>
      <c r="AD420" s="24">
        <v>0</v>
      </c>
      <c r="AE420" s="24">
        <v>1</v>
      </c>
      <c r="AF420" s="24">
        <v>0</v>
      </c>
      <c r="AG420" s="24">
        <v>0</v>
      </c>
      <c r="AH420" s="24">
        <v>0</v>
      </c>
      <c r="AI420" s="24">
        <v>0</v>
      </c>
      <c r="AJ420" s="24">
        <v>1</v>
      </c>
      <c r="AK420" s="24">
        <v>0</v>
      </c>
      <c r="AL420" s="24">
        <v>0</v>
      </c>
      <c r="AM420" s="24">
        <v>0</v>
      </c>
      <c r="AN420" s="24">
        <v>1</v>
      </c>
      <c r="AO420" s="24">
        <v>0</v>
      </c>
      <c r="AP420" s="24">
        <v>0</v>
      </c>
      <c r="AQ420" s="24">
        <v>0</v>
      </c>
      <c r="AR420" s="24">
        <v>1</v>
      </c>
      <c r="AS420" s="24">
        <v>0</v>
      </c>
      <c r="AT420" s="24">
        <v>0</v>
      </c>
      <c r="AU420" s="24">
        <v>1</v>
      </c>
      <c r="AV420" s="24">
        <v>0</v>
      </c>
      <c r="AW420" s="24">
        <v>0</v>
      </c>
      <c r="AX420" s="24">
        <v>0</v>
      </c>
      <c r="AY420" s="24">
        <v>0</v>
      </c>
      <c r="AZ420" s="24">
        <v>1</v>
      </c>
      <c r="BA420" s="24">
        <v>0</v>
      </c>
      <c r="BB420" s="24">
        <v>0</v>
      </c>
    </row>
    <row r="421" spans="2:54" ht="13.8" x14ac:dyDescent="0.3">
      <c r="B421" s="24">
        <v>401</v>
      </c>
      <c r="C421" s="24">
        <v>18</v>
      </c>
      <c r="D421" s="24">
        <v>0</v>
      </c>
      <c r="E421" s="24">
        <v>0</v>
      </c>
      <c r="F421" s="24">
        <v>0</v>
      </c>
      <c r="G421" s="24">
        <v>1</v>
      </c>
      <c r="H421" s="24">
        <v>0</v>
      </c>
      <c r="I421" s="24">
        <v>0</v>
      </c>
      <c r="J421" s="24">
        <v>1473</v>
      </c>
      <c r="K421" s="24">
        <v>3</v>
      </c>
      <c r="L421" s="24">
        <v>0</v>
      </c>
      <c r="M421" s="24">
        <v>0</v>
      </c>
      <c r="N421" s="24">
        <v>1</v>
      </c>
      <c r="O421" s="24">
        <v>0</v>
      </c>
      <c r="P421" s="24">
        <v>0</v>
      </c>
      <c r="Q421" s="24">
        <v>1</v>
      </c>
      <c r="R421" s="24">
        <v>0</v>
      </c>
      <c r="S421" s="24">
        <v>39</v>
      </c>
      <c r="T421" s="24">
        <v>0</v>
      </c>
      <c r="U421" s="24">
        <v>0</v>
      </c>
      <c r="V421" s="24">
        <v>1</v>
      </c>
      <c r="W421" s="24">
        <v>1</v>
      </c>
      <c r="X421" s="24">
        <v>1</v>
      </c>
      <c r="Y421" s="24">
        <v>1</v>
      </c>
      <c r="Z421" s="24">
        <v>0</v>
      </c>
      <c r="AA421" s="24">
        <v>1</v>
      </c>
      <c r="AB421" s="24">
        <v>0</v>
      </c>
      <c r="AC421" s="24">
        <v>0</v>
      </c>
      <c r="AD421" s="24">
        <v>0</v>
      </c>
      <c r="AE421" s="24">
        <v>1</v>
      </c>
      <c r="AF421" s="24">
        <v>0</v>
      </c>
      <c r="AG421" s="24">
        <v>0</v>
      </c>
      <c r="AH421" s="24">
        <v>1</v>
      </c>
      <c r="AI421" s="24">
        <v>0</v>
      </c>
      <c r="AJ421" s="24">
        <v>0</v>
      </c>
      <c r="AK421" s="24">
        <v>1</v>
      </c>
      <c r="AL421" s="24">
        <v>0</v>
      </c>
      <c r="AM421" s="24">
        <v>0</v>
      </c>
      <c r="AN421" s="24">
        <v>0</v>
      </c>
      <c r="AO421" s="24">
        <v>0</v>
      </c>
      <c r="AP421" s="24">
        <v>0</v>
      </c>
      <c r="AQ421" s="24">
        <v>1</v>
      </c>
      <c r="AR421" s="24">
        <v>0</v>
      </c>
      <c r="AS421" s="24">
        <v>0</v>
      </c>
      <c r="AT421" s="24">
        <v>0</v>
      </c>
      <c r="AU421" s="24">
        <v>0</v>
      </c>
      <c r="AV421" s="24">
        <v>0</v>
      </c>
      <c r="AW421" s="24">
        <v>0</v>
      </c>
      <c r="AX421" s="24">
        <v>1</v>
      </c>
      <c r="AY421" s="24">
        <v>0</v>
      </c>
      <c r="AZ421" s="24">
        <v>0</v>
      </c>
      <c r="BA421" s="24">
        <v>1</v>
      </c>
      <c r="BB421" s="24">
        <v>0</v>
      </c>
    </row>
    <row r="422" spans="2:54" ht="13.8" x14ac:dyDescent="0.3">
      <c r="B422" s="24">
        <v>402</v>
      </c>
      <c r="C422" s="24">
        <v>18</v>
      </c>
      <c r="D422" s="24">
        <v>0</v>
      </c>
      <c r="E422" s="24">
        <v>0</v>
      </c>
      <c r="F422" s="24">
        <v>0</v>
      </c>
      <c r="G422" s="24">
        <v>0</v>
      </c>
      <c r="H422" s="24">
        <v>0</v>
      </c>
      <c r="I422" s="24">
        <v>1</v>
      </c>
      <c r="J422" s="24">
        <v>1887</v>
      </c>
      <c r="K422" s="24">
        <v>4</v>
      </c>
      <c r="L422" s="24">
        <v>0</v>
      </c>
      <c r="M422" s="24">
        <v>0</v>
      </c>
      <c r="N422" s="24">
        <v>1</v>
      </c>
      <c r="O422" s="24">
        <v>0</v>
      </c>
      <c r="P422" s="24">
        <v>0</v>
      </c>
      <c r="Q422" s="24">
        <v>1</v>
      </c>
      <c r="R422" s="24">
        <v>0</v>
      </c>
      <c r="S422" s="24">
        <v>28</v>
      </c>
      <c r="T422" s="24">
        <v>1</v>
      </c>
      <c r="U422" s="24">
        <v>0</v>
      </c>
      <c r="V422" s="24">
        <v>1</v>
      </c>
      <c r="W422" s="24">
        <v>2</v>
      </c>
      <c r="X422" s="24">
        <v>1</v>
      </c>
      <c r="Y422" s="24">
        <v>0</v>
      </c>
      <c r="Z422" s="24">
        <v>0</v>
      </c>
      <c r="AA422" s="24">
        <v>1</v>
      </c>
      <c r="AB422" s="24">
        <v>0</v>
      </c>
      <c r="AC422" s="24">
        <v>1</v>
      </c>
      <c r="AD422" s="24">
        <v>0</v>
      </c>
      <c r="AE422" s="24">
        <v>0</v>
      </c>
      <c r="AF422" s="24">
        <v>0</v>
      </c>
      <c r="AG422" s="24">
        <v>0</v>
      </c>
      <c r="AH422" s="24">
        <v>0</v>
      </c>
      <c r="AI422" s="24">
        <v>0</v>
      </c>
      <c r="AJ422" s="24">
        <v>1</v>
      </c>
      <c r="AK422" s="24">
        <v>0</v>
      </c>
      <c r="AL422" s="24">
        <v>0</v>
      </c>
      <c r="AM422" s="24">
        <v>0</v>
      </c>
      <c r="AN422" s="24">
        <v>0</v>
      </c>
      <c r="AO422" s="24">
        <v>1</v>
      </c>
      <c r="AP422" s="24">
        <v>0</v>
      </c>
      <c r="AQ422" s="24">
        <v>0</v>
      </c>
      <c r="AR422" s="24">
        <v>1</v>
      </c>
      <c r="AS422" s="24">
        <v>0</v>
      </c>
      <c r="AT422" s="24">
        <v>0</v>
      </c>
      <c r="AU422" s="24">
        <v>0</v>
      </c>
      <c r="AV422" s="24">
        <v>0</v>
      </c>
      <c r="AW422" s="24">
        <v>0</v>
      </c>
      <c r="AX422" s="24">
        <v>1</v>
      </c>
      <c r="AY422" s="24">
        <v>0</v>
      </c>
      <c r="AZ422" s="24">
        <v>0</v>
      </c>
      <c r="BA422" s="24">
        <v>1</v>
      </c>
      <c r="BB422" s="24">
        <v>0</v>
      </c>
    </row>
    <row r="423" spans="2:54" ht="13.8" x14ac:dyDescent="0.3">
      <c r="B423" s="24">
        <v>403</v>
      </c>
      <c r="C423" s="24">
        <v>24</v>
      </c>
      <c r="D423" s="24">
        <v>0</v>
      </c>
      <c r="E423" s="24">
        <v>0</v>
      </c>
      <c r="F423" s="24">
        <v>0</v>
      </c>
      <c r="G423" s="24">
        <v>0</v>
      </c>
      <c r="H423" s="24">
        <v>0</v>
      </c>
      <c r="I423" s="24">
        <v>1</v>
      </c>
      <c r="J423" s="24">
        <v>8648</v>
      </c>
      <c r="K423" s="24">
        <v>2</v>
      </c>
      <c r="L423" s="24">
        <v>0</v>
      </c>
      <c r="M423" s="24">
        <v>1</v>
      </c>
      <c r="N423" s="24">
        <v>0</v>
      </c>
      <c r="O423" s="24">
        <v>0</v>
      </c>
      <c r="P423" s="24">
        <v>0</v>
      </c>
      <c r="Q423" s="24">
        <v>0</v>
      </c>
      <c r="R423" s="24">
        <v>0</v>
      </c>
      <c r="S423" s="24">
        <v>27</v>
      </c>
      <c r="T423" s="24">
        <v>1</v>
      </c>
      <c r="U423" s="24">
        <v>0</v>
      </c>
      <c r="V423" s="24">
        <v>1</v>
      </c>
      <c r="W423" s="24">
        <v>2</v>
      </c>
      <c r="X423" s="24">
        <v>1</v>
      </c>
      <c r="Y423" s="24">
        <v>1</v>
      </c>
      <c r="Z423" s="24">
        <v>0</v>
      </c>
      <c r="AA423" s="24">
        <v>0</v>
      </c>
      <c r="AB423" s="24">
        <v>0</v>
      </c>
      <c r="AC423" s="24">
        <v>0</v>
      </c>
      <c r="AD423" s="24">
        <v>0</v>
      </c>
      <c r="AE423" s="24">
        <v>1</v>
      </c>
      <c r="AF423" s="24">
        <v>0</v>
      </c>
      <c r="AG423" s="24">
        <v>0</v>
      </c>
      <c r="AH423" s="24">
        <v>0</v>
      </c>
      <c r="AI423" s="24">
        <v>1</v>
      </c>
      <c r="AJ423" s="24">
        <v>0</v>
      </c>
      <c r="AK423" s="24">
        <v>1</v>
      </c>
      <c r="AL423" s="24">
        <v>0</v>
      </c>
      <c r="AM423" s="24">
        <v>0</v>
      </c>
      <c r="AN423" s="24">
        <v>0</v>
      </c>
      <c r="AO423" s="24">
        <v>0</v>
      </c>
      <c r="AP423" s="24">
        <v>0</v>
      </c>
      <c r="AQ423" s="24">
        <v>1</v>
      </c>
      <c r="AR423" s="24">
        <v>0</v>
      </c>
      <c r="AS423" s="24">
        <v>0</v>
      </c>
      <c r="AT423" s="24">
        <v>0</v>
      </c>
      <c r="AU423" s="24">
        <v>0</v>
      </c>
      <c r="AV423" s="24">
        <v>1</v>
      </c>
      <c r="AW423" s="24">
        <v>0</v>
      </c>
      <c r="AX423" s="24">
        <v>0</v>
      </c>
      <c r="AY423" s="24">
        <v>0</v>
      </c>
      <c r="AZ423" s="24">
        <v>0</v>
      </c>
      <c r="BA423" s="24">
        <v>1</v>
      </c>
      <c r="BB423" s="24">
        <v>0</v>
      </c>
    </row>
    <row r="424" spans="2:54" ht="13.8" x14ac:dyDescent="0.3">
      <c r="B424" s="24">
        <v>404</v>
      </c>
      <c r="C424" s="24">
        <v>14</v>
      </c>
      <c r="D424" s="24">
        <v>1</v>
      </c>
      <c r="E424" s="24">
        <v>0</v>
      </c>
      <c r="F424" s="24">
        <v>0</v>
      </c>
      <c r="G424" s="24">
        <v>0</v>
      </c>
      <c r="H424" s="24">
        <v>0</v>
      </c>
      <c r="I424" s="24">
        <v>0</v>
      </c>
      <c r="J424" s="24">
        <v>802</v>
      </c>
      <c r="K424" s="24">
        <v>4</v>
      </c>
      <c r="L424" s="24">
        <v>0</v>
      </c>
      <c r="M424" s="24">
        <v>1</v>
      </c>
      <c r="N424" s="24">
        <v>0</v>
      </c>
      <c r="O424" s="24">
        <v>0</v>
      </c>
      <c r="P424" s="24">
        <v>0</v>
      </c>
      <c r="Q424" s="24">
        <v>0</v>
      </c>
      <c r="R424" s="24">
        <v>0</v>
      </c>
      <c r="S424" s="24">
        <v>27</v>
      </c>
      <c r="T424" s="24">
        <v>0</v>
      </c>
      <c r="U424" s="24">
        <v>0</v>
      </c>
      <c r="V424" s="24">
        <v>1</v>
      </c>
      <c r="W424" s="24">
        <v>2</v>
      </c>
      <c r="X424" s="24">
        <v>1</v>
      </c>
      <c r="Y424" s="24">
        <v>0</v>
      </c>
      <c r="Z424" s="24">
        <v>0</v>
      </c>
      <c r="AA424" s="24">
        <v>1</v>
      </c>
      <c r="AB424" s="24">
        <v>0</v>
      </c>
      <c r="AC424" s="24">
        <v>0</v>
      </c>
      <c r="AD424" s="24">
        <v>0</v>
      </c>
      <c r="AE424" s="24">
        <v>1</v>
      </c>
      <c r="AF424" s="24">
        <v>0</v>
      </c>
      <c r="AG424" s="24">
        <v>0</v>
      </c>
      <c r="AH424" s="24">
        <v>0</v>
      </c>
      <c r="AI424" s="24">
        <v>1</v>
      </c>
      <c r="AJ424" s="24">
        <v>0</v>
      </c>
      <c r="AK424" s="24">
        <v>1</v>
      </c>
      <c r="AL424" s="24">
        <v>0</v>
      </c>
      <c r="AM424" s="24">
        <v>0</v>
      </c>
      <c r="AN424" s="24">
        <v>0</v>
      </c>
      <c r="AO424" s="24">
        <v>0</v>
      </c>
      <c r="AP424" s="24">
        <v>0</v>
      </c>
      <c r="AQ424" s="24">
        <v>0</v>
      </c>
      <c r="AR424" s="24">
        <v>1</v>
      </c>
      <c r="AS424" s="24">
        <v>0</v>
      </c>
      <c r="AT424" s="24">
        <v>0</v>
      </c>
      <c r="AU424" s="24">
        <v>0</v>
      </c>
      <c r="AV424" s="24">
        <v>1</v>
      </c>
      <c r="AW424" s="24">
        <v>0</v>
      </c>
      <c r="AX424" s="24">
        <v>0</v>
      </c>
      <c r="AY424" s="24">
        <v>0</v>
      </c>
      <c r="AZ424" s="24">
        <v>1</v>
      </c>
      <c r="BA424" s="24">
        <v>0</v>
      </c>
      <c r="BB424" s="24">
        <v>0</v>
      </c>
    </row>
    <row r="425" spans="2:54" ht="13.8" x14ac:dyDescent="0.3">
      <c r="B425" s="24">
        <v>405</v>
      </c>
      <c r="C425" s="24">
        <v>18</v>
      </c>
      <c r="D425" s="24">
        <v>1</v>
      </c>
      <c r="E425" s="24">
        <v>0</v>
      </c>
      <c r="F425" s="24">
        <v>0</v>
      </c>
      <c r="G425" s="24">
        <v>0</v>
      </c>
      <c r="H425" s="24">
        <v>0</v>
      </c>
      <c r="I425" s="24">
        <v>0</v>
      </c>
      <c r="J425" s="24">
        <v>2899</v>
      </c>
      <c r="K425" s="24">
        <v>4</v>
      </c>
      <c r="L425" s="24">
        <v>0</v>
      </c>
      <c r="M425" s="24">
        <v>1</v>
      </c>
      <c r="N425" s="24">
        <v>0</v>
      </c>
      <c r="O425" s="24">
        <v>0</v>
      </c>
      <c r="P425" s="24">
        <v>0</v>
      </c>
      <c r="Q425" s="24">
        <v>0</v>
      </c>
      <c r="R425" s="24">
        <v>0</v>
      </c>
      <c r="S425" s="24">
        <v>43</v>
      </c>
      <c r="T425" s="24">
        <v>0</v>
      </c>
      <c r="U425" s="24">
        <v>0</v>
      </c>
      <c r="V425" s="24">
        <v>1</v>
      </c>
      <c r="W425" s="24">
        <v>1</v>
      </c>
      <c r="X425" s="24">
        <v>2</v>
      </c>
      <c r="Y425" s="24">
        <v>0</v>
      </c>
      <c r="Z425" s="24">
        <v>0</v>
      </c>
      <c r="AA425" s="24">
        <v>1</v>
      </c>
      <c r="AB425" s="24">
        <v>0</v>
      </c>
      <c r="AC425" s="24">
        <v>1</v>
      </c>
      <c r="AD425" s="24">
        <v>0</v>
      </c>
      <c r="AE425" s="24">
        <v>0</v>
      </c>
      <c r="AF425" s="24">
        <v>0</v>
      </c>
      <c r="AG425" s="24">
        <v>0</v>
      </c>
      <c r="AH425" s="24">
        <v>0</v>
      </c>
      <c r="AI425" s="24">
        <v>1</v>
      </c>
      <c r="AJ425" s="24">
        <v>0</v>
      </c>
      <c r="AK425" s="24">
        <v>0</v>
      </c>
      <c r="AL425" s="24">
        <v>0</v>
      </c>
      <c r="AM425" s="24">
        <v>0</v>
      </c>
      <c r="AN425" s="24">
        <v>0</v>
      </c>
      <c r="AO425" s="24">
        <v>1</v>
      </c>
      <c r="AP425" s="24">
        <v>0</v>
      </c>
      <c r="AQ425" s="24">
        <v>0</v>
      </c>
      <c r="AR425" s="24">
        <v>0</v>
      </c>
      <c r="AS425" s="24">
        <v>0</v>
      </c>
      <c r="AT425" s="24">
        <v>1</v>
      </c>
      <c r="AU425" s="24">
        <v>0</v>
      </c>
      <c r="AV425" s="24">
        <v>0</v>
      </c>
      <c r="AW425" s="24">
        <v>0</v>
      </c>
      <c r="AX425" s="24">
        <v>1</v>
      </c>
      <c r="AY425" s="24">
        <v>0</v>
      </c>
      <c r="AZ425" s="24">
        <v>0</v>
      </c>
      <c r="BA425" s="24">
        <v>1</v>
      </c>
      <c r="BB425" s="24">
        <v>0</v>
      </c>
    </row>
    <row r="426" spans="2:54" ht="13.8" x14ac:dyDescent="0.3">
      <c r="B426" s="24">
        <v>406</v>
      </c>
      <c r="C426" s="24">
        <v>24</v>
      </c>
      <c r="D426" s="24">
        <v>0</v>
      </c>
      <c r="E426" s="24">
        <v>0</v>
      </c>
      <c r="F426" s="24">
        <v>0</v>
      </c>
      <c r="G426" s="24">
        <v>1</v>
      </c>
      <c r="H426" s="24">
        <v>0</v>
      </c>
      <c r="I426" s="24">
        <v>0</v>
      </c>
      <c r="J426" s="24">
        <v>2039</v>
      </c>
      <c r="K426" s="24">
        <v>1</v>
      </c>
      <c r="L426" s="24">
        <v>0</v>
      </c>
      <c r="M426" s="24">
        <v>0</v>
      </c>
      <c r="N426" s="24">
        <v>1</v>
      </c>
      <c r="O426" s="24">
        <v>0</v>
      </c>
      <c r="P426" s="24">
        <v>0</v>
      </c>
      <c r="Q426" s="24">
        <v>0</v>
      </c>
      <c r="R426" s="24">
        <v>0</v>
      </c>
      <c r="S426" s="24">
        <v>22</v>
      </c>
      <c r="T426" s="24">
        <v>0</v>
      </c>
      <c r="U426" s="24">
        <v>0</v>
      </c>
      <c r="V426" s="24">
        <v>1</v>
      </c>
      <c r="W426" s="24">
        <v>1</v>
      </c>
      <c r="X426" s="24">
        <v>1</v>
      </c>
      <c r="Y426" s="24">
        <v>1</v>
      </c>
      <c r="Z426" s="24">
        <v>0</v>
      </c>
      <c r="AA426" s="24">
        <v>0</v>
      </c>
      <c r="AB426" s="24">
        <v>0</v>
      </c>
      <c r="AC426" s="24">
        <v>1</v>
      </c>
      <c r="AD426" s="24">
        <v>0</v>
      </c>
      <c r="AE426" s="24">
        <v>0</v>
      </c>
      <c r="AF426" s="24">
        <v>0</v>
      </c>
      <c r="AG426" s="24">
        <v>0</v>
      </c>
      <c r="AH426" s="24">
        <v>1</v>
      </c>
      <c r="AI426" s="24">
        <v>0</v>
      </c>
      <c r="AJ426" s="24">
        <v>0</v>
      </c>
      <c r="AK426" s="24">
        <v>1</v>
      </c>
      <c r="AL426" s="24">
        <v>0</v>
      </c>
      <c r="AM426" s="24">
        <v>0</v>
      </c>
      <c r="AN426" s="24">
        <v>0</v>
      </c>
      <c r="AO426" s="24">
        <v>0</v>
      </c>
      <c r="AP426" s="24">
        <v>0</v>
      </c>
      <c r="AQ426" s="24">
        <v>1</v>
      </c>
      <c r="AR426" s="24">
        <v>0</v>
      </c>
      <c r="AS426" s="24">
        <v>0</v>
      </c>
      <c r="AT426" s="24">
        <v>0</v>
      </c>
      <c r="AU426" s="24">
        <v>1</v>
      </c>
      <c r="AV426" s="24">
        <v>0</v>
      </c>
      <c r="AW426" s="24">
        <v>0</v>
      </c>
      <c r="AX426" s="24">
        <v>0</v>
      </c>
      <c r="AY426" s="24">
        <v>0</v>
      </c>
      <c r="AZ426" s="24">
        <v>0</v>
      </c>
      <c r="BA426" s="24">
        <v>1</v>
      </c>
      <c r="BB426" s="24">
        <v>0</v>
      </c>
    </row>
    <row r="427" spans="2:54" ht="13.8" x14ac:dyDescent="0.3">
      <c r="B427" s="24">
        <v>407</v>
      </c>
      <c r="C427" s="24">
        <v>24</v>
      </c>
      <c r="D427" s="24">
        <v>0</v>
      </c>
      <c r="E427" s="24">
        <v>1</v>
      </c>
      <c r="F427" s="24">
        <v>0</v>
      </c>
      <c r="G427" s="24">
        <v>0</v>
      </c>
      <c r="H427" s="24">
        <v>0</v>
      </c>
      <c r="I427" s="24">
        <v>0</v>
      </c>
      <c r="J427" s="24">
        <v>2197</v>
      </c>
      <c r="K427" s="24">
        <v>4</v>
      </c>
      <c r="L427" s="24">
        <v>0</v>
      </c>
      <c r="M427" s="24">
        <v>1</v>
      </c>
      <c r="N427" s="24">
        <v>0</v>
      </c>
      <c r="O427" s="24">
        <v>0</v>
      </c>
      <c r="P427" s="24">
        <v>0</v>
      </c>
      <c r="Q427" s="24">
        <v>0</v>
      </c>
      <c r="R427" s="24">
        <v>0</v>
      </c>
      <c r="S427" s="24">
        <v>43</v>
      </c>
      <c r="T427" s="24">
        <v>0</v>
      </c>
      <c r="U427" s="24">
        <v>0</v>
      </c>
      <c r="V427" s="24">
        <v>1</v>
      </c>
      <c r="W427" s="24">
        <v>2</v>
      </c>
      <c r="X427" s="24">
        <v>2</v>
      </c>
      <c r="Y427" s="24">
        <v>1</v>
      </c>
      <c r="Z427" s="24">
        <v>0</v>
      </c>
      <c r="AA427" s="24">
        <v>1</v>
      </c>
      <c r="AB427" s="24">
        <v>0</v>
      </c>
      <c r="AC427" s="24">
        <v>0</v>
      </c>
      <c r="AD427" s="24">
        <v>0</v>
      </c>
      <c r="AE427" s="24">
        <v>1</v>
      </c>
      <c r="AF427" s="24">
        <v>0</v>
      </c>
      <c r="AG427" s="24">
        <v>0</v>
      </c>
      <c r="AH427" s="24">
        <v>0</v>
      </c>
      <c r="AI427" s="24">
        <v>0</v>
      </c>
      <c r="AJ427" s="24">
        <v>1</v>
      </c>
      <c r="AK427" s="24">
        <v>0</v>
      </c>
      <c r="AL427" s="24">
        <v>0</v>
      </c>
      <c r="AM427" s="24">
        <v>0</v>
      </c>
      <c r="AN427" s="24">
        <v>0</v>
      </c>
      <c r="AO427" s="24">
        <v>1</v>
      </c>
      <c r="AP427" s="24">
        <v>0</v>
      </c>
      <c r="AQ427" s="24">
        <v>0</v>
      </c>
      <c r="AR427" s="24">
        <v>0</v>
      </c>
      <c r="AS427" s="24">
        <v>1</v>
      </c>
      <c r="AT427" s="24">
        <v>0</v>
      </c>
      <c r="AU427" s="24">
        <v>0</v>
      </c>
      <c r="AV427" s="24">
        <v>0</v>
      </c>
      <c r="AW427" s="24">
        <v>0</v>
      </c>
      <c r="AX427" s="24">
        <v>1</v>
      </c>
      <c r="AY427" s="24">
        <v>0</v>
      </c>
      <c r="AZ427" s="24">
        <v>0</v>
      </c>
      <c r="BA427" s="24">
        <v>1</v>
      </c>
      <c r="BB427" s="24">
        <v>0</v>
      </c>
    </row>
    <row r="428" spans="2:54" ht="13.8" x14ac:dyDescent="0.3">
      <c r="B428" s="24">
        <v>408</v>
      </c>
      <c r="C428" s="24">
        <v>15</v>
      </c>
      <c r="D428" s="24">
        <v>0</v>
      </c>
      <c r="E428" s="24">
        <v>0</v>
      </c>
      <c r="F428" s="24">
        <v>0</v>
      </c>
      <c r="G428" s="24">
        <v>1</v>
      </c>
      <c r="H428" s="24">
        <v>0</v>
      </c>
      <c r="I428" s="24">
        <v>0</v>
      </c>
      <c r="J428" s="24">
        <v>1053</v>
      </c>
      <c r="K428" s="24">
        <v>4</v>
      </c>
      <c r="L428" s="24">
        <v>0</v>
      </c>
      <c r="M428" s="24">
        <v>0</v>
      </c>
      <c r="N428" s="24">
        <v>1</v>
      </c>
      <c r="O428" s="24">
        <v>0</v>
      </c>
      <c r="P428" s="24">
        <v>0</v>
      </c>
      <c r="Q428" s="24">
        <v>1</v>
      </c>
      <c r="R428" s="24">
        <v>0</v>
      </c>
      <c r="S428" s="24">
        <v>27</v>
      </c>
      <c r="T428" s="24">
        <v>0</v>
      </c>
      <c r="U428" s="24">
        <v>0</v>
      </c>
      <c r="V428" s="24">
        <v>1</v>
      </c>
      <c r="W428" s="24">
        <v>1</v>
      </c>
      <c r="X428" s="24">
        <v>1</v>
      </c>
      <c r="Y428" s="24">
        <v>0</v>
      </c>
      <c r="Z428" s="24">
        <v>1</v>
      </c>
      <c r="AA428" s="24">
        <v>1</v>
      </c>
      <c r="AB428" s="24">
        <v>1</v>
      </c>
      <c r="AC428" s="24">
        <v>0</v>
      </c>
      <c r="AD428" s="24">
        <v>0</v>
      </c>
      <c r="AE428" s="24">
        <v>0</v>
      </c>
      <c r="AF428" s="24">
        <v>0</v>
      </c>
      <c r="AG428" s="24">
        <v>0</v>
      </c>
      <c r="AH428" s="24">
        <v>1</v>
      </c>
      <c r="AI428" s="24">
        <v>0</v>
      </c>
      <c r="AJ428" s="24">
        <v>0</v>
      </c>
      <c r="AK428" s="24">
        <v>1</v>
      </c>
      <c r="AL428" s="24">
        <v>0</v>
      </c>
      <c r="AM428" s="24">
        <v>0</v>
      </c>
      <c r="AN428" s="24">
        <v>0</v>
      </c>
      <c r="AO428" s="24">
        <v>0</v>
      </c>
      <c r="AP428" s="24">
        <v>0</v>
      </c>
      <c r="AQ428" s="24">
        <v>1</v>
      </c>
      <c r="AR428" s="24">
        <v>0</v>
      </c>
      <c r="AS428" s="24">
        <v>0</v>
      </c>
      <c r="AT428" s="24">
        <v>0</v>
      </c>
      <c r="AU428" s="24">
        <v>0</v>
      </c>
      <c r="AV428" s="24">
        <v>1</v>
      </c>
      <c r="AW428" s="24">
        <v>0</v>
      </c>
      <c r="AX428" s="24">
        <v>0</v>
      </c>
      <c r="AY428" s="24">
        <v>0</v>
      </c>
      <c r="AZ428" s="24">
        <v>0</v>
      </c>
      <c r="BA428" s="24">
        <v>1</v>
      </c>
      <c r="BB428" s="24">
        <v>0</v>
      </c>
    </row>
    <row r="429" spans="2:54" ht="13.8" x14ac:dyDescent="0.3">
      <c r="B429" s="24">
        <v>409</v>
      </c>
      <c r="C429" s="24">
        <v>24</v>
      </c>
      <c r="D429" s="24">
        <v>0</v>
      </c>
      <c r="E429" s="24">
        <v>0</v>
      </c>
      <c r="F429" s="24">
        <v>0</v>
      </c>
      <c r="G429" s="24">
        <v>1</v>
      </c>
      <c r="H429" s="24">
        <v>0</v>
      </c>
      <c r="I429" s="24">
        <v>0</v>
      </c>
      <c r="J429" s="24">
        <v>3235</v>
      </c>
      <c r="K429" s="24">
        <v>3</v>
      </c>
      <c r="L429" s="24">
        <v>1</v>
      </c>
      <c r="M429" s="24">
        <v>0</v>
      </c>
      <c r="N429" s="24">
        <v>0</v>
      </c>
      <c r="O429" s="24">
        <v>0</v>
      </c>
      <c r="P429" s="24">
        <v>0</v>
      </c>
      <c r="Q429" s="24">
        <v>0</v>
      </c>
      <c r="R429" s="24">
        <v>0</v>
      </c>
      <c r="S429" s="24">
        <v>26</v>
      </c>
      <c r="T429" s="24">
        <v>0</v>
      </c>
      <c r="U429" s="24">
        <v>0</v>
      </c>
      <c r="V429" s="24">
        <v>1</v>
      </c>
      <c r="W429" s="24">
        <v>1</v>
      </c>
      <c r="X429" s="24">
        <v>1</v>
      </c>
      <c r="Y429" s="24">
        <v>1</v>
      </c>
      <c r="Z429" s="24">
        <v>0</v>
      </c>
      <c r="AA429" s="24">
        <v>1</v>
      </c>
      <c r="AB429" s="24">
        <v>0</v>
      </c>
      <c r="AC429" s="24">
        <v>0</v>
      </c>
      <c r="AD429" s="24">
        <v>0</v>
      </c>
      <c r="AE429" s="24">
        <v>1</v>
      </c>
      <c r="AF429" s="24">
        <v>0</v>
      </c>
      <c r="AG429" s="24">
        <v>0</v>
      </c>
      <c r="AH429" s="24">
        <v>1</v>
      </c>
      <c r="AI429" s="24">
        <v>0</v>
      </c>
      <c r="AJ429" s="24">
        <v>0</v>
      </c>
      <c r="AK429" s="24">
        <v>0</v>
      </c>
      <c r="AL429" s="24">
        <v>0</v>
      </c>
      <c r="AM429" s="24">
        <v>1</v>
      </c>
      <c r="AN429" s="24">
        <v>0</v>
      </c>
      <c r="AO429" s="24">
        <v>0</v>
      </c>
      <c r="AP429" s="24">
        <v>0</v>
      </c>
      <c r="AQ429" s="24">
        <v>0</v>
      </c>
      <c r="AR429" s="24">
        <v>0</v>
      </c>
      <c r="AS429" s="24">
        <v>0</v>
      </c>
      <c r="AT429" s="24">
        <v>1</v>
      </c>
      <c r="AU429" s="24">
        <v>0</v>
      </c>
      <c r="AV429" s="24">
        <v>1</v>
      </c>
      <c r="AW429" s="24">
        <v>0</v>
      </c>
      <c r="AX429" s="24">
        <v>0</v>
      </c>
      <c r="AY429" s="24">
        <v>0</v>
      </c>
      <c r="AZ429" s="24">
        <v>0</v>
      </c>
      <c r="BA429" s="24">
        <v>0</v>
      </c>
      <c r="BB429" s="24">
        <v>1</v>
      </c>
    </row>
    <row r="430" spans="2:54" ht="13.8" x14ac:dyDescent="0.3">
      <c r="B430" s="24">
        <v>410</v>
      </c>
      <c r="C430" s="24">
        <v>12</v>
      </c>
      <c r="D430" s="24">
        <v>1</v>
      </c>
      <c r="E430" s="24">
        <v>0</v>
      </c>
      <c r="F430" s="24">
        <v>0</v>
      </c>
      <c r="G430" s="24">
        <v>0</v>
      </c>
      <c r="H430" s="24">
        <v>0</v>
      </c>
      <c r="I430" s="24">
        <v>0</v>
      </c>
      <c r="J430" s="24">
        <v>939</v>
      </c>
      <c r="K430" s="24">
        <v>4</v>
      </c>
      <c r="L430" s="24">
        <v>0</v>
      </c>
      <c r="M430" s="24">
        <v>0</v>
      </c>
      <c r="N430" s="24">
        <v>1</v>
      </c>
      <c r="O430" s="24">
        <v>0</v>
      </c>
      <c r="P430" s="24">
        <v>0</v>
      </c>
      <c r="Q430" s="24">
        <v>1</v>
      </c>
      <c r="R430" s="24">
        <v>0</v>
      </c>
      <c r="S430" s="24">
        <v>28</v>
      </c>
      <c r="T430" s="24">
        <v>0</v>
      </c>
      <c r="U430" s="24">
        <v>0</v>
      </c>
      <c r="V430" s="24">
        <v>1</v>
      </c>
      <c r="W430" s="24">
        <v>3</v>
      </c>
      <c r="X430" s="24">
        <v>1</v>
      </c>
      <c r="Y430" s="24">
        <v>1</v>
      </c>
      <c r="Z430" s="24">
        <v>0</v>
      </c>
      <c r="AA430" s="24">
        <v>0</v>
      </c>
      <c r="AB430" s="24">
        <v>0</v>
      </c>
      <c r="AC430" s="24">
        <v>0</v>
      </c>
      <c r="AD430" s="24">
        <v>1</v>
      </c>
      <c r="AE430" s="24">
        <v>0</v>
      </c>
      <c r="AF430" s="24">
        <v>0</v>
      </c>
      <c r="AG430" s="24">
        <v>0</v>
      </c>
      <c r="AH430" s="24">
        <v>0</v>
      </c>
      <c r="AI430" s="24">
        <v>0</v>
      </c>
      <c r="AJ430" s="24">
        <v>1</v>
      </c>
      <c r="AK430" s="24">
        <v>0</v>
      </c>
      <c r="AL430" s="24">
        <v>0</v>
      </c>
      <c r="AM430" s="24">
        <v>1</v>
      </c>
      <c r="AN430" s="24">
        <v>0</v>
      </c>
      <c r="AO430" s="24">
        <v>0</v>
      </c>
      <c r="AP430" s="24">
        <v>0</v>
      </c>
      <c r="AQ430" s="24">
        <v>0</v>
      </c>
      <c r="AR430" s="24">
        <v>0</v>
      </c>
      <c r="AS430" s="24">
        <v>1</v>
      </c>
      <c r="AT430" s="24">
        <v>0</v>
      </c>
      <c r="AU430" s="24">
        <v>0</v>
      </c>
      <c r="AV430" s="24">
        <v>1</v>
      </c>
      <c r="AW430" s="24">
        <v>0</v>
      </c>
      <c r="AX430" s="24">
        <v>0</v>
      </c>
      <c r="AY430" s="24">
        <v>0</v>
      </c>
      <c r="AZ430" s="24">
        <v>0</v>
      </c>
      <c r="BA430" s="24">
        <v>1</v>
      </c>
      <c r="BB430" s="24">
        <v>0</v>
      </c>
    </row>
    <row r="431" spans="2:54" ht="13.8" x14ac:dyDescent="0.3">
      <c r="B431" s="24">
        <v>411</v>
      </c>
      <c r="C431" s="24">
        <v>24</v>
      </c>
      <c r="D431" s="24">
        <v>0</v>
      </c>
      <c r="E431" s="24">
        <v>0</v>
      </c>
      <c r="F431" s="24">
        <v>0</v>
      </c>
      <c r="G431" s="24">
        <v>1</v>
      </c>
      <c r="H431" s="24">
        <v>0</v>
      </c>
      <c r="I431" s="24">
        <v>0</v>
      </c>
      <c r="J431" s="24">
        <v>1967</v>
      </c>
      <c r="K431" s="24">
        <v>4</v>
      </c>
      <c r="L431" s="24">
        <v>0</v>
      </c>
      <c r="M431" s="24">
        <v>0</v>
      </c>
      <c r="N431" s="24">
        <v>0</v>
      </c>
      <c r="O431" s="24">
        <v>0</v>
      </c>
      <c r="P431" s="24">
        <v>0</v>
      </c>
      <c r="Q431" s="24">
        <v>0</v>
      </c>
      <c r="R431" s="24">
        <v>0</v>
      </c>
      <c r="S431" s="24">
        <v>20</v>
      </c>
      <c r="T431" s="24">
        <v>0</v>
      </c>
      <c r="U431" s="24">
        <v>0</v>
      </c>
      <c r="V431" s="24">
        <v>1</v>
      </c>
      <c r="W431" s="24">
        <v>1</v>
      </c>
      <c r="X431" s="24">
        <v>1</v>
      </c>
      <c r="Y431" s="24">
        <v>1</v>
      </c>
      <c r="Z431" s="24">
        <v>0</v>
      </c>
      <c r="AA431" s="24">
        <v>1</v>
      </c>
      <c r="AB431" s="24">
        <v>0</v>
      </c>
      <c r="AC431" s="24">
        <v>1</v>
      </c>
      <c r="AD431" s="24">
        <v>0</v>
      </c>
      <c r="AE431" s="24">
        <v>0</v>
      </c>
      <c r="AF431" s="24">
        <v>0</v>
      </c>
      <c r="AG431" s="24">
        <v>0</v>
      </c>
      <c r="AH431" s="24">
        <v>1</v>
      </c>
      <c r="AI431" s="24">
        <v>0</v>
      </c>
      <c r="AJ431" s="24">
        <v>0</v>
      </c>
      <c r="AK431" s="24">
        <v>1</v>
      </c>
      <c r="AL431" s="24">
        <v>0</v>
      </c>
      <c r="AM431" s="24">
        <v>0</v>
      </c>
      <c r="AN431" s="24">
        <v>0</v>
      </c>
      <c r="AO431" s="24">
        <v>0</v>
      </c>
      <c r="AP431" s="24">
        <v>0</v>
      </c>
      <c r="AQ431" s="24">
        <v>0</v>
      </c>
      <c r="AR431" s="24">
        <v>0</v>
      </c>
      <c r="AS431" s="24">
        <v>0</v>
      </c>
      <c r="AT431" s="24">
        <v>1</v>
      </c>
      <c r="AU431" s="24">
        <v>0</v>
      </c>
      <c r="AV431" s="24">
        <v>0</v>
      </c>
      <c r="AW431" s="24">
        <v>0</v>
      </c>
      <c r="AX431" s="24">
        <v>1</v>
      </c>
      <c r="AY431" s="24">
        <v>0</v>
      </c>
      <c r="AZ431" s="24">
        <v>0</v>
      </c>
      <c r="BA431" s="24">
        <v>1</v>
      </c>
      <c r="BB431" s="24">
        <v>0</v>
      </c>
    </row>
    <row r="432" spans="2:54" ht="13.8" x14ac:dyDescent="0.3">
      <c r="B432" s="24">
        <v>412</v>
      </c>
      <c r="C432" s="24">
        <v>33</v>
      </c>
      <c r="D432" s="24">
        <v>0</v>
      </c>
      <c r="E432" s="24">
        <v>1</v>
      </c>
      <c r="F432" s="24">
        <v>0</v>
      </c>
      <c r="G432" s="24">
        <v>0</v>
      </c>
      <c r="H432" s="24">
        <v>0</v>
      </c>
      <c r="I432" s="24">
        <v>0</v>
      </c>
      <c r="J432" s="24">
        <v>7253</v>
      </c>
      <c r="K432" s="24">
        <v>3</v>
      </c>
      <c r="L432" s="24">
        <v>0</v>
      </c>
      <c r="M432" s="24">
        <v>1</v>
      </c>
      <c r="N432" s="24">
        <v>0</v>
      </c>
      <c r="O432" s="24">
        <v>0</v>
      </c>
      <c r="P432" s="24">
        <v>0</v>
      </c>
      <c r="Q432" s="24">
        <v>0</v>
      </c>
      <c r="R432" s="24">
        <v>0</v>
      </c>
      <c r="S432" s="24">
        <v>35</v>
      </c>
      <c r="T432" s="24">
        <v>0</v>
      </c>
      <c r="U432" s="24">
        <v>0</v>
      </c>
      <c r="V432" s="24">
        <v>1</v>
      </c>
      <c r="W432" s="24">
        <v>2</v>
      </c>
      <c r="X432" s="24">
        <v>1</v>
      </c>
      <c r="Y432" s="24">
        <v>1</v>
      </c>
      <c r="Z432" s="24">
        <v>0</v>
      </c>
      <c r="AA432" s="24">
        <v>1</v>
      </c>
      <c r="AB432" s="24">
        <v>0</v>
      </c>
      <c r="AC432" s="24">
        <v>0</v>
      </c>
      <c r="AD432" s="24">
        <v>0</v>
      </c>
      <c r="AE432" s="24">
        <v>1</v>
      </c>
      <c r="AF432" s="24">
        <v>0</v>
      </c>
      <c r="AG432" s="24">
        <v>0</v>
      </c>
      <c r="AH432" s="24">
        <v>0</v>
      </c>
      <c r="AI432" s="24">
        <v>0</v>
      </c>
      <c r="AJ432" s="24">
        <v>1</v>
      </c>
      <c r="AK432" s="24">
        <v>1</v>
      </c>
      <c r="AL432" s="24">
        <v>0</v>
      </c>
      <c r="AM432" s="24">
        <v>0</v>
      </c>
      <c r="AN432" s="24">
        <v>0</v>
      </c>
      <c r="AO432" s="24">
        <v>0</v>
      </c>
      <c r="AP432" s="24">
        <v>0</v>
      </c>
      <c r="AQ432" s="24">
        <v>0</v>
      </c>
      <c r="AR432" s="24">
        <v>0</v>
      </c>
      <c r="AS432" s="24">
        <v>1</v>
      </c>
      <c r="AT432" s="24">
        <v>0</v>
      </c>
      <c r="AU432" s="24">
        <v>0</v>
      </c>
      <c r="AV432" s="24">
        <v>1</v>
      </c>
      <c r="AW432" s="24">
        <v>0</v>
      </c>
      <c r="AX432" s="24">
        <v>0</v>
      </c>
      <c r="AY432" s="24">
        <v>0</v>
      </c>
      <c r="AZ432" s="24">
        <v>0</v>
      </c>
      <c r="BA432" s="24">
        <v>0</v>
      </c>
      <c r="BB432" s="24">
        <v>1</v>
      </c>
    </row>
    <row r="433" spans="2:54" ht="13.8" x14ac:dyDescent="0.3">
      <c r="B433" s="24">
        <v>413</v>
      </c>
      <c r="C433" s="24">
        <v>12</v>
      </c>
      <c r="D433" s="24">
        <v>0</v>
      </c>
      <c r="E433" s="24">
        <v>0</v>
      </c>
      <c r="F433" s="24">
        <v>0</v>
      </c>
      <c r="G433" s="24">
        <v>0</v>
      </c>
      <c r="H433" s="24">
        <v>0</v>
      </c>
      <c r="I433" s="24">
        <v>1</v>
      </c>
      <c r="J433" s="24">
        <v>2292</v>
      </c>
      <c r="K433" s="24">
        <v>4</v>
      </c>
      <c r="L433" s="24">
        <v>0</v>
      </c>
      <c r="M433" s="24">
        <v>1</v>
      </c>
      <c r="N433" s="24">
        <v>0</v>
      </c>
      <c r="O433" s="24">
        <v>0</v>
      </c>
      <c r="P433" s="24">
        <v>0</v>
      </c>
      <c r="Q433" s="24">
        <v>0</v>
      </c>
      <c r="R433" s="24">
        <v>0</v>
      </c>
      <c r="S433" s="24">
        <v>42</v>
      </c>
      <c r="T433" s="24">
        <v>1</v>
      </c>
      <c r="U433" s="24">
        <v>0</v>
      </c>
      <c r="V433" s="24">
        <v>1</v>
      </c>
      <c r="W433" s="24">
        <v>2</v>
      </c>
      <c r="X433" s="24">
        <v>1</v>
      </c>
      <c r="Y433" s="24">
        <v>1</v>
      </c>
      <c r="Z433" s="24">
        <v>0</v>
      </c>
      <c r="AA433" s="24">
        <v>0</v>
      </c>
      <c r="AB433" s="24">
        <v>0</v>
      </c>
      <c r="AC433" s="24">
        <v>0</v>
      </c>
      <c r="AD433" s="24">
        <v>0</v>
      </c>
      <c r="AE433" s="24">
        <v>1</v>
      </c>
      <c r="AF433" s="24">
        <v>0</v>
      </c>
      <c r="AG433" s="24">
        <v>0</v>
      </c>
      <c r="AH433" s="24">
        <v>0</v>
      </c>
      <c r="AI433" s="24">
        <v>0</v>
      </c>
      <c r="AJ433" s="24">
        <v>1</v>
      </c>
      <c r="AK433" s="24">
        <v>1</v>
      </c>
      <c r="AL433" s="24">
        <v>0</v>
      </c>
      <c r="AM433" s="24">
        <v>0</v>
      </c>
      <c r="AN433" s="24">
        <v>0</v>
      </c>
      <c r="AO433" s="24">
        <v>0</v>
      </c>
      <c r="AP433" s="24">
        <v>1</v>
      </c>
      <c r="AQ433" s="24">
        <v>0</v>
      </c>
      <c r="AR433" s="24">
        <v>0</v>
      </c>
      <c r="AS433" s="24">
        <v>0</v>
      </c>
      <c r="AT433" s="24">
        <v>0</v>
      </c>
      <c r="AU433" s="24">
        <v>0</v>
      </c>
      <c r="AV433" s="24">
        <v>1</v>
      </c>
      <c r="AW433" s="24">
        <v>0</v>
      </c>
      <c r="AX433" s="24">
        <v>0</v>
      </c>
      <c r="AY433" s="24">
        <v>0</v>
      </c>
      <c r="AZ433" s="24">
        <v>0</v>
      </c>
      <c r="BA433" s="24">
        <v>0</v>
      </c>
      <c r="BB433" s="24">
        <v>1</v>
      </c>
    </row>
    <row r="434" spans="2:54" ht="13.8" x14ac:dyDescent="0.3">
      <c r="B434" s="24">
        <v>414</v>
      </c>
      <c r="C434" s="24">
        <v>10</v>
      </c>
      <c r="D434" s="24">
        <v>1</v>
      </c>
      <c r="E434" s="24">
        <v>0</v>
      </c>
      <c r="F434" s="24">
        <v>0</v>
      </c>
      <c r="G434" s="24">
        <v>0</v>
      </c>
      <c r="H434" s="24">
        <v>0</v>
      </c>
      <c r="I434" s="24">
        <v>0</v>
      </c>
      <c r="J434" s="24">
        <v>1597</v>
      </c>
      <c r="K434" s="24">
        <v>3</v>
      </c>
      <c r="L434" s="24">
        <v>0</v>
      </c>
      <c r="M434" s="24">
        <v>1</v>
      </c>
      <c r="N434" s="24">
        <v>0</v>
      </c>
      <c r="O434" s="24">
        <v>0</v>
      </c>
      <c r="P434" s="24">
        <v>0</v>
      </c>
      <c r="Q434" s="24">
        <v>0</v>
      </c>
      <c r="R434" s="24">
        <v>1</v>
      </c>
      <c r="S434" s="24">
        <v>40</v>
      </c>
      <c r="T434" s="24">
        <v>0</v>
      </c>
      <c r="U434" s="24">
        <v>1</v>
      </c>
      <c r="V434" s="24">
        <v>0</v>
      </c>
      <c r="W434" s="24">
        <v>1</v>
      </c>
      <c r="X434" s="24">
        <v>2</v>
      </c>
      <c r="Y434" s="24">
        <v>0</v>
      </c>
      <c r="Z434" s="24">
        <v>1</v>
      </c>
      <c r="AA434" s="24">
        <v>1</v>
      </c>
      <c r="AB434" s="24">
        <v>0</v>
      </c>
      <c r="AC434" s="24">
        <v>0</v>
      </c>
      <c r="AD434" s="24">
        <v>0</v>
      </c>
      <c r="AE434" s="24">
        <v>1</v>
      </c>
      <c r="AF434" s="24">
        <v>0</v>
      </c>
      <c r="AG434" s="24">
        <v>0</v>
      </c>
      <c r="AH434" s="24">
        <v>1</v>
      </c>
      <c r="AI434" s="24">
        <v>0</v>
      </c>
      <c r="AJ434" s="24">
        <v>0</v>
      </c>
      <c r="AK434" s="24">
        <v>0</v>
      </c>
      <c r="AL434" s="24">
        <v>0</v>
      </c>
      <c r="AM434" s="24">
        <v>1</v>
      </c>
      <c r="AN434" s="24">
        <v>0</v>
      </c>
      <c r="AO434" s="24">
        <v>0</v>
      </c>
      <c r="AP434" s="24">
        <v>0</v>
      </c>
      <c r="AQ434" s="24">
        <v>0</v>
      </c>
      <c r="AR434" s="24">
        <v>1</v>
      </c>
      <c r="AS434" s="24">
        <v>0</v>
      </c>
      <c r="AT434" s="24">
        <v>0</v>
      </c>
      <c r="AU434" s="24">
        <v>0</v>
      </c>
      <c r="AV434" s="24">
        <v>1</v>
      </c>
      <c r="AW434" s="24">
        <v>0</v>
      </c>
      <c r="AX434" s="24">
        <v>0</v>
      </c>
      <c r="AY434" s="24">
        <v>0</v>
      </c>
      <c r="AZ434" s="24">
        <v>1</v>
      </c>
      <c r="BA434" s="24">
        <v>0</v>
      </c>
      <c r="BB434" s="24">
        <v>0</v>
      </c>
    </row>
    <row r="435" spans="2:54" ht="13.8" x14ac:dyDescent="0.3">
      <c r="B435" s="24">
        <v>415</v>
      </c>
      <c r="C435" s="24">
        <v>24</v>
      </c>
      <c r="D435" s="24">
        <v>1</v>
      </c>
      <c r="E435" s="24">
        <v>0</v>
      </c>
      <c r="F435" s="24">
        <v>0</v>
      </c>
      <c r="G435" s="24">
        <v>0</v>
      </c>
      <c r="H435" s="24">
        <v>0</v>
      </c>
      <c r="I435" s="24">
        <v>0</v>
      </c>
      <c r="J435" s="24">
        <v>1381</v>
      </c>
      <c r="K435" s="24">
        <v>4</v>
      </c>
      <c r="L435" s="24">
        <v>0</v>
      </c>
      <c r="M435" s="24">
        <v>0</v>
      </c>
      <c r="N435" s="24">
        <v>0</v>
      </c>
      <c r="O435" s="24">
        <v>0</v>
      </c>
      <c r="P435" s="24">
        <v>0</v>
      </c>
      <c r="Q435" s="24">
        <v>0</v>
      </c>
      <c r="R435" s="24">
        <v>0</v>
      </c>
      <c r="S435" s="24">
        <v>35</v>
      </c>
      <c r="T435" s="24">
        <v>0</v>
      </c>
      <c r="U435" s="24">
        <v>0</v>
      </c>
      <c r="V435" s="24">
        <v>1</v>
      </c>
      <c r="W435" s="24">
        <v>1</v>
      </c>
      <c r="X435" s="24">
        <v>1</v>
      </c>
      <c r="Y435" s="24">
        <v>0</v>
      </c>
      <c r="Z435" s="24">
        <v>0</v>
      </c>
      <c r="AA435" s="24">
        <v>0</v>
      </c>
      <c r="AB435" s="24">
        <v>1</v>
      </c>
      <c r="AC435" s="24">
        <v>0</v>
      </c>
      <c r="AD435" s="24">
        <v>0</v>
      </c>
      <c r="AE435" s="24">
        <v>0</v>
      </c>
      <c r="AF435" s="24">
        <v>0</v>
      </c>
      <c r="AG435" s="24">
        <v>0</v>
      </c>
      <c r="AH435" s="24">
        <v>1</v>
      </c>
      <c r="AI435" s="24">
        <v>0</v>
      </c>
      <c r="AJ435" s="24">
        <v>0</v>
      </c>
      <c r="AK435" s="24">
        <v>0</v>
      </c>
      <c r="AL435" s="24">
        <v>0</v>
      </c>
      <c r="AM435" s="24">
        <v>0</v>
      </c>
      <c r="AN435" s="24">
        <v>0</v>
      </c>
      <c r="AO435" s="24">
        <v>1</v>
      </c>
      <c r="AP435" s="24">
        <v>0</v>
      </c>
      <c r="AQ435" s="24">
        <v>0</v>
      </c>
      <c r="AR435" s="24">
        <v>1</v>
      </c>
      <c r="AS435" s="24">
        <v>0</v>
      </c>
      <c r="AT435" s="24">
        <v>0</v>
      </c>
      <c r="AU435" s="24">
        <v>0</v>
      </c>
      <c r="AV435" s="24">
        <v>1</v>
      </c>
      <c r="AW435" s="24">
        <v>0</v>
      </c>
      <c r="AX435" s="24">
        <v>0</v>
      </c>
      <c r="AY435" s="24">
        <v>0</v>
      </c>
      <c r="AZ435" s="24">
        <v>0</v>
      </c>
      <c r="BA435" s="24">
        <v>1</v>
      </c>
      <c r="BB435" s="24">
        <v>0</v>
      </c>
    </row>
    <row r="436" spans="2:54" ht="13.8" x14ac:dyDescent="0.3">
      <c r="B436" s="24">
        <v>416</v>
      </c>
      <c r="C436" s="24">
        <v>36</v>
      </c>
      <c r="D436" s="24">
        <v>0</v>
      </c>
      <c r="E436" s="24">
        <v>1</v>
      </c>
      <c r="F436" s="24">
        <v>0</v>
      </c>
      <c r="G436" s="24">
        <v>0</v>
      </c>
      <c r="H436" s="24">
        <v>0</v>
      </c>
      <c r="I436" s="24">
        <v>0</v>
      </c>
      <c r="J436" s="24">
        <v>5842</v>
      </c>
      <c r="K436" s="24">
        <v>2</v>
      </c>
      <c r="L436" s="24">
        <v>0</v>
      </c>
      <c r="M436" s="24">
        <v>1</v>
      </c>
      <c r="N436" s="24">
        <v>0</v>
      </c>
      <c r="O436" s="24">
        <v>0</v>
      </c>
      <c r="P436" s="24">
        <v>0</v>
      </c>
      <c r="Q436" s="24">
        <v>0</v>
      </c>
      <c r="R436" s="24">
        <v>0</v>
      </c>
      <c r="S436" s="24">
        <v>35</v>
      </c>
      <c r="T436" s="24">
        <v>0</v>
      </c>
      <c r="U436" s="24">
        <v>0</v>
      </c>
      <c r="V436" s="24">
        <v>1</v>
      </c>
      <c r="W436" s="24">
        <v>2</v>
      </c>
      <c r="X436" s="24">
        <v>2</v>
      </c>
      <c r="Y436" s="24">
        <v>1</v>
      </c>
      <c r="Z436" s="24">
        <v>0</v>
      </c>
      <c r="AA436" s="24">
        <v>1</v>
      </c>
      <c r="AB436" s="24">
        <v>0</v>
      </c>
      <c r="AC436" s="24">
        <v>0</v>
      </c>
      <c r="AD436" s="24">
        <v>0</v>
      </c>
      <c r="AE436" s="24">
        <v>1</v>
      </c>
      <c r="AF436" s="24">
        <v>0</v>
      </c>
      <c r="AG436" s="24">
        <v>0</v>
      </c>
      <c r="AH436" s="24">
        <v>0</v>
      </c>
      <c r="AI436" s="24">
        <v>0</v>
      </c>
      <c r="AJ436" s="24">
        <v>1</v>
      </c>
      <c r="AK436" s="24">
        <v>1</v>
      </c>
      <c r="AL436" s="24">
        <v>0</v>
      </c>
      <c r="AM436" s="24">
        <v>0</v>
      </c>
      <c r="AN436" s="24">
        <v>0</v>
      </c>
      <c r="AO436" s="24">
        <v>0</v>
      </c>
      <c r="AP436" s="24">
        <v>0</v>
      </c>
      <c r="AQ436" s="24">
        <v>0</v>
      </c>
      <c r="AR436" s="24">
        <v>0</v>
      </c>
      <c r="AS436" s="24">
        <v>0</v>
      </c>
      <c r="AT436" s="24">
        <v>1</v>
      </c>
      <c r="AU436" s="24">
        <v>0</v>
      </c>
      <c r="AV436" s="24">
        <v>1</v>
      </c>
      <c r="AW436" s="24">
        <v>0</v>
      </c>
      <c r="AX436" s="24">
        <v>0</v>
      </c>
      <c r="AY436" s="24">
        <v>0</v>
      </c>
      <c r="AZ436" s="24">
        <v>0</v>
      </c>
      <c r="BA436" s="24">
        <v>1</v>
      </c>
      <c r="BB436" s="24">
        <v>0</v>
      </c>
    </row>
    <row r="437" spans="2:54" ht="13.8" x14ac:dyDescent="0.3">
      <c r="B437" s="24">
        <v>417</v>
      </c>
      <c r="C437" s="24">
        <v>12</v>
      </c>
      <c r="D437" s="24">
        <v>1</v>
      </c>
      <c r="E437" s="24">
        <v>0</v>
      </c>
      <c r="F437" s="24">
        <v>0</v>
      </c>
      <c r="G437" s="24">
        <v>0</v>
      </c>
      <c r="H437" s="24">
        <v>0</v>
      </c>
      <c r="I437" s="24">
        <v>0</v>
      </c>
      <c r="J437" s="24">
        <v>2579</v>
      </c>
      <c r="K437" s="24">
        <v>4</v>
      </c>
      <c r="L437" s="24">
        <v>0</v>
      </c>
      <c r="M437" s="24">
        <v>1</v>
      </c>
      <c r="N437" s="24">
        <v>0</v>
      </c>
      <c r="O437" s="24">
        <v>0</v>
      </c>
      <c r="P437" s="24">
        <v>0</v>
      </c>
      <c r="Q437" s="24">
        <v>1</v>
      </c>
      <c r="R437" s="24">
        <v>0</v>
      </c>
      <c r="S437" s="24">
        <v>33</v>
      </c>
      <c r="T437" s="24">
        <v>0</v>
      </c>
      <c r="U437" s="24">
        <v>0</v>
      </c>
      <c r="V437" s="24">
        <v>1</v>
      </c>
      <c r="W437" s="24">
        <v>1</v>
      </c>
      <c r="X437" s="24">
        <v>2</v>
      </c>
      <c r="Y437" s="24">
        <v>0</v>
      </c>
      <c r="Z437" s="24">
        <v>0</v>
      </c>
      <c r="AA437" s="24">
        <v>0</v>
      </c>
      <c r="AB437" s="24">
        <v>1</v>
      </c>
      <c r="AC437" s="24">
        <v>0</v>
      </c>
      <c r="AD437" s="24">
        <v>0</v>
      </c>
      <c r="AE437" s="24">
        <v>0</v>
      </c>
      <c r="AF437" s="24">
        <v>0</v>
      </c>
      <c r="AG437" s="24">
        <v>0</v>
      </c>
      <c r="AH437" s="24">
        <v>1</v>
      </c>
      <c r="AI437" s="24">
        <v>0</v>
      </c>
      <c r="AJ437" s="24">
        <v>0</v>
      </c>
      <c r="AK437" s="24">
        <v>1</v>
      </c>
      <c r="AL437" s="24">
        <v>0</v>
      </c>
      <c r="AM437" s="24">
        <v>0</v>
      </c>
      <c r="AN437" s="24">
        <v>0</v>
      </c>
      <c r="AO437" s="24">
        <v>0</v>
      </c>
      <c r="AP437" s="24">
        <v>0</v>
      </c>
      <c r="AQ437" s="24">
        <v>1</v>
      </c>
      <c r="AR437" s="24">
        <v>0</v>
      </c>
      <c r="AS437" s="24">
        <v>0</v>
      </c>
      <c r="AT437" s="24">
        <v>0</v>
      </c>
      <c r="AU437" s="24">
        <v>1</v>
      </c>
      <c r="AV437" s="24">
        <v>0</v>
      </c>
      <c r="AW437" s="24">
        <v>0</v>
      </c>
      <c r="AX437" s="24">
        <v>0</v>
      </c>
      <c r="AY437" s="24">
        <v>0</v>
      </c>
      <c r="AZ437" s="24">
        <v>1</v>
      </c>
      <c r="BA437" s="24">
        <v>0</v>
      </c>
      <c r="BB437" s="24">
        <v>0</v>
      </c>
    </row>
    <row r="438" spans="2:54" ht="13.8" x14ac:dyDescent="0.3">
      <c r="B438" s="24">
        <v>418</v>
      </c>
      <c r="C438" s="24">
        <v>18</v>
      </c>
      <c r="D438" s="24">
        <v>0</v>
      </c>
      <c r="E438" s="24">
        <v>0</v>
      </c>
      <c r="F438" s="24">
        <v>0</v>
      </c>
      <c r="G438" s="24">
        <v>0</v>
      </c>
      <c r="H438" s="24">
        <v>1</v>
      </c>
      <c r="I438" s="24">
        <v>0</v>
      </c>
      <c r="J438" s="24">
        <v>8471</v>
      </c>
      <c r="K438" s="24">
        <v>1</v>
      </c>
      <c r="L438" s="24">
        <v>0</v>
      </c>
      <c r="M438" s="24">
        <v>0</v>
      </c>
      <c r="N438" s="24">
        <v>0</v>
      </c>
      <c r="O438" s="24">
        <v>0</v>
      </c>
      <c r="P438" s="24">
        <v>0</v>
      </c>
      <c r="Q438" s="24">
        <v>0</v>
      </c>
      <c r="R438" s="24">
        <v>0</v>
      </c>
      <c r="S438" s="24">
        <v>23</v>
      </c>
      <c r="T438" s="24">
        <v>0</v>
      </c>
      <c r="U438" s="24">
        <v>1</v>
      </c>
      <c r="V438" s="24">
        <v>0</v>
      </c>
      <c r="W438" s="24">
        <v>2</v>
      </c>
      <c r="X438" s="24">
        <v>1</v>
      </c>
      <c r="Y438" s="24">
        <v>1</v>
      </c>
      <c r="Z438" s="24">
        <v>0</v>
      </c>
      <c r="AA438" s="24">
        <v>1</v>
      </c>
      <c r="AB438" s="24">
        <v>1</v>
      </c>
      <c r="AC438" s="24">
        <v>0</v>
      </c>
      <c r="AD438" s="24">
        <v>0</v>
      </c>
      <c r="AE438" s="24">
        <v>0</v>
      </c>
      <c r="AF438" s="24">
        <v>0</v>
      </c>
      <c r="AG438" s="24">
        <v>0</v>
      </c>
      <c r="AH438" s="24">
        <v>0</v>
      </c>
      <c r="AI438" s="24">
        <v>1</v>
      </c>
      <c r="AJ438" s="24">
        <v>0</v>
      </c>
      <c r="AK438" s="24">
        <v>0</v>
      </c>
      <c r="AL438" s="24">
        <v>0</v>
      </c>
      <c r="AM438" s="24">
        <v>0</v>
      </c>
      <c r="AN438" s="24">
        <v>0</v>
      </c>
      <c r="AO438" s="24">
        <v>1</v>
      </c>
      <c r="AP438" s="24">
        <v>0</v>
      </c>
      <c r="AQ438" s="24">
        <v>0</v>
      </c>
      <c r="AR438" s="24">
        <v>1</v>
      </c>
      <c r="AS438" s="24">
        <v>0</v>
      </c>
      <c r="AT438" s="24">
        <v>0</v>
      </c>
      <c r="AU438" s="24">
        <v>0</v>
      </c>
      <c r="AV438" s="24">
        <v>1</v>
      </c>
      <c r="AW438" s="24">
        <v>0</v>
      </c>
      <c r="AX438" s="24">
        <v>0</v>
      </c>
      <c r="AY438" s="24">
        <v>0</v>
      </c>
      <c r="AZ438" s="24">
        <v>0</v>
      </c>
      <c r="BA438" s="24">
        <v>1</v>
      </c>
      <c r="BB438" s="24">
        <v>0</v>
      </c>
    </row>
    <row r="439" spans="2:54" ht="13.8" x14ac:dyDescent="0.3">
      <c r="B439" s="24">
        <v>419</v>
      </c>
      <c r="C439" s="24">
        <v>21</v>
      </c>
      <c r="D439" s="24">
        <v>1</v>
      </c>
      <c r="E439" s="24">
        <v>0</v>
      </c>
      <c r="F439" s="24">
        <v>0</v>
      </c>
      <c r="G439" s="24">
        <v>0</v>
      </c>
      <c r="H439" s="24">
        <v>0</v>
      </c>
      <c r="I439" s="24">
        <v>0</v>
      </c>
      <c r="J439" s="24">
        <v>2782</v>
      </c>
      <c r="K439" s="24">
        <v>1</v>
      </c>
      <c r="L439" s="24">
        <v>0</v>
      </c>
      <c r="M439" s="24">
        <v>0</v>
      </c>
      <c r="N439" s="24">
        <v>0</v>
      </c>
      <c r="O439" s="24">
        <v>0</v>
      </c>
      <c r="P439" s="24">
        <v>0</v>
      </c>
      <c r="Q439" s="24">
        <v>0</v>
      </c>
      <c r="R439" s="24">
        <v>0</v>
      </c>
      <c r="S439" s="24">
        <v>31</v>
      </c>
      <c r="T439" s="24">
        <v>1</v>
      </c>
      <c r="U439" s="24">
        <v>0</v>
      </c>
      <c r="V439" s="24">
        <v>1</v>
      </c>
      <c r="W439" s="24">
        <v>1</v>
      </c>
      <c r="X439" s="24">
        <v>1</v>
      </c>
      <c r="Y439" s="24">
        <v>0</v>
      </c>
      <c r="Z439" s="24">
        <v>0</v>
      </c>
      <c r="AA439" s="24">
        <v>1</v>
      </c>
      <c r="AB439" s="24">
        <v>0</v>
      </c>
      <c r="AC439" s="24">
        <v>0</v>
      </c>
      <c r="AD439" s="24">
        <v>0</v>
      </c>
      <c r="AE439" s="24">
        <v>1</v>
      </c>
      <c r="AF439" s="24">
        <v>0</v>
      </c>
      <c r="AG439" s="24">
        <v>0</v>
      </c>
      <c r="AH439" s="24">
        <v>1</v>
      </c>
      <c r="AI439" s="24">
        <v>0</v>
      </c>
      <c r="AJ439" s="24">
        <v>0</v>
      </c>
      <c r="AK439" s="24">
        <v>0</v>
      </c>
      <c r="AL439" s="24">
        <v>0</v>
      </c>
      <c r="AM439" s="24">
        <v>1</v>
      </c>
      <c r="AN439" s="24">
        <v>0</v>
      </c>
      <c r="AO439" s="24">
        <v>0</v>
      </c>
      <c r="AP439" s="24">
        <v>0</v>
      </c>
      <c r="AQ439" s="24">
        <v>0</v>
      </c>
      <c r="AR439" s="24">
        <v>0</v>
      </c>
      <c r="AS439" s="24">
        <v>1</v>
      </c>
      <c r="AT439" s="24">
        <v>0</v>
      </c>
      <c r="AU439" s="24">
        <v>0</v>
      </c>
      <c r="AV439" s="24">
        <v>1</v>
      </c>
      <c r="AW439" s="24">
        <v>0</v>
      </c>
      <c r="AX439" s="24">
        <v>0</v>
      </c>
      <c r="AY439" s="24">
        <v>0</v>
      </c>
      <c r="AZ439" s="24">
        <v>0</v>
      </c>
      <c r="BA439" s="24">
        <v>0</v>
      </c>
      <c r="BB439" s="24">
        <v>1</v>
      </c>
    </row>
    <row r="440" spans="2:54" ht="13.8" x14ac:dyDescent="0.3">
      <c r="B440" s="24">
        <v>420</v>
      </c>
      <c r="C440" s="24">
        <v>18</v>
      </c>
      <c r="D440" s="24">
        <v>1</v>
      </c>
      <c r="E440" s="24">
        <v>0</v>
      </c>
      <c r="F440" s="24">
        <v>0</v>
      </c>
      <c r="G440" s="24">
        <v>0</v>
      </c>
      <c r="H440" s="24">
        <v>0</v>
      </c>
      <c r="I440" s="24">
        <v>0</v>
      </c>
      <c r="J440" s="24">
        <v>1042</v>
      </c>
      <c r="K440" s="24">
        <v>4</v>
      </c>
      <c r="L440" s="24">
        <v>0</v>
      </c>
      <c r="M440" s="24">
        <v>0</v>
      </c>
      <c r="N440" s="24">
        <v>0</v>
      </c>
      <c r="O440" s="24">
        <v>0</v>
      </c>
      <c r="P440" s="24">
        <v>0</v>
      </c>
      <c r="Q440" s="24">
        <v>0</v>
      </c>
      <c r="R440" s="24">
        <v>0</v>
      </c>
      <c r="S440" s="24">
        <v>33</v>
      </c>
      <c r="T440" s="24">
        <v>0</v>
      </c>
      <c r="U440" s="24">
        <v>0</v>
      </c>
      <c r="V440" s="24">
        <v>1</v>
      </c>
      <c r="W440" s="24">
        <v>1</v>
      </c>
      <c r="X440" s="24">
        <v>1</v>
      </c>
      <c r="Y440" s="24">
        <v>0</v>
      </c>
      <c r="Z440" s="24">
        <v>0</v>
      </c>
      <c r="AA440" s="24">
        <v>0</v>
      </c>
      <c r="AB440" s="24">
        <v>0</v>
      </c>
      <c r="AC440" s="24">
        <v>1</v>
      </c>
      <c r="AD440" s="24">
        <v>0</v>
      </c>
      <c r="AE440" s="24">
        <v>0</v>
      </c>
      <c r="AF440" s="24">
        <v>0</v>
      </c>
      <c r="AG440" s="24">
        <v>0</v>
      </c>
      <c r="AH440" s="24">
        <v>1</v>
      </c>
      <c r="AI440" s="24">
        <v>0</v>
      </c>
      <c r="AJ440" s="24">
        <v>0</v>
      </c>
      <c r="AK440" s="24">
        <v>0</v>
      </c>
      <c r="AL440" s="24">
        <v>0</v>
      </c>
      <c r="AM440" s="24">
        <v>0</v>
      </c>
      <c r="AN440" s="24">
        <v>0</v>
      </c>
      <c r="AO440" s="24">
        <v>1</v>
      </c>
      <c r="AP440" s="24">
        <v>0</v>
      </c>
      <c r="AQ440" s="24">
        <v>0</v>
      </c>
      <c r="AR440" s="24">
        <v>1</v>
      </c>
      <c r="AS440" s="24">
        <v>0</v>
      </c>
      <c r="AT440" s="24">
        <v>0</v>
      </c>
      <c r="AU440" s="24">
        <v>0</v>
      </c>
      <c r="AV440" s="24">
        <v>1</v>
      </c>
      <c r="AW440" s="24">
        <v>0</v>
      </c>
      <c r="AX440" s="24">
        <v>0</v>
      </c>
      <c r="AY440" s="24">
        <v>0</v>
      </c>
      <c r="AZ440" s="24">
        <v>0</v>
      </c>
      <c r="BA440" s="24">
        <v>1</v>
      </c>
      <c r="BB440" s="24">
        <v>0</v>
      </c>
    </row>
    <row r="441" spans="2:54" ht="13.8" x14ac:dyDescent="0.3">
      <c r="B441" s="24">
        <v>421</v>
      </c>
      <c r="C441" s="24">
        <v>15</v>
      </c>
      <c r="D441" s="24">
        <v>1</v>
      </c>
      <c r="E441" s="24">
        <v>0</v>
      </c>
      <c r="F441" s="24">
        <v>0</v>
      </c>
      <c r="G441" s="24">
        <v>0</v>
      </c>
      <c r="H441" s="24">
        <v>0</v>
      </c>
      <c r="I441" s="24">
        <v>0</v>
      </c>
      <c r="J441" s="24">
        <v>3186</v>
      </c>
      <c r="K441" s="24">
        <v>2</v>
      </c>
      <c r="L441" s="24">
        <v>0</v>
      </c>
      <c r="M441" s="24">
        <v>0</v>
      </c>
      <c r="N441" s="24">
        <v>0</v>
      </c>
      <c r="O441" s="24">
        <v>0</v>
      </c>
      <c r="P441" s="24">
        <v>0</v>
      </c>
      <c r="Q441" s="24">
        <v>0</v>
      </c>
      <c r="R441" s="24">
        <v>0</v>
      </c>
      <c r="S441" s="24">
        <v>20</v>
      </c>
      <c r="T441" s="24">
        <v>0</v>
      </c>
      <c r="U441" s="24">
        <v>1</v>
      </c>
      <c r="V441" s="24">
        <v>0</v>
      </c>
      <c r="W441" s="24">
        <v>1</v>
      </c>
      <c r="X441" s="24">
        <v>1</v>
      </c>
      <c r="Y441" s="24">
        <v>0</v>
      </c>
      <c r="Z441" s="24">
        <v>0</v>
      </c>
      <c r="AA441" s="24">
        <v>1</v>
      </c>
      <c r="AB441" s="24">
        <v>0</v>
      </c>
      <c r="AC441" s="24">
        <v>0</v>
      </c>
      <c r="AD441" s="24">
        <v>0</v>
      </c>
      <c r="AE441" s="24">
        <v>1</v>
      </c>
      <c r="AF441" s="24">
        <v>0</v>
      </c>
      <c r="AG441" s="24">
        <v>0</v>
      </c>
      <c r="AH441" s="24">
        <v>1</v>
      </c>
      <c r="AI441" s="24">
        <v>0</v>
      </c>
      <c r="AJ441" s="24">
        <v>0</v>
      </c>
      <c r="AK441" s="24">
        <v>0</v>
      </c>
      <c r="AL441" s="24">
        <v>0</v>
      </c>
      <c r="AM441" s="24">
        <v>0</v>
      </c>
      <c r="AN441" s="24">
        <v>1</v>
      </c>
      <c r="AO441" s="24">
        <v>0</v>
      </c>
      <c r="AP441" s="24">
        <v>0</v>
      </c>
      <c r="AQ441" s="24">
        <v>0</v>
      </c>
      <c r="AR441" s="24">
        <v>0</v>
      </c>
      <c r="AS441" s="24">
        <v>1</v>
      </c>
      <c r="AT441" s="24">
        <v>0</v>
      </c>
      <c r="AU441" s="24">
        <v>0</v>
      </c>
      <c r="AV441" s="24">
        <v>0</v>
      </c>
      <c r="AW441" s="24">
        <v>1</v>
      </c>
      <c r="AX441" s="24">
        <v>0</v>
      </c>
      <c r="AY441" s="24">
        <v>0</v>
      </c>
      <c r="AZ441" s="24">
        <v>0</v>
      </c>
      <c r="BA441" s="24">
        <v>1</v>
      </c>
      <c r="BB441" s="24">
        <v>0</v>
      </c>
    </row>
    <row r="442" spans="2:54" ht="13.8" x14ac:dyDescent="0.3">
      <c r="B442" s="24">
        <v>422</v>
      </c>
      <c r="C442" s="24">
        <v>12</v>
      </c>
      <c r="D442" s="24">
        <v>0</v>
      </c>
      <c r="E442" s="24">
        <v>1</v>
      </c>
      <c r="F442" s="24">
        <v>0</v>
      </c>
      <c r="G442" s="24">
        <v>0</v>
      </c>
      <c r="H442" s="24">
        <v>0</v>
      </c>
      <c r="I442" s="24">
        <v>0</v>
      </c>
      <c r="J442" s="24">
        <v>2028</v>
      </c>
      <c r="K442" s="24">
        <v>4</v>
      </c>
      <c r="L442" s="24">
        <v>0</v>
      </c>
      <c r="M442" s="24">
        <v>1</v>
      </c>
      <c r="N442" s="24">
        <v>0</v>
      </c>
      <c r="O442" s="24">
        <v>0</v>
      </c>
      <c r="P442" s="24">
        <v>0</v>
      </c>
      <c r="Q442" s="24">
        <v>0</v>
      </c>
      <c r="R442" s="24">
        <v>0</v>
      </c>
      <c r="S442" s="24">
        <v>30</v>
      </c>
      <c r="T442" s="24">
        <v>0</v>
      </c>
      <c r="U442" s="24">
        <v>0</v>
      </c>
      <c r="V442" s="24">
        <v>1</v>
      </c>
      <c r="W442" s="24">
        <v>1</v>
      </c>
      <c r="X442" s="24">
        <v>1</v>
      </c>
      <c r="Y442" s="24">
        <v>0</v>
      </c>
      <c r="Z442" s="24">
        <v>0</v>
      </c>
      <c r="AA442" s="24">
        <v>1</v>
      </c>
      <c r="AB442" s="24">
        <v>0</v>
      </c>
      <c r="AC442" s="24">
        <v>1</v>
      </c>
      <c r="AD442" s="24">
        <v>0</v>
      </c>
      <c r="AE442" s="24">
        <v>0</v>
      </c>
      <c r="AF442" s="24">
        <v>0</v>
      </c>
      <c r="AG442" s="24">
        <v>0</v>
      </c>
      <c r="AH442" s="24">
        <v>1</v>
      </c>
      <c r="AI442" s="24">
        <v>0</v>
      </c>
      <c r="AJ442" s="24">
        <v>0</v>
      </c>
      <c r="AK442" s="24">
        <v>0</v>
      </c>
      <c r="AL442" s="24">
        <v>0</v>
      </c>
      <c r="AM442" s="24">
        <v>0</v>
      </c>
      <c r="AN442" s="24">
        <v>0</v>
      </c>
      <c r="AO442" s="24">
        <v>1</v>
      </c>
      <c r="AP442" s="24">
        <v>0</v>
      </c>
      <c r="AQ442" s="24">
        <v>0</v>
      </c>
      <c r="AR442" s="24">
        <v>1</v>
      </c>
      <c r="AS442" s="24">
        <v>0</v>
      </c>
      <c r="AT442" s="24">
        <v>0</v>
      </c>
      <c r="AU442" s="24">
        <v>0</v>
      </c>
      <c r="AV442" s="24">
        <v>1</v>
      </c>
      <c r="AW442" s="24">
        <v>0</v>
      </c>
      <c r="AX442" s="24">
        <v>0</v>
      </c>
      <c r="AY442" s="24">
        <v>0</v>
      </c>
      <c r="AZ442" s="24">
        <v>0</v>
      </c>
      <c r="BA442" s="24">
        <v>1</v>
      </c>
      <c r="BB442" s="24">
        <v>0</v>
      </c>
    </row>
    <row r="443" spans="2:54" ht="13.8" x14ac:dyDescent="0.3">
      <c r="B443" s="24">
        <v>423</v>
      </c>
      <c r="C443" s="24">
        <v>12</v>
      </c>
      <c r="D443" s="24">
        <v>1</v>
      </c>
      <c r="E443" s="24">
        <v>0</v>
      </c>
      <c r="F443" s="24">
        <v>0</v>
      </c>
      <c r="G443" s="24">
        <v>0</v>
      </c>
      <c r="H443" s="24">
        <v>0</v>
      </c>
      <c r="I443" s="24">
        <v>0</v>
      </c>
      <c r="J443" s="24">
        <v>958</v>
      </c>
      <c r="K443" s="24">
        <v>2</v>
      </c>
      <c r="L443" s="24">
        <v>0</v>
      </c>
      <c r="M443" s="24">
        <v>1</v>
      </c>
      <c r="N443" s="24">
        <v>0</v>
      </c>
      <c r="O443" s="24">
        <v>0</v>
      </c>
      <c r="P443" s="24">
        <v>0</v>
      </c>
      <c r="Q443" s="24">
        <v>1</v>
      </c>
      <c r="R443" s="24">
        <v>0</v>
      </c>
      <c r="S443" s="24">
        <v>47</v>
      </c>
      <c r="T443" s="24">
        <v>0</v>
      </c>
      <c r="U443" s="24">
        <v>0</v>
      </c>
      <c r="V443" s="24">
        <v>1</v>
      </c>
      <c r="W443" s="24">
        <v>2</v>
      </c>
      <c r="X443" s="24">
        <v>2</v>
      </c>
      <c r="Y443" s="24">
        <v>0</v>
      </c>
      <c r="Z443" s="24">
        <v>0</v>
      </c>
      <c r="AA443" s="24">
        <v>1</v>
      </c>
      <c r="AB443" s="24">
        <v>0</v>
      </c>
      <c r="AC443" s="24">
        <v>1</v>
      </c>
      <c r="AD443" s="24">
        <v>0</v>
      </c>
      <c r="AE443" s="24">
        <v>0</v>
      </c>
      <c r="AF443" s="24">
        <v>0</v>
      </c>
      <c r="AG443" s="24">
        <v>0</v>
      </c>
      <c r="AH443" s="24">
        <v>0</v>
      </c>
      <c r="AI443" s="24">
        <v>0</v>
      </c>
      <c r="AJ443" s="24">
        <v>1</v>
      </c>
      <c r="AK443" s="24">
        <v>1</v>
      </c>
      <c r="AL443" s="24">
        <v>0</v>
      </c>
      <c r="AM443" s="24">
        <v>0</v>
      </c>
      <c r="AN443" s="24">
        <v>0</v>
      </c>
      <c r="AO443" s="24">
        <v>0</v>
      </c>
      <c r="AP443" s="24">
        <v>0</v>
      </c>
      <c r="AQ443" s="24">
        <v>0</v>
      </c>
      <c r="AR443" s="24">
        <v>0</v>
      </c>
      <c r="AS443" s="24">
        <v>1</v>
      </c>
      <c r="AT443" s="24">
        <v>0</v>
      </c>
      <c r="AU443" s="24">
        <v>0</v>
      </c>
      <c r="AV443" s="24">
        <v>0</v>
      </c>
      <c r="AW443" s="24">
        <v>1</v>
      </c>
      <c r="AX443" s="24">
        <v>0</v>
      </c>
      <c r="AY443" s="24">
        <v>0</v>
      </c>
      <c r="AZ443" s="24">
        <v>1</v>
      </c>
      <c r="BA443" s="24">
        <v>0</v>
      </c>
      <c r="BB443" s="24">
        <v>0</v>
      </c>
    </row>
    <row r="444" spans="2:54" ht="13.8" x14ac:dyDescent="0.3">
      <c r="B444" s="24">
        <v>424</v>
      </c>
      <c r="C444" s="24">
        <v>21</v>
      </c>
      <c r="D444" s="24">
        <v>0</v>
      </c>
      <c r="E444" s="24">
        <v>0</v>
      </c>
      <c r="F444" s="24">
        <v>1</v>
      </c>
      <c r="G444" s="24">
        <v>0</v>
      </c>
      <c r="H444" s="24">
        <v>0</v>
      </c>
      <c r="I444" s="24">
        <v>0</v>
      </c>
      <c r="J444" s="24">
        <v>1591</v>
      </c>
      <c r="K444" s="24">
        <v>4</v>
      </c>
      <c r="L444" s="24">
        <v>0</v>
      </c>
      <c r="M444" s="24">
        <v>1</v>
      </c>
      <c r="N444" s="24">
        <v>0</v>
      </c>
      <c r="O444" s="24">
        <v>0</v>
      </c>
      <c r="P444" s="24">
        <v>0</v>
      </c>
      <c r="Q444" s="24">
        <v>1</v>
      </c>
      <c r="R444" s="24">
        <v>0</v>
      </c>
      <c r="S444" s="24">
        <v>34</v>
      </c>
      <c r="T444" s="24">
        <v>0</v>
      </c>
      <c r="U444" s="24">
        <v>0</v>
      </c>
      <c r="V444" s="24">
        <v>1</v>
      </c>
      <c r="W444" s="24">
        <v>2</v>
      </c>
      <c r="X444" s="24">
        <v>1</v>
      </c>
      <c r="Y444" s="24">
        <v>0</v>
      </c>
      <c r="Z444" s="24">
        <v>0</v>
      </c>
      <c r="AA444" s="24">
        <v>1</v>
      </c>
      <c r="AB444" s="24">
        <v>0</v>
      </c>
      <c r="AC444" s="24">
        <v>0</v>
      </c>
      <c r="AD444" s="24">
        <v>0</v>
      </c>
      <c r="AE444" s="24">
        <v>1</v>
      </c>
      <c r="AF444" s="24">
        <v>0</v>
      </c>
      <c r="AG444" s="24">
        <v>0</v>
      </c>
      <c r="AH444" s="24">
        <v>0</v>
      </c>
      <c r="AI444" s="24">
        <v>1</v>
      </c>
      <c r="AJ444" s="24">
        <v>0</v>
      </c>
      <c r="AK444" s="24">
        <v>0</v>
      </c>
      <c r="AL444" s="24">
        <v>1</v>
      </c>
      <c r="AM444" s="24">
        <v>0</v>
      </c>
      <c r="AN444" s="24">
        <v>0</v>
      </c>
      <c r="AO444" s="24">
        <v>0</v>
      </c>
      <c r="AP444" s="24">
        <v>0</v>
      </c>
      <c r="AQ444" s="24">
        <v>0</v>
      </c>
      <c r="AR444" s="24">
        <v>0</v>
      </c>
      <c r="AS444" s="24">
        <v>1</v>
      </c>
      <c r="AT444" s="24">
        <v>0</v>
      </c>
      <c r="AU444" s="24">
        <v>0</v>
      </c>
      <c r="AV444" s="24">
        <v>0</v>
      </c>
      <c r="AW444" s="24">
        <v>1</v>
      </c>
      <c r="AX444" s="24">
        <v>0</v>
      </c>
      <c r="AY444" s="24">
        <v>0</v>
      </c>
      <c r="AZ444" s="24">
        <v>0</v>
      </c>
      <c r="BA444" s="24">
        <v>0</v>
      </c>
      <c r="BB444" s="24">
        <v>1</v>
      </c>
    </row>
    <row r="445" spans="2:54" ht="13.8" x14ac:dyDescent="0.3">
      <c r="B445" s="24">
        <v>425</v>
      </c>
      <c r="C445" s="24">
        <v>12</v>
      </c>
      <c r="D445" s="24">
        <v>0</v>
      </c>
      <c r="E445" s="24">
        <v>0</v>
      </c>
      <c r="F445" s="24">
        <v>1</v>
      </c>
      <c r="G445" s="24">
        <v>0</v>
      </c>
      <c r="H445" s="24">
        <v>0</v>
      </c>
      <c r="I445" s="24">
        <v>0</v>
      </c>
      <c r="J445" s="24">
        <v>2762</v>
      </c>
      <c r="K445" s="24">
        <v>1</v>
      </c>
      <c r="L445" s="24">
        <v>0</v>
      </c>
      <c r="M445" s="24">
        <v>0</v>
      </c>
      <c r="N445" s="24">
        <v>0</v>
      </c>
      <c r="O445" s="24">
        <v>0</v>
      </c>
      <c r="P445" s="24">
        <v>0</v>
      </c>
      <c r="Q445" s="24">
        <v>0</v>
      </c>
      <c r="R445" s="24">
        <v>0</v>
      </c>
      <c r="S445" s="24">
        <v>25</v>
      </c>
      <c r="T445" s="24">
        <v>1</v>
      </c>
      <c r="U445" s="24">
        <v>0</v>
      </c>
      <c r="V445" s="24">
        <v>1</v>
      </c>
      <c r="W445" s="24">
        <v>1</v>
      </c>
      <c r="X445" s="24">
        <v>1</v>
      </c>
      <c r="Y445" s="24">
        <v>1</v>
      </c>
      <c r="Z445" s="24">
        <v>0</v>
      </c>
      <c r="AA445" s="24">
        <v>0</v>
      </c>
      <c r="AB445" s="24">
        <v>0</v>
      </c>
      <c r="AC445" s="24">
        <v>1</v>
      </c>
      <c r="AD445" s="24">
        <v>0</v>
      </c>
      <c r="AE445" s="24">
        <v>0</v>
      </c>
      <c r="AF445" s="24">
        <v>0</v>
      </c>
      <c r="AG445" s="24">
        <v>0</v>
      </c>
      <c r="AH445" s="24">
        <v>1</v>
      </c>
      <c r="AI445" s="24">
        <v>0</v>
      </c>
      <c r="AJ445" s="24">
        <v>0</v>
      </c>
      <c r="AK445" s="24">
        <v>0</v>
      </c>
      <c r="AL445" s="24">
        <v>0</v>
      </c>
      <c r="AM445" s="24">
        <v>0</v>
      </c>
      <c r="AN445" s="24">
        <v>0</v>
      </c>
      <c r="AO445" s="24">
        <v>1</v>
      </c>
      <c r="AP445" s="24">
        <v>0</v>
      </c>
      <c r="AQ445" s="24">
        <v>0</v>
      </c>
      <c r="AR445" s="24">
        <v>0</v>
      </c>
      <c r="AS445" s="24">
        <v>0</v>
      </c>
      <c r="AT445" s="24">
        <v>1</v>
      </c>
      <c r="AU445" s="24">
        <v>0</v>
      </c>
      <c r="AV445" s="24">
        <v>1</v>
      </c>
      <c r="AW445" s="24">
        <v>0</v>
      </c>
      <c r="AX445" s="24">
        <v>0</v>
      </c>
      <c r="AY445" s="24">
        <v>0</v>
      </c>
      <c r="AZ445" s="24">
        <v>0</v>
      </c>
      <c r="BA445" s="24">
        <v>1</v>
      </c>
      <c r="BB445" s="24">
        <v>0</v>
      </c>
    </row>
    <row r="446" spans="2:54" ht="13.8" x14ac:dyDescent="0.3">
      <c r="B446" s="24">
        <v>426</v>
      </c>
      <c r="C446" s="24">
        <v>18</v>
      </c>
      <c r="D446" s="24">
        <v>0</v>
      </c>
      <c r="E446" s="24">
        <v>1</v>
      </c>
      <c r="F446" s="24">
        <v>0</v>
      </c>
      <c r="G446" s="24">
        <v>0</v>
      </c>
      <c r="H446" s="24">
        <v>0</v>
      </c>
      <c r="I446" s="24">
        <v>0</v>
      </c>
      <c r="J446" s="24">
        <v>2779</v>
      </c>
      <c r="K446" s="24">
        <v>1</v>
      </c>
      <c r="L446" s="24">
        <v>0</v>
      </c>
      <c r="M446" s="24">
        <v>0</v>
      </c>
      <c r="N446" s="24">
        <v>1</v>
      </c>
      <c r="O446" s="24">
        <v>0</v>
      </c>
      <c r="P446" s="24">
        <v>0</v>
      </c>
      <c r="Q446" s="24">
        <v>0</v>
      </c>
      <c r="R446" s="24">
        <v>0</v>
      </c>
      <c r="S446" s="24">
        <v>21</v>
      </c>
      <c r="T446" s="24">
        <v>0</v>
      </c>
      <c r="U446" s="24">
        <v>1</v>
      </c>
      <c r="V446" s="24">
        <v>0</v>
      </c>
      <c r="W446" s="24">
        <v>1</v>
      </c>
      <c r="X446" s="24">
        <v>1</v>
      </c>
      <c r="Y446" s="24">
        <v>1</v>
      </c>
      <c r="Z446" s="24">
        <v>0</v>
      </c>
      <c r="AA446" s="24">
        <v>1</v>
      </c>
      <c r="AB446" s="24">
        <v>0</v>
      </c>
      <c r="AC446" s="24">
        <v>1</v>
      </c>
      <c r="AD446" s="24">
        <v>0</v>
      </c>
      <c r="AE446" s="24">
        <v>0</v>
      </c>
      <c r="AF446" s="24">
        <v>0</v>
      </c>
      <c r="AG446" s="24">
        <v>0</v>
      </c>
      <c r="AH446" s="24">
        <v>1</v>
      </c>
      <c r="AI446" s="24">
        <v>0</v>
      </c>
      <c r="AJ446" s="24">
        <v>0</v>
      </c>
      <c r="AK446" s="24">
        <v>1</v>
      </c>
      <c r="AL446" s="24">
        <v>0</v>
      </c>
      <c r="AM446" s="24">
        <v>0</v>
      </c>
      <c r="AN446" s="24">
        <v>0</v>
      </c>
      <c r="AO446" s="24">
        <v>0</v>
      </c>
      <c r="AP446" s="24">
        <v>0</v>
      </c>
      <c r="AQ446" s="24">
        <v>0</v>
      </c>
      <c r="AR446" s="24">
        <v>1</v>
      </c>
      <c r="AS446" s="24">
        <v>0</v>
      </c>
      <c r="AT446" s="24">
        <v>0</v>
      </c>
      <c r="AU446" s="24">
        <v>0</v>
      </c>
      <c r="AV446" s="24">
        <v>0</v>
      </c>
      <c r="AW446" s="24">
        <v>1</v>
      </c>
      <c r="AX446" s="24">
        <v>0</v>
      </c>
      <c r="AY446" s="24">
        <v>0</v>
      </c>
      <c r="AZ446" s="24">
        <v>0</v>
      </c>
      <c r="BA446" s="24">
        <v>1</v>
      </c>
      <c r="BB446" s="24">
        <v>0</v>
      </c>
    </row>
    <row r="447" spans="2:54" ht="13.8" x14ac:dyDescent="0.3">
      <c r="B447" s="24">
        <v>427</v>
      </c>
      <c r="C447" s="24">
        <v>28</v>
      </c>
      <c r="D447" s="24">
        <v>0</v>
      </c>
      <c r="E447" s="24">
        <v>0</v>
      </c>
      <c r="F447" s="24">
        <v>0</v>
      </c>
      <c r="G447" s="24">
        <v>1</v>
      </c>
      <c r="H447" s="24">
        <v>0</v>
      </c>
      <c r="I447" s="24">
        <v>0</v>
      </c>
      <c r="J447" s="24">
        <v>2743</v>
      </c>
      <c r="K447" s="24">
        <v>4</v>
      </c>
      <c r="L447" s="24">
        <v>0</v>
      </c>
      <c r="M447" s="24">
        <v>1</v>
      </c>
      <c r="N447" s="24">
        <v>0</v>
      </c>
      <c r="O447" s="24">
        <v>0</v>
      </c>
      <c r="P447" s="24">
        <v>0</v>
      </c>
      <c r="Q447" s="24">
        <v>0</v>
      </c>
      <c r="R447" s="24">
        <v>0</v>
      </c>
      <c r="S447" s="24">
        <v>29</v>
      </c>
      <c r="T447" s="24">
        <v>0</v>
      </c>
      <c r="U447" s="24">
        <v>0</v>
      </c>
      <c r="V447" s="24">
        <v>1</v>
      </c>
      <c r="W447" s="24">
        <v>2</v>
      </c>
      <c r="X447" s="24">
        <v>1</v>
      </c>
      <c r="Y447" s="24">
        <v>0</v>
      </c>
      <c r="Z447" s="24">
        <v>0</v>
      </c>
      <c r="AA447" s="24">
        <v>1</v>
      </c>
      <c r="AB447" s="24">
        <v>0</v>
      </c>
      <c r="AC447" s="24">
        <v>0</v>
      </c>
      <c r="AD447" s="24">
        <v>0</v>
      </c>
      <c r="AE447" s="24">
        <v>1</v>
      </c>
      <c r="AF447" s="24">
        <v>0</v>
      </c>
      <c r="AG447" s="24">
        <v>0</v>
      </c>
      <c r="AH447" s="24">
        <v>0</v>
      </c>
      <c r="AI447" s="24">
        <v>0</v>
      </c>
      <c r="AJ447" s="24">
        <v>1</v>
      </c>
      <c r="AK447" s="24">
        <v>1</v>
      </c>
      <c r="AL447" s="24">
        <v>0</v>
      </c>
      <c r="AM447" s="24">
        <v>0</v>
      </c>
      <c r="AN447" s="24">
        <v>0</v>
      </c>
      <c r="AO447" s="24">
        <v>0</v>
      </c>
      <c r="AP447" s="24">
        <v>0</v>
      </c>
      <c r="AQ447" s="24">
        <v>0</v>
      </c>
      <c r="AR447" s="24">
        <v>0</v>
      </c>
      <c r="AS447" s="24">
        <v>0</v>
      </c>
      <c r="AT447" s="24">
        <v>1</v>
      </c>
      <c r="AU447" s="24">
        <v>0</v>
      </c>
      <c r="AV447" s="24">
        <v>1</v>
      </c>
      <c r="AW447" s="24">
        <v>0</v>
      </c>
      <c r="AX447" s="24">
        <v>0</v>
      </c>
      <c r="AY447" s="24">
        <v>0</v>
      </c>
      <c r="AZ447" s="24">
        <v>0</v>
      </c>
      <c r="BA447" s="24">
        <v>1</v>
      </c>
      <c r="BB447" s="24">
        <v>0</v>
      </c>
    </row>
    <row r="448" spans="2:54" ht="13.8" x14ac:dyDescent="0.3">
      <c r="B448" s="24">
        <v>428</v>
      </c>
      <c r="C448" s="24">
        <v>18</v>
      </c>
      <c r="D448" s="24">
        <v>0</v>
      </c>
      <c r="E448" s="24">
        <v>0</v>
      </c>
      <c r="F448" s="24">
        <v>0</v>
      </c>
      <c r="G448" s="24">
        <v>1</v>
      </c>
      <c r="H448" s="24">
        <v>0</v>
      </c>
      <c r="I448" s="24">
        <v>0</v>
      </c>
      <c r="J448" s="24">
        <v>1149</v>
      </c>
      <c r="K448" s="24">
        <v>4</v>
      </c>
      <c r="L448" s="24">
        <v>0</v>
      </c>
      <c r="M448" s="24">
        <v>1</v>
      </c>
      <c r="N448" s="24">
        <v>0</v>
      </c>
      <c r="O448" s="24">
        <v>0</v>
      </c>
      <c r="P448" s="24">
        <v>0</v>
      </c>
      <c r="Q448" s="24">
        <v>1</v>
      </c>
      <c r="R448" s="24">
        <v>0</v>
      </c>
      <c r="S448" s="24">
        <v>46</v>
      </c>
      <c r="T448" s="24">
        <v>0</v>
      </c>
      <c r="U448" s="24">
        <v>0</v>
      </c>
      <c r="V448" s="24">
        <v>1</v>
      </c>
      <c r="W448" s="24">
        <v>2</v>
      </c>
      <c r="X448" s="24">
        <v>1</v>
      </c>
      <c r="Y448" s="24">
        <v>0</v>
      </c>
      <c r="Z448" s="24">
        <v>0</v>
      </c>
      <c r="AA448" s="24">
        <v>1</v>
      </c>
      <c r="AB448" s="24">
        <v>0</v>
      </c>
      <c r="AC448" s="24">
        <v>0</v>
      </c>
      <c r="AD448" s="24">
        <v>0</v>
      </c>
      <c r="AE448" s="24">
        <v>1</v>
      </c>
      <c r="AF448" s="24">
        <v>0</v>
      </c>
      <c r="AG448" s="24">
        <v>0</v>
      </c>
      <c r="AH448" s="24">
        <v>0</v>
      </c>
      <c r="AI448" s="24">
        <v>0</v>
      </c>
      <c r="AJ448" s="24">
        <v>1</v>
      </c>
      <c r="AK448" s="24">
        <v>0</v>
      </c>
      <c r="AL448" s="24">
        <v>0</v>
      </c>
      <c r="AM448" s="24">
        <v>0</v>
      </c>
      <c r="AN448" s="24">
        <v>1</v>
      </c>
      <c r="AO448" s="24">
        <v>0</v>
      </c>
      <c r="AP448" s="24">
        <v>0</v>
      </c>
      <c r="AQ448" s="24">
        <v>0</v>
      </c>
      <c r="AR448" s="24">
        <v>1</v>
      </c>
      <c r="AS448" s="24">
        <v>0</v>
      </c>
      <c r="AT448" s="24">
        <v>0</v>
      </c>
      <c r="AU448" s="24">
        <v>0</v>
      </c>
      <c r="AV448" s="24">
        <v>0</v>
      </c>
      <c r="AW448" s="24">
        <v>1</v>
      </c>
      <c r="AX448" s="24">
        <v>0</v>
      </c>
      <c r="AY448" s="24">
        <v>0</v>
      </c>
      <c r="AZ448" s="24">
        <v>0</v>
      </c>
      <c r="BA448" s="24">
        <v>1</v>
      </c>
      <c r="BB448" s="24">
        <v>0</v>
      </c>
    </row>
    <row r="449" spans="2:54" ht="13.8" x14ac:dyDescent="0.3">
      <c r="B449" s="24">
        <v>429</v>
      </c>
      <c r="C449" s="24">
        <v>9</v>
      </c>
      <c r="D449" s="24">
        <v>0</v>
      </c>
      <c r="E449" s="24">
        <v>0</v>
      </c>
      <c r="F449" s="24">
        <v>1</v>
      </c>
      <c r="G449" s="24">
        <v>0</v>
      </c>
      <c r="H449" s="24">
        <v>0</v>
      </c>
      <c r="I449" s="24">
        <v>0</v>
      </c>
      <c r="J449" s="24">
        <v>1313</v>
      </c>
      <c r="K449" s="24">
        <v>1</v>
      </c>
      <c r="L449" s="24">
        <v>0</v>
      </c>
      <c r="M449" s="24">
        <v>1</v>
      </c>
      <c r="N449" s="24">
        <v>0</v>
      </c>
      <c r="O449" s="24">
        <v>0</v>
      </c>
      <c r="P449" s="24">
        <v>0</v>
      </c>
      <c r="Q449" s="24">
        <v>0</v>
      </c>
      <c r="R449" s="24">
        <v>0</v>
      </c>
      <c r="S449" s="24">
        <v>20</v>
      </c>
      <c r="T449" s="24">
        <v>0</v>
      </c>
      <c r="U449" s="24">
        <v>0</v>
      </c>
      <c r="V449" s="24">
        <v>1</v>
      </c>
      <c r="W449" s="24">
        <v>1</v>
      </c>
      <c r="X449" s="24">
        <v>1</v>
      </c>
      <c r="Y449" s="24">
        <v>0</v>
      </c>
      <c r="Z449" s="24">
        <v>0</v>
      </c>
      <c r="AA449" s="24">
        <v>1</v>
      </c>
      <c r="AB449" s="24">
        <v>0</v>
      </c>
      <c r="AC449" s="24">
        <v>0</v>
      </c>
      <c r="AD449" s="24">
        <v>0</v>
      </c>
      <c r="AE449" s="24">
        <v>1</v>
      </c>
      <c r="AF449" s="24">
        <v>0</v>
      </c>
      <c r="AG449" s="24">
        <v>0</v>
      </c>
      <c r="AH449" s="24">
        <v>1</v>
      </c>
      <c r="AI449" s="24">
        <v>0</v>
      </c>
      <c r="AJ449" s="24">
        <v>0</v>
      </c>
      <c r="AK449" s="24">
        <v>1</v>
      </c>
      <c r="AL449" s="24">
        <v>0</v>
      </c>
      <c r="AM449" s="24">
        <v>0</v>
      </c>
      <c r="AN449" s="24">
        <v>0</v>
      </c>
      <c r="AO449" s="24">
        <v>0</v>
      </c>
      <c r="AP449" s="24">
        <v>0</v>
      </c>
      <c r="AQ449" s="24">
        <v>0</v>
      </c>
      <c r="AR449" s="24">
        <v>0</v>
      </c>
      <c r="AS449" s="24">
        <v>0</v>
      </c>
      <c r="AT449" s="24">
        <v>1</v>
      </c>
      <c r="AU449" s="24">
        <v>0</v>
      </c>
      <c r="AV449" s="24">
        <v>0</v>
      </c>
      <c r="AW449" s="24">
        <v>0</v>
      </c>
      <c r="AX449" s="24">
        <v>1</v>
      </c>
      <c r="AY449" s="24">
        <v>0</v>
      </c>
      <c r="AZ449" s="24">
        <v>0</v>
      </c>
      <c r="BA449" s="24">
        <v>1</v>
      </c>
      <c r="BB449" s="24">
        <v>0</v>
      </c>
    </row>
    <row r="450" spans="2:54" ht="13.8" x14ac:dyDescent="0.3">
      <c r="B450" s="24">
        <v>430</v>
      </c>
      <c r="C450" s="24">
        <v>18</v>
      </c>
      <c r="D450" s="24">
        <v>0</v>
      </c>
      <c r="E450" s="24">
        <v>0</v>
      </c>
      <c r="F450" s="24">
        <v>0</v>
      </c>
      <c r="G450" s="24">
        <v>0</v>
      </c>
      <c r="H450" s="24">
        <v>0</v>
      </c>
      <c r="I450" s="24">
        <v>0</v>
      </c>
      <c r="J450" s="24">
        <v>1190</v>
      </c>
      <c r="K450" s="24">
        <v>2</v>
      </c>
      <c r="L450" s="24">
        <v>0</v>
      </c>
      <c r="M450" s="24">
        <v>0</v>
      </c>
      <c r="N450" s="24">
        <v>0</v>
      </c>
      <c r="O450" s="24">
        <v>0</v>
      </c>
      <c r="P450" s="24">
        <v>0</v>
      </c>
      <c r="Q450" s="24">
        <v>0</v>
      </c>
      <c r="R450" s="24">
        <v>1</v>
      </c>
      <c r="S450" s="24">
        <v>55</v>
      </c>
      <c r="T450" s="24">
        <v>0</v>
      </c>
      <c r="U450" s="24">
        <v>0</v>
      </c>
      <c r="V450" s="24">
        <v>0</v>
      </c>
      <c r="W450" s="24">
        <v>3</v>
      </c>
      <c r="X450" s="24">
        <v>2</v>
      </c>
      <c r="Y450" s="24">
        <v>0</v>
      </c>
      <c r="Z450" s="24">
        <v>0</v>
      </c>
      <c r="AA450" s="24">
        <v>0</v>
      </c>
      <c r="AB450" s="24">
        <v>1</v>
      </c>
      <c r="AC450" s="24">
        <v>0</v>
      </c>
      <c r="AD450" s="24">
        <v>0</v>
      </c>
      <c r="AE450" s="24">
        <v>0</v>
      </c>
      <c r="AF450" s="24">
        <v>0</v>
      </c>
      <c r="AG450" s="24">
        <v>0</v>
      </c>
      <c r="AH450" s="24">
        <v>0</v>
      </c>
      <c r="AI450" s="24">
        <v>0</v>
      </c>
      <c r="AJ450" s="24">
        <v>1</v>
      </c>
      <c r="AK450" s="24">
        <v>1</v>
      </c>
      <c r="AL450" s="24">
        <v>0</v>
      </c>
      <c r="AM450" s="24">
        <v>0</v>
      </c>
      <c r="AN450" s="24">
        <v>0</v>
      </c>
      <c r="AO450" s="24">
        <v>0</v>
      </c>
      <c r="AP450" s="24">
        <v>1</v>
      </c>
      <c r="AQ450" s="24">
        <v>0</v>
      </c>
      <c r="AR450" s="24">
        <v>0</v>
      </c>
      <c r="AS450" s="24">
        <v>0</v>
      </c>
      <c r="AT450" s="24">
        <v>0</v>
      </c>
      <c r="AU450" s="24">
        <v>0</v>
      </c>
      <c r="AV450" s="24">
        <v>0</v>
      </c>
      <c r="AW450" s="24">
        <v>0</v>
      </c>
      <c r="AX450" s="24">
        <v>1</v>
      </c>
      <c r="AY450" s="24">
        <v>1</v>
      </c>
      <c r="AZ450" s="24">
        <v>0</v>
      </c>
      <c r="BA450" s="24">
        <v>0</v>
      </c>
      <c r="BB450" s="24">
        <v>0</v>
      </c>
    </row>
    <row r="451" spans="2:54" ht="13.8" x14ac:dyDescent="0.3">
      <c r="B451" s="24">
        <v>431</v>
      </c>
      <c r="C451" s="24">
        <v>5</v>
      </c>
      <c r="D451" s="24">
        <v>0</v>
      </c>
      <c r="E451" s="24">
        <v>0</v>
      </c>
      <c r="F451" s="24">
        <v>0</v>
      </c>
      <c r="G451" s="24">
        <v>0</v>
      </c>
      <c r="H451" s="24">
        <v>0</v>
      </c>
      <c r="I451" s="24">
        <v>1</v>
      </c>
      <c r="J451" s="24">
        <v>3448</v>
      </c>
      <c r="K451" s="24">
        <v>1</v>
      </c>
      <c r="L451" s="24">
        <v>0</v>
      </c>
      <c r="M451" s="24">
        <v>1</v>
      </c>
      <c r="N451" s="24">
        <v>0</v>
      </c>
      <c r="O451" s="24">
        <v>0</v>
      </c>
      <c r="P451" s="24">
        <v>0</v>
      </c>
      <c r="Q451" s="24">
        <v>1</v>
      </c>
      <c r="R451" s="24">
        <v>0</v>
      </c>
      <c r="S451" s="24">
        <v>74</v>
      </c>
      <c r="T451" s="24">
        <v>0</v>
      </c>
      <c r="U451" s="24">
        <v>0</v>
      </c>
      <c r="V451" s="24">
        <v>1</v>
      </c>
      <c r="W451" s="24">
        <v>1</v>
      </c>
      <c r="X451" s="24">
        <v>1</v>
      </c>
      <c r="Y451" s="24">
        <v>0</v>
      </c>
      <c r="Z451" s="24">
        <v>0</v>
      </c>
      <c r="AA451" s="24">
        <v>1</v>
      </c>
      <c r="AB451" s="24">
        <v>0</v>
      </c>
      <c r="AC451" s="24">
        <v>0</v>
      </c>
      <c r="AD451" s="24">
        <v>0</v>
      </c>
      <c r="AE451" s="24">
        <v>1</v>
      </c>
      <c r="AF451" s="24">
        <v>0</v>
      </c>
      <c r="AG451" s="24">
        <v>0</v>
      </c>
      <c r="AH451" s="24">
        <v>1</v>
      </c>
      <c r="AI451" s="24">
        <v>0</v>
      </c>
      <c r="AJ451" s="24">
        <v>0</v>
      </c>
      <c r="AK451" s="24">
        <v>1</v>
      </c>
      <c r="AL451" s="24">
        <v>0</v>
      </c>
      <c r="AM451" s="24">
        <v>0</v>
      </c>
      <c r="AN451" s="24">
        <v>0</v>
      </c>
      <c r="AO451" s="24">
        <v>0</v>
      </c>
      <c r="AP451" s="24">
        <v>0</v>
      </c>
      <c r="AQ451" s="24">
        <v>0</v>
      </c>
      <c r="AR451" s="24">
        <v>0</v>
      </c>
      <c r="AS451" s="24">
        <v>1</v>
      </c>
      <c r="AT451" s="24">
        <v>0</v>
      </c>
      <c r="AU451" s="24">
        <v>0</v>
      </c>
      <c r="AV451" s="24">
        <v>0</v>
      </c>
      <c r="AW451" s="24">
        <v>0</v>
      </c>
      <c r="AX451" s="24">
        <v>1</v>
      </c>
      <c r="AY451" s="24">
        <v>0</v>
      </c>
      <c r="AZ451" s="24">
        <v>1</v>
      </c>
      <c r="BA451" s="24">
        <v>0</v>
      </c>
      <c r="BB451" s="24">
        <v>0</v>
      </c>
    </row>
    <row r="452" spans="2:54" ht="13.8" x14ac:dyDescent="0.3">
      <c r="B452" s="24">
        <v>432</v>
      </c>
      <c r="C452" s="24">
        <v>24</v>
      </c>
      <c r="D452" s="24">
        <v>0</v>
      </c>
      <c r="E452" s="24">
        <v>0</v>
      </c>
      <c r="F452" s="24">
        <v>0</v>
      </c>
      <c r="G452" s="24">
        <v>0</v>
      </c>
      <c r="H452" s="24">
        <v>0</v>
      </c>
      <c r="I452" s="24">
        <v>0</v>
      </c>
      <c r="J452" s="24">
        <v>11328</v>
      </c>
      <c r="K452" s="24">
        <v>2</v>
      </c>
      <c r="L452" s="24">
        <v>0</v>
      </c>
      <c r="M452" s="24">
        <v>1</v>
      </c>
      <c r="N452" s="24">
        <v>0</v>
      </c>
      <c r="O452" s="24">
        <v>1</v>
      </c>
      <c r="P452" s="24">
        <v>0</v>
      </c>
      <c r="Q452" s="24">
        <v>0</v>
      </c>
      <c r="R452" s="24">
        <v>0</v>
      </c>
      <c r="S452" s="24">
        <v>29</v>
      </c>
      <c r="T452" s="24">
        <v>1</v>
      </c>
      <c r="U452" s="24">
        <v>0</v>
      </c>
      <c r="V452" s="24">
        <v>1</v>
      </c>
      <c r="W452" s="24">
        <v>2</v>
      </c>
      <c r="X452" s="24">
        <v>1</v>
      </c>
      <c r="Y452" s="24">
        <v>1</v>
      </c>
      <c r="Z452" s="24">
        <v>0</v>
      </c>
      <c r="AA452" s="24">
        <v>0</v>
      </c>
      <c r="AB452" s="24">
        <v>0</v>
      </c>
      <c r="AC452" s="24">
        <v>1</v>
      </c>
      <c r="AD452" s="24">
        <v>0</v>
      </c>
      <c r="AE452" s="24">
        <v>0</v>
      </c>
      <c r="AF452" s="24">
        <v>0</v>
      </c>
      <c r="AG452" s="24">
        <v>0</v>
      </c>
      <c r="AH452" s="24">
        <v>1</v>
      </c>
      <c r="AI452" s="24">
        <v>0</v>
      </c>
      <c r="AJ452" s="24">
        <v>0</v>
      </c>
      <c r="AK452" s="24">
        <v>1</v>
      </c>
      <c r="AL452" s="24">
        <v>0</v>
      </c>
      <c r="AM452" s="24">
        <v>0</v>
      </c>
      <c r="AN452" s="24">
        <v>0</v>
      </c>
      <c r="AO452" s="24">
        <v>0</v>
      </c>
      <c r="AP452" s="24">
        <v>0</v>
      </c>
      <c r="AQ452" s="24">
        <v>0</v>
      </c>
      <c r="AR452" s="24">
        <v>1</v>
      </c>
      <c r="AS452" s="24">
        <v>0</v>
      </c>
      <c r="AT452" s="24">
        <v>0</v>
      </c>
      <c r="AU452" s="24">
        <v>0</v>
      </c>
      <c r="AV452" s="24">
        <v>0</v>
      </c>
      <c r="AW452" s="24">
        <v>1</v>
      </c>
      <c r="AX452" s="24">
        <v>0</v>
      </c>
      <c r="AY452" s="24">
        <v>0</v>
      </c>
      <c r="AZ452" s="24">
        <v>0</v>
      </c>
      <c r="BA452" s="24">
        <v>0</v>
      </c>
      <c r="BB452" s="24">
        <v>1</v>
      </c>
    </row>
    <row r="453" spans="2:54" ht="13.8" x14ac:dyDescent="0.3">
      <c r="B453" s="24">
        <v>433</v>
      </c>
      <c r="C453" s="24">
        <v>6</v>
      </c>
      <c r="D453" s="24">
        <v>0</v>
      </c>
      <c r="E453" s="24">
        <v>0</v>
      </c>
      <c r="F453" s="24">
        <v>1</v>
      </c>
      <c r="G453" s="24">
        <v>0</v>
      </c>
      <c r="H453" s="24">
        <v>0</v>
      </c>
      <c r="I453" s="24">
        <v>0</v>
      </c>
      <c r="J453" s="24">
        <v>1872</v>
      </c>
      <c r="K453" s="24">
        <v>4</v>
      </c>
      <c r="L453" s="24">
        <v>0</v>
      </c>
      <c r="M453" s="24">
        <v>1</v>
      </c>
      <c r="N453" s="24">
        <v>0</v>
      </c>
      <c r="O453" s="24">
        <v>0</v>
      </c>
      <c r="P453" s="24">
        <v>0</v>
      </c>
      <c r="Q453" s="24">
        <v>0</v>
      </c>
      <c r="R453" s="24">
        <v>1</v>
      </c>
      <c r="S453" s="24">
        <v>36</v>
      </c>
      <c r="T453" s="24">
        <v>0</v>
      </c>
      <c r="U453" s="24">
        <v>0</v>
      </c>
      <c r="V453" s="24">
        <v>0</v>
      </c>
      <c r="W453" s="24">
        <v>3</v>
      </c>
      <c r="X453" s="24">
        <v>1</v>
      </c>
      <c r="Y453" s="24">
        <v>1</v>
      </c>
      <c r="Z453" s="24">
        <v>0</v>
      </c>
      <c r="AA453" s="24">
        <v>1</v>
      </c>
      <c r="AB453" s="24">
        <v>1</v>
      </c>
      <c r="AC453" s="24">
        <v>0</v>
      </c>
      <c r="AD453" s="24">
        <v>0</v>
      </c>
      <c r="AE453" s="24">
        <v>0</v>
      </c>
      <c r="AF453" s="24">
        <v>0</v>
      </c>
      <c r="AG453" s="24">
        <v>0</v>
      </c>
      <c r="AH453" s="24">
        <v>0</v>
      </c>
      <c r="AI453" s="24">
        <v>0</v>
      </c>
      <c r="AJ453" s="24">
        <v>1</v>
      </c>
      <c r="AK453" s="24">
        <v>1</v>
      </c>
      <c r="AL453" s="24">
        <v>0</v>
      </c>
      <c r="AM453" s="24">
        <v>0</v>
      </c>
      <c r="AN453" s="24">
        <v>0</v>
      </c>
      <c r="AO453" s="24">
        <v>0</v>
      </c>
      <c r="AP453" s="24">
        <v>1</v>
      </c>
      <c r="AQ453" s="24">
        <v>0</v>
      </c>
      <c r="AR453" s="24">
        <v>0</v>
      </c>
      <c r="AS453" s="24">
        <v>0</v>
      </c>
      <c r="AT453" s="24">
        <v>0</v>
      </c>
      <c r="AU453" s="24">
        <v>0</v>
      </c>
      <c r="AV453" s="24">
        <v>0</v>
      </c>
      <c r="AW453" s="24">
        <v>0</v>
      </c>
      <c r="AX453" s="24">
        <v>1</v>
      </c>
      <c r="AY453" s="24">
        <v>0</v>
      </c>
      <c r="AZ453" s="24">
        <v>0</v>
      </c>
      <c r="BA453" s="24">
        <v>0</v>
      </c>
      <c r="BB453" s="24">
        <v>1</v>
      </c>
    </row>
    <row r="454" spans="2:54" ht="13.8" x14ac:dyDescent="0.3">
      <c r="B454" s="24">
        <v>434</v>
      </c>
      <c r="C454" s="24">
        <v>24</v>
      </c>
      <c r="D454" s="24">
        <v>0</v>
      </c>
      <c r="E454" s="24">
        <v>0</v>
      </c>
      <c r="F454" s="24">
        <v>0</v>
      </c>
      <c r="G454" s="24">
        <v>0</v>
      </c>
      <c r="H454" s="24">
        <v>0</v>
      </c>
      <c r="I454" s="24">
        <v>0</v>
      </c>
      <c r="J454" s="24">
        <v>2058</v>
      </c>
      <c r="K454" s="24">
        <v>4</v>
      </c>
      <c r="L454" s="24">
        <v>1</v>
      </c>
      <c r="M454" s="24">
        <v>0</v>
      </c>
      <c r="N454" s="24">
        <v>0</v>
      </c>
      <c r="O454" s="24">
        <v>0</v>
      </c>
      <c r="P454" s="24">
        <v>0</v>
      </c>
      <c r="Q454" s="24">
        <v>1</v>
      </c>
      <c r="R454" s="24">
        <v>0</v>
      </c>
      <c r="S454" s="24">
        <v>33</v>
      </c>
      <c r="T454" s="24">
        <v>0</v>
      </c>
      <c r="U454" s="24">
        <v>0</v>
      </c>
      <c r="V454" s="24">
        <v>1</v>
      </c>
      <c r="W454" s="24">
        <v>2</v>
      </c>
      <c r="X454" s="24">
        <v>1</v>
      </c>
      <c r="Y454" s="24">
        <v>1</v>
      </c>
      <c r="Z454" s="24">
        <v>0</v>
      </c>
      <c r="AA454" s="24">
        <v>1</v>
      </c>
      <c r="AB454" s="24">
        <v>0</v>
      </c>
      <c r="AC454" s="24">
        <v>0</v>
      </c>
      <c r="AD454" s="24">
        <v>0</v>
      </c>
      <c r="AE454" s="24">
        <v>1</v>
      </c>
      <c r="AF454" s="24">
        <v>0</v>
      </c>
      <c r="AG454" s="24">
        <v>0</v>
      </c>
      <c r="AH454" s="24">
        <v>0</v>
      </c>
      <c r="AI454" s="24">
        <v>0</v>
      </c>
      <c r="AJ454" s="24">
        <v>1</v>
      </c>
      <c r="AK454" s="24">
        <v>1</v>
      </c>
      <c r="AL454" s="24">
        <v>0</v>
      </c>
      <c r="AM454" s="24">
        <v>0</v>
      </c>
      <c r="AN454" s="24">
        <v>0</v>
      </c>
      <c r="AO454" s="24">
        <v>0</v>
      </c>
      <c r="AP454" s="24">
        <v>0</v>
      </c>
      <c r="AQ454" s="24">
        <v>0</v>
      </c>
      <c r="AR454" s="24">
        <v>1</v>
      </c>
      <c r="AS454" s="24">
        <v>0</v>
      </c>
      <c r="AT454" s="24">
        <v>0</v>
      </c>
      <c r="AU454" s="24">
        <v>0</v>
      </c>
      <c r="AV454" s="24">
        <v>1</v>
      </c>
      <c r="AW454" s="24">
        <v>0</v>
      </c>
      <c r="AX454" s="24">
        <v>0</v>
      </c>
      <c r="AY454" s="24">
        <v>0</v>
      </c>
      <c r="AZ454" s="24">
        <v>0</v>
      </c>
      <c r="BA454" s="24">
        <v>1</v>
      </c>
      <c r="BB454" s="24">
        <v>0</v>
      </c>
    </row>
    <row r="455" spans="2:54" ht="13.8" x14ac:dyDescent="0.3">
      <c r="B455" s="24">
        <v>435</v>
      </c>
      <c r="C455" s="24">
        <v>9</v>
      </c>
      <c r="D455" s="24">
        <v>0</v>
      </c>
      <c r="E455" s="24">
        <v>0</v>
      </c>
      <c r="F455" s="24">
        <v>1</v>
      </c>
      <c r="G455" s="24">
        <v>0</v>
      </c>
      <c r="H455" s="24">
        <v>0</v>
      </c>
      <c r="I455" s="24">
        <v>0</v>
      </c>
      <c r="J455" s="24">
        <v>2136</v>
      </c>
      <c r="K455" s="24">
        <v>3</v>
      </c>
      <c r="L455" s="24">
        <v>0</v>
      </c>
      <c r="M455" s="24">
        <v>1</v>
      </c>
      <c r="N455" s="24">
        <v>0</v>
      </c>
      <c r="O455" s="24">
        <v>0</v>
      </c>
      <c r="P455" s="24">
        <v>0</v>
      </c>
      <c r="Q455" s="24">
        <v>1</v>
      </c>
      <c r="R455" s="24">
        <v>0</v>
      </c>
      <c r="S455" s="24">
        <v>25</v>
      </c>
      <c r="T455" s="24">
        <v>0</v>
      </c>
      <c r="U455" s="24">
        <v>0</v>
      </c>
      <c r="V455" s="24">
        <v>1</v>
      </c>
      <c r="W455" s="24">
        <v>1</v>
      </c>
      <c r="X455" s="24">
        <v>1</v>
      </c>
      <c r="Y455" s="24">
        <v>0</v>
      </c>
      <c r="Z455" s="24">
        <v>0</v>
      </c>
      <c r="AA455" s="24">
        <v>1</v>
      </c>
      <c r="AB455" s="24">
        <v>1</v>
      </c>
      <c r="AC455" s="24">
        <v>0</v>
      </c>
      <c r="AD455" s="24">
        <v>0</v>
      </c>
      <c r="AE455" s="24">
        <v>0</v>
      </c>
      <c r="AF455" s="24">
        <v>0</v>
      </c>
      <c r="AG455" s="24">
        <v>0</v>
      </c>
      <c r="AH455" s="24">
        <v>1</v>
      </c>
      <c r="AI455" s="24">
        <v>0</v>
      </c>
      <c r="AJ455" s="24">
        <v>0</v>
      </c>
      <c r="AK455" s="24">
        <v>1</v>
      </c>
      <c r="AL455" s="24">
        <v>0</v>
      </c>
      <c r="AM455" s="24">
        <v>0</v>
      </c>
      <c r="AN455" s="24">
        <v>0</v>
      </c>
      <c r="AO455" s="24">
        <v>0</v>
      </c>
      <c r="AP455" s="24">
        <v>0</v>
      </c>
      <c r="AQ455" s="24">
        <v>0</v>
      </c>
      <c r="AR455" s="24">
        <v>1</v>
      </c>
      <c r="AS455" s="24">
        <v>0</v>
      </c>
      <c r="AT455" s="24">
        <v>0</v>
      </c>
      <c r="AU455" s="24">
        <v>0</v>
      </c>
      <c r="AV455" s="24">
        <v>1</v>
      </c>
      <c r="AW455" s="24">
        <v>0</v>
      </c>
      <c r="AX455" s="24">
        <v>0</v>
      </c>
      <c r="AY455" s="24">
        <v>0</v>
      </c>
      <c r="AZ455" s="24">
        <v>0</v>
      </c>
      <c r="BA455" s="24">
        <v>1</v>
      </c>
      <c r="BB455" s="24">
        <v>0</v>
      </c>
    </row>
    <row r="456" spans="2:54" ht="13.8" x14ac:dyDescent="0.3">
      <c r="B456" s="24">
        <v>436</v>
      </c>
      <c r="C456" s="24">
        <v>12</v>
      </c>
      <c r="D456" s="24">
        <v>0</v>
      </c>
      <c r="E456" s="24">
        <v>0</v>
      </c>
      <c r="F456" s="24">
        <v>0</v>
      </c>
      <c r="G456" s="24">
        <v>1</v>
      </c>
      <c r="H456" s="24">
        <v>0</v>
      </c>
      <c r="I456" s="24">
        <v>0</v>
      </c>
      <c r="J456" s="24">
        <v>1484</v>
      </c>
      <c r="K456" s="24">
        <v>2</v>
      </c>
      <c r="L456" s="24">
        <v>0</v>
      </c>
      <c r="M456" s="24">
        <v>0</v>
      </c>
      <c r="N456" s="24">
        <v>1</v>
      </c>
      <c r="O456" s="24">
        <v>0</v>
      </c>
      <c r="P456" s="24">
        <v>0</v>
      </c>
      <c r="Q456" s="24">
        <v>1</v>
      </c>
      <c r="R456" s="24">
        <v>0</v>
      </c>
      <c r="S456" s="24">
        <v>25</v>
      </c>
      <c r="T456" s="24">
        <v>0</v>
      </c>
      <c r="U456" s="24">
        <v>0</v>
      </c>
      <c r="V456" s="24">
        <v>1</v>
      </c>
      <c r="W456" s="24">
        <v>1</v>
      </c>
      <c r="X456" s="24">
        <v>1</v>
      </c>
      <c r="Y456" s="24">
        <v>1</v>
      </c>
      <c r="Z456" s="24">
        <v>0</v>
      </c>
      <c r="AA456" s="24">
        <v>0</v>
      </c>
      <c r="AB456" s="24">
        <v>0</v>
      </c>
      <c r="AC456" s="24">
        <v>1</v>
      </c>
      <c r="AD456" s="24">
        <v>0</v>
      </c>
      <c r="AE456" s="24">
        <v>0</v>
      </c>
      <c r="AF456" s="24">
        <v>0</v>
      </c>
      <c r="AG456" s="24">
        <v>0</v>
      </c>
      <c r="AH456" s="24">
        <v>1</v>
      </c>
      <c r="AI456" s="24">
        <v>0</v>
      </c>
      <c r="AJ456" s="24">
        <v>0</v>
      </c>
      <c r="AK456" s="24">
        <v>0</v>
      </c>
      <c r="AL456" s="24">
        <v>0</v>
      </c>
      <c r="AM456" s="24">
        <v>0</v>
      </c>
      <c r="AN456" s="24">
        <v>0</v>
      </c>
      <c r="AO456" s="24">
        <v>1</v>
      </c>
      <c r="AP456" s="24">
        <v>0</v>
      </c>
      <c r="AQ456" s="24">
        <v>0</v>
      </c>
      <c r="AR456" s="24">
        <v>1</v>
      </c>
      <c r="AS456" s="24">
        <v>0</v>
      </c>
      <c r="AT456" s="24">
        <v>0</v>
      </c>
      <c r="AU456" s="24">
        <v>1</v>
      </c>
      <c r="AV456" s="24">
        <v>0</v>
      </c>
      <c r="AW456" s="24">
        <v>0</v>
      </c>
      <c r="AX456" s="24">
        <v>0</v>
      </c>
      <c r="AY456" s="24">
        <v>0</v>
      </c>
      <c r="AZ456" s="24">
        <v>0</v>
      </c>
      <c r="BA456" s="24">
        <v>1</v>
      </c>
      <c r="BB456" s="24">
        <v>0</v>
      </c>
    </row>
    <row r="457" spans="2:54" ht="13.8" x14ac:dyDescent="0.3">
      <c r="B457" s="24">
        <v>437</v>
      </c>
      <c r="C457" s="24">
        <v>6</v>
      </c>
      <c r="D457" s="24">
        <v>0</v>
      </c>
      <c r="E457" s="24">
        <v>0</v>
      </c>
      <c r="F457" s="24">
        <v>0</v>
      </c>
      <c r="G457" s="24">
        <v>0</v>
      </c>
      <c r="H457" s="24">
        <v>0</v>
      </c>
      <c r="I457" s="24">
        <v>0</v>
      </c>
      <c r="J457" s="24">
        <v>660</v>
      </c>
      <c r="K457" s="24">
        <v>2</v>
      </c>
      <c r="L457" s="24">
        <v>0</v>
      </c>
      <c r="M457" s="24">
        <v>0</v>
      </c>
      <c r="N457" s="24">
        <v>1</v>
      </c>
      <c r="O457" s="24">
        <v>0</v>
      </c>
      <c r="P457" s="24">
        <v>0</v>
      </c>
      <c r="Q457" s="24">
        <v>1</v>
      </c>
      <c r="R457" s="24">
        <v>0</v>
      </c>
      <c r="S457" s="24">
        <v>23</v>
      </c>
      <c r="T457" s="24">
        <v>0</v>
      </c>
      <c r="U457" s="24">
        <v>1</v>
      </c>
      <c r="V457" s="24">
        <v>0</v>
      </c>
      <c r="W457" s="24">
        <v>1</v>
      </c>
      <c r="X457" s="24">
        <v>1</v>
      </c>
      <c r="Y457" s="24">
        <v>0</v>
      </c>
      <c r="Z457" s="24">
        <v>0</v>
      </c>
      <c r="AA457" s="24">
        <v>1</v>
      </c>
      <c r="AB457" s="24">
        <v>0</v>
      </c>
      <c r="AC457" s="24">
        <v>0</v>
      </c>
      <c r="AD457" s="24">
        <v>0</v>
      </c>
      <c r="AE457" s="24">
        <v>1</v>
      </c>
      <c r="AF457" s="24">
        <v>0</v>
      </c>
      <c r="AG457" s="24">
        <v>0</v>
      </c>
      <c r="AH457" s="24">
        <v>1</v>
      </c>
      <c r="AI457" s="24">
        <v>0</v>
      </c>
      <c r="AJ457" s="24">
        <v>0</v>
      </c>
      <c r="AK457" s="24">
        <v>0</v>
      </c>
      <c r="AL457" s="24">
        <v>0</v>
      </c>
      <c r="AM457" s="24">
        <v>1</v>
      </c>
      <c r="AN457" s="24">
        <v>0</v>
      </c>
      <c r="AO457" s="24">
        <v>0</v>
      </c>
      <c r="AP457" s="24">
        <v>0</v>
      </c>
      <c r="AQ457" s="24">
        <v>0</v>
      </c>
      <c r="AR457" s="24">
        <v>0</v>
      </c>
      <c r="AS457" s="24">
        <v>1</v>
      </c>
      <c r="AT457" s="24">
        <v>0</v>
      </c>
      <c r="AU457" s="24">
        <v>0</v>
      </c>
      <c r="AV457" s="24">
        <v>0</v>
      </c>
      <c r="AW457" s="24">
        <v>0</v>
      </c>
      <c r="AX457" s="24">
        <v>1</v>
      </c>
      <c r="AY457" s="24">
        <v>0</v>
      </c>
      <c r="AZ457" s="24">
        <v>1</v>
      </c>
      <c r="BA457" s="24">
        <v>0</v>
      </c>
      <c r="BB457" s="24">
        <v>0</v>
      </c>
    </row>
    <row r="458" spans="2:54" ht="13.8" x14ac:dyDescent="0.3">
      <c r="B458" s="24">
        <v>438</v>
      </c>
      <c r="C458" s="24">
        <v>24</v>
      </c>
      <c r="D458" s="24">
        <v>1</v>
      </c>
      <c r="E458" s="24">
        <v>0</v>
      </c>
      <c r="F458" s="24">
        <v>0</v>
      </c>
      <c r="G458" s="24">
        <v>0</v>
      </c>
      <c r="H458" s="24">
        <v>0</v>
      </c>
      <c r="I458" s="24">
        <v>0</v>
      </c>
      <c r="J458" s="24">
        <v>1287</v>
      </c>
      <c r="K458" s="24">
        <v>4</v>
      </c>
      <c r="L458" s="24">
        <v>0</v>
      </c>
      <c r="M458" s="24">
        <v>0</v>
      </c>
      <c r="N458" s="24">
        <v>0</v>
      </c>
      <c r="O458" s="24">
        <v>0</v>
      </c>
      <c r="P458" s="24">
        <v>0</v>
      </c>
      <c r="Q458" s="24">
        <v>1</v>
      </c>
      <c r="R458" s="24">
        <v>0</v>
      </c>
      <c r="S458" s="24">
        <v>37</v>
      </c>
      <c r="T458" s="24">
        <v>0</v>
      </c>
      <c r="U458" s="24">
        <v>0</v>
      </c>
      <c r="V458" s="24">
        <v>1</v>
      </c>
      <c r="W458" s="24">
        <v>2</v>
      </c>
      <c r="X458" s="24">
        <v>1</v>
      </c>
      <c r="Y458" s="24">
        <v>1</v>
      </c>
      <c r="Z458" s="24">
        <v>0</v>
      </c>
      <c r="AA458" s="24">
        <v>1</v>
      </c>
      <c r="AB458" s="24">
        <v>0</v>
      </c>
      <c r="AC458" s="24">
        <v>0</v>
      </c>
      <c r="AD458" s="24">
        <v>0</v>
      </c>
      <c r="AE458" s="24">
        <v>1</v>
      </c>
      <c r="AF458" s="24">
        <v>0</v>
      </c>
      <c r="AG458" s="24">
        <v>0</v>
      </c>
      <c r="AH458" s="24">
        <v>0</v>
      </c>
      <c r="AI458" s="24">
        <v>0</v>
      </c>
      <c r="AJ458" s="24">
        <v>1</v>
      </c>
      <c r="AK458" s="24">
        <v>0</v>
      </c>
      <c r="AL458" s="24">
        <v>0</v>
      </c>
      <c r="AM458" s="24">
        <v>0</v>
      </c>
      <c r="AN458" s="24">
        <v>1</v>
      </c>
      <c r="AO458" s="24">
        <v>0</v>
      </c>
      <c r="AP458" s="24">
        <v>0</v>
      </c>
      <c r="AQ458" s="24">
        <v>0</v>
      </c>
      <c r="AR458" s="24">
        <v>0</v>
      </c>
      <c r="AS458" s="24">
        <v>0</v>
      </c>
      <c r="AT458" s="24">
        <v>1</v>
      </c>
      <c r="AU458" s="24">
        <v>0</v>
      </c>
      <c r="AV458" s="24">
        <v>0</v>
      </c>
      <c r="AW458" s="24">
        <v>0</v>
      </c>
      <c r="AX458" s="24">
        <v>1</v>
      </c>
      <c r="AY458" s="24">
        <v>0</v>
      </c>
      <c r="AZ458" s="24">
        <v>0</v>
      </c>
      <c r="BA458" s="24">
        <v>1</v>
      </c>
      <c r="BB458" s="24">
        <v>0</v>
      </c>
    </row>
    <row r="459" spans="2:54" ht="13.8" x14ac:dyDescent="0.3">
      <c r="B459" s="24">
        <v>439</v>
      </c>
      <c r="C459" s="24">
        <v>42</v>
      </c>
      <c r="D459" s="24">
        <v>0</v>
      </c>
      <c r="E459" s="24">
        <v>0</v>
      </c>
      <c r="F459" s="24">
        <v>0</v>
      </c>
      <c r="G459" s="24">
        <v>0</v>
      </c>
      <c r="H459" s="24">
        <v>0</v>
      </c>
      <c r="I459" s="24">
        <v>0</v>
      </c>
      <c r="J459" s="24">
        <v>3394</v>
      </c>
      <c r="K459" s="24">
        <v>4</v>
      </c>
      <c r="L459" s="24">
        <v>0</v>
      </c>
      <c r="M459" s="24">
        <v>1</v>
      </c>
      <c r="N459" s="24">
        <v>0</v>
      </c>
      <c r="O459" s="24">
        <v>1</v>
      </c>
      <c r="P459" s="24">
        <v>0</v>
      </c>
      <c r="Q459" s="24">
        <v>0</v>
      </c>
      <c r="R459" s="24">
        <v>0</v>
      </c>
      <c r="S459" s="24">
        <v>65</v>
      </c>
      <c r="T459" s="24">
        <v>0</v>
      </c>
      <c r="U459" s="24">
        <v>0</v>
      </c>
      <c r="V459" s="24">
        <v>1</v>
      </c>
      <c r="W459" s="24">
        <v>2</v>
      </c>
      <c r="X459" s="24">
        <v>1</v>
      </c>
      <c r="Y459" s="24">
        <v>0</v>
      </c>
      <c r="Z459" s="24">
        <v>0</v>
      </c>
      <c r="AA459" s="24">
        <v>1</v>
      </c>
      <c r="AB459" s="24">
        <v>1</v>
      </c>
      <c r="AC459" s="24">
        <v>0</v>
      </c>
      <c r="AD459" s="24">
        <v>0</v>
      </c>
      <c r="AE459" s="24">
        <v>0</v>
      </c>
      <c r="AF459" s="24">
        <v>0</v>
      </c>
      <c r="AG459" s="24">
        <v>0</v>
      </c>
      <c r="AH459" s="24">
        <v>0</v>
      </c>
      <c r="AI459" s="24">
        <v>0</v>
      </c>
      <c r="AJ459" s="24">
        <v>1</v>
      </c>
      <c r="AK459" s="24">
        <v>1</v>
      </c>
      <c r="AL459" s="24">
        <v>0</v>
      </c>
      <c r="AM459" s="24">
        <v>0</v>
      </c>
      <c r="AN459" s="24">
        <v>0</v>
      </c>
      <c r="AO459" s="24">
        <v>0</v>
      </c>
      <c r="AP459" s="24">
        <v>1</v>
      </c>
      <c r="AQ459" s="24">
        <v>0</v>
      </c>
      <c r="AR459" s="24">
        <v>0</v>
      </c>
      <c r="AS459" s="24">
        <v>0</v>
      </c>
      <c r="AT459" s="24">
        <v>0</v>
      </c>
      <c r="AU459" s="24">
        <v>0</v>
      </c>
      <c r="AV459" s="24">
        <v>0</v>
      </c>
      <c r="AW459" s="24">
        <v>0</v>
      </c>
      <c r="AX459" s="24">
        <v>1</v>
      </c>
      <c r="AY459" s="24">
        <v>1</v>
      </c>
      <c r="AZ459" s="24">
        <v>0</v>
      </c>
      <c r="BA459" s="24">
        <v>0</v>
      </c>
      <c r="BB459" s="24">
        <v>0</v>
      </c>
    </row>
    <row r="460" spans="2:54" ht="13.8" x14ac:dyDescent="0.3">
      <c r="B460" s="24">
        <v>440</v>
      </c>
      <c r="C460" s="24">
        <v>12</v>
      </c>
      <c r="D460" s="24">
        <v>0</v>
      </c>
      <c r="E460" s="24">
        <v>0</v>
      </c>
      <c r="F460" s="24">
        <v>0</v>
      </c>
      <c r="G460" s="24">
        <v>0</v>
      </c>
      <c r="H460" s="24">
        <v>0</v>
      </c>
      <c r="I460" s="24">
        <v>1</v>
      </c>
      <c r="J460" s="24">
        <v>609</v>
      </c>
      <c r="K460" s="24">
        <v>4</v>
      </c>
      <c r="L460" s="24">
        <v>0</v>
      </c>
      <c r="M460" s="24">
        <v>0</v>
      </c>
      <c r="N460" s="24">
        <v>0</v>
      </c>
      <c r="O460" s="24">
        <v>0</v>
      </c>
      <c r="P460" s="24">
        <v>0</v>
      </c>
      <c r="Q460" s="24">
        <v>1</v>
      </c>
      <c r="R460" s="24">
        <v>0</v>
      </c>
      <c r="S460" s="24">
        <v>26</v>
      </c>
      <c r="T460" s="24">
        <v>0</v>
      </c>
      <c r="U460" s="24">
        <v>0</v>
      </c>
      <c r="V460" s="24">
        <v>1</v>
      </c>
      <c r="W460" s="24">
        <v>1</v>
      </c>
      <c r="X460" s="24">
        <v>1</v>
      </c>
      <c r="Y460" s="24">
        <v>0</v>
      </c>
      <c r="Z460" s="24">
        <v>0</v>
      </c>
      <c r="AA460" s="24">
        <v>0</v>
      </c>
      <c r="AB460" s="24">
        <v>0</v>
      </c>
      <c r="AC460" s="24">
        <v>0</v>
      </c>
      <c r="AD460" s="24">
        <v>1</v>
      </c>
      <c r="AE460" s="24">
        <v>0</v>
      </c>
      <c r="AF460" s="24">
        <v>0</v>
      </c>
      <c r="AG460" s="24">
        <v>1</v>
      </c>
      <c r="AH460" s="24">
        <v>0</v>
      </c>
      <c r="AI460" s="24">
        <v>0</v>
      </c>
      <c r="AJ460" s="24">
        <v>0</v>
      </c>
      <c r="AK460" s="24">
        <v>1</v>
      </c>
      <c r="AL460" s="24">
        <v>0</v>
      </c>
      <c r="AM460" s="24">
        <v>0</v>
      </c>
      <c r="AN460" s="24">
        <v>0</v>
      </c>
      <c r="AO460" s="24">
        <v>0</v>
      </c>
      <c r="AP460" s="24">
        <v>0</v>
      </c>
      <c r="AQ460" s="24">
        <v>1</v>
      </c>
      <c r="AR460" s="24">
        <v>0</v>
      </c>
      <c r="AS460" s="24">
        <v>0</v>
      </c>
      <c r="AT460" s="24">
        <v>0</v>
      </c>
      <c r="AU460" s="24">
        <v>1</v>
      </c>
      <c r="AV460" s="24">
        <v>0</v>
      </c>
      <c r="AW460" s="24">
        <v>0</v>
      </c>
      <c r="AX460" s="24">
        <v>0</v>
      </c>
      <c r="AY460" s="24">
        <v>1</v>
      </c>
      <c r="AZ460" s="24">
        <v>0</v>
      </c>
      <c r="BA460" s="24">
        <v>0</v>
      </c>
      <c r="BB460" s="24">
        <v>0</v>
      </c>
    </row>
    <row r="461" spans="2:54" ht="13.8" x14ac:dyDescent="0.3">
      <c r="B461" s="24">
        <v>441</v>
      </c>
      <c r="C461" s="24">
        <v>12</v>
      </c>
      <c r="D461" s="24">
        <v>1</v>
      </c>
      <c r="E461" s="24">
        <v>0</v>
      </c>
      <c r="F461" s="24">
        <v>0</v>
      </c>
      <c r="G461" s="24">
        <v>0</v>
      </c>
      <c r="H461" s="24">
        <v>0</v>
      </c>
      <c r="I461" s="24">
        <v>0</v>
      </c>
      <c r="J461" s="24">
        <v>1884</v>
      </c>
      <c r="K461" s="24">
        <v>4</v>
      </c>
      <c r="L461" s="24">
        <v>0</v>
      </c>
      <c r="M461" s="24">
        <v>1</v>
      </c>
      <c r="N461" s="24">
        <v>0</v>
      </c>
      <c r="O461" s="24">
        <v>0</v>
      </c>
      <c r="P461" s="24">
        <v>0</v>
      </c>
      <c r="Q461" s="24">
        <v>0</v>
      </c>
      <c r="R461" s="24">
        <v>0</v>
      </c>
      <c r="S461" s="24">
        <v>39</v>
      </c>
      <c r="T461" s="24">
        <v>0</v>
      </c>
      <c r="U461" s="24">
        <v>0</v>
      </c>
      <c r="V461" s="24">
        <v>1</v>
      </c>
      <c r="W461" s="24">
        <v>1</v>
      </c>
      <c r="X461" s="24">
        <v>1</v>
      </c>
      <c r="Y461" s="24">
        <v>1</v>
      </c>
      <c r="Z461" s="24">
        <v>0</v>
      </c>
      <c r="AA461" s="24">
        <v>1</v>
      </c>
      <c r="AB461" s="24">
        <v>0</v>
      </c>
      <c r="AC461" s="24">
        <v>0</v>
      </c>
      <c r="AD461" s="24">
        <v>0</v>
      </c>
      <c r="AE461" s="24">
        <v>1</v>
      </c>
      <c r="AF461" s="24">
        <v>0</v>
      </c>
      <c r="AG461" s="24">
        <v>0</v>
      </c>
      <c r="AH461" s="24">
        <v>1</v>
      </c>
      <c r="AI461" s="24">
        <v>0</v>
      </c>
      <c r="AJ461" s="24">
        <v>0</v>
      </c>
      <c r="AK461" s="24">
        <v>1</v>
      </c>
      <c r="AL461" s="24">
        <v>0</v>
      </c>
      <c r="AM461" s="24">
        <v>0</v>
      </c>
      <c r="AN461" s="24">
        <v>0</v>
      </c>
      <c r="AO461" s="24">
        <v>0</v>
      </c>
      <c r="AP461" s="24">
        <v>0</v>
      </c>
      <c r="AQ461" s="24">
        <v>0</v>
      </c>
      <c r="AR461" s="24">
        <v>0</v>
      </c>
      <c r="AS461" s="24">
        <v>0</v>
      </c>
      <c r="AT461" s="24">
        <v>1</v>
      </c>
      <c r="AU461" s="24">
        <v>0</v>
      </c>
      <c r="AV461" s="24">
        <v>0</v>
      </c>
      <c r="AW461" s="24">
        <v>0</v>
      </c>
      <c r="AX461" s="24">
        <v>1</v>
      </c>
      <c r="AY461" s="24">
        <v>0</v>
      </c>
      <c r="AZ461" s="24">
        <v>0</v>
      </c>
      <c r="BA461" s="24">
        <v>0</v>
      </c>
      <c r="BB461" s="24">
        <v>1</v>
      </c>
    </row>
    <row r="462" spans="2:54" ht="13.8" x14ac:dyDescent="0.3">
      <c r="B462" s="24">
        <v>442</v>
      </c>
      <c r="C462" s="24">
        <v>12</v>
      </c>
      <c r="D462" s="24">
        <v>0</v>
      </c>
      <c r="E462" s="24">
        <v>0</v>
      </c>
      <c r="F462" s="24">
        <v>1</v>
      </c>
      <c r="G462" s="24">
        <v>0</v>
      </c>
      <c r="H462" s="24">
        <v>0</v>
      </c>
      <c r="I462" s="24">
        <v>0</v>
      </c>
      <c r="J462" s="24">
        <v>1620</v>
      </c>
      <c r="K462" s="24">
        <v>2</v>
      </c>
      <c r="L462" s="24">
        <v>0</v>
      </c>
      <c r="M462" s="24">
        <v>0</v>
      </c>
      <c r="N462" s="24">
        <v>0</v>
      </c>
      <c r="O462" s="24">
        <v>1</v>
      </c>
      <c r="P462" s="24">
        <v>0</v>
      </c>
      <c r="Q462" s="24">
        <v>0</v>
      </c>
      <c r="R462" s="24">
        <v>0</v>
      </c>
      <c r="S462" s="24">
        <v>30</v>
      </c>
      <c r="T462" s="24">
        <v>0</v>
      </c>
      <c r="U462" s="24">
        <v>0</v>
      </c>
      <c r="V462" s="24">
        <v>1</v>
      </c>
      <c r="W462" s="24">
        <v>1</v>
      </c>
      <c r="X462" s="24">
        <v>1</v>
      </c>
      <c r="Y462" s="24">
        <v>0</v>
      </c>
      <c r="Z462" s="24">
        <v>0</v>
      </c>
      <c r="AA462" s="24">
        <v>1</v>
      </c>
      <c r="AB462" s="24">
        <v>1</v>
      </c>
      <c r="AC462" s="24">
        <v>0</v>
      </c>
      <c r="AD462" s="24">
        <v>0</v>
      </c>
      <c r="AE462" s="24">
        <v>0</v>
      </c>
      <c r="AF462" s="24">
        <v>0</v>
      </c>
      <c r="AG462" s="24">
        <v>0</v>
      </c>
      <c r="AH462" s="24">
        <v>1</v>
      </c>
      <c r="AI462" s="24">
        <v>0</v>
      </c>
      <c r="AJ462" s="24">
        <v>0</v>
      </c>
      <c r="AK462" s="24">
        <v>1</v>
      </c>
      <c r="AL462" s="24">
        <v>0</v>
      </c>
      <c r="AM462" s="24">
        <v>0</v>
      </c>
      <c r="AN462" s="24">
        <v>0</v>
      </c>
      <c r="AO462" s="24">
        <v>0</v>
      </c>
      <c r="AP462" s="24">
        <v>0</v>
      </c>
      <c r="AQ462" s="24">
        <v>0</v>
      </c>
      <c r="AR462" s="24">
        <v>1</v>
      </c>
      <c r="AS462" s="24">
        <v>0</v>
      </c>
      <c r="AT462" s="24">
        <v>0</v>
      </c>
      <c r="AU462" s="24">
        <v>0</v>
      </c>
      <c r="AV462" s="24">
        <v>0</v>
      </c>
      <c r="AW462" s="24">
        <v>1</v>
      </c>
      <c r="AX462" s="24">
        <v>0</v>
      </c>
      <c r="AY462" s="24">
        <v>0</v>
      </c>
      <c r="AZ462" s="24">
        <v>0</v>
      </c>
      <c r="BA462" s="24">
        <v>1</v>
      </c>
      <c r="BB462" s="24">
        <v>0</v>
      </c>
    </row>
    <row r="463" spans="2:54" ht="13.8" x14ac:dyDescent="0.3">
      <c r="B463" s="24">
        <v>443</v>
      </c>
      <c r="C463" s="24">
        <v>20</v>
      </c>
      <c r="D463" s="24">
        <v>0</v>
      </c>
      <c r="E463" s="24">
        <v>0</v>
      </c>
      <c r="F463" s="24">
        <v>0</v>
      </c>
      <c r="G463" s="24">
        <v>0</v>
      </c>
      <c r="H463" s="24">
        <v>0</v>
      </c>
      <c r="I463" s="24">
        <v>0</v>
      </c>
      <c r="J463" s="24">
        <v>2629</v>
      </c>
      <c r="K463" s="24">
        <v>2</v>
      </c>
      <c r="L463" s="24">
        <v>0</v>
      </c>
      <c r="M463" s="24">
        <v>1</v>
      </c>
      <c r="N463" s="24">
        <v>0</v>
      </c>
      <c r="O463" s="24">
        <v>0</v>
      </c>
      <c r="P463" s="24">
        <v>0</v>
      </c>
      <c r="Q463" s="24">
        <v>0</v>
      </c>
      <c r="R463" s="24">
        <v>0</v>
      </c>
      <c r="S463" s="24">
        <v>29</v>
      </c>
      <c r="T463" s="24">
        <v>1</v>
      </c>
      <c r="U463" s="24">
        <v>0</v>
      </c>
      <c r="V463" s="24">
        <v>1</v>
      </c>
      <c r="W463" s="24">
        <v>2</v>
      </c>
      <c r="X463" s="24">
        <v>1</v>
      </c>
      <c r="Y463" s="24">
        <v>1</v>
      </c>
      <c r="Z463" s="24">
        <v>0</v>
      </c>
      <c r="AA463" s="24">
        <v>1</v>
      </c>
      <c r="AB463" s="24">
        <v>0</v>
      </c>
      <c r="AC463" s="24">
        <v>1</v>
      </c>
      <c r="AD463" s="24">
        <v>0</v>
      </c>
      <c r="AE463" s="24">
        <v>0</v>
      </c>
      <c r="AF463" s="24">
        <v>0</v>
      </c>
      <c r="AG463" s="24">
        <v>0</v>
      </c>
      <c r="AH463" s="24">
        <v>0</v>
      </c>
      <c r="AI463" s="24">
        <v>1</v>
      </c>
      <c r="AJ463" s="24">
        <v>0</v>
      </c>
      <c r="AK463" s="24">
        <v>1</v>
      </c>
      <c r="AL463" s="24">
        <v>0</v>
      </c>
      <c r="AM463" s="24">
        <v>0</v>
      </c>
      <c r="AN463" s="24">
        <v>0</v>
      </c>
      <c r="AO463" s="24">
        <v>0</v>
      </c>
      <c r="AP463" s="24">
        <v>0</v>
      </c>
      <c r="AQ463" s="24">
        <v>0</v>
      </c>
      <c r="AR463" s="24">
        <v>1</v>
      </c>
      <c r="AS463" s="24">
        <v>0</v>
      </c>
      <c r="AT463" s="24">
        <v>0</v>
      </c>
      <c r="AU463" s="24">
        <v>0</v>
      </c>
      <c r="AV463" s="24">
        <v>0</v>
      </c>
      <c r="AW463" s="24">
        <v>1</v>
      </c>
      <c r="AX463" s="24">
        <v>0</v>
      </c>
      <c r="AY463" s="24">
        <v>0</v>
      </c>
      <c r="AZ463" s="24">
        <v>0</v>
      </c>
      <c r="BA463" s="24">
        <v>1</v>
      </c>
      <c r="BB463" s="24">
        <v>0</v>
      </c>
    </row>
    <row r="464" spans="2:54" ht="13.8" x14ac:dyDescent="0.3">
      <c r="B464" s="24">
        <v>444</v>
      </c>
      <c r="C464" s="24">
        <v>12</v>
      </c>
      <c r="D464" s="24">
        <v>0</v>
      </c>
      <c r="E464" s="24">
        <v>0</v>
      </c>
      <c r="F464" s="24">
        <v>0</v>
      </c>
      <c r="G464" s="24">
        <v>0</v>
      </c>
      <c r="H464" s="24">
        <v>1</v>
      </c>
      <c r="I464" s="24">
        <v>0</v>
      </c>
      <c r="J464" s="24">
        <v>719</v>
      </c>
      <c r="K464" s="24">
        <v>4</v>
      </c>
      <c r="L464" s="24">
        <v>0</v>
      </c>
      <c r="M464" s="24">
        <v>1</v>
      </c>
      <c r="N464" s="24">
        <v>0</v>
      </c>
      <c r="O464" s="24">
        <v>0</v>
      </c>
      <c r="P464" s="24">
        <v>0</v>
      </c>
      <c r="Q464" s="24">
        <v>0</v>
      </c>
      <c r="R464" s="24">
        <v>0</v>
      </c>
      <c r="S464" s="24">
        <v>41</v>
      </c>
      <c r="T464" s="24">
        <v>1</v>
      </c>
      <c r="U464" s="24">
        <v>0</v>
      </c>
      <c r="V464" s="24">
        <v>1</v>
      </c>
      <c r="W464" s="24">
        <v>1</v>
      </c>
      <c r="X464" s="24">
        <v>2</v>
      </c>
      <c r="Y464" s="24">
        <v>0</v>
      </c>
      <c r="Z464" s="24">
        <v>0</v>
      </c>
      <c r="AA464" s="24">
        <v>0</v>
      </c>
      <c r="AB464" s="24">
        <v>0</v>
      </c>
      <c r="AC464" s="24">
        <v>0</v>
      </c>
      <c r="AD464" s="24">
        <v>0</v>
      </c>
      <c r="AE464" s="24">
        <v>1</v>
      </c>
      <c r="AF464" s="24">
        <v>0</v>
      </c>
      <c r="AG464" s="24">
        <v>0</v>
      </c>
      <c r="AH464" s="24">
        <v>1</v>
      </c>
      <c r="AI464" s="24">
        <v>0</v>
      </c>
      <c r="AJ464" s="24">
        <v>0</v>
      </c>
      <c r="AK464" s="24">
        <v>1</v>
      </c>
      <c r="AL464" s="24">
        <v>0</v>
      </c>
      <c r="AM464" s="24">
        <v>0</v>
      </c>
      <c r="AN464" s="24">
        <v>0</v>
      </c>
      <c r="AO464" s="24">
        <v>0</v>
      </c>
      <c r="AP464" s="24">
        <v>0</v>
      </c>
      <c r="AQ464" s="24">
        <v>0</v>
      </c>
      <c r="AR464" s="24">
        <v>0</v>
      </c>
      <c r="AS464" s="24">
        <v>0</v>
      </c>
      <c r="AT464" s="24">
        <v>1</v>
      </c>
      <c r="AU464" s="24">
        <v>0</v>
      </c>
      <c r="AV464" s="24">
        <v>0</v>
      </c>
      <c r="AW464" s="24">
        <v>0</v>
      </c>
      <c r="AX464" s="24">
        <v>1</v>
      </c>
      <c r="AY464" s="24">
        <v>0</v>
      </c>
      <c r="AZ464" s="24">
        <v>1</v>
      </c>
      <c r="BA464" s="24">
        <v>0</v>
      </c>
      <c r="BB464" s="24">
        <v>0</v>
      </c>
    </row>
    <row r="465" spans="2:54" ht="13.8" x14ac:dyDescent="0.3">
      <c r="B465" s="24">
        <v>445</v>
      </c>
      <c r="C465" s="24">
        <v>48</v>
      </c>
      <c r="D465" s="24">
        <v>0</v>
      </c>
      <c r="E465" s="24">
        <v>0</v>
      </c>
      <c r="F465" s="24">
        <v>1</v>
      </c>
      <c r="G465" s="24">
        <v>0</v>
      </c>
      <c r="H465" s="24">
        <v>0</v>
      </c>
      <c r="I465" s="24">
        <v>0</v>
      </c>
      <c r="J465" s="24">
        <v>5096</v>
      </c>
      <c r="K465" s="24">
        <v>2</v>
      </c>
      <c r="L465" s="24">
        <v>0</v>
      </c>
      <c r="M465" s="24">
        <v>0</v>
      </c>
      <c r="N465" s="24">
        <v>0</v>
      </c>
      <c r="O465" s="24">
        <v>0</v>
      </c>
      <c r="P465" s="24">
        <v>0</v>
      </c>
      <c r="Q465" s="24">
        <v>0</v>
      </c>
      <c r="R465" s="24">
        <v>0</v>
      </c>
      <c r="S465" s="24">
        <v>30</v>
      </c>
      <c r="T465" s="24">
        <v>0</v>
      </c>
      <c r="U465" s="24">
        <v>0</v>
      </c>
      <c r="V465" s="24">
        <v>1</v>
      </c>
      <c r="W465" s="24">
        <v>1</v>
      </c>
      <c r="X465" s="24">
        <v>1</v>
      </c>
      <c r="Y465" s="24">
        <v>1</v>
      </c>
      <c r="Z465" s="24">
        <v>0</v>
      </c>
      <c r="AA465" s="24">
        <v>0</v>
      </c>
      <c r="AB465" s="24">
        <v>0</v>
      </c>
      <c r="AC465" s="24">
        <v>1</v>
      </c>
      <c r="AD465" s="24">
        <v>0</v>
      </c>
      <c r="AE465" s="24">
        <v>0</v>
      </c>
      <c r="AF465" s="24">
        <v>0</v>
      </c>
      <c r="AG465" s="24">
        <v>0</v>
      </c>
      <c r="AH465" s="24">
        <v>0</v>
      </c>
      <c r="AI465" s="24">
        <v>0</v>
      </c>
      <c r="AJ465" s="24">
        <v>1</v>
      </c>
      <c r="AK465" s="24">
        <v>1</v>
      </c>
      <c r="AL465" s="24">
        <v>0</v>
      </c>
      <c r="AM465" s="24">
        <v>0</v>
      </c>
      <c r="AN465" s="24">
        <v>0</v>
      </c>
      <c r="AO465" s="24">
        <v>0</v>
      </c>
      <c r="AP465" s="24">
        <v>0</v>
      </c>
      <c r="AQ465" s="24">
        <v>0</v>
      </c>
      <c r="AR465" s="24">
        <v>1</v>
      </c>
      <c r="AS465" s="24">
        <v>0</v>
      </c>
      <c r="AT465" s="24">
        <v>0</v>
      </c>
      <c r="AU465" s="24">
        <v>0</v>
      </c>
      <c r="AV465" s="24">
        <v>0</v>
      </c>
      <c r="AW465" s="24">
        <v>1</v>
      </c>
      <c r="AX465" s="24">
        <v>0</v>
      </c>
      <c r="AY465" s="24">
        <v>0</v>
      </c>
      <c r="AZ465" s="24">
        <v>0</v>
      </c>
      <c r="BA465" s="24">
        <v>0</v>
      </c>
      <c r="BB465" s="24">
        <v>1</v>
      </c>
    </row>
    <row r="466" spans="2:54" ht="13.8" x14ac:dyDescent="0.3">
      <c r="B466" s="24">
        <v>446</v>
      </c>
      <c r="C466" s="24">
        <v>9</v>
      </c>
      <c r="D466" s="24">
        <v>0</v>
      </c>
      <c r="E466" s="24">
        <v>0</v>
      </c>
      <c r="F466" s="24">
        <v>0</v>
      </c>
      <c r="G466" s="24">
        <v>0</v>
      </c>
      <c r="H466" s="24">
        <v>1</v>
      </c>
      <c r="I466" s="24">
        <v>0</v>
      </c>
      <c r="J466" s="24">
        <v>1244</v>
      </c>
      <c r="K466" s="24">
        <v>4</v>
      </c>
      <c r="L466" s="24">
        <v>0</v>
      </c>
      <c r="M466" s="24">
        <v>0</v>
      </c>
      <c r="N466" s="24">
        <v>0</v>
      </c>
      <c r="O466" s="24">
        <v>0</v>
      </c>
      <c r="P466" s="24">
        <v>0</v>
      </c>
      <c r="Q466" s="24">
        <v>0</v>
      </c>
      <c r="R466" s="24">
        <v>0</v>
      </c>
      <c r="S466" s="24">
        <v>41</v>
      </c>
      <c r="T466" s="24">
        <v>0</v>
      </c>
      <c r="U466" s="24">
        <v>1</v>
      </c>
      <c r="V466" s="24">
        <v>0</v>
      </c>
      <c r="W466" s="24">
        <v>2</v>
      </c>
      <c r="X466" s="24">
        <v>1</v>
      </c>
      <c r="Y466" s="24">
        <v>0</v>
      </c>
      <c r="Z466" s="24">
        <v>0</v>
      </c>
      <c r="AA466" s="24">
        <v>1</v>
      </c>
      <c r="AB466" s="24">
        <v>0</v>
      </c>
      <c r="AC466" s="24">
        <v>0</v>
      </c>
      <c r="AD466" s="24">
        <v>0</v>
      </c>
      <c r="AE466" s="24">
        <v>1</v>
      </c>
      <c r="AF466" s="24">
        <v>0</v>
      </c>
      <c r="AG466" s="24">
        <v>0</v>
      </c>
      <c r="AH466" s="24">
        <v>0</v>
      </c>
      <c r="AI466" s="24">
        <v>0</v>
      </c>
      <c r="AJ466" s="24">
        <v>1</v>
      </c>
      <c r="AK466" s="24">
        <v>0</v>
      </c>
      <c r="AL466" s="24">
        <v>0</v>
      </c>
      <c r="AM466" s="24">
        <v>0</v>
      </c>
      <c r="AN466" s="24">
        <v>0</v>
      </c>
      <c r="AO466" s="24">
        <v>1</v>
      </c>
      <c r="AP466" s="24">
        <v>0</v>
      </c>
      <c r="AQ466" s="24">
        <v>0</v>
      </c>
      <c r="AR466" s="24">
        <v>0</v>
      </c>
      <c r="AS466" s="24">
        <v>0</v>
      </c>
      <c r="AT466" s="24">
        <v>1</v>
      </c>
      <c r="AU466" s="24">
        <v>0</v>
      </c>
      <c r="AV466" s="24">
        <v>0</v>
      </c>
      <c r="AW466" s="24">
        <v>0</v>
      </c>
      <c r="AX466" s="24">
        <v>1</v>
      </c>
      <c r="AY466" s="24">
        <v>0</v>
      </c>
      <c r="AZ466" s="24">
        <v>1</v>
      </c>
      <c r="BA466" s="24">
        <v>0</v>
      </c>
      <c r="BB466" s="24">
        <v>0</v>
      </c>
    </row>
    <row r="467" spans="2:54" ht="13.8" x14ac:dyDescent="0.3">
      <c r="B467" s="24">
        <v>447</v>
      </c>
      <c r="C467" s="24">
        <v>36</v>
      </c>
      <c r="D467" s="24">
        <v>1</v>
      </c>
      <c r="E467" s="24">
        <v>0</v>
      </c>
      <c r="F467" s="24">
        <v>0</v>
      </c>
      <c r="G467" s="24">
        <v>0</v>
      </c>
      <c r="H467" s="24">
        <v>0</v>
      </c>
      <c r="I467" s="24">
        <v>0</v>
      </c>
      <c r="J467" s="24">
        <v>1842</v>
      </c>
      <c r="K467" s="24">
        <v>4</v>
      </c>
      <c r="L467" s="24">
        <v>0</v>
      </c>
      <c r="M467" s="24">
        <v>0</v>
      </c>
      <c r="N467" s="24">
        <v>0</v>
      </c>
      <c r="O467" s="24">
        <v>0</v>
      </c>
      <c r="P467" s="24">
        <v>0</v>
      </c>
      <c r="Q467" s="24">
        <v>0</v>
      </c>
      <c r="R467" s="24">
        <v>0</v>
      </c>
      <c r="S467" s="24">
        <v>34</v>
      </c>
      <c r="T467" s="24">
        <v>0</v>
      </c>
      <c r="U467" s="24">
        <v>0</v>
      </c>
      <c r="V467" s="24">
        <v>1</v>
      </c>
      <c r="W467" s="24">
        <v>1</v>
      </c>
      <c r="X467" s="24">
        <v>1</v>
      </c>
      <c r="Y467" s="24">
        <v>1</v>
      </c>
      <c r="Z467" s="24">
        <v>0</v>
      </c>
      <c r="AA467" s="24">
        <v>0</v>
      </c>
      <c r="AB467" s="24">
        <v>1</v>
      </c>
      <c r="AC467" s="24">
        <v>0</v>
      </c>
      <c r="AD467" s="24">
        <v>0</v>
      </c>
      <c r="AE467" s="24">
        <v>0</v>
      </c>
      <c r="AF467" s="24">
        <v>0</v>
      </c>
      <c r="AG467" s="24">
        <v>0</v>
      </c>
      <c r="AH467" s="24">
        <v>1</v>
      </c>
      <c r="AI467" s="24">
        <v>0</v>
      </c>
      <c r="AJ467" s="24">
        <v>0</v>
      </c>
      <c r="AK467" s="24">
        <v>1</v>
      </c>
      <c r="AL467" s="24">
        <v>0</v>
      </c>
      <c r="AM467" s="24">
        <v>0</v>
      </c>
      <c r="AN467" s="24">
        <v>0</v>
      </c>
      <c r="AO467" s="24">
        <v>0</v>
      </c>
      <c r="AP467" s="24">
        <v>0</v>
      </c>
      <c r="AQ467" s="24">
        <v>1</v>
      </c>
      <c r="AR467" s="24">
        <v>0</v>
      </c>
      <c r="AS467" s="24">
        <v>0</v>
      </c>
      <c r="AT467" s="24">
        <v>0</v>
      </c>
      <c r="AU467" s="24">
        <v>0</v>
      </c>
      <c r="AV467" s="24">
        <v>0</v>
      </c>
      <c r="AW467" s="24">
        <v>0</v>
      </c>
      <c r="AX467" s="24">
        <v>1</v>
      </c>
      <c r="AY467" s="24">
        <v>0</v>
      </c>
      <c r="AZ467" s="24">
        <v>0</v>
      </c>
      <c r="BA467" s="24">
        <v>1</v>
      </c>
      <c r="BB467" s="24">
        <v>0</v>
      </c>
    </row>
    <row r="468" spans="2:54" ht="13.8" x14ac:dyDescent="0.3">
      <c r="B468" s="24">
        <v>448</v>
      </c>
      <c r="C468" s="24">
        <v>7</v>
      </c>
      <c r="D468" s="24">
        <v>0</v>
      </c>
      <c r="E468" s="24">
        <v>0</v>
      </c>
      <c r="F468" s="24">
        <v>0</v>
      </c>
      <c r="G468" s="24">
        <v>1</v>
      </c>
      <c r="H468" s="24">
        <v>0</v>
      </c>
      <c r="I468" s="24">
        <v>0</v>
      </c>
      <c r="J468" s="24">
        <v>2576</v>
      </c>
      <c r="K468" s="24">
        <v>2</v>
      </c>
      <c r="L468" s="24">
        <v>0</v>
      </c>
      <c r="M468" s="24">
        <v>1</v>
      </c>
      <c r="N468" s="24">
        <v>0</v>
      </c>
      <c r="O468" s="24">
        <v>0</v>
      </c>
      <c r="P468" s="24">
        <v>1</v>
      </c>
      <c r="Q468" s="24">
        <v>1</v>
      </c>
      <c r="R468" s="24">
        <v>0</v>
      </c>
      <c r="S468" s="24">
        <v>35</v>
      </c>
      <c r="T468" s="24">
        <v>0</v>
      </c>
      <c r="U468" s="24">
        <v>0</v>
      </c>
      <c r="V468" s="24">
        <v>1</v>
      </c>
      <c r="W468" s="24">
        <v>1</v>
      </c>
      <c r="X468" s="24">
        <v>1</v>
      </c>
      <c r="Y468" s="24">
        <v>0</v>
      </c>
      <c r="Z468" s="24">
        <v>0</v>
      </c>
      <c r="AA468" s="24">
        <v>1</v>
      </c>
      <c r="AB468" s="24">
        <v>0</v>
      </c>
      <c r="AC468" s="24">
        <v>1</v>
      </c>
      <c r="AD468" s="24">
        <v>0</v>
      </c>
      <c r="AE468" s="24">
        <v>0</v>
      </c>
      <c r="AF468" s="24">
        <v>0</v>
      </c>
      <c r="AG468" s="24">
        <v>0</v>
      </c>
      <c r="AH468" s="24">
        <v>1</v>
      </c>
      <c r="AI468" s="24">
        <v>0</v>
      </c>
      <c r="AJ468" s="24">
        <v>0</v>
      </c>
      <c r="AK468" s="24">
        <v>1</v>
      </c>
      <c r="AL468" s="24">
        <v>0</v>
      </c>
      <c r="AM468" s="24">
        <v>0</v>
      </c>
      <c r="AN468" s="24">
        <v>0</v>
      </c>
      <c r="AO468" s="24">
        <v>0</v>
      </c>
      <c r="AP468" s="24">
        <v>0</v>
      </c>
      <c r="AQ468" s="24">
        <v>0</v>
      </c>
      <c r="AR468" s="24">
        <v>1</v>
      </c>
      <c r="AS468" s="24">
        <v>0</v>
      </c>
      <c r="AT468" s="24">
        <v>0</v>
      </c>
      <c r="AU468" s="24">
        <v>0</v>
      </c>
      <c r="AV468" s="24">
        <v>1</v>
      </c>
      <c r="AW468" s="24">
        <v>0</v>
      </c>
      <c r="AX468" s="24">
        <v>0</v>
      </c>
      <c r="AY468" s="24">
        <v>0</v>
      </c>
      <c r="AZ468" s="24">
        <v>0</v>
      </c>
      <c r="BA468" s="24">
        <v>1</v>
      </c>
      <c r="BB468" s="24">
        <v>0</v>
      </c>
    </row>
    <row r="469" spans="2:54" ht="13.8" x14ac:dyDescent="0.3">
      <c r="B469" s="24">
        <v>449</v>
      </c>
      <c r="C469" s="24">
        <v>12</v>
      </c>
      <c r="D469" s="24">
        <v>0</v>
      </c>
      <c r="E469" s="24">
        <v>0</v>
      </c>
      <c r="F469" s="24">
        <v>1</v>
      </c>
      <c r="G469" s="24">
        <v>0</v>
      </c>
      <c r="H469" s="24">
        <v>0</v>
      </c>
      <c r="I469" s="24">
        <v>0</v>
      </c>
      <c r="J469" s="24">
        <v>1424</v>
      </c>
      <c r="K469" s="24">
        <v>3</v>
      </c>
      <c r="L469" s="24">
        <v>0</v>
      </c>
      <c r="M469" s="24">
        <v>0</v>
      </c>
      <c r="N469" s="24">
        <v>0</v>
      </c>
      <c r="O469" s="24">
        <v>0</v>
      </c>
      <c r="P469" s="24">
        <v>0</v>
      </c>
      <c r="Q469" s="24">
        <v>1</v>
      </c>
      <c r="R469" s="24">
        <v>0</v>
      </c>
      <c r="S469" s="24">
        <v>55</v>
      </c>
      <c r="T469" s="24">
        <v>0</v>
      </c>
      <c r="U469" s="24">
        <v>0</v>
      </c>
      <c r="V469" s="24">
        <v>1</v>
      </c>
      <c r="W469" s="24">
        <v>1</v>
      </c>
      <c r="X469" s="24">
        <v>1</v>
      </c>
      <c r="Y469" s="24">
        <v>1</v>
      </c>
      <c r="Z469" s="24">
        <v>0</v>
      </c>
      <c r="AA469" s="24">
        <v>1</v>
      </c>
      <c r="AB469" s="24">
        <v>0</v>
      </c>
      <c r="AC469" s="24">
        <v>0</v>
      </c>
      <c r="AD469" s="24">
        <v>1</v>
      </c>
      <c r="AE469" s="24">
        <v>0</v>
      </c>
      <c r="AF469" s="24">
        <v>0</v>
      </c>
      <c r="AG469" s="24">
        <v>0</v>
      </c>
      <c r="AH469" s="24">
        <v>1</v>
      </c>
      <c r="AI469" s="24">
        <v>0</v>
      </c>
      <c r="AJ469" s="24">
        <v>0</v>
      </c>
      <c r="AK469" s="24">
        <v>0</v>
      </c>
      <c r="AL469" s="24">
        <v>0</v>
      </c>
      <c r="AM469" s="24">
        <v>0</v>
      </c>
      <c r="AN469" s="24">
        <v>0</v>
      </c>
      <c r="AO469" s="24">
        <v>1</v>
      </c>
      <c r="AP469" s="24">
        <v>0</v>
      </c>
      <c r="AQ469" s="24">
        <v>0</v>
      </c>
      <c r="AR469" s="24">
        <v>0</v>
      </c>
      <c r="AS469" s="24">
        <v>0</v>
      </c>
      <c r="AT469" s="24">
        <v>1</v>
      </c>
      <c r="AU469" s="24">
        <v>0</v>
      </c>
      <c r="AV469" s="24">
        <v>0</v>
      </c>
      <c r="AW469" s="24">
        <v>0</v>
      </c>
      <c r="AX469" s="24">
        <v>1</v>
      </c>
      <c r="AY469" s="24">
        <v>0</v>
      </c>
      <c r="AZ469" s="24">
        <v>0</v>
      </c>
      <c r="BA469" s="24">
        <v>0</v>
      </c>
      <c r="BB469" s="24">
        <v>1</v>
      </c>
    </row>
    <row r="470" spans="2:54" ht="13.8" x14ac:dyDescent="0.3">
      <c r="B470" s="24">
        <v>450</v>
      </c>
      <c r="C470" s="24">
        <v>15</v>
      </c>
      <c r="D470" s="24">
        <v>0</v>
      </c>
      <c r="E470" s="24">
        <v>0</v>
      </c>
      <c r="F470" s="24">
        <v>0</v>
      </c>
      <c r="G470" s="24">
        <v>0</v>
      </c>
      <c r="H470" s="24">
        <v>0</v>
      </c>
      <c r="I470" s="24">
        <v>0</v>
      </c>
      <c r="J470" s="24">
        <v>1512</v>
      </c>
      <c r="K470" s="24">
        <v>3</v>
      </c>
      <c r="L470" s="24">
        <v>0</v>
      </c>
      <c r="M470" s="24">
        <v>0</v>
      </c>
      <c r="N470" s="24">
        <v>1</v>
      </c>
      <c r="O470" s="24">
        <v>0</v>
      </c>
      <c r="P470" s="24">
        <v>0</v>
      </c>
      <c r="Q470" s="24">
        <v>0</v>
      </c>
      <c r="R470" s="24">
        <v>0</v>
      </c>
      <c r="S470" s="24">
        <v>61</v>
      </c>
      <c r="T470" s="24">
        <v>1</v>
      </c>
      <c r="U470" s="24">
        <v>0</v>
      </c>
      <c r="V470" s="24">
        <v>1</v>
      </c>
      <c r="W470" s="24">
        <v>2</v>
      </c>
      <c r="X470" s="24">
        <v>1</v>
      </c>
      <c r="Y470" s="24">
        <v>0</v>
      </c>
      <c r="Z470" s="24">
        <v>0</v>
      </c>
      <c r="AA470" s="24">
        <v>0</v>
      </c>
      <c r="AB470" s="24">
        <v>0</v>
      </c>
      <c r="AC470" s="24">
        <v>1</v>
      </c>
      <c r="AD470" s="24">
        <v>0</v>
      </c>
      <c r="AE470" s="24">
        <v>0</v>
      </c>
      <c r="AF470" s="24">
        <v>0</v>
      </c>
      <c r="AG470" s="24">
        <v>0</v>
      </c>
      <c r="AH470" s="24">
        <v>0</v>
      </c>
      <c r="AI470" s="24">
        <v>1</v>
      </c>
      <c r="AJ470" s="24">
        <v>0</v>
      </c>
      <c r="AK470" s="24">
        <v>0</v>
      </c>
      <c r="AL470" s="24">
        <v>0</v>
      </c>
      <c r="AM470" s="24">
        <v>0</v>
      </c>
      <c r="AN470" s="24">
        <v>1</v>
      </c>
      <c r="AO470" s="24">
        <v>0</v>
      </c>
      <c r="AP470" s="24">
        <v>0</v>
      </c>
      <c r="AQ470" s="24">
        <v>0</v>
      </c>
      <c r="AR470" s="24">
        <v>1</v>
      </c>
      <c r="AS470" s="24">
        <v>0</v>
      </c>
      <c r="AT470" s="24">
        <v>0</v>
      </c>
      <c r="AU470" s="24">
        <v>0</v>
      </c>
      <c r="AV470" s="24">
        <v>0</v>
      </c>
      <c r="AW470" s="24">
        <v>1</v>
      </c>
      <c r="AX470" s="24">
        <v>0</v>
      </c>
      <c r="AY470" s="24">
        <v>0</v>
      </c>
      <c r="AZ470" s="24">
        <v>0</v>
      </c>
      <c r="BA470" s="24">
        <v>1</v>
      </c>
      <c r="BB470" s="24">
        <v>0</v>
      </c>
    </row>
    <row r="471" spans="2:54" ht="13.8" x14ac:dyDescent="0.3">
      <c r="B471" s="24">
        <v>451</v>
      </c>
      <c r="C471" s="24">
        <v>36</v>
      </c>
      <c r="D471" s="24">
        <v>0</v>
      </c>
      <c r="E471" s="24">
        <v>1</v>
      </c>
      <c r="F471" s="24">
        <v>0</v>
      </c>
      <c r="G471" s="24">
        <v>0</v>
      </c>
      <c r="H471" s="24">
        <v>0</v>
      </c>
      <c r="I471" s="24">
        <v>0</v>
      </c>
      <c r="J471" s="24">
        <v>11054</v>
      </c>
      <c r="K471" s="24">
        <v>4</v>
      </c>
      <c r="L471" s="24">
        <v>0</v>
      </c>
      <c r="M471" s="24">
        <v>1</v>
      </c>
      <c r="N471" s="24">
        <v>0</v>
      </c>
      <c r="O471" s="24">
        <v>0</v>
      </c>
      <c r="P471" s="24">
        <v>0</v>
      </c>
      <c r="Q471" s="24">
        <v>0</v>
      </c>
      <c r="R471" s="24">
        <v>0</v>
      </c>
      <c r="S471" s="24">
        <v>30</v>
      </c>
      <c r="T471" s="24">
        <v>0</v>
      </c>
      <c r="U471" s="24">
        <v>0</v>
      </c>
      <c r="V471" s="24">
        <v>1</v>
      </c>
      <c r="W471" s="24">
        <v>1</v>
      </c>
      <c r="X471" s="24">
        <v>1</v>
      </c>
      <c r="Y471" s="24">
        <v>1</v>
      </c>
      <c r="Z471" s="24">
        <v>0</v>
      </c>
      <c r="AA471" s="24">
        <v>1</v>
      </c>
      <c r="AB471" s="24">
        <v>0</v>
      </c>
      <c r="AC471" s="24">
        <v>0</v>
      </c>
      <c r="AD471" s="24">
        <v>0</v>
      </c>
      <c r="AE471" s="24">
        <v>1</v>
      </c>
      <c r="AF471" s="24">
        <v>0</v>
      </c>
      <c r="AG471" s="24">
        <v>0</v>
      </c>
      <c r="AH471" s="24">
        <v>0</v>
      </c>
      <c r="AI471" s="24">
        <v>0</v>
      </c>
      <c r="AJ471" s="24">
        <v>1</v>
      </c>
      <c r="AK471" s="24">
        <v>0</v>
      </c>
      <c r="AL471" s="24">
        <v>0</v>
      </c>
      <c r="AM471" s="24">
        <v>0</v>
      </c>
      <c r="AN471" s="24">
        <v>0</v>
      </c>
      <c r="AO471" s="24">
        <v>1</v>
      </c>
      <c r="AP471" s="24">
        <v>0</v>
      </c>
      <c r="AQ471" s="24">
        <v>0</v>
      </c>
      <c r="AR471" s="24">
        <v>1</v>
      </c>
      <c r="AS471" s="24">
        <v>0</v>
      </c>
      <c r="AT471" s="24">
        <v>0</v>
      </c>
      <c r="AU471" s="24">
        <v>0</v>
      </c>
      <c r="AV471" s="24">
        <v>1</v>
      </c>
      <c r="AW471" s="24">
        <v>0</v>
      </c>
      <c r="AX471" s="24">
        <v>0</v>
      </c>
      <c r="AY471" s="24">
        <v>0</v>
      </c>
      <c r="AZ471" s="24">
        <v>0</v>
      </c>
      <c r="BA471" s="24">
        <v>0</v>
      </c>
      <c r="BB471" s="24">
        <v>1</v>
      </c>
    </row>
    <row r="472" spans="2:54" ht="13.8" x14ac:dyDescent="0.3">
      <c r="B472" s="24">
        <v>452</v>
      </c>
      <c r="C472" s="24">
        <v>6</v>
      </c>
      <c r="D472" s="24">
        <v>0</v>
      </c>
      <c r="E472" s="24">
        <v>0</v>
      </c>
      <c r="F472" s="24">
        <v>0</v>
      </c>
      <c r="G472" s="24">
        <v>1</v>
      </c>
      <c r="H472" s="24">
        <v>0</v>
      </c>
      <c r="I472" s="24">
        <v>0</v>
      </c>
      <c r="J472" s="24">
        <v>518</v>
      </c>
      <c r="K472" s="24">
        <v>3</v>
      </c>
      <c r="L472" s="24">
        <v>0</v>
      </c>
      <c r="M472" s="24">
        <v>0</v>
      </c>
      <c r="N472" s="24">
        <v>0</v>
      </c>
      <c r="O472" s="24">
        <v>0</v>
      </c>
      <c r="P472" s="24">
        <v>0</v>
      </c>
      <c r="Q472" s="24">
        <v>1</v>
      </c>
      <c r="R472" s="24">
        <v>0</v>
      </c>
      <c r="S472" s="24">
        <v>29</v>
      </c>
      <c r="T472" s="24">
        <v>0</v>
      </c>
      <c r="U472" s="24">
        <v>0</v>
      </c>
      <c r="V472" s="24">
        <v>1</v>
      </c>
      <c r="W472" s="24">
        <v>1</v>
      </c>
      <c r="X472" s="24">
        <v>1</v>
      </c>
      <c r="Y472" s="24">
        <v>0</v>
      </c>
      <c r="Z472" s="24">
        <v>0</v>
      </c>
      <c r="AA472" s="24">
        <v>1</v>
      </c>
      <c r="AB472" s="24">
        <v>0</v>
      </c>
      <c r="AC472" s="24">
        <v>0</v>
      </c>
      <c r="AD472" s="24">
        <v>0</v>
      </c>
      <c r="AE472" s="24">
        <v>1</v>
      </c>
      <c r="AF472" s="24">
        <v>0</v>
      </c>
      <c r="AG472" s="24">
        <v>0</v>
      </c>
      <c r="AH472" s="24">
        <v>1</v>
      </c>
      <c r="AI472" s="24">
        <v>0</v>
      </c>
      <c r="AJ472" s="24">
        <v>0</v>
      </c>
      <c r="AK472" s="24">
        <v>1</v>
      </c>
      <c r="AL472" s="24">
        <v>0</v>
      </c>
      <c r="AM472" s="24">
        <v>0</v>
      </c>
      <c r="AN472" s="24">
        <v>0</v>
      </c>
      <c r="AO472" s="24">
        <v>0</v>
      </c>
      <c r="AP472" s="24">
        <v>0</v>
      </c>
      <c r="AQ472" s="24">
        <v>0</v>
      </c>
      <c r="AR472" s="24">
        <v>1</v>
      </c>
      <c r="AS472" s="24">
        <v>0</v>
      </c>
      <c r="AT472" s="24">
        <v>0</v>
      </c>
      <c r="AU472" s="24">
        <v>1</v>
      </c>
      <c r="AV472" s="24">
        <v>0</v>
      </c>
      <c r="AW472" s="24">
        <v>0</v>
      </c>
      <c r="AX472" s="24">
        <v>0</v>
      </c>
      <c r="AY472" s="24">
        <v>0</v>
      </c>
      <c r="AZ472" s="24">
        <v>0</v>
      </c>
      <c r="BA472" s="24">
        <v>1</v>
      </c>
      <c r="BB472" s="24">
        <v>0</v>
      </c>
    </row>
    <row r="473" spans="2:54" ht="13.8" x14ac:dyDescent="0.3">
      <c r="B473" s="24">
        <v>453</v>
      </c>
      <c r="C473" s="24">
        <v>12</v>
      </c>
      <c r="D473" s="24">
        <v>0</v>
      </c>
      <c r="E473" s="24">
        <v>0</v>
      </c>
      <c r="F473" s="24">
        <v>1</v>
      </c>
      <c r="G473" s="24">
        <v>0</v>
      </c>
      <c r="H473" s="24">
        <v>0</v>
      </c>
      <c r="I473" s="24">
        <v>0</v>
      </c>
      <c r="J473" s="24">
        <v>2759</v>
      </c>
      <c r="K473" s="24">
        <v>2</v>
      </c>
      <c r="L473" s="24">
        <v>0</v>
      </c>
      <c r="M473" s="24">
        <v>1</v>
      </c>
      <c r="N473" s="24">
        <v>0</v>
      </c>
      <c r="O473" s="24">
        <v>0</v>
      </c>
      <c r="P473" s="24">
        <v>0</v>
      </c>
      <c r="Q473" s="24">
        <v>0</v>
      </c>
      <c r="R473" s="24">
        <v>0</v>
      </c>
      <c r="S473" s="24">
        <v>34</v>
      </c>
      <c r="T473" s="24">
        <v>0</v>
      </c>
      <c r="U473" s="24">
        <v>0</v>
      </c>
      <c r="V473" s="24">
        <v>1</v>
      </c>
      <c r="W473" s="24">
        <v>2</v>
      </c>
      <c r="X473" s="24">
        <v>1</v>
      </c>
      <c r="Y473" s="24">
        <v>0</v>
      </c>
      <c r="Z473" s="24">
        <v>0</v>
      </c>
      <c r="AA473" s="24">
        <v>1</v>
      </c>
      <c r="AB473" s="24">
        <v>0</v>
      </c>
      <c r="AC473" s="24">
        <v>0</v>
      </c>
      <c r="AD473" s="24">
        <v>0</v>
      </c>
      <c r="AE473" s="24">
        <v>1</v>
      </c>
      <c r="AF473" s="24">
        <v>1</v>
      </c>
      <c r="AG473" s="24">
        <v>0</v>
      </c>
      <c r="AH473" s="24">
        <v>0</v>
      </c>
      <c r="AI473" s="24">
        <v>0</v>
      </c>
      <c r="AJ473" s="24">
        <v>0</v>
      </c>
      <c r="AK473" s="24">
        <v>1</v>
      </c>
      <c r="AL473" s="24">
        <v>0</v>
      </c>
      <c r="AM473" s="24">
        <v>0</v>
      </c>
      <c r="AN473" s="24">
        <v>0</v>
      </c>
      <c r="AO473" s="24">
        <v>0</v>
      </c>
      <c r="AP473" s="24">
        <v>0</v>
      </c>
      <c r="AQ473" s="24">
        <v>0</v>
      </c>
      <c r="AR473" s="24">
        <v>0</v>
      </c>
      <c r="AS473" s="24">
        <v>0</v>
      </c>
      <c r="AT473" s="24">
        <v>1</v>
      </c>
      <c r="AU473" s="24">
        <v>0</v>
      </c>
      <c r="AV473" s="24">
        <v>0</v>
      </c>
      <c r="AW473" s="24">
        <v>0</v>
      </c>
      <c r="AX473" s="24">
        <v>1</v>
      </c>
      <c r="AY473" s="24">
        <v>0</v>
      </c>
      <c r="AZ473" s="24">
        <v>0</v>
      </c>
      <c r="BA473" s="24">
        <v>1</v>
      </c>
      <c r="BB473" s="24">
        <v>0</v>
      </c>
    </row>
    <row r="474" spans="2:54" ht="13.8" x14ac:dyDescent="0.3">
      <c r="B474" s="24">
        <v>454</v>
      </c>
      <c r="C474" s="24">
        <v>24</v>
      </c>
      <c r="D474" s="24">
        <v>0</v>
      </c>
      <c r="E474" s="24">
        <v>1</v>
      </c>
      <c r="F474" s="24">
        <v>0</v>
      </c>
      <c r="G474" s="24">
        <v>0</v>
      </c>
      <c r="H474" s="24">
        <v>0</v>
      </c>
      <c r="I474" s="24">
        <v>0</v>
      </c>
      <c r="J474" s="24">
        <v>2670</v>
      </c>
      <c r="K474" s="24">
        <v>4</v>
      </c>
      <c r="L474" s="24">
        <v>0</v>
      </c>
      <c r="M474" s="24">
        <v>1</v>
      </c>
      <c r="N474" s="24">
        <v>0</v>
      </c>
      <c r="O474" s="24">
        <v>0</v>
      </c>
      <c r="P474" s="24">
        <v>0</v>
      </c>
      <c r="Q474" s="24">
        <v>0</v>
      </c>
      <c r="R474" s="24">
        <v>0</v>
      </c>
      <c r="S474" s="24">
        <v>35</v>
      </c>
      <c r="T474" s="24">
        <v>0</v>
      </c>
      <c r="U474" s="24">
        <v>0</v>
      </c>
      <c r="V474" s="24">
        <v>1</v>
      </c>
      <c r="W474" s="24">
        <v>1</v>
      </c>
      <c r="X474" s="24">
        <v>1</v>
      </c>
      <c r="Y474" s="24">
        <v>1</v>
      </c>
      <c r="Z474" s="24">
        <v>0</v>
      </c>
      <c r="AA474" s="24">
        <v>1</v>
      </c>
      <c r="AB474" s="24">
        <v>0</v>
      </c>
      <c r="AC474" s="24">
        <v>0</v>
      </c>
      <c r="AD474" s="24">
        <v>0</v>
      </c>
      <c r="AE474" s="24">
        <v>1</v>
      </c>
      <c r="AF474" s="24">
        <v>0</v>
      </c>
      <c r="AG474" s="24">
        <v>0</v>
      </c>
      <c r="AH474" s="24">
        <v>1</v>
      </c>
      <c r="AI474" s="24">
        <v>0</v>
      </c>
      <c r="AJ474" s="24">
        <v>0</v>
      </c>
      <c r="AK474" s="24">
        <v>1</v>
      </c>
      <c r="AL474" s="24">
        <v>0</v>
      </c>
      <c r="AM474" s="24">
        <v>0</v>
      </c>
      <c r="AN474" s="24">
        <v>0</v>
      </c>
      <c r="AO474" s="24">
        <v>0</v>
      </c>
      <c r="AP474" s="24">
        <v>0</v>
      </c>
      <c r="AQ474" s="24">
        <v>0</v>
      </c>
      <c r="AR474" s="24">
        <v>0</v>
      </c>
      <c r="AS474" s="24">
        <v>0</v>
      </c>
      <c r="AT474" s="24">
        <v>1</v>
      </c>
      <c r="AU474" s="24">
        <v>0</v>
      </c>
      <c r="AV474" s="24">
        <v>0</v>
      </c>
      <c r="AW474" s="24">
        <v>0</v>
      </c>
      <c r="AX474" s="24">
        <v>1</v>
      </c>
      <c r="AY474" s="24">
        <v>0</v>
      </c>
      <c r="AZ474" s="24">
        <v>0</v>
      </c>
      <c r="BA474" s="24">
        <v>0</v>
      </c>
      <c r="BB474" s="24">
        <v>1</v>
      </c>
    </row>
    <row r="475" spans="2:54" ht="13.8" x14ac:dyDescent="0.3">
      <c r="B475" s="24">
        <v>455</v>
      </c>
      <c r="C475" s="24">
        <v>24</v>
      </c>
      <c r="D475" s="24">
        <v>1</v>
      </c>
      <c r="E475" s="24">
        <v>0</v>
      </c>
      <c r="F475" s="24">
        <v>0</v>
      </c>
      <c r="G475" s="24">
        <v>0</v>
      </c>
      <c r="H475" s="24">
        <v>0</v>
      </c>
      <c r="I475" s="24">
        <v>0</v>
      </c>
      <c r="J475" s="24">
        <v>4817</v>
      </c>
      <c r="K475" s="24">
        <v>2</v>
      </c>
      <c r="L475" s="24">
        <v>0</v>
      </c>
      <c r="M475" s="24">
        <v>1</v>
      </c>
      <c r="N475" s="24">
        <v>0</v>
      </c>
      <c r="O475" s="24">
        <v>1</v>
      </c>
      <c r="P475" s="24">
        <v>0</v>
      </c>
      <c r="Q475" s="24">
        <v>0</v>
      </c>
      <c r="R475" s="24">
        <v>0</v>
      </c>
      <c r="S475" s="24">
        <v>31</v>
      </c>
      <c r="T475" s="24">
        <v>0</v>
      </c>
      <c r="U475" s="24">
        <v>0</v>
      </c>
      <c r="V475" s="24">
        <v>1</v>
      </c>
      <c r="W475" s="24">
        <v>1</v>
      </c>
      <c r="X475" s="24">
        <v>1</v>
      </c>
      <c r="Y475" s="24">
        <v>1</v>
      </c>
      <c r="Z475" s="24">
        <v>0</v>
      </c>
      <c r="AA475" s="24">
        <v>0</v>
      </c>
      <c r="AB475" s="24">
        <v>1</v>
      </c>
      <c r="AC475" s="24">
        <v>0</v>
      </c>
      <c r="AD475" s="24">
        <v>0</v>
      </c>
      <c r="AE475" s="24">
        <v>0</v>
      </c>
      <c r="AF475" s="24">
        <v>0</v>
      </c>
      <c r="AG475" s="24">
        <v>0</v>
      </c>
      <c r="AH475" s="24">
        <v>1</v>
      </c>
      <c r="AI475" s="24">
        <v>0</v>
      </c>
      <c r="AJ475" s="24">
        <v>0</v>
      </c>
      <c r="AK475" s="24">
        <v>1</v>
      </c>
      <c r="AL475" s="24">
        <v>0</v>
      </c>
      <c r="AM475" s="24">
        <v>0</v>
      </c>
      <c r="AN475" s="24">
        <v>0</v>
      </c>
      <c r="AO475" s="24">
        <v>0</v>
      </c>
      <c r="AP475" s="24">
        <v>0</v>
      </c>
      <c r="AQ475" s="24">
        <v>0</v>
      </c>
      <c r="AR475" s="24">
        <v>0</v>
      </c>
      <c r="AS475" s="24">
        <v>1</v>
      </c>
      <c r="AT475" s="24">
        <v>0</v>
      </c>
      <c r="AU475" s="24">
        <v>0</v>
      </c>
      <c r="AV475" s="24">
        <v>0</v>
      </c>
      <c r="AW475" s="24">
        <v>1</v>
      </c>
      <c r="AX475" s="24">
        <v>0</v>
      </c>
      <c r="AY475" s="24">
        <v>0</v>
      </c>
      <c r="AZ475" s="24">
        <v>0</v>
      </c>
      <c r="BA475" s="24">
        <v>1</v>
      </c>
      <c r="BB475" s="24">
        <v>0</v>
      </c>
    </row>
    <row r="476" spans="2:54" ht="13.8" x14ac:dyDescent="0.3">
      <c r="B476" s="24">
        <v>456</v>
      </c>
      <c r="C476" s="24">
        <v>24</v>
      </c>
      <c r="D476" s="24">
        <v>0</v>
      </c>
      <c r="E476" s="24">
        <v>1</v>
      </c>
      <c r="F476" s="24">
        <v>0</v>
      </c>
      <c r="G476" s="24">
        <v>0</v>
      </c>
      <c r="H476" s="24">
        <v>0</v>
      </c>
      <c r="I476" s="24">
        <v>0</v>
      </c>
      <c r="J476" s="24">
        <v>2679</v>
      </c>
      <c r="K476" s="24">
        <v>4</v>
      </c>
      <c r="L476" s="24">
        <v>0</v>
      </c>
      <c r="M476" s="24">
        <v>0</v>
      </c>
      <c r="N476" s="24">
        <v>0</v>
      </c>
      <c r="O476" s="24">
        <v>0</v>
      </c>
      <c r="P476" s="24">
        <v>0</v>
      </c>
      <c r="Q476" s="24">
        <v>0</v>
      </c>
      <c r="R476" s="24">
        <v>1</v>
      </c>
      <c r="S476" s="24">
        <v>29</v>
      </c>
      <c r="T476" s="24">
        <v>0</v>
      </c>
      <c r="U476" s="24">
        <v>0</v>
      </c>
      <c r="V476" s="24">
        <v>1</v>
      </c>
      <c r="W476" s="24">
        <v>1</v>
      </c>
      <c r="X476" s="24">
        <v>1</v>
      </c>
      <c r="Y476" s="24">
        <v>1</v>
      </c>
      <c r="Z476" s="24">
        <v>0</v>
      </c>
      <c r="AA476" s="24">
        <v>1</v>
      </c>
      <c r="AB476" s="24">
        <v>0</v>
      </c>
      <c r="AC476" s="24">
        <v>0</v>
      </c>
      <c r="AD476" s="24">
        <v>0</v>
      </c>
      <c r="AE476" s="24">
        <v>1</v>
      </c>
      <c r="AF476" s="24">
        <v>0</v>
      </c>
      <c r="AG476" s="24">
        <v>0</v>
      </c>
      <c r="AH476" s="24">
        <v>1</v>
      </c>
      <c r="AI476" s="24">
        <v>0</v>
      </c>
      <c r="AJ476" s="24">
        <v>0</v>
      </c>
      <c r="AK476" s="24">
        <v>1</v>
      </c>
      <c r="AL476" s="24">
        <v>0</v>
      </c>
      <c r="AM476" s="24">
        <v>0</v>
      </c>
      <c r="AN476" s="24">
        <v>0</v>
      </c>
      <c r="AO476" s="24">
        <v>0</v>
      </c>
      <c r="AP476" s="24">
        <v>0</v>
      </c>
      <c r="AQ476" s="24">
        <v>1</v>
      </c>
      <c r="AR476" s="24">
        <v>0</v>
      </c>
      <c r="AS476" s="24">
        <v>0</v>
      </c>
      <c r="AT476" s="24">
        <v>0</v>
      </c>
      <c r="AU476" s="24">
        <v>1</v>
      </c>
      <c r="AV476" s="24">
        <v>0</v>
      </c>
      <c r="AW476" s="24">
        <v>0</v>
      </c>
      <c r="AX476" s="24">
        <v>0</v>
      </c>
      <c r="AY476" s="24">
        <v>0</v>
      </c>
      <c r="AZ476" s="24">
        <v>0</v>
      </c>
      <c r="BA476" s="24">
        <v>0</v>
      </c>
      <c r="BB476" s="24">
        <v>1</v>
      </c>
    </row>
    <row r="477" spans="2:54" ht="13.8" x14ac:dyDescent="0.3">
      <c r="B477" s="24">
        <v>457</v>
      </c>
      <c r="C477" s="24">
        <v>11</v>
      </c>
      <c r="D477" s="24">
        <v>1</v>
      </c>
      <c r="E477" s="24">
        <v>0</v>
      </c>
      <c r="F477" s="24">
        <v>0</v>
      </c>
      <c r="G477" s="24">
        <v>0</v>
      </c>
      <c r="H477" s="24">
        <v>0</v>
      </c>
      <c r="I477" s="24">
        <v>0</v>
      </c>
      <c r="J477" s="24">
        <v>3905</v>
      </c>
      <c r="K477" s="24">
        <v>2</v>
      </c>
      <c r="L477" s="24">
        <v>0</v>
      </c>
      <c r="M477" s="24">
        <v>1</v>
      </c>
      <c r="N477" s="24">
        <v>0</v>
      </c>
      <c r="O477" s="24">
        <v>0</v>
      </c>
      <c r="P477" s="24">
        <v>0</v>
      </c>
      <c r="Q477" s="24">
        <v>1</v>
      </c>
      <c r="R477" s="24">
        <v>0</v>
      </c>
      <c r="S477" s="24">
        <v>36</v>
      </c>
      <c r="T477" s="24">
        <v>0</v>
      </c>
      <c r="U477" s="24">
        <v>1</v>
      </c>
      <c r="V477" s="24">
        <v>0</v>
      </c>
      <c r="W477" s="24">
        <v>2</v>
      </c>
      <c r="X477" s="24">
        <v>2</v>
      </c>
      <c r="Y477" s="24">
        <v>0</v>
      </c>
      <c r="Z477" s="24">
        <v>0</v>
      </c>
      <c r="AA477" s="24">
        <v>1</v>
      </c>
      <c r="AB477" s="24">
        <v>1</v>
      </c>
      <c r="AC477" s="24">
        <v>0</v>
      </c>
      <c r="AD477" s="24">
        <v>0</v>
      </c>
      <c r="AE477" s="24">
        <v>0</v>
      </c>
      <c r="AF477" s="24">
        <v>0</v>
      </c>
      <c r="AG477" s="24">
        <v>0</v>
      </c>
      <c r="AH477" s="24">
        <v>0</v>
      </c>
      <c r="AI477" s="24">
        <v>0</v>
      </c>
      <c r="AJ477" s="24">
        <v>1</v>
      </c>
      <c r="AK477" s="24">
        <v>1</v>
      </c>
      <c r="AL477" s="24">
        <v>0</v>
      </c>
      <c r="AM477" s="24">
        <v>0</v>
      </c>
      <c r="AN477" s="24">
        <v>0</v>
      </c>
      <c r="AO477" s="24">
        <v>0</v>
      </c>
      <c r="AP477" s="24">
        <v>0</v>
      </c>
      <c r="AQ477" s="24">
        <v>0</v>
      </c>
      <c r="AR477" s="24">
        <v>1</v>
      </c>
      <c r="AS477" s="24">
        <v>0</v>
      </c>
      <c r="AT477" s="24">
        <v>0</v>
      </c>
      <c r="AU477" s="24">
        <v>0</v>
      </c>
      <c r="AV477" s="24">
        <v>1</v>
      </c>
      <c r="AW477" s="24">
        <v>0</v>
      </c>
      <c r="AX477" s="24">
        <v>0</v>
      </c>
      <c r="AY477" s="24">
        <v>0</v>
      </c>
      <c r="AZ477" s="24">
        <v>0</v>
      </c>
      <c r="BA477" s="24">
        <v>1</v>
      </c>
      <c r="BB477" s="24">
        <v>0</v>
      </c>
    </row>
    <row r="478" spans="2:54" ht="13.8" x14ac:dyDescent="0.3">
      <c r="B478" s="24">
        <v>458</v>
      </c>
      <c r="C478" s="24">
        <v>12</v>
      </c>
      <c r="D478" s="24">
        <v>0</v>
      </c>
      <c r="E478" s="24">
        <v>1</v>
      </c>
      <c r="F478" s="24">
        <v>0</v>
      </c>
      <c r="G478" s="24">
        <v>0</v>
      </c>
      <c r="H478" s="24">
        <v>0</v>
      </c>
      <c r="I478" s="24">
        <v>0</v>
      </c>
      <c r="J478" s="24">
        <v>3386</v>
      </c>
      <c r="K478" s="24">
        <v>3</v>
      </c>
      <c r="L478" s="24">
        <v>0</v>
      </c>
      <c r="M478" s="24">
        <v>1</v>
      </c>
      <c r="N478" s="24">
        <v>0</v>
      </c>
      <c r="O478" s="24">
        <v>0</v>
      </c>
      <c r="P478" s="24">
        <v>0</v>
      </c>
      <c r="Q478" s="24">
        <v>0</v>
      </c>
      <c r="R478" s="24">
        <v>1</v>
      </c>
      <c r="S478" s="24">
        <v>35</v>
      </c>
      <c r="T478" s="24">
        <v>0</v>
      </c>
      <c r="U478" s="24">
        <v>0</v>
      </c>
      <c r="V478" s="24">
        <v>0</v>
      </c>
      <c r="W478" s="24">
        <v>1</v>
      </c>
      <c r="X478" s="24">
        <v>1</v>
      </c>
      <c r="Y478" s="24">
        <v>1</v>
      </c>
      <c r="Z478" s="24">
        <v>0</v>
      </c>
      <c r="AA478" s="24">
        <v>0</v>
      </c>
      <c r="AB478" s="24">
        <v>1</v>
      </c>
      <c r="AC478" s="24">
        <v>0</v>
      </c>
      <c r="AD478" s="24">
        <v>0</v>
      </c>
      <c r="AE478" s="24">
        <v>0</v>
      </c>
      <c r="AF478" s="24">
        <v>0</v>
      </c>
      <c r="AG478" s="24">
        <v>0</v>
      </c>
      <c r="AH478" s="24">
        <v>1</v>
      </c>
      <c r="AI478" s="24">
        <v>0</v>
      </c>
      <c r="AJ478" s="24">
        <v>0</v>
      </c>
      <c r="AK478" s="24">
        <v>1</v>
      </c>
      <c r="AL478" s="24">
        <v>0</v>
      </c>
      <c r="AM478" s="24">
        <v>0</v>
      </c>
      <c r="AN478" s="24">
        <v>0</v>
      </c>
      <c r="AO478" s="24">
        <v>0</v>
      </c>
      <c r="AP478" s="24">
        <v>0</v>
      </c>
      <c r="AQ478" s="24">
        <v>0</v>
      </c>
      <c r="AR478" s="24">
        <v>0</v>
      </c>
      <c r="AS478" s="24">
        <v>0</v>
      </c>
      <c r="AT478" s="24">
        <v>1</v>
      </c>
      <c r="AU478" s="24">
        <v>0</v>
      </c>
      <c r="AV478" s="24">
        <v>0</v>
      </c>
      <c r="AW478" s="24">
        <v>0</v>
      </c>
      <c r="AX478" s="24">
        <v>1</v>
      </c>
      <c r="AY478" s="24">
        <v>0</v>
      </c>
      <c r="AZ478" s="24">
        <v>0</v>
      </c>
      <c r="BA478" s="24">
        <v>1</v>
      </c>
      <c r="BB478" s="24">
        <v>0</v>
      </c>
    </row>
    <row r="479" spans="2:54" ht="13.8" x14ac:dyDescent="0.3">
      <c r="B479" s="24">
        <v>459</v>
      </c>
      <c r="C479" s="24">
        <v>6</v>
      </c>
      <c r="D479" s="24">
        <v>0</v>
      </c>
      <c r="E479" s="24">
        <v>0</v>
      </c>
      <c r="F479" s="24">
        <v>0</v>
      </c>
      <c r="G479" s="24">
        <v>0</v>
      </c>
      <c r="H479" s="24">
        <v>0</v>
      </c>
      <c r="I479" s="24">
        <v>0</v>
      </c>
      <c r="J479" s="24">
        <v>343</v>
      </c>
      <c r="K479" s="24">
        <v>4</v>
      </c>
      <c r="L479" s="24">
        <v>0</v>
      </c>
      <c r="M479" s="24">
        <v>0</v>
      </c>
      <c r="N479" s="24">
        <v>0</v>
      </c>
      <c r="O479" s="24">
        <v>0</v>
      </c>
      <c r="P479" s="24">
        <v>0</v>
      </c>
      <c r="Q479" s="24">
        <v>1</v>
      </c>
      <c r="R479" s="24">
        <v>0</v>
      </c>
      <c r="S479" s="24">
        <v>27</v>
      </c>
      <c r="T479" s="24">
        <v>0</v>
      </c>
      <c r="U479" s="24">
        <v>0</v>
      </c>
      <c r="V479" s="24">
        <v>1</v>
      </c>
      <c r="W479" s="24">
        <v>1</v>
      </c>
      <c r="X479" s="24">
        <v>1</v>
      </c>
      <c r="Y479" s="24">
        <v>0</v>
      </c>
      <c r="Z479" s="24">
        <v>0</v>
      </c>
      <c r="AA479" s="24">
        <v>1</v>
      </c>
      <c r="AB479" s="24">
        <v>1</v>
      </c>
      <c r="AC479" s="24">
        <v>0</v>
      </c>
      <c r="AD479" s="24">
        <v>0</v>
      </c>
      <c r="AE479" s="24">
        <v>0</v>
      </c>
      <c r="AF479" s="24">
        <v>0</v>
      </c>
      <c r="AG479" s="24">
        <v>0</v>
      </c>
      <c r="AH479" s="24">
        <v>1</v>
      </c>
      <c r="AI479" s="24">
        <v>0</v>
      </c>
      <c r="AJ479" s="24">
        <v>0</v>
      </c>
      <c r="AK479" s="24">
        <v>1</v>
      </c>
      <c r="AL479" s="24">
        <v>0</v>
      </c>
      <c r="AM479" s="24">
        <v>0</v>
      </c>
      <c r="AN479" s="24">
        <v>0</v>
      </c>
      <c r="AO479" s="24">
        <v>0</v>
      </c>
      <c r="AP479" s="24">
        <v>0</v>
      </c>
      <c r="AQ479" s="24">
        <v>1</v>
      </c>
      <c r="AR479" s="24">
        <v>0</v>
      </c>
      <c r="AS479" s="24">
        <v>0</v>
      </c>
      <c r="AT479" s="24">
        <v>0</v>
      </c>
      <c r="AU479" s="24">
        <v>1</v>
      </c>
      <c r="AV479" s="24">
        <v>0</v>
      </c>
      <c r="AW479" s="24">
        <v>0</v>
      </c>
      <c r="AX479" s="24">
        <v>0</v>
      </c>
      <c r="AY479" s="24">
        <v>0</v>
      </c>
      <c r="AZ479" s="24">
        <v>0</v>
      </c>
      <c r="BA479" s="24">
        <v>1</v>
      </c>
      <c r="BB479" s="24">
        <v>0</v>
      </c>
    </row>
    <row r="480" spans="2:54" ht="13.8" x14ac:dyDescent="0.3">
      <c r="B480" s="24">
        <v>460</v>
      </c>
      <c r="C480" s="24">
        <v>18</v>
      </c>
      <c r="D480" s="24">
        <v>0</v>
      </c>
      <c r="E480" s="24">
        <v>0</v>
      </c>
      <c r="F480" s="24">
        <v>0</v>
      </c>
      <c r="G480" s="24">
        <v>1</v>
      </c>
      <c r="H480" s="24">
        <v>0</v>
      </c>
      <c r="I480" s="24">
        <v>0</v>
      </c>
      <c r="J480" s="24">
        <v>4594</v>
      </c>
      <c r="K480" s="24">
        <v>3</v>
      </c>
      <c r="L480" s="24">
        <v>0</v>
      </c>
      <c r="M480" s="24">
        <v>1</v>
      </c>
      <c r="N480" s="24">
        <v>0</v>
      </c>
      <c r="O480" s="24">
        <v>0</v>
      </c>
      <c r="P480" s="24">
        <v>0</v>
      </c>
      <c r="Q480" s="24">
        <v>0</v>
      </c>
      <c r="R480" s="24">
        <v>0</v>
      </c>
      <c r="S480" s="24">
        <v>32</v>
      </c>
      <c r="T480" s="24">
        <v>0</v>
      </c>
      <c r="U480" s="24">
        <v>0</v>
      </c>
      <c r="V480" s="24">
        <v>1</v>
      </c>
      <c r="W480" s="24">
        <v>1</v>
      </c>
      <c r="X480" s="24">
        <v>1</v>
      </c>
      <c r="Y480" s="24">
        <v>1</v>
      </c>
      <c r="Z480" s="24">
        <v>0</v>
      </c>
      <c r="AA480" s="24">
        <v>1</v>
      </c>
      <c r="AB480" s="24">
        <v>0</v>
      </c>
      <c r="AC480" s="24">
        <v>0</v>
      </c>
      <c r="AD480" s="24">
        <v>0</v>
      </c>
      <c r="AE480" s="24">
        <v>1</v>
      </c>
      <c r="AF480" s="24">
        <v>0</v>
      </c>
      <c r="AG480" s="24">
        <v>0</v>
      </c>
      <c r="AH480" s="24">
        <v>1</v>
      </c>
      <c r="AI480" s="24">
        <v>0</v>
      </c>
      <c r="AJ480" s="24">
        <v>0</v>
      </c>
      <c r="AK480" s="24">
        <v>1</v>
      </c>
      <c r="AL480" s="24">
        <v>0</v>
      </c>
      <c r="AM480" s="24">
        <v>0</v>
      </c>
      <c r="AN480" s="24">
        <v>0</v>
      </c>
      <c r="AO480" s="24">
        <v>0</v>
      </c>
      <c r="AP480" s="24">
        <v>0</v>
      </c>
      <c r="AQ480" s="24">
        <v>1</v>
      </c>
      <c r="AR480" s="24">
        <v>0</v>
      </c>
      <c r="AS480" s="24">
        <v>0</v>
      </c>
      <c r="AT480" s="24">
        <v>0</v>
      </c>
      <c r="AU480" s="24">
        <v>0</v>
      </c>
      <c r="AV480" s="24">
        <v>1</v>
      </c>
      <c r="AW480" s="24">
        <v>0</v>
      </c>
      <c r="AX480" s="24">
        <v>0</v>
      </c>
      <c r="AY480" s="24">
        <v>0</v>
      </c>
      <c r="AZ480" s="24">
        <v>0</v>
      </c>
      <c r="BA480" s="24">
        <v>1</v>
      </c>
      <c r="BB480" s="24">
        <v>0</v>
      </c>
    </row>
    <row r="481" spans="2:54" ht="13.8" x14ac:dyDescent="0.3">
      <c r="B481" s="24">
        <v>461</v>
      </c>
      <c r="C481" s="24">
        <v>36</v>
      </c>
      <c r="D481" s="24">
        <v>0</v>
      </c>
      <c r="E481" s="24">
        <v>0</v>
      </c>
      <c r="F481" s="24">
        <v>1</v>
      </c>
      <c r="G481" s="24">
        <v>0</v>
      </c>
      <c r="H481" s="24">
        <v>0</v>
      </c>
      <c r="I481" s="24">
        <v>0</v>
      </c>
      <c r="J481" s="24">
        <v>3620</v>
      </c>
      <c r="K481" s="24">
        <v>1</v>
      </c>
      <c r="L481" s="24">
        <v>0</v>
      </c>
      <c r="M481" s="24">
        <v>1</v>
      </c>
      <c r="N481" s="24">
        <v>0</v>
      </c>
      <c r="O481" s="24">
        <v>0</v>
      </c>
      <c r="P481" s="24">
        <v>1</v>
      </c>
      <c r="Q481" s="24">
        <v>0</v>
      </c>
      <c r="R481" s="24">
        <v>0</v>
      </c>
      <c r="S481" s="24">
        <v>37</v>
      </c>
      <c r="T481" s="24">
        <v>0</v>
      </c>
      <c r="U481" s="24">
        <v>0</v>
      </c>
      <c r="V481" s="24">
        <v>1</v>
      </c>
      <c r="W481" s="24">
        <v>1</v>
      </c>
      <c r="X481" s="24">
        <v>2</v>
      </c>
      <c r="Y481" s="24">
        <v>0</v>
      </c>
      <c r="Z481" s="24">
        <v>0</v>
      </c>
      <c r="AA481" s="24">
        <v>1</v>
      </c>
      <c r="AB481" s="24">
        <v>1</v>
      </c>
      <c r="AC481" s="24">
        <v>0</v>
      </c>
      <c r="AD481" s="24">
        <v>0</v>
      </c>
      <c r="AE481" s="24">
        <v>0</v>
      </c>
      <c r="AF481" s="24">
        <v>0</v>
      </c>
      <c r="AG481" s="24">
        <v>0</v>
      </c>
      <c r="AH481" s="24">
        <v>1</v>
      </c>
      <c r="AI481" s="24">
        <v>0</v>
      </c>
      <c r="AJ481" s="24">
        <v>0</v>
      </c>
      <c r="AK481" s="24">
        <v>1</v>
      </c>
      <c r="AL481" s="24">
        <v>0</v>
      </c>
      <c r="AM481" s="24">
        <v>0</v>
      </c>
      <c r="AN481" s="24">
        <v>0</v>
      </c>
      <c r="AO481" s="24">
        <v>0</v>
      </c>
      <c r="AP481" s="24">
        <v>0</v>
      </c>
      <c r="AQ481" s="24">
        <v>0</v>
      </c>
      <c r="AR481" s="24">
        <v>1</v>
      </c>
      <c r="AS481" s="24">
        <v>0</v>
      </c>
      <c r="AT481" s="24">
        <v>0</v>
      </c>
      <c r="AU481" s="24">
        <v>0</v>
      </c>
      <c r="AV481" s="24">
        <v>1</v>
      </c>
      <c r="AW481" s="24">
        <v>0</v>
      </c>
      <c r="AX481" s="24">
        <v>0</v>
      </c>
      <c r="AY481" s="24">
        <v>0</v>
      </c>
      <c r="AZ481" s="24">
        <v>0</v>
      </c>
      <c r="BA481" s="24">
        <v>1</v>
      </c>
      <c r="BB481" s="24">
        <v>0</v>
      </c>
    </row>
    <row r="482" spans="2:54" ht="13.8" x14ac:dyDescent="0.3">
      <c r="B482" s="24">
        <v>462</v>
      </c>
      <c r="C482" s="24">
        <v>15</v>
      </c>
      <c r="D482" s="24">
        <v>1</v>
      </c>
      <c r="E482" s="24">
        <v>0</v>
      </c>
      <c r="F482" s="24">
        <v>0</v>
      </c>
      <c r="G482" s="24">
        <v>0</v>
      </c>
      <c r="H482" s="24">
        <v>0</v>
      </c>
      <c r="I482" s="24">
        <v>0</v>
      </c>
      <c r="J482" s="24">
        <v>1721</v>
      </c>
      <c r="K482" s="24">
        <v>2</v>
      </c>
      <c r="L482" s="24">
        <v>0</v>
      </c>
      <c r="M482" s="24">
        <v>1</v>
      </c>
      <c r="N482" s="24">
        <v>0</v>
      </c>
      <c r="O482" s="24">
        <v>0</v>
      </c>
      <c r="P482" s="24">
        <v>0</v>
      </c>
      <c r="Q482" s="24">
        <v>1</v>
      </c>
      <c r="R482" s="24">
        <v>0</v>
      </c>
      <c r="S482" s="24">
        <v>36</v>
      </c>
      <c r="T482" s="24">
        <v>0</v>
      </c>
      <c r="U482" s="24">
        <v>0</v>
      </c>
      <c r="V482" s="24">
        <v>1</v>
      </c>
      <c r="W482" s="24">
        <v>1</v>
      </c>
      <c r="X482" s="24">
        <v>1</v>
      </c>
      <c r="Y482" s="24">
        <v>0</v>
      </c>
      <c r="Z482" s="24">
        <v>0</v>
      </c>
      <c r="AA482" s="24">
        <v>1</v>
      </c>
      <c r="AB482" s="24">
        <v>1</v>
      </c>
      <c r="AC482" s="24">
        <v>0</v>
      </c>
      <c r="AD482" s="24">
        <v>0</v>
      </c>
      <c r="AE482" s="24">
        <v>0</v>
      </c>
      <c r="AF482" s="24">
        <v>0</v>
      </c>
      <c r="AG482" s="24">
        <v>0</v>
      </c>
      <c r="AH482" s="24">
        <v>1</v>
      </c>
      <c r="AI482" s="24">
        <v>0</v>
      </c>
      <c r="AJ482" s="24">
        <v>0</v>
      </c>
      <c r="AK482" s="24">
        <v>1</v>
      </c>
      <c r="AL482" s="24">
        <v>0</v>
      </c>
      <c r="AM482" s="24">
        <v>0</v>
      </c>
      <c r="AN482" s="24">
        <v>0</v>
      </c>
      <c r="AO482" s="24">
        <v>0</v>
      </c>
      <c r="AP482" s="24">
        <v>0</v>
      </c>
      <c r="AQ482" s="24">
        <v>1</v>
      </c>
      <c r="AR482" s="24">
        <v>0</v>
      </c>
      <c r="AS482" s="24">
        <v>0</v>
      </c>
      <c r="AT482" s="24">
        <v>0</v>
      </c>
      <c r="AU482" s="24">
        <v>0</v>
      </c>
      <c r="AV482" s="24">
        <v>0</v>
      </c>
      <c r="AW482" s="24">
        <v>1</v>
      </c>
      <c r="AX482" s="24">
        <v>0</v>
      </c>
      <c r="AY482" s="24">
        <v>0</v>
      </c>
      <c r="AZ482" s="24">
        <v>0</v>
      </c>
      <c r="BA482" s="24">
        <v>1</v>
      </c>
      <c r="BB482" s="24">
        <v>0</v>
      </c>
    </row>
    <row r="483" spans="2:54" ht="13.8" x14ac:dyDescent="0.3">
      <c r="B483" s="24">
        <v>463</v>
      </c>
      <c r="C483" s="24">
        <v>12</v>
      </c>
      <c r="D483" s="24">
        <v>0</v>
      </c>
      <c r="E483" s="24">
        <v>0</v>
      </c>
      <c r="F483" s="24">
        <v>1</v>
      </c>
      <c r="G483" s="24">
        <v>0</v>
      </c>
      <c r="H483" s="24">
        <v>0</v>
      </c>
      <c r="I483" s="24">
        <v>0</v>
      </c>
      <c r="J483" s="24">
        <v>3017</v>
      </c>
      <c r="K483" s="24">
        <v>3</v>
      </c>
      <c r="L483" s="24">
        <v>0</v>
      </c>
      <c r="M483" s="24">
        <v>0</v>
      </c>
      <c r="N483" s="24">
        <v>0</v>
      </c>
      <c r="O483" s="24">
        <v>0</v>
      </c>
      <c r="P483" s="24">
        <v>0</v>
      </c>
      <c r="Q483" s="24">
        <v>1</v>
      </c>
      <c r="R483" s="24">
        <v>0</v>
      </c>
      <c r="S483" s="24">
        <v>34</v>
      </c>
      <c r="T483" s="24">
        <v>0</v>
      </c>
      <c r="U483" s="24">
        <v>1</v>
      </c>
      <c r="V483" s="24">
        <v>0</v>
      </c>
      <c r="W483" s="24">
        <v>1</v>
      </c>
      <c r="X483" s="24">
        <v>1</v>
      </c>
      <c r="Y483" s="24">
        <v>0</v>
      </c>
      <c r="Z483" s="24">
        <v>0</v>
      </c>
      <c r="AA483" s="24">
        <v>1</v>
      </c>
      <c r="AB483" s="24">
        <v>0</v>
      </c>
      <c r="AC483" s="24">
        <v>1</v>
      </c>
      <c r="AD483" s="24">
        <v>0</v>
      </c>
      <c r="AE483" s="24">
        <v>0</v>
      </c>
      <c r="AF483" s="24">
        <v>0</v>
      </c>
      <c r="AG483" s="24">
        <v>0</v>
      </c>
      <c r="AH483" s="24">
        <v>1</v>
      </c>
      <c r="AI483" s="24">
        <v>0</v>
      </c>
      <c r="AJ483" s="24">
        <v>0</v>
      </c>
      <c r="AK483" s="24">
        <v>1</v>
      </c>
      <c r="AL483" s="24">
        <v>0</v>
      </c>
      <c r="AM483" s="24">
        <v>0</v>
      </c>
      <c r="AN483" s="24">
        <v>0</v>
      </c>
      <c r="AO483" s="24">
        <v>0</v>
      </c>
      <c r="AP483" s="24">
        <v>0</v>
      </c>
      <c r="AQ483" s="24">
        <v>1</v>
      </c>
      <c r="AR483" s="24">
        <v>0</v>
      </c>
      <c r="AS483" s="24">
        <v>0</v>
      </c>
      <c r="AT483" s="24">
        <v>0</v>
      </c>
      <c r="AU483" s="24">
        <v>1</v>
      </c>
      <c r="AV483" s="24">
        <v>0</v>
      </c>
      <c r="AW483" s="24">
        <v>0</v>
      </c>
      <c r="AX483" s="24">
        <v>0</v>
      </c>
      <c r="AY483" s="24">
        <v>0</v>
      </c>
      <c r="AZ483" s="24">
        <v>0</v>
      </c>
      <c r="BA483" s="24">
        <v>0</v>
      </c>
      <c r="BB483" s="24">
        <v>1</v>
      </c>
    </row>
    <row r="484" spans="2:54" ht="13.8" x14ac:dyDescent="0.3">
      <c r="B484" s="24">
        <v>464</v>
      </c>
      <c r="C484" s="24">
        <v>12</v>
      </c>
      <c r="D484" s="24">
        <v>0</v>
      </c>
      <c r="E484" s="24">
        <v>0</v>
      </c>
      <c r="F484" s="24">
        <v>0</v>
      </c>
      <c r="G484" s="24">
        <v>0</v>
      </c>
      <c r="H484" s="24">
        <v>0</v>
      </c>
      <c r="I484" s="24">
        <v>0</v>
      </c>
      <c r="J484" s="24">
        <v>754</v>
      </c>
      <c r="K484" s="24">
        <v>4</v>
      </c>
      <c r="L484" s="24">
        <v>0</v>
      </c>
      <c r="M484" s="24">
        <v>1</v>
      </c>
      <c r="N484" s="24">
        <v>0</v>
      </c>
      <c r="O484" s="24">
        <v>0</v>
      </c>
      <c r="P484" s="24">
        <v>0</v>
      </c>
      <c r="Q484" s="24">
        <v>0</v>
      </c>
      <c r="R484" s="24">
        <v>0</v>
      </c>
      <c r="S484" s="24">
        <v>38</v>
      </c>
      <c r="T484" s="24">
        <v>0</v>
      </c>
      <c r="U484" s="24">
        <v>0</v>
      </c>
      <c r="V484" s="24">
        <v>1</v>
      </c>
      <c r="W484" s="24">
        <v>2</v>
      </c>
      <c r="X484" s="24">
        <v>1</v>
      </c>
      <c r="Y484" s="24">
        <v>0</v>
      </c>
      <c r="Z484" s="24">
        <v>0</v>
      </c>
      <c r="AA484" s="24">
        <v>1</v>
      </c>
      <c r="AB484" s="24">
        <v>0</v>
      </c>
      <c r="AC484" s="24">
        <v>1</v>
      </c>
      <c r="AD484" s="24">
        <v>0</v>
      </c>
      <c r="AE484" s="24">
        <v>0</v>
      </c>
      <c r="AF484" s="24">
        <v>0</v>
      </c>
      <c r="AG484" s="24">
        <v>0</v>
      </c>
      <c r="AH484" s="24">
        <v>1</v>
      </c>
      <c r="AI484" s="24">
        <v>0</v>
      </c>
      <c r="AJ484" s="24">
        <v>0</v>
      </c>
      <c r="AK484" s="24">
        <v>0</v>
      </c>
      <c r="AL484" s="24">
        <v>0</v>
      </c>
      <c r="AM484" s="24">
        <v>0</v>
      </c>
      <c r="AN484" s="24">
        <v>0</v>
      </c>
      <c r="AO484" s="24">
        <v>1</v>
      </c>
      <c r="AP484" s="24">
        <v>0</v>
      </c>
      <c r="AQ484" s="24">
        <v>0</v>
      </c>
      <c r="AR484" s="24">
        <v>0</v>
      </c>
      <c r="AS484" s="24">
        <v>0</v>
      </c>
      <c r="AT484" s="24">
        <v>1</v>
      </c>
      <c r="AU484" s="24">
        <v>0</v>
      </c>
      <c r="AV484" s="24">
        <v>0</v>
      </c>
      <c r="AW484" s="24">
        <v>0</v>
      </c>
      <c r="AX484" s="24">
        <v>1</v>
      </c>
      <c r="AY484" s="24">
        <v>0</v>
      </c>
      <c r="AZ484" s="24">
        <v>0</v>
      </c>
      <c r="BA484" s="24">
        <v>1</v>
      </c>
      <c r="BB484" s="24">
        <v>0</v>
      </c>
    </row>
    <row r="485" spans="2:54" ht="13.8" x14ac:dyDescent="0.3">
      <c r="B485" s="24">
        <v>465</v>
      </c>
      <c r="C485" s="24">
        <v>18</v>
      </c>
      <c r="D485" s="24">
        <v>0</v>
      </c>
      <c r="E485" s="24">
        <v>0</v>
      </c>
      <c r="F485" s="24">
        <v>0</v>
      </c>
      <c r="G485" s="24">
        <v>0</v>
      </c>
      <c r="H485" s="24">
        <v>0</v>
      </c>
      <c r="I485" s="24">
        <v>1</v>
      </c>
      <c r="J485" s="24">
        <v>1950</v>
      </c>
      <c r="K485" s="24">
        <v>4</v>
      </c>
      <c r="L485" s="24">
        <v>0</v>
      </c>
      <c r="M485" s="24">
        <v>1</v>
      </c>
      <c r="N485" s="24">
        <v>0</v>
      </c>
      <c r="O485" s="24">
        <v>0</v>
      </c>
      <c r="P485" s="24">
        <v>0</v>
      </c>
      <c r="Q485" s="24">
        <v>0</v>
      </c>
      <c r="R485" s="24">
        <v>0</v>
      </c>
      <c r="S485" s="24">
        <v>34</v>
      </c>
      <c r="T485" s="24">
        <v>1</v>
      </c>
      <c r="U485" s="24">
        <v>0</v>
      </c>
      <c r="V485" s="24">
        <v>1</v>
      </c>
      <c r="W485" s="24">
        <v>2</v>
      </c>
      <c r="X485" s="24">
        <v>1</v>
      </c>
      <c r="Y485" s="24">
        <v>1</v>
      </c>
      <c r="Z485" s="24">
        <v>0</v>
      </c>
      <c r="AA485" s="24">
        <v>1</v>
      </c>
      <c r="AB485" s="24">
        <v>0</v>
      </c>
      <c r="AC485" s="24">
        <v>0</v>
      </c>
      <c r="AD485" s="24">
        <v>0</v>
      </c>
      <c r="AE485" s="24">
        <v>1</v>
      </c>
      <c r="AF485" s="24">
        <v>0</v>
      </c>
      <c r="AG485" s="24">
        <v>0</v>
      </c>
      <c r="AH485" s="24">
        <v>1</v>
      </c>
      <c r="AI485" s="24">
        <v>0</v>
      </c>
      <c r="AJ485" s="24">
        <v>0</v>
      </c>
      <c r="AK485" s="24">
        <v>1</v>
      </c>
      <c r="AL485" s="24">
        <v>0</v>
      </c>
      <c r="AM485" s="24">
        <v>0</v>
      </c>
      <c r="AN485" s="24">
        <v>0</v>
      </c>
      <c r="AO485" s="24">
        <v>0</v>
      </c>
      <c r="AP485" s="24">
        <v>0</v>
      </c>
      <c r="AQ485" s="24">
        <v>0</v>
      </c>
      <c r="AR485" s="24">
        <v>0</v>
      </c>
      <c r="AS485" s="24">
        <v>1</v>
      </c>
      <c r="AT485" s="24">
        <v>0</v>
      </c>
      <c r="AU485" s="24">
        <v>1</v>
      </c>
      <c r="AV485" s="24">
        <v>0</v>
      </c>
      <c r="AW485" s="24">
        <v>0</v>
      </c>
      <c r="AX485" s="24">
        <v>0</v>
      </c>
      <c r="AY485" s="24">
        <v>0</v>
      </c>
      <c r="AZ485" s="24">
        <v>0</v>
      </c>
      <c r="BA485" s="24">
        <v>1</v>
      </c>
      <c r="BB485" s="24">
        <v>0</v>
      </c>
    </row>
    <row r="486" spans="2:54" ht="13.8" x14ac:dyDescent="0.3">
      <c r="B486" s="24">
        <v>466</v>
      </c>
      <c r="C486" s="24">
        <v>24</v>
      </c>
      <c r="D486" s="24">
        <v>0</v>
      </c>
      <c r="E486" s="24">
        <v>1</v>
      </c>
      <c r="F486" s="24">
        <v>0</v>
      </c>
      <c r="G486" s="24">
        <v>0</v>
      </c>
      <c r="H486" s="24">
        <v>0</v>
      </c>
      <c r="I486" s="24">
        <v>0</v>
      </c>
      <c r="J486" s="24">
        <v>2924</v>
      </c>
      <c r="K486" s="24">
        <v>3</v>
      </c>
      <c r="L486" s="24">
        <v>0</v>
      </c>
      <c r="M486" s="24">
        <v>1</v>
      </c>
      <c r="N486" s="24">
        <v>0</v>
      </c>
      <c r="O486" s="24">
        <v>0</v>
      </c>
      <c r="P486" s="24">
        <v>1</v>
      </c>
      <c r="Q486" s="24">
        <v>0</v>
      </c>
      <c r="R486" s="24">
        <v>1</v>
      </c>
      <c r="S486" s="24">
        <v>63</v>
      </c>
      <c r="T486" s="24">
        <v>1</v>
      </c>
      <c r="U486" s="24">
        <v>0</v>
      </c>
      <c r="V486" s="24">
        <v>1</v>
      </c>
      <c r="W486" s="24">
        <v>1</v>
      </c>
      <c r="X486" s="24">
        <v>2</v>
      </c>
      <c r="Y486" s="24">
        <v>1</v>
      </c>
      <c r="Z486" s="24">
        <v>0</v>
      </c>
      <c r="AA486" s="24">
        <v>1</v>
      </c>
      <c r="AB486" s="24">
        <v>1</v>
      </c>
      <c r="AC486" s="24">
        <v>0</v>
      </c>
      <c r="AD486" s="24">
        <v>0</v>
      </c>
      <c r="AE486" s="24">
        <v>0</v>
      </c>
      <c r="AF486" s="24">
        <v>0</v>
      </c>
      <c r="AG486" s="24">
        <v>0</v>
      </c>
      <c r="AH486" s="24">
        <v>1</v>
      </c>
      <c r="AI486" s="24">
        <v>0</v>
      </c>
      <c r="AJ486" s="24">
        <v>0</v>
      </c>
      <c r="AK486" s="24">
        <v>1</v>
      </c>
      <c r="AL486" s="24">
        <v>0</v>
      </c>
      <c r="AM486" s="24">
        <v>0</v>
      </c>
      <c r="AN486" s="24">
        <v>0</v>
      </c>
      <c r="AO486" s="24">
        <v>0</v>
      </c>
      <c r="AP486" s="24">
        <v>0</v>
      </c>
      <c r="AQ486" s="24">
        <v>0</v>
      </c>
      <c r="AR486" s="24">
        <v>1</v>
      </c>
      <c r="AS486" s="24">
        <v>0</v>
      </c>
      <c r="AT486" s="24">
        <v>0</v>
      </c>
      <c r="AU486" s="24">
        <v>0</v>
      </c>
      <c r="AV486" s="24">
        <v>0</v>
      </c>
      <c r="AW486" s="24">
        <v>0</v>
      </c>
      <c r="AX486" s="24">
        <v>1</v>
      </c>
      <c r="AY486" s="24">
        <v>0</v>
      </c>
      <c r="AZ486" s="24">
        <v>0</v>
      </c>
      <c r="BA486" s="24">
        <v>1</v>
      </c>
      <c r="BB486" s="24">
        <v>0</v>
      </c>
    </row>
    <row r="487" spans="2:54" ht="13.8" x14ac:dyDescent="0.3">
      <c r="B487" s="24">
        <v>467</v>
      </c>
      <c r="C487" s="24">
        <v>24</v>
      </c>
      <c r="D487" s="24">
        <v>0</v>
      </c>
      <c r="E487" s="24">
        <v>0</v>
      </c>
      <c r="F487" s="24">
        <v>0</v>
      </c>
      <c r="G487" s="24">
        <v>1</v>
      </c>
      <c r="H487" s="24">
        <v>0</v>
      </c>
      <c r="I487" s="24">
        <v>0</v>
      </c>
      <c r="J487" s="24">
        <v>1659</v>
      </c>
      <c r="K487" s="24">
        <v>4</v>
      </c>
      <c r="L487" s="24">
        <v>0</v>
      </c>
      <c r="M487" s="24">
        <v>0</v>
      </c>
      <c r="N487" s="24">
        <v>0</v>
      </c>
      <c r="O487" s="24">
        <v>0</v>
      </c>
      <c r="P487" s="24">
        <v>0</v>
      </c>
      <c r="Q487" s="24">
        <v>0</v>
      </c>
      <c r="R487" s="24">
        <v>0</v>
      </c>
      <c r="S487" s="24">
        <v>29</v>
      </c>
      <c r="T487" s="24">
        <v>0</v>
      </c>
      <c r="U487" s="24">
        <v>1</v>
      </c>
      <c r="V487" s="24">
        <v>0</v>
      </c>
      <c r="W487" s="24">
        <v>1</v>
      </c>
      <c r="X487" s="24">
        <v>1</v>
      </c>
      <c r="Y487" s="24">
        <v>1</v>
      </c>
      <c r="Z487" s="24">
        <v>0</v>
      </c>
      <c r="AA487" s="24">
        <v>0</v>
      </c>
      <c r="AB487" s="24">
        <v>1</v>
      </c>
      <c r="AC487" s="24">
        <v>0</v>
      </c>
      <c r="AD487" s="24">
        <v>0</v>
      </c>
      <c r="AE487" s="24">
        <v>0</v>
      </c>
      <c r="AF487" s="24">
        <v>0</v>
      </c>
      <c r="AG487" s="24">
        <v>0</v>
      </c>
      <c r="AH487" s="24">
        <v>0</v>
      </c>
      <c r="AI487" s="24">
        <v>1</v>
      </c>
      <c r="AJ487" s="24">
        <v>0</v>
      </c>
      <c r="AK487" s="24">
        <v>1</v>
      </c>
      <c r="AL487" s="24">
        <v>0</v>
      </c>
      <c r="AM487" s="24">
        <v>0</v>
      </c>
      <c r="AN487" s="24">
        <v>0</v>
      </c>
      <c r="AO487" s="24">
        <v>0</v>
      </c>
      <c r="AP487" s="24">
        <v>0</v>
      </c>
      <c r="AQ487" s="24">
        <v>1</v>
      </c>
      <c r="AR487" s="24">
        <v>0</v>
      </c>
      <c r="AS487" s="24">
        <v>0</v>
      </c>
      <c r="AT487" s="24">
        <v>0</v>
      </c>
      <c r="AU487" s="24">
        <v>0</v>
      </c>
      <c r="AV487" s="24">
        <v>1</v>
      </c>
      <c r="AW487" s="24">
        <v>0</v>
      </c>
      <c r="AX487" s="24">
        <v>0</v>
      </c>
      <c r="AY487" s="24">
        <v>0</v>
      </c>
      <c r="AZ487" s="24">
        <v>1</v>
      </c>
      <c r="BA487" s="24">
        <v>0</v>
      </c>
      <c r="BB487" s="24">
        <v>0</v>
      </c>
    </row>
    <row r="488" spans="2:54" ht="13.8" x14ac:dyDescent="0.3">
      <c r="B488" s="24">
        <v>468</v>
      </c>
      <c r="C488" s="24">
        <v>48</v>
      </c>
      <c r="D488" s="24">
        <v>0</v>
      </c>
      <c r="E488" s="24">
        <v>0</v>
      </c>
      <c r="F488" s="24">
        <v>0</v>
      </c>
      <c r="G488" s="24">
        <v>1</v>
      </c>
      <c r="H488" s="24">
        <v>0</v>
      </c>
      <c r="I488" s="24">
        <v>0</v>
      </c>
      <c r="J488" s="24">
        <v>7238</v>
      </c>
      <c r="K488" s="24">
        <v>3</v>
      </c>
      <c r="L488" s="24">
        <v>0</v>
      </c>
      <c r="M488" s="24">
        <v>1</v>
      </c>
      <c r="N488" s="24">
        <v>0</v>
      </c>
      <c r="O488" s="24">
        <v>0</v>
      </c>
      <c r="P488" s="24">
        <v>0</v>
      </c>
      <c r="Q488" s="24">
        <v>0</v>
      </c>
      <c r="R488" s="24">
        <v>0</v>
      </c>
      <c r="S488" s="24">
        <v>32</v>
      </c>
      <c r="T488" s="24">
        <v>1</v>
      </c>
      <c r="U488" s="24">
        <v>0</v>
      </c>
      <c r="V488" s="24">
        <v>1</v>
      </c>
      <c r="W488" s="24">
        <v>2</v>
      </c>
      <c r="X488" s="24">
        <v>2</v>
      </c>
      <c r="Y488" s="24">
        <v>0</v>
      </c>
      <c r="Z488" s="24">
        <v>0</v>
      </c>
      <c r="AA488" s="24">
        <v>1</v>
      </c>
      <c r="AB488" s="24">
        <v>0</v>
      </c>
      <c r="AC488" s="24">
        <v>0</v>
      </c>
      <c r="AD488" s="24">
        <v>0</v>
      </c>
      <c r="AE488" s="24">
        <v>1</v>
      </c>
      <c r="AF488" s="24">
        <v>0</v>
      </c>
      <c r="AG488" s="24">
        <v>0</v>
      </c>
      <c r="AH488" s="24">
        <v>0</v>
      </c>
      <c r="AI488" s="24">
        <v>1</v>
      </c>
      <c r="AJ488" s="24">
        <v>0</v>
      </c>
      <c r="AK488" s="24">
        <v>0</v>
      </c>
      <c r="AL488" s="24">
        <v>0</v>
      </c>
      <c r="AM488" s="24">
        <v>0</v>
      </c>
      <c r="AN488" s="24">
        <v>0</v>
      </c>
      <c r="AO488" s="24">
        <v>1</v>
      </c>
      <c r="AP488" s="24">
        <v>0</v>
      </c>
      <c r="AQ488" s="24">
        <v>0</v>
      </c>
      <c r="AR488" s="24">
        <v>0</v>
      </c>
      <c r="AS488" s="24">
        <v>0</v>
      </c>
      <c r="AT488" s="24">
        <v>1</v>
      </c>
      <c r="AU488" s="24">
        <v>0</v>
      </c>
      <c r="AV488" s="24">
        <v>0</v>
      </c>
      <c r="AW488" s="24">
        <v>1</v>
      </c>
      <c r="AX488" s="24">
        <v>0</v>
      </c>
      <c r="AY488" s="24">
        <v>0</v>
      </c>
      <c r="AZ488" s="24">
        <v>0</v>
      </c>
      <c r="BA488" s="24">
        <v>1</v>
      </c>
      <c r="BB488" s="24">
        <v>0</v>
      </c>
    </row>
    <row r="489" spans="2:54" ht="13.8" x14ac:dyDescent="0.3">
      <c r="B489" s="24">
        <v>469</v>
      </c>
      <c r="C489" s="24">
        <v>33</v>
      </c>
      <c r="D489" s="24">
        <v>0</v>
      </c>
      <c r="E489" s="24">
        <v>0</v>
      </c>
      <c r="F489" s="24">
        <v>0</v>
      </c>
      <c r="G489" s="24">
        <v>0</v>
      </c>
      <c r="H489" s="24">
        <v>0</v>
      </c>
      <c r="I489" s="24">
        <v>1</v>
      </c>
      <c r="J489" s="24">
        <v>2764</v>
      </c>
      <c r="K489" s="24">
        <v>2</v>
      </c>
      <c r="L489" s="24">
        <v>0</v>
      </c>
      <c r="M489" s="24">
        <v>0</v>
      </c>
      <c r="N489" s="24">
        <v>0</v>
      </c>
      <c r="O489" s="24">
        <v>0</v>
      </c>
      <c r="P489" s="24">
        <v>0</v>
      </c>
      <c r="Q489" s="24">
        <v>0</v>
      </c>
      <c r="R489" s="24">
        <v>0</v>
      </c>
      <c r="S489" s="24">
        <v>26</v>
      </c>
      <c r="T489" s="24">
        <v>0</v>
      </c>
      <c r="U489" s="24">
        <v>0</v>
      </c>
      <c r="V489" s="24">
        <v>1</v>
      </c>
      <c r="W489" s="24">
        <v>2</v>
      </c>
      <c r="X489" s="24">
        <v>1</v>
      </c>
      <c r="Y489" s="24">
        <v>1</v>
      </c>
      <c r="Z489" s="24">
        <v>0</v>
      </c>
      <c r="AA489" s="24">
        <v>1</v>
      </c>
      <c r="AB489" s="24">
        <v>0</v>
      </c>
      <c r="AC489" s="24">
        <v>0</v>
      </c>
      <c r="AD489" s="24">
        <v>0</v>
      </c>
      <c r="AE489" s="24">
        <v>1</v>
      </c>
      <c r="AF489" s="24">
        <v>0</v>
      </c>
      <c r="AG489" s="24">
        <v>0</v>
      </c>
      <c r="AH489" s="24">
        <v>0</v>
      </c>
      <c r="AI489" s="24">
        <v>1</v>
      </c>
      <c r="AJ489" s="24">
        <v>0</v>
      </c>
      <c r="AK489" s="24">
        <v>1</v>
      </c>
      <c r="AL489" s="24">
        <v>0</v>
      </c>
      <c r="AM489" s="24">
        <v>0</v>
      </c>
      <c r="AN489" s="24">
        <v>0</v>
      </c>
      <c r="AO489" s="24">
        <v>0</v>
      </c>
      <c r="AP489" s="24">
        <v>0</v>
      </c>
      <c r="AQ489" s="24">
        <v>0</v>
      </c>
      <c r="AR489" s="24">
        <v>1</v>
      </c>
      <c r="AS489" s="24">
        <v>0</v>
      </c>
      <c r="AT489" s="24">
        <v>0</v>
      </c>
      <c r="AU489" s="24">
        <v>0</v>
      </c>
      <c r="AV489" s="24">
        <v>1</v>
      </c>
      <c r="AW489" s="24">
        <v>0</v>
      </c>
      <c r="AX489" s="24">
        <v>0</v>
      </c>
      <c r="AY489" s="24">
        <v>0</v>
      </c>
      <c r="AZ489" s="24">
        <v>0</v>
      </c>
      <c r="BA489" s="24">
        <v>1</v>
      </c>
      <c r="BB489" s="24">
        <v>0</v>
      </c>
    </row>
    <row r="490" spans="2:54" ht="13.8" x14ac:dyDescent="0.3">
      <c r="B490" s="24">
        <v>470</v>
      </c>
      <c r="C490" s="24">
        <v>24</v>
      </c>
      <c r="D490" s="24">
        <v>0</v>
      </c>
      <c r="E490" s="24">
        <v>1</v>
      </c>
      <c r="F490" s="24">
        <v>0</v>
      </c>
      <c r="G490" s="24">
        <v>0</v>
      </c>
      <c r="H490" s="24">
        <v>0</v>
      </c>
      <c r="I490" s="24">
        <v>0</v>
      </c>
      <c r="J490" s="24">
        <v>4679</v>
      </c>
      <c r="K490" s="24">
        <v>3</v>
      </c>
      <c r="L490" s="24">
        <v>0</v>
      </c>
      <c r="M490" s="24">
        <v>1</v>
      </c>
      <c r="N490" s="24">
        <v>0</v>
      </c>
      <c r="O490" s="24">
        <v>0</v>
      </c>
      <c r="P490" s="24">
        <v>0</v>
      </c>
      <c r="Q490" s="24">
        <v>0</v>
      </c>
      <c r="R490" s="24">
        <v>0</v>
      </c>
      <c r="S490" s="24">
        <v>35</v>
      </c>
      <c r="T490" s="24">
        <v>0</v>
      </c>
      <c r="U490" s="24">
        <v>0</v>
      </c>
      <c r="V490" s="24">
        <v>1</v>
      </c>
      <c r="W490" s="24">
        <v>2</v>
      </c>
      <c r="X490" s="24">
        <v>1</v>
      </c>
      <c r="Y490" s="24">
        <v>1</v>
      </c>
      <c r="Z490" s="24">
        <v>0</v>
      </c>
      <c r="AA490" s="24">
        <v>1</v>
      </c>
      <c r="AB490" s="24">
        <v>0</v>
      </c>
      <c r="AC490" s="24">
        <v>0</v>
      </c>
      <c r="AD490" s="24">
        <v>0</v>
      </c>
      <c r="AE490" s="24">
        <v>1</v>
      </c>
      <c r="AF490" s="24">
        <v>0</v>
      </c>
      <c r="AG490" s="24">
        <v>0</v>
      </c>
      <c r="AH490" s="24">
        <v>0</v>
      </c>
      <c r="AI490" s="24">
        <v>1</v>
      </c>
      <c r="AJ490" s="24">
        <v>0</v>
      </c>
      <c r="AK490" s="24">
        <v>1</v>
      </c>
      <c r="AL490" s="24">
        <v>0</v>
      </c>
      <c r="AM490" s="24">
        <v>0</v>
      </c>
      <c r="AN490" s="24">
        <v>0</v>
      </c>
      <c r="AO490" s="24">
        <v>0</v>
      </c>
      <c r="AP490" s="24">
        <v>0</v>
      </c>
      <c r="AQ490" s="24">
        <v>0</v>
      </c>
      <c r="AR490" s="24">
        <v>0</v>
      </c>
      <c r="AS490" s="24">
        <v>1</v>
      </c>
      <c r="AT490" s="24">
        <v>0</v>
      </c>
      <c r="AU490" s="24">
        <v>0</v>
      </c>
      <c r="AV490" s="24">
        <v>0</v>
      </c>
      <c r="AW490" s="24">
        <v>1</v>
      </c>
      <c r="AX490" s="24">
        <v>0</v>
      </c>
      <c r="AY490" s="24">
        <v>0</v>
      </c>
      <c r="AZ490" s="24">
        <v>1</v>
      </c>
      <c r="BA490" s="24">
        <v>0</v>
      </c>
      <c r="BB490" s="24">
        <v>0</v>
      </c>
    </row>
    <row r="491" spans="2:54" ht="13.8" x14ac:dyDescent="0.3">
      <c r="B491" s="24">
        <v>471</v>
      </c>
      <c r="C491" s="24">
        <v>24</v>
      </c>
      <c r="D491" s="24">
        <v>0</v>
      </c>
      <c r="E491" s="24">
        <v>0</v>
      </c>
      <c r="F491" s="24">
        <v>0</v>
      </c>
      <c r="G491" s="24">
        <v>1</v>
      </c>
      <c r="H491" s="24">
        <v>0</v>
      </c>
      <c r="I491" s="24">
        <v>0</v>
      </c>
      <c r="J491" s="24">
        <v>3092</v>
      </c>
      <c r="K491" s="24">
        <v>3</v>
      </c>
      <c r="L491" s="24">
        <v>0</v>
      </c>
      <c r="M491" s="24">
        <v>0</v>
      </c>
      <c r="N491" s="24">
        <v>1</v>
      </c>
      <c r="O491" s="24">
        <v>0</v>
      </c>
      <c r="P491" s="24">
        <v>0</v>
      </c>
      <c r="Q491" s="24">
        <v>0</v>
      </c>
      <c r="R491" s="24">
        <v>0</v>
      </c>
      <c r="S491" s="24">
        <v>22</v>
      </c>
      <c r="T491" s="24">
        <v>0</v>
      </c>
      <c r="U491" s="24">
        <v>1</v>
      </c>
      <c r="V491" s="24">
        <v>0</v>
      </c>
      <c r="W491" s="24">
        <v>1</v>
      </c>
      <c r="X491" s="24">
        <v>1</v>
      </c>
      <c r="Y491" s="24">
        <v>1</v>
      </c>
      <c r="Z491" s="24">
        <v>0</v>
      </c>
      <c r="AA491" s="24">
        <v>0</v>
      </c>
      <c r="AB491" s="24">
        <v>0</v>
      </c>
      <c r="AC491" s="24">
        <v>1</v>
      </c>
      <c r="AD491" s="24">
        <v>0</v>
      </c>
      <c r="AE491" s="24">
        <v>0</v>
      </c>
      <c r="AF491" s="24">
        <v>0</v>
      </c>
      <c r="AG491" s="24">
        <v>0</v>
      </c>
      <c r="AH491" s="24">
        <v>1</v>
      </c>
      <c r="AI491" s="24">
        <v>0</v>
      </c>
      <c r="AJ491" s="24">
        <v>0</v>
      </c>
      <c r="AK491" s="24">
        <v>0</v>
      </c>
      <c r="AL491" s="24">
        <v>1</v>
      </c>
      <c r="AM491" s="24">
        <v>0</v>
      </c>
      <c r="AN491" s="24">
        <v>0</v>
      </c>
      <c r="AO491" s="24">
        <v>0</v>
      </c>
      <c r="AP491" s="24">
        <v>0</v>
      </c>
      <c r="AQ491" s="24">
        <v>1</v>
      </c>
      <c r="AR491" s="24">
        <v>0</v>
      </c>
      <c r="AS491" s="24">
        <v>0</v>
      </c>
      <c r="AT491" s="24">
        <v>0</v>
      </c>
      <c r="AU491" s="24">
        <v>0</v>
      </c>
      <c r="AV491" s="24">
        <v>1</v>
      </c>
      <c r="AW491" s="24">
        <v>0</v>
      </c>
      <c r="AX491" s="24">
        <v>0</v>
      </c>
      <c r="AY491" s="24">
        <v>0</v>
      </c>
      <c r="AZ491" s="24">
        <v>0</v>
      </c>
      <c r="BA491" s="24">
        <v>1</v>
      </c>
      <c r="BB491" s="24">
        <v>0</v>
      </c>
    </row>
    <row r="492" spans="2:54" ht="13.8" x14ac:dyDescent="0.3">
      <c r="B492" s="24">
        <v>472</v>
      </c>
      <c r="C492" s="24">
        <v>6</v>
      </c>
      <c r="D492" s="24">
        <v>0</v>
      </c>
      <c r="E492" s="24">
        <v>0</v>
      </c>
      <c r="F492" s="24">
        <v>0</v>
      </c>
      <c r="G492" s="24">
        <v>0</v>
      </c>
      <c r="H492" s="24">
        <v>1</v>
      </c>
      <c r="I492" s="24">
        <v>0</v>
      </c>
      <c r="J492" s="24">
        <v>448</v>
      </c>
      <c r="K492" s="24">
        <v>4</v>
      </c>
      <c r="L492" s="24">
        <v>0</v>
      </c>
      <c r="M492" s="24">
        <v>0</v>
      </c>
      <c r="N492" s="24">
        <v>0</v>
      </c>
      <c r="O492" s="24">
        <v>0</v>
      </c>
      <c r="P492" s="24">
        <v>0</v>
      </c>
      <c r="Q492" s="24">
        <v>0</v>
      </c>
      <c r="R492" s="24">
        <v>0</v>
      </c>
      <c r="S492" s="24">
        <v>23</v>
      </c>
      <c r="T492" s="24">
        <v>0</v>
      </c>
      <c r="U492" s="24">
        <v>0</v>
      </c>
      <c r="V492" s="24">
        <v>1</v>
      </c>
      <c r="W492" s="24">
        <v>1</v>
      </c>
      <c r="X492" s="24">
        <v>1</v>
      </c>
      <c r="Y492" s="24">
        <v>0</v>
      </c>
      <c r="Z492" s="24">
        <v>0</v>
      </c>
      <c r="AA492" s="24">
        <v>0</v>
      </c>
      <c r="AB492" s="24">
        <v>1</v>
      </c>
      <c r="AC492" s="24">
        <v>0</v>
      </c>
      <c r="AD492" s="24">
        <v>0</v>
      </c>
      <c r="AE492" s="24">
        <v>0</v>
      </c>
      <c r="AF492" s="24">
        <v>0</v>
      </c>
      <c r="AG492" s="24">
        <v>0</v>
      </c>
      <c r="AH492" s="24">
        <v>1</v>
      </c>
      <c r="AI492" s="24">
        <v>0</v>
      </c>
      <c r="AJ492" s="24">
        <v>0</v>
      </c>
      <c r="AK492" s="24">
        <v>1</v>
      </c>
      <c r="AL492" s="24">
        <v>0</v>
      </c>
      <c r="AM492" s="24">
        <v>0</v>
      </c>
      <c r="AN492" s="24">
        <v>0</v>
      </c>
      <c r="AO492" s="24">
        <v>0</v>
      </c>
      <c r="AP492" s="24">
        <v>0</v>
      </c>
      <c r="AQ492" s="24">
        <v>1</v>
      </c>
      <c r="AR492" s="24">
        <v>0</v>
      </c>
      <c r="AS492" s="24">
        <v>0</v>
      </c>
      <c r="AT492" s="24">
        <v>0</v>
      </c>
      <c r="AU492" s="24">
        <v>0</v>
      </c>
      <c r="AV492" s="24">
        <v>0</v>
      </c>
      <c r="AW492" s="24">
        <v>0</v>
      </c>
      <c r="AX492" s="24">
        <v>1</v>
      </c>
      <c r="AY492" s="24">
        <v>0</v>
      </c>
      <c r="AZ492" s="24">
        <v>0</v>
      </c>
      <c r="BA492" s="24">
        <v>1</v>
      </c>
      <c r="BB492" s="24">
        <v>0</v>
      </c>
    </row>
    <row r="493" spans="2:54" ht="13.8" x14ac:dyDescent="0.3">
      <c r="B493" s="24">
        <v>473</v>
      </c>
      <c r="C493" s="24">
        <v>9</v>
      </c>
      <c r="D493" s="24">
        <v>1</v>
      </c>
      <c r="E493" s="24">
        <v>0</v>
      </c>
      <c r="F493" s="24">
        <v>0</v>
      </c>
      <c r="G493" s="24">
        <v>0</v>
      </c>
      <c r="H493" s="24">
        <v>0</v>
      </c>
      <c r="I493" s="24">
        <v>0</v>
      </c>
      <c r="J493" s="24">
        <v>654</v>
      </c>
      <c r="K493" s="24">
        <v>4</v>
      </c>
      <c r="L493" s="24">
        <v>0</v>
      </c>
      <c r="M493" s="24">
        <v>1</v>
      </c>
      <c r="N493" s="24">
        <v>0</v>
      </c>
      <c r="O493" s="24">
        <v>0</v>
      </c>
      <c r="P493" s="24">
        <v>0</v>
      </c>
      <c r="Q493" s="24">
        <v>0</v>
      </c>
      <c r="R493" s="24">
        <v>0</v>
      </c>
      <c r="S493" s="24">
        <v>28</v>
      </c>
      <c r="T493" s="24">
        <v>0</v>
      </c>
      <c r="U493" s="24">
        <v>0</v>
      </c>
      <c r="V493" s="24">
        <v>1</v>
      </c>
      <c r="W493" s="24">
        <v>1</v>
      </c>
      <c r="X493" s="24">
        <v>1</v>
      </c>
      <c r="Y493" s="24">
        <v>0</v>
      </c>
      <c r="Z493" s="24">
        <v>0</v>
      </c>
      <c r="AA493" s="24">
        <v>0</v>
      </c>
      <c r="AB493" s="24">
        <v>1</v>
      </c>
      <c r="AC493" s="24">
        <v>0</v>
      </c>
      <c r="AD493" s="24">
        <v>0</v>
      </c>
      <c r="AE493" s="24">
        <v>0</v>
      </c>
      <c r="AF493" s="24">
        <v>0</v>
      </c>
      <c r="AG493" s="24">
        <v>0</v>
      </c>
      <c r="AH493" s="24">
        <v>1</v>
      </c>
      <c r="AI493" s="24">
        <v>0</v>
      </c>
      <c r="AJ493" s="24">
        <v>0</v>
      </c>
      <c r="AK493" s="24">
        <v>1</v>
      </c>
      <c r="AL493" s="24">
        <v>0</v>
      </c>
      <c r="AM493" s="24">
        <v>0</v>
      </c>
      <c r="AN493" s="24">
        <v>0</v>
      </c>
      <c r="AO493" s="24">
        <v>0</v>
      </c>
      <c r="AP493" s="24">
        <v>0</v>
      </c>
      <c r="AQ493" s="24">
        <v>0</v>
      </c>
      <c r="AR493" s="24">
        <v>1</v>
      </c>
      <c r="AS493" s="24">
        <v>0</v>
      </c>
      <c r="AT493" s="24">
        <v>0</v>
      </c>
      <c r="AU493" s="24">
        <v>0</v>
      </c>
      <c r="AV493" s="24">
        <v>0</v>
      </c>
      <c r="AW493" s="24">
        <v>1</v>
      </c>
      <c r="AX493" s="24">
        <v>0</v>
      </c>
      <c r="AY493" s="24">
        <v>0</v>
      </c>
      <c r="AZ493" s="24">
        <v>1</v>
      </c>
      <c r="BA493" s="24">
        <v>0</v>
      </c>
      <c r="BB493" s="24">
        <v>0</v>
      </c>
    </row>
    <row r="494" spans="2:54" ht="13.8" x14ac:dyDescent="0.3">
      <c r="B494" s="24">
        <v>474</v>
      </c>
      <c r="C494" s="24">
        <v>6</v>
      </c>
      <c r="D494" s="24">
        <v>0</v>
      </c>
      <c r="E494" s="24">
        <v>0</v>
      </c>
      <c r="F494" s="24">
        <v>0</v>
      </c>
      <c r="G494" s="24">
        <v>0</v>
      </c>
      <c r="H494" s="24">
        <v>0</v>
      </c>
      <c r="I494" s="24">
        <v>0</v>
      </c>
      <c r="J494" s="24">
        <v>1238</v>
      </c>
      <c r="K494" s="24">
        <v>4</v>
      </c>
      <c r="L494" s="24">
        <v>0</v>
      </c>
      <c r="M494" s="24">
        <v>1</v>
      </c>
      <c r="N494" s="24">
        <v>0</v>
      </c>
      <c r="O494" s="24">
        <v>0</v>
      </c>
      <c r="P494" s="24">
        <v>0</v>
      </c>
      <c r="Q494" s="24">
        <v>0</v>
      </c>
      <c r="R494" s="24">
        <v>0</v>
      </c>
      <c r="S494" s="24">
        <v>36</v>
      </c>
      <c r="T494" s="24">
        <v>0</v>
      </c>
      <c r="U494" s="24">
        <v>0</v>
      </c>
      <c r="V494" s="24">
        <v>1</v>
      </c>
      <c r="W494" s="24">
        <v>1</v>
      </c>
      <c r="X494" s="24">
        <v>2</v>
      </c>
      <c r="Y494" s="24">
        <v>1</v>
      </c>
      <c r="Z494" s="24">
        <v>0</v>
      </c>
      <c r="AA494" s="24">
        <v>1</v>
      </c>
      <c r="AB494" s="24">
        <v>0</v>
      </c>
      <c r="AC494" s="24">
        <v>0</v>
      </c>
      <c r="AD494" s="24">
        <v>0</v>
      </c>
      <c r="AE494" s="24">
        <v>1</v>
      </c>
      <c r="AF494" s="24">
        <v>0</v>
      </c>
      <c r="AG494" s="24">
        <v>0</v>
      </c>
      <c r="AH494" s="24">
        <v>1</v>
      </c>
      <c r="AI494" s="24">
        <v>0</v>
      </c>
      <c r="AJ494" s="24">
        <v>0</v>
      </c>
      <c r="AK494" s="24">
        <v>0</v>
      </c>
      <c r="AL494" s="24">
        <v>0</v>
      </c>
      <c r="AM494" s="24">
        <v>0</v>
      </c>
      <c r="AN494" s="24">
        <v>0</v>
      </c>
      <c r="AO494" s="24">
        <v>1</v>
      </c>
      <c r="AP494" s="24">
        <v>1</v>
      </c>
      <c r="AQ494" s="24">
        <v>0</v>
      </c>
      <c r="AR494" s="24">
        <v>0</v>
      </c>
      <c r="AS494" s="24">
        <v>0</v>
      </c>
      <c r="AT494" s="24">
        <v>0</v>
      </c>
      <c r="AU494" s="24">
        <v>0</v>
      </c>
      <c r="AV494" s="24">
        <v>0</v>
      </c>
      <c r="AW494" s="24">
        <v>0</v>
      </c>
      <c r="AX494" s="24">
        <v>1</v>
      </c>
      <c r="AY494" s="24">
        <v>0</v>
      </c>
      <c r="AZ494" s="24">
        <v>0</v>
      </c>
      <c r="BA494" s="24">
        <v>0</v>
      </c>
      <c r="BB494" s="24">
        <v>1</v>
      </c>
    </row>
    <row r="495" spans="2:54" ht="13.8" x14ac:dyDescent="0.3">
      <c r="B495" s="24">
        <v>475</v>
      </c>
      <c r="C495" s="24">
        <v>18</v>
      </c>
      <c r="D495" s="24">
        <v>0</v>
      </c>
      <c r="E495" s="24">
        <v>0</v>
      </c>
      <c r="F495" s="24">
        <v>0</v>
      </c>
      <c r="G495" s="24">
        <v>1</v>
      </c>
      <c r="H495" s="24">
        <v>0</v>
      </c>
      <c r="I495" s="24">
        <v>0</v>
      </c>
      <c r="J495" s="24">
        <v>1245</v>
      </c>
      <c r="K495" s="24">
        <v>4</v>
      </c>
      <c r="L495" s="24">
        <v>0</v>
      </c>
      <c r="M495" s="24">
        <v>0</v>
      </c>
      <c r="N495" s="24">
        <v>1</v>
      </c>
      <c r="O495" s="24">
        <v>0</v>
      </c>
      <c r="P495" s="24">
        <v>0</v>
      </c>
      <c r="Q495" s="24">
        <v>0</v>
      </c>
      <c r="R495" s="24">
        <v>0</v>
      </c>
      <c r="S495" s="24">
        <v>33</v>
      </c>
      <c r="T495" s="24">
        <v>0</v>
      </c>
      <c r="U495" s="24">
        <v>0</v>
      </c>
      <c r="V495" s="24">
        <v>1</v>
      </c>
      <c r="W495" s="24">
        <v>1</v>
      </c>
      <c r="X495" s="24">
        <v>1</v>
      </c>
      <c r="Y495" s="24">
        <v>0</v>
      </c>
      <c r="Z495" s="24">
        <v>0</v>
      </c>
      <c r="AA495" s="24">
        <v>0</v>
      </c>
      <c r="AB495" s="24">
        <v>0</v>
      </c>
      <c r="AC495" s="24">
        <v>1</v>
      </c>
      <c r="AD495" s="24">
        <v>0</v>
      </c>
      <c r="AE495" s="24">
        <v>0</v>
      </c>
      <c r="AF495" s="24">
        <v>0</v>
      </c>
      <c r="AG495" s="24">
        <v>0</v>
      </c>
      <c r="AH495" s="24">
        <v>0</v>
      </c>
      <c r="AI495" s="24">
        <v>0</v>
      </c>
      <c r="AJ495" s="24">
        <v>1</v>
      </c>
      <c r="AK495" s="24">
        <v>1</v>
      </c>
      <c r="AL495" s="24">
        <v>0</v>
      </c>
      <c r="AM495" s="24">
        <v>0</v>
      </c>
      <c r="AN495" s="24">
        <v>0</v>
      </c>
      <c r="AO495" s="24">
        <v>0</v>
      </c>
      <c r="AP495" s="24">
        <v>0</v>
      </c>
      <c r="AQ495" s="24">
        <v>0</v>
      </c>
      <c r="AR495" s="24">
        <v>1</v>
      </c>
      <c r="AS495" s="24">
        <v>0</v>
      </c>
      <c r="AT495" s="24">
        <v>0</v>
      </c>
      <c r="AU495" s="24">
        <v>0</v>
      </c>
      <c r="AV495" s="24">
        <v>1</v>
      </c>
      <c r="AW495" s="24">
        <v>0</v>
      </c>
      <c r="AX495" s="24">
        <v>0</v>
      </c>
      <c r="AY495" s="24">
        <v>0</v>
      </c>
      <c r="AZ495" s="24">
        <v>0</v>
      </c>
      <c r="BA495" s="24">
        <v>1</v>
      </c>
      <c r="BB495" s="24">
        <v>0</v>
      </c>
    </row>
    <row r="496" spans="2:54" ht="13.8" x14ac:dyDescent="0.3">
      <c r="B496" s="24">
        <v>476</v>
      </c>
      <c r="C496" s="24">
        <v>18</v>
      </c>
      <c r="D496" s="24">
        <v>0</v>
      </c>
      <c r="E496" s="24">
        <v>0</v>
      </c>
      <c r="F496" s="24">
        <v>1</v>
      </c>
      <c r="G496" s="24">
        <v>0</v>
      </c>
      <c r="H496" s="24">
        <v>0</v>
      </c>
      <c r="I496" s="24">
        <v>0</v>
      </c>
      <c r="J496" s="24">
        <v>3114</v>
      </c>
      <c r="K496" s="24">
        <v>1</v>
      </c>
      <c r="L496" s="24">
        <v>0</v>
      </c>
      <c r="M496" s="24">
        <v>0</v>
      </c>
      <c r="N496" s="24">
        <v>0</v>
      </c>
      <c r="O496" s="24">
        <v>0</v>
      </c>
      <c r="P496" s="24">
        <v>0</v>
      </c>
      <c r="Q496" s="24">
        <v>0</v>
      </c>
      <c r="R496" s="24">
        <v>0</v>
      </c>
      <c r="S496" s="24">
        <v>26</v>
      </c>
      <c r="T496" s="24">
        <v>0</v>
      </c>
      <c r="U496" s="24">
        <v>1</v>
      </c>
      <c r="V496" s="24">
        <v>0</v>
      </c>
      <c r="W496" s="24">
        <v>1</v>
      </c>
      <c r="X496" s="24">
        <v>1</v>
      </c>
      <c r="Y496" s="24">
        <v>0</v>
      </c>
      <c r="Z496" s="24">
        <v>0</v>
      </c>
      <c r="AA496" s="24">
        <v>0</v>
      </c>
      <c r="AB496" s="24">
        <v>1</v>
      </c>
      <c r="AC496" s="24">
        <v>0</v>
      </c>
      <c r="AD496" s="24">
        <v>0</v>
      </c>
      <c r="AE496" s="24">
        <v>0</v>
      </c>
      <c r="AF496" s="24">
        <v>1</v>
      </c>
      <c r="AG496" s="24">
        <v>0</v>
      </c>
      <c r="AH496" s="24">
        <v>0</v>
      </c>
      <c r="AI496" s="24">
        <v>0</v>
      </c>
      <c r="AJ496" s="24">
        <v>0</v>
      </c>
      <c r="AK496" s="24">
        <v>1</v>
      </c>
      <c r="AL496" s="24">
        <v>0</v>
      </c>
      <c r="AM496" s="24">
        <v>0</v>
      </c>
      <c r="AN496" s="24">
        <v>0</v>
      </c>
      <c r="AO496" s="24">
        <v>0</v>
      </c>
      <c r="AP496" s="24">
        <v>0</v>
      </c>
      <c r="AQ496" s="24">
        <v>1</v>
      </c>
      <c r="AR496" s="24">
        <v>0</v>
      </c>
      <c r="AS496" s="24">
        <v>0</v>
      </c>
      <c r="AT496" s="24">
        <v>0</v>
      </c>
      <c r="AU496" s="24">
        <v>0</v>
      </c>
      <c r="AV496" s="24">
        <v>0</v>
      </c>
      <c r="AW496" s="24">
        <v>0</v>
      </c>
      <c r="AX496" s="24">
        <v>1</v>
      </c>
      <c r="AY496" s="24">
        <v>0</v>
      </c>
      <c r="AZ496" s="24">
        <v>0</v>
      </c>
      <c r="BA496" s="24">
        <v>1</v>
      </c>
      <c r="BB496" s="24">
        <v>0</v>
      </c>
    </row>
    <row r="497" spans="2:54" ht="13.8" x14ac:dyDescent="0.3">
      <c r="B497" s="24">
        <v>477</v>
      </c>
      <c r="C497" s="24">
        <v>39</v>
      </c>
      <c r="D497" s="24">
        <v>0</v>
      </c>
      <c r="E497" s="24">
        <v>1</v>
      </c>
      <c r="F497" s="24">
        <v>0</v>
      </c>
      <c r="G497" s="24">
        <v>0</v>
      </c>
      <c r="H497" s="24">
        <v>0</v>
      </c>
      <c r="I497" s="24">
        <v>0</v>
      </c>
      <c r="J497" s="24">
        <v>2569</v>
      </c>
      <c r="K497" s="24">
        <v>4</v>
      </c>
      <c r="L497" s="24">
        <v>0</v>
      </c>
      <c r="M497" s="24">
        <v>1</v>
      </c>
      <c r="N497" s="24">
        <v>0</v>
      </c>
      <c r="O497" s="24">
        <v>0</v>
      </c>
      <c r="P497" s="24">
        <v>0</v>
      </c>
      <c r="Q497" s="24">
        <v>0</v>
      </c>
      <c r="R497" s="24">
        <v>0</v>
      </c>
      <c r="S497" s="24">
        <v>24</v>
      </c>
      <c r="T497" s="24">
        <v>0</v>
      </c>
      <c r="U497" s="24">
        <v>0</v>
      </c>
      <c r="V497" s="24">
        <v>1</v>
      </c>
      <c r="W497" s="24">
        <v>1</v>
      </c>
      <c r="X497" s="24">
        <v>1</v>
      </c>
      <c r="Y497" s="24">
        <v>0</v>
      </c>
      <c r="Z497" s="24">
        <v>0</v>
      </c>
      <c r="AA497" s="24">
        <v>1</v>
      </c>
      <c r="AB497" s="24">
        <v>0</v>
      </c>
      <c r="AC497" s="24">
        <v>0</v>
      </c>
      <c r="AD497" s="24">
        <v>0</v>
      </c>
      <c r="AE497" s="24">
        <v>1</v>
      </c>
      <c r="AF497" s="24">
        <v>0</v>
      </c>
      <c r="AG497" s="24">
        <v>0</v>
      </c>
      <c r="AH497" s="24">
        <v>1</v>
      </c>
      <c r="AI497" s="24">
        <v>0</v>
      </c>
      <c r="AJ497" s="24">
        <v>0</v>
      </c>
      <c r="AK497" s="24">
        <v>0</v>
      </c>
      <c r="AL497" s="24">
        <v>0</v>
      </c>
      <c r="AM497" s="24">
        <v>1</v>
      </c>
      <c r="AN497" s="24">
        <v>0</v>
      </c>
      <c r="AO497" s="24">
        <v>0</v>
      </c>
      <c r="AP497" s="24">
        <v>0</v>
      </c>
      <c r="AQ497" s="24">
        <v>0</v>
      </c>
      <c r="AR497" s="24">
        <v>1</v>
      </c>
      <c r="AS497" s="24">
        <v>0</v>
      </c>
      <c r="AT497" s="24">
        <v>0</v>
      </c>
      <c r="AU497" s="24">
        <v>0</v>
      </c>
      <c r="AV497" s="24">
        <v>0</v>
      </c>
      <c r="AW497" s="24">
        <v>0</v>
      </c>
      <c r="AX497" s="24">
        <v>1</v>
      </c>
      <c r="AY497" s="24">
        <v>0</v>
      </c>
      <c r="AZ497" s="24">
        <v>0</v>
      </c>
      <c r="BA497" s="24">
        <v>1</v>
      </c>
      <c r="BB497" s="24">
        <v>0</v>
      </c>
    </row>
    <row r="498" spans="2:54" ht="13.8" x14ac:dyDescent="0.3">
      <c r="B498" s="24">
        <v>478</v>
      </c>
      <c r="C498" s="24">
        <v>24</v>
      </c>
      <c r="D498" s="24">
        <v>0</v>
      </c>
      <c r="E498" s="24">
        <v>0</v>
      </c>
      <c r="F498" s="24">
        <v>0</v>
      </c>
      <c r="G498" s="24">
        <v>1</v>
      </c>
      <c r="H498" s="24">
        <v>0</v>
      </c>
      <c r="I498" s="24">
        <v>0</v>
      </c>
      <c r="J498" s="24">
        <v>5152</v>
      </c>
      <c r="K498" s="24">
        <v>4</v>
      </c>
      <c r="L498" s="24">
        <v>0</v>
      </c>
      <c r="M498" s="24">
        <v>1</v>
      </c>
      <c r="N498" s="24">
        <v>0</v>
      </c>
      <c r="O498" s="24">
        <v>0</v>
      </c>
      <c r="P498" s="24">
        <v>0</v>
      </c>
      <c r="Q498" s="24">
        <v>0</v>
      </c>
      <c r="R498" s="24">
        <v>0</v>
      </c>
      <c r="S498" s="24">
        <v>25</v>
      </c>
      <c r="T498" s="24">
        <v>1</v>
      </c>
      <c r="U498" s="24">
        <v>0</v>
      </c>
      <c r="V498" s="24">
        <v>1</v>
      </c>
      <c r="W498" s="24">
        <v>1</v>
      </c>
      <c r="X498" s="24">
        <v>1</v>
      </c>
      <c r="Y498" s="24">
        <v>0</v>
      </c>
      <c r="Z498" s="24">
        <v>0</v>
      </c>
      <c r="AA498" s="24">
        <v>1</v>
      </c>
      <c r="AB498" s="24">
        <v>0</v>
      </c>
      <c r="AC498" s="24">
        <v>0</v>
      </c>
      <c r="AD498" s="24">
        <v>1</v>
      </c>
      <c r="AE498" s="24">
        <v>0</v>
      </c>
      <c r="AF498" s="24">
        <v>0</v>
      </c>
      <c r="AG498" s="24">
        <v>0</v>
      </c>
      <c r="AH498" s="24">
        <v>1</v>
      </c>
      <c r="AI498" s="24">
        <v>0</v>
      </c>
      <c r="AJ498" s="24">
        <v>0</v>
      </c>
      <c r="AK498" s="24">
        <v>1</v>
      </c>
      <c r="AL498" s="24">
        <v>0</v>
      </c>
      <c r="AM498" s="24">
        <v>0</v>
      </c>
      <c r="AN498" s="24">
        <v>0</v>
      </c>
      <c r="AO498" s="24">
        <v>0</v>
      </c>
      <c r="AP498" s="24">
        <v>0</v>
      </c>
      <c r="AQ498" s="24">
        <v>0</v>
      </c>
      <c r="AR498" s="24">
        <v>0</v>
      </c>
      <c r="AS498" s="24">
        <v>1</v>
      </c>
      <c r="AT498" s="24">
        <v>0</v>
      </c>
      <c r="AU498" s="24">
        <v>0</v>
      </c>
      <c r="AV498" s="24">
        <v>1</v>
      </c>
      <c r="AW498" s="24">
        <v>0</v>
      </c>
      <c r="AX498" s="24">
        <v>0</v>
      </c>
      <c r="AY498" s="24">
        <v>0</v>
      </c>
      <c r="AZ498" s="24">
        <v>0</v>
      </c>
      <c r="BA498" s="24">
        <v>1</v>
      </c>
      <c r="BB498" s="24">
        <v>0</v>
      </c>
    </row>
    <row r="499" spans="2:54" ht="13.8" x14ac:dyDescent="0.3">
      <c r="B499" s="24">
        <v>479</v>
      </c>
      <c r="C499" s="24">
        <v>12</v>
      </c>
      <c r="D499" s="24">
        <v>0</v>
      </c>
      <c r="E499" s="24">
        <v>0</v>
      </c>
      <c r="F499" s="24">
        <v>0</v>
      </c>
      <c r="G499" s="24">
        <v>0</v>
      </c>
      <c r="H499" s="24">
        <v>0</v>
      </c>
      <c r="I499" s="24">
        <v>1</v>
      </c>
      <c r="J499" s="24">
        <v>1037</v>
      </c>
      <c r="K499" s="24">
        <v>3</v>
      </c>
      <c r="L499" s="24">
        <v>0</v>
      </c>
      <c r="M499" s="24">
        <v>1</v>
      </c>
      <c r="N499" s="24">
        <v>0</v>
      </c>
      <c r="O499" s="24">
        <v>0</v>
      </c>
      <c r="P499" s="24">
        <v>0</v>
      </c>
      <c r="Q499" s="24">
        <v>1</v>
      </c>
      <c r="R499" s="24">
        <v>0</v>
      </c>
      <c r="S499" s="24">
        <v>39</v>
      </c>
      <c r="T499" s="24">
        <v>0</v>
      </c>
      <c r="U499" s="24">
        <v>0</v>
      </c>
      <c r="V499" s="24">
        <v>1</v>
      </c>
      <c r="W499" s="24">
        <v>1</v>
      </c>
      <c r="X499" s="24">
        <v>1</v>
      </c>
      <c r="Y499" s="24">
        <v>0</v>
      </c>
      <c r="Z499" s="24">
        <v>0</v>
      </c>
      <c r="AA499" s="24">
        <v>1</v>
      </c>
      <c r="AB499" s="24">
        <v>0</v>
      </c>
      <c r="AC499" s="24">
        <v>1</v>
      </c>
      <c r="AD499" s="24">
        <v>0</v>
      </c>
      <c r="AE499" s="24">
        <v>0</v>
      </c>
      <c r="AF499" s="24">
        <v>0</v>
      </c>
      <c r="AG499" s="24">
        <v>0</v>
      </c>
      <c r="AH499" s="24">
        <v>1</v>
      </c>
      <c r="AI499" s="24">
        <v>0</v>
      </c>
      <c r="AJ499" s="24">
        <v>0</v>
      </c>
      <c r="AK499" s="24">
        <v>0</v>
      </c>
      <c r="AL499" s="24">
        <v>1</v>
      </c>
      <c r="AM499" s="24">
        <v>0</v>
      </c>
      <c r="AN499" s="24">
        <v>0</v>
      </c>
      <c r="AO499" s="24">
        <v>0</v>
      </c>
      <c r="AP499" s="24">
        <v>0</v>
      </c>
      <c r="AQ499" s="24">
        <v>0</v>
      </c>
      <c r="AR499" s="24">
        <v>0</v>
      </c>
      <c r="AS499" s="24">
        <v>1</v>
      </c>
      <c r="AT499" s="24">
        <v>0</v>
      </c>
      <c r="AU499" s="24">
        <v>0</v>
      </c>
      <c r="AV499" s="24">
        <v>0</v>
      </c>
      <c r="AW499" s="24">
        <v>0</v>
      </c>
      <c r="AX499" s="24">
        <v>1</v>
      </c>
      <c r="AY499" s="24">
        <v>0</v>
      </c>
      <c r="AZ499" s="24">
        <v>1</v>
      </c>
      <c r="BA499" s="24">
        <v>0</v>
      </c>
      <c r="BB499" s="24">
        <v>0</v>
      </c>
    </row>
    <row r="500" spans="2:54" ht="13.8" x14ac:dyDescent="0.3">
      <c r="B500" s="24">
        <v>480</v>
      </c>
      <c r="C500" s="24">
        <v>15</v>
      </c>
      <c r="D500" s="24">
        <v>0</v>
      </c>
      <c r="E500" s="24">
        <v>0</v>
      </c>
      <c r="F500" s="24">
        <v>1</v>
      </c>
      <c r="G500" s="24">
        <v>0</v>
      </c>
      <c r="H500" s="24">
        <v>0</v>
      </c>
      <c r="I500" s="24">
        <v>0</v>
      </c>
      <c r="J500" s="24">
        <v>1478</v>
      </c>
      <c r="K500" s="24">
        <v>4</v>
      </c>
      <c r="L500" s="24">
        <v>0</v>
      </c>
      <c r="M500" s="24">
        <v>1</v>
      </c>
      <c r="N500" s="24">
        <v>0</v>
      </c>
      <c r="O500" s="24">
        <v>0</v>
      </c>
      <c r="P500" s="24">
        <v>0</v>
      </c>
      <c r="Q500" s="24">
        <v>0</v>
      </c>
      <c r="R500" s="24">
        <v>0</v>
      </c>
      <c r="S500" s="24">
        <v>44</v>
      </c>
      <c r="T500" s="24">
        <v>0</v>
      </c>
      <c r="U500" s="24">
        <v>0</v>
      </c>
      <c r="V500" s="24">
        <v>1</v>
      </c>
      <c r="W500" s="24">
        <v>2</v>
      </c>
      <c r="X500" s="24">
        <v>2</v>
      </c>
      <c r="Y500" s="24">
        <v>1</v>
      </c>
      <c r="Z500" s="24">
        <v>0</v>
      </c>
      <c r="AA500" s="24">
        <v>1</v>
      </c>
      <c r="AB500" s="24">
        <v>1</v>
      </c>
      <c r="AC500" s="24">
        <v>0</v>
      </c>
      <c r="AD500" s="24">
        <v>0</v>
      </c>
      <c r="AE500" s="24">
        <v>0</v>
      </c>
      <c r="AF500" s="24">
        <v>0</v>
      </c>
      <c r="AG500" s="24">
        <v>0</v>
      </c>
      <c r="AH500" s="24">
        <v>0</v>
      </c>
      <c r="AI500" s="24">
        <v>0</v>
      </c>
      <c r="AJ500" s="24">
        <v>1</v>
      </c>
      <c r="AK500" s="24">
        <v>1</v>
      </c>
      <c r="AL500" s="24">
        <v>0</v>
      </c>
      <c r="AM500" s="24">
        <v>0</v>
      </c>
      <c r="AN500" s="24">
        <v>0</v>
      </c>
      <c r="AO500" s="24">
        <v>0</v>
      </c>
      <c r="AP500" s="24">
        <v>0</v>
      </c>
      <c r="AQ500" s="24">
        <v>0</v>
      </c>
      <c r="AR500" s="24">
        <v>0</v>
      </c>
      <c r="AS500" s="24">
        <v>0</v>
      </c>
      <c r="AT500" s="24">
        <v>1</v>
      </c>
      <c r="AU500" s="24">
        <v>0</v>
      </c>
      <c r="AV500" s="24">
        <v>0</v>
      </c>
      <c r="AW500" s="24">
        <v>0</v>
      </c>
      <c r="AX500" s="24">
        <v>1</v>
      </c>
      <c r="AY500" s="24">
        <v>0</v>
      </c>
      <c r="AZ500" s="24">
        <v>0</v>
      </c>
      <c r="BA500" s="24">
        <v>1</v>
      </c>
      <c r="BB500" s="24">
        <v>0</v>
      </c>
    </row>
    <row r="501" spans="2:54" ht="13.8" x14ac:dyDescent="0.3">
      <c r="B501" s="24">
        <v>481</v>
      </c>
      <c r="C501" s="24">
        <v>12</v>
      </c>
      <c r="D501" s="24">
        <v>0</v>
      </c>
      <c r="E501" s="24">
        <v>0</v>
      </c>
      <c r="F501" s="24">
        <v>0</v>
      </c>
      <c r="G501" s="24">
        <v>1</v>
      </c>
      <c r="H501" s="24">
        <v>0</v>
      </c>
      <c r="I501" s="24">
        <v>0</v>
      </c>
      <c r="J501" s="24">
        <v>3573</v>
      </c>
      <c r="K501" s="24">
        <v>1</v>
      </c>
      <c r="L501" s="24">
        <v>0</v>
      </c>
      <c r="M501" s="24">
        <v>0</v>
      </c>
      <c r="N501" s="24">
        <v>0</v>
      </c>
      <c r="O501" s="24">
        <v>0</v>
      </c>
      <c r="P501" s="24">
        <v>0</v>
      </c>
      <c r="Q501" s="24">
        <v>1</v>
      </c>
      <c r="R501" s="24">
        <v>0</v>
      </c>
      <c r="S501" s="24">
        <v>23</v>
      </c>
      <c r="T501" s="24">
        <v>0</v>
      </c>
      <c r="U501" s="24">
        <v>0</v>
      </c>
      <c r="V501" s="24">
        <v>1</v>
      </c>
      <c r="W501" s="24">
        <v>1</v>
      </c>
      <c r="X501" s="24">
        <v>1</v>
      </c>
      <c r="Y501" s="24">
        <v>0</v>
      </c>
      <c r="Z501" s="24">
        <v>0</v>
      </c>
      <c r="AA501" s="24">
        <v>1</v>
      </c>
      <c r="AB501" s="24">
        <v>0</v>
      </c>
      <c r="AC501" s="24">
        <v>1</v>
      </c>
      <c r="AD501" s="24">
        <v>0</v>
      </c>
      <c r="AE501" s="24">
        <v>0</v>
      </c>
      <c r="AF501" s="24">
        <v>0</v>
      </c>
      <c r="AG501" s="24">
        <v>0</v>
      </c>
      <c r="AH501" s="24">
        <v>0</v>
      </c>
      <c r="AI501" s="24">
        <v>0</v>
      </c>
      <c r="AJ501" s="24">
        <v>1</v>
      </c>
      <c r="AK501" s="24">
        <v>1</v>
      </c>
      <c r="AL501" s="24">
        <v>0</v>
      </c>
      <c r="AM501" s="24">
        <v>0</v>
      </c>
      <c r="AN501" s="24">
        <v>0</v>
      </c>
      <c r="AO501" s="24">
        <v>0</v>
      </c>
      <c r="AP501" s="24">
        <v>0</v>
      </c>
      <c r="AQ501" s="24">
        <v>0</v>
      </c>
      <c r="AR501" s="24">
        <v>1</v>
      </c>
      <c r="AS501" s="24">
        <v>0</v>
      </c>
      <c r="AT501" s="24">
        <v>0</v>
      </c>
      <c r="AU501" s="24">
        <v>1</v>
      </c>
      <c r="AV501" s="24">
        <v>0</v>
      </c>
      <c r="AW501" s="24">
        <v>0</v>
      </c>
      <c r="AX501" s="24">
        <v>0</v>
      </c>
      <c r="AY501" s="24">
        <v>0</v>
      </c>
      <c r="AZ501" s="24">
        <v>1</v>
      </c>
      <c r="BA501" s="24">
        <v>0</v>
      </c>
      <c r="BB501" s="24">
        <v>0</v>
      </c>
    </row>
    <row r="502" spans="2:54" ht="13.8" x14ac:dyDescent="0.3">
      <c r="B502" s="24">
        <v>482</v>
      </c>
      <c r="C502" s="24">
        <v>24</v>
      </c>
      <c r="D502" s="24">
        <v>1</v>
      </c>
      <c r="E502" s="24">
        <v>0</v>
      </c>
      <c r="F502" s="24">
        <v>0</v>
      </c>
      <c r="G502" s="24">
        <v>0</v>
      </c>
      <c r="H502" s="24">
        <v>0</v>
      </c>
      <c r="I502" s="24">
        <v>0</v>
      </c>
      <c r="J502" s="24">
        <v>1201</v>
      </c>
      <c r="K502" s="24">
        <v>4</v>
      </c>
      <c r="L502" s="24">
        <v>0</v>
      </c>
      <c r="M502" s="24">
        <v>1</v>
      </c>
      <c r="N502" s="24">
        <v>0</v>
      </c>
      <c r="O502" s="24">
        <v>0</v>
      </c>
      <c r="P502" s="24">
        <v>0</v>
      </c>
      <c r="Q502" s="24">
        <v>0</v>
      </c>
      <c r="R502" s="24">
        <v>0</v>
      </c>
      <c r="S502" s="24">
        <v>26</v>
      </c>
      <c r="T502" s="24">
        <v>0</v>
      </c>
      <c r="U502" s="24">
        <v>0</v>
      </c>
      <c r="V502" s="24">
        <v>1</v>
      </c>
      <c r="W502" s="24">
        <v>1</v>
      </c>
      <c r="X502" s="24">
        <v>1</v>
      </c>
      <c r="Y502" s="24">
        <v>0</v>
      </c>
      <c r="Z502" s="24">
        <v>0</v>
      </c>
      <c r="AA502" s="24">
        <v>1</v>
      </c>
      <c r="AB502" s="24">
        <v>0</v>
      </c>
      <c r="AC502" s="24">
        <v>1</v>
      </c>
      <c r="AD502" s="24">
        <v>0</v>
      </c>
      <c r="AE502" s="24">
        <v>0</v>
      </c>
      <c r="AF502" s="24">
        <v>0</v>
      </c>
      <c r="AG502" s="24">
        <v>0</v>
      </c>
      <c r="AH502" s="24">
        <v>1</v>
      </c>
      <c r="AI502" s="24">
        <v>0</v>
      </c>
      <c r="AJ502" s="24">
        <v>0</v>
      </c>
      <c r="AK502" s="24">
        <v>1</v>
      </c>
      <c r="AL502" s="24">
        <v>0</v>
      </c>
      <c r="AM502" s="24">
        <v>0</v>
      </c>
      <c r="AN502" s="24">
        <v>0</v>
      </c>
      <c r="AO502" s="24">
        <v>0</v>
      </c>
      <c r="AP502" s="24">
        <v>0</v>
      </c>
      <c r="AQ502" s="24">
        <v>1</v>
      </c>
      <c r="AR502" s="24">
        <v>0</v>
      </c>
      <c r="AS502" s="24">
        <v>0</v>
      </c>
      <c r="AT502" s="24">
        <v>0</v>
      </c>
      <c r="AU502" s="24">
        <v>1</v>
      </c>
      <c r="AV502" s="24">
        <v>0</v>
      </c>
      <c r="AW502" s="24">
        <v>0</v>
      </c>
      <c r="AX502" s="24">
        <v>0</v>
      </c>
      <c r="AY502" s="24">
        <v>0</v>
      </c>
      <c r="AZ502" s="24">
        <v>0</v>
      </c>
      <c r="BA502" s="24">
        <v>1</v>
      </c>
      <c r="BB502" s="24">
        <v>0</v>
      </c>
    </row>
    <row r="503" spans="2:54" ht="13.8" x14ac:dyDescent="0.3">
      <c r="B503" s="24">
        <v>483</v>
      </c>
      <c r="C503" s="24">
        <v>30</v>
      </c>
      <c r="D503" s="24">
        <v>0</v>
      </c>
      <c r="E503" s="24">
        <v>0</v>
      </c>
      <c r="F503" s="24">
        <v>1</v>
      </c>
      <c r="G503" s="24">
        <v>0</v>
      </c>
      <c r="H503" s="24">
        <v>0</v>
      </c>
      <c r="I503" s="24">
        <v>0</v>
      </c>
      <c r="J503" s="24">
        <v>3622</v>
      </c>
      <c r="K503" s="24">
        <v>4</v>
      </c>
      <c r="L503" s="24">
        <v>0</v>
      </c>
      <c r="M503" s="24">
        <v>0</v>
      </c>
      <c r="N503" s="24">
        <v>0</v>
      </c>
      <c r="O503" s="24">
        <v>0</v>
      </c>
      <c r="P503" s="24">
        <v>0</v>
      </c>
      <c r="Q503" s="24">
        <v>0</v>
      </c>
      <c r="R503" s="24">
        <v>0</v>
      </c>
      <c r="S503" s="24">
        <v>57</v>
      </c>
      <c r="T503" s="24">
        <v>0</v>
      </c>
      <c r="U503" s="24">
        <v>1</v>
      </c>
      <c r="V503" s="24">
        <v>0</v>
      </c>
      <c r="W503" s="24">
        <v>2</v>
      </c>
      <c r="X503" s="24">
        <v>1</v>
      </c>
      <c r="Y503" s="24">
        <v>1</v>
      </c>
      <c r="Z503" s="24">
        <v>0</v>
      </c>
      <c r="AA503" s="24">
        <v>1</v>
      </c>
      <c r="AB503" s="24">
        <v>1</v>
      </c>
      <c r="AC503" s="24">
        <v>0</v>
      </c>
      <c r="AD503" s="24">
        <v>0</v>
      </c>
      <c r="AE503" s="24">
        <v>0</v>
      </c>
      <c r="AF503" s="24">
        <v>0</v>
      </c>
      <c r="AG503" s="24">
        <v>0</v>
      </c>
      <c r="AH503" s="24">
        <v>1</v>
      </c>
      <c r="AI503" s="24">
        <v>0</v>
      </c>
      <c r="AJ503" s="24">
        <v>0</v>
      </c>
      <c r="AK503" s="24">
        <v>0</v>
      </c>
      <c r="AL503" s="24">
        <v>0</v>
      </c>
      <c r="AM503" s="24">
        <v>0</v>
      </c>
      <c r="AN503" s="24">
        <v>1</v>
      </c>
      <c r="AO503" s="24">
        <v>0</v>
      </c>
      <c r="AP503" s="24">
        <v>0</v>
      </c>
      <c r="AQ503" s="24">
        <v>0</v>
      </c>
      <c r="AR503" s="24">
        <v>0</v>
      </c>
      <c r="AS503" s="24">
        <v>0</v>
      </c>
      <c r="AT503" s="24">
        <v>1</v>
      </c>
      <c r="AU503" s="24">
        <v>0</v>
      </c>
      <c r="AV503" s="24">
        <v>0</v>
      </c>
      <c r="AW503" s="24">
        <v>0</v>
      </c>
      <c r="AX503" s="24">
        <v>1</v>
      </c>
      <c r="AY503" s="24">
        <v>0</v>
      </c>
      <c r="AZ503" s="24">
        <v>0</v>
      </c>
      <c r="BA503" s="24">
        <v>1</v>
      </c>
      <c r="BB503" s="24">
        <v>0</v>
      </c>
    </row>
    <row r="504" spans="2:54" ht="13.8" x14ac:dyDescent="0.3">
      <c r="B504" s="24">
        <v>484</v>
      </c>
      <c r="C504" s="24">
        <v>15</v>
      </c>
      <c r="D504" s="24">
        <v>0</v>
      </c>
      <c r="E504" s="24">
        <v>0</v>
      </c>
      <c r="F504" s="24">
        <v>1</v>
      </c>
      <c r="G504" s="24">
        <v>0</v>
      </c>
      <c r="H504" s="24">
        <v>0</v>
      </c>
      <c r="I504" s="24">
        <v>0</v>
      </c>
      <c r="J504" s="24">
        <v>960</v>
      </c>
      <c r="K504" s="24">
        <v>3</v>
      </c>
      <c r="L504" s="24">
        <v>0</v>
      </c>
      <c r="M504" s="24">
        <v>0</v>
      </c>
      <c r="N504" s="24">
        <v>0</v>
      </c>
      <c r="O504" s="24">
        <v>0</v>
      </c>
      <c r="P504" s="24">
        <v>0</v>
      </c>
      <c r="Q504" s="24">
        <v>0</v>
      </c>
      <c r="R504" s="24">
        <v>0</v>
      </c>
      <c r="S504" s="24">
        <v>30</v>
      </c>
      <c r="T504" s="24">
        <v>0</v>
      </c>
      <c r="U504" s="24">
        <v>0</v>
      </c>
      <c r="V504" s="24">
        <v>1</v>
      </c>
      <c r="W504" s="24">
        <v>2</v>
      </c>
      <c r="X504" s="24">
        <v>1</v>
      </c>
      <c r="Y504" s="24">
        <v>0</v>
      </c>
      <c r="Z504" s="24">
        <v>0</v>
      </c>
      <c r="AA504" s="24">
        <v>1</v>
      </c>
      <c r="AB504" s="24">
        <v>0</v>
      </c>
      <c r="AC504" s="24">
        <v>0</v>
      </c>
      <c r="AD504" s="24">
        <v>0</v>
      </c>
      <c r="AE504" s="24">
        <v>1</v>
      </c>
      <c r="AF504" s="24">
        <v>0</v>
      </c>
      <c r="AG504" s="24">
        <v>0</v>
      </c>
      <c r="AH504" s="24">
        <v>0</v>
      </c>
      <c r="AI504" s="24">
        <v>1</v>
      </c>
      <c r="AJ504" s="24">
        <v>0</v>
      </c>
      <c r="AK504" s="24">
        <v>0</v>
      </c>
      <c r="AL504" s="24">
        <v>0</v>
      </c>
      <c r="AM504" s="24">
        <v>0</v>
      </c>
      <c r="AN504" s="24">
        <v>1</v>
      </c>
      <c r="AO504" s="24">
        <v>0</v>
      </c>
      <c r="AP504" s="24">
        <v>0</v>
      </c>
      <c r="AQ504" s="24">
        <v>0</v>
      </c>
      <c r="AR504" s="24">
        <v>0</v>
      </c>
      <c r="AS504" s="24">
        <v>1</v>
      </c>
      <c r="AT504" s="24">
        <v>0</v>
      </c>
      <c r="AU504" s="24">
        <v>0</v>
      </c>
      <c r="AV504" s="24">
        <v>1</v>
      </c>
      <c r="AW504" s="24">
        <v>0</v>
      </c>
      <c r="AX504" s="24">
        <v>0</v>
      </c>
      <c r="AY504" s="24">
        <v>0</v>
      </c>
      <c r="AZ504" s="24">
        <v>0</v>
      </c>
      <c r="BA504" s="24">
        <v>1</v>
      </c>
      <c r="BB504" s="24">
        <v>0</v>
      </c>
    </row>
    <row r="505" spans="2:54" ht="13.8" x14ac:dyDescent="0.3">
      <c r="B505" s="24">
        <v>485</v>
      </c>
      <c r="C505" s="24">
        <v>12</v>
      </c>
      <c r="D505" s="24">
        <v>1</v>
      </c>
      <c r="E505" s="24">
        <v>0</v>
      </c>
      <c r="F505" s="24">
        <v>0</v>
      </c>
      <c r="G505" s="24">
        <v>0</v>
      </c>
      <c r="H505" s="24">
        <v>0</v>
      </c>
      <c r="I505" s="24">
        <v>0</v>
      </c>
      <c r="J505" s="24">
        <v>1163</v>
      </c>
      <c r="K505" s="24">
        <v>4</v>
      </c>
      <c r="L505" s="24">
        <v>0</v>
      </c>
      <c r="M505" s="24">
        <v>1</v>
      </c>
      <c r="N505" s="24">
        <v>0</v>
      </c>
      <c r="O505" s="24">
        <v>0</v>
      </c>
      <c r="P505" s="24">
        <v>0</v>
      </c>
      <c r="Q505" s="24">
        <v>1</v>
      </c>
      <c r="R505" s="24">
        <v>0</v>
      </c>
      <c r="S505" s="24">
        <v>44</v>
      </c>
      <c r="T505" s="24">
        <v>0</v>
      </c>
      <c r="U505" s="24">
        <v>0</v>
      </c>
      <c r="V505" s="24">
        <v>1</v>
      </c>
      <c r="W505" s="24">
        <v>1</v>
      </c>
      <c r="X505" s="24">
        <v>1</v>
      </c>
      <c r="Y505" s="24">
        <v>1</v>
      </c>
      <c r="Z505" s="24">
        <v>0</v>
      </c>
      <c r="AA505" s="24">
        <v>1</v>
      </c>
      <c r="AB505" s="24">
        <v>0</v>
      </c>
      <c r="AC505" s="24">
        <v>0</v>
      </c>
      <c r="AD505" s="24">
        <v>0</v>
      </c>
      <c r="AE505" s="24">
        <v>1</v>
      </c>
      <c r="AF505" s="24">
        <v>0</v>
      </c>
      <c r="AG505" s="24">
        <v>0</v>
      </c>
      <c r="AH505" s="24">
        <v>0</v>
      </c>
      <c r="AI505" s="24">
        <v>0</v>
      </c>
      <c r="AJ505" s="24">
        <v>1</v>
      </c>
      <c r="AK505" s="24">
        <v>0</v>
      </c>
      <c r="AL505" s="24">
        <v>0</v>
      </c>
      <c r="AM505" s="24">
        <v>1</v>
      </c>
      <c r="AN505" s="24">
        <v>0</v>
      </c>
      <c r="AO505" s="24">
        <v>0</v>
      </c>
      <c r="AP505" s="24">
        <v>0</v>
      </c>
      <c r="AQ505" s="24">
        <v>0</v>
      </c>
      <c r="AR505" s="24">
        <v>1</v>
      </c>
      <c r="AS505" s="24">
        <v>0</v>
      </c>
      <c r="AT505" s="24">
        <v>0</v>
      </c>
      <c r="AU505" s="24">
        <v>0</v>
      </c>
      <c r="AV505" s="24">
        <v>0</v>
      </c>
      <c r="AW505" s="24">
        <v>0</v>
      </c>
      <c r="AX505" s="24">
        <v>1</v>
      </c>
      <c r="AY505" s="24">
        <v>0</v>
      </c>
      <c r="AZ505" s="24">
        <v>0</v>
      </c>
      <c r="BA505" s="24">
        <v>1</v>
      </c>
      <c r="BB505" s="24">
        <v>0</v>
      </c>
    </row>
    <row r="506" spans="2:54" ht="13.8" x14ac:dyDescent="0.3">
      <c r="B506" s="24">
        <v>486</v>
      </c>
      <c r="C506" s="24">
        <v>6</v>
      </c>
      <c r="D506" s="24">
        <v>1</v>
      </c>
      <c r="E506" s="24">
        <v>0</v>
      </c>
      <c r="F506" s="24">
        <v>0</v>
      </c>
      <c r="G506" s="24">
        <v>0</v>
      </c>
      <c r="H506" s="24">
        <v>0</v>
      </c>
      <c r="I506" s="24">
        <v>0</v>
      </c>
      <c r="J506" s="24">
        <v>1209</v>
      </c>
      <c r="K506" s="24">
        <v>4</v>
      </c>
      <c r="L506" s="24">
        <v>0</v>
      </c>
      <c r="M506" s="24">
        <v>1</v>
      </c>
      <c r="N506" s="24">
        <v>0</v>
      </c>
      <c r="O506" s="24">
        <v>0</v>
      </c>
      <c r="P506" s="24">
        <v>0</v>
      </c>
      <c r="Q506" s="24">
        <v>0</v>
      </c>
      <c r="R506" s="24">
        <v>0</v>
      </c>
      <c r="S506" s="24">
        <v>47</v>
      </c>
      <c r="T506" s="24">
        <v>0</v>
      </c>
      <c r="U506" s="24">
        <v>0</v>
      </c>
      <c r="V506" s="24">
        <v>1</v>
      </c>
      <c r="W506" s="24">
        <v>1</v>
      </c>
      <c r="X506" s="24">
        <v>1</v>
      </c>
      <c r="Y506" s="24">
        <v>1</v>
      </c>
      <c r="Z506" s="24">
        <v>0</v>
      </c>
      <c r="AA506" s="24">
        <v>0</v>
      </c>
      <c r="AB506" s="24">
        <v>0</v>
      </c>
      <c r="AC506" s="24">
        <v>1</v>
      </c>
      <c r="AD506" s="24">
        <v>0</v>
      </c>
      <c r="AE506" s="24">
        <v>0</v>
      </c>
      <c r="AF506" s="24">
        <v>0</v>
      </c>
      <c r="AG506" s="24">
        <v>0</v>
      </c>
      <c r="AH506" s="24">
        <v>0</v>
      </c>
      <c r="AI506" s="24">
        <v>1</v>
      </c>
      <c r="AJ506" s="24">
        <v>0</v>
      </c>
      <c r="AK506" s="24">
        <v>1</v>
      </c>
      <c r="AL506" s="24">
        <v>0</v>
      </c>
      <c r="AM506" s="24">
        <v>0</v>
      </c>
      <c r="AN506" s="24">
        <v>0</v>
      </c>
      <c r="AO506" s="24">
        <v>0</v>
      </c>
      <c r="AP506" s="24">
        <v>1</v>
      </c>
      <c r="AQ506" s="24">
        <v>0</v>
      </c>
      <c r="AR506" s="24">
        <v>0</v>
      </c>
      <c r="AS506" s="24">
        <v>0</v>
      </c>
      <c r="AT506" s="24">
        <v>0</v>
      </c>
      <c r="AU506" s="24">
        <v>0</v>
      </c>
      <c r="AV506" s="24">
        <v>0</v>
      </c>
      <c r="AW506" s="24">
        <v>0</v>
      </c>
      <c r="AX506" s="24">
        <v>1</v>
      </c>
      <c r="AY506" s="24">
        <v>0</v>
      </c>
      <c r="AZ506" s="24">
        <v>0</v>
      </c>
      <c r="BA506" s="24">
        <v>0</v>
      </c>
      <c r="BB506" s="24">
        <v>1</v>
      </c>
    </row>
    <row r="507" spans="2:54" ht="13.8" x14ac:dyDescent="0.3">
      <c r="B507" s="24">
        <v>487</v>
      </c>
      <c r="C507" s="24">
        <v>12</v>
      </c>
      <c r="D507" s="24">
        <v>0</v>
      </c>
      <c r="E507" s="24">
        <v>0</v>
      </c>
      <c r="F507" s="24">
        <v>0</v>
      </c>
      <c r="G507" s="24">
        <v>1</v>
      </c>
      <c r="H507" s="24">
        <v>0</v>
      </c>
      <c r="I507" s="24">
        <v>0</v>
      </c>
      <c r="J507" s="24">
        <v>3077</v>
      </c>
      <c r="K507" s="24">
        <v>2</v>
      </c>
      <c r="L507" s="24">
        <v>0</v>
      </c>
      <c r="M507" s="24">
        <v>1</v>
      </c>
      <c r="N507" s="24">
        <v>0</v>
      </c>
      <c r="O507" s="24">
        <v>0</v>
      </c>
      <c r="P507" s="24">
        <v>0</v>
      </c>
      <c r="Q507" s="24">
        <v>0</v>
      </c>
      <c r="R507" s="24">
        <v>0</v>
      </c>
      <c r="S507" s="24">
        <v>52</v>
      </c>
      <c r="T507" s="24">
        <v>0</v>
      </c>
      <c r="U507" s="24">
        <v>0</v>
      </c>
      <c r="V507" s="24">
        <v>1</v>
      </c>
      <c r="W507" s="24">
        <v>1</v>
      </c>
      <c r="X507" s="24">
        <v>1</v>
      </c>
      <c r="Y507" s="24">
        <v>1</v>
      </c>
      <c r="Z507" s="24">
        <v>0</v>
      </c>
      <c r="AA507" s="24">
        <v>1</v>
      </c>
      <c r="AB507" s="24">
        <v>0</v>
      </c>
      <c r="AC507" s="24">
        <v>0</v>
      </c>
      <c r="AD507" s="24">
        <v>0</v>
      </c>
      <c r="AE507" s="24">
        <v>1</v>
      </c>
      <c r="AF507" s="24">
        <v>0</v>
      </c>
      <c r="AG507" s="24">
        <v>0</v>
      </c>
      <c r="AH507" s="24">
        <v>1</v>
      </c>
      <c r="AI507" s="24">
        <v>0</v>
      </c>
      <c r="AJ507" s="24">
        <v>0</v>
      </c>
      <c r="AK507" s="24">
        <v>1</v>
      </c>
      <c r="AL507" s="24">
        <v>0</v>
      </c>
      <c r="AM507" s="24">
        <v>0</v>
      </c>
      <c r="AN507" s="24">
        <v>0</v>
      </c>
      <c r="AO507" s="24">
        <v>0</v>
      </c>
      <c r="AP507" s="24">
        <v>0</v>
      </c>
      <c r="AQ507" s="24">
        <v>0</v>
      </c>
      <c r="AR507" s="24">
        <v>1</v>
      </c>
      <c r="AS507" s="24">
        <v>0</v>
      </c>
      <c r="AT507" s="24">
        <v>0</v>
      </c>
      <c r="AU507" s="24">
        <v>0</v>
      </c>
      <c r="AV507" s="24">
        <v>0</v>
      </c>
      <c r="AW507" s="24">
        <v>0</v>
      </c>
      <c r="AX507" s="24">
        <v>1</v>
      </c>
      <c r="AY507" s="24">
        <v>0</v>
      </c>
      <c r="AZ507" s="24">
        <v>0</v>
      </c>
      <c r="BA507" s="24">
        <v>1</v>
      </c>
      <c r="BB507" s="24">
        <v>0</v>
      </c>
    </row>
    <row r="508" spans="2:54" ht="13.8" x14ac:dyDescent="0.3">
      <c r="B508" s="24">
        <v>488</v>
      </c>
      <c r="C508" s="24">
        <v>24</v>
      </c>
      <c r="D508" s="24">
        <v>1</v>
      </c>
      <c r="E508" s="24">
        <v>0</v>
      </c>
      <c r="F508" s="24">
        <v>0</v>
      </c>
      <c r="G508" s="24">
        <v>0</v>
      </c>
      <c r="H508" s="24">
        <v>0</v>
      </c>
      <c r="I508" s="24">
        <v>0</v>
      </c>
      <c r="J508" s="24">
        <v>3757</v>
      </c>
      <c r="K508" s="24">
        <v>4</v>
      </c>
      <c r="L508" s="24">
        <v>0</v>
      </c>
      <c r="M508" s="24">
        <v>0</v>
      </c>
      <c r="N508" s="24">
        <v>0</v>
      </c>
      <c r="O508" s="24">
        <v>1</v>
      </c>
      <c r="P508" s="24">
        <v>0</v>
      </c>
      <c r="Q508" s="24">
        <v>0</v>
      </c>
      <c r="R508" s="24">
        <v>1</v>
      </c>
      <c r="S508" s="24">
        <v>62</v>
      </c>
      <c r="T508" s="24">
        <v>0</v>
      </c>
      <c r="U508" s="24">
        <v>0</v>
      </c>
      <c r="V508" s="24">
        <v>0</v>
      </c>
      <c r="W508" s="24">
        <v>1</v>
      </c>
      <c r="X508" s="24">
        <v>1</v>
      </c>
      <c r="Y508" s="24">
        <v>1</v>
      </c>
      <c r="Z508" s="24">
        <v>0</v>
      </c>
      <c r="AA508" s="24">
        <v>1</v>
      </c>
      <c r="AB508" s="24">
        <v>0</v>
      </c>
      <c r="AC508" s="24">
        <v>0</v>
      </c>
      <c r="AD508" s="24">
        <v>0</v>
      </c>
      <c r="AE508" s="24">
        <v>1</v>
      </c>
      <c r="AF508" s="24">
        <v>0</v>
      </c>
      <c r="AG508" s="24">
        <v>0</v>
      </c>
      <c r="AH508" s="24">
        <v>1</v>
      </c>
      <c r="AI508" s="24">
        <v>0</v>
      </c>
      <c r="AJ508" s="24">
        <v>0</v>
      </c>
      <c r="AK508" s="24">
        <v>1</v>
      </c>
      <c r="AL508" s="24">
        <v>0</v>
      </c>
      <c r="AM508" s="24">
        <v>0</v>
      </c>
      <c r="AN508" s="24">
        <v>0</v>
      </c>
      <c r="AO508" s="24">
        <v>0</v>
      </c>
      <c r="AP508" s="24">
        <v>0</v>
      </c>
      <c r="AQ508" s="24">
        <v>0</v>
      </c>
      <c r="AR508" s="24">
        <v>0</v>
      </c>
      <c r="AS508" s="24">
        <v>0</v>
      </c>
      <c r="AT508" s="24">
        <v>1</v>
      </c>
      <c r="AU508" s="24">
        <v>0</v>
      </c>
      <c r="AV508" s="24">
        <v>0</v>
      </c>
      <c r="AW508" s="24">
        <v>0</v>
      </c>
      <c r="AX508" s="24">
        <v>1</v>
      </c>
      <c r="AY508" s="24">
        <v>0</v>
      </c>
      <c r="AZ508" s="24">
        <v>0</v>
      </c>
      <c r="BA508" s="24">
        <v>1</v>
      </c>
      <c r="BB508" s="24">
        <v>0</v>
      </c>
    </row>
    <row r="509" spans="2:54" ht="13.8" x14ac:dyDescent="0.3">
      <c r="B509" s="24">
        <v>489</v>
      </c>
      <c r="C509" s="24">
        <v>10</v>
      </c>
      <c r="D509" s="24">
        <v>1</v>
      </c>
      <c r="E509" s="24">
        <v>0</v>
      </c>
      <c r="F509" s="24">
        <v>0</v>
      </c>
      <c r="G509" s="24">
        <v>0</v>
      </c>
      <c r="H509" s="24">
        <v>0</v>
      </c>
      <c r="I509" s="24">
        <v>0</v>
      </c>
      <c r="J509" s="24">
        <v>1418</v>
      </c>
      <c r="K509" s="24">
        <v>3</v>
      </c>
      <c r="L509" s="24">
        <v>0</v>
      </c>
      <c r="M509" s="24">
        <v>1</v>
      </c>
      <c r="N509" s="24">
        <v>0</v>
      </c>
      <c r="O509" s="24">
        <v>0</v>
      </c>
      <c r="P509" s="24">
        <v>0</v>
      </c>
      <c r="Q509" s="24">
        <v>1</v>
      </c>
      <c r="R509" s="24">
        <v>0</v>
      </c>
      <c r="S509" s="24">
        <v>35</v>
      </c>
      <c r="T509" s="24">
        <v>0</v>
      </c>
      <c r="U509" s="24">
        <v>1</v>
      </c>
      <c r="V509" s="24">
        <v>0</v>
      </c>
      <c r="W509" s="24">
        <v>1</v>
      </c>
      <c r="X509" s="24">
        <v>1</v>
      </c>
      <c r="Y509" s="24">
        <v>0</v>
      </c>
      <c r="Z509" s="24">
        <v>1</v>
      </c>
      <c r="AA509" s="24">
        <v>1</v>
      </c>
      <c r="AB509" s="24">
        <v>0</v>
      </c>
      <c r="AC509" s="24">
        <v>0</v>
      </c>
      <c r="AD509" s="24">
        <v>0</v>
      </c>
      <c r="AE509" s="24">
        <v>1</v>
      </c>
      <c r="AF509" s="24">
        <v>0</v>
      </c>
      <c r="AG509" s="24">
        <v>0</v>
      </c>
      <c r="AH509" s="24">
        <v>1</v>
      </c>
      <c r="AI509" s="24">
        <v>0</v>
      </c>
      <c r="AJ509" s="24">
        <v>0</v>
      </c>
      <c r="AK509" s="24">
        <v>0</v>
      </c>
      <c r="AL509" s="24">
        <v>1</v>
      </c>
      <c r="AM509" s="24">
        <v>0</v>
      </c>
      <c r="AN509" s="24">
        <v>0</v>
      </c>
      <c r="AO509" s="24">
        <v>0</v>
      </c>
      <c r="AP509" s="24">
        <v>0</v>
      </c>
      <c r="AQ509" s="24">
        <v>0</v>
      </c>
      <c r="AR509" s="24">
        <v>1</v>
      </c>
      <c r="AS509" s="24">
        <v>0</v>
      </c>
      <c r="AT509" s="24">
        <v>0</v>
      </c>
      <c r="AU509" s="24">
        <v>0</v>
      </c>
      <c r="AV509" s="24">
        <v>1</v>
      </c>
      <c r="AW509" s="24">
        <v>0</v>
      </c>
      <c r="AX509" s="24">
        <v>0</v>
      </c>
      <c r="AY509" s="24">
        <v>0</v>
      </c>
      <c r="AZ509" s="24">
        <v>1</v>
      </c>
      <c r="BA509" s="24">
        <v>0</v>
      </c>
      <c r="BB509" s="24">
        <v>0</v>
      </c>
    </row>
    <row r="510" spans="2:54" ht="13.8" x14ac:dyDescent="0.3">
      <c r="B510" s="24">
        <v>490</v>
      </c>
      <c r="C510" s="24">
        <v>6</v>
      </c>
      <c r="D510" s="24">
        <v>1</v>
      </c>
      <c r="E510" s="24">
        <v>0</v>
      </c>
      <c r="F510" s="24">
        <v>0</v>
      </c>
      <c r="G510" s="24">
        <v>0</v>
      </c>
      <c r="H510" s="24">
        <v>0</v>
      </c>
      <c r="I510" s="24">
        <v>0</v>
      </c>
      <c r="J510" s="24">
        <v>3518</v>
      </c>
      <c r="K510" s="24">
        <v>2</v>
      </c>
      <c r="L510" s="24">
        <v>0</v>
      </c>
      <c r="M510" s="24">
        <v>1</v>
      </c>
      <c r="N510" s="24">
        <v>0</v>
      </c>
      <c r="O510" s="24">
        <v>0</v>
      </c>
      <c r="P510" s="24">
        <v>1</v>
      </c>
      <c r="Q510" s="24">
        <v>0</v>
      </c>
      <c r="R510" s="24">
        <v>0</v>
      </c>
      <c r="S510" s="24">
        <v>26</v>
      </c>
      <c r="T510" s="24">
        <v>0</v>
      </c>
      <c r="U510" s="24">
        <v>1</v>
      </c>
      <c r="V510" s="24">
        <v>0</v>
      </c>
      <c r="W510" s="24">
        <v>1</v>
      </c>
      <c r="X510" s="24">
        <v>1</v>
      </c>
      <c r="Y510" s="24">
        <v>0</v>
      </c>
      <c r="Z510" s="24">
        <v>0</v>
      </c>
      <c r="AA510" s="24">
        <v>1</v>
      </c>
      <c r="AB510" s="24">
        <v>0</v>
      </c>
      <c r="AC510" s="24">
        <v>0</v>
      </c>
      <c r="AD510" s="24">
        <v>0</v>
      </c>
      <c r="AE510" s="24">
        <v>1</v>
      </c>
      <c r="AF510" s="24">
        <v>0</v>
      </c>
      <c r="AG510" s="24">
        <v>0</v>
      </c>
      <c r="AH510" s="24">
        <v>1</v>
      </c>
      <c r="AI510" s="24">
        <v>0</v>
      </c>
      <c r="AJ510" s="24">
        <v>0</v>
      </c>
      <c r="AK510" s="24">
        <v>1</v>
      </c>
      <c r="AL510" s="24">
        <v>0</v>
      </c>
      <c r="AM510" s="24">
        <v>0</v>
      </c>
      <c r="AN510" s="24">
        <v>0</v>
      </c>
      <c r="AO510" s="24">
        <v>0</v>
      </c>
      <c r="AP510" s="24">
        <v>0</v>
      </c>
      <c r="AQ510" s="24">
        <v>0</v>
      </c>
      <c r="AR510" s="24">
        <v>1</v>
      </c>
      <c r="AS510" s="24">
        <v>0</v>
      </c>
      <c r="AT510" s="24">
        <v>0</v>
      </c>
      <c r="AU510" s="24">
        <v>0</v>
      </c>
      <c r="AV510" s="24">
        <v>0</v>
      </c>
      <c r="AW510" s="24">
        <v>1</v>
      </c>
      <c r="AX510" s="24">
        <v>0</v>
      </c>
      <c r="AY510" s="24">
        <v>0</v>
      </c>
      <c r="AZ510" s="24">
        <v>0</v>
      </c>
      <c r="BA510" s="24">
        <v>1</v>
      </c>
      <c r="BB510" s="24">
        <v>0</v>
      </c>
    </row>
    <row r="511" spans="2:54" ht="13.8" x14ac:dyDescent="0.3">
      <c r="B511" s="24">
        <v>491</v>
      </c>
      <c r="C511" s="24">
        <v>12</v>
      </c>
      <c r="D511" s="24">
        <v>0</v>
      </c>
      <c r="E511" s="24">
        <v>0</v>
      </c>
      <c r="F511" s="24">
        <v>0</v>
      </c>
      <c r="G511" s="24">
        <v>1</v>
      </c>
      <c r="H511" s="24">
        <v>0</v>
      </c>
      <c r="I511" s="24">
        <v>0</v>
      </c>
      <c r="J511" s="24">
        <v>1934</v>
      </c>
      <c r="K511" s="24">
        <v>2</v>
      </c>
      <c r="L511" s="24">
        <v>0</v>
      </c>
      <c r="M511" s="24">
        <v>1</v>
      </c>
      <c r="N511" s="24">
        <v>0</v>
      </c>
      <c r="O511" s="24">
        <v>0</v>
      </c>
      <c r="P511" s="24">
        <v>0</v>
      </c>
      <c r="Q511" s="24">
        <v>0</v>
      </c>
      <c r="R511" s="24">
        <v>1</v>
      </c>
      <c r="S511" s="24">
        <v>26</v>
      </c>
      <c r="T511" s="24">
        <v>0</v>
      </c>
      <c r="U511" s="24">
        <v>0</v>
      </c>
      <c r="V511" s="24">
        <v>1</v>
      </c>
      <c r="W511" s="24">
        <v>2</v>
      </c>
      <c r="X511" s="24">
        <v>1</v>
      </c>
      <c r="Y511" s="24">
        <v>0</v>
      </c>
      <c r="Z511" s="24">
        <v>0</v>
      </c>
      <c r="AA511" s="24">
        <v>1</v>
      </c>
      <c r="AB511" s="24">
        <v>0</v>
      </c>
      <c r="AC511" s="24">
        <v>0</v>
      </c>
      <c r="AD511" s="24">
        <v>0</v>
      </c>
      <c r="AE511" s="24">
        <v>1</v>
      </c>
      <c r="AF511" s="24">
        <v>0</v>
      </c>
      <c r="AG511" s="24">
        <v>0</v>
      </c>
      <c r="AH511" s="24">
        <v>0</v>
      </c>
      <c r="AI511" s="24">
        <v>0</v>
      </c>
      <c r="AJ511" s="24">
        <v>1</v>
      </c>
      <c r="AK511" s="24">
        <v>1</v>
      </c>
      <c r="AL511" s="24">
        <v>0</v>
      </c>
      <c r="AM511" s="24">
        <v>0</v>
      </c>
      <c r="AN511" s="24">
        <v>0</v>
      </c>
      <c r="AO511" s="24">
        <v>0</v>
      </c>
      <c r="AP511" s="24">
        <v>0</v>
      </c>
      <c r="AQ511" s="24">
        <v>0</v>
      </c>
      <c r="AR511" s="24">
        <v>0</v>
      </c>
      <c r="AS511" s="24">
        <v>0</v>
      </c>
      <c r="AT511" s="24">
        <v>1</v>
      </c>
      <c r="AU511" s="24">
        <v>0</v>
      </c>
      <c r="AV511" s="24">
        <v>1</v>
      </c>
      <c r="AW511" s="24">
        <v>0</v>
      </c>
      <c r="AX511" s="24">
        <v>0</v>
      </c>
      <c r="AY511" s="24">
        <v>0</v>
      </c>
      <c r="AZ511" s="24">
        <v>0</v>
      </c>
      <c r="BA511" s="24">
        <v>1</v>
      </c>
      <c r="BB511" s="24">
        <v>0</v>
      </c>
    </row>
    <row r="512" spans="2:54" ht="13.8" x14ac:dyDescent="0.3">
      <c r="B512" s="24">
        <v>492</v>
      </c>
      <c r="C512" s="24">
        <v>27</v>
      </c>
      <c r="D512" s="24">
        <v>0</v>
      </c>
      <c r="E512" s="24">
        <v>0</v>
      </c>
      <c r="F512" s="24">
        <v>0</v>
      </c>
      <c r="G512" s="24">
        <v>0</v>
      </c>
      <c r="H512" s="24">
        <v>0</v>
      </c>
      <c r="I512" s="24">
        <v>1</v>
      </c>
      <c r="J512" s="24">
        <v>8318</v>
      </c>
      <c r="K512" s="24">
        <v>2</v>
      </c>
      <c r="L512" s="24">
        <v>0</v>
      </c>
      <c r="M512" s="24">
        <v>0</v>
      </c>
      <c r="N512" s="24">
        <v>0</v>
      </c>
      <c r="O512" s="24">
        <v>0</v>
      </c>
      <c r="P512" s="24">
        <v>0</v>
      </c>
      <c r="Q512" s="24">
        <v>0</v>
      </c>
      <c r="R512" s="24">
        <v>1</v>
      </c>
      <c r="S512" s="24">
        <v>42</v>
      </c>
      <c r="T512" s="24">
        <v>0</v>
      </c>
      <c r="U512" s="24">
        <v>0</v>
      </c>
      <c r="V512" s="24">
        <v>0</v>
      </c>
      <c r="W512" s="24">
        <v>2</v>
      </c>
      <c r="X512" s="24">
        <v>1</v>
      </c>
      <c r="Y512" s="24">
        <v>1</v>
      </c>
      <c r="Z512" s="24">
        <v>0</v>
      </c>
      <c r="AA512" s="24">
        <v>0</v>
      </c>
      <c r="AB512" s="24">
        <v>0</v>
      </c>
      <c r="AC512" s="24">
        <v>1</v>
      </c>
      <c r="AD512" s="24">
        <v>0</v>
      </c>
      <c r="AE512" s="24">
        <v>0</v>
      </c>
      <c r="AF512" s="24">
        <v>1</v>
      </c>
      <c r="AG512" s="24">
        <v>0</v>
      </c>
      <c r="AH512" s="24">
        <v>0</v>
      </c>
      <c r="AI512" s="24">
        <v>0</v>
      </c>
      <c r="AJ512" s="24">
        <v>0</v>
      </c>
      <c r="AK512" s="24">
        <v>1</v>
      </c>
      <c r="AL512" s="24">
        <v>0</v>
      </c>
      <c r="AM512" s="24">
        <v>0</v>
      </c>
      <c r="AN512" s="24">
        <v>0</v>
      </c>
      <c r="AO512" s="24">
        <v>0</v>
      </c>
      <c r="AP512" s="24">
        <v>0</v>
      </c>
      <c r="AQ512" s="24">
        <v>0</v>
      </c>
      <c r="AR512" s="24">
        <v>0</v>
      </c>
      <c r="AS512" s="24">
        <v>0</v>
      </c>
      <c r="AT512" s="24">
        <v>1</v>
      </c>
      <c r="AU512" s="24">
        <v>0</v>
      </c>
      <c r="AV512" s="24">
        <v>0</v>
      </c>
      <c r="AW512" s="24">
        <v>0</v>
      </c>
      <c r="AX512" s="24">
        <v>1</v>
      </c>
      <c r="AY512" s="24">
        <v>0</v>
      </c>
      <c r="AZ512" s="24">
        <v>0</v>
      </c>
      <c r="BA512" s="24">
        <v>0</v>
      </c>
      <c r="BB512" s="24">
        <v>1</v>
      </c>
    </row>
    <row r="513" spans="2:54" ht="13.8" x14ac:dyDescent="0.3">
      <c r="B513" s="24">
        <v>493</v>
      </c>
      <c r="C513" s="24">
        <v>6</v>
      </c>
      <c r="D513" s="24">
        <v>0</v>
      </c>
      <c r="E513" s="24">
        <v>0</v>
      </c>
      <c r="F513" s="24">
        <v>0</v>
      </c>
      <c r="G513" s="24">
        <v>1</v>
      </c>
      <c r="H513" s="24">
        <v>0</v>
      </c>
      <c r="I513" s="24">
        <v>0</v>
      </c>
      <c r="J513" s="24">
        <v>1237</v>
      </c>
      <c r="K513" s="24">
        <v>1</v>
      </c>
      <c r="L513" s="24">
        <v>0</v>
      </c>
      <c r="M513" s="24">
        <v>0</v>
      </c>
      <c r="N513" s="24">
        <v>0</v>
      </c>
      <c r="O513" s="24">
        <v>0</v>
      </c>
      <c r="P513" s="24">
        <v>0</v>
      </c>
      <c r="Q513" s="24">
        <v>0</v>
      </c>
      <c r="R513" s="24">
        <v>0</v>
      </c>
      <c r="S513" s="24">
        <v>27</v>
      </c>
      <c r="T513" s="24">
        <v>0</v>
      </c>
      <c r="U513" s="24">
        <v>0</v>
      </c>
      <c r="V513" s="24">
        <v>1</v>
      </c>
      <c r="W513" s="24">
        <v>2</v>
      </c>
      <c r="X513" s="24">
        <v>1</v>
      </c>
      <c r="Y513" s="24">
        <v>0</v>
      </c>
      <c r="Z513" s="24">
        <v>0</v>
      </c>
      <c r="AA513" s="24">
        <v>1</v>
      </c>
      <c r="AB513" s="24">
        <v>0</v>
      </c>
      <c r="AC513" s="24">
        <v>0</v>
      </c>
      <c r="AD513" s="24">
        <v>0</v>
      </c>
      <c r="AE513" s="24">
        <v>1</v>
      </c>
      <c r="AF513" s="24">
        <v>0</v>
      </c>
      <c r="AG513" s="24">
        <v>0</v>
      </c>
      <c r="AH513" s="24">
        <v>0</v>
      </c>
      <c r="AI513" s="24">
        <v>0</v>
      </c>
      <c r="AJ513" s="24">
        <v>1</v>
      </c>
      <c r="AK513" s="24">
        <v>0</v>
      </c>
      <c r="AL513" s="24">
        <v>1</v>
      </c>
      <c r="AM513" s="24">
        <v>0</v>
      </c>
      <c r="AN513" s="24">
        <v>0</v>
      </c>
      <c r="AO513" s="24">
        <v>0</v>
      </c>
      <c r="AP513" s="24">
        <v>0</v>
      </c>
      <c r="AQ513" s="24">
        <v>0</v>
      </c>
      <c r="AR513" s="24">
        <v>1</v>
      </c>
      <c r="AS513" s="24">
        <v>0</v>
      </c>
      <c r="AT513" s="24">
        <v>0</v>
      </c>
      <c r="AU513" s="24">
        <v>1</v>
      </c>
      <c r="AV513" s="24">
        <v>0</v>
      </c>
      <c r="AW513" s="24">
        <v>0</v>
      </c>
      <c r="AX513" s="24">
        <v>0</v>
      </c>
      <c r="AY513" s="24">
        <v>0</v>
      </c>
      <c r="AZ513" s="24">
        <v>0</v>
      </c>
      <c r="BA513" s="24">
        <v>1</v>
      </c>
      <c r="BB513" s="24">
        <v>0</v>
      </c>
    </row>
    <row r="514" spans="2:54" ht="13.8" x14ac:dyDescent="0.3">
      <c r="B514" s="24">
        <v>494</v>
      </c>
      <c r="C514" s="24">
        <v>6</v>
      </c>
      <c r="D514" s="24">
        <v>0</v>
      </c>
      <c r="E514" s="24">
        <v>0</v>
      </c>
      <c r="F514" s="24">
        <v>0</v>
      </c>
      <c r="G514" s="24">
        <v>1</v>
      </c>
      <c r="H514" s="24">
        <v>0</v>
      </c>
      <c r="I514" s="24">
        <v>0</v>
      </c>
      <c r="J514" s="24">
        <v>368</v>
      </c>
      <c r="K514" s="24">
        <v>4</v>
      </c>
      <c r="L514" s="24">
        <v>0</v>
      </c>
      <c r="M514" s="24">
        <v>1</v>
      </c>
      <c r="N514" s="24">
        <v>0</v>
      </c>
      <c r="O514" s="24">
        <v>0</v>
      </c>
      <c r="P514" s="24">
        <v>0</v>
      </c>
      <c r="Q514" s="24">
        <v>0</v>
      </c>
      <c r="R514" s="24">
        <v>0</v>
      </c>
      <c r="S514" s="24">
        <v>38</v>
      </c>
      <c r="T514" s="24">
        <v>0</v>
      </c>
      <c r="U514" s="24">
        <v>0</v>
      </c>
      <c r="V514" s="24">
        <v>1</v>
      </c>
      <c r="W514" s="24">
        <v>1</v>
      </c>
      <c r="X514" s="24">
        <v>1</v>
      </c>
      <c r="Y514" s="24">
        <v>0</v>
      </c>
      <c r="Z514" s="24">
        <v>0</v>
      </c>
      <c r="AA514" s="24">
        <v>1</v>
      </c>
      <c r="AB514" s="24">
        <v>0</v>
      </c>
      <c r="AC514" s="24">
        <v>1</v>
      </c>
      <c r="AD514" s="24">
        <v>0</v>
      </c>
      <c r="AE514" s="24">
        <v>0</v>
      </c>
      <c r="AF514" s="24">
        <v>0</v>
      </c>
      <c r="AG514" s="24">
        <v>0</v>
      </c>
      <c r="AH514" s="24">
        <v>1</v>
      </c>
      <c r="AI514" s="24">
        <v>0</v>
      </c>
      <c r="AJ514" s="24">
        <v>0</v>
      </c>
      <c r="AK514" s="24">
        <v>0</v>
      </c>
      <c r="AL514" s="24">
        <v>0</v>
      </c>
      <c r="AM514" s="24">
        <v>0</v>
      </c>
      <c r="AN514" s="24">
        <v>0</v>
      </c>
      <c r="AO514" s="24">
        <v>1</v>
      </c>
      <c r="AP514" s="24">
        <v>0</v>
      </c>
      <c r="AQ514" s="24">
        <v>0</v>
      </c>
      <c r="AR514" s="24">
        <v>0</v>
      </c>
      <c r="AS514" s="24">
        <v>0</v>
      </c>
      <c r="AT514" s="24">
        <v>1</v>
      </c>
      <c r="AU514" s="24">
        <v>0</v>
      </c>
      <c r="AV514" s="24">
        <v>0</v>
      </c>
      <c r="AW514" s="24">
        <v>0</v>
      </c>
      <c r="AX514" s="24">
        <v>1</v>
      </c>
      <c r="AY514" s="24">
        <v>0</v>
      </c>
      <c r="AZ514" s="24">
        <v>0</v>
      </c>
      <c r="BA514" s="24">
        <v>1</v>
      </c>
      <c r="BB514" s="24">
        <v>0</v>
      </c>
    </row>
    <row r="515" spans="2:54" ht="13.8" x14ac:dyDescent="0.3">
      <c r="B515" s="24">
        <v>495</v>
      </c>
      <c r="C515" s="24">
        <v>12</v>
      </c>
      <c r="D515" s="24">
        <v>1</v>
      </c>
      <c r="E515" s="24">
        <v>0</v>
      </c>
      <c r="F515" s="24">
        <v>0</v>
      </c>
      <c r="G515" s="24">
        <v>0</v>
      </c>
      <c r="H515" s="24">
        <v>0</v>
      </c>
      <c r="I515" s="24">
        <v>0</v>
      </c>
      <c r="J515" s="24">
        <v>2122</v>
      </c>
      <c r="K515" s="24">
        <v>3</v>
      </c>
      <c r="L515" s="24">
        <v>0</v>
      </c>
      <c r="M515" s="24">
        <v>1</v>
      </c>
      <c r="N515" s="24">
        <v>0</v>
      </c>
      <c r="O515" s="24">
        <v>0</v>
      </c>
      <c r="P515" s="24">
        <v>0</v>
      </c>
      <c r="Q515" s="24">
        <v>1</v>
      </c>
      <c r="R515" s="24">
        <v>0</v>
      </c>
      <c r="S515" s="24">
        <v>39</v>
      </c>
      <c r="T515" s="24">
        <v>0</v>
      </c>
      <c r="U515" s="24">
        <v>1</v>
      </c>
      <c r="V515" s="24">
        <v>0</v>
      </c>
      <c r="W515" s="24">
        <v>2</v>
      </c>
      <c r="X515" s="24">
        <v>2</v>
      </c>
      <c r="Y515" s="24">
        <v>0</v>
      </c>
      <c r="Z515" s="24">
        <v>1</v>
      </c>
      <c r="AA515" s="24">
        <v>1</v>
      </c>
      <c r="AB515" s="24">
        <v>1</v>
      </c>
      <c r="AC515" s="24">
        <v>0</v>
      </c>
      <c r="AD515" s="24">
        <v>0</v>
      </c>
      <c r="AE515" s="24">
        <v>0</v>
      </c>
      <c r="AF515" s="24">
        <v>0</v>
      </c>
      <c r="AG515" s="24">
        <v>0</v>
      </c>
      <c r="AH515" s="24">
        <v>0</v>
      </c>
      <c r="AI515" s="24">
        <v>0</v>
      </c>
      <c r="AJ515" s="24">
        <v>1</v>
      </c>
      <c r="AK515" s="24">
        <v>1</v>
      </c>
      <c r="AL515" s="24">
        <v>0</v>
      </c>
      <c r="AM515" s="24">
        <v>0</v>
      </c>
      <c r="AN515" s="24">
        <v>0</v>
      </c>
      <c r="AO515" s="24">
        <v>0</v>
      </c>
      <c r="AP515" s="24">
        <v>0</v>
      </c>
      <c r="AQ515" s="24">
        <v>0</v>
      </c>
      <c r="AR515" s="24">
        <v>1</v>
      </c>
      <c r="AS515" s="24">
        <v>0</v>
      </c>
      <c r="AT515" s="24">
        <v>0</v>
      </c>
      <c r="AU515" s="24">
        <v>0</v>
      </c>
      <c r="AV515" s="24">
        <v>1</v>
      </c>
      <c r="AW515" s="24">
        <v>0</v>
      </c>
      <c r="AX515" s="24">
        <v>0</v>
      </c>
      <c r="AY515" s="24">
        <v>0</v>
      </c>
      <c r="AZ515" s="24">
        <v>1</v>
      </c>
      <c r="BA515" s="24">
        <v>0</v>
      </c>
      <c r="BB515" s="24">
        <v>0</v>
      </c>
    </row>
    <row r="516" spans="2:54" ht="13.8" x14ac:dyDescent="0.3">
      <c r="B516" s="24">
        <v>496</v>
      </c>
      <c r="C516" s="24">
        <v>24</v>
      </c>
      <c r="D516" s="24">
        <v>0</v>
      </c>
      <c r="E516" s="24">
        <v>0</v>
      </c>
      <c r="F516" s="24">
        <v>1</v>
      </c>
      <c r="G516" s="24">
        <v>0</v>
      </c>
      <c r="H516" s="24">
        <v>0</v>
      </c>
      <c r="I516" s="24">
        <v>0</v>
      </c>
      <c r="J516" s="24">
        <v>2996</v>
      </c>
      <c r="K516" s="24">
        <v>2</v>
      </c>
      <c r="L516" s="24">
        <v>0</v>
      </c>
      <c r="M516" s="24">
        <v>0</v>
      </c>
      <c r="N516" s="24">
        <v>1</v>
      </c>
      <c r="O516" s="24">
        <v>0</v>
      </c>
      <c r="P516" s="24">
        <v>0</v>
      </c>
      <c r="Q516" s="24">
        <v>0</v>
      </c>
      <c r="R516" s="24">
        <v>0</v>
      </c>
      <c r="S516" s="24">
        <v>20</v>
      </c>
      <c r="T516" s="24">
        <v>0</v>
      </c>
      <c r="U516" s="24">
        <v>0</v>
      </c>
      <c r="V516" s="24">
        <v>1</v>
      </c>
      <c r="W516" s="24">
        <v>1</v>
      </c>
      <c r="X516" s="24">
        <v>1</v>
      </c>
      <c r="Y516" s="24">
        <v>0</v>
      </c>
      <c r="Z516" s="24">
        <v>0</v>
      </c>
      <c r="AA516" s="24">
        <v>0</v>
      </c>
      <c r="AB516" s="24">
        <v>1</v>
      </c>
      <c r="AC516" s="24">
        <v>0</v>
      </c>
      <c r="AD516" s="24">
        <v>0</v>
      </c>
      <c r="AE516" s="24">
        <v>0</v>
      </c>
      <c r="AF516" s="24">
        <v>0</v>
      </c>
      <c r="AG516" s="24">
        <v>0</v>
      </c>
      <c r="AH516" s="24">
        <v>1</v>
      </c>
      <c r="AI516" s="24">
        <v>0</v>
      </c>
      <c r="AJ516" s="24">
        <v>0</v>
      </c>
      <c r="AK516" s="24">
        <v>0</v>
      </c>
      <c r="AL516" s="24">
        <v>0</v>
      </c>
      <c r="AM516" s="24">
        <v>0</v>
      </c>
      <c r="AN516" s="24">
        <v>0</v>
      </c>
      <c r="AO516" s="24">
        <v>1</v>
      </c>
      <c r="AP516" s="24">
        <v>0</v>
      </c>
      <c r="AQ516" s="24">
        <v>0</v>
      </c>
      <c r="AR516" s="24">
        <v>1</v>
      </c>
      <c r="AS516" s="24">
        <v>0</v>
      </c>
      <c r="AT516" s="24">
        <v>0</v>
      </c>
      <c r="AU516" s="24">
        <v>0</v>
      </c>
      <c r="AV516" s="24">
        <v>0</v>
      </c>
      <c r="AW516" s="24">
        <v>0</v>
      </c>
      <c r="AX516" s="24">
        <v>1</v>
      </c>
      <c r="AY516" s="24">
        <v>0</v>
      </c>
      <c r="AZ516" s="24">
        <v>0</v>
      </c>
      <c r="BA516" s="24">
        <v>1</v>
      </c>
      <c r="BB516" s="24">
        <v>0</v>
      </c>
    </row>
    <row r="517" spans="2:54" ht="13.8" x14ac:dyDescent="0.3">
      <c r="B517" s="24">
        <v>497</v>
      </c>
      <c r="C517" s="24">
        <v>36</v>
      </c>
      <c r="D517" s="24">
        <v>0</v>
      </c>
      <c r="E517" s="24">
        <v>0</v>
      </c>
      <c r="F517" s="24">
        <v>1</v>
      </c>
      <c r="G517" s="24">
        <v>0</v>
      </c>
      <c r="H517" s="24">
        <v>0</v>
      </c>
      <c r="I517" s="24">
        <v>0</v>
      </c>
      <c r="J517" s="24">
        <v>9034</v>
      </c>
      <c r="K517" s="24">
        <v>4</v>
      </c>
      <c r="L517" s="24">
        <v>0</v>
      </c>
      <c r="M517" s="24">
        <v>1</v>
      </c>
      <c r="N517" s="24">
        <v>0</v>
      </c>
      <c r="O517" s="24">
        <v>1</v>
      </c>
      <c r="P517" s="24">
        <v>0</v>
      </c>
      <c r="Q517" s="24">
        <v>0</v>
      </c>
      <c r="R517" s="24">
        <v>1</v>
      </c>
      <c r="S517" s="24">
        <v>29</v>
      </c>
      <c r="T517" s="24">
        <v>0</v>
      </c>
      <c r="U517" s="24">
        <v>1</v>
      </c>
      <c r="V517" s="24">
        <v>0</v>
      </c>
      <c r="W517" s="24">
        <v>1</v>
      </c>
      <c r="X517" s="24">
        <v>1</v>
      </c>
      <c r="Y517" s="24">
        <v>1</v>
      </c>
      <c r="Z517" s="24">
        <v>0</v>
      </c>
      <c r="AA517" s="24">
        <v>0</v>
      </c>
      <c r="AB517" s="24">
        <v>0</v>
      </c>
      <c r="AC517" s="24">
        <v>1</v>
      </c>
      <c r="AD517" s="24">
        <v>0</v>
      </c>
      <c r="AE517" s="24">
        <v>0</v>
      </c>
      <c r="AF517" s="24">
        <v>0</v>
      </c>
      <c r="AG517" s="24">
        <v>0</v>
      </c>
      <c r="AH517" s="24">
        <v>1</v>
      </c>
      <c r="AI517" s="24">
        <v>0</v>
      </c>
      <c r="AJ517" s="24">
        <v>0</v>
      </c>
      <c r="AK517" s="24">
        <v>0</v>
      </c>
      <c r="AL517" s="24">
        <v>1</v>
      </c>
      <c r="AM517" s="24">
        <v>0</v>
      </c>
      <c r="AN517" s="24">
        <v>0</v>
      </c>
      <c r="AO517" s="24">
        <v>0</v>
      </c>
      <c r="AP517" s="24">
        <v>0</v>
      </c>
      <c r="AQ517" s="24">
        <v>1</v>
      </c>
      <c r="AR517" s="24">
        <v>0</v>
      </c>
      <c r="AS517" s="24">
        <v>0</v>
      </c>
      <c r="AT517" s="24">
        <v>0</v>
      </c>
      <c r="AU517" s="24">
        <v>1</v>
      </c>
      <c r="AV517" s="24">
        <v>0</v>
      </c>
      <c r="AW517" s="24">
        <v>0</v>
      </c>
      <c r="AX517" s="24">
        <v>0</v>
      </c>
      <c r="AY517" s="24">
        <v>0</v>
      </c>
      <c r="AZ517" s="24">
        <v>0</v>
      </c>
      <c r="BA517" s="24">
        <v>0</v>
      </c>
      <c r="BB517" s="24">
        <v>1</v>
      </c>
    </row>
    <row r="518" spans="2:54" ht="13.8" x14ac:dyDescent="0.3">
      <c r="B518" s="24">
        <v>498</v>
      </c>
      <c r="C518" s="24">
        <v>24</v>
      </c>
      <c r="D518" s="24">
        <v>0</v>
      </c>
      <c r="E518" s="24">
        <v>0</v>
      </c>
      <c r="F518" s="24">
        <v>1</v>
      </c>
      <c r="G518" s="24">
        <v>0</v>
      </c>
      <c r="H518" s="24">
        <v>0</v>
      </c>
      <c r="I518" s="24">
        <v>0</v>
      </c>
      <c r="J518" s="24">
        <v>1585</v>
      </c>
      <c r="K518" s="24">
        <v>4</v>
      </c>
      <c r="L518" s="24">
        <v>0</v>
      </c>
      <c r="M518" s="24">
        <v>1</v>
      </c>
      <c r="N518" s="24">
        <v>0</v>
      </c>
      <c r="O518" s="24">
        <v>0</v>
      </c>
      <c r="P518" s="24">
        <v>0</v>
      </c>
      <c r="Q518" s="24">
        <v>0</v>
      </c>
      <c r="R518" s="24">
        <v>0</v>
      </c>
      <c r="S518" s="24">
        <v>40</v>
      </c>
      <c r="T518" s="24">
        <v>0</v>
      </c>
      <c r="U518" s="24">
        <v>0</v>
      </c>
      <c r="V518" s="24">
        <v>1</v>
      </c>
      <c r="W518" s="24">
        <v>2</v>
      </c>
      <c r="X518" s="24">
        <v>1</v>
      </c>
      <c r="Y518" s="24">
        <v>0</v>
      </c>
      <c r="Z518" s="24">
        <v>0</v>
      </c>
      <c r="AA518" s="24">
        <v>1</v>
      </c>
      <c r="AB518" s="24">
        <v>0</v>
      </c>
      <c r="AC518" s="24">
        <v>0</v>
      </c>
      <c r="AD518" s="24">
        <v>0</v>
      </c>
      <c r="AE518" s="24">
        <v>1</v>
      </c>
      <c r="AF518" s="24">
        <v>0</v>
      </c>
      <c r="AG518" s="24">
        <v>0</v>
      </c>
      <c r="AH518" s="24">
        <v>0</v>
      </c>
      <c r="AI518" s="24">
        <v>0</v>
      </c>
      <c r="AJ518" s="24">
        <v>1</v>
      </c>
      <c r="AK518" s="24">
        <v>1</v>
      </c>
      <c r="AL518" s="24">
        <v>0</v>
      </c>
      <c r="AM518" s="24">
        <v>0</v>
      </c>
      <c r="AN518" s="24">
        <v>0</v>
      </c>
      <c r="AO518" s="24">
        <v>0</v>
      </c>
      <c r="AP518" s="24">
        <v>0</v>
      </c>
      <c r="AQ518" s="24">
        <v>0</v>
      </c>
      <c r="AR518" s="24">
        <v>0</v>
      </c>
      <c r="AS518" s="24">
        <v>1</v>
      </c>
      <c r="AT518" s="24">
        <v>0</v>
      </c>
      <c r="AU518" s="24">
        <v>0</v>
      </c>
      <c r="AV518" s="24">
        <v>0</v>
      </c>
      <c r="AW518" s="24">
        <v>1</v>
      </c>
      <c r="AX518" s="24">
        <v>0</v>
      </c>
      <c r="AY518" s="24">
        <v>0</v>
      </c>
      <c r="AZ518" s="24">
        <v>0</v>
      </c>
      <c r="BA518" s="24">
        <v>1</v>
      </c>
      <c r="BB518" s="24">
        <v>0</v>
      </c>
    </row>
    <row r="519" spans="2:54" ht="13.8" x14ac:dyDescent="0.3">
      <c r="B519" s="24">
        <v>499</v>
      </c>
      <c r="C519" s="24">
        <v>18</v>
      </c>
      <c r="D519" s="24">
        <v>0</v>
      </c>
      <c r="E519" s="24">
        <v>0</v>
      </c>
      <c r="F519" s="24">
        <v>0</v>
      </c>
      <c r="G519" s="24">
        <v>1</v>
      </c>
      <c r="H519" s="24">
        <v>0</v>
      </c>
      <c r="I519" s="24">
        <v>0</v>
      </c>
      <c r="J519" s="24">
        <v>1301</v>
      </c>
      <c r="K519" s="24">
        <v>4</v>
      </c>
      <c r="L519" s="24">
        <v>0</v>
      </c>
      <c r="M519" s="24">
        <v>0</v>
      </c>
      <c r="N519" s="24">
        <v>1</v>
      </c>
      <c r="O519" s="24">
        <v>0</v>
      </c>
      <c r="P519" s="24">
        <v>1</v>
      </c>
      <c r="Q519" s="24">
        <v>1</v>
      </c>
      <c r="R519" s="24">
        <v>0</v>
      </c>
      <c r="S519" s="24">
        <v>32</v>
      </c>
      <c r="T519" s="24">
        <v>0</v>
      </c>
      <c r="U519" s="24">
        <v>0</v>
      </c>
      <c r="V519" s="24">
        <v>1</v>
      </c>
      <c r="W519" s="24">
        <v>1</v>
      </c>
      <c r="X519" s="24">
        <v>1</v>
      </c>
      <c r="Y519" s="24">
        <v>0</v>
      </c>
      <c r="Z519" s="24">
        <v>0</v>
      </c>
      <c r="AA519" s="24">
        <v>1</v>
      </c>
      <c r="AB519" s="24">
        <v>0</v>
      </c>
      <c r="AC519" s="24">
        <v>1</v>
      </c>
      <c r="AD519" s="24">
        <v>0</v>
      </c>
      <c r="AE519" s="24">
        <v>0</v>
      </c>
      <c r="AF519" s="24">
        <v>0</v>
      </c>
      <c r="AG519" s="24">
        <v>0</v>
      </c>
      <c r="AH519" s="24">
        <v>1</v>
      </c>
      <c r="AI519" s="24">
        <v>0</v>
      </c>
      <c r="AJ519" s="24">
        <v>0</v>
      </c>
      <c r="AK519" s="24">
        <v>1</v>
      </c>
      <c r="AL519" s="24">
        <v>0</v>
      </c>
      <c r="AM519" s="24">
        <v>0</v>
      </c>
      <c r="AN519" s="24">
        <v>0</v>
      </c>
      <c r="AO519" s="24">
        <v>0</v>
      </c>
      <c r="AP519" s="24">
        <v>0</v>
      </c>
      <c r="AQ519" s="24">
        <v>0</v>
      </c>
      <c r="AR519" s="24">
        <v>0</v>
      </c>
      <c r="AS519" s="24">
        <v>0</v>
      </c>
      <c r="AT519" s="24">
        <v>1</v>
      </c>
      <c r="AU519" s="24">
        <v>0</v>
      </c>
      <c r="AV519" s="24">
        <v>1</v>
      </c>
      <c r="AW519" s="24">
        <v>0</v>
      </c>
      <c r="AX519" s="24">
        <v>0</v>
      </c>
      <c r="AY519" s="24">
        <v>0</v>
      </c>
      <c r="AZ519" s="24">
        <v>1</v>
      </c>
      <c r="BA519" s="24">
        <v>0</v>
      </c>
      <c r="BB519" s="24">
        <v>0</v>
      </c>
    </row>
    <row r="520" spans="2:54" ht="13.8" x14ac:dyDescent="0.3">
      <c r="B520" s="24">
        <v>500</v>
      </c>
      <c r="C520" s="24">
        <v>6</v>
      </c>
      <c r="D520" s="24">
        <v>1</v>
      </c>
      <c r="E520" s="24">
        <v>0</v>
      </c>
      <c r="F520" s="24">
        <v>0</v>
      </c>
      <c r="G520" s="24">
        <v>0</v>
      </c>
      <c r="H520" s="24">
        <v>0</v>
      </c>
      <c r="I520" s="24">
        <v>0</v>
      </c>
      <c r="J520" s="24">
        <v>1323</v>
      </c>
      <c r="K520" s="24">
        <v>2</v>
      </c>
      <c r="L520" s="24">
        <v>1</v>
      </c>
      <c r="M520" s="24">
        <v>0</v>
      </c>
      <c r="N520" s="24">
        <v>0</v>
      </c>
      <c r="O520" s="24">
        <v>0</v>
      </c>
      <c r="P520" s="24">
        <v>0</v>
      </c>
      <c r="Q520" s="24">
        <v>0</v>
      </c>
      <c r="R520" s="24">
        <v>0</v>
      </c>
      <c r="S520" s="24">
        <v>28</v>
      </c>
      <c r="T520" s="24">
        <v>0</v>
      </c>
      <c r="U520" s="24">
        <v>0</v>
      </c>
      <c r="V520" s="24">
        <v>1</v>
      </c>
      <c r="W520" s="24">
        <v>2</v>
      </c>
      <c r="X520" s="24">
        <v>2</v>
      </c>
      <c r="Y520" s="24">
        <v>1</v>
      </c>
      <c r="Z520" s="24">
        <v>0</v>
      </c>
      <c r="AA520" s="24">
        <v>1</v>
      </c>
      <c r="AB520" s="24">
        <v>0</v>
      </c>
      <c r="AC520" s="24">
        <v>0</v>
      </c>
      <c r="AD520" s="24">
        <v>1</v>
      </c>
      <c r="AE520" s="24">
        <v>0</v>
      </c>
      <c r="AF520" s="24">
        <v>0</v>
      </c>
      <c r="AG520" s="24">
        <v>0</v>
      </c>
      <c r="AH520" s="24">
        <v>0</v>
      </c>
      <c r="AI520" s="24">
        <v>0</v>
      </c>
      <c r="AJ520" s="24">
        <v>1</v>
      </c>
      <c r="AK520" s="24">
        <v>0</v>
      </c>
      <c r="AL520" s="24">
        <v>1</v>
      </c>
      <c r="AM520" s="24">
        <v>0</v>
      </c>
      <c r="AN520" s="24">
        <v>0</v>
      </c>
      <c r="AO520" s="24">
        <v>0</v>
      </c>
      <c r="AP520" s="24">
        <v>0</v>
      </c>
      <c r="AQ520" s="24">
        <v>0</v>
      </c>
      <c r="AR520" s="24">
        <v>0</v>
      </c>
      <c r="AS520" s="24">
        <v>0</v>
      </c>
      <c r="AT520" s="24">
        <v>1</v>
      </c>
      <c r="AU520" s="24">
        <v>0</v>
      </c>
      <c r="AV520" s="24">
        <v>0</v>
      </c>
      <c r="AW520" s="24">
        <v>0</v>
      </c>
      <c r="AX520" s="24">
        <v>1</v>
      </c>
      <c r="AY520" s="24">
        <v>0</v>
      </c>
      <c r="AZ520" s="24">
        <v>0</v>
      </c>
      <c r="BA520" s="24">
        <v>1</v>
      </c>
      <c r="BB520" s="24">
        <v>0</v>
      </c>
    </row>
    <row r="521" spans="2:54" ht="13.8" x14ac:dyDescent="0.3">
      <c r="B521" s="24">
        <v>501</v>
      </c>
      <c r="C521" s="24">
        <v>24</v>
      </c>
      <c r="D521" s="24">
        <v>1</v>
      </c>
      <c r="E521" s="24">
        <v>0</v>
      </c>
      <c r="F521" s="24">
        <v>0</v>
      </c>
      <c r="G521" s="24">
        <v>0</v>
      </c>
      <c r="H521" s="24">
        <v>0</v>
      </c>
      <c r="I521" s="24">
        <v>0</v>
      </c>
      <c r="J521" s="24">
        <v>3123</v>
      </c>
      <c r="K521" s="24">
        <v>4</v>
      </c>
      <c r="L521" s="24">
        <v>0</v>
      </c>
      <c r="M521" s="24">
        <v>0</v>
      </c>
      <c r="N521" s="24">
        <v>0</v>
      </c>
      <c r="O521" s="24">
        <v>0</v>
      </c>
      <c r="P521" s="24">
        <v>0</v>
      </c>
      <c r="Q521" s="24">
        <v>0</v>
      </c>
      <c r="R521" s="24">
        <v>0</v>
      </c>
      <c r="S521" s="24">
        <v>27</v>
      </c>
      <c r="T521" s="24">
        <v>0</v>
      </c>
      <c r="U521" s="24">
        <v>0</v>
      </c>
      <c r="V521" s="24">
        <v>1</v>
      </c>
      <c r="W521" s="24">
        <v>1</v>
      </c>
      <c r="X521" s="24">
        <v>1</v>
      </c>
      <c r="Y521" s="24">
        <v>0</v>
      </c>
      <c r="Z521" s="24">
        <v>0</v>
      </c>
      <c r="AA521" s="24">
        <v>0</v>
      </c>
      <c r="AB521" s="24">
        <v>1</v>
      </c>
      <c r="AC521" s="24">
        <v>0</v>
      </c>
      <c r="AD521" s="24">
        <v>0</v>
      </c>
      <c r="AE521" s="24">
        <v>0</v>
      </c>
      <c r="AF521" s="24">
        <v>0</v>
      </c>
      <c r="AG521" s="24">
        <v>0</v>
      </c>
      <c r="AH521" s="24">
        <v>1</v>
      </c>
      <c r="AI521" s="24">
        <v>0</v>
      </c>
      <c r="AJ521" s="24">
        <v>0</v>
      </c>
      <c r="AK521" s="24">
        <v>1</v>
      </c>
      <c r="AL521" s="24">
        <v>0</v>
      </c>
      <c r="AM521" s="24">
        <v>0</v>
      </c>
      <c r="AN521" s="24">
        <v>0</v>
      </c>
      <c r="AO521" s="24">
        <v>0</v>
      </c>
      <c r="AP521" s="24">
        <v>0</v>
      </c>
      <c r="AQ521" s="24">
        <v>1</v>
      </c>
      <c r="AR521" s="24">
        <v>0</v>
      </c>
      <c r="AS521" s="24">
        <v>0</v>
      </c>
      <c r="AT521" s="24">
        <v>0</v>
      </c>
      <c r="AU521" s="24">
        <v>1</v>
      </c>
      <c r="AV521" s="24">
        <v>0</v>
      </c>
      <c r="AW521" s="24">
        <v>0</v>
      </c>
      <c r="AX521" s="24">
        <v>0</v>
      </c>
      <c r="AY521" s="24">
        <v>0</v>
      </c>
      <c r="AZ521" s="24">
        <v>0</v>
      </c>
      <c r="BA521" s="24">
        <v>1</v>
      </c>
      <c r="BB521" s="24">
        <v>0</v>
      </c>
    </row>
    <row r="522" spans="2:54" ht="13.8" x14ac:dyDescent="0.3">
      <c r="B522" s="24">
        <v>502</v>
      </c>
      <c r="C522" s="24">
        <v>36</v>
      </c>
      <c r="D522" s="24">
        <v>0</v>
      </c>
      <c r="E522" s="24">
        <v>1</v>
      </c>
      <c r="F522" s="24">
        <v>0</v>
      </c>
      <c r="G522" s="24">
        <v>0</v>
      </c>
      <c r="H522" s="24">
        <v>0</v>
      </c>
      <c r="I522" s="24">
        <v>0</v>
      </c>
      <c r="J522" s="24">
        <v>5493</v>
      </c>
      <c r="K522" s="24">
        <v>2</v>
      </c>
      <c r="L522" s="24">
        <v>0</v>
      </c>
      <c r="M522" s="24">
        <v>1</v>
      </c>
      <c r="N522" s="24">
        <v>0</v>
      </c>
      <c r="O522" s="24">
        <v>0</v>
      </c>
      <c r="P522" s="24">
        <v>0</v>
      </c>
      <c r="Q522" s="24">
        <v>0</v>
      </c>
      <c r="R522" s="24">
        <v>1</v>
      </c>
      <c r="S522" s="24">
        <v>42</v>
      </c>
      <c r="T522" s="24">
        <v>0</v>
      </c>
      <c r="U522" s="24">
        <v>0</v>
      </c>
      <c r="V522" s="24">
        <v>0</v>
      </c>
      <c r="W522" s="24">
        <v>1</v>
      </c>
      <c r="X522" s="24">
        <v>2</v>
      </c>
      <c r="Y522" s="24">
        <v>0</v>
      </c>
      <c r="Z522" s="24">
        <v>0</v>
      </c>
      <c r="AA522" s="24">
        <v>1</v>
      </c>
      <c r="AB522" s="24">
        <v>1</v>
      </c>
      <c r="AC522" s="24">
        <v>0</v>
      </c>
      <c r="AD522" s="24">
        <v>0</v>
      </c>
      <c r="AE522" s="24">
        <v>0</v>
      </c>
      <c r="AF522" s="24">
        <v>0</v>
      </c>
      <c r="AG522" s="24">
        <v>0</v>
      </c>
      <c r="AH522" s="24">
        <v>1</v>
      </c>
      <c r="AI522" s="24">
        <v>0</v>
      </c>
      <c r="AJ522" s="24">
        <v>0</v>
      </c>
      <c r="AK522" s="24">
        <v>1</v>
      </c>
      <c r="AL522" s="24">
        <v>0</v>
      </c>
      <c r="AM522" s="24">
        <v>0</v>
      </c>
      <c r="AN522" s="24">
        <v>0</v>
      </c>
      <c r="AO522" s="24">
        <v>0</v>
      </c>
      <c r="AP522" s="24">
        <v>0</v>
      </c>
      <c r="AQ522" s="24">
        <v>0</v>
      </c>
      <c r="AR522" s="24">
        <v>0</v>
      </c>
      <c r="AS522" s="24">
        <v>0</v>
      </c>
      <c r="AT522" s="24">
        <v>1</v>
      </c>
      <c r="AU522" s="24">
        <v>0</v>
      </c>
      <c r="AV522" s="24">
        <v>0</v>
      </c>
      <c r="AW522" s="24">
        <v>0</v>
      </c>
      <c r="AX522" s="24">
        <v>1</v>
      </c>
      <c r="AY522" s="24">
        <v>0</v>
      </c>
      <c r="AZ522" s="24">
        <v>0</v>
      </c>
      <c r="BA522" s="24">
        <v>1</v>
      </c>
      <c r="BB522" s="24">
        <v>0</v>
      </c>
    </row>
    <row r="523" spans="2:54" ht="13.8" x14ac:dyDescent="0.3">
      <c r="B523" s="24">
        <v>503</v>
      </c>
      <c r="C523" s="24">
        <v>9</v>
      </c>
      <c r="D523" s="24">
        <v>0</v>
      </c>
      <c r="E523" s="24">
        <v>0</v>
      </c>
      <c r="F523" s="24">
        <v>0</v>
      </c>
      <c r="G523" s="24">
        <v>1</v>
      </c>
      <c r="H523" s="24">
        <v>0</v>
      </c>
      <c r="I523" s="24">
        <v>0</v>
      </c>
      <c r="J523" s="24">
        <v>1126</v>
      </c>
      <c r="K523" s="24">
        <v>2</v>
      </c>
      <c r="L523" s="24">
        <v>1</v>
      </c>
      <c r="M523" s="24">
        <v>0</v>
      </c>
      <c r="N523" s="24">
        <v>0</v>
      </c>
      <c r="O523" s="24">
        <v>0</v>
      </c>
      <c r="P523" s="24">
        <v>0</v>
      </c>
      <c r="Q523" s="24">
        <v>1</v>
      </c>
      <c r="R523" s="24">
        <v>0</v>
      </c>
      <c r="S523" s="24">
        <v>49</v>
      </c>
      <c r="T523" s="24">
        <v>0</v>
      </c>
      <c r="U523" s="24">
        <v>0</v>
      </c>
      <c r="V523" s="24">
        <v>1</v>
      </c>
      <c r="W523" s="24">
        <v>1</v>
      </c>
      <c r="X523" s="24">
        <v>1</v>
      </c>
      <c r="Y523" s="24">
        <v>0</v>
      </c>
      <c r="Z523" s="24">
        <v>0</v>
      </c>
      <c r="AA523" s="24">
        <v>1</v>
      </c>
      <c r="AB523" s="24">
        <v>0</v>
      </c>
      <c r="AC523" s="24">
        <v>0</v>
      </c>
      <c r="AD523" s="24">
        <v>1</v>
      </c>
      <c r="AE523" s="24">
        <v>0</v>
      </c>
      <c r="AF523" s="24">
        <v>0</v>
      </c>
      <c r="AG523" s="24">
        <v>0</v>
      </c>
      <c r="AH523" s="24">
        <v>1</v>
      </c>
      <c r="AI523" s="24">
        <v>0</v>
      </c>
      <c r="AJ523" s="24">
        <v>0</v>
      </c>
      <c r="AK523" s="24">
        <v>0</v>
      </c>
      <c r="AL523" s="24">
        <v>1</v>
      </c>
      <c r="AM523" s="24">
        <v>0</v>
      </c>
      <c r="AN523" s="24">
        <v>0</v>
      </c>
      <c r="AO523" s="24">
        <v>0</v>
      </c>
      <c r="AP523" s="24">
        <v>0</v>
      </c>
      <c r="AQ523" s="24">
        <v>0</v>
      </c>
      <c r="AR523" s="24">
        <v>0</v>
      </c>
      <c r="AS523" s="24">
        <v>0</v>
      </c>
      <c r="AT523" s="24">
        <v>1</v>
      </c>
      <c r="AU523" s="24">
        <v>0</v>
      </c>
      <c r="AV523" s="24">
        <v>0</v>
      </c>
      <c r="AW523" s="24">
        <v>0</v>
      </c>
      <c r="AX523" s="24">
        <v>1</v>
      </c>
      <c r="AY523" s="24">
        <v>0</v>
      </c>
      <c r="AZ523" s="24">
        <v>0</v>
      </c>
      <c r="BA523" s="24">
        <v>1</v>
      </c>
      <c r="BB523" s="24">
        <v>0</v>
      </c>
    </row>
    <row r="524" spans="2:54" ht="13.8" x14ac:dyDescent="0.3">
      <c r="B524" s="24">
        <v>504</v>
      </c>
      <c r="C524" s="24">
        <v>24</v>
      </c>
      <c r="D524" s="24">
        <v>0</v>
      </c>
      <c r="E524" s="24">
        <v>0</v>
      </c>
      <c r="F524" s="24">
        <v>0</v>
      </c>
      <c r="G524" s="24">
        <v>1</v>
      </c>
      <c r="H524" s="24">
        <v>0</v>
      </c>
      <c r="I524" s="24">
        <v>0</v>
      </c>
      <c r="J524" s="24">
        <v>1216</v>
      </c>
      <c r="K524" s="24">
        <v>4</v>
      </c>
      <c r="L524" s="24">
        <v>0</v>
      </c>
      <c r="M524" s="24">
        <v>1</v>
      </c>
      <c r="N524" s="24">
        <v>0</v>
      </c>
      <c r="O524" s="24">
        <v>0</v>
      </c>
      <c r="P524" s="24">
        <v>0</v>
      </c>
      <c r="Q524" s="24">
        <v>0</v>
      </c>
      <c r="R524" s="24">
        <v>1</v>
      </c>
      <c r="S524" s="24">
        <v>38</v>
      </c>
      <c r="T524" s="24">
        <v>1</v>
      </c>
      <c r="U524" s="24">
        <v>0</v>
      </c>
      <c r="V524" s="24">
        <v>1</v>
      </c>
      <c r="W524" s="24">
        <v>2</v>
      </c>
      <c r="X524" s="24">
        <v>2</v>
      </c>
      <c r="Y524" s="24">
        <v>0</v>
      </c>
      <c r="Z524" s="24">
        <v>0</v>
      </c>
      <c r="AA524" s="24">
        <v>0</v>
      </c>
      <c r="AB524" s="24">
        <v>0</v>
      </c>
      <c r="AC524" s="24">
        <v>1</v>
      </c>
      <c r="AD524" s="24">
        <v>0</v>
      </c>
      <c r="AE524" s="24">
        <v>0</v>
      </c>
      <c r="AF524" s="24">
        <v>0</v>
      </c>
      <c r="AG524" s="24">
        <v>0</v>
      </c>
      <c r="AH524" s="24">
        <v>0</v>
      </c>
      <c r="AI524" s="24">
        <v>0</v>
      </c>
      <c r="AJ524" s="24">
        <v>1</v>
      </c>
      <c r="AK524" s="24">
        <v>0</v>
      </c>
      <c r="AL524" s="24">
        <v>1</v>
      </c>
      <c r="AM524" s="24">
        <v>0</v>
      </c>
      <c r="AN524" s="24">
        <v>0</v>
      </c>
      <c r="AO524" s="24">
        <v>0</v>
      </c>
      <c r="AP524" s="24">
        <v>0</v>
      </c>
      <c r="AQ524" s="24">
        <v>1</v>
      </c>
      <c r="AR524" s="24">
        <v>0</v>
      </c>
      <c r="AS524" s="24">
        <v>0</v>
      </c>
      <c r="AT524" s="24">
        <v>0</v>
      </c>
      <c r="AU524" s="24">
        <v>0</v>
      </c>
      <c r="AV524" s="24">
        <v>0</v>
      </c>
      <c r="AW524" s="24">
        <v>0</v>
      </c>
      <c r="AX524" s="24">
        <v>1</v>
      </c>
      <c r="AY524" s="24">
        <v>0</v>
      </c>
      <c r="AZ524" s="24">
        <v>0</v>
      </c>
      <c r="BA524" s="24">
        <v>1</v>
      </c>
      <c r="BB524" s="24">
        <v>0</v>
      </c>
    </row>
    <row r="525" spans="2:54" ht="13.8" x14ac:dyDescent="0.3">
      <c r="B525" s="24">
        <v>505</v>
      </c>
      <c r="C525" s="24">
        <v>24</v>
      </c>
      <c r="D525" s="24">
        <v>1</v>
      </c>
      <c r="E525" s="24">
        <v>0</v>
      </c>
      <c r="F525" s="24">
        <v>0</v>
      </c>
      <c r="G525" s="24">
        <v>0</v>
      </c>
      <c r="H525" s="24">
        <v>0</v>
      </c>
      <c r="I525" s="24">
        <v>0</v>
      </c>
      <c r="J525" s="24">
        <v>1207</v>
      </c>
      <c r="K525" s="24">
        <v>4</v>
      </c>
      <c r="L525" s="24">
        <v>0</v>
      </c>
      <c r="M525" s="24">
        <v>0</v>
      </c>
      <c r="N525" s="24">
        <v>0</v>
      </c>
      <c r="O525" s="24">
        <v>0</v>
      </c>
      <c r="P525" s="24">
        <v>0</v>
      </c>
      <c r="Q525" s="24">
        <v>0</v>
      </c>
      <c r="R525" s="24">
        <v>0</v>
      </c>
      <c r="S525" s="24">
        <v>24</v>
      </c>
      <c r="T525" s="24">
        <v>0</v>
      </c>
      <c r="U525" s="24">
        <v>1</v>
      </c>
      <c r="V525" s="24">
        <v>0</v>
      </c>
      <c r="W525" s="24">
        <v>1</v>
      </c>
      <c r="X525" s="24">
        <v>1</v>
      </c>
      <c r="Y525" s="24">
        <v>0</v>
      </c>
      <c r="Z525" s="24">
        <v>0</v>
      </c>
      <c r="AA525" s="24">
        <v>0</v>
      </c>
      <c r="AB525" s="24">
        <v>1</v>
      </c>
      <c r="AC525" s="24">
        <v>0</v>
      </c>
      <c r="AD525" s="24">
        <v>0</v>
      </c>
      <c r="AE525" s="24">
        <v>0</v>
      </c>
      <c r="AF525" s="24">
        <v>0</v>
      </c>
      <c r="AG525" s="24">
        <v>0</v>
      </c>
      <c r="AH525" s="24">
        <v>1</v>
      </c>
      <c r="AI525" s="24">
        <v>0</v>
      </c>
      <c r="AJ525" s="24">
        <v>0</v>
      </c>
      <c r="AK525" s="24">
        <v>1</v>
      </c>
      <c r="AL525" s="24">
        <v>0</v>
      </c>
      <c r="AM525" s="24">
        <v>0</v>
      </c>
      <c r="AN525" s="24">
        <v>0</v>
      </c>
      <c r="AO525" s="24">
        <v>0</v>
      </c>
      <c r="AP525" s="24">
        <v>0</v>
      </c>
      <c r="AQ525" s="24">
        <v>1</v>
      </c>
      <c r="AR525" s="24">
        <v>0</v>
      </c>
      <c r="AS525" s="24">
        <v>0</v>
      </c>
      <c r="AT525" s="24">
        <v>0</v>
      </c>
      <c r="AU525" s="24">
        <v>0</v>
      </c>
      <c r="AV525" s="24">
        <v>0</v>
      </c>
      <c r="AW525" s="24">
        <v>0</v>
      </c>
      <c r="AX525" s="24">
        <v>1</v>
      </c>
      <c r="AY525" s="24">
        <v>0</v>
      </c>
      <c r="AZ525" s="24">
        <v>0</v>
      </c>
      <c r="BA525" s="24">
        <v>1</v>
      </c>
      <c r="BB525" s="24">
        <v>0</v>
      </c>
    </row>
    <row r="526" spans="2:54" ht="13.8" x14ac:dyDescent="0.3">
      <c r="B526" s="24">
        <v>506</v>
      </c>
      <c r="C526" s="24">
        <v>10</v>
      </c>
      <c r="D526" s="24">
        <v>1</v>
      </c>
      <c r="E526" s="24">
        <v>0</v>
      </c>
      <c r="F526" s="24">
        <v>0</v>
      </c>
      <c r="G526" s="24">
        <v>0</v>
      </c>
      <c r="H526" s="24">
        <v>0</v>
      </c>
      <c r="I526" s="24">
        <v>0</v>
      </c>
      <c r="J526" s="24">
        <v>1309</v>
      </c>
      <c r="K526" s="24">
        <v>4</v>
      </c>
      <c r="L526" s="24">
        <v>0</v>
      </c>
      <c r="M526" s="24">
        <v>1</v>
      </c>
      <c r="N526" s="24">
        <v>0</v>
      </c>
      <c r="O526" s="24">
        <v>0</v>
      </c>
      <c r="P526" s="24">
        <v>1</v>
      </c>
      <c r="Q526" s="24">
        <v>0</v>
      </c>
      <c r="R526" s="24">
        <v>0</v>
      </c>
      <c r="S526" s="24">
        <v>27</v>
      </c>
      <c r="T526" s="24">
        <v>0</v>
      </c>
      <c r="U526" s="24">
        <v>0</v>
      </c>
      <c r="V526" s="24">
        <v>1</v>
      </c>
      <c r="W526" s="24">
        <v>1</v>
      </c>
      <c r="X526" s="24">
        <v>1</v>
      </c>
      <c r="Y526" s="24">
        <v>0</v>
      </c>
      <c r="Z526" s="24">
        <v>0</v>
      </c>
      <c r="AA526" s="24">
        <v>0</v>
      </c>
      <c r="AB526" s="24">
        <v>0</v>
      </c>
      <c r="AC526" s="24">
        <v>0</v>
      </c>
      <c r="AD526" s="24">
        <v>0</v>
      </c>
      <c r="AE526" s="24">
        <v>1</v>
      </c>
      <c r="AF526" s="24">
        <v>0</v>
      </c>
      <c r="AG526" s="24">
        <v>0</v>
      </c>
      <c r="AH526" s="24">
        <v>1</v>
      </c>
      <c r="AI526" s="24">
        <v>0</v>
      </c>
      <c r="AJ526" s="24">
        <v>0</v>
      </c>
      <c r="AK526" s="24">
        <v>0</v>
      </c>
      <c r="AL526" s="24">
        <v>0</v>
      </c>
      <c r="AM526" s="24">
        <v>0</v>
      </c>
      <c r="AN526" s="24">
        <v>0</v>
      </c>
      <c r="AO526" s="24">
        <v>1</v>
      </c>
      <c r="AP526" s="24">
        <v>0</v>
      </c>
      <c r="AQ526" s="24">
        <v>0</v>
      </c>
      <c r="AR526" s="24">
        <v>1</v>
      </c>
      <c r="AS526" s="24">
        <v>0</v>
      </c>
      <c r="AT526" s="24">
        <v>0</v>
      </c>
      <c r="AU526" s="24">
        <v>0</v>
      </c>
      <c r="AV526" s="24">
        <v>0</v>
      </c>
      <c r="AW526" s="24">
        <v>0</v>
      </c>
      <c r="AX526" s="24">
        <v>1</v>
      </c>
      <c r="AY526" s="24">
        <v>0</v>
      </c>
      <c r="AZ526" s="24">
        <v>1</v>
      </c>
      <c r="BA526" s="24">
        <v>0</v>
      </c>
      <c r="BB526" s="24">
        <v>0</v>
      </c>
    </row>
    <row r="527" spans="2:54" ht="13.8" x14ac:dyDescent="0.3">
      <c r="B527" s="24">
        <v>507</v>
      </c>
      <c r="C527" s="24">
        <v>15</v>
      </c>
      <c r="D527" s="24">
        <v>0</v>
      </c>
      <c r="E527" s="24">
        <v>1</v>
      </c>
      <c r="F527" s="24">
        <v>0</v>
      </c>
      <c r="G527" s="24">
        <v>0</v>
      </c>
      <c r="H527" s="24">
        <v>0</v>
      </c>
      <c r="I527" s="24">
        <v>0</v>
      </c>
      <c r="J527" s="24">
        <v>2360</v>
      </c>
      <c r="K527" s="24">
        <v>2</v>
      </c>
      <c r="L527" s="24">
        <v>0</v>
      </c>
      <c r="M527" s="24">
        <v>1</v>
      </c>
      <c r="N527" s="24">
        <v>0</v>
      </c>
      <c r="O527" s="24">
        <v>0</v>
      </c>
      <c r="P527" s="24">
        <v>0</v>
      </c>
      <c r="Q527" s="24">
        <v>0</v>
      </c>
      <c r="R527" s="24">
        <v>0</v>
      </c>
      <c r="S527" s="24">
        <v>36</v>
      </c>
      <c r="T527" s="24">
        <v>0</v>
      </c>
      <c r="U527" s="24">
        <v>0</v>
      </c>
      <c r="V527" s="24">
        <v>1</v>
      </c>
      <c r="W527" s="24">
        <v>1</v>
      </c>
      <c r="X527" s="24">
        <v>1</v>
      </c>
      <c r="Y527" s="24">
        <v>1</v>
      </c>
      <c r="Z527" s="24">
        <v>0</v>
      </c>
      <c r="AA527" s="24">
        <v>1</v>
      </c>
      <c r="AB527" s="24">
        <v>0</v>
      </c>
      <c r="AC527" s="24">
        <v>0</v>
      </c>
      <c r="AD527" s="24">
        <v>1</v>
      </c>
      <c r="AE527" s="24">
        <v>0</v>
      </c>
      <c r="AF527" s="24">
        <v>0</v>
      </c>
      <c r="AG527" s="24">
        <v>0</v>
      </c>
      <c r="AH527" s="24">
        <v>0</v>
      </c>
      <c r="AI527" s="24">
        <v>0</v>
      </c>
      <c r="AJ527" s="24">
        <v>1</v>
      </c>
      <c r="AK527" s="24">
        <v>0</v>
      </c>
      <c r="AL527" s="24">
        <v>0</v>
      </c>
      <c r="AM527" s="24">
        <v>1</v>
      </c>
      <c r="AN527" s="24">
        <v>0</v>
      </c>
      <c r="AO527" s="24">
        <v>0</v>
      </c>
      <c r="AP527" s="24">
        <v>0</v>
      </c>
      <c r="AQ527" s="24">
        <v>0</v>
      </c>
      <c r="AR527" s="24">
        <v>1</v>
      </c>
      <c r="AS527" s="24">
        <v>0</v>
      </c>
      <c r="AT527" s="24">
        <v>0</v>
      </c>
      <c r="AU527" s="24">
        <v>0</v>
      </c>
      <c r="AV527" s="24">
        <v>1</v>
      </c>
      <c r="AW527" s="24">
        <v>0</v>
      </c>
      <c r="AX527" s="24">
        <v>0</v>
      </c>
      <c r="AY527" s="24">
        <v>0</v>
      </c>
      <c r="AZ527" s="24">
        <v>0</v>
      </c>
      <c r="BA527" s="24">
        <v>1</v>
      </c>
      <c r="BB527" s="24">
        <v>0</v>
      </c>
    </row>
    <row r="528" spans="2:54" ht="13.8" x14ac:dyDescent="0.3">
      <c r="B528" s="24">
        <v>508</v>
      </c>
      <c r="C528" s="24">
        <v>15</v>
      </c>
      <c r="D528" s="24">
        <v>1</v>
      </c>
      <c r="E528" s="24">
        <v>0</v>
      </c>
      <c r="F528" s="24">
        <v>0</v>
      </c>
      <c r="G528" s="24">
        <v>0</v>
      </c>
      <c r="H528" s="24">
        <v>0</v>
      </c>
      <c r="I528" s="24">
        <v>0</v>
      </c>
      <c r="J528" s="24">
        <v>6850</v>
      </c>
      <c r="K528" s="24">
        <v>1</v>
      </c>
      <c r="L528" s="24">
        <v>0</v>
      </c>
      <c r="M528" s="24">
        <v>1</v>
      </c>
      <c r="N528" s="24">
        <v>0</v>
      </c>
      <c r="O528" s="24">
        <v>0</v>
      </c>
      <c r="P528" s="24">
        <v>0</v>
      </c>
      <c r="Q528" s="24">
        <v>0</v>
      </c>
      <c r="R528" s="24">
        <v>0</v>
      </c>
      <c r="S528" s="24">
        <v>34</v>
      </c>
      <c r="T528" s="24">
        <v>0</v>
      </c>
      <c r="U528" s="24">
        <v>0</v>
      </c>
      <c r="V528" s="24">
        <v>1</v>
      </c>
      <c r="W528" s="24">
        <v>1</v>
      </c>
      <c r="X528" s="24">
        <v>2</v>
      </c>
      <c r="Y528" s="24">
        <v>1</v>
      </c>
      <c r="Z528" s="24">
        <v>0</v>
      </c>
      <c r="AA528" s="24">
        <v>0</v>
      </c>
      <c r="AB528" s="24">
        <v>0</v>
      </c>
      <c r="AC528" s="24">
        <v>1</v>
      </c>
      <c r="AD528" s="24">
        <v>0</v>
      </c>
      <c r="AE528" s="24">
        <v>0</v>
      </c>
      <c r="AF528" s="24">
        <v>0</v>
      </c>
      <c r="AG528" s="24">
        <v>1</v>
      </c>
      <c r="AH528" s="24">
        <v>0</v>
      </c>
      <c r="AI528" s="24">
        <v>0</v>
      </c>
      <c r="AJ528" s="24">
        <v>0</v>
      </c>
      <c r="AK528" s="24">
        <v>0</v>
      </c>
      <c r="AL528" s="24">
        <v>1</v>
      </c>
      <c r="AM528" s="24">
        <v>0</v>
      </c>
      <c r="AN528" s="24">
        <v>0</v>
      </c>
      <c r="AO528" s="24">
        <v>0</v>
      </c>
      <c r="AP528" s="24">
        <v>1</v>
      </c>
      <c r="AQ528" s="24">
        <v>0</v>
      </c>
      <c r="AR528" s="24">
        <v>0</v>
      </c>
      <c r="AS528" s="24">
        <v>0</v>
      </c>
      <c r="AT528" s="24">
        <v>0</v>
      </c>
      <c r="AU528" s="24">
        <v>0</v>
      </c>
      <c r="AV528" s="24">
        <v>1</v>
      </c>
      <c r="AW528" s="24">
        <v>0</v>
      </c>
      <c r="AX528" s="24">
        <v>0</v>
      </c>
      <c r="AY528" s="24">
        <v>0</v>
      </c>
      <c r="AZ528" s="24">
        <v>0</v>
      </c>
      <c r="BA528" s="24">
        <v>0</v>
      </c>
      <c r="BB528" s="24">
        <v>1</v>
      </c>
    </row>
    <row r="529" spans="2:54" ht="13.8" x14ac:dyDescent="0.3">
      <c r="B529" s="24">
        <v>509</v>
      </c>
      <c r="C529" s="24">
        <v>24</v>
      </c>
      <c r="D529" s="24">
        <v>0</v>
      </c>
      <c r="E529" s="24">
        <v>0</v>
      </c>
      <c r="F529" s="24">
        <v>0</v>
      </c>
      <c r="G529" s="24">
        <v>1</v>
      </c>
      <c r="H529" s="24">
        <v>0</v>
      </c>
      <c r="I529" s="24">
        <v>0</v>
      </c>
      <c r="J529" s="24">
        <v>1413</v>
      </c>
      <c r="K529" s="24">
        <v>4</v>
      </c>
      <c r="L529" s="24">
        <v>0</v>
      </c>
      <c r="M529" s="24">
        <v>0</v>
      </c>
      <c r="N529" s="24">
        <v>1</v>
      </c>
      <c r="O529" s="24">
        <v>0</v>
      </c>
      <c r="P529" s="24">
        <v>0</v>
      </c>
      <c r="Q529" s="24">
        <v>0</v>
      </c>
      <c r="R529" s="24">
        <v>0</v>
      </c>
      <c r="S529" s="24">
        <v>28</v>
      </c>
      <c r="T529" s="24">
        <v>0</v>
      </c>
      <c r="U529" s="24">
        <v>0</v>
      </c>
      <c r="V529" s="24">
        <v>1</v>
      </c>
      <c r="W529" s="24">
        <v>1</v>
      </c>
      <c r="X529" s="24">
        <v>1</v>
      </c>
      <c r="Y529" s="24">
        <v>0</v>
      </c>
      <c r="Z529" s="24">
        <v>0</v>
      </c>
      <c r="AA529" s="24">
        <v>1</v>
      </c>
      <c r="AB529" s="24">
        <v>0</v>
      </c>
      <c r="AC529" s="24">
        <v>0</v>
      </c>
      <c r="AD529" s="24">
        <v>0</v>
      </c>
      <c r="AE529" s="24">
        <v>1</v>
      </c>
      <c r="AF529" s="24">
        <v>0</v>
      </c>
      <c r="AG529" s="24">
        <v>0</v>
      </c>
      <c r="AH529" s="24">
        <v>1</v>
      </c>
      <c r="AI529" s="24">
        <v>0</v>
      </c>
      <c r="AJ529" s="24">
        <v>0</v>
      </c>
      <c r="AK529" s="24">
        <v>1</v>
      </c>
      <c r="AL529" s="24">
        <v>0</v>
      </c>
      <c r="AM529" s="24">
        <v>0</v>
      </c>
      <c r="AN529" s="24">
        <v>0</v>
      </c>
      <c r="AO529" s="24">
        <v>0</v>
      </c>
      <c r="AP529" s="24">
        <v>0</v>
      </c>
      <c r="AQ529" s="24">
        <v>0</v>
      </c>
      <c r="AR529" s="24">
        <v>1</v>
      </c>
      <c r="AS529" s="24">
        <v>0</v>
      </c>
      <c r="AT529" s="24">
        <v>0</v>
      </c>
      <c r="AU529" s="24">
        <v>0</v>
      </c>
      <c r="AV529" s="24">
        <v>1</v>
      </c>
      <c r="AW529" s="24">
        <v>0</v>
      </c>
      <c r="AX529" s="24">
        <v>0</v>
      </c>
      <c r="AY529" s="24">
        <v>0</v>
      </c>
      <c r="AZ529" s="24">
        <v>0</v>
      </c>
      <c r="BA529" s="24">
        <v>1</v>
      </c>
      <c r="BB529" s="24">
        <v>0</v>
      </c>
    </row>
    <row r="530" spans="2:54" ht="13.8" x14ac:dyDescent="0.3">
      <c r="B530" s="24">
        <v>510</v>
      </c>
      <c r="C530" s="24">
        <v>39</v>
      </c>
      <c r="D530" s="24">
        <v>0</v>
      </c>
      <c r="E530" s="24">
        <v>1</v>
      </c>
      <c r="F530" s="24">
        <v>0</v>
      </c>
      <c r="G530" s="24">
        <v>0</v>
      </c>
      <c r="H530" s="24">
        <v>0</v>
      </c>
      <c r="I530" s="24">
        <v>0</v>
      </c>
      <c r="J530" s="24">
        <v>8588</v>
      </c>
      <c r="K530" s="24">
        <v>4</v>
      </c>
      <c r="L530" s="24">
        <v>0</v>
      </c>
      <c r="M530" s="24">
        <v>1</v>
      </c>
      <c r="N530" s="24">
        <v>0</v>
      </c>
      <c r="O530" s="24">
        <v>0</v>
      </c>
      <c r="P530" s="24">
        <v>0</v>
      </c>
      <c r="Q530" s="24">
        <v>0</v>
      </c>
      <c r="R530" s="24">
        <v>0</v>
      </c>
      <c r="S530" s="24">
        <v>45</v>
      </c>
      <c r="T530" s="24">
        <v>0</v>
      </c>
      <c r="U530" s="24">
        <v>0</v>
      </c>
      <c r="V530" s="24">
        <v>1</v>
      </c>
      <c r="W530" s="24">
        <v>1</v>
      </c>
      <c r="X530" s="24">
        <v>1</v>
      </c>
      <c r="Y530" s="24">
        <v>1</v>
      </c>
      <c r="Z530" s="24">
        <v>0</v>
      </c>
      <c r="AA530" s="24">
        <v>1</v>
      </c>
      <c r="AB530" s="24">
        <v>0</v>
      </c>
      <c r="AC530" s="24">
        <v>0</v>
      </c>
      <c r="AD530" s="24">
        <v>0</v>
      </c>
      <c r="AE530" s="24">
        <v>1</v>
      </c>
      <c r="AF530" s="24">
        <v>0</v>
      </c>
      <c r="AG530" s="24">
        <v>0</v>
      </c>
      <c r="AH530" s="24">
        <v>1</v>
      </c>
      <c r="AI530" s="24">
        <v>0</v>
      </c>
      <c r="AJ530" s="24">
        <v>0</v>
      </c>
      <c r="AK530" s="24">
        <v>0</v>
      </c>
      <c r="AL530" s="24">
        <v>1</v>
      </c>
      <c r="AM530" s="24">
        <v>0</v>
      </c>
      <c r="AN530" s="24">
        <v>0</v>
      </c>
      <c r="AO530" s="24">
        <v>0</v>
      </c>
      <c r="AP530" s="24">
        <v>0</v>
      </c>
      <c r="AQ530" s="24">
        <v>0</v>
      </c>
      <c r="AR530" s="24">
        <v>0</v>
      </c>
      <c r="AS530" s="24">
        <v>0</v>
      </c>
      <c r="AT530" s="24">
        <v>1</v>
      </c>
      <c r="AU530" s="24">
        <v>0</v>
      </c>
      <c r="AV530" s="24">
        <v>1</v>
      </c>
      <c r="AW530" s="24">
        <v>0</v>
      </c>
      <c r="AX530" s="24">
        <v>0</v>
      </c>
      <c r="AY530" s="24">
        <v>0</v>
      </c>
      <c r="AZ530" s="24">
        <v>0</v>
      </c>
      <c r="BA530" s="24">
        <v>0</v>
      </c>
      <c r="BB530" s="24">
        <v>1</v>
      </c>
    </row>
    <row r="531" spans="2:54" ht="13.8" x14ac:dyDescent="0.3">
      <c r="B531" s="24">
        <v>511</v>
      </c>
      <c r="C531" s="24">
        <v>12</v>
      </c>
      <c r="D531" s="24">
        <v>1</v>
      </c>
      <c r="E531" s="24">
        <v>0</v>
      </c>
      <c r="F531" s="24">
        <v>0</v>
      </c>
      <c r="G531" s="24">
        <v>0</v>
      </c>
      <c r="H531" s="24">
        <v>0</v>
      </c>
      <c r="I531" s="24">
        <v>0</v>
      </c>
      <c r="J531" s="24">
        <v>759</v>
      </c>
      <c r="K531" s="24">
        <v>4</v>
      </c>
      <c r="L531" s="24">
        <v>0</v>
      </c>
      <c r="M531" s="24">
        <v>1</v>
      </c>
      <c r="N531" s="24">
        <v>0</v>
      </c>
      <c r="O531" s="24">
        <v>0</v>
      </c>
      <c r="P531" s="24">
        <v>0</v>
      </c>
      <c r="Q531" s="24">
        <v>1</v>
      </c>
      <c r="R531" s="24">
        <v>0</v>
      </c>
      <c r="S531" s="24">
        <v>26</v>
      </c>
      <c r="T531" s="24">
        <v>0</v>
      </c>
      <c r="U531" s="24">
        <v>0</v>
      </c>
      <c r="V531" s="24">
        <v>1</v>
      </c>
      <c r="W531" s="24">
        <v>1</v>
      </c>
      <c r="X531" s="24">
        <v>1</v>
      </c>
      <c r="Y531" s="24">
        <v>0</v>
      </c>
      <c r="Z531" s="24">
        <v>0</v>
      </c>
      <c r="AA531" s="24">
        <v>0</v>
      </c>
      <c r="AB531" s="24">
        <v>1</v>
      </c>
      <c r="AC531" s="24">
        <v>0</v>
      </c>
      <c r="AD531" s="24">
        <v>0</v>
      </c>
      <c r="AE531" s="24">
        <v>0</v>
      </c>
      <c r="AF531" s="24">
        <v>0</v>
      </c>
      <c r="AG531" s="24">
        <v>0</v>
      </c>
      <c r="AH531" s="24">
        <v>1</v>
      </c>
      <c r="AI531" s="24">
        <v>0</v>
      </c>
      <c r="AJ531" s="24">
        <v>0</v>
      </c>
      <c r="AK531" s="24">
        <v>1</v>
      </c>
      <c r="AL531" s="24">
        <v>0</v>
      </c>
      <c r="AM531" s="24">
        <v>0</v>
      </c>
      <c r="AN531" s="24">
        <v>0</v>
      </c>
      <c r="AO531" s="24">
        <v>0</v>
      </c>
      <c r="AP531" s="24">
        <v>0</v>
      </c>
      <c r="AQ531" s="24">
        <v>0</v>
      </c>
      <c r="AR531" s="24">
        <v>0</v>
      </c>
      <c r="AS531" s="24">
        <v>1</v>
      </c>
      <c r="AT531" s="24">
        <v>0</v>
      </c>
      <c r="AU531" s="24">
        <v>0</v>
      </c>
      <c r="AV531" s="24">
        <v>1</v>
      </c>
      <c r="AW531" s="24">
        <v>0</v>
      </c>
      <c r="AX531" s="24">
        <v>0</v>
      </c>
      <c r="AY531" s="24">
        <v>0</v>
      </c>
      <c r="AZ531" s="24">
        <v>0</v>
      </c>
      <c r="BA531" s="24">
        <v>1</v>
      </c>
      <c r="BB531" s="24">
        <v>0</v>
      </c>
    </row>
    <row r="532" spans="2:54" ht="13.8" x14ac:dyDescent="0.3">
      <c r="B532" s="24">
        <v>512</v>
      </c>
      <c r="C532" s="24">
        <v>36</v>
      </c>
      <c r="D532" s="24">
        <v>0</v>
      </c>
      <c r="E532" s="24">
        <v>1</v>
      </c>
      <c r="F532" s="24">
        <v>0</v>
      </c>
      <c r="G532" s="24">
        <v>0</v>
      </c>
      <c r="H532" s="24">
        <v>0</v>
      </c>
      <c r="I532" s="24">
        <v>0</v>
      </c>
      <c r="J532" s="24">
        <v>4686</v>
      </c>
      <c r="K532" s="24">
        <v>2</v>
      </c>
      <c r="L532" s="24">
        <v>0</v>
      </c>
      <c r="M532" s="24">
        <v>1</v>
      </c>
      <c r="N532" s="24">
        <v>0</v>
      </c>
      <c r="O532" s="24">
        <v>0</v>
      </c>
      <c r="P532" s="24">
        <v>0</v>
      </c>
      <c r="Q532" s="24">
        <v>0</v>
      </c>
      <c r="R532" s="24">
        <v>1</v>
      </c>
      <c r="S532" s="24">
        <v>32</v>
      </c>
      <c r="T532" s="24">
        <v>0</v>
      </c>
      <c r="U532" s="24">
        <v>0</v>
      </c>
      <c r="V532" s="24">
        <v>0</v>
      </c>
      <c r="W532" s="24">
        <v>1</v>
      </c>
      <c r="X532" s="24">
        <v>1</v>
      </c>
      <c r="Y532" s="24">
        <v>1</v>
      </c>
      <c r="Z532" s="24">
        <v>0</v>
      </c>
      <c r="AA532" s="24">
        <v>1</v>
      </c>
      <c r="AB532" s="24">
        <v>0</v>
      </c>
      <c r="AC532" s="24">
        <v>0</v>
      </c>
      <c r="AD532" s="24">
        <v>0</v>
      </c>
      <c r="AE532" s="24">
        <v>1</v>
      </c>
      <c r="AF532" s="24">
        <v>0</v>
      </c>
      <c r="AG532" s="24">
        <v>0</v>
      </c>
      <c r="AH532" s="24">
        <v>1</v>
      </c>
      <c r="AI532" s="24">
        <v>0</v>
      </c>
      <c r="AJ532" s="24">
        <v>0</v>
      </c>
      <c r="AK532" s="24">
        <v>1</v>
      </c>
      <c r="AL532" s="24">
        <v>0</v>
      </c>
      <c r="AM532" s="24">
        <v>0</v>
      </c>
      <c r="AN532" s="24">
        <v>0</v>
      </c>
      <c r="AO532" s="24">
        <v>0</v>
      </c>
      <c r="AP532" s="24">
        <v>0</v>
      </c>
      <c r="AQ532" s="24">
        <v>0</v>
      </c>
      <c r="AR532" s="24">
        <v>1</v>
      </c>
      <c r="AS532" s="24">
        <v>0</v>
      </c>
      <c r="AT532" s="24">
        <v>0</v>
      </c>
      <c r="AU532" s="24">
        <v>0</v>
      </c>
      <c r="AV532" s="24">
        <v>1</v>
      </c>
      <c r="AW532" s="24">
        <v>0</v>
      </c>
      <c r="AX532" s="24">
        <v>0</v>
      </c>
      <c r="AY532" s="24">
        <v>0</v>
      </c>
      <c r="AZ532" s="24">
        <v>0</v>
      </c>
      <c r="BA532" s="24">
        <v>0</v>
      </c>
      <c r="BB532" s="24">
        <v>1</v>
      </c>
    </row>
    <row r="533" spans="2:54" ht="13.8" x14ac:dyDescent="0.3">
      <c r="B533" s="24">
        <v>513</v>
      </c>
      <c r="C533" s="24">
        <v>15</v>
      </c>
      <c r="D533" s="24">
        <v>0</v>
      </c>
      <c r="E533" s="24">
        <v>0</v>
      </c>
      <c r="F533" s="24">
        <v>0</v>
      </c>
      <c r="G533" s="24">
        <v>0</v>
      </c>
      <c r="H533" s="24">
        <v>0</v>
      </c>
      <c r="I533" s="24">
        <v>1</v>
      </c>
      <c r="J533" s="24">
        <v>2687</v>
      </c>
      <c r="K533" s="24">
        <v>2</v>
      </c>
      <c r="L533" s="24">
        <v>0</v>
      </c>
      <c r="M533" s="24">
        <v>1</v>
      </c>
      <c r="N533" s="24">
        <v>0</v>
      </c>
      <c r="O533" s="24">
        <v>0</v>
      </c>
      <c r="P533" s="24">
        <v>0</v>
      </c>
      <c r="Q533" s="24">
        <v>0</v>
      </c>
      <c r="R533" s="24">
        <v>0</v>
      </c>
      <c r="S533" s="24">
        <v>26</v>
      </c>
      <c r="T533" s="24">
        <v>0</v>
      </c>
      <c r="U533" s="24">
        <v>1</v>
      </c>
      <c r="V533" s="24">
        <v>0</v>
      </c>
      <c r="W533" s="24">
        <v>1</v>
      </c>
      <c r="X533" s="24">
        <v>1</v>
      </c>
      <c r="Y533" s="24">
        <v>1</v>
      </c>
      <c r="Z533" s="24">
        <v>0</v>
      </c>
      <c r="AA533" s="24">
        <v>1</v>
      </c>
      <c r="AB533" s="24">
        <v>0</v>
      </c>
      <c r="AC533" s="24">
        <v>0</v>
      </c>
      <c r="AD533" s="24">
        <v>1</v>
      </c>
      <c r="AE533" s="24">
        <v>0</v>
      </c>
      <c r="AF533" s="24">
        <v>0</v>
      </c>
      <c r="AG533" s="24">
        <v>0</v>
      </c>
      <c r="AH533" s="24">
        <v>1</v>
      </c>
      <c r="AI533" s="24">
        <v>0</v>
      </c>
      <c r="AJ533" s="24">
        <v>0</v>
      </c>
      <c r="AK533" s="24">
        <v>1</v>
      </c>
      <c r="AL533" s="24">
        <v>0</v>
      </c>
      <c r="AM533" s="24">
        <v>0</v>
      </c>
      <c r="AN533" s="24">
        <v>0</v>
      </c>
      <c r="AO533" s="24">
        <v>0</v>
      </c>
      <c r="AP533" s="24">
        <v>0</v>
      </c>
      <c r="AQ533" s="24">
        <v>0</v>
      </c>
      <c r="AR533" s="24">
        <v>0</v>
      </c>
      <c r="AS533" s="24">
        <v>1</v>
      </c>
      <c r="AT533" s="24">
        <v>0</v>
      </c>
      <c r="AU533" s="24">
        <v>0</v>
      </c>
      <c r="AV533" s="24">
        <v>0</v>
      </c>
      <c r="AW533" s="24">
        <v>0</v>
      </c>
      <c r="AX533" s="24">
        <v>1</v>
      </c>
      <c r="AY533" s="24">
        <v>0</v>
      </c>
      <c r="AZ533" s="24">
        <v>0</v>
      </c>
      <c r="BA533" s="24">
        <v>1</v>
      </c>
      <c r="BB533" s="24">
        <v>0</v>
      </c>
    </row>
    <row r="534" spans="2:54" ht="13.8" x14ac:dyDescent="0.3">
      <c r="B534" s="24">
        <v>514</v>
      </c>
      <c r="C534" s="24">
        <v>12</v>
      </c>
      <c r="D534" s="24">
        <v>0</v>
      </c>
      <c r="E534" s="24">
        <v>0</v>
      </c>
      <c r="F534" s="24">
        <v>0</v>
      </c>
      <c r="G534" s="24">
        <v>1</v>
      </c>
      <c r="H534" s="24">
        <v>0</v>
      </c>
      <c r="I534" s="24">
        <v>0</v>
      </c>
      <c r="J534" s="24">
        <v>585</v>
      </c>
      <c r="K534" s="24">
        <v>4</v>
      </c>
      <c r="L534" s="24">
        <v>0</v>
      </c>
      <c r="M534" s="24">
        <v>0</v>
      </c>
      <c r="N534" s="24">
        <v>1</v>
      </c>
      <c r="O534" s="24">
        <v>1</v>
      </c>
      <c r="P534" s="24">
        <v>0</v>
      </c>
      <c r="Q534" s="24">
        <v>1</v>
      </c>
      <c r="R534" s="24">
        <v>0</v>
      </c>
      <c r="S534" s="24">
        <v>20</v>
      </c>
      <c r="T534" s="24">
        <v>0</v>
      </c>
      <c r="U534" s="24">
        <v>1</v>
      </c>
      <c r="V534" s="24">
        <v>0</v>
      </c>
      <c r="W534" s="24">
        <v>2</v>
      </c>
      <c r="X534" s="24">
        <v>1</v>
      </c>
      <c r="Y534" s="24">
        <v>0</v>
      </c>
      <c r="Z534" s="24">
        <v>0</v>
      </c>
      <c r="AA534" s="24">
        <v>1</v>
      </c>
      <c r="AB534" s="24">
        <v>0</v>
      </c>
      <c r="AC534" s="24">
        <v>1</v>
      </c>
      <c r="AD534" s="24">
        <v>0</v>
      </c>
      <c r="AE534" s="24">
        <v>0</v>
      </c>
      <c r="AF534" s="24">
        <v>0</v>
      </c>
      <c r="AG534" s="24">
        <v>0</v>
      </c>
      <c r="AH534" s="24">
        <v>0</v>
      </c>
      <c r="AI534" s="24">
        <v>1</v>
      </c>
      <c r="AJ534" s="24">
        <v>0</v>
      </c>
      <c r="AK534" s="24">
        <v>1</v>
      </c>
      <c r="AL534" s="24">
        <v>0</v>
      </c>
      <c r="AM534" s="24">
        <v>0</v>
      </c>
      <c r="AN534" s="24">
        <v>0</v>
      </c>
      <c r="AO534" s="24">
        <v>0</v>
      </c>
      <c r="AP534" s="24">
        <v>0</v>
      </c>
      <c r="AQ534" s="24">
        <v>0</v>
      </c>
      <c r="AR534" s="24">
        <v>1</v>
      </c>
      <c r="AS534" s="24">
        <v>0</v>
      </c>
      <c r="AT534" s="24">
        <v>0</v>
      </c>
      <c r="AU534" s="24">
        <v>0</v>
      </c>
      <c r="AV534" s="24">
        <v>0</v>
      </c>
      <c r="AW534" s="24">
        <v>0</v>
      </c>
      <c r="AX534" s="24">
        <v>1</v>
      </c>
      <c r="AY534" s="24">
        <v>0</v>
      </c>
      <c r="AZ534" s="24">
        <v>0</v>
      </c>
      <c r="BA534" s="24">
        <v>1</v>
      </c>
      <c r="BB534" s="24">
        <v>0</v>
      </c>
    </row>
    <row r="535" spans="2:54" ht="13.8" x14ac:dyDescent="0.3">
      <c r="B535" s="24">
        <v>515</v>
      </c>
      <c r="C535" s="24">
        <v>24</v>
      </c>
      <c r="D535" s="24">
        <v>1</v>
      </c>
      <c r="E535" s="24">
        <v>0</v>
      </c>
      <c r="F535" s="24">
        <v>0</v>
      </c>
      <c r="G535" s="24">
        <v>0</v>
      </c>
      <c r="H535" s="24">
        <v>0</v>
      </c>
      <c r="I535" s="24">
        <v>0</v>
      </c>
      <c r="J535" s="24">
        <v>2255</v>
      </c>
      <c r="K535" s="24">
        <v>4</v>
      </c>
      <c r="L535" s="24">
        <v>0</v>
      </c>
      <c r="M535" s="24">
        <v>1</v>
      </c>
      <c r="N535" s="24">
        <v>0</v>
      </c>
      <c r="O535" s="24">
        <v>0</v>
      </c>
      <c r="P535" s="24">
        <v>0</v>
      </c>
      <c r="Q535" s="24">
        <v>0</v>
      </c>
      <c r="R535" s="24">
        <v>0</v>
      </c>
      <c r="S535" s="24">
        <v>54</v>
      </c>
      <c r="T535" s="24">
        <v>0</v>
      </c>
      <c r="U535" s="24">
        <v>0</v>
      </c>
      <c r="V535" s="24">
        <v>1</v>
      </c>
      <c r="W535" s="24">
        <v>1</v>
      </c>
      <c r="X535" s="24">
        <v>1</v>
      </c>
      <c r="Y535" s="24">
        <v>0</v>
      </c>
      <c r="Z535" s="24">
        <v>0</v>
      </c>
      <c r="AA535" s="24">
        <v>1</v>
      </c>
      <c r="AB535" s="24">
        <v>0</v>
      </c>
      <c r="AC535" s="24">
        <v>0</v>
      </c>
      <c r="AD535" s="24">
        <v>0</v>
      </c>
      <c r="AE535" s="24">
        <v>1</v>
      </c>
      <c r="AF535" s="24">
        <v>0</v>
      </c>
      <c r="AG535" s="24">
        <v>0</v>
      </c>
      <c r="AH535" s="24">
        <v>1</v>
      </c>
      <c r="AI535" s="24">
        <v>0</v>
      </c>
      <c r="AJ535" s="24">
        <v>0</v>
      </c>
      <c r="AK535" s="24">
        <v>0</v>
      </c>
      <c r="AL535" s="24">
        <v>0</v>
      </c>
      <c r="AM535" s="24">
        <v>0</v>
      </c>
      <c r="AN535" s="24">
        <v>0</v>
      </c>
      <c r="AO535" s="24">
        <v>1</v>
      </c>
      <c r="AP535" s="24">
        <v>0</v>
      </c>
      <c r="AQ535" s="24">
        <v>1</v>
      </c>
      <c r="AR535" s="24">
        <v>0</v>
      </c>
      <c r="AS535" s="24">
        <v>0</v>
      </c>
      <c r="AT535" s="24">
        <v>0</v>
      </c>
      <c r="AU535" s="24">
        <v>1</v>
      </c>
      <c r="AV535" s="24">
        <v>0</v>
      </c>
      <c r="AW535" s="24">
        <v>0</v>
      </c>
      <c r="AX535" s="24">
        <v>0</v>
      </c>
      <c r="AY535" s="24">
        <v>0</v>
      </c>
      <c r="AZ535" s="24">
        <v>0</v>
      </c>
      <c r="BA535" s="24">
        <v>1</v>
      </c>
      <c r="BB535" s="24">
        <v>0</v>
      </c>
    </row>
    <row r="536" spans="2:54" ht="13.8" x14ac:dyDescent="0.3">
      <c r="B536" s="24">
        <v>516</v>
      </c>
      <c r="C536" s="24">
        <v>6</v>
      </c>
      <c r="D536" s="24">
        <v>1</v>
      </c>
      <c r="E536" s="24">
        <v>0</v>
      </c>
      <c r="F536" s="24">
        <v>0</v>
      </c>
      <c r="G536" s="24">
        <v>0</v>
      </c>
      <c r="H536" s="24">
        <v>0</v>
      </c>
      <c r="I536" s="24">
        <v>0</v>
      </c>
      <c r="J536" s="24">
        <v>609</v>
      </c>
      <c r="K536" s="24">
        <v>4</v>
      </c>
      <c r="L536" s="24">
        <v>0</v>
      </c>
      <c r="M536" s="24">
        <v>0</v>
      </c>
      <c r="N536" s="24">
        <v>0</v>
      </c>
      <c r="O536" s="24">
        <v>0</v>
      </c>
      <c r="P536" s="24">
        <v>0</v>
      </c>
      <c r="Q536" s="24">
        <v>0</v>
      </c>
      <c r="R536" s="24">
        <v>0</v>
      </c>
      <c r="S536" s="24">
        <v>37</v>
      </c>
      <c r="T536" s="24">
        <v>0</v>
      </c>
      <c r="U536" s="24">
        <v>0</v>
      </c>
      <c r="V536" s="24">
        <v>1</v>
      </c>
      <c r="W536" s="24">
        <v>2</v>
      </c>
      <c r="X536" s="24">
        <v>1</v>
      </c>
      <c r="Y536" s="24">
        <v>0</v>
      </c>
      <c r="Z536" s="24">
        <v>1</v>
      </c>
      <c r="AA536" s="24">
        <v>1</v>
      </c>
      <c r="AB536" s="24">
        <v>1</v>
      </c>
      <c r="AC536" s="24">
        <v>0</v>
      </c>
      <c r="AD536" s="24">
        <v>0</v>
      </c>
      <c r="AE536" s="24">
        <v>0</v>
      </c>
      <c r="AF536" s="24">
        <v>0</v>
      </c>
      <c r="AG536" s="24">
        <v>0</v>
      </c>
      <c r="AH536" s="24">
        <v>0</v>
      </c>
      <c r="AI536" s="24">
        <v>0</v>
      </c>
      <c r="AJ536" s="24">
        <v>1</v>
      </c>
      <c r="AK536" s="24">
        <v>1</v>
      </c>
      <c r="AL536" s="24">
        <v>0</v>
      </c>
      <c r="AM536" s="24">
        <v>0</v>
      </c>
      <c r="AN536" s="24">
        <v>0</v>
      </c>
      <c r="AO536" s="24">
        <v>0</v>
      </c>
      <c r="AP536" s="24">
        <v>0</v>
      </c>
      <c r="AQ536" s="24">
        <v>0</v>
      </c>
      <c r="AR536" s="24">
        <v>0</v>
      </c>
      <c r="AS536" s="24">
        <v>1</v>
      </c>
      <c r="AT536" s="24">
        <v>0</v>
      </c>
      <c r="AU536" s="24">
        <v>0</v>
      </c>
      <c r="AV536" s="24">
        <v>0</v>
      </c>
      <c r="AW536" s="24">
        <v>1</v>
      </c>
      <c r="AX536" s="24">
        <v>0</v>
      </c>
      <c r="AY536" s="24">
        <v>0</v>
      </c>
      <c r="AZ536" s="24">
        <v>0</v>
      </c>
      <c r="BA536" s="24">
        <v>1</v>
      </c>
      <c r="BB536" s="24">
        <v>0</v>
      </c>
    </row>
    <row r="537" spans="2:54" ht="13.8" x14ac:dyDescent="0.3">
      <c r="B537" s="24">
        <v>517</v>
      </c>
      <c r="C537" s="24">
        <v>6</v>
      </c>
      <c r="D537" s="24">
        <v>1</v>
      </c>
      <c r="E537" s="24">
        <v>0</v>
      </c>
      <c r="F537" s="24">
        <v>0</v>
      </c>
      <c r="G537" s="24">
        <v>0</v>
      </c>
      <c r="H537" s="24">
        <v>0</v>
      </c>
      <c r="I537" s="24">
        <v>0</v>
      </c>
      <c r="J537" s="24">
        <v>1361</v>
      </c>
      <c r="K537" s="24">
        <v>2</v>
      </c>
      <c r="L537" s="24">
        <v>0</v>
      </c>
      <c r="M537" s="24">
        <v>1</v>
      </c>
      <c r="N537" s="24">
        <v>0</v>
      </c>
      <c r="O537" s="24">
        <v>0</v>
      </c>
      <c r="P537" s="24">
        <v>0</v>
      </c>
      <c r="Q537" s="24">
        <v>1</v>
      </c>
      <c r="R537" s="24">
        <v>0</v>
      </c>
      <c r="S537" s="24">
        <v>40</v>
      </c>
      <c r="T537" s="24">
        <v>0</v>
      </c>
      <c r="U537" s="24">
        <v>0</v>
      </c>
      <c r="V537" s="24">
        <v>1</v>
      </c>
      <c r="W537" s="24">
        <v>1</v>
      </c>
      <c r="X537" s="24">
        <v>2</v>
      </c>
      <c r="Y537" s="24">
        <v>0</v>
      </c>
      <c r="Z537" s="24">
        <v>1</v>
      </c>
      <c r="AA537" s="24">
        <v>1</v>
      </c>
      <c r="AB537" s="24">
        <v>1</v>
      </c>
      <c r="AC537" s="24">
        <v>0</v>
      </c>
      <c r="AD537" s="24">
        <v>0</v>
      </c>
      <c r="AE537" s="24">
        <v>0</v>
      </c>
      <c r="AF537" s="24">
        <v>0</v>
      </c>
      <c r="AG537" s="24">
        <v>0</v>
      </c>
      <c r="AH537" s="24">
        <v>0</v>
      </c>
      <c r="AI537" s="24">
        <v>0</v>
      </c>
      <c r="AJ537" s="24">
        <v>1</v>
      </c>
      <c r="AK537" s="24">
        <v>1</v>
      </c>
      <c r="AL537" s="24">
        <v>0</v>
      </c>
      <c r="AM537" s="24">
        <v>0</v>
      </c>
      <c r="AN537" s="24">
        <v>0</v>
      </c>
      <c r="AO537" s="24">
        <v>0</v>
      </c>
      <c r="AP537" s="24">
        <v>0</v>
      </c>
      <c r="AQ537" s="24">
        <v>1</v>
      </c>
      <c r="AR537" s="24">
        <v>0</v>
      </c>
      <c r="AS537" s="24">
        <v>0</v>
      </c>
      <c r="AT537" s="24">
        <v>0</v>
      </c>
      <c r="AU537" s="24">
        <v>0</v>
      </c>
      <c r="AV537" s="24">
        <v>0</v>
      </c>
      <c r="AW537" s="24">
        <v>0</v>
      </c>
      <c r="AX537" s="24">
        <v>1</v>
      </c>
      <c r="AY537" s="24">
        <v>0</v>
      </c>
      <c r="AZ537" s="24">
        <v>1</v>
      </c>
      <c r="BA537" s="24">
        <v>0</v>
      </c>
      <c r="BB537" s="24">
        <v>0</v>
      </c>
    </row>
    <row r="538" spans="2:54" ht="13.8" x14ac:dyDescent="0.3">
      <c r="B538" s="24">
        <v>518</v>
      </c>
      <c r="C538" s="24">
        <v>36</v>
      </c>
      <c r="D538" s="24">
        <v>0</v>
      </c>
      <c r="E538" s="24">
        <v>0</v>
      </c>
      <c r="F538" s="24">
        <v>1</v>
      </c>
      <c r="G538" s="24">
        <v>0</v>
      </c>
      <c r="H538" s="24">
        <v>0</v>
      </c>
      <c r="I538" s="24">
        <v>0</v>
      </c>
      <c r="J538" s="24">
        <v>7127</v>
      </c>
      <c r="K538" s="24">
        <v>2</v>
      </c>
      <c r="L538" s="24">
        <v>0</v>
      </c>
      <c r="M538" s="24">
        <v>0</v>
      </c>
      <c r="N538" s="24">
        <v>0</v>
      </c>
      <c r="O538" s="24">
        <v>0</v>
      </c>
      <c r="P538" s="24">
        <v>0</v>
      </c>
      <c r="Q538" s="24">
        <v>0</v>
      </c>
      <c r="R538" s="24">
        <v>0</v>
      </c>
      <c r="S538" s="24">
        <v>23</v>
      </c>
      <c r="T538" s="24">
        <v>0</v>
      </c>
      <c r="U538" s="24">
        <v>1</v>
      </c>
      <c r="V538" s="24">
        <v>0</v>
      </c>
      <c r="W538" s="24">
        <v>2</v>
      </c>
      <c r="X538" s="24">
        <v>1</v>
      </c>
      <c r="Y538" s="24">
        <v>1</v>
      </c>
      <c r="Z538" s="24">
        <v>0</v>
      </c>
      <c r="AA538" s="24">
        <v>0</v>
      </c>
      <c r="AB538" s="24">
        <v>0</v>
      </c>
      <c r="AC538" s="24">
        <v>0</v>
      </c>
      <c r="AD538" s="24">
        <v>0</v>
      </c>
      <c r="AE538" s="24">
        <v>1</v>
      </c>
      <c r="AF538" s="24">
        <v>0</v>
      </c>
      <c r="AG538" s="24">
        <v>0</v>
      </c>
      <c r="AH538" s="24">
        <v>0</v>
      </c>
      <c r="AI538" s="24">
        <v>0</v>
      </c>
      <c r="AJ538" s="24">
        <v>1</v>
      </c>
      <c r="AK538" s="24">
        <v>1</v>
      </c>
      <c r="AL538" s="24">
        <v>0</v>
      </c>
      <c r="AM538" s="24">
        <v>0</v>
      </c>
      <c r="AN538" s="24">
        <v>0</v>
      </c>
      <c r="AO538" s="24">
        <v>0</v>
      </c>
      <c r="AP538" s="24">
        <v>0</v>
      </c>
      <c r="AQ538" s="24">
        <v>1</v>
      </c>
      <c r="AR538" s="24">
        <v>0</v>
      </c>
      <c r="AS538" s="24">
        <v>0</v>
      </c>
      <c r="AT538" s="24">
        <v>0</v>
      </c>
      <c r="AU538" s="24">
        <v>0</v>
      </c>
      <c r="AV538" s="24">
        <v>0</v>
      </c>
      <c r="AW538" s="24">
        <v>0</v>
      </c>
      <c r="AX538" s="24">
        <v>1</v>
      </c>
      <c r="AY538" s="24">
        <v>0</v>
      </c>
      <c r="AZ538" s="24">
        <v>0</v>
      </c>
      <c r="BA538" s="24">
        <v>1</v>
      </c>
      <c r="BB538" s="24">
        <v>0</v>
      </c>
    </row>
    <row r="539" spans="2:54" ht="13.8" x14ac:dyDescent="0.3">
      <c r="B539" s="24">
        <v>519</v>
      </c>
      <c r="C539" s="24">
        <v>6</v>
      </c>
      <c r="D539" s="24">
        <v>1</v>
      </c>
      <c r="E539" s="24">
        <v>0</v>
      </c>
      <c r="F539" s="24">
        <v>0</v>
      </c>
      <c r="G539" s="24">
        <v>0</v>
      </c>
      <c r="H539" s="24">
        <v>0</v>
      </c>
      <c r="I539" s="24">
        <v>0</v>
      </c>
      <c r="J539" s="24">
        <v>1203</v>
      </c>
      <c r="K539" s="24">
        <v>3</v>
      </c>
      <c r="L539" s="24">
        <v>0</v>
      </c>
      <c r="M539" s="24">
        <v>1</v>
      </c>
      <c r="N539" s="24">
        <v>0</v>
      </c>
      <c r="O539" s="24">
        <v>0</v>
      </c>
      <c r="P539" s="24">
        <v>0</v>
      </c>
      <c r="Q539" s="24">
        <v>0</v>
      </c>
      <c r="R539" s="24">
        <v>0</v>
      </c>
      <c r="S539" s="24">
        <v>43</v>
      </c>
      <c r="T539" s="24">
        <v>0</v>
      </c>
      <c r="U539" s="24">
        <v>0</v>
      </c>
      <c r="V539" s="24">
        <v>1</v>
      </c>
      <c r="W539" s="24">
        <v>1</v>
      </c>
      <c r="X539" s="24">
        <v>1</v>
      </c>
      <c r="Y539" s="24">
        <v>1</v>
      </c>
      <c r="Z539" s="24">
        <v>0</v>
      </c>
      <c r="AA539" s="24">
        <v>1</v>
      </c>
      <c r="AB539" s="24">
        <v>1</v>
      </c>
      <c r="AC539" s="24">
        <v>0</v>
      </c>
      <c r="AD539" s="24">
        <v>0</v>
      </c>
      <c r="AE539" s="24">
        <v>0</v>
      </c>
      <c r="AF539" s="24">
        <v>0</v>
      </c>
      <c r="AG539" s="24">
        <v>0</v>
      </c>
      <c r="AH539" s="24">
        <v>1</v>
      </c>
      <c r="AI539" s="24">
        <v>0</v>
      </c>
      <c r="AJ539" s="24">
        <v>0</v>
      </c>
      <c r="AK539" s="24">
        <v>0</v>
      </c>
      <c r="AL539" s="24">
        <v>1</v>
      </c>
      <c r="AM539" s="24">
        <v>0</v>
      </c>
      <c r="AN539" s="24">
        <v>0</v>
      </c>
      <c r="AO539" s="24">
        <v>0</v>
      </c>
      <c r="AP539" s="24">
        <v>0</v>
      </c>
      <c r="AQ539" s="24">
        <v>0</v>
      </c>
      <c r="AR539" s="24">
        <v>0</v>
      </c>
      <c r="AS539" s="24">
        <v>0</v>
      </c>
      <c r="AT539" s="24">
        <v>1</v>
      </c>
      <c r="AU539" s="24">
        <v>0</v>
      </c>
      <c r="AV539" s="24">
        <v>1</v>
      </c>
      <c r="AW539" s="24">
        <v>0</v>
      </c>
      <c r="AX539" s="24">
        <v>0</v>
      </c>
      <c r="AY539" s="24">
        <v>0</v>
      </c>
      <c r="AZ539" s="24">
        <v>0</v>
      </c>
      <c r="BA539" s="24">
        <v>1</v>
      </c>
      <c r="BB539" s="24">
        <v>0</v>
      </c>
    </row>
    <row r="540" spans="2:54" ht="13.8" x14ac:dyDescent="0.3">
      <c r="B540" s="24">
        <v>520</v>
      </c>
      <c r="C540" s="24">
        <v>6</v>
      </c>
      <c r="D540" s="24">
        <v>0</v>
      </c>
      <c r="E540" s="24">
        <v>0</v>
      </c>
      <c r="F540" s="24">
        <v>0</v>
      </c>
      <c r="G540" s="24">
        <v>1</v>
      </c>
      <c r="H540" s="24">
        <v>0</v>
      </c>
      <c r="I540" s="24">
        <v>0</v>
      </c>
      <c r="J540" s="24">
        <v>700</v>
      </c>
      <c r="K540" s="24">
        <v>4</v>
      </c>
      <c r="L540" s="24">
        <v>0</v>
      </c>
      <c r="M540" s="24">
        <v>1</v>
      </c>
      <c r="N540" s="24">
        <v>0</v>
      </c>
      <c r="O540" s="24">
        <v>0</v>
      </c>
      <c r="P540" s="24">
        <v>0</v>
      </c>
      <c r="Q540" s="24">
        <v>0</v>
      </c>
      <c r="R540" s="24">
        <v>1</v>
      </c>
      <c r="S540" s="24">
        <v>36</v>
      </c>
      <c r="T540" s="24">
        <v>0</v>
      </c>
      <c r="U540" s="24">
        <v>0</v>
      </c>
      <c r="V540" s="24">
        <v>0</v>
      </c>
      <c r="W540" s="24">
        <v>2</v>
      </c>
      <c r="X540" s="24">
        <v>1</v>
      </c>
      <c r="Y540" s="24">
        <v>0</v>
      </c>
      <c r="Z540" s="24">
        <v>0</v>
      </c>
      <c r="AA540" s="24">
        <v>1</v>
      </c>
      <c r="AB540" s="24">
        <v>0</v>
      </c>
      <c r="AC540" s="24">
        <v>0</v>
      </c>
      <c r="AD540" s="24">
        <v>0</v>
      </c>
      <c r="AE540" s="24">
        <v>1</v>
      </c>
      <c r="AF540" s="24">
        <v>0</v>
      </c>
      <c r="AG540" s="24">
        <v>0</v>
      </c>
      <c r="AH540" s="24">
        <v>0</v>
      </c>
      <c r="AI540" s="24">
        <v>0</v>
      </c>
      <c r="AJ540" s="24">
        <v>1</v>
      </c>
      <c r="AK540" s="24">
        <v>0</v>
      </c>
      <c r="AL540" s="24">
        <v>0</v>
      </c>
      <c r="AM540" s="24">
        <v>0</v>
      </c>
      <c r="AN540" s="24">
        <v>0</v>
      </c>
      <c r="AO540" s="24">
        <v>1</v>
      </c>
      <c r="AP540" s="24">
        <v>0</v>
      </c>
      <c r="AQ540" s="24">
        <v>0</v>
      </c>
      <c r="AR540" s="24">
        <v>0</v>
      </c>
      <c r="AS540" s="24">
        <v>0</v>
      </c>
      <c r="AT540" s="24">
        <v>1</v>
      </c>
      <c r="AU540" s="24">
        <v>0</v>
      </c>
      <c r="AV540" s="24">
        <v>0</v>
      </c>
      <c r="AW540" s="24">
        <v>0</v>
      </c>
      <c r="AX540" s="24">
        <v>1</v>
      </c>
      <c r="AY540" s="24">
        <v>0</v>
      </c>
      <c r="AZ540" s="24">
        <v>0</v>
      </c>
      <c r="BA540" s="24">
        <v>1</v>
      </c>
      <c r="BB540" s="24">
        <v>0</v>
      </c>
    </row>
    <row r="541" spans="2:54" ht="13.8" x14ac:dyDescent="0.3">
      <c r="B541" s="24">
        <v>521</v>
      </c>
      <c r="C541" s="24">
        <v>24</v>
      </c>
      <c r="D541" s="24">
        <v>0</v>
      </c>
      <c r="E541" s="24">
        <v>0</v>
      </c>
      <c r="F541" s="24">
        <v>0</v>
      </c>
      <c r="G541" s="24">
        <v>0</v>
      </c>
      <c r="H541" s="24">
        <v>0</v>
      </c>
      <c r="I541" s="24">
        <v>0</v>
      </c>
      <c r="J541" s="24">
        <v>5507</v>
      </c>
      <c r="K541" s="24">
        <v>3</v>
      </c>
      <c r="L541" s="24">
        <v>0</v>
      </c>
      <c r="M541" s="24">
        <v>1</v>
      </c>
      <c r="N541" s="24">
        <v>0</v>
      </c>
      <c r="O541" s="24">
        <v>0</v>
      </c>
      <c r="P541" s="24">
        <v>0</v>
      </c>
      <c r="Q541" s="24">
        <v>0</v>
      </c>
      <c r="R541" s="24">
        <v>1</v>
      </c>
      <c r="S541" s="24">
        <v>44</v>
      </c>
      <c r="T541" s="24">
        <v>0</v>
      </c>
      <c r="U541" s="24">
        <v>0</v>
      </c>
      <c r="V541" s="24">
        <v>0</v>
      </c>
      <c r="W541" s="24">
        <v>2</v>
      </c>
      <c r="X541" s="24">
        <v>1</v>
      </c>
      <c r="Y541" s="24">
        <v>0</v>
      </c>
      <c r="Z541" s="24">
        <v>0</v>
      </c>
      <c r="AA541" s="24">
        <v>1</v>
      </c>
      <c r="AB541" s="24">
        <v>0</v>
      </c>
      <c r="AC541" s="24">
        <v>0</v>
      </c>
      <c r="AD541" s="24">
        <v>0</v>
      </c>
      <c r="AE541" s="24">
        <v>1</v>
      </c>
      <c r="AF541" s="24">
        <v>0</v>
      </c>
      <c r="AG541" s="24">
        <v>0</v>
      </c>
      <c r="AH541" s="24">
        <v>0</v>
      </c>
      <c r="AI541" s="24">
        <v>0</v>
      </c>
      <c r="AJ541" s="24">
        <v>1</v>
      </c>
      <c r="AK541" s="24">
        <v>1</v>
      </c>
      <c r="AL541" s="24">
        <v>0</v>
      </c>
      <c r="AM541" s="24">
        <v>0</v>
      </c>
      <c r="AN541" s="24">
        <v>0</v>
      </c>
      <c r="AO541" s="24">
        <v>0</v>
      </c>
      <c r="AP541" s="24">
        <v>0</v>
      </c>
      <c r="AQ541" s="24">
        <v>0</v>
      </c>
      <c r="AR541" s="24">
        <v>0</v>
      </c>
      <c r="AS541" s="24">
        <v>0</v>
      </c>
      <c r="AT541" s="24">
        <v>1</v>
      </c>
      <c r="AU541" s="24">
        <v>0</v>
      </c>
      <c r="AV541" s="24">
        <v>0</v>
      </c>
      <c r="AW541" s="24">
        <v>0</v>
      </c>
      <c r="AX541" s="24">
        <v>1</v>
      </c>
      <c r="AY541" s="24">
        <v>0</v>
      </c>
      <c r="AZ541" s="24">
        <v>0</v>
      </c>
      <c r="BA541" s="24">
        <v>1</v>
      </c>
      <c r="BB541" s="24">
        <v>0</v>
      </c>
    </row>
    <row r="542" spans="2:54" ht="13.8" x14ac:dyDescent="0.3">
      <c r="B542" s="24">
        <v>522</v>
      </c>
      <c r="C542" s="24">
        <v>18</v>
      </c>
      <c r="D542" s="24">
        <v>0</v>
      </c>
      <c r="E542" s="24">
        <v>0</v>
      </c>
      <c r="F542" s="24">
        <v>0</v>
      </c>
      <c r="G542" s="24">
        <v>1</v>
      </c>
      <c r="H542" s="24">
        <v>0</v>
      </c>
      <c r="I542" s="24">
        <v>0</v>
      </c>
      <c r="J542" s="24">
        <v>3190</v>
      </c>
      <c r="K542" s="24">
        <v>2</v>
      </c>
      <c r="L542" s="24">
        <v>0</v>
      </c>
      <c r="M542" s="24">
        <v>0</v>
      </c>
      <c r="N542" s="24">
        <v>0</v>
      </c>
      <c r="O542" s="24">
        <v>0</v>
      </c>
      <c r="P542" s="24">
        <v>0</v>
      </c>
      <c r="Q542" s="24">
        <v>1</v>
      </c>
      <c r="R542" s="24">
        <v>0</v>
      </c>
      <c r="S542" s="24">
        <v>24</v>
      </c>
      <c r="T542" s="24">
        <v>0</v>
      </c>
      <c r="U542" s="24">
        <v>0</v>
      </c>
      <c r="V542" s="24">
        <v>1</v>
      </c>
      <c r="W542" s="24">
        <v>1</v>
      </c>
      <c r="X542" s="24">
        <v>1</v>
      </c>
      <c r="Y542" s="24">
        <v>0</v>
      </c>
      <c r="Z542" s="24">
        <v>0</v>
      </c>
      <c r="AA542" s="24">
        <v>0</v>
      </c>
      <c r="AB542" s="24">
        <v>1</v>
      </c>
      <c r="AC542" s="24">
        <v>0</v>
      </c>
      <c r="AD542" s="24">
        <v>0</v>
      </c>
      <c r="AE542" s="24">
        <v>0</v>
      </c>
      <c r="AF542" s="24">
        <v>0</v>
      </c>
      <c r="AG542" s="24">
        <v>0</v>
      </c>
      <c r="AH542" s="24">
        <v>1</v>
      </c>
      <c r="AI542" s="24">
        <v>0</v>
      </c>
      <c r="AJ542" s="24">
        <v>0</v>
      </c>
      <c r="AK542" s="24">
        <v>1</v>
      </c>
      <c r="AL542" s="24">
        <v>0</v>
      </c>
      <c r="AM542" s="24">
        <v>0</v>
      </c>
      <c r="AN542" s="24">
        <v>0</v>
      </c>
      <c r="AO542" s="24">
        <v>0</v>
      </c>
      <c r="AP542" s="24">
        <v>0</v>
      </c>
      <c r="AQ542" s="24">
        <v>0</v>
      </c>
      <c r="AR542" s="24">
        <v>1</v>
      </c>
      <c r="AS542" s="24">
        <v>0</v>
      </c>
      <c r="AT542" s="24">
        <v>0</v>
      </c>
      <c r="AU542" s="24">
        <v>0</v>
      </c>
      <c r="AV542" s="24">
        <v>1</v>
      </c>
      <c r="AW542" s="24">
        <v>0</v>
      </c>
      <c r="AX542" s="24">
        <v>0</v>
      </c>
      <c r="AY542" s="24">
        <v>0</v>
      </c>
      <c r="AZ542" s="24">
        <v>0</v>
      </c>
      <c r="BA542" s="24">
        <v>1</v>
      </c>
      <c r="BB542" s="24">
        <v>0</v>
      </c>
    </row>
    <row r="543" spans="2:54" ht="13.8" x14ac:dyDescent="0.3">
      <c r="B543" s="24">
        <v>523</v>
      </c>
      <c r="C543" s="24">
        <v>48</v>
      </c>
      <c r="D543" s="24">
        <v>0</v>
      </c>
      <c r="E543" s="24">
        <v>0</v>
      </c>
      <c r="F543" s="24">
        <v>1</v>
      </c>
      <c r="G543" s="24">
        <v>0</v>
      </c>
      <c r="H543" s="24">
        <v>0</v>
      </c>
      <c r="I543" s="24">
        <v>0</v>
      </c>
      <c r="J543" s="24">
        <v>7119</v>
      </c>
      <c r="K543" s="24">
        <v>3</v>
      </c>
      <c r="L543" s="24">
        <v>0</v>
      </c>
      <c r="M543" s="24">
        <v>1</v>
      </c>
      <c r="N543" s="24">
        <v>0</v>
      </c>
      <c r="O543" s="24">
        <v>0</v>
      </c>
      <c r="P543" s="24">
        <v>0</v>
      </c>
      <c r="Q543" s="24">
        <v>0</v>
      </c>
      <c r="R543" s="24">
        <v>1</v>
      </c>
      <c r="S543" s="24">
        <v>53</v>
      </c>
      <c r="T543" s="24">
        <v>0</v>
      </c>
      <c r="U543" s="24">
        <v>0</v>
      </c>
      <c r="V543" s="24">
        <v>0</v>
      </c>
      <c r="W543" s="24">
        <v>2</v>
      </c>
      <c r="X543" s="24">
        <v>2</v>
      </c>
      <c r="Y543" s="24">
        <v>0</v>
      </c>
      <c r="Z543" s="24">
        <v>0</v>
      </c>
      <c r="AA543" s="24">
        <v>0</v>
      </c>
      <c r="AB543" s="24">
        <v>1</v>
      </c>
      <c r="AC543" s="24">
        <v>0</v>
      </c>
      <c r="AD543" s="24">
        <v>0</v>
      </c>
      <c r="AE543" s="24">
        <v>0</v>
      </c>
      <c r="AF543" s="24">
        <v>1</v>
      </c>
      <c r="AG543" s="24">
        <v>0</v>
      </c>
      <c r="AH543" s="24">
        <v>0</v>
      </c>
      <c r="AI543" s="24">
        <v>0</v>
      </c>
      <c r="AJ543" s="24">
        <v>0</v>
      </c>
      <c r="AK543" s="24">
        <v>1</v>
      </c>
      <c r="AL543" s="24">
        <v>0</v>
      </c>
      <c r="AM543" s="24">
        <v>0</v>
      </c>
      <c r="AN543" s="24">
        <v>0</v>
      </c>
      <c r="AO543" s="24">
        <v>0</v>
      </c>
      <c r="AP543" s="24">
        <v>0</v>
      </c>
      <c r="AQ543" s="24">
        <v>0</v>
      </c>
      <c r="AR543" s="24">
        <v>1</v>
      </c>
      <c r="AS543" s="24">
        <v>0</v>
      </c>
      <c r="AT543" s="24">
        <v>0</v>
      </c>
      <c r="AU543" s="24">
        <v>0</v>
      </c>
      <c r="AV543" s="24">
        <v>0</v>
      </c>
      <c r="AW543" s="24">
        <v>0</v>
      </c>
      <c r="AX543" s="24">
        <v>1</v>
      </c>
      <c r="AY543" s="24">
        <v>0</v>
      </c>
      <c r="AZ543" s="24">
        <v>0</v>
      </c>
      <c r="BA543" s="24">
        <v>1</v>
      </c>
      <c r="BB543" s="24">
        <v>0</v>
      </c>
    </row>
    <row r="544" spans="2:54" ht="13.8" x14ac:dyDescent="0.3">
      <c r="B544" s="24">
        <v>524</v>
      </c>
      <c r="C544" s="24">
        <v>24</v>
      </c>
      <c r="D544" s="24">
        <v>0</v>
      </c>
      <c r="E544" s="24">
        <v>1</v>
      </c>
      <c r="F544" s="24">
        <v>0</v>
      </c>
      <c r="G544" s="24">
        <v>0</v>
      </c>
      <c r="H544" s="24">
        <v>0</v>
      </c>
      <c r="I544" s="24">
        <v>0</v>
      </c>
      <c r="J544" s="24">
        <v>3488</v>
      </c>
      <c r="K544" s="24">
        <v>3</v>
      </c>
      <c r="L544" s="24">
        <v>0</v>
      </c>
      <c r="M544" s="24">
        <v>0</v>
      </c>
      <c r="N544" s="24">
        <v>0</v>
      </c>
      <c r="O544" s="24">
        <v>0</v>
      </c>
      <c r="P544" s="24">
        <v>0</v>
      </c>
      <c r="Q544" s="24">
        <v>0</v>
      </c>
      <c r="R544" s="24">
        <v>0</v>
      </c>
      <c r="S544" s="24">
        <v>23</v>
      </c>
      <c r="T544" s="24">
        <v>0</v>
      </c>
      <c r="U544" s="24">
        <v>0</v>
      </c>
      <c r="V544" s="24">
        <v>1</v>
      </c>
      <c r="W544" s="24">
        <v>1</v>
      </c>
      <c r="X544" s="24">
        <v>1</v>
      </c>
      <c r="Y544" s="24">
        <v>0</v>
      </c>
      <c r="Z544" s="24">
        <v>0</v>
      </c>
      <c r="AA544" s="24">
        <v>1</v>
      </c>
      <c r="AB544" s="24">
        <v>0</v>
      </c>
      <c r="AC544" s="24">
        <v>0</v>
      </c>
      <c r="AD544" s="24">
        <v>0</v>
      </c>
      <c r="AE544" s="24">
        <v>1</v>
      </c>
      <c r="AF544" s="24">
        <v>0</v>
      </c>
      <c r="AG544" s="24">
        <v>0</v>
      </c>
      <c r="AH544" s="24">
        <v>1</v>
      </c>
      <c r="AI544" s="24">
        <v>0</v>
      </c>
      <c r="AJ544" s="24">
        <v>0</v>
      </c>
      <c r="AK544" s="24">
        <v>0</v>
      </c>
      <c r="AL544" s="24">
        <v>1</v>
      </c>
      <c r="AM544" s="24">
        <v>0</v>
      </c>
      <c r="AN544" s="24">
        <v>0</v>
      </c>
      <c r="AO544" s="24">
        <v>0</v>
      </c>
      <c r="AP544" s="24">
        <v>0</v>
      </c>
      <c r="AQ544" s="24">
        <v>0</v>
      </c>
      <c r="AR544" s="24">
        <v>0</v>
      </c>
      <c r="AS544" s="24">
        <v>1</v>
      </c>
      <c r="AT544" s="24">
        <v>0</v>
      </c>
      <c r="AU544" s="24">
        <v>0</v>
      </c>
      <c r="AV544" s="24">
        <v>0</v>
      </c>
      <c r="AW544" s="24">
        <v>0</v>
      </c>
      <c r="AX544" s="24">
        <v>1</v>
      </c>
      <c r="AY544" s="24">
        <v>0</v>
      </c>
      <c r="AZ544" s="24">
        <v>0</v>
      </c>
      <c r="BA544" s="24">
        <v>1</v>
      </c>
      <c r="BB544" s="24">
        <v>0</v>
      </c>
    </row>
    <row r="545" spans="2:54" ht="13.8" x14ac:dyDescent="0.3">
      <c r="B545" s="24">
        <v>525</v>
      </c>
      <c r="C545" s="24">
        <v>18</v>
      </c>
      <c r="D545" s="24">
        <v>0</v>
      </c>
      <c r="E545" s="24">
        <v>0</v>
      </c>
      <c r="F545" s="24">
        <v>0</v>
      </c>
      <c r="G545" s="24">
        <v>1</v>
      </c>
      <c r="H545" s="24">
        <v>0</v>
      </c>
      <c r="I545" s="24">
        <v>0</v>
      </c>
      <c r="J545" s="24">
        <v>1113</v>
      </c>
      <c r="K545" s="24">
        <v>4</v>
      </c>
      <c r="L545" s="24">
        <v>0</v>
      </c>
      <c r="M545" s="24">
        <v>0</v>
      </c>
      <c r="N545" s="24">
        <v>0</v>
      </c>
      <c r="O545" s="24">
        <v>0</v>
      </c>
      <c r="P545" s="24">
        <v>1</v>
      </c>
      <c r="Q545" s="24">
        <v>1</v>
      </c>
      <c r="R545" s="24">
        <v>0</v>
      </c>
      <c r="S545" s="24">
        <v>26</v>
      </c>
      <c r="T545" s="24">
        <v>0</v>
      </c>
      <c r="U545" s="24">
        <v>0</v>
      </c>
      <c r="V545" s="24">
        <v>1</v>
      </c>
      <c r="W545" s="24">
        <v>1</v>
      </c>
      <c r="X545" s="24">
        <v>2</v>
      </c>
      <c r="Y545" s="24">
        <v>0</v>
      </c>
      <c r="Z545" s="24">
        <v>0</v>
      </c>
      <c r="AA545" s="24">
        <v>1</v>
      </c>
      <c r="AB545" s="24">
        <v>0</v>
      </c>
      <c r="AC545" s="24">
        <v>1</v>
      </c>
      <c r="AD545" s="24">
        <v>0</v>
      </c>
      <c r="AE545" s="24">
        <v>0</v>
      </c>
      <c r="AF545" s="24">
        <v>0</v>
      </c>
      <c r="AG545" s="24">
        <v>0</v>
      </c>
      <c r="AH545" s="24">
        <v>1</v>
      </c>
      <c r="AI545" s="24">
        <v>0</v>
      </c>
      <c r="AJ545" s="24">
        <v>0</v>
      </c>
      <c r="AK545" s="24">
        <v>1</v>
      </c>
      <c r="AL545" s="24">
        <v>0</v>
      </c>
      <c r="AM545" s="24">
        <v>0</v>
      </c>
      <c r="AN545" s="24">
        <v>0</v>
      </c>
      <c r="AO545" s="24">
        <v>0</v>
      </c>
      <c r="AP545" s="24">
        <v>0</v>
      </c>
      <c r="AQ545" s="24">
        <v>0</v>
      </c>
      <c r="AR545" s="24">
        <v>1</v>
      </c>
      <c r="AS545" s="24">
        <v>0</v>
      </c>
      <c r="AT545" s="24">
        <v>0</v>
      </c>
      <c r="AU545" s="24">
        <v>0</v>
      </c>
      <c r="AV545" s="24">
        <v>0</v>
      </c>
      <c r="AW545" s="24">
        <v>0</v>
      </c>
      <c r="AX545" s="24">
        <v>1</v>
      </c>
      <c r="AY545" s="24">
        <v>0</v>
      </c>
      <c r="AZ545" s="24">
        <v>1</v>
      </c>
      <c r="BA545" s="24">
        <v>0</v>
      </c>
      <c r="BB545" s="24">
        <v>0</v>
      </c>
    </row>
    <row r="546" spans="2:54" ht="13.8" x14ac:dyDescent="0.3">
      <c r="B546" s="24">
        <v>526</v>
      </c>
      <c r="C546" s="24">
        <v>26</v>
      </c>
      <c r="D546" s="24">
        <v>0</v>
      </c>
      <c r="E546" s="24">
        <v>1</v>
      </c>
      <c r="F546" s="24">
        <v>0</v>
      </c>
      <c r="G546" s="24">
        <v>0</v>
      </c>
      <c r="H546" s="24">
        <v>0</v>
      </c>
      <c r="I546" s="24">
        <v>0</v>
      </c>
      <c r="J546" s="24">
        <v>7966</v>
      </c>
      <c r="K546" s="24">
        <v>2</v>
      </c>
      <c r="L546" s="24">
        <v>0</v>
      </c>
      <c r="M546" s="24">
        <v>1</v>
      </c>
      <c r="N546" s="24">
        <v>0</v>
      </c>
      <c r="O546" s="24">
        <v>0</v>
      </c>
      <c r="P546" s="24">
        <v>0</v>
      </c>
      <c r="Q546" s="24">
        <v>0</v>
      </c>
      <c r="R546" s="24">
        <v>0</v>
      </c>
      <c r="S546" s="24">
        <v>30</v>
      </c>
      <c r="T546" s="24">
        <v>0</v>
      </c>
      <c r="U546" s="24">
        <v>0</v>
      </c>
      <c r="V546" s="24">
        <v>1</v>
      </c>
      <c r="W546" s="24">
        <v>2</v>
      </c>
      <c r="X546" s="24">
        <v>1</v>
      </c>
      <c r="Y546" s="24">
        <v>0</v>
      </c>
      <c r="Z546" s="24">
        <v>0</v>
      </c>
      <c r="AA546" s="24">
        <v>1</v>
      </c>
      <c r="AB546" s="24">
        <v>0</v>
      </c>
      <c r="AC546" s="24">
        <v>1</v>
      </c>
      <c r="AD546" s="24">
        <v>0</v>
      </c>
      <c r="AE546" s="24">
        <v>0</v>
      </c>
      <c r="AF546" s="24">
        <v>0</v>
      </c>
      <c r="AG546" s="24">
        <v>0</v>
      </c>
      <c r="AH546" s="24">
        <v>1</v>
      </c>
      <c r="AI546" s="24">
        <v>0</v>
      </c>
      <c r="AJ546" s="24">
        <v>0</v>
      </c>
      <c r="AK546" s="24">
        <v>1</v>
      </c>
      <c r="AL546" s="24">
        <v>0</v>
      </c>
      <c r="AM546" s="24">
        <v>0</v>
      </c>
      <c r="AN546" s="24">
        <v>0</v>
      </c>
      <c r="AO546" s="24">
        <v>0</v>
      </c>
      <c r="AP546" s="24">
        <v>0</v>
      </c>
      <c r="AQ546" s="24">
        <v>1</v>
      </c>
      <c r="AR546" s="24">
        <v>0</v>
      </c>
      <c r="AS546" s="24">
        <v>0</v>
      </c>
      <c r="AT546" s="24">
        <v>0</v>
      </c>
      <c r="AU546" s="24">
        <v>0</v>
      </c>
      <c r="AV546" s="24">
        <v>0</v>
      </c>
      <c r="AW546" s="24">
        <v>1</v>
      </c>
      <c r="AX546" s="24">
        <v>0</v>
      </c>
      <c r="AY546" s="24">
        <v>0</v>
      </c>
      <c r="AZ546" s="24">
        <v>0</v>
      </c>
      <c r="BA546" s="24">
        <v>1</v>
      </c>
      <c r="BB546" s="24">
        <v>0</v>
      </c>
    </row>
    <row r="547" spans="2:54" ht="13.8" x14ac:dyDescent="0.3">
      <c r="B547" s="24">
        <v>527</v>
      </c>
      <c r="C547" s="24">
        <v>15</v>
      </c>
      <c r="D547" s="24">
        <v>0</v>
      </c>
      <c r="E547" s="24">
        <v>0</v>
      </c>
      <c r="F547" s="24">
        <v>0</v>
      </c>
      <c r="G547" s="24">
        <v>0</v>
      </c>
      <c r="H547" s="24">
        <v>1</v>
      </c>
      <c r="I547" s="24">
        <v>0</v>
      </c>
      <c r="J547" s="24">
        <v>1532</v>
      </c>
      <c r="K547" s="24">
        <v>4</v>
      </c>
      <c r="L547" s="24">
        <v>0</v>
      </c>
      <c r="M547" s="24">
        <v>0</v>
      </c>
      <c r="N547" s="24">
        <v>0</v>
      </c>
      <c r="O547" s="24">
        <v>0</v>
      </c>
      <c r="P547" s="24">
        <v>0</v>
      </c>
      <c r="Q547" s="24">
        <v>0</v>
      </c>
      <c r="R547" s="24">
        <v>0</v>
      </c>
      <c r="S547" s="24">
        <v>31</v>
      </c>
      <c r="T547" s="24">
        <v>0</v>
      </c>
      <c r="U547" s="24">
        <v>0</v>
      </c>
      <c r="V547" s="24">
        <v>1</v>
      </c>
      <c r="W547" s="24">
        <v>1</v>
      </c>
      <c r="X547" s="24">
        <v>1</v>
      </c>
      <c r="Y547" s="24">
        <v>0</v>
      </c>
      <c r="Z547" s="24">
        <v>0</v>
      </c>
      <c r="AA547" s="24">
        <v>1</v>
      </c>
      <c r="AB547" s="24">
        <v>0</v>
      </c>
      <c r="AC547" s="24">
        <v>0</v>
      </c>
      <c r="AD547" s="24">
        <v>0</v>
      </c>
      <c r="AE547" s="24">
        <v>1</v>
      </c>
      <c r="AF547" s="24">
        <v>0</v>
      </c>
      <c r="AG547" s="24">
        <v>0</v>
      </c>
      <c r="AH547" s="24">
        <v>0</v>
      </c>
      <c r="AI547" s="24">
        <v>0</v>
      </c>
      <c r="AJ547" s="24">
        <v>1</v>
      </c>
      <c r="AK547" s="24">
        <v>0</v>
      </c>
      <c r="AL547" s="24">
        <v>1</v>
      </c>
      <c r="AM547" s="24">
        <v>0</v>
      </c>
      <c r="AN547" s="24">
        <v>0</v>
      </c>
      <c r="AO547" s="24">
        <v>0</v>
      </c>
      <c r="AP547" s="24">
        <v>0</v>
      </c>
      <c r="AQ547" s="24">
        <v>0</v>
      </c>
      <c r="AR547" s="24">
        <v>1</v>
      </c>
      <c r="AS547" s="24">
        <v>0</v>
      </c>
      <c r="AT547" s="24">
        <v>0</v>
      </c>
      <c r="AU547" s="24">
        <v>0</v>
      </c>
      <c r="AV547" s="24">
        <v>0</v>
      </c>
      <c r="AW547" s="24">
        <v>1</v>
      </c>
      <c r="AX547" s="24">
        <v>0</v>
      </c>
      <c r="AY547" s="24">
        <v>0</v>
      </c>
      <c r="AZ547" s="24">
        <v>0</v>
      </c>
      <c r="BA547" s="24">
        <v>1</v>
      </c>
      <c r="BB547" s="24">
        <v>0</v>
      </c>
    </row>
    <row r="548" spans="2:54" ht="13.8" x14ac:dyDescent="0.3">
      <c r="B548" s="24">
        <v>528</v>
      </c>
      <c r="C548" s="24">
        <v>4</v>
      </c>
      <c r="D548" s="24">
        <v>0</v>
      </c>
      <c r="E548" s="24">
        <v>0</v>
      </c>
      <c r="F548" s="24">
        <v>0</v>
      </c>
      <c r="G548" s="24">
        <v>1</v>
      </c>
      <c r="H548" s="24">
        <v>0</v>
      </c>
      <c r="I548" s="24">
        <v>0</v>
      </c>
      <c r="J548" s="24">
        <v>1503</v>
      </c>
      <c r="K548" s="24">
        <v>2</v>
      </c>
      <c r="L548" s="24">
        <v>0</v>
      </c>
      <c r="M548" s="24">
        <v>1</v>
      </c>
      <c r="N548" s="24">
        <v>0</v>
      </c>
      <c r="O548" s="24">
        <v>0</v>
      </c>
      <c r="P548" s="24">
        <v>0</v>
      </c>
      <c r="Q548" s="24">
        <v>1</v>
      </c>
      <c r="R548" s="24">
        <v>0</v>
      </c>
      <c r="S548" s="24">
        <v>42</v>
      </c>
      <c r="T548" s="24">
        <v>0</v>
      </c>
      <c r="U548" s="24">
        <v>0</v>
      </c>
      <c r="V548" s="24">
        <v>1</v>
      </c>
      <c r="W548" s="24">
        <v>2</v>
      </c>
      <c r="X548" s="24">
        <v>2</v>
      </c>
      <c r="Y548" s="24">
        <v>0</v>
      </c>
      <c r="Z548" s="24">
        <v>0</v>
      </c>
      <c r="AA548" s="24">
        <v>1</v>
      </c>
      <c r="AB548" s="24">
        <v>0</v>
      </c>
      <c r="AC548" s="24">
        <v>0</v>
      </c>
      <c r="AD548" s="24">
        <v>0</v>
      </c>
      <c r="AE548" s="24">
        <v>1</v>
      </c>
      <c r="AF548" s="24">
        <v>0</v>
      </c>
      <c r="AG548" s="24">
        <v>0</v>
      </c>
      <c r="AH548" s="24">
        <v>0</v>
      </c>
      <c r="AI548" s="24">
        <v>0</v>
      </c>
      <c r="AJ548" s="24">
        <v>1</v>
      </c>
      <c r="AK548" s="24">
        <v>1</v>
      </c>
      <c r="AL548" s="24">
        <v>0</v>
      </c>
      <c r="AM548" s="24">
        <v>0</v>
      </c>
      <c r="AN548" s="24">
        <v>0</v>
      </c>
      <c r="AO548" s="24">
        <v>0</v>
      </c>
      <c r="AP548" s="24">
        <v>0</v>
      </c>
      <c r="AQ548" s="24">
        <v>0</v>
      </c>
      <c r="AR548" s="24">
        <v>0</v>
      </c>
      <c r="AS548" s="24">
        <v>1</v>
      </c>
      <c r="AT548" s="24">
        <v>0</v>
      </c>
      <c r="AU548" s="24">
        <v>1</v>
      </c>
      <c r="AV548" s="24">
        <v>0</v>
      </c>
      <c r="AW548" s="24">
        <v>0</v>
      </c>
      <c r="AX548" s="24">
        <v>0</v>
      </c>
      <c r="AY548" s="24">
        <v>0</v>
      </c>
      <c r="AZ548" s="24">
        <v>1</v>
      </c>
      <c r="BA548" s="24">
        <v>0</v>
      </c>
      <c r="BB548" s="24">
        <v>0</v>
      </c>
    </row>
    <row r="549" spans="2:54" ht="13.8" x14ac:dyDescent="0.3">
      <c r="B549" s="24">
        <v>529</v>
      </c>
      <c r="C549" s="24">
        <v>36</v>
      </c>
      <c r="D549" s="24">
        <v>0</v>
      </c>
      <c r="E549" s="24">
        <v>0</v>
      </c>
      <c r="F549" s="24">
        <v>0</v>
      </c>
      <c r="G549" s="24">
        <v>1</v>
      </c>
      <c r="H549" s="24">
        <v>0</v>
      </c>
      <c r="I549" s="24">
        <v>0</v>
      </c>
      <c r="J549" s="24">
        <v>2302</v>
      </c>
      <c r="K549" s="24">
        <v>4</v>
      </c>
      <c r="L549" s="24">
        <v>1</v>
      </c>
      <c r="M549" s="24">
        <v>0</v>
      </c>
      <c r="N549" s="24">
        <v>0</v>
      </c>
      <c r="O549" s="24">
        <v>0</v>
      </c>
      <c r="P549" s="24">
        <v>0</v>
      </c>
      <c r="Q549" s="24">
        <v>0</v>
      </c>
      <c r="R549" s="24">
        <v>0</v>
      </c>
      <c r="S549" s="24">
        <v>31</v>
      </c>
      <c r="T549" s="24">
        <v>0</v>
      </c>
      <c r="U549" s="24">
        <v>1</v>
      </c>
      <c r="V549" s="24">
        <v>0</v>
      </c>
      <c r="W549" s="24">
        <v>1</v>
      </c>
      <c r="X549" s="24">
        <v>1</v>
      </c>
      <c r="Y549" s="24">
        <v>0</v>
      </c>
      <c r="Z549" s="24">
        <v>0</v>
      </c>
      <c r="AA549" s="24">
        <v>0</v>
      </c>
      <c r="AB549" s="24">
        <v>1</v>
      </c>
      <c r="AC549" s="24">
        <v>0</v>
      </c>
      <c r="AD549" s="24">
        <v>0</v>
      </c>
      <c r="AE549" s="24">
        <v>0</v>
      </c>
      <c r="AF549" s="24">
        <v>0</v>
      </c>
      <c r="AG549" s="24">
        <v>0</v>
      </c>
      <c r="AH549" s="24">
        <v>1</v>
      </c>
      <c r="AI549" s="24">
        <v>0</v>
      </c>
      <c r="AJ549" s="24">
        <v>0</v>
      </c>
      <c r="AK549" s="24">
        <v>1</v>
      </c>
      <c r="AL549" s="24">
        <v>0</v>
      </c>
      <c r="AM549" s="24">
        <v>0</v>
      </c>
      <c r="AN549" s="24">
        <v>0</v>
      </c>
      <c r="AO549" s="24">
        <v>0</v>
      </c>
      <c r="AP549" s="24">
        <v>0</v>
      </c>
      <c r="AQ549" s="24">
        <v>0</v>
      </c>
      <c r="AR549" s="24">
        <v>1</v>
      </c>
      <c r="AS549" s="24">
        <v>0</v>
      </c>
      <c r="AT549" s="24">
        <v>0</v>
      </c>
      <c r="AU549" s="24">
        <v>0</v>
      </c>
      <c r="AV549" s="24">
        <v>0</v>
      </c>
      <c r="AW549" s="24">
        <v>0</v>
      </c>
      <c r="AX549" s="24">
        <v>1</v>
      </c>
      <c r="AY549" s="24">
        <v>0</v>
      </c>
      <c r="AZ549" s="24">
        <v>0</v>
      </c>
      <c r="BA549" s="24">
        <v>1</v>
      </c>
      <c r="BB549" s="24">
        <v>0</v>
      </c>
    </row>
    <row r="550" spans="2:54" ht="13.8" x14ac:dyDescent="0.3">
      <c r="B550" s="24">
        <v>530</v>
      </c>
      <c r="C550" s="24">
        <v>6</v>
      </c>
      <c r="D550" s="24">
        <v>1</v>
      </c>
      <c r="E550" s="24">
        <v>0</v>
      </c>
      <c r="F550" s="24">
        <v>0</v>
      </c>
      <c r="G550" s="24">
        <v>0</v>
      </c>
      <c r="H550" s="24">
        <v>0</v>
      </c>
      <c r="I550" s="24">
        <v>0</v>
      </c>
      <c r="J550" s="24">
        <v>662</v>
      </c>
      <c r="K550" s="24">
        <v>3</v>
      </c>
      <c r="L550" s="24">
        <v>0</v>
      </c>
      <c r="M550" s="24">
        <v>1</v>
      </c>
      <c r="N550" s="24">
        <v>0</v>
      </c>
      <c r="O550" s="24">
        <v>0</v>
      </c>
      <c r="P550" s="24">
        <v>0</v>
      </c>
      <c r="Q550" s="24">
        <v>1</v>
      </c>
      <c r="R550" s="24">
        <v>0</v>
      </c>
      <c r="S550" s="24">
        <v>41</v>
      </c>
      <c r="T550" s="24">
        <v>0</v>
      </c>
      <c r="U550" s="24">
        <v>0</v>
      </c>
      <c r="V550" s="24">
        <v>1</v>
      </c>
      <c r="W550" s="24">
        <v>1</v>
      </c>
      <c r="X550" s="24">
        <v>2</v>
      </c>
      <c r="Y550" s="24">
        <v>1</v>
      </c>
      <c r="Z550" s="24">
        <v>0</v>
      </c>
      <c r="AA550" s="24">
        <v>1</v>
      </c>
      <c r="AB550" s="24">
        <v>1</v>
      </c>
      <c r="AC550" s="24">
        <v>0</v>
      </c>
      <c r="AD550" s="24">
        <v>0</v>
      </c>
      <c r="AE550" s="24">
        <v>0</v>
      </c>
      <c r="AF550" s="24">
        <v>0</v>
      </c>
      <c r="AG550" s="24">
        <v>0</v>
      </c>
      <c r="AH550" s="24">
        <v>1</v>
      </c>
      <c r="AI550" s="24">
        <v>0</v>
      </c>
      <c r="AJ550" s="24">
        <v>0</v>
      </c>
      <c r="AK550" s="24">
        <v>1</v>
      </c>
      <c r="AL550" s="24">
        <v>0</v>
      </c>
      <c r="AM550" s="24">
        <v>0</v>
      </c>
      <c r="AN550" s="24">
        <v>0</v>
      </c>
      <c r="AO550" s="24">
        <v>0</v>
      </c>
      <c r="AP550" s="24">
        <v>0</v>
      </c>
      <c r="AQ550" s="24">
        <v>1</v>
      </c>
      <c r="AR550" s="24">
        <v>0</v>
      </c>
      <c r="AS550" s="24">
        <v>0</v>
      </c>
      <c r="AT550" s="24">
        <v>0</v>
      </c>
      <c r="AU550" s="24">
        <v>0</v>
      </c>
      <c r="AV550" s="24">
        <v>0</v>
      </c>
      <c r="AW550" s="24">
        <v>0</v>
      </c>
      <c r="AX550" s="24">
        <v>1</v>
      </c>
      <c r="AY550" s="24">
        <v>0</v>
      </c>
      <c r="AZ550" s="24">
        <v>1</v>
      </c>
      <c r="BA550" s="24">
        <v>0</v>
      </c>
      <c r="BB550" s="24">
        <v>0</v>
      </c>
    </row>
    <row r="551" spans="2:54" ht="13.8" x14ac:dyDescent="0.3">
      <c r="B551" s="24">
        <v>531</v>
      </c>
      <c r="C551" s="24">
        <v>36</v>
      </c>
      <c r="D551" s="24">
        <v>0</v>
      </c>
      <c r="E551" s="24">
        <v>0</v>
      </c>
      <c r="F551" s="24">
        <v>0</v>
      </c>
      <c r="G551" s="24">
        <v>0</v>
      </c>
      <c r="H551" s="24">
        <v>1</v>
      </c>
      <c r="I551" s="24">
        <v>0</v>
      </c>
      <c r="J551" s="24">
        <v>2273</v>
      </c>
      <c r="K551" s="24">
        <v>3</v>
      </c>
      <c r="L551" s="24">
        <v>0</v>
      </c>
      <c r="M551" s="24">
        <v>1</v>
      </c>
      <c r="N551" s="24">
        <v>0</v>
      </c>
      <c r="O551" s="24">
        <v>0</v>
      </c>
      <c r="P551" s="24">
        <v>0</v>
      </c>
      <c r="Q551" s="24">
        <v>0</v>
      </c>
      <c r="R551" s="24">
        <v>0</v>
      </c>
      <c r="S551" s="24">
        <v>32</v>
      </c>
      <c r="T551" s="24">
        <v>0</v>
      </c>
      <c r="U551" s="24">
        <v>0</v>
      </c>
      <c r="V551" s="24">
        <v>1</v>
      </c>
      <c r="W551" s="24">
        <v>2</v>
      </c>
      <c r="X551" s="24">
        <v>2</v>
      </c>
      <c r="Y551" s="24">
        <v>0</v>
      </c>
      <c r="Z551" s="24">
        <v>0</v>
      </c>
      <c r="AA551" s="24">
        <v>1</v>
      </c>
      <c r="AB551" s="24">
        <v>0</v>
      </c>
      <c r="AC551" s="24">
        <v>1</v>
      </c>
      <c r="AD551" s="24">
        <v>0</v>
      </c>
      <c r="AE551" s="24">
        <v>0</v>
      </c>
      <c r="AF551" s="24">
        <v>0</v>
      </c>
      <c r="AG551" s="24">
        <v>0</v>
      </c>
      <c r="AH551" s="24">
        <v>1</v>
      </c>
      <c r="AI551" s="24">
        <v>0</v>
      </c>
      <c r="AJ551" s="24">
        <v>0</v>
      </c>
      <c r="AK551" s="24">
        <v>1</v>
      </c>
      <c r="AL551" s="24">
        <v>0</v>
      </c>
      <c r="AM551" s="24">
        <v>0</v>
      </c>
      <c r="AN551" s="24">
        <v>0</v>
      </c>
      <c r="AO551" s="24">
        <v>0</v>
      </c>
      <c r="AP551" s="24">
        <v>0</v>
      </c>
      <c r="AQ551" s="24">
        <v>0</v>
      </c>
      <c r="AR551" s="24">
        <v>0</v>
      </c>
      <c r="AS551" s="24">
        <v>1</v>
      </c>
      <c r="AT551" s="24">
        <v>0</v>
      </c>
      <c r="AU551" s="24">
        <v>1</v>
      </c>
      <c r="AV551" s="24">
        <v>0</v>
      </c>
      <c r="AW551" s="24">
        <v>0</v>
      </c>
      <c r="AX551" s="24">
        <v>0</v>
      </c>
      <c r="AY551" s="24">
        <v>0</v>
      </c>
      <c r="AZ551" s="24">
        <v>0</v>
      </c>
      <c r="BA551" s="24">
        <v>1</v>
      </c>
      <c r="BB551" s="24">
        <v>0</v>
      </c>
    </row>
    <row r="552" spans="2:54" ht="13.8" x14ac:dyDescent="0.3">
      <c r="B552" s="24">
        <v>532</v>
      </c>
      <c r="C552" s="24">
        <v>15</v>
      </c>
      <c r="D552" s="24">
        <v>1</v>
      </c>
      <c r="E552" s="24">
        <v>0</v>
      </c>
      <c r="F552" s="24">
        <v>0</v>
      </c>
      <c r="G552" s="24">
        <v>0</v>
      </c>
      <c r="H552" s="24">
        <v>0</v>
      </c>
      <c r="I552" s="24">
        <v>0</v>
      </c>
      <c r="J552" s="24">
        <v>2631</v>
      </c>
      <c r="K552" s="24">
        <v>2</v>
      </c>
      <c r="L552" s="24">
        <v>0</v>
      </c>
      <c r="M552" s="24">
        <v>0</v>
      </c>
      <c r="N552" s="24">
        <v>0</v>
      </c>
      <c r="O552" s="24">
        <v>0</v>
      </c>
      <c r="P552" s="24">
        <v>0</v>
      </c>
      <c r="Q552" s="24">
        <v>0</v>
      </c>
      <c r="R552" s="24">
        <v>0</v>
      </c>
      <c r="S552" s="24">
        <v>28</v>
      </c>
      <c r="T552" s="24">
        <v>0</v>
      </c>
      <c r="U552" s="24">
        <v>1</v>
      </c>
      <c r="V552" s="24">
        <v>0</v>
      </c>
      <c r="W552" s="24">
        <v>2</v>
      </c>
      <c r="X552" s="24">
        <v>1</v>
      </c>
      <c r="Y552" s="24">
        <v>1</v>
      </c>
      <c r="Z552" s="24">
        <v>0</v>
      </c>
      <c r="AA552" s="24">
        <v>0</v>
      </c>
      <c r="AB552" s="24">
        <v>0</v>
      </c>
      <c r="AC552" s="24">
        <v>1</v>
      </c>
      <c r="AD552" s="24">
        <v>0</v>
      </c>
      <c r="AE552" s="24">
        <v>0</v>
      </c>
      <c r="AF552" s="24">
        <v>0</v>
      </c>
      <c r="AG552" s="24">
        <v>0</v>
      </c>
      <c r="AH552" s="24">
        <v>1</v>
      </c>
      <c r="AI552" s="24">
        <v>0</v>
      </c>
      <c r="AJ552" s="24">
        <v>0</v>
      </c>
      <c r="AK552" s="24">
        <v>0</v>
      </c>
      <c r="AL552" s="24">
        <v>1</v>
      </c>
      <c r="AM552" s="24">
        <v>0</v>
      </c>
      <c r="AN552" s="24">
        <v>0</v>
      </c>
      <c r="AO552" s="24">
        <v>0</v>
      </c>
      <c r="AP552" s="24">
        <v>0</v>
      </c>
      <c r="AQ552" s="24">
        <v>0</v>
      </c>
      <c r="AR552" s="24">
        <v>1</v>
      </c>
      <c r="AS552" s="24">
        <v>0</v>
      </c>
      <c r="AT552" s="24">
        <v>0</v>
      </c>
      <c r="AU552" s="24">
        <v>0</v>
      </c>
      <c r="AV552" s="24">
        <v>0</v>
      </c>
      <c r="AW552" s="24">
        <v>0</v>
      </c>
      <c r="AX552" s="24">
        <v>1</v>
      </c>
      <c r="AY552" s="24">
        <v>0</v>
      </c>
      <c r="AZ552" s="24">
        <v>0</v>
      </c>
      <c r="BA552" s="24">
        <v>1</v>
      </c>
      <c r="BB552" s="24">
        <v>0</v>
      </c>
    </row>
    <row r="553" spans="2:54" ht="13.8" x14ac:dyDescent="0.3">
      <c r="B553" s="24">
        <v>533</v>
      </c>
      <c r="C553" s="24">
        <v>12</v>
      </c>
      <c r="D553" s="24">
        <v>0</v>
      </c>
      <c r="E553" s="24">
        <v>1</v>
      </c>
      <c r="F553" s="24">
        <v>0</v>
      </c>
      <c r="G553" s="24">
        <v>0</v>
      </c>
      <c r="H553" s="24">
        <v>0</v>
      </c>
      <c r="I553" s="24">
        <v>0</v>
      </c>
      <c r="J553" s="24">
        <v>1503</v>
      </c>
      <c r="K553" s="24">
        <v>4</v>
      </c>
      <c r="L553" s="24">
        <v>0</v>
      </c>
      <c r="M553" s="24">
        <v>0</v>
      </c>
      <c r="N553" s="24">
        <v>1</v>
      </c>
      <c r="O553" s="24">
        <v>0</v>
      </c>
      <c r="P553" s="24">
        <v>0</v>
      </c>
      <c r="Q553" s="24">
        <v>1</v>
      </c>
      <c r="R553" s="24">
        <v>0</v>
      </c>
      <c r="S553" s="24">
        <v>41</v>
      </c>
      <c r="T553" s="24">
        <v>0</v>
      </c>
      <c r="U553" s="24">
        <v>1</v>
      </c>
      <c r="V553" s="24">
        <v>0</v>
      </c>
      <c r="W553" s="24">
        <v>1</v>
      </c>
      <c r="X553" s="24">
        <v>1</v>
      </c>
      <c r="Y553" s="24">
        <v>0</v>
      </c>
      <c r="Z553" s="24">
        <v>0</v>
      </c>
      <c r="AA553" s="24">
        <v>1</v>
      </c>
      <c r="AB553" s="24">
        <v>0</v>
      </c>
      <c r="AC553" s="24">
        <v>0</v>
      </c>
      <c r="AD553" s="24">
        <v>0</v>
      </c>
      <c r="AE553" s="24">
        <v>1</v>
      </c>
      <c r="AF553" s="24">
        <v>0</v>
      </c>
      <c r="AG553" s="24">
        <v>0</v>
      </c>
      <c r="AH553" s="24">
        <v>0</v>
      </c>
      <c r="AI553" s="24">
        <v>1</v>
      </c>
      <c r="AJ553" s="24">
        <v>0</v>
      </c>
      <c r="AK553" s="24">
        <v>1</v>
      </c>
      <c r="AL553" s="24">
        <v>0</v>
      </c>
      <c r="AM553" s="24">
        <v>0</v>
      </c>
      <c r="AN553" s="24">
        <v>0</v>
      </c>
      <c r="AO553" s="24">
        <v>0</v>
      </c>
      <c r="AP553" s="24">
        <v>0</v>
      </c>
      <c r="AQ553" s="24">
        <v>0</v>
      </c>
      <c r="AR553" s="24">
        <v>1</v>
      </c>
      <c r="AS553" s="24">
        <v>0</v>
      </c>
      <c r="AT553" s="24">
        <v>0</v>
      </c>
      <c r="AU553" s="24">
        <v>0</v>
      </c>
      <c r="AV553" s="24">
        <v>0</v>
      </c>
      <c r="AW553" s="24">
        <v>0</v>
      </c>
      <c r="AX553" s="24">
        <v>1</v>
      </c>
      <c r="AY553" s="24">
        <v>0</v>
      </c>
      <c r="AZ553" s="24">
        <v>0</v>
      </c>
      <c r="BA553" s="24">
        <v>1</v>
      </c>
      <c r="BB553" s="24">
        <v>0</v>
      </c>
    </row>
    <row r="554" spans="2:54" ht="13.8" x14ac:dyDescent="0.3">
      <c r="B554" s="24">
        <v>534</v>
      </c>
      <c r="C554" s="24">
        <v>24</v>
      </c>
      <c r="D554" s="24">
        <v>0</v>
      </c>
      <c r="E554" s="24">
        <v>0</v>
      </c>
      <c r="F554" s="24">
        <v>0</v>
      </c>
      <c r="G554" s="24">
        <v>1</v>
      </c>
      <c r="H554" s="24">
        <v>0</v>
      </c>
      <c r="I554" s="24">
        <v>0</v>
      </c>
      <c r="J554" s="24">
        <v>1311</v>
      </c>
      <c r="K554" s="24">
        <v>4</v>
      </c>
      <c r="L554" s="24">
        <v>0</v>
      </c>
      <c r="M554" s="24">
        <v>0</v>
      </c>
      <c r="N554" s="24">
        <v>1</v>
      </c>
      <c r="O554" s="24">
        <v>0</v>
      </c>
      <c r="P554" s="24">
        <v>0</v>
      </c>
      <c r="Q554" s="24">
        <v>0</v>
      </c>
      <c r="R554" s="24">
        <v>0</v>
      </c>
      <c r="S554" s="24">
        <v>26</v>
      </c>
      <c r="T554" s="24">
        <v>0</v>
      </c>
      <c r="U554" s="24">
        <v>0</v>
      </c>
      <c r="V554" s="24">
        <v>1</v>
      </c>
      <c r="W554" s="24">
        <v>1</v>
      </c>
      <c r="X554" s="24">
        <v>1</v>
      </c>
      <c r="Y554" s="24">
        <v>1</v>
      </c>
      <c r="Z554" s="24">
        <v>0</v>
      </c>
      <c r="AA554" s="24">
        <v>1</v>
      </c>
      <c r="AB554" s="24">
        <v>0</v>
      </c>
      <c r="AC554" s="24">
        <v>0</v>
      </c>
      <c r="AD554" s="24">
        <v>0</v>
      </c>
      <c r="AE554" s="24">
        <v>1</v>
      </c>
      <c r="AF554" s="24">
        <v>0</v>
      </c>
      <c r="AG554" s="24">
        <v>0</v>
      </c>
      <c r="AH554" s="24">
        <v>1</v>
      </c>
      <c r="AI554" s="24">
        <v>0</v>
      </c>
      <c r="AJ554" s="24">
        <v>0</v>
      </c>
      <c r="AK554" s="24">
        <v>0</v>
      </c>
      <c r="AL554" s="24">
        <v>1</v>
      </c>
      <c r="AM554" s="24">
        <v>0</v>
      </c>
      <c r="AN554" s="24">
        <v>0</v>
      </c>
      <c r="AO554" s="24">
        <v>0</v>
      </c>
      <c r="AP554" s="24">
        <v>0</v>
      </c>
      <c r="AQ554" s="24">
        <v>0</v>
      </c>
      <c r="AR554" s="24">
        <v>0</v>
      </c>
      <c r="AS554" s="24">
        <v>1</v>
      </c>
      <c r="AT554" s="24">
        <v>0</v>
      </c>
      <c r="AU554" s="24">
        <v>0</v>
      </c>
      <c r="AV554" s="24">
        <v>0</v>
      </c>
      <c r="AW554" s="24">
        <v>1</v>
      </c>
      <c r="AX554" s="24">
        <v>0</v>
      </c>
      <c r="AY554" s="24">
        <v>0</v>
      </c>
      <c r="AZ554" s="24">
        <v>0</v>
      </c>
      <c r="BA554" s="24">
        <v>1</v>
      </c>
      <c r="BB554" s="24">
        <v>0</v>
      </c>
    </row>
    <row r="555" spans="2:54" ht="13.8" x14ac:dyDescent="0.3">
      <c r="B555" s="24">
        <v>535</v>
      </c>
      <c r="C555" s="24">
        <v>24</v>
      </c>
      <c r="D555" s="24">
        <v>0</v>
      </c>
      <c r="E555" s="24">
        <v>0</v>
      </c>
      <c r="F555" s="24">
        <v>0</v>
      </c>
      <c r="G555" s="24">
        <v>1</v>
      </c>
      <c r="H555" s="24">
        <v>0</v>
      </c>
      <c r="I555" s="24">
        <v>0</v>
      </c>
      <c r="J555" s="24">
        <v>3105</v>
      </c>
      <c r="K555" s="24">
        <v>4</v>
      </c>
      <c r="L555" s="24">
        <v>0</v>
      </c>
      <c r="M555" s="24">
        <v>1</v>
      </c>
      <c r="N555" s="24">
        <v>0</v>
      </c>
      <c r="O555" s="24">
        <v>0</v>
      </c>
      <c r="P555" s="24">
        <v>0</v>
      </c>
      <c r="Q555" s="24">
        <v>0</v>
      </c>
      <c r="R555" s="24">
        <v>0</v>
      </c>
      <c r="S555" s="24">
        <v>25</v>
      </c>
      <c r="T555" s="24">
        <v>0</v>
      </c>
      <c r="U555" s="24">
        <v>0</v>
      </c>
      <c r="V555" s="24">
        <v>1</v>
      </c>
      <c r="W555" s="24">
        <v>2</v>
      </c>
      <c r="X555" s="24">
        <v>1</v>
      </c>
      <c r="Y555" s="24">
        <v>0</v>
      </c>
      <c r="Z555" s="24">
        <v>0</v>
      </c>
      <c r="AA555" s="24">
        <v>1</v>
      </c>
      <c r="AB555" s="24">
        <v>0</v>
      </c>
      <c r="AC555" s="24">
        <v>0</v>
      </c>
      <c r="AD555" s="24">
        <v>0</v>
      </c>
      <c r="AE555" s="24">
        <v>1</v>
      </c>
      <c r="AF555" s="24">
        <v>0</v>
      </c>
      <c r="AG555" s="24">
        <v>0</v>
      </c>
      <c r="AH555" s="24">
        <v>1</v>
      </c>
      <c r="AI555" s="24">
        <v>0</v>
      </c>
      <c r="AJ555" s="24">
        <v>0</v>
      </c>
      <c r="AK555" s="24">
        <v>0</v>
      </c>
      <c r="AL555" s="24">
        <v>0</v>
      </c>
      <c r="AM555" s="24">
        <v>0</v>
      </c>
      <c r="AN555" s="24">
        <v>0</v>
      </c>
      <c r="AO555" s="24">
        <v>1</v>
      </c>
      <c r="AP555" s="24">
        <v>0</v>
      </c>
      <c r="AQ555" s="24">
        <v>1</v>
      </c>
      <c r="AR555" s="24">
        <v>0</v>
      </c>
      <c r="AS555" s="24">
        <v>0</v>
      </c>
      <c r="AT555" s="24">
        <v>0</v>
      </c>
      <c r="AU555" s="24">
        <v>0</v>
      </c>
      <c r="AV555" s="24">
        <v>1</v>
      </c>
      <c r="AW555" s="24">
        <v>0</v>
      </c>
      <c r="AX555" s="24">
        <v>0</v>
      </c>
      <c r="AY555" s="24">
        <v>0</v>
      </c>
      <c r="AZ555" s="24">
        <v>0</v>
      </c>
      <c r="BA555" s="24">
        <v>1</v>
      </c>
      <c r="BB555" s="24">
        <v>0</v>
      </c>
    </row>
    <row r="556" spans="2:54" ht="13.8" x14ac:dyDescent="0.3">
      <c r="B556" s="24">
        <v>536</v>
      </c>
      <c r="C556" s="24">
        <v>21</v>
      </c>
      <c r="D556" s="24">
        <v>0</v>
      </c>
      <c r="E556" s="24">
        <v>0</v>
      </c>
      <c r="F556" s="24">
        <v>0</v>
      </c>
      <c r="G556" s="24">
        <v>0</v>
      </c>
      <c r="H556" s="24">
        <v>1</v>
      </c>
      <c r="I556" s="24">
        <v>0</v>
      </c>
      <c r="J556" s="24">
        <v>2319</v>
      </c>
      <c r="K556" s="24">
        <v>2</v>
      </c>
      <c r="L556" s="24">
        <v>1</v>
      </c>
      <c r="M556" s="24">
        <v>0</v>
      </c>
      <c r="N556" s="24">
        <v>0</v>
      </c>
      <c r="O556" s="24">
        <v>0</v>
      </c>
      <c r="P556" s="24">
        <v>0</v>
      </c>
      <c r="Q556" s="24">
        <v>0</v>
      </c>
      <c r="R556" s="24">
        <v>0</v>
      </c>
      <c r="S556" s="24">
        <v>33</v>
      </c>
      <c r="T556" s="24">
        <v>0</v>
      </c>
      <c r="U556" s="24">
        <v>1</v>
      </c>
      <c r="V556" s="24">
        <v>0</v>
      </c>
      <c r="W556" s="24">
        <v>1</v>
      </c>
      <c r="X556" s="24">
        <v>1</v>
      </c>
      <c r="Y556" s="24">
        <v>0</v>
      </c>
      <c r="Z556" s="24">
        <v>0</v>
      </c>
      <c r="AA556" s="24">
        <v>0</v>
      </c>
      <c r="AB556" s="24">
        <v>0</v>
      </c>
      <c r="AC556" s="24">
        <v>0</v>
      </c>
      <c r="AD556" s="24">
        <v>1</v>
      </c>
      <c r="AE556" s="24">
        <v>0</v>
      </c>
      <c r="AF556" s="24">
        <v>0</v>
      </c>
      <c r="AG556" s="24">
        <v>0</v>
      </c>
      <c r="AH556" s="24">
        <v>0</v>
      </c>
      <c r="AI556" s="24">
        <v>0</v>
      </c>
      <c r="AJ556" s="24">
        <v>1</v>
      </c>
      <c r="AK556" s="24">
        <v>1</v>
      </c>
      <c r="AL556" s="24">
        <v>0</v>
      </c>
      <c r="AM556" s="24">
        <v>0</v>
      </c>
      <c r="AN556" s="24">
        <v>0</v>
      </c>
      <c r="AO556" s="24">
        <v>0</v>
      </c>
      <c r="AP556" s="24">
        <v>0</v>
      </c>
      <c r="AQ556" s="24">
        <v>1</v>
      </c>
      <c r="AR556" s="24">
        <v>0</v>
      </c>
      <c r="AS556" s="24">
        <v>0</v>
      </c>
      <c r="AT556" s="24">
        <v>0</v>
      </c>
      <c r="AU556" s="24">
        <v>1</v>
      </c>
      <c r="AV556" s="24">
        <v>0</v>
      </c>
      <c r="AW556" s="24">
        <v>0</v>
      </c>
      <c r="AX556" s="24">
        <v>0</v>
      </c>
      <c r="AY556" s="24">
        <v>0</v>
      </c>
      <c r="AZ556" s="24">
        <v>0</v>
      </c>
      <c r="BA556" s="24">
        <v>1</v>
      </c>
      <c r="BB556" s="24">
        <v>0</v>
      </c>
    </row>
    <row r="557" spans="2:54" ht="13.8" x14ac:dyDescent="0.3">
      <c r="B557" s="24">
        <v>537</v>
      </c>
      <c r="C557" s="24">
        <v>6</v>
      </c>
      <c r="D557" s="24">
        <v>1</v>
      </c>
      <c r="E557" s="24">
        <v>0</v>
      </c>
      <c r="F557" s="24">
        <v>0</v>
      </c>
      <c r="G557" s="24">
        <v>0</v>
      </c>
      <c r="H557" s="24">
        <v>0</v>
      </c>
      <c r="I557" s="24">
        <v>0</v>
      </c>
      <c r="J557" s="24">
        <v>1374</v>
      </c>
      <c r="K557" s="24">
        <v>4</v>
      </c>
      <c r="L557" s="24">
        <v>0</v>
      </c>
      <c r="M557" s="24">
        <v>0</v>
      </c>
      <c r="N557" s="24">
        <v>0</v>
      </c>
      <c r="O557" s="24">
        <v>0</v>
      </c>
      <c r="P557" s="24">
        <v>0</v>
      </c>
      <c r="Q557" s="24">
        <v>0</v>
      </c>
      <c r="R557" s="24">
        <v>0</v>
      </c>
      <c r="S557" s="24">
        <v>75</v>
      </c>
      <c r="T557" s="24">
        <v>0</v>
      </c>
      <c r="U557" s="24">
        <v>0</v>
      </c>
      <c r="V557" s="24">
        <v>1</v>
      </c>
      <c r="W557" s="24">
        <v>1</v>
      </c>
      <c r="X557" s="24">
        <v>1</v>
      </c>
      <c r="Y557" s="24">
        <v>1</v>
      </c>
      <c r="Z557" s="24">
        <v>0</v>
      </c>
      <c r="AA557" s="24">
        <v>1</v>
      </c>
      <c r="AB557" s="24">
        <v>1</v>
      </c>
      <c r="AC557" s="24">
        <v>0</v>
      </c>
      <c r="AD557" s="24">
        <v>0</v>
      </c>
      <c r="AE557" s="24">
        <v>0</v>
      </c>
      <c r="AF557" s="24">
        <v>0</v>
      </c>
      <c r="AG557" s="24">
        <v>0</v>
      </c>
      <c r="AH557" s="24">
        <v>1</v>
      </c>
      <c r="AI557" s="24">
        <v>0</v>
      </c>
      <c r="AJ557" s="24">
        <v>0</v>
      </c>
      <c r="AK557" s="24">
        <v>0</v>
      </c>
      <c r="AL557" s="24">
        <v>0</v>
      </c>
      <c r="AM557" s="24">
        <v>0</v>
      </c>
      <c r="AN557" s="24">
        <v>0</v>
      </c>
      <c r="AO557" s="24">
        <v>1</v>
      </c>
      <c r="AP557" s="24">
        <v>1</v>
      </c>
      <c r="AQ557" s="24">
        <v>0</v>
      </c>
      <c r="AR557" s="24">
        <v>0</v>
      </c>
      <c r="AS557" s="24">
        <v>0</v>
      </c>
      <c r="AT557" s="24">
        <v>0</v>
      </c>
      <c r="AU557" s="24">
        <v>0</v>
      </c>
      <c r="AV557" s="24">
        <v>0</v>
      </c>
      <c r="AW557" s="24">
        <v>1</v>
      </c>
      <c r="AX557" s="24">
        <v>0</v>
      </c>
      <c r="AY557" s="24">
        <v>0</v>
      </c>
      <c r="AZ557" s="24">
        <v>0</v>
      </c>
      <c r="BA557" s="24">
        <v>0</v>
      </c>
      <c r="BB557" s="24">
        <v>1</v>
      </c>
    </row>
    <row r="558" spans="2:54" ht="13.8" x14ac:dyDescent="0.3">
      <c r="B558" s="24">
        <v>538</v>
      </c>
      <c r="C558" s="24">
        <v>18</v>
      </c>
      <c r="D558" s="24">
        <v>0</v>
      </c>
      <c r="E558" s="24">
        <v>0</v>
      </c>
      <c r="F558" s="24">
        <v>1</v>
      </c>
      <c r="G558" s="24">
        <v>0</v>
      </c>
      <c r="H558" s="24">
        <v>0</v>
      </c>
      <c r="I558" s="24">
        <v>0</v>
      </c>
      <c r="J558" s="24">
        <v>3612</v>
      </c>
      <c r="K558" s="24">
        <v>3</v>
      </c>
      <c r="L558" s="24">
        <v>0</v>
      </c>
      <c r="M558" s="24">
        <v>0</v>
      </c>
      <c r="N558" s="24">
        <v>0</v>
      </c>
      <c r="O558" s="24">
        <v>0</v>
      </c>
      <c r="P558" s="24">
        <v>0</v>
      </c>
      <c r="Q558" s="24">
        <v>0</v>
      </c>
      <c r="R558" s="24">
        <v>0</v>
      </c>
      <c r="S558" s="24">
        <v>37</v>
      </c>
      <c r="T558" s="24">
        <v>0</v>
      </c>
      <c r="U558" s="24">
        <v>0</v>
      </c>
      <c r="V558" s="24">
        <v>1</v>
      </c>
      <c r="W558" s="24">
        <v>1</v>
      </c>
      <c r="X558" s="24">
        <v>1</v>
      </c>
      <c r="Y558" s="24">
        <v>1</v>
      </c>
      <c r="Z558" s="24">
        <v>0</v>
      </c>
      <c r="AA558" s="24">
        <v>1</v>
      </c>
      <c r="AB558" s="24">
        <v>0</v>
      </c>
      <c r="AC558" s="24">
        <v>1</v>
      </c>
      <c r="AD558" s="24">
        <v>0</v>
      </c>
      <c r="AE558" s="24">
        <v>0</v>
      </c>
      <c r="AF558" s="24">
        <v>0</v>
      </c>
      <c r="AG558" s="24">
        <v>0</v>
      </c>
      <c r="AH558" s="24">
        <v>0</v>
      </c>
      <c r="AI558" s="24">
        <v>0</v>
      </c>
      <c r="AJ558" s="24">
        <v>1</v>
      </c>
      <c r="AK558" s="24">
        <v>1</v>
      </c>
      <c r="AL558" s="24">
        <v>0</v>
      </c>
      <c r="AM558" s="24">
        <v>0</v>
      </c>
      <c r="AN558" s="24">
        <v>0</v>
      </c>
      <c r="AO558" s="24">
        <v>0</v>
      </c>
      <c r="AP558" s="24">
        <v>0</v>
      </c>
      <c r="AQ558" s="24">
        <v>0</v>
      </c>
      <c r="AR558" s="24">
        <v>0</v>
      </c>
      <c r="AS558" s="24">
        <v>0</v>
      </c>
      <c r="AT558" s="24">
        <v>1</v>
      </c>
      <c r="AU558" s="24">
        <v>0</v>
      </c>
      <c r="AV558" s="24">
        <v>0</v>
      </c>
      <c r="AW558" s="24">
        <v>0</v>
      </c>
      <c r="AX558" s="24">
        <v>1</v>
      </c>
      <c r="AY558" s="24">
        <v>0</v>
      </c>
      <c r="AZ558" s="24">
        <v>0</v>
      </c>
      <c r="BA558" s="24">
        <v>1</v>
      </c>
      <c r="BB558" s="24">
        <v>0</v>
      </c>
    </row>
    <row r="559" spans="2:54" ht="13.8" x14ac:dyDescent="0.3">
      <c r="B559" s="24">
        <v>539</v>
      </c>
      <c r="C559" s="24">
        <v>48</v>
      </c>
      <c r="D559" s="24">
        <v>1</v>
      </c>
      <c r="E559" s="24">
        <v>0</v>
      </c>
      <c r="F559" s="24">
        <v>0</v>
      </c>
      <c r="G559" s="24">
        <v>0</v>
      </c>
      <c r="H559" s="24">
        <v>0</v>
      </c>
      <c r="I559" s="24">
        <v>0</v>
      </c>
      <c r="J559" s="24">
        <v>7763</v>
      </c>
      <c r="K559" s="24">
        <v>4</v>
      </c>
      <c r="L559" s="24">
        <v>0</v>
      </c>
      <c r="M559" s="24">
        <v>1</v>
      </c>
      <c r="N559" s="24">
        <v>0</v>
      </c>
      <c r="O559" s="24">
        <v>0</v>
      </c>
      <c r="P559" s="24">
        <v>0</v>
      </c>
      <c r="Q559" s="24">
        <v>0</v>
      </c>
      <c r="R559" s="24">
        <v>1</v>
      </c>
      <c r="S559" s="24">
        <v>42</v>
      </c>
      <c r="T559" s="24">
        <v>1</v>
      </c>
      <c r="U559" s="24">
        <v>0</v>
      </c>
      <c r="V559" s="24">
        <v>0</v>
      </c>
      <c r="W559" s="24">
        <v>1</v>
      </c>
      <c r="X559" s="24">
        <v>1</v>
      </c>
      <c r="Y559" s="24">
        <v>0</v>
      </c>
      <c r="Z559" s="24">
        <v>0</v>
      </c>
      <c r="AA559" s="24">
        <v>0</v>
      </c>
      <c r="AB559" s="24">
        <v>1</v>
      </c>
      <c r="AC559" s="24">
        <v>0</v>
      </c>
      <c r="AD559" s="24">
        <v>0</v>
      </c>
      <c r="AE559" s="24">
        <v>0</v>
      </c>
      <c r="AF559" s="24">
        <v>0</v>
      </c>
      <c r="AG559" s="24">
        <v>0</v>
      </c>
      <c r="AH559" s="24">
        <v>1</v>
      </c>
      <c r="AI559" s="24">
        <v>0</v>
      </c>
      <c r="AJ559" s="24">
        <v>0</v>
      </c>
      <c r="AK559" s="24">
        <v>1</v>
      </c>
      <c r="AL559" s="24">
        <v>0</v>
      </c>
      <c r="AM559" s="24">
        <v>0</v>
      </c>
      <c r="AN559" s="24">
        <v>0</v>
      </c>
      <c r="AO559" s="24">
        <v>0</v>
      </c>
      <c r="AP559" s="24">
        <v>0</v>
      </c>
      <c r="AQ559" s="24">
        <v>0</v>
      </c>
      <c r="AR559" s="24">
        <v>0</v>
      </c>
      <c r="AS559" s="24">
        <v>0</v>
      </c>
      <c r="AT559" s="24">
        <v>1</v>
      </c>
      <c r="AU559" s="24">
        <v>0</v>
      </c>
      <c r="AV559" s="24">
        <v>0</v>
      </c>
      <c r="AW559" s="24">
        <v>0</v>
      </c>
      <c r="AX559" s="24">
        <v>1</v>
      </c>
      <c r="AY559" s="24">
        <v>0</v>
      </c>
      <c r="AZ559" s="24">
        <v>0</v>
      </c>
      <c r="BA559" s="24">
        <v>0</v>
      </c>
      <c r="BB559" s="24">
        <v>1</v>
      </c>
    </row>
    <row r="560" spans="2:54" ht="13.8" x14ac:dyDescent="0.3">
      <c r="B560" s="24">
        <v>540</v>
      </c>
      <c r="C560" s="24">
        <v>18</v>
      </c>
      <c r="D560" s="24">
        <v>0</v>
      </c>
      <c r="E560" s="24">
        <v>0</v>
      </c>
      <c r="F560" s="24">
        <v>1</v>
      </c>
      <c r="G560" s="24">
        <v>0</v>
      </c>
      <c r="H560" s="24">
        <v>0</v>
      </c>
      <c r="I560" s="24">
        <v>0</v>
      </c>
      <c r="J560" s="24">
        <v>3049</v>
      </c>
      <c r="K560" s="24">
        <v>1</v>
      </c>
      <c r="L560" s="24">
        <v>0</v>
      </c>
      <c r="M560" s="24">
        <v>0</v>
      </c>
      <c r="N560" s="24">
        <v>0</v>
      </c>
      <c r="O560" s="24">
        <v>0</v>
      </c>
      <c r="P560" s="24">
        <v>0</v>
      </c>
      <c r="Q560" s="24">
        <v>0</v>
      </c>
      <c r="R560" s="24">
        <v>0</v>
      </c>
      <c r="S560" s="24">
        <v>45</v>
      </c>
      <c r="T560" s="24">
        <v>1</v>
      </c>
      <c r="U560" s="24">
        <v>0</v>
      </c>
      <c r="V560" s="24">
        <v>1</v>
      </c>
      <c r="W560" s="24">
        <v>1</v>
      </c>
      <c r="X560" s="24">
        <v>1</v>
      </c>
      <c r="Y560" s="24">
        <v>0</v>
      </c>
      <c r="Z560" s="24">
        <v>0</v>
      </c>
      <c r="AA560" s="24">
        <v>1</v>
      </c>
      <c r="AB560" s="24">
        <v>0</v>
      </c>
      <c r="AC560" s="24">
        <v>0</v>
      </c>
      <c r="AD560" s="24">
        <v>1</v>
      </c>
      <c r="AE560" s="24">
        <v>0</v>
      </c>
      <c r="AF560" s="24">
        <v>0</v>
      </c>
      <c r="AG560" s="24">
        <v>0</v>
      </c>
      <c r="AH560" s="24">
        <v>1</v>
      </c>
      <c r="AI560" s="24">
        <v>0</v>
      </c>
      <c r="AJ560" s="24">
        <v>0</v>
      </c>
      <c r="AK560" s="24">
        <v>1</v>
      </c>
      <c r="AL560" s="24">
        <v>0</v>
      </c>
      <c r="AM560" s="24">
        <v>0</v>
      </c>
      <c r="AN560" s="24">
        <v>0</v>
      </c>
      <c r="AO560" s="24">
        <v>0</v>
      </c>
      <c r="AP560" s="24">
        <v>0</v>
      </c>
      <c r="AQ560" s="24">
        <v>1</v>
      </c>
      <c r="AR560" s="24">
        <v>0</v>
      </c>
      <c r="AS560" s="24">
        <v>0</v>
      </c>
      <c r="AT560" s="24">
        <v>0</v>
      </c>
      <c r="AU560" s="24">
        <v>1</v>
      </c>
      <c r="AV560" s="24">
        <v>0</v>
      </c>
      <c r="AW560" s="24">
        <v>0</v>
      </c>
      <c r="AX560" s="24">
        <v>0</v>
      </c>
      <c r="AY560" s="24">
        <v>0</v>
      </c>
      <c r="AZ560" s="24">
        <v>1</v>
      </c>
      <c r="BA560" s="24">
        <v>0</v>
      </c>
      <c r="BB560" s="24">
        <v>0</v>
      </c>
    </row>
    <row r="561" spans="2:54" ht="13.8" x14ac:dyDescent="0.3">
      <c r="B561" s="24">
        <v>541</v>
      </c>
      <c r="C561" s="24">
        <v>12</v>
      </c>
      <c r="D561" s="24">
        <v>0</v>
      </c>
      <c r="E561" s="24">
        <v>0</v>
      </c>
      <c r="F561" s="24">
        <v>0</v>
      </c>
      <c r="G561" s="24">
        <v>1</v>
      </c>
      <c r="H561" s="24">
        <v>0</v>
      </c>
      <c r="I561" s="24">
        <v>0</v>
      </c>
      <c r="J561" s="24">
        <v>1534</v>
      </c>
      <c r="K561" s="24">
        <v>1</v>
      </c>
      <c r="L561" s="24">
        <v>0</v>
      </c>
      <c r="M561" s="24">
        <v>0</v>
      </c>
      <c r="N561" s="24">
        <v>1</v>
      </c>
      <c r="O561" s="24">
        <v>0</v>
      </c>
      <c r="P561" s="24">
        <v>0</v>
      </c>
      <c r="Q561" s="24">
        <v>1</v>
      </c>
      <c r="R561" s="24">
        <v>0</v>
      </c>
      <c r="S561" s="24">
        <v>23</v>
      </c>
      <c r="T561" s="24">
        <v>0</v>
      </c>
      <c r="U561" s="24">
        <v>1</v>
      </c>
      <c r="V561" s="24">
        <v>0</v>
      </c>
      <c r="W561" s="24">
        <v>1</v>
      </c>
      <c r="X561" s="24">
        <v>1</v>
      </c>
      <c r="Y561" s="24">
        <v>0</v>
      </c>
      <c r="Z561" s="24">
        <v>0</v>
      </c>
      <c r="AA561" s="24">
        <v>0</v>
      </c>
      <c r="AB561" s="24">
        <v>0</v>
      </c>
      <c r="AC561" s="24">
        <v>1</v>
      </c>
      <c r="AD561" s="24">
        <v>0</v>
      </c>
      <c r="AE561" s="24">
        <v>0</v>
      </c>
      <c r="AF561" s="24">
        <v>0</v>
      </c>
      <c r="AG561" s="24">
        <v>0</v>
      </c>
      <c r="AH561" s="24">
        <v>1</v>
      </c>
      <c r="AI561" s="24">
        <v>0</v>
      </c>
      <c r="AJ561" s="24">
        <v>0</v>
      </c>
      <c r="AK561" s="24">
        <v>1</v>
      </c>
      <c r="AL561" s="24">
        <v>0</v>
      </c>
      <c r="AM561" s="24">
        <v>0</v>
      </c>
      <c r="AN561" s="24">
        <v>0</v>
      </c>
      <c r="AO561" s="24">
        <v>0</v>
      </c>
      <c r="AP561" s="24">
        <v>0</v>
      </c>
      <c r="AQ561" s="24">
        <v>1</v>
      </c>
      <c r="AR561" s="24">
        <v>0</v>
      </c>
      <c r="AS561" s="24">
        <v>0</v>
      </c>
      <c r="AT561" s="24">
        <v>0</v>
      </c>
      <c r="AU561" s="24">
        <v>1</v>
      </c>
      <c r="AV561" s="24">
        <v>0</v>
      </c>
      <c r="AW561" s="24">
        <v>0</v>
      </c>
      <c r="AX561" s="24">
        <v>0</v>
      </c>
      <c r="AY561" s="24">
        <v>0</v>
      </c>
      <c r="AZ561" s="24">
        <v>0</v>
      </c>
      <c r="BA561" s="24">
        <v>1</v>
      </c>
      <c r="BB561" s="24">
        <v>0</v>
      </c>
    </row>
    <row r="562" spans="2:54" ht="13.8" x14ac:dyDescent="0.3">
      <c r="B562" s="24">
        <v>542</v>
      </c>
      <c r="C562" s="24">
        <v>24</v>
      </c>
      <c r="D562" s="24">
        <v>1</v>
      </c>
      <c r="E562" s="24">
        <v>0</v>
      </c>
      <c r="F562" s="24">
        <v>0</v>
      </c>
      <c r="G562" s="24">
        <v>0</v>
      </c>
      <c r="H562" s="24">
        <v>0</v>
      </c>
      <c r="I562" s="24">
        <v>0</v>
      </c>
      <c r="J562" s="24">
        <v>2032</v>
      </c>
      <c r="K562" s="24">
        <v>4</v>
      </c>
      <c r="L562" s="24">
        <v>0</v>
      </c>
      <c r="M562" s="24">
        <v>1</v>
      </c>
      <c r="N562" s="24">
        <v>0</v>
      </c>
      <c r="O562" s="24">
        <v>0</v>
      </c>
      <c r="P562" s="24">
        <v>0</v>
      </c>
      <c r="Q562" s="24">
        <v>0</v>
      </c>
      <c r="R562" s="24">
        <v>1</v>
      </c>
      <c r="S562" s="24">
        <v>60</v>
      </c>
      <c r="T562" s="24">
        <v>0</v>
      </c>
      <c r="U562" s="24">
        <v>0</v>
      </c>
      <c r="V562" s="24">
        <v>0</v>
      </c>
      <c r="W562" s="24">
        <v>2</v>
      </c>
      <c r="X562" s="24">
        <v>1</v>
      </c>
      <c r="Y562" s="24">
        <v>1</v>
      </c>
      <c r="Z562" s="24">
        <v>0</v>
      </c>
      <c r="AA562" s="24">
        <v>1</v>
      </c>
      <c r="AB562" s="24">
        <v>0</v>
      </c>
      <c r="AC562" s="24">
        <v>0</v>
      </c>
      <c r="AD562" s="24">
        <v>0</v>
      </c>
      <c r="AE562" s="24">
        <v>1</v>
      </c>
      <c r="AF562" s="24">
        <v>0</v>
      </c>
      <c r="AG562" s="24">
        <v>0</v>
      </c>
      <c r="AH562" s="24">
        <v>0</v>
      </c>
      <c r="AI562" s="24">
        <v>1</v>
      </c>
      <c r="AJ562" s="24">
        <v>0</v>
      </c>
      <c r="AK562" s="24">
        <v>1</v>
      </c>
      <c r="AL562" s="24">
        <v>0</v>
      </c>
      <c r="AM562" s="24">
        <v>0</v>
      </c>
      <c r="AN562" s="24">
        <v>0</v>
      </c>
      <c r="AO562" s="24">
        <v>0</v>
      </c>
      <c r="AP562" s="24">
        <v>0</v>
      </c>
      <c r="AQ562" s="24">
        <v>0</v>
      </c>
      <c r="AR562" s="24">
        <v>0</v>
      </c>
      <c r="AS562" s="24">
        <v>0</v>
      </c>
      <c r="AT562" s="24">
        <v>1</v>
      </c>
      <c r="AU562" s="24">
        <v>0</v>
      </c>
      <c r="AV562" s="24">
        <v>0</v>
      </c>
      <c r="AW562" s="24">
        <v>0</v>
      </c>
      <c r="AX562" s="24">
        <v>1</v>
      </c>
      <c r="AY562" s="24">
        <v>0</v>
      </c>
      <c r="AZ562" s="24">
        <v>0</v>
      </c>
      <c r="BA562" s="24">
        <v>1</v>
      </c>
      <c r="BB562" s="24">
        <v>0</v>
      </c>
    </row>
    <row r="563" spans="2:54" ht="13.8" x14ac:dyDescent="0.3">
      <c r="B563" s="24">
        <v>543</v>
      </c>
      <c r="C563" s="24">
        <v>30</v>
      </c>
      <c r="D563" s="24">
        <v>0</v>
      </c>
      <c r="E563" s="24">
        <v>0</v>
      </c>
      <c r="F563" s="24">
        <v>1</v>
      </c>
      <c r="G563" s="24">
        <v>0</v>
      </c>
      <c r="H563" s="24">
        <v>0</v>
      </c>
      <c r="I563" s="24">
        <v>0</v>
      </c>
      <c r="J563" s="24">
        <v>6350</v>
      </c>
      <c r="K563" s="24">
        <v>4</v>
      </c>
      <c r="L563" s="24">
        <v>0</v>
      </c>
      <c r="M563" s="24">
        <v>1</v>
      </c>
      <c r="N563" s="24">
        <v>0</v>
      </c>
      <c r="O563" s="24">
        <v>0</v>
      </c>
      <c r="P563" s="24">
        <v>0</v>
      </c>
      <c r="Q563" s="24">
        <v>0</v>
      </c>
      <c r="R563" s="24">
        <v>0</v>
      </c>
      <c r="S563" s="24">
        <v>31</v>
      </c>
      <c r="T563" s="24">
        <v>0</v>
      </c>
      <c r="U563" s="24">
        <v>0</v>
      </c>
      <c r="V563" s="24">
        <v>1</v>
      </c>
      <c r="W563" s="24">
        <v>1</v>
      </c>
      <c r="X563" s="24">
        <v>1</v>
      </c>
      <c r="Y563" s="24">
        <v>0</v>
      </c>
      <c r="Z563" s="24">
        <v>0</v>
      </c>
      <c r="AA563" s="24">
        <v>0</v>
      </c>
      <c r="AB563" s="24">
        <v>1</v>
      </c>
      <c r="AC563" s="24">
        <v>0</v>
      </c>
      <c r="AD563" s="24">
        <v>0</v>
      </c>
      <c r="AE563" s="24">
        <v>0</v>
      </c>
      <c r="AF563" s="24">
        <v>0</v>
      </c>
      <c r="AG563" s="24">
        <v>0</v>
      </c>
      <c r="AH563" s="24">
        <v>1</v>
      </c>
      <c r="AI563" s="24">
        <v>0</v>
      </c>
      <c r="AJ563" s="24">
        <v>0</v>
      </c>
      <c r="AK563" s="24">
        <v>0</v>
      </c>
      <c r="AL563" s="24">
        <v>0</v>
      </c>
      <c r="AM563" s="24">
        <v>0</v>
      </c>
      <c r="AN563" s="24">
        <v>0</v>
      </c>
      <c r="AO563" s="24">
        <v>1</v>
      </c>
      <c r="AP563" s="24">
        <v>0</v>
      </c>
      <c r="AQ563" s="24">
        <v>0</v>
      </c>
      <c r="AR563" s="24">
        <v>0</v>
      </c>
      <c r="AS563" s="24">
        <v>0</v>
      </c>
      <c r="AT563" s="24">
        <v>1</v>
      </c>
      <c r="AU563" s="24">
        <v>0</v>
      </c>
      <c r="AV563" s="24">
        <v>0</v>
      </c>
      <c r="AW563" s="24">
        <v>0</v>
      </c>
      <c r="AX563" s="24">
        <v>1</v>
      </c>
      <c r="AY563" s="24">
        <v>0</v>
      </c>
      <c r="AZ563" s="24">
        <v>0</v>
      </c>
      <c r="BA563" s="24">
        <v>1</v>
      </c>
      <c r="BB563" s="24">
        <v>0</v>
      </c>
    </row>
    <row r="564" spans="2:54" ht="13.8" x14ac:dyDescent="0.3">
      <c r="B564" s="24">
        <v>544</v>
      </c>
      <c r="C564" s="24">
        <v>18</v>
      </c>
      <c r="D564" s="24">
        <v>0</v>
      </c>
      <c r="E564" s="24">
        <v>0</v>
      </c>
      <c r="F564" s="24">
        <v>1</v>
      </c>
      <c r="G564" s="24">
        <v>0</v>
      </c>
      <c r="H564" s="24">
        <v>0</v>
      </c>
      <c r="I564" s="24">
        <v>0</v>
      </c>
      <c r="J564" s="24">
        <v>2864</v>
      </c>
      <c r="K564" s="24">
        <v>2</v>
      </c>
      <c r="L564" s="24">
        <v>0</v>
      </c>
      <c r="M564" s="24">
        <v>1</v>
      </c>
      <c r="N564" s="24">
        <v>0</v>
      </c>
      <c r="O564" s="24">
        <v>0</v>
      </c>
      <c r="P564" s="24">
        <v>0</v>
      </c>
      <c r="Q564" s="24">
        <v>1</v>
      </c>
      <c r="R564" s="24">
        <v>0</v>
      </c>
      <c r="S564" s="24">
        <v>34</v>
      </c>
      <c r="T564" s="24">
        <v>0</v>
      </c>
      <c r="U564" s="24">
        <v>0</v>
      </c>
      <c r="V564" s="24">
        <v>1</v>
      </c>
      <c r="W564" s="24">
        <v>1</v>
      </c>
      <c r="X564" s="24">
        <v>2</v>
      </c>
      <c r="Y564" s="24">
        <v>0</v>
      </c>
      <c r="Z564" s="24">
        <v>0</v>
      </c>
      <c r="AA564" s="24">
        <v>0</v>
      </c>
      <c r="AB564" s="24">
        <v>0</v>
      </c>
      <c r="AC564" s="24">
        <v>0</v>
      </c>
      <c r="AD564" s="24">
        <v>1</v>
      </c>
      <c r="AE564" s="24">
        <v>0</v>
      </c>
      <c r="AF564" s="24">
        <v>0</v>
      </c>
      <c r="AG564" s="24">
        <v>0</v>
      </c>
      <c r="AH564" s="24">
        <v>1</v>
      </c>
      <c r="AI564" s="24">
        <v>0</v>
      </c>
      <c r="AJ564" s="24">
        <v>0</v>
      </c>
      <c r="AK564" s="24">
        <v>1</v>
      </c>
      <c r="AL564" s="24">
        <v>0</v>
      </c>
      <c r="AM564" s="24">
        <v>0</v>
      </c>
      <c r="AN564" s="24">
        <v>0</v>
      </c>
      <c r="AO564" s="24">
        <v>0</v>
      </c>
      <c r="AP564" s="24">
        <v>0</v>
      </c>
      <c r="AQ564" s="24">
        <v>0</v>
      </c>
      <c r="AR564" s="24">
        <v>1</v>
      </c>
      <c r="AS564" s="24">
        <v>0</v>
      </c>
      <c r="AT564" s="24">
        <v>0</v>
      </c>
      <c r="AU564" s="24">
        <v>1</v>
      </c>
      <c r="AV564" s="24">
        <v>0</v>
      </c>
      <c r="AW564" s="24">
        <v>0</v>
      </c>
      <c r="AX564" s="24">
        <v>0</v>
      </c>
      <c r="AY564" s="24">
        <v>0</v>
      </c>
      <c r="AZ564" s="24">
        <v>1</v>
      </c>
      <c r="BA564" s="24">
        <v>0</v>
      </c>
      <c r="BB564" s="24">
        <v>0</v>
      </c>
    </row>
    <row r="565" spans="2:54" ht="13.8" x14ac:dyDescent="0.3">
      <c r="B565" s="24">
        <v>545</v>
      </c>
      <c r="C565" s="24">
        <v>12</v>
      </c>
      <c r="D565" s="24">
        <v>1</v>
      </c>
      <c r="E565" s="24">
        <v>0</v>
      </c>
      <c r="F565" s="24">
        <v>0</v>
      </c>
      <c r="G565" s="24">
        <v>0</v>
      </c>
      <c r="H565" s="24">
        <v>0</v>
      </c>
      <c r="I565" s="24">
        <v>0</v>
      </c>
      <c r="J565" s="24">
        <v>1255</v>
      </c>
      <c r="K565" s="24">
        <v>4</v>
      </c>
      <c r="L565" s="24">
        <v>0</v>
      </c>
      <c r="M565" s="24">
        <v>1</v>
      </c>
      <c r="N565" s="24">
        <v>0</v>
      </c>
      <c r="O565" s="24">
        <v>0</v>
      </c>
      <c r="P565" s="24">
        <v>0</v>
      </c>
      <c r="Q565" s="24">
        <v>1</v>
      </c>
      <c r="R565" s="24">
        <v>0</v>
      </c>
      <c r="S565" s="24">
        <v>61</v>
      </c>
      <c r="T565" s="24">
        <v>0</v>
      </c>
      <c r="U565" s="24">
        <v>0</v>
      </c>
      <c r="V565" s="24">
        <v>1</v>
      </c>
      <c r="W565" s="24">
        <v>2</v>
      </c>
      <c r="X565" s="24">
        <v>1</v>
      </c>
      <c r="Y565" s="24">
        <v>0</v>
      </c>
      <c r="Z565" s="24">
        <v>0</v>
      </c>
      <c r="AA565" s="24">
        <v>1</v>
      </c>
      <c r="AB565" s="24">
        <v>0</v>
      </c>
      <c r="AC565" s="24">
        <v>0</v>
      </c>
      <c r="AD565" s="24">
        <v>0</v>
      </c>
      <c r="AE565" s="24">
        <v>1</v>
      </c>
      <c r="AF565" s="24">
        <v>0</v>
      </c>
      <c r="AG565" s="24">
        <v>0</v>
      </c>
      <c r="AH565" s="24">
        <v>0</v>
      </c>
      <c r="AI565" s="24">
        <v>0</v>
      </c>
      <c r="AJ565" s="24">
        <v>1</v>
      </c>
      <c r="AK565" s="24">
        <v>1</v>
      </c>
      <c r="AL565" s="24">
        <v>0</v>
      </c>
      <c r="AM565" s="24">
        <v>0</v>
      </c>
      <c r="AN565" s="24">
        <v>0</v>
      </c>
      <c r="AO565" s="24">
        <v>0</v>
      </c>
      <c r="AP565" s="24">
        <v>0</v>
      </c>
      <c r="AQ565" s="24">
        <v>0</v>
      </c>
      <c r="AR565" s="24">
        <v>0</v>
      </c>
      <c r="AS565" s="24">
        <v>0</v>
      </c>
      <c r="AT565" s="24">
        <v>1</v>
      </c>
      <c r="AU565" s="24">
        <v>0</v>
      </c>
      <c r="AV565" s="24">
        <v>0</v>
      </c>
      <c r="AW565" s="24">
        <v>0</v>
      </c>
      <c r="AX565" s="24">
        <v>1</v>
      </c>
      <c r="AY565" s="24">
        <v>0</v>
      </c>
      <c r="AZ565" s="24">
        <v>1</v>
      </c>
      <c r="BA565" s="24">
        <v>0</v>
      </c>
      <c r="BB565" s="24">
        <v>0</v>
      </c>
    </row>
    <row r="566" spans="2:54" ht="13.8" x14ac:dyDescent="0.3">
      <c r="B566" s="24">
        <v>546</v>
      </c>
      <c r="C566" s="24">
        <v>24</v>
      </c>
      <c r="D566" s="24">
        <v>1</v>
      </c>
      <c r="E566" s="24">
        <v>0</v>
      </c>
      <c r="F566" s="24">
        <v>0</v>
      </c>
      <c r="G566" s="24">
        <v>0</v>
      </c>
      <c r="H566" s="24">
        <v>0</v>
      </c>
      <c r="I566" s="24">
        <v>0</v>
      </c>
      <c r="J566" s="24">
        <v>1333</v>
      </c>
      <c r="K566" s="24">
        <v>4</v>
      </c>
      <c r="L566" s="24">
        <v>0</v>
      </c>
      <c r="M566" s="24">
        <v>1</v>
      </c>
      <c r="N566" s="24">
        <v>0</v>
      </c>
      <c r="O566" s="24">
        <v>0</v>
      </c>
      <c r="P566" s="24">
        <v>0</v>
      </c>
      <c r="Q566" s="24">
        <v>1</v>
      </c>
      <c r="R566" s="24">
        <v>0</v>
      </c>
      <c r="S566" s="24">
        <v>43</v>
      </c>
      <c r="T566" s="24">
        <v>0</v>
      </c>
      <c r="U566" s="24">
        <v>0</v>
      </c>
      <c r="V566" s="24">
        <v>0</v>
      </c>
      <c r="W566" s="24">
        <v>2</v>
      </c>
      <c r="X566" s="24">
        <v>2</v>
      </c>
      <c r="Y566" s="24">
        <v>0</v>
      </c>
      <c r="Z566" s="24">
        <v>0</v>
      </c>
      <c r="AA566" s="24">
        <v>0</v>
      </c>
      <c r="AB566" s="24">
        <v>1</v>
      </c>
      <c r="AC566" s="24">
        <v>0</v>
      </c>
      <c r="AD566" s="24">
        <v>0</v>
      </c>
      <c r="AE566" s="24">
        <v>0</v>
      </c>
      <c r="AF566" s="24">
        <v>0</v>
      </c>
      <c r="AG566" s="24">
        <v>0</v>
      </c>
      <c r="AH566" s="24">
        <v>0</v>
      </c>
      <c r="AI566" s="24">
        <v>1</v>
      </c>
      <c r="AJ566" s="24">
        <v>0</v>
      </c>
      <c r="AK566" s="24">
        <v>1</v>
      </c>
      <c r="AL566" s="24">
        <v>0</v>
      </c>
      <c r="AM566" s="24">
        <v>0</v>
      </c>
      <c r="AN566" s="24">
        <v>0</v>
      </c>
      <c r="AO566" s="24">
        <v>0</v>
      </c>
      <c r="AP566" s="24">
        <v>1</v>
      </c>
      <c r="AQ566" s="24">
        <v>0</v>
      </c>
      <c r="AR566" s="24">
        <v>0</v>
      </c>
      <c r="AS566" s="24">
        <v>0</v>
      </c>
      <c r="AT566" s="24">
        <v>0</v>
      </c>
      <c r="AU566" s="24">
        <v>0</v>
      </c>
      <c r="AV566" s="24">
        <v>1</v>
      </c>
      <c r="AW566" s="24">
        <v>0</v>
      </c>
      <c r="AX566" s="24">
        <v>0</v>
      </c>
      <c r="AY566" s="24">
        <v>0</v>
      </c>
      <c r="AZ566" s="24">
        <v>0</v>
      </c>
      <c r="BA566" s="24">
        <v>1</v>
      </c>
      <c r="BB566" s="24">
        <v>0</v>
      </c>
    </row>
    <row r="567" spans="2:54" ht="13.8" x14ac:dyDescent="0.3">
      <c r="B567" s="24">
        <v>547</v>
      </c>
      <c r="C567" s="24">
        <v>24</v>
      </c>
      <c r="D567" s="24">
        <v>1</v>
      </c>
      <c r="E567" s="24">
        <v>0</v>
      </c>
      <c r="F567" s="24">
        <v>0</v>
      </c>
      <c r="G567" s="24">
        <v>0</v>
      </c>
      <c r="H567" s="24">
        <v>0</v>
      </c>
      <c r="I567" s="24">
        <v>0</v>
      </c>
      <c r="J567" s="24">
        <v>2022</v>
      </c>
      <c r="K567" s="24">
        <v>4</v>
      </c>
      <c r="L567" s="24">
        <v>0</v>
      </c>
      <c r="M567" s="24">
        <v>0</v>
      </c>
      <c r="N567" s="24">
        <v>0</v>
      </c>
      <c r="O567" s="24">
        <v>0</v>
      </c>
      <c r="P567" s="24">
        <v>0</v>
      </c>
      <c r="Q567" s="24">
        <v>0</v>
      </c>
      <c r="R567" s="24">
        <v>0</v>
      </c>
      <c r="S567" s="24">
        <v>37</v>
      </c>
      <c r="T567" s="24">
        <v>0</v>
      </c>
      <c r="U567" s="24">
        <v>0</v>
      </c>
      <c r="V567" s="24">
        <v>1</v>
      </c>
      <c r="W567" s="24">
        <v>1</v>
      </c>
      <c r="X567" s="24">
        <v>1</v>
      </c>
      <c r="Y567" s="24">
        <v>1</v>
      </c>
      <c r="Z567" s="24">
        <v>0</v>
      </c>
      <c r="AA567" s="24">
        <v>1</v>
      </c>
      <c r="AB567" s="24">
        <v>0</v>
      </c>
      <c r="AC567" s="24">
        <v>0</v>
      </c>
      <c r="AD567" s="24">
        <v>0</v>
      </c>
      <c r="AE567" s="24">
        <v>1</v>
      </c>
      <c r="AF567" s="24">
        <v>0</v>
      </c>
      <c r="AG567" s="24">
        <v>0</v>
      </c>
      <c r="AH567" s="24">
        <v>0</v>
      </c>
      <c r="AI567" s="24">
        <v>0</v>
      </c>
      <c r="AJ567" s="24">
        <v>1</v>
      </c>
      <c r="AK567" s="24">
        <v>1</v>
      </c>
      <c r="AL567" s="24">
        <v>0</v>
      </c>
      <c r="AM567" s="24">
        <v>0</v>
      </c>
      <c r="AN567" s="24">
        <v>0</v>
      </c>
      <c r="AO567" s="24">
        <v>0</v>
      </c>
      <c r="AP567" s="24">
        <v>0</v>
      </c>
      <c r="AQ567" s="24">
        <v>0</v>
      </c>
      <c r="AR567" s="24">
        <v>1</v>
      </c>
      <c r="AS567" s="24">
        <v>0</v>
      </c>
      <c r="AT567" s="24">
        <v>0</v>
      </c>
      <c r="AU567" s="24">
        <v>0</v>
      </c>
      <c r="AV567" s="24">
        <v>0</v>
      </c>
      <c r="AW567" s="24">
        <v>0</v>
      </c>
      <c r="AX567" s="24">
        <v>1</v>
      </c>
      <c r="AY567" s="24">
        <v>0</v>
      </c>
      <c r="AZ567" s="24">
        <v>0</v>
      </c>
      <c r="BA567" s="24">
        <v>1</v>
      </c>
      <c r="BB567" s="24">
        <v>0</v>
      </c>
    </row>
    <row r="568" spans="2:54" ht="13.8" x14ac:dyDescent="0.3">
      <c r="B568" s="24">
        <v>548</v>
      </c>
      <c r="C568" s="24">
        <v>24</v>
      </c>
      <c r="D568" s="24">
        <v>0</v>
      </c>
      <c r="E568" s="24">
        <v>0</v>
      </c>
      <c r="F568" s="24">
        <v>0</v>
      </c>
      <c r="G568" s="24">
        <v>1</v>
      </c>
      <c r="H568" s="24">
        <v>0</v>
      </c>
      <c r="I568" s="24">
        <v>0</v>
      </c>
      <c r="J568" s="24">
        <v>1552</v>
      </c>
      <c r="K568" s="24">
        <v>3</v>
      </c>
      <c r="L568" s="24">
        <v>0</v>
      </c>
      <c r="M568" s="24">
        <v>1</v>
      </c>
      <c r="N568" s="24">
        <v>0</v>
      </c>
      <c r="O568" s="24">
        <v>0</v>
      </c>
      <c r="P568" s="24">
        <v>0</v>
      </c>
      <c r="Q568" s="24">
        <v>0</v>
      </c>
      <c r="R568" s="24">
        <v>0</v>
      </c>
      <c r="S568" s="24">
        <v>32</v>
      </c>
      <c r="T568" s="24">
        <v>1</v>
      </c>
      <c r="U568" s="24">
        <v>0</v>
      </c>
      <c r="V568" s="24">
        <v>1</v>
      </c>
      <c r="W568" s="24">
        <v>1</v>
      </c>
      <c r="X568" s="24">
        <v>2</v>
      </c>
      <c r="Y568" s="24">
        <v>0</v>
      </c>
      <c r="Z568" s="24">
        <v>0</v>
      </c>
      <c r="AA568" s="24">
        <v>1</v>
      </c>
      <c r="AB568" s="24">
        <v>0</v>
      </c>
      <c r="AC568" s="24">
        <v>0</v>
      </c>
      <c r="AD568" s="24">
        <v>0</v>
      </c>
      <c r="AE568" s="24">
        <v>1</v>
      </c>
      <c r="AF568" s="24">
        <v>0</v>
      </c>
      <c r="AG568" s="24">
        <v>0</v>
      </c>
      <c r="AH568" s="24">
        <v>1</v>
      </c>
      <c r="AI568" s="24">
        <v>0</v>
      </c>
      <c r="AJ568" s="24">
        <v>0</v>
      </c>
      <c r="AK568" s="24">
        <v>1</v>
      </c>
      <c r="AL568" s="24">
        <v>0</v>
      </c>
      <c r="AM568" s="24">
        <v>0</v>
      </c>
      <c r="AN568" s="24">
        <v>0</v>
      </c>
      <c r="AO568" s="24">
        <v>0</v>
      </c>
      <c r="AP568" s="24">
        <v>0</v>
      </c>
      <c r="AQ568" s="24">
        <v>0</v>
      </c>
      <c r="AR568" s="24">
        <v>0</v>
      </c>
      <c r="AS568" s="24">
        <v>1</v>
      </c>
      <c r="AT568" s="24">
        <v>0</v>
      </c>
      <c r="AU568" s="24">
        <v>1</v>
      </c>
      <c r="AV568" s="24">
        <v>0</v>
      </c>
      <c r="AW568" s="24">
        <v>0</v>
      </c>
      <c r="AX568" s="24">
        <v>0</v>
      </c>
      <c r="AY568" s="24">
        <v>0</v>
      </c>
      <c r="AZ568" s="24">
        <v>0</v>
      </c>
      <c r="BA568" s="24">
        <v>1</v>
      </c>
      <c r="BB568" s="24">
        <v>0</v>
      </c>
    </row>
    <row r="569" spans="2:54" ht="13.8" x14ac:dyDescent="0.3">
      <c r="B569" s="24">
        <v>549</v>
      </c>
      <c r="C569" s="24">
        <v>12</v>
      </c>
      <c r="D569" s="24">
        <v>0</v>
      </c>
      <c r="E569" s="24">
        <v>0</v>
      </c>
      <c r="F569" s="24">
        <v>0</v>
      </c>
      <c r="G569" s="24">
        <v>1</v>
      </c>
      <c r="H569" s="24">
        <v>0</v>
      </c>
      <c r="I569" s="24">
        <v>0</v>
      </c>
      <c r="J569" s="24">
        <v>626</v>
      </c>
      <c r="K569" s="24">
        <v>4</v>
      </c>
      <c r="L569" s="24">
        <v>0</v>
      </c>
      <c r="M569" s="24">
        <v>0</v>
      </c>
      <c r="N569" s="24">
        <v>0</v>
      </c>
      <c r="O569" s="24">
        <v>0</v>
      </c>
      <c r="P569" s="24">
        <v>0</v>
      </c>
      <c r="Q569" s="24">
        <v>1</v>
      </c>
      <c r="R569" s="24">
        <v>0</v>
      </c>
      <c r="S569" s="24">
        <v>24</v>
      </c>
      <c r="T569" s="24">
        <v>1</v>
      </c>
      <c r="U569" s="24">
        <v>0</v>
      </c>
      <c r="V569" s="24">
        <v>1</v>
      </c>
      <c r="W569" s="24">
        <v>1</v>
      </c>
      <c r="X569" s="24">
        <v>1</v>
      </c>
      <c r="Y569" s="24">
        <v>0</v>
      </c>
      <c r="Z569" s="24">
        <v>0</v>
      </c>
      <c r="AA569" s="24">
        <v>0</v>
      </c>
      <c r="AB569" s="24">
        <v>1</v>
      </c>
      <c r="AC569" s="24">
        <v>0</v>
      </c>
      <c r="AD569" s="24">
        <v>0</v>
      </c>
      <c r="AE569" s="24">
        <v>0</v>
      </c>
      <c r="AF569" s="24">
        <v>0</v>
      </c>
      <c r="AG569" s="24">
        <v>1</v>
      </c>
      <c r="AH569" s="24">
        <v>0</v>
      </c>
      <c r="AI569" s="24">
        <v>0</v>
      </c>
      <c r="AJ569" s="24">
        <v>0</v>
      </c>
      <c r="AK569" s="24">
        <v>1</v>
      </c>
      <c r="AL569" s="24">
        <v>0</v>
      </c>
      <c r="AM569" s="24">
        <v>0</v>
      </c>
      <c r="AN569" s="24">
        <v>0</v>
      </c>
      <c r="AO569" s="24">
        <v>0</v>
      </c>
      <c r="AP569" s="24">
        <v>0</v>
      </c>
      <c r="AQ569" s="24">
        <v>0</v>
      </c>
      <c r="AR569" s="24">
        <v>1</v>
      </c>
      <c r="AS569" s="24">
        <v>0</v>
      </c>
      <c r="AT569" s="24">
        <v>0</v>
      </c>
      <c r="AU569" s="24">
        <v>0</v>
      </c>
      <c r="AV569" s="24">
        <v>0</v>
      </c>
      <c r="AW569" s="24">
        <v>0</v>
      </c>
      <c r="AX569" s="24">
        <v>1</v>
      </c>
      <c r="AY569" s="24">
        <v>0</v>
      </c>
      <c r="AZ569" s="24">
        <v>1</v>
      </c>
      <c r="BA569" s="24">
        <v>0</v>
      </c>
      <c r="BB569" s="24">
        <v>0</v>
      </c>
    </row>
    <row r="570" spans="2:54" ht="13.8" x14ac:dyDescent="0.3">
      <c r="B570" s="24">
        <v>550</v>
      </c>
      <c r="C570" s="24">
        <v>48</v>
      </c>
      <c r="D570" s="24">
        <v>0</v>
      </c>
      <c r="E570" s="24">
        <v>1</v>
      </c>
      <c r="F570" s="24">
        <v>0</v>
      </c>
      <c r="G570" s="24">
        <v>0</v>
      </c>
      <c r="H570" s="24">
        <v>0</v>
      </c>
      <c r="I570" s="24">
        <v>0</v>
      </c>
      <c r="J570" s="24">
        <v>8858</v>
      </c>
      <c r="K570" s="24">
        <v>2</v>
      </c>
      <c r="L570" s="24">
        <v>0</v>
      </c>
      <c r="M570" s="24">
        <v>1</v>
      </c>
      <c r="N570" s="24">
        <v>0</v>
      </c>
      <c r="O570" s="24">
        <v>0</v>
      </c>
      <c r="P570" s="24">
        <v>0</v>
      </c>
      <c r="Q570" s="24">
        <v>0</v>
      </c>
      <c r="R570" s="24">
        <v>1</v>
      </c>
      <c r="S570" s="24">
        <v>35</v>
      </c>
      <c r="T570" s="24">
        <v>0</v>
      </c>
      <c r="U570" s="24">
        <v>0</v>
      </c>
      <c r="V570" s="24">
        <v>0</v>
      </c>
      <c r="W570" s="24">
        <v>2</v>
      </c>
      <c r="X570" s="24">
        <v>1</v>
      </c>
      <c r="Y570" s="24">
        <v>1</v>
      </c>
      <c r="Z570" s="24">
        <v>0</v>
      </c>
      <c r="AA570" s="24">
        <v>1</v>
      </c>
      <c r="AB570" s="24">
        <v>0</v>
      </c>
      <c r="AC570" s="24">
        <v>0</v>
      </c>
      <c r="AD570" s="24">
        <v>0</v>
      </c>
      <c r="AE570" s="24">
        <v>1</v>
      </c>
      <c r="AF570" s="24">
        <v>0</v>
      </c>
      <c r="AG570" s="24">
        <v>0</v>
      </c>
      <c r="AH570" s="24">
        <v>0</v>
      </c>
      <c r="AI570" s="24">
        <v>0</v>
      </c>
      <c r="AJ570" s="24">
        <v>1</v>
      </c>
      <c r="AK570" s="24">
        <v>0</v>
      </c>
      <c r="AL570" s="24">
        <v>0</v>
      </c>
      <c r="AM570" s="24">
        <v>0</v>
      </c>
      <c r="AN570" s="24">
        <v>0</v>
      </c>
      <c r="AO570" s="24">
        <v>1</v>
      </c>
      <c r="AP570" s="24">
        <v>0</v>
      </c>
      <c r="AQ570" s="24">
        <v>0</v>
      </c>
      <c r="AR570" s="24">
        <v>0</v>
      </c>
      <c r="AS570" s="24">
        <v>1</v>
      </c>
      <c r="AT570" s="24">
        <v>0</v>
      </c>
      <c r="AU570" s="24">
        <v>1</v>
      </c>
      <c r="AV570" s="24">
        <v>0</v>
      </c>
      <c r="AW570" s="24">
        <v>0</v>
      </c>
      <c r="AX570" s="24">
        <v>0</v>
      </c>
      <c r="AY570" s="24">
        <v>0</v>
      </c>
      <c r="AZ570" s="24">
        <v>0</v>
      </c>
      <c r="BA570" s="24">
        <v>1</v>
      </c>
      <c r="BB570" s="24">
        <v>0</v>
      </c>
    </row>
    <row r="571" spans="2:54" ht="13.8" x14ac:dyDescent="0.3">
      <c r="B571" s="24">
        <v>551</v>
      </c>
      <c r="C571" s="24">
        <v>12</v>
      </c>
      <c r="D571" s="24">
        <v>0</v>
      </c>
      <c r="E571" s="24">
        <v>0</v>
      </c>
      <c r="F571" s="24">
        <v>0</v>
      </c>
      <c r="G571" s="24">
        <v>0</v>
      </c>
      <c r="H571" s="24">
        <v>0</v>
      </c>
      <c r="I571" s="24">
        <v>0</v>
      </c>
      <c r="J571" s="24">
        <v>996</v>
      </c>
      <c r="K571" s="24">
        <v>4</v>
      </c>
      <c r="L571" s="24">
        <v>0</v>
      </c>
      <c r="M571" s="24">
        <v>0</v>
      </c>
      <c r="N571" s="24">
        <v>0</v>
      </c>
      <c r="O571" s="24">
        <v>0</v>
      </c>
      <c r="P571" s="24">
        <v>0</v>
      </c>
      <c r="Q571" s="24">
        <v>1</v>
      </c>
      <c r="R571" s="24">
        <v>0</v>
      </c>
      <c r="S571" s="24">
        <v>23</v>
      </c>
      <c r="T571" s="24">
        <v>0</v>
      </c>
      <c r="U571" s="24">
        <v>0</v>
      </c>
      <c r="V571" s="24">
        <v>1</v>
      </c>
      <c r="W571" s="24">
        <v>2</v>
      </c>
      <c r="X571" s="24">
        <v>1</v>
      </c>
      <c r="Y571" s="24">
        <v>0</v>
      </c>
      <c r="Z571" s="24">
        <v>0</v>
      </c>
      <c r="AA571" s="24">
        <v>1</v>
      </c>
      <c r="AB571" s="24">
        <v>0</v>
      </c>
      <c r="AC571" s="24">
        <v>0</v>
      </c>
      <c r="AD571" s="24">
        <v>0</v>
      </c>
      <c r="AE571" s="24">
        <v>1</v>
      </c>
      <c r="AF571" s="24">
        <v>0</v>
      </c>
      <c r="AG571" s="24">
        <v>0</v>
      </c>
      <c r="AH571" s="24">
        <v>0</v>
      </c>
      <c r="AI571" s="24">
        <v>0</v>
      </c>
      <c r="AJ571" s="24">
        <v>1</v>
      </c>
      <c r="AK571" s="24">
        <v>0</v>
      </c>
      <c r="AL571" s="24">
        <v>0</v>
      </c>
      <c r="AM571" s="24">
        <v>0</v>
      </c>
      <c r="AN571" s="24">
        <v>0</v>
      </c>
      <c r="AO571" s="24">
        <v>1</v>
      </c>
      <c r="AP571" s="24">
        <v>0</v>
      </c>
      <c r="AQ571" s="24">
        <v>0</v>
      </c>
      <c r="AR571" s="24">
        <v>0</v>
      </c>
      <c r="AS571" s="24">
        <v>1</v>
      </c>
      <c r="AT571" s="24">
        <v>0</v>
      </c>
      <c r="AU571" s="24">
        <v>0</v>
      </c>
      <c r="AV571" s="24">
        <v>0</v>
      </c>
      <c r="AW571" s="24">
        <v>0</v>
      </c>
      <c r="AX571" s="24">
        <v>1</v>
      </c>
      <c r="AY571" s="24">
        <v>0</v>
      </c>
      <c r="AZ571" s="24">
        <v>0</v>
      </c>
      <c r="BA571" s="24">
        <v>1</v>
      </c>
      <c r="BB571" s="24">
        <v>0</v>
      </c>
    </row>
    <row r="572" spans="2:54" ht="13.8" x14ac:dyDescent="0.3">
      <c r="B572" s="24">
        <v>552</v>
      </c>
      <c r="C572" s="24">
        <v>6</v>
      </c>
      <c r="D572" s="24">
        <v>0</v>
      </c>
      <c r="E572" s="24">
        <v>0</v>
      </c>
      <c r="F572" s="24">
        <v>0</v>
      </c>
      <c r="G572" s="24">
        <v>1</v>
      </c>
      <c r="H572" s="24">
        <v>0</v>
      </c>
      <c r="I572" s="24">
        <v>0</v>
      </c>
      <c r="J572" s="24">
        <v>1750</v>
      </c>
      <c r="K572" s="24">
        <v>2</v>
      </c>
      <c r="L572" s="24">
        <v>0</v>
      </c>
      <c r="M572" s="24">
        <v>1</v>
      </c>
      <c r="N572" s="24">
        <v>0</v>
      </c>
      <c r="O572" s="24">
        <v>0</v>
      </c>
      <c r="P572" s="24">
        <v>0</v>
      </c>
      <c r="Q572" s="24">
        <v>0</v>
      </c>
      <c r="R572" s="24">
        <v>0</v>
      </c>
      <c r="S572" s="24">
        <v>45</v>
      </c>
      <c r="T572" s="24">
        <v>1</v>
      </c>
      <c r="U572" s="24">
        <v>0</v>
      </c>
      <c r="V572" s="24">
        <v>1</v>
      </c>
      <c r="W572" s="24">
        <v>1</v>
      </c>
      <c r="X572" s="24">
        <v>2</v>
      </c>
      <c r="Y572" s="24">
        <v>0</v>
      </c>
      <c r="Z572" s="24">
        <v>0</v>
      </c>
      <c r="AA572" s="24">
        <v>1</v>
      </c>
      <c r="AB572" s="24">
        <v>0</v>
      </c>
      <c r="AC572" s="24">
        <v>0</v>
      </c>
      <c r="AD572" s="24">
        <v>0</v>
      </c>
      <c r="AE572" s="24">
        <v>1</v>
      </c>
      <c r="AF572" s="24">
        <v>0</v>
      </c>
      <c r="AG572" s="24">
        <v>1</v>
      </c>
      <c r="AH572" s="24">
        <v>0</v>
      </c>
      <c r="AI572" s="24">
        <v>0</v>
      </c>
      <c r="AJ572" s="24">
        <v>0</v>
      </c>
      <c r="AK572" s="24">
        <v>0</v>
      </c>
      <c r="AL572" s="24">
        <v>0</v>
      </c>
      <c r="AM572" s="24">
        <v>1</v>
      </c>
      <c r="AN572" s="24">
        <v>0</v>
      </c>
      <c r="AO572" s="24">
        <v>0</v>
      </c>
      <c r="AP572" s="24">
        <v>0</v>
      </c>
      <c r="AQ572" s="24">
        <v>0</v>
      </c>
      <c r="AR572" s="24">
        <v>0</v>
      </c>
      <c r="AS572" s="24">
        <v>0</v>
      </c>
      <c r="AT572" s="24">
        <v>1</v>
      </c>
      <c r="AU572" s="24">
        <v>0</v>
      </c>
      <c r="AV572" s="24">
        <v>0</v>
      </c>
      <c r="AW572" s="24">
        <v>0</v>
      </c>
      <c r="AX572" s="24">
        <v>1</v>
      </c>
      <c r="AY572" s="24">
        <v>0</v>
      </c>
      <c r="AZ572" s="24">
        <v>1</v>
      </c>
      <c r="BA572" s="24">
        <v>0</v>
      </c>
      <c r="BB572" s="24">
        <v>0</v>
      </c>
    </row>
    <row r="573" spans="2:54" ht="13.8" x14ac:dyDescent="0.3">
      <c r="B573" s="24">
        <v>553</v>
      </c>
      <c r="C573" s="24">
        <v>48</v>
      </c>
      <c r="D573" s="24">
        <v>0</v>
      </c>
      <c r="E573" s="24">
        <v>0</v>
      </c>
      <c r="F573" s="24">
        <v>0</v>
      </c>
      <c r="G573" s="24">
        <v>1</v>
      </c>
      <c r="H573" s="24">
        <v>0</v>
      </c>
      <c r="I573" s="24">
        <v>0</v>
      </c>
      <c r="J573" s="24">
        <v>6999</v>
      </c>
      <c r="K573" s="24">
        <v>1</v>
      </c>
      <c r="L573" s="24">
        <v>0</v>
      </c>
      <c r="M573" s="24">
        <v>0</v>
      </c>
      <c r="N573" s="24">
        <v>1</v>
      </c>
      <c r="O573" s="24">
        <v>0</v>
      </c>
      <c r="P573" s="24">
        <v>1</v>
      </c>
      <c r="Q573" s="24">
        <v>1</v>
      </c>
      <c r="R573" s="24">
        <v>0</v>
      </c>
      <c r="S573" s="24">
        <v>34</v>
      </c>
      <c r="T573" s="24">
        <v>0</v>
      </c>
      <c r="U573" s="24">
        <v>0</v>
      </c>
      <c r="V573" s="24">
        <v>1</v>
      </c>
      <c r="W573" s="24">
        <v>2</v>
      </c>
      <c r="X573" s="24">
        <v>1</v>
      </c>
      <c r="Y573" s="24">
        <v>1</v>
      </c>
      <c r="Z573" s="24">
        <v>0</v>
      </c>
      <c r="AA573" s="24">
        <v>0</v>
      </c>
      <c r="AB573" s="24">
        <v>1</v>
      </c>
      <c r="AC573" s="24">
        <v>0</v>
      </c>
      <c r="AD573" s="24">
        <v>0</v>
      </c>
      <c r="AE573" s="24">
        <v>0</v>
      </c>
      <c r="AF573" s="24">
        <v>0</v>
      </c>
      <c r="AG573" s="24">
        <v>0</v>
      </c>
      <c r="AH573" s="24">
        <v>1</v>
      </c>
      <c r="AI573" s="24">
        <v>0</v>
      </c>
      <c r="AJ573" s="24">
        <v>0</v>
      </c>
      <c r="AK573" s="24">
        <v>1</v>
      </c>
      <c r="AL573" s="24">
        <v>0</v>
      </c>
      <c r="AM573" s="24">
        <v>0</v>
      </c>
      <c r="AN573" s="24">
        <v>0</v>
      </c>
      <c r="AO573" s="24">
        <v>0</v>
      </c>
      <c r="AP573" s="24">
        <v>0</v>
      </c>
      <c r="AQ573" s="24">
        <v>0</v>
      </c>
      <c r="AR573" s="24">
        <v>0</v>
      </c>
      <c r="AS573" s="24">
        <v>1</v>
      </c>
      <c r="AT573" s="24">
        <v>0</v>
      </c>
      <c r="AU573" s="24">
        <v>1</v>
      </c>
      <c r="AV573" s="24">
        <v>0</v>
      </c>
      <c r="AW573" s="24">
        <v>0</v>
      </c>
      <c r="AX573" s="24">
        <v>0</v>
      </c>
      <c r="AY573" s="24">
        <v>0</v>
      </c>
      <c r="AZ573" s="24">
        <v>0</v>
      </c>
      <c r="BA573" s="24">
        <v>1</v>
      </c>
      <c r="BB573" s="24">
        <v>0</v>
      </c>
    </row>
    <row r="574" spans="2:54" ht="13.8" x14ac:dyDescent="0.3">
      <c r="B574" s="24">
        <v>554</v>
      </c>
      <c r="C574" s="24">
        <v>12</v>
      </c>
      <c r="D574" s="24">
        <v>1</v>
      </c>
      <c r="E574" s="24">
        <v>0</v>
      </c>
      <c r="F574" s="24">
        <v>0</v>
      </c>
      <c r="G574" s="24">
        <v>0</v>
      </c>
      <c r="H574" s="24">
        <v>0</v>
      </c>
      <c r="I574" s="24">
        <v>0</v>
      </c>
      <c r="J574" s="24">
        <v>1995</v>
      </c>
      <c r="K574" s="24">
        <v>4</v>
      </c>
      <c r="L574" s="24">
        <v>0</v>
      </c>
      <c r="M574" s="24">
        <v>1</v>
      </c>
      <c r="N574" s="24">
        <v>0</v>
      </c>
      <c r="O574" s="24">
        <v>0</v>
      </c>
      <c r="P574" s="24">
        <v>0</v>
      </c>
      <c r="Q574" s="24">
        <v>0</v>
      </c>
      <c r="R574" s="24">
        <v>0</v>
      </c>
      <c r="S574" s="24">
        <v>27</v>
      </c>
      <c r="T574" s="24">
        <v>0</v>
      </c>
      <c r="U574" s="24">
        <v>0</v>
      </c>
      <c r="V574" s="24">
        <v>1</v>
      </c>
      <c r="W574" s="24">
        <v>1</v>
      </c>
      <c r="X574" s="24">
        <v>1</v>
      </c>
      <c r="Y574" s="24">
        <v>0</v>
      </c>
      <c r="Z574" s="24">
        <v>0</v>
      </c>
      <c r="AA574" s="24">
        <v>1</v>
      </c>
      <c r="AB574" s="24">
        <v>0</v>
      </c>
      <c r="AC574" s="24">
        <v>1</v>
      </c>
      <c r="AD574" s="24">
        <v>0</v>
      </c>
      <c r="AE574" s="24">
        <v>0</v>
      </c>
      <c r="AF574" s="24">
        <v>0</v>
      </c>
      <c r="AG574" s="24">
        <v>0</v>
      </c>
      <c r="AH574" s="24">
        <v>0</v>
      </c>
      <c r="AI574" s="24">
        <v>0</v>
      </c>
      <c r="AJ574" s="24">
        <v>1</v>
      </c>
      <c r="AK574" s="24">
        <v>0</v>
      </c>
      <c r="AL574" s="24">
        <v>1</v>
      </c>
      <c r="AM574" s="24">
        <v>0</v>
      </c>
      <c r="AN574" s="24">
        <v>0</v>
      </c>
      <c r="AO574" s="24">
        <v>0</v>
      </c>
      <c r="AP574" s="24">
        <v>0</v>
      </c>
      <c r="AQ574" s="24">
        <v>1</v>
      </c>
      <c r="AR574" s="24">
        <v>0</v>
      </c>
      <c r="AS574" s="24">
        <v>0</v>
      </c>
      <c r="AT574" s="24">
        <v>0</v>
      </c>
      <c r="AU574" s="24">
        <v>1</v>
      </c>
      <c r="AV574" s="24">
        <v>0</v>
      </c>
      <c r="AW574" s="24">
        <v>0</v>
      </c>
      <c r="AX574" s="24">
        <v>0</v>
      </c>
      <c r="AY574" s="24">
        <v>0</v>
      </c>
      <c r="AZ574" s="24">
        <v>0</v>
      </c>
      <c r="BA574" s="24">
        <v>1</v>
      </c>
      <c r="BB574" s="24">
        <v>0</v>
      </c>
    </row>
    <row r="575" spans="2:54" ht="13.8" x14ac:dyDescent="0.3">
      <c r="B575" s="24">
        <v>555</v>
      </c>
      <c r="C575" s="24">
        <v>9</v>
      </c>
      <c r="D575" s="24">
        <v>0</v>
      </c>
      <c r="E575" s="24">
        <v>0</v>
      </c>
      <c r="F575" s="24">
        <v>0</v>
      </c>
      <c r="G575" s="24">
        <v>0</v>
      </c>
      <c r="H575" s="24">
        <v>1</v>
      </c>
      <c r="I575" s="24">
        <v>0</v>
      </c>
      <c r="J575" s="24">
        <v>1199</v>
      </c>
      <c r="K575" s="24">
        <v>4</v>
      </c>
      <c r="L575" s="24">
        <v>0</v>
      </c>
      <c r="M575" s="24">
        <v>0</v>
      </c>
      <c r="N575" s="24">
        <v>0</v>
      </c>
      <c r="O575" s="24">
        <v>0</v>
      </c>
      <c r="P575" s="24">
        <v>0</v>
      </c>
      <c r="Q575" s="24">
        <v>0</v>
      </c>
      <c r="R575" s="24">
        <v>0</v>
      </c>
      <c r="S575" s="24">
        <v>67</v>
      </c>
      <c r="T575" s="24">
        <v>0</v>
      </c>
      <c r="U575" s="24">
        <v>0</v>
      </c>
      <c r="V575" s="24">
        <v>1</v>
      </c>
      <c r="W575" s="24">
        <v>2</v>
      </c>
      <c r="X575" s="24">
        <v>1</v>
      </c>
      <c r="Y575" s="24">
        <v>1</v>
      </c>
      <c r="Z575" s="24">
        <v>0</v>
      </c>
      <c r="AA575" s="24">
        <v>1</v>
      </c>
      <c r="AB575" s="24">
        <v>0</v>
      </c>
      <c r="AC575" s="24">
        <v>1</v>
      </c>
      <c r="AD575" s="24">
        <v>0</v>
      </c>
      <c r="AE575" s="24">
        <v>0</v>
      </c>
      <c r="AF575" s="24">
        <v>0</v>
      </c>
      <c r="AG575" s="24">
        <v>0</v>
      </c>
      <c r="AH575" s="24">
        <v>1</v>
      </c>
      <c r="AI575" s="24">
        <v>0</v>
      </c>
      <c r="AJ575" s="24">
        <v>0</v>
      </c>
      <c r="AK575" s="24">
        <v>1</v>
      </c>
      <c r="AL575" s="24">
        <v>0</v>
      </c>
      <c r="AM575" s="24">
        <v>0</v>
      </c>
      <c r="AN575" s="24">
        <v>0</v>
      </c>
      <c r="AO575" s="24">
        <v>0</v>
      </c>
      <c r="AP575" s="24">
        <v>0</v>
      </c>
      <c r="AQ575" s="24">
        <v>0</v>
      </c>
      <c r="AR575" s="24">
        <v>0</v>
      </c>
      <c r="AS575" s="24">
        <v>1</v>
      </c>
      <c r="AT575" s="24">
        <v>0</v>
      </c>
      <c r="AU575" s="24">
        <v>0</v>
      </c>
      <c r="AV575" s="24">
        <v>0</v>
      </c>
      <c r="AW575" s="24">
        <v>0</v>
      </c>
      <c r="AX575" s="24">
        <v>1</v>
      </c>
      <c r="AY575" s="24">
        <v>0</v>
      </c>
      <c r="AZ575" s="24">
        <v>0</v>
      </c>
      <c r="BA575" s="24">
        <v>0</v>
      </c>
      <c r="BB575" s="24">
        <v>1</v>
      </c>
    </row>
    <row r="576" spans="2:54" ht="13.8" x14ac:dyDescent="0.3">
      <c r="B576" s="24">
        <v>556</v>
      </c>
      <c r="C576" s="24">
        <v>12</v>
      </c>
      <c r="D576" s="24">
        <v>0</v>
      </c>
      <c r="E576" s="24">
        <v>0</v>
      </c>
      <c r="F576" s="24">
        <v>0</v>
      </c>
      <c r="G576" s="24">
        <v>1</v>
      </c>
      <c r="H576" s="24">
        <v>0</v>
      </c>
      <c r="I576" s="24">
        <v>0</v>
      </c>
      <c r="J576" s="24">
        <v>1331</v>
      </c>
      <c r="K576" s="24">
        <v>2</v>
      </c>
      <c r="L576" s="24">
        <v>0</v>
      </c>
      <c r="M576" s="24">
        <v>1</v>
      </c>
      <c r="N576" s="24">
        <v>0</v>
      </c>
      <c r="O576" s="24">
        <v>0</v>
      </c>
      <c r="P576" s="24">
        <v>0</v>
      </c>
      <c r="Q576" s="24">
        <v>0</v>
      </c>
      <c r="R576" s="24">
        <v>0</v>
      </c>
      <c r="S576" s="24">
        <v>22</v>
      </c>
      <c r="T576" s="24">
        <v>1</v>
      </c>
      <c r="U576" s="24">
        <v>0</v>
      </c>
      <c r="V576" s="24">
        <v>1</v>
      </c>
      <c r="W576" s="24">
        <v>1</v>
      </c>
      <c r="X576" s="24">
        <v>1</v>
      </c>
      <c r="Y576" s="24">
        <v>0</v>
      </c>
      <c r="Z576" s="24">
        <v>0</v>
      </c>
      <c r="AA576" s="24">
        <v>0</v>
      </c>
      <c r="AB576" s="24">
        <v>0</v>
      </c>
      <c r="AC576" s="24">
        <v>1</v>
      </c>
      <c r="AD576" s="24">
        <v>0</v>
      </c>
      <c r="AE576" s="24">
        <v>0</v>
      </c>
      <c r="AF576" s="24">
        <v>0</v>
      </c>
      <c r="AG576" s="24">
        <v>0</v>
      </c>
      <c r="AH576" s="24">
        <v>1</v>
      </c>
      <c r="AI576" s="24">
        <v>0</v>
      </c>
      <c r="AJ576" s="24">
        <v>0</v>
      </c>
      <c r="AK576" s="24">
        <v>1</v>
      </c>
      <c r="AL576" s="24">
        <v>0</v>
      </c>
      <c r="AM576" s="24">
        <v>0</v>
      </c>
      <c r="AN576" s="24">
        <v>0</v>
      </c>
      <c r="AO576" s="24">
        <v>0</v>
      </c>
      <c r="AP576" s="24">
        <v>0</v>
      </c>
      <c r="AQ576" s="24">
        <v>1</v>
      </c>
      <c r="AR576" s="24">
        <v>0</v>
      </c>
      <c r="AS576" s="24">
        <v>0</v>
      </c>
      <c r="AT576" s="24">
        <v>0</v>
      </c>
      <c r="AU576" s="24">
        <v>1</v>
      </c>
      <c r="AV576" s="24">
        <v>0</v>
      </c>
      <c r="AW576" s="24">
        <v>0</v>
      </c>
      <c r="AX576" s="24">
        <v>0</v>
      </c>
      <c r="AY576" s="24">
        <v>0</v>
      </c>
      <c r="AZ576" s="24">
        <v>0</v>
      </c>
      <c r="BA576" s="24">
        <v>1</v>
      </c>
      <c r="BB576" s="24">
        <v>0</v>
      </c>
    </row>
    <row r="577" spans="2:54" ht="13.8" x14ac:dyDescent="0.3">
      <c r="B577" s="24">
        <v>557</v>
      </c>
      <c r="C577" s="24">
        <v>18</v>
      </c>
      <c r="D577" s="24">
        <v>1</v>
      </c>
      <c r="E577" s="24">
        <v>0</v>
      </c>
      <c r="F577" s="24">
        <v>0</v>
      </c>
      <c r="G577" s="24">
        <v>0</v>
      </c>
      <c r="H577" s="24">
        <v>0</v>
      </c>
      <c r="I577" s="24">
        <v>0</v>
      </c>
      <c r="J577" s="24">
        <v>2278</v>
      </c>
      <c r="K577" s="24">
        <v>3</v>
      </c>
      <c r="L577" s="24">
        <v>0</v>
      </c>
      <c r="M577" s="24">
        <v>0</v>
      </c>
      <c r="N577" s="24">
        <v>0</v>
      </c>
      <c r="O577" s="24">
        <v>0</v>
      </c>
      <c r="P577" s="24">
        <v>0</v>
      </c>
      <c r="Q577" s="24">
        <v>0</v>
      </c>
      <c r="R577" s="24">
        <v>0</v>
      </c>
      <c r="S577" s="24">
        <v>28</v>
      </c>
      <c r="T577" s="24">
        <v>0</v>
      </c>
      <c r="U577" s="24">
        <v>0</v>
      </c>
      <c r="V577" s="24">
        <v>1</v>
      </c>
      <c r="W577" s="24">
        <v>2</v>
      </c>
      <c r="X577" s="24">
        <v>1</v>
      </c>
      <c r="Y577" s="24">
        <v>0</v>
      </c>
      <c r="Z577" s="24">
        <v>0</v>
      </c>
      <c r="AA577" s="24">
        <v>0</v>
      </c>
      <c r="AB577" s="24">
        <v>0</v>
      </c>
      <c r="AC577" s="24">
        <v>1</v>
      </c>
      <c r="AD577" s="24">
        <v>0</v>
      </c>
      <c r="AE577" s="24">
        <v>0</v>
      </c>
      <c r="AF577" s="24">
        <v>1</v>
      </c>
      <c r="AG577" s="24">
        <v>0</v>
      </c>
      <c r="AH577" s="24">
        <v>0</v>
      </c>
      <c r="AI577" s="24">
        <v>0</v>
      </c>
      <c r="AJ577" s="24">
        <v>0</v>
      </c>
      <c r="AK577" s="24">
        <v>0</v>
      </c>
      <c r="AL577" s="24">
        <v>1</v>
      </c>
      <c r="AM577" s="24">
        <v>0</v>
      </c>
      <c r="AN577" s="24">
        <v>0</v>
      </c>
      <c r="AO577" s="24">
        <v>0</v>
      </c>
      <c r="AP577" s="24">
        <v>0</v>
      </c>
      <c r="AQ577" s="24">
        <v>1</v>
      </c>
      <c r="AR577" s="24">
        <v>0</v>
      </c>
      <c r="AS577" s="24">
        <v>0</v>
      </c>
      <c r="AT577" s="24">
        <v>0</v>
      </c>
      <c r="AU577" s="24">
        <v>0</v>
      </c>
      <c r="AV577" s="24">
        <v>0</v>
      </c>
      <c r="AW577" s="24">
        <v>1</v>
      </c>
      <c r="AX577" s="24">
        <v>0</v>
      </c>
      <c r="AY577" s="24">
        <v>0</v>
      </c>
      <c r="AZ577" s="24">
        <v>0</v>
      </c>
      <c r="BA577" s="24">
        <v>1</v>
      </c>
      <c r="BB577" s="24">
        <v>0</v>
      </c>
    </row>
    <row r="578" spans="2:54" ht="13.8" x14ac:dyDescent="0.3">
      <c r="B578" s="24">
        <v>558</v>
      </c>
      <c r="C578" s="24">
        <v>21</v>
      </c>
      <c r="D578" s="24">
        <v>1</v>
      </c>
      <c r="E578" s="24">
        <v>0</v>
      </c>
      <c r="F578" s="24">
        <v>0</v>
      </c>
      <c r="G578" s="24">
        <v>0</v>
      </c>
      <c r="H578" s="24">
        <v>0</v>
      </c>
      <c r="I578" s="24">
        <v>0</v>
      </c>
      <c r="J578" s="24">
        <v>5003</v>
      </c>
      <c r="K578" s="24">
        <v>1</v>
      </c>
      <c r="L578" s="24">
        <v>0</v>
      </c>
      <c r="M578" s="24">
        <v>0</v>
      </c>
      <c r="N578" s="24">
        <v>0</v>
      </c>
      <c r="O578" s="24">
        <v>0</v>
      </c>
      <c r="P578" s="24">
        <v>0</v>
      </c>
      <c r="Q578" s="24">
        <v>0</v>
      </c>
      <c r="R578" s="24">
        <v>0</v>
      </c>
      <c r="S578" s="24">
        <v>29</v>
      </c>
      <c r="T578" s="24">
        <v>1</v>
      </c>
      <c r="U578" s="24">
        <v>0</v>
      </c>
      <c r="V578" s="24">
        <v>1</v>
      </c>
      <c r="W578" s="24">
        <v>2</v>
      </c>
      <c r="X578" s="24">
        <v>1</v>
      </c>
      <c r="Y578" s="24">
        <v>1</v>
      </c>
      <c r="Z578" s="24">
        <v>0</v>
      </c>
      <c r="AA578" s="24">
        <v>0</v>
      </c>
      <c r="AB578" s="24">
        <v>0</v>
      </c>
      <c r="AC578" s="24">
        <v>0</v>
      </c>
      <c r="AD578" s="24">
        <v>0</v>
      </c>
      <c r="AE578" s="24">
        <v>1</v>
      </c>
      <c r="AF578" s="24">
        <v>1</v>
      </c>
      <c r="AG578" s="24">
        <v>0</v>
      </c>
      <c r="AH578" s="24">
        <v>0</v>
      </c>
      <c r="AI578" s="24">
        <v>0</v>
      </c>
      <c r="AJ578" s="24">
        <v>0</v>
      </c>
      <c r="AK578" s="24">
        <v>0</v>
      </c>
      <c r="AL578" s="24">
        <v>0</v>
      </c>
      <c r="AM578" s="24">
        <v>0</v>
      </c>
      <c r="AN578" s="24">
        <v>0</v>
      </c>
      <c r="AO578" s="24">
        <v>1</v>
      </c>
      <c r="AP578" s="24">
        <v>0</v>
      </c>
      <c r="AQ578" s="24">
        <v>0</v>
      </c>
      <c r="AR578" s="24">
        <v>1</v>
      </c>
      <c r="AS578" s="24">
        <v>0</v>
      </c>
      <c r="AT578" s="24">
        <v>0</v>
      </c>
      <c r="AU578" s="24">
        <v>0</v>
      </c>
      <c r="AV578" s="24">
        <v>0</v>
      </c>
      <c r="AW578" s="24">
        <v>0</v>
      </c>
      <c r="AX578" s="24">
        <v>1</v>
      </c>
      <c r="AY578" s="24">
        <v>0</v>
      </c>
      <c r="AZ578" s="24">
        <v>0</v>
      </c>
      <c r="BA578" s="24">
        <v>1</v>
      </c>
      <c r="BB578" s="24">
        <v>0</v>
      </c>
    </row>
    <row r="579" spans="2:54" ht="13.8" x14ac:dyDescent="0.3">
      <c r="B579" s="24">
        <v>559</v>
      </c>
      <c r="C579" s="24">
        <v>24</v>
      </c>
      <c r="D579" s="24">
        <v>0</v>
      </c>
      <c r="E579" s="24">
        <v>0</v>
      </c>
      <c r="F579" s="24">
        <v>1</v>
      </c>
      <c r="G579" s="24">
        <v>0</v>
      </c>
      <c r="H579" s="24">
        <v>0</v>
      </c>
      <c r="I579" s="24">
        <v>0</v>
      </c>
      <c r="J579" s="24">
        <v>3552</v>
      </c>
      <c r="K579" s="24">
        <v>3</v>
      </c>
      <c r="L579" s="24">
        <v>0</v>
      </c>
      <c r="M579" s="24">
        <v>1</v>
      </c>
      <c r="N579" s="24">
        <v>0</v>
      </c>
      <c r="O579" s="24">
        <v>0</v>
      </c>
      <c r="P579" s="24">
        <v>0</v>
      </c>
      <c r="Q579" s="24">
        <v>0</v>
      </c>
      <c r="R579" s="24">
        <v>0</v>
      </c>
      <c r="S579" s="24">
        <v>27</v>
      </c>
      <c r="T579" s="24">
        <v>1</v>
      </c>
      <c r="U579" s="24">
        <v>0</v>
      </c>
      <c r="V579" s="24">
        <v>1</v>
      </c>
      <c r="W579" s="24">
        <v>1</v>
      </c>
      <c r="X579" s="24">
        <v>1</v>
      </c>
      <c r="Y579" s="24">
        <v>0</v>
      </c>
      <c r="Z579" s="24">
        <v>0</v>
      </c>
      <c r="AA579" s="24">
        <v>0</v>
      </c>
      <c r="AB579" s="24">
        <v>1</v>
      </c>
      <c r="AC579" s="24">
        <v>0</v>
      </c>
      <c r="AD579" s="24">
        <v>0</v>
      </c>
      <c r="AE579" s="24">
        <v>0</v>
      </c>
      <c r="AF579" s="24">
        <v>0</v>
      </c>
      <c r="AG579" s="24">
        <v>1</v>
      </c>
      <c r="AH579" s="24">
        <v>0</v>
      </c>
      <c r="AI579" s="24">
        <v>0</v>
      </c>
      <c r="AJ579" s="24">
        <v>0</v>
      </c>
      <c r="AK579" s="24">
        <v>1</v>
      </c>
      <c r="AL579" s="24">
        <v>0</v>
      </c>
      <c r="AM579" s="24">
        <v>0</v>
      </c>
      <c r="AN579" s="24">
        <v>0</v>
      </c>
      <c r="AO579" s="24">
        <v>0</v>
      </c>
      <c r="AP579" s="24">
        <v>0</v>
      </c>
      <c r="AQ579" s="24">
        <v>0</v>
      </c>
      <c r="AR579" s="24">
        <v>0</v>
      </c>
      <c r="AS579" s="24">
        <v>1</v>
      </c>
      <c r="AT579" s="24">
        <v>0</v>
      </c>
      <c r="AU579" s="24">
        <v>0</v>
      </c>
      <c r="AV579" s="24">
        <v>0</v>
      </c>
      <c r="AW579" s="24">
        <v>0</v>
      </c>
      <c r="AX579" s="24">
        <v>1</v>
      </c>
      <c r="AY579" s="24">
        <v>0</v>
      </c>
      <c r="AZ579" s="24">
        <v>0</v>
      </c>
      <c r="BA579" s="24">
        <v>1</v>
      </c>
      <c r="BB579" s="24">
        <v>0</v>
      </c>
    </row>
    <row r="580" spans="2:54" ht="13.8" x14ac:dyDescent="0.3">
      <c r="B580" s="24">
        <v>560</v>
      </c>
      <c r="C580" s="24">
        <v>18</v>
      </c>
      <c r="D580" s="24">
        <v>0</v>
      </c>
      <c r="E580" s="24">
        <v>0</v>
      </c>
      <c r="F580" s="24">
        <v>1</v>
      </c>
      <c r="G580" s="24">
        <v>0</v>
      </c>
      <c r="H580" s="24">
        <v>0</v>
      </c>
      <c r="I580" s="24">
        <v>0</v>
      </c>
      <c r="J580" s="24">
        <v>1928</v>
      </c>
      <c r="K580" s="24">
        <v>2</v>
      </c>
      <c r="L580" s="24">
        <v>0</v>
      </c>
      <c r="M580" s="24">
        <v>1</v>
      </c>
      <c r="N580" s="24">
        <v>0</v>
      </c>
      <c r="O580" s="24">
        <v>0</v>
      </c>
      <c r="P580" s="24">
        <v>0</v>
      </c>
      <c r="Q580" s="24">
        <v>1</v>
      </c>
      <c r="R580" s="24">
        <v>0</v>
      </c>
      <c r="S580" s="24">
        <v>31</v>
      </c>
      <c r="T580" s="24">
        <v>0</v>
      </c>
      <c r="U580" s="24">
        <v>0</v>
      </c>
      <c r="V580" s="24">
        <v>1</v>
      </c>
      <c r="W580" s="24">
        <v>2</v>
      </c>
      <c r="X580" s="24">
        <v>1</v>
      </c>
      <c r="Y580" s="24">
        <v>0</v>
      </c>
      <c r="Z580" s="24">
        <v>0</v>
      </c>
      <c r="AA580" s="24">
        <v>0</v>
      </c>
      <c r="AB580" s="24">
        <v>0</v>
      </c>
      <c r="AC580" s="24">
        <v>1</v>
      </c>
      <c r="AD580" s="24">
        <v>0</v>
      </c>
      <c r="AE580" s="24">
        <v>0</v>
      </c>
      <c r="AF580" s="24">
        <v>0</v>
      </c>
      <c r="AG580" s="24">
        <v>0</v>
      </c>
      <c r="AH580" s="24">
        <v>0</v>
      </c>
      <c r="AI580" s="24">
        <v>0</v>
      </c>
      <c r="AJ580" s="24">
        <v>1</v>
      </c>
      <c r="AK580" s="24">
        <v>1</v>
      </c>
      <c r="AL580" s="24">
        <v>0</v>
      </c>
      <c r="AM580" s="24">
        <v>0</v>
      </c>
      <c r="AN580" s="24">
        <v>0</v>
      </c>
      <c r="AO580" s="24">
        <v>0</v>
      </c>
      <c r="AP580" s="24">
        <v>0</v>
      </c>
      <c r="AQ580" s="24">
        <v>1</v>
      </c>
      <c r="AR580" s="24">
        <v>0</v>
      </c>
      <c r="AS580" s="24">
        <v>0</v>
      </c>
      <c r="AT580" s="24">
        <v>0</v>
      </c>
      <c r="AU580" s="24">
        <v>0</v>
      </c>
      <c r="AV580" s="24">
        <v>1</v>
      </c>
      <c r="AW580" s="24">
        <v>0</v>
      </c>
      <c r="AX580" s="24">
        <v>0</v>
      </c>
      <c r="AY580" s="24">
        <v>0</v>
      </c>
      <c r="AZ580" s="24">
        <v>1</v>
      </c>
      <c r="BA580" s="24">
        <v>0</v>
      </c>
      <c r="BB580" s="24">
        <v>0</v>
      </c>
    </row>
    <row r="581" spans="2:54" ht="13.8" x14ac:dyDescent="0.3">
      <c r="B581" s="24">
        <v>561</v>
      </c>
      <c r="C581" s="24">
        <v>24</v>
      </c>
      <c r="D581" s="24">
        <v>0</v>
      </c>
      <c r="E581" s="24">
        <v>1</v>
      </c>
      <c r="F581" s="24">
        <v>0</v>
      </c>
      <c r="G581" s="24">
        <v>0</v>
      </c>
      <c r="H581" s="24">
        <v>0</v>
      </c>
      <c r="I581" s="24">
        <v>0</v>
      </c>
      <c r="J581" s="24">
        <v>2964</v>
      </c>
      <c r="K581" s="24">
        <v>4</v>
      </c>
      <c r="L581" s="24">
        <v>0</v>
      </c>
      <c r="M581" s="24">
        <v>1</v>
      </c>
      <c r="N581" s="24">
        <v>0</v>
      </c>
      <c r="O581" s="24">
        <v>0</v>
      </c>
      <c r="P581" s="24">
        <v>0</v>
      </c>
      <c r="Q581" s="24">
        <v>0</v>
      </c>
      <c r="R581" s="24">
        <v>1</v>
      </c>
      <c r="S581" s="24">
        <v>49</v>
      </c>
      <c r="T581" s="24">
        <v>1</v>
      </c>
      <c r="U581" s="24">
        <v>0</v>
      </c>
      <c r="V581" s="24">
        <v>0</v>
      </c>
      <c r="W581" s="24">
        <v>1</v>
      </c>
      <c r="X581" s="24">
        <v>2</v>
      </c>
      <c r="Y581" s="24">
        <v>1</v>
      </c>
      <c r="Z581" s="24">
        <v>0</v>
      </c>
      <c r="AA581" s="24">
        <v>1</v>
      </c>
      <c r="AB581" s="24">
        <v>1</v>
      </c>
      <c r="AC581" s="24">
        <v>0</v>
      </c>
      <c r="AD581" s="24">
        <v>0</v>
      </c>
      <c r="AE581" s="24">
        <v>0</v>
      </c>
      <c r="AF581" s="24">
        <v>0</v>
      </c>
      <c r="AG581" s="24">
        <v>0</v>
      </c>
      <c r="AH581" s="24">
        <v>1</v>
      </c>
      <c r="AI581" s="24">
        <v>0</v>
      </c>
      <c r="AJ581" s="24">
        <v>0</v>
      </c>
      <c r="AK581" s="24">
        <v>0</v>
      </c>
      <c r="AL581" s="24">
        <v>0</v>
      </c>
      <c r="AM581" s="24">
        <v>0</v>
      </c>
      <c r="AN581" s="24">
        <v>0</v>
      </c>
      <c r="AO581" s="24">
        <v>1</v>
      </c>
      <c r="AP581" s="24">
        <v>0</v>
      </c>
      <c r="AQ581" s="24">
        <v>0</v>
      </c>
      <c r="AR581" s="24">
        <v>0</v>
      </c>
      <c r="AS581" s="24">
        <v>0</v>
      </c>
      <c r="AT581" s="24">
        <v>1</v>
      </c>
      <c r="AU581" s="24">
        <v>0</v>
      </c>
      <c r="AV581" s="24">
        <v>0</v>
      </c>
      <c r="AW581" s="24">
        <v>0</v>
      </c>
      <c r="AX581" s="24">
        <v>1</v>
      </c>
      <c r="AY581" s="24">
        <v>0</v>
      </c>
      <c r="AZ581" s="24">
        <v>0</v>
      </c>
      <c r="BA581" s="24">
        <v>1</v>
      </c>
      <c r="BB581" s="24">
        <v>0</v>
      </c>
    </row>
    <row r="582" spans="2:54" ht="13.8" x14ac:dyDescent="0.3">
      <c r="B582" s="24">
        <v>562</v>
      </c>
      <c r="C582" s="24">
        <v>24</v>
      </c>
      <c r="D582" s="24">
        <v>0</v>
      </c>
      <c r="E582" s="24">
        <v>0</v>
      </c>
      <c r="F582" s="24">
        <v>0</v>
      </c>
      <c r="G582" s="24">
        <v>1</v>
      </c>
      <c r="H582" s="24">
        <v>0</v>
      </c>
      <c r="I582" s="24">
        <v>0</v>
      </c>
      <c r="J582" s="24">
        <v>1546</v>
      </c>
      <c r="K582" s="24">
        <v>4</v>
      </c>
      <c r="L582" s="24">
        <v>0</v>
      </c>
      <c r="M582" s="24">
        <v>1</v>
      </c>
      <c r="N582" s="24">
        <v>0</v>
      </c>
      <c r="O582" s="24">
        <v>0</v>
      </c>
      <c r="P582" s="24">
        <v>1</v>
      </c>
      <c r="Q582" s="24">
        <v>0</v>
      </c>
      <c r="R582" s="24">
        <v>0</v>
      </c>
      <c r="S582" s="24">
        <v>24</v>
      </c>
      <c r="T582" s="24">
        <v>1</v>
      </c>
      <c r="U582" s="24">
        <v>1</v>
      </c>
      <c r="V582" s="24">
        <v>0</v>
      </c>
      <c r="W582" s="24">
        <v>1</v>
      </c>
      <c r="X582" s="24">
        <v>1</v>
      </c>
      <c r="Y582" s="24">
        <v>0</v>
      </c>
      <c r="Z582" s="24">
        <v>0</v>
      </c>
      <c r="AA582" s="24">
        <v>0</v>
      </c>
      <c r="AB582" s="24">
        <v>1</v>
      </c>
      <c r="AC582" s="24">
        <v>0</v>
      </c>
      <c r="AD582" s="24">
        <v>0</v>
      </c>
      <c r="AE582" s="24">
        <v>0</v>
      </c>
      <c r="AF582" s="24">
        <v>0</v>
      </c>
      <c r="AG582" s="24">
        <v>1</v>
      </c>
      <c r="AH582" s="24">
        <v>0</v>
      </c>
      <c r="AI582" s="24">
        <v>0</v>
      </c>
      <c r="AJ582" s="24">
        <v>0</v>
      </c>
      <c r="AK582" s="24">
        <v>1</v>
      </c>
      <c r="AL582" s="24">
        <v>0</v>
      </c>
      <c r="AM582" s="24">
        <v>0</v>
      </c>
      <c r="AN582" s="24">
        <v>0</v>
      </c>
      <c r="AO582" s="24">
        <v>0</v>
      </c>
      <c r="AP582" s="24">
        <v>0</v>
      </c>
      <c r="AQ582" s="24">
        <v>0</v>
      </c>
      <c r="AR582" s="24">
        <v>0</v>
      </c>
      <c r="AS582" s="24">
        <v>1</v>
      </c>
      <c r="AT582" s="24">
        <v>0</v>
      </c>
      <c r="AU582" s="24">
        <v>0</v>
      </c>
      <c r="AV582" s="24">
        <v>0</v>
      </c>
      <c r="AW582" s="24">
        <v>0</v>
      </c>
      <c r="AX582" s="24">
        <v>1</v>
      </c>
      <c r="AY582" s="24">
        <v>0</v>
      </c>
      <c r="AZ582" s="24">
        <v>1</v>
      </c>
      <c r="BA582" s="24">
        <v>0</v>
      </c>
      <c r="BB582" s="24">
        <v>0</v>
      </c>
    </row>
    <row r="583" spans="2:54" ht="13.8" x14ac:dyDescent="0.3">
      <c r="B583" s="24">
        <v>563</v>
      </c>
      <c r="C583" s="24">
        <v>6</v>
      </c>
      <c r="D583" s="24">
        <v>0</v>
      </c>
      <c r="E583" s="24">
        <v>0</v>
      </c>
      <c r="F583" s="24">
        <v>0</v>
      </c>
      <c r="G583" s="24">
        <v>1</v>
      </c>
      <c r="H583" s="24">
        <v>0</v>
      </c>
      <c r="I583" s="24">
        <v>0</v>
      </c>
      <c r="J583" s="24">
        <v>683</v>
      </c>
      <c r="K583" s="24">
        <v>2</v>
      </c>
      <c r="L583" s="24">
        <v>0</v>
      </c>
      <c r="M583" s="24">
        <v>0</v>
      </c>
      <c r="N583" s="24">
        <v>0</v>
      </c>
      <c r="O583" s="24">
        <v>0</v>
      </c>
      <c r="P583" s="24">
        <v>0</v>
      </c>
      <c r="Q583" s="24">
        <v>0</v>
      </c>
      <c r="R583" s="24">
        <v>0</v>
      </c>
      <c r="S583" s="24">
        <v>29</v>
      </c>
      <c r="T583" s="24">
        <v>1</v>
      </c>
      <c r="U583" s="24">
        <v>0</v>
      </c>
      <c r="V583" s="24">
        <v>1</v>
      </c>
      <c r="W583" s="24">
        <v>1</v>
      </c>
      <c r="X583" s="24">
        <v>1</v>
      </c>
      <c r="Y583" s="24">
        <v>0</v>
      </c>
      <c r="Z583" s="24">
        <v>0</v>
      </c>
      <c r="AA583" s="24">
        <v>1</v>
      </c>
      <c r="AB583" s="24">
        <v>0</v>
      </c>
      <c r="AC583" s="24">
        <v>0</v>
      </c>
      <c r="AD583" s="24">
        <v>1</v>
      </c>
      <c r="AE583" s="24">
        <v>0</v>
      </c>
      <c r="AF583" s="24">
        <v>0</v>
      </c>
      <c r="AG583" s="24">
        <v>0</v>
      </c>
      <c r="AH583" s="24">
        <v>0</v>
      </c>
      <c r="AI583" s="24">
        <v>1</v>
      </c>
      <c r="AJ583" s="24">
        <v>0</v>
      </c>
      <c r="AK583" s="24">
        <v>1</v>
      </c>
      <c r="AL583" s="24">
        <v>0</v>
      </c>
      <c r="AM583" s="24">
        <v>0</v>
      </c>
      <c r="AN583" s="24">
        <v>0</v>
      </c>
      <c r="AO583" s="24">
        <v>0</v>
      </c>
      <c r="AP583" s="24">
        <v>0</v>
      </c>
      <c r="AQ583" s="24">
        <v>1</v>
      </c>
      <c r="AR583" s="24">
        <v>0</v>
      </c>
      <c r="AS583" s="24">
        <v>0</v>
      </c>
      <c r="AT583" s="24">
        <v>0</v>
      </c>
      <c r="AU583" s="24">
        <v>1</v>
      </c>
      <c r="AV583" s="24">
        <v>0</v>
      </c>
      <c r="AW583" s="24">
        <v>0</v>
      </c>
      <c r="AX583" s="24">
        <v>0</v>
      </c>
      <c r="AY583" s="24">
        <v>0</v>
      </c>
      <c r="AZ583" s="24">
        <v>0</v>
      </c>
      <c r="BA583" s="24">
        <v>1</v>
      </c>
      <c r="BB583" s="24">
        <v>0</v>
      </c>
    </row>
    <row r="584" spans="2:54" ht="13.8" x14ac:dyDescent="0.3">
      <c r="B584" s="24">
        <v>564</v>
      </c>
      <c r="C584" s="24">
        <v>36</v>
      </c>
      <c r="D584" s="24">
        <v>1</v>
      </c>
      <c r="E584" s="24">
        <v>0</v>
      </c>
      <c r="F584" s="24">
        <v>0</v>
      </c>
      <c r="G584" s="24">
        <v>0</v>
      </c>
      <c r="H584" s="24">
        <v>0</v>
      </c>
      <c r="I584" s="24">
        <v>0</v>
      </c>
      <c r="J584" s="24">
        <v>12389</v>
      </c>
      <c r="K584" s="24">
        <v>1</v>
      </c>
      <c r="L584" s="24">
        <v>0</v>
      </c>
      <c r="M584" s="24">
        <v>1</v>
      </c>
      <c r="N584" s="24">
        <v>0</v>
      </c>
      <c r="O584" s="24">
        <v>0</v>
      </c>
      <c r="P584" s="24">
        <v>0</v>
      </c>
      <c r="Q584" s="24">
        <v>0</v>
      </c>
      <c r="R584" s="24">
        <v>1</v>
      </c>
      <c r="S584" s="24">
        <v>37</v>
      </c>
      <c r="T584" s="24">
        <v>0</v>
      </c>
      <c r="U584" s="24">
        <v>0</v>
      </c>
      <c r="V584" s="24">
        <v>0</v>
      </c>
      <c r="W584" s="24">
        <v>1</v>
      </c>
      <c r="X584" s="24">
        <v>1</v>
      </c>
      <c r="Y584" s="24">
        <v>1</v>
      </c>
      <c r="Z584" s="24">
        <v>0</v>
      </c>
      <c r="AA584" s="24">
        <v>0</v>
      </c>
      <c r="AB584" s="24">
        <v>0</v>
      </c>
      <c r="AC584" s="24">
        <v>1</v>
      </c>
      <c r="AD584" s="24">
        <v>0</v>
      </c>
      <c r="AE584" s="24">
        <v>0</v>
      </c>
      <c r="AF584" s="24">
        <v>0</v>
      </c>
      <c r="AG584" s="24">
        <v>0</v>
      </c>
      <c r="AH584" s="24">
        <v>1</v>
      </c>
      <c r="AI584" s="24">
        <v>0</v>
      </c>
      <c r="AJ584" s="24">
        <v>0</v>
      </c>
      <c r="AK584" s="24">
        <v>0</v>
      </c>
      <c r="AL584" s="24">
        <v>0</v>
      </c>
      <c r="AM584" s="24">
        <v>0</v>
      </c>
      <c r="AN584" s="24">
        <v>0</v>
      </c>
      <c r="AO584" s="24">
        <v>1</v>
      </c>
      <c r="AP584" s="24">
        <v>0</v>
      </c>
      <c r="AQ584" s="24">
        <v>0</v>
      </c>
      <c r="AR584" s="24">
        <v>1</v>
      </c>
      <c r="AS584" s="24">
        <v>0</v>
      </c>
      <c r="AT584" s="24">
        <v>0</v>
      </c>
      <c r="AU584" s="24">
        <v>0</v>
      </c>
      <c r="AV584" s="24">
        <v>0</v>
      </c>
      <c r="AW584" s="24">
        <v>0</v>
      </c>
      <c r="AX584" s="24">
        <v>1</v>
      </c>
      <c r="AY584" s="24">
        <v>0</v>
      </c>
      <c r="AZ584" s="24">
        <v>0</v>
      </c>
      <c r="BA584" s="24">
        <v>1</v>
      </c>
      <c r="BB584" s="24">
        <v>0</v>
      </c>
    </row>
    <row r="585" spans="2:54" ht="13.8" x14ac:dyDescent="0.3">
      <c r="B585" s="24">
        <v>565</v>
      </c>
      <c r="C585" s="24">
        <v>24</v>
      </c>
      <c r="D585" s="24">
        <v>0</v>
      </c>
      <c r="E585" s="24">
        <v>0</v>
      </c>
      <c r="F585" s="24">
        <v>0</v>
      </c>
      <c r="G585" s="24">
        <v>0</v>
      </c>
      <c r="H585" s="24">
        <v>0</v>
      </c>
      <c r="I585" s="24">
        <v>1</v>
      </c>
      <c r="J585" s="24">
        <v>4712</v>
      </c>
      <c r="K585" s="24">
        <v>4</v>
      </c>
      <c r="L585" s="24">
        <v>0</v>
      </c>
      <c r="M585" s="24">
        <v>1</v>
      </c>
      <c r="N585" s="24">
        <v>0</v>
      </c>
      <c r="O585" s="24">
        <v>0</v>
      </c>
      <c r="P585" s="24">
        <v>0</v>
      </c>
      <c r="Q585" s="24">
        <v>0</v>
      </c>
      <c r="R585" s="24">
        <v>0</v>
      </c>
      <c r="S585" s="24">
        <v>37</v>
      </c>
      <c r="T585" s="24">
        <v>1</v>
      </c>
      <c r="U585" s="24">
        <v>0</v>
      </c>
      <c r="V585" s="24">
        <v>1</v>
      </c>
      <c r="W585" s="24">
        <v>2</v>
      </c>
      <c r="X585" s="24">
        <v>1</v>
      </c>
      <c r="Y585" s="24">
        <v>1</v>
      </c>
      <c r="Z585" s="24">
        <v>0</v>
      </c>
      <c r="AA585" s="24">
        <v>1</v>
      </c>
      <c r="AB585" s="24">
        <v>0</v>
      </c>
      <c r="AC585" s="24">
        <v>1</v>
      </c>
      <c r="AD585" s="24">
        <v>0</v>
      </c>
      <c r="AE585" s="24">
        <v>0</v>
      </c>
      <c r="AF585" s="24">
        <v>0</v>
      </c>
      <c r="AG585" s="24">
        <v>0</v>
      </c>
      <c r="AH585" s="24">
        <v>0</v>
      </c>
      <c r="AI585" s="24">
        <v>1</v>
      </c>
      <c r="AJ585" s="24">
        <v>0</v>
      </c>
      <c r="AK585" s="24">
        <v>0</v>
      </c>
      <c r="AL585" s="24">
        <v>0</v>
      </c>
      <c r="AM585" s="24">
        <v>0</v>
      </c>
      <c r="AN585" s="24">
        <v>0</v>
      </c>
      <c r="AO585" s="24">
        <v>1</v>
      </c>
      <c r="AP585" s="24">
        <v>0</v>
      </c>
      <c r="AQ585" s="24">
        <v>0</v>
      </c>
      <c r="AR585" s="24">
        <v>1</v>
      </c>
      <c r="AS585" s="24">
        <v>0</v>
      </c>
      <c r="AT585" s="24">
        <v>0</v>
      </c>
      <c r="AU585" s="24">
        <v>0</v>
      </c>
      <c r="AV585" s="24">
        <v>1</v>
      </c>
      <c r="AW585" s="24">
        <v>0</v>
      </c>
      <c r="AX585" s="24">
        <v>0</v>
      </c>
      <c r="AY585" s="24">
        <v>0</v>
      </c>
      <c r="AZ585" s="24">
        <v>0</v>
      </c>
      <c r="BA585" s="24">
        <v>0</v>
      </c>
      <c r="BB585" s="24">
        <v>1</v>
      </c>
    </row>
    <row r="586" spans="2:54" ht="13.8" x14ac:dyDescent="0.3">
      <c r="B586" s="24">
        <v>566</v>
      </c>
      <c r="C586" s="24">
        <v>24</v>
      </c>
      <c r="D586" s="24">
        <v>0</v>
      </c>
      <c r="E586" s="24">
        <v>0</v>
      </c>
      <c r="F586" s="24">
        <v>0</v>
      </c>
      <c r="G586" s="24">
        <v>1</v>
      </c>
      <c r="H586" s="24">
        <v>0</v>
      </c>
      <c r="I586" s="24">
        <v>0</v>
      </c>
      <c r="J586" s="24">
        <v>1553</v>
      </c>
      <c r="K586" s="24">
        <v>3</v>
      </c>
      <c r="L586" s="24">
        <v>0</v>
      </c>
      <c r="M586" s="24">
        <v>0</v>
      </c>
      <c r="N586" s="24">
        <v>0</v>
      </c>
      <c r="O586" s="24">
        <v>0</v>
      </c>
      <c r="P586" s="24">
        <v>0</v>
      </c>
      <c r="Q586" s="24">
        <v>0</v>
      </c>
      <c r="R586" s="24">
        <v>0</v>
      </c>
      <c r="S586" s="24">
        <v>23</v>
      </c>
      <c r="T586" s="24">
        <v>0</v>
      </c>
      <c r="U586" s="24">
        <v>1</v>
      </c>
      <c r="V586" s="24">
        <v>0</v>
      </c>
      <c r="W586" s="24">
        <v>2</v>
      </c>
      <c r="X586" s="24">
        <v>1</v>
      </c>
      <c r="Y586" s="24">
        <v>1</v>
      </c>
      <c r="Z586" s="24">
        <v>0</v>
      </c>
      <c r="AA586" s="24">
        <v>1</v>
      </c>
      <c r="AB586" s="24">
        <v>0</v>
      </c>
      <c r="AC586" s="24">
        <v>1</v>
      </c>
      <c r="AD586" s="24">
        <v>0</v>
      </c>
      <c r="AE586" s="24">
        <v>0</v>
      </c>
      <c r="AF586" s="24">
        <v>0</v>
      </c>
      <c r="AG586" s="24">
        <v>0</v>
      </c>
      <c r="AH586" s="24">
        <v>0</v>
      </c>
      <c r="AI586" s="24">
        <v>1</v>
      </c>
      <c r="AJ586" s="24">
        <v>0</v>
      </c>
      <c r="AK586" s="24">
        <v>0</v>
      </c>
      <c r="AL586" s="24">
        <v>1</v>
      </c>
      <c r="AM586" s="24">
        <v>0</v>
      </c>
      <c r="AN586" s="24">
        <v>0</v>
      </c>
      <c r="AO586" s="24">
        <v>0</v>
      </c>
      <c r="AP586" s="24">
        <v>0</v>
      </c>
      <c r="AQ586" s="24">
        <v>0</v>
      </c>
      <c r="AR586" s="24">
        <v>0</v>
      </c>
      <c r="AS586" s="24">
        <v>1</v>
      </c>
      <c r="AT586" s="24">
        <v>0</v>
      </c>
      <c r="AU586" s="24">
        <v>0</v>
      </c>
      <c r="AV586" s="24">
        <v>1</v>
      </c>
      <c r="AW586" s="24">
        <v>0</v>
      </c>
      <c r="AX586" s="24">
        <v>0</v>
      </c>
      <c r="AY586" s="24">
        <v>0</v>
      </c>
      <c r="AZ586" s="24">
        <v>0</v>
      </c>
      <c r="BA586" s="24">
        <v>1</v>
      </c>
      <c r="BB586" s="24">
        <v>0</v>
      </c>
    </row>
    <row r="587" spans="2:54" ht="13.8" x14ac:dyDescent="0.3">
      <c r="B587" s="24">
        <v>567</v>
      </c>
      <c r="C587" s="24">
        <v>12</v>
      </c>
      <c r="D587" s="24">
        <v>1</v>
      </c>
      <c r="E587" s="24">
        <v>0</v>
      </c>
      <c r="F587" s="24">
        <v>0</v>
      </c>
      <c r="G587" s="24">
        <v>0</v>
      </c>
      <c r="H587" s="24">
        <v>0</v>
      </c>
      <c r="I587" s="24">
        <v>0</v>
      </c>
      <c r="J587" s="24">
        <v>1372</v>
      </c>
      <c r="K587" s="24">
        <v>2</v>
      </c>
      <c r="L587" s="24">
        <v>1</v>
      </c>
      <c r="M587" s="24">
        <v>0</v>
      </c>
      <c r="N587" s="24">
        <v>0</v>
      </c>
      <c r="O587" s="24">
        <v>0</v>
      </c>
      <c r="P587" s="24">
        <v>0</v>
      </c>
      <c r="Q587" s="24">
        <v>0</v>
      </c>
      <c r="R587" s="24">
        <v>0</v>
      </c>
      <c r="S587" s="24">
        <v>36</v>
      </c>
      <c r="T587" s="24">
        <v>0</v>
      </c>
      <c r="U587" s="24">
        <v>0</v>
      </c>
      <c r="V587" s="24">
        <v>1</v>
      </c>
      <c r="W587" s="24">
        <v>1</v>
      </c>
      <c r="X587" s="24">
        <v>1</v>
      </c>
      <c r="Y587" s="24">
        <v>0</v>
      </c>
      <c r="Z587" s="24">
        <v>0</v>
      </c>
      <c r="AA587" s="24">
        <v>0</v>
      </c>
      <c r="AB587" s="24">
        <v>1</v>
      </c>
      <c r="AC587" s="24">
        <v>0</v>
      </c>
      <c r="AD587" s="24">
        <v>0</v>
      </c>
      <c r="AE587" s="24">
        <v>0</v>
      </c>
      <c r="AF587" s="24">
        <v>0</v>
      </c>
      <c r="AG587" s="24">
        <v>0</v>
      </c>
      <c r="AH587" s="24">
        <v>1</v>
      </c>
      <c r="AI587" s="24">
        <v>0</v>
      </c>
      <c r="AJ587" s="24">
        <v>0</v>
      </c>
      <c r="AK587" s="24">
        <v>1</v>
      </c>
      <c r="AL587" s="24">
        <v>0</v>
      </c>
      <c r="AM587" s="24">
        <v>0</v>
      </c>
      <c r="AN587" s="24">
        <v>0</v>
      </c>
      <c r="AO587" s="24">
        <v>0</v>
      </c>
      <c r="AP587" s="24">
        <v>0</v>
      </c>
      <c r="AQ587" s="24">
        <v>0</v>
      </c>
      <c r="AR587" s="24">
        <v>0</v>
      </c>
      <c r="AS587" s="24">
        <v>1</v>
      </c>
      <c r="AT587" s="24">
        <v>0</v>
      </c>
      <c r="AU587" s="24">
        <v>0</v>
      </c>
      <c r="AV587" s="24">
        <v>0</v>
      </c>
      <c r="AW587" s="24">
        <v>1</v>
      </c>
      <c r="AX587" s="24">
        <v>0</v>
      </c>
      <c r="AY587" s="24">
        <v>0</v>
      </c>
      <c r="AZ587" s="24">
        <v>0</v>
      </c>
      <c r="BA587" s="24">
        <v>1</v>
      </c>
      <c r="BB587" s="24">
        <v>0</v>
      </c>
    </row>
    <row r="588" spans="2:54" ht="13.8" x14ac:dyDescent="0.3">
      <c r="B588" s="24">
        <v>568</v>
      </c>
      <c r="C588" s="24">
        <v>24</v>
      </c>
      <c r="D588" s="24">
        <v>0</v>
      </c>
      <c r="E588" s="24">
        <v>0</v>
      </c>
      <c r="F588" s="24">
        <v>0</v>
      </c>
      <c r="G588" s="24">
        <v>1</v>
      </c>
      <c r="H588" s="24">
        <v>0</v>
      </c>
      <c r="I588" s="24">
        <v>0</v>
      </c>
      <c r="J588" s="24">
        <v>2578</v>
      </c>
      <c r="K588" s="24">
        <v>2</v>
      </c>
      <c r="L588" s="24">
        <v>0</v>
      </c>
      <c r="M588" s="24">
        <v>1</v>
      </c>
      <c r="N588" s="24">
        <v>0</v>
      </c>
      <c r="O588" s="24">
        <v>0</v>
      </c>
      <c r="P588" s="24">
        <v>0</v>
      </c>
      <c r="Q588" s="24">
        <v>0</v>
      </c>
      <c r="R588" s="24">
        <v>0</v>
      </c>
      <c r="S588" s="24">
        <v>34</v>
      </c>
      <c r="T588" s="24">
        <v>0</v>
      </c>
      <c r="U588" s="24">
        <v>0</v>
      </c>
      <c r="V588" s="24">
        <v>1</v>
      </c>
      <c r="W588" s="24">
        <v>1</v>
      </c>
      <c r="X588" s="24">
        <v>1</v>
      </c>
      <c r="Y588" s="24">
        <v>0</v>
      </c>
      <c r="Z588" s="24">
        <v>0</v>
      </c>
      <c r="AA588" s="24">
        <v>1</v>
      </c>
      <c r="AB588" s="24">
        <v>0</v>
      </c>
      <c r="AC588" s="24">
        <v>0</v>
      </c>
      <c r="AD588" s="24">
        <v>0</v>
      </c>
      <c r="AE588" s="24">
        <v>1</v>
      </c>
      <c r="AF588" s="24">
        <v>0</v>
      </c>
      <c r="AG588" s="24">
        <v>0</v>
      </c>
      <c r="AH588" s="24">
        <v>0</v>
      </c>
      <c r="AI588" s="24">
        <v>0</v>
      </c>
      <c r="AJ588" s="24">
        <v>1</v>
      </c>
      <c r="AK588" s="24">
        <v>0</v>
      </c>
      <c r="AL588" s="24">
        <v>0</v>
      </c>
      <c r="AM588" s="24">
        <v>0</v>
      </c>
      <c r="AN588" s="24">
        <v>1</v>
      </c>
      <c r="AO588" s="24">
        <v>0</v>
      </c>
      <c r="AP588" s="24">
        <v>0</v>
      </c>
      <c r="AQ588" s="24">
        <v>0</v>
      </c>
      <c r="AR588" s="24">
        <v>0</v>
      </c>
      <c r="AS588" s="24">
        <v>0</v>
      </c>
      <c r="AT588" s="24">
        <v>1</v>
      </c>
      <c r="AU588" s="24">
        <v>0</v>
      </c>
      <c r="AV588" s="24">
        <v>1</v>
      </c>
      <c r="AW588" s="24">
        <v>0</v>
      </c>
      <c r="AX588" s="24">
        <v>0</v>
      </c>
      <c r="AY588" s="24">
        <v>0</v>
      </c>
      <c r="AZ588" s="24">
        <v>0</v>
      </c>
      <c r="BA588" s="24">
        <v>1</v>
      </c>
      <c r="BB588" s="24">
        <v>0</v>
      </c>
    </row>
    <row r="589" spans="2:54" ht="13.8" x14ac:dyDescent="0.3">
      <c r="B589" s="24">
        <v>569</v>
      </c>
      <c r="C589" s="24">
        <v>48</v>
      </c>
      <c r="D589" s="24">
        <v>0</v>
      </c>
      <c r="E589" s="24">
        <v>0</v>
      </c>
      <c r="F589" s="24">
        <v>0</v>
      </c>
      <c r="G589" s="24">
        <v>1</v>
      </c>
      <c r="H589" s="24">
        <v>0</v>
      </c>
      <c r="I589" s="24">
        <v>0</v>
      </c>
      <c r="J589" s="24">
        <v>3979</v>
      </c>
      <c r="K589" s="24">
        <v>4</v>
      </c>
      <c r="L589" s="24">
        <v>0</v>
      </c>
      <c r="M589" s="24">
        <v>1</v>
      </c>
      <c r="N589" s="24">
        <v>0</v>
      </c>
      <c r="O589" s="24">
        <v>0</v>
      </c>
      <c r="P589" s="24">
        <v>0</v>
      </c>
      <c r="Q589" s="24">
        <v>0</v>
      </c>
      <c r="R589" s="24">
        <v>0</v>
      </c>
      <c r="S589" s="24">
        <v>41</v>
      </c>
      <c r="T589" s="24">
        <v>0</v>
      </c>
      <c r="U589" s="24">
        <v>0</v>
      </c>
      <c r="V589" s="24">
        <v>1</v>
      </c>
      <c r="W589" s="24">
        <v>2</v>
      </c>
      <c r="X589" s="24">
        <v>2</v>
      </c>
      <c r="Y589" s="24">
        <v>1</v>
      </c>
      <c r="Z589" s="24">
        <v>0</v>
      </c>
      <c r="AA589" s="24">
        <v>1</v>
      </c>
      <c r="AB589" s="24">
        <v>0</v>
      </c>
      <c r="AC589" s="24">
        <v>1</v>
      </c>
      <c r="AD589" s="24">
        <v>0</v>
      </c>
      <c r="AE589" s="24">
        <v>0</v>
      </c>
      <c r="AF589" s="24">
        <v>0</v>
      </c>
      <c r="AG589" s="24">
        <v>0</v>
      </c>
      <c r="AH589" s="24">
        <v>1</v>
      </c>
      <c r="AI589" s="24">
        <v>0</v>
      </c>
      <c r="AJ589" s="24">
        <v>0</v>
      </c>
      <c r="AK589" s="24">
        <v>0</v>
      </c>
      <c r="AL589" s="24">
        <v>0</v>
      </c>
      <c r="AM589" s="24">
        <v>0</v>
      </c>
      <c r="AN589" s="24">
        <v>0</v>
      </c>
      <c r="AO589" s="24">
        <v>1</v>
      </c>
      <c r="AP589" s="24">
        <v>0</v>
      </c>
      <c r="AQ589" s="24">
        <v>0</v>
      </c>
      <c r="AR589" s="24">
        <v>0</v>
      </c>
      <c r="AS589" s="24">
        <v>1</v>
      </c>
      <c r="AT589" s="24">
        <v>0</v>
      </c>
      <c r="AU589" s="24">
        <v>1</v>
      </c>
      <c r="AV589" s="24">
        <v>0</v>
      </c>
      <c r="AW589" s="24">
        <v>0</v>
      </c>
      <c r="AX589" s="24">
        <v>0</v>
      </c>
      <c r="AY589" s="24">
        <v>0</v>
      </c>
      <c r="AZ589" s="24">
        <v>0</v>
      </c>
      <c r="BA589" s="24">
        <v>1</v>
      </c>
      <c r="BB589" s="24">
        <v>0</v>
      </c>
    </row>
    <row r="590" spans="2:54" ht="13.8" x14ac:dyDescent="0.3">
      <c r="B590" s="24">
        <v>570</v>
      </c>
      <c r="C590" s="24">
        <v>48</v>
      </c>
      <c r="D590" s="24">
        <v>0</v>
      </c>
      <c r="E590" s="24">
        <v>0</v>
      </c>
      <c r="F590" s="24">
        <v>0</v>
      </c>
      <c r="G590" s="24">
        <v>1</v>
      </c>
      <c r="H590" s="24">
        <v>0</v>
      </c>
      <c r="I590" s="24">
        <v>0</v>
      </c>
      <c r="J590" s="24">
        <v>6758</v>
      </c>
      <c r="K590" s="24">
        <v>3</v>
      </c>
      <c r="L590" s="24">
        <v>0</v>
      </c>
      <c r="M590" s="24">
        <v>0</v>
      </c>
      <c r="N590" s="24">
        <v>0</v>
      </c>
      <c r="O590" s="24">
        <v>0</v>
      </c>
      <c r="P590" s="24">
        <v>0</v>
      </c>
      <c r="Q590" s="24">
        <v>0</v>
      </c>
      <c r="R590" s="24">
        <v>0</v>
      </c>
      <c r="S590" s="24">
        <v>31</v>
      </c>
      <c r="T590" s="24">
        <v>0</v>
      </c>
      <c r="U590" s="24">
        <v>0</v>
      </c>
      <c r="V590" s="24">
        <v>1</v>
      </c>
      <c r="W590" s="24">
        <v>1</v>
      </c>
      <c r="X590" s="24">
        <v>1</v>
      </c>
      <c r="Y590" s="24">
        <v>1</v>
      </c>
      <c r="Z590" s="24">
        <v>0</v>
      </c>
      <c r="AA590" s="24">
        <v>0</v>
      </c>
      <c r="AB590" s="24">
        <v>1</v>
      </c>
      <c r="AC590" s="24">
        <v>0</v>
      </c>
      <c r="AD590" s="24">
        <v>0</v>
      </c>
      <c r="AE590" s="24">
        <v>0</v>
      </c>
      <c r="AF590" s="24">
        <v>0</v>
      </c>
      <c r="AG590" s="24">
        <v>0</v>
      </c>
      <c r="AH590" s="24">
        <v>1</v>
      </c>
      <c r="AI590" s="24">
        <v>0</v>
      </c>
      <c r="AJ590" s="24">
        <v>0</v>
      </c>
      <c r="AK590" s="24">
        <v>1</v>
      </c>
      <c r="AL590" s="24">
        <v>0</v>
      </c>
      <c r="AM590" s="24">
        <v>0</v>
      </c>
      <c r="AN590" s="24">
        <v>0</v>
      </c>
      <c r="AO590" s="24">
        <v>0</v>
      </c>
      <c r="AP590" s="24">
        <v>0</v>
      </c>
      <c r="AQ590" s="24">
        <v>0</v>
      </c>
      <c r="AR590" s="24">
        <v>1</v>
      </c>
      <c r="AS590" s="24">
        <v>0</v>
      </c>
      <c r="AT590" s="24">
        <v>0</v>
      </c>
      <c r="AU590" s="24">
        <v>0</v>
      </c>
      <c r="AV590" s="24">
        <v>1</v>
      </c>
      <c r="AW590" s="24">
        <v>0</v>
      </c>
      <c r="AX590" s="24">
        <v>0</v>
      </c>
      <c r="AY590" s="24">
        <v>0</v>
      </c>
      <c r="AZ590" s="24">
        <v>0</v>
      </c>
      <c r="BA590" s="24">
        <v>1</v>
      </c>
      <c r="BB590" s="24">
        <v>0</v>
      </c>
    </row>
    <row r="591" spans="2:54" ht="13.8" x14ac:dyDescent="0.3">
      <c r="B591" s="24">
        <v>571</v>
      </c>
      <c r="C591" s="24">
        <v>24</v>
      </c>
      <c r="D591" s="24">
        <v>0</v>
      </c>
      <c r="E591" s="24">
        <v>0</v>
      </c>
      <c r="F591" s="24">
        <v>1</v>
      </c>
      <c r="G591" s="24">
        <v>0</v>
      </c>
      <c r="H591" s="24">
        <v>0</v>
      </c>
      <c r="I591" s="24">
        <v>0</v>
      </c>
      <c r="J591" s="24">
        <v>3234</v>
      </c>
      <c r="K591" s="24">
        <v>4</v>
      </c>
      <c r="L591" s="24">
        <v>0</v>
      </c>
      <c r="M591" s="24">
        <v>0</v>
      </c>
      <c r="N591" s="24">
        <v>0</v>
      </c>
      <c r="O591" s="24">
        <v>0</v>
      </c>
      <c r="P591" s="24">
        <v>0</v>
      </c>
      <c r="Q591" s="24">
        <v>1</v>
      </c>
      <c r="R591" s="24">
        <v>0</v>
      </c>
      <c r="S591" s="24">
        <v>23</v>
      </c>
      <c r="T591" s="24">
        <v>0</v>
      </c>
      <c r="U591" s="24">
        <v>1</v>
      </c>
      <c r="V591" s="24">
        <v>0</v>
      </c>
      <c r="W591" s="24">
        <v>1</v>
      </c>
      <c r="X591" s="24">
        <v>1</v>
      </c>
      <c r="Y591" s="24">
        <v>1</v>
      </c>
      <c r="Z591" s="24">
        <v>0</v>
      </c>
      <c r="AA591" s="24">
        <v>0</v>
      </c>
      <c r="AB591" s="24">
        <v>1</v>
      </c>
      <c r="AC591" s="24">
        <v>0</v>
      </c>
      <c r="AD591" s="24">
        <v>0</v>
      </c>
      <c r="AE591" s="24">
        <v>0</v>
      </c>
      <c r="AF591" s="24">
        <v>0</v>
      </c>
      <c r="AG591" s="24">
        <v>0</v>
      </c>
      <c r="AH591" s="24">
        <v>1</v>
      </c>
      <c r="AI591" s="24">
        <v>0</v>
      </c>
      <c r="AJ591" s="24">
        <v>0</v>
      </c>
      <c r="AK591" s="24">
        <v>1</v>
      </c>
      <c r="AL591" s="24">
        <v>0</v>
      </c>
      <c r="AM591" s="24">
        <v>0</v>
      </c>
      <c r="AN591" s="24">
        <v>0</v>
      </c>
      <c r="AO591" s="24">
        <v>0</v>
      </c>
      <c r="AP591" s="24">
        <v>0</v>
      </c>
      <c r="AQ591" s="24">
        <v>1</v>
      </c>
      <c r="AR591" s="24">
        <v>0</v>
      </c>
      <c r="AS591" s="24">
        <v>0</v>
      </c>
      <c r="AT591" s="24">
        <v>0</v>
      </c>
      <c r="AU591" s="24">
        <v>0</v>
      </c>
      <c r="AV591" s="24">
        <v>0</v>
      </c>
      <c r="AW591" s="24">
        <v>0</v>
      </c>
      <c r="AX591" s="24">
        <v>1</v>
      </c>
      <c r="AY591" s="24">
        <v>0</v>
      </c>
      <c r="AZ591" s="24">
        <v>1</v>
      </c>
      <c r="BA591" s="24">
        <v>0</v>
      </c>
      <c r="BB591" s="24">
        <v>0</v>
      </c>
    </row>
    <row r="592" spans="2:54" ht="13.8" x14ac:dyDescent="0.3">
      <c r="B592" s="24">
        <v>572</v>
      </c>
      <c r="C592" s="24">
        <v>30</v>
      </c>
      <c r="D592" s="24">
        <v>0</v>
      </c>
      <c r="E592" s="24">
        <v>0</v>
      </c>
      <c r="F592" s="24">
        <v>0</v>
      </c>
      <c r="G592" s="24">
        <v>1</v>
      </c>
      <c r="H592" s="24">
        <v>0</v>
      </c>
      <c r="I592" s="24">
        <v>0</v>
      </c>
      <c r="J592" s="24">
        <v>5954</v>
      </c>
      <c r="K592" s="24">
        <v>3</v>
      </c>
      <c r="L592" s="24">
        <v>0</v>
      </c>
      <c r="M592" s="24">
        <v>1</v>
      </c>
      <c r="N592" s="24">
        <v>0</v>
      </c>
      <c r="O592" s="24">
        <v>1</v>
      </c>
      <c r="P592" s="24">
        <v>0</v>
      </c>
      <c r="Q592" s="24">
        <v>0</v>
      </c>
      <c r="R592" s="24">
        <v>0</v>
      </c>
      <c r="S592" s="24">
        <v>38</v>
      </c>
      <c r="T592" s="24">
        <v>0</v>
      </c>
      <c r="U592" s="24">
        <v>0</v>
      </c>
      <c r="V592" s="24">
        <v>1</v>
      </c>
      <c r="W592" s="24">
        <v>1</v>
      </c>
      <c r="X592" s="24">
        <v>1</v>
      </c>
      <c r="Y592" s="24">
        <v>0</v>
      </c>
      <c r="Z592" s="24">
        <v>0</v>
      </c>
      <c r="AA592" s="24">
        <v>1</v>
      </c>
      <c r="AB592" s="24">
        <v>0</v>
      </c>
      <c r="AC592" s="24">
        <v>0</v>
      </c>
      <c r="AD592" s="24">
        <v>0</v>
      </c>
      <c r="AE592" s="24">
        <v>1</v>
      </c>
      <c r="AF592" s="24">
        <v>0</v>
      </c>
      <c r="AG592" s="24">
        <v>0</v>
      </c>
      <c r="AH592" s="24">
        <v>0</v>
      </c>
      <c r="AI592" s="24">
        <v>0</v>
      </c>
      <c r="AJ592" s="24">
        <v>1</v>
      </c>
      <c r="AK592" s="24">
        <v>1</v>
      </c>
      <c r="AL592" s="24">
        <v>0</v>
      </c>
      <c r="AM592" s="24">
        <v>0</v>
      </c>
      <c r="AN592" s="24">
        <v>0</v>
      </c>
      <c r="AO592" s="24">
        <v>0</v>
      </c>
      <c r="AP592" s="24">
        <v>0</v>
      </c>
      <c r="AQ592" s="24">
        <v>0</v>
      </c>
      <c r="AR592" s="24">
        <v>0</v>
      </c>
      <c r="AS592" s="24">
        <v>1</v>
      </c>
      <c r="AT592" s="24">
        <v>0</v>
      </c>
      <c r="AU592" s="24">
        <v>0</v>
      </c>
      <c r="AV592" s="24">
        <v>1</v>
      </c>
      <c r="AW592" s="24">
        <v>0</v>
      </c>
      <c r="AX592" s="24">
        <v>0</v>
      </c>
      <c r="AY592" s="24">
        <v>0</v>
      </c>
      <c r="AZ592" s="24">
        <v>0</v>
      </c>
      <c r="BA592" s="24">
        <v>1</v>
      </c>
      <c r="BB592" s="24">
        <v>0</v>
      </c>
    </row>
    <row r="593" spans="2:54" ht="13.8" x14ac:dyDescent="0.3">
      <c r="B593" s="24">
        <v>573</v>
      </c>
      <c r="C593" s="24">
        <v>24</v>
      </c>
      <c r="D593" s="24">
        <v>0</v>
      </c>
      <c r="E593" s="24">
        <v>1</v>
      </c>
      <c r="F593" s="24">
        <v>0</v>
      </c>
      <c r="G593" s="24">
        <v>0</v>
      </c>
      <c r="H593" s="24">
        <v>0</v>
      </c>
      <c r="I593" s="24">
        <v>0</v>
      </c>
      <c r="J593" s="24">
        <v>5433</v>
      </c>
      <c r="K593" s="24">
        <v>2</v>
      </c>
      <c r="L593" s="24">
        <v>0</v>
      </c>
      <c r="M593" s="24">
        <v>0</v>
      </c>
      <c r="N593" s="24">
        <v>0</v>
      </c>
      <c r="O593" s="24">
        <v>0</v>
      </c>
      <c r="P593" s="24">
        <v>0</v>
      </c>
      <c r="Q593" s="24">
        <v>0</v>
      </c>
      <c r="R593" s="24">
        <v>0</v>
      </c>
      <c r="S593" s="24">
        <v>26</v>
      </c>
      <c r="T593" s="24">
        <v>0</v>
      </c>
      <c r="U593" s="24">
        <v>1</v>
      </c>
      <c r="V593" s="24">
        <v>0</v>
      </c>
      <c r="W593" s="24">
        <v>1</v>
      </c>
      <c r="X593" s="24">
        <v>1</v>
      </c>
      <c r="Y593" s="24">
        <v>1</v>
      </c>
      <c r="Z593" s="24">
        <v>0</v>
      </c>
      <c r="AA593" s="24">
        <v>1</v>
      </c>
      <c r="AB593" s="24">
        <v>0</v>
      </c>
      <c r="AC593" s="24">
        <v>0</v>
      </c>
      <c r="AD593" s="24">
        <v>0</v>
      </c>
      <c r="AE593" s="24">
        <v>1</v>
      </c>
      <c r="AF593" s="24">
        <v>0</v>
      </c>
      <c r="AG593" s="24">
        <v>0</v>
      </c>
      <c r="AH593" s="24">
        <v>1</v>
      </c>
      <c r="AI593" s="24">
        <v>0</v>
      </c>
      <c r="AJ593" s="24">
        <v>0</v>
      </c>
      <c r="AK593" s="24">
        <v>0</v>
      </c>
      <c r="AL593" s="24">
        <v>0</v>
      </c>
      <c r="AM593" s="24">
        <v>0</v>
      </c>
      <c r="AN593" s="24">
        <v>0</v>
      </c>
      <c r="AO593" s="24">
        <v>1</v>
      </c>
      <c r="AP593" s="24">
        <v>1</v>
      </c>
      <c r="AQ593" s="24">
        <v>0</v>
      </c>
      <c r="AR593" s="24">
        <v>0</v>
      </c>
      <c r="AS593" s="24">
        <v>0</v>
      </c>
      <c r="AT593" s="24">
        <v>0</v>
      </c>
      <c r="AU593" s="24">
        <v>0</v>
      </c>
      <c r="AV593" s="24">
        <v>0</v>
      </c>
      <c r="AW593" s="24">
        <v>0</v>
      </c>
      <c r="AX593" s="24">
        <v>1</v>
      </c>
      <c r="AY593" s="24">
        <v>0</v>
      </c>
      <c r="AZ593" s="24">
        <v>0</v>
      </c>
      <c r="BA593" s="24">
        <v>0</v>
      </c>
      <c r="BB593" s="24">
        <v>1</v>
      </c>
    </row>
    <row r="594" spans="2:54" ht="13.8" x14ac:dyDescent="0.3">
      <c r="B594" s="24">
        <v>574</v>
      </c>
      <c r="C594" s="24">
        <v>15</v>
      </c>
      <c r="D594" s="24">
        <v>0</v>
      </c>
      <c r="E594" s="24">
        <v>0</v>
      </c>
      <c r="F594" s="24">
        <v>0</v>
      </c>
      <c r="G594" s="24">
        <v>0</v>
      </c>
      <c r="H594" s="24">
        <v>0</v>
      </c>
      <c r="I594" s="24">
        <v>1</v>
      </c>
      <c r="J594" s="24">
        <v>806</v>
      </c>
      <c r="K594" s="24">
        <v>4</v>
      </c>
      <c r="L594" s="24">
        <v>0</v>
      </c>
      <c r="M594" s="24">
        <v>0</v>
      </c>
      <c r="N594" s="24">
        <v>0</v>
      </c>
      <c r="O594" s="24">
        <v>0</v>
      </c>
      <c r="P594" s="24">
        <v>0</v>
      </c>
      <c r="Q594" s="24">
        <v>0</v>
      </c>
      <c r="R594" s="24">
        <v>0</v>
      </c>
      <c r="S594" s="24">
        <v>22</v>
      </c>
      <c r="T594" s="24">
        <v>0</v>
      </c>
      <c r="U594" s="24">
        <v>0</v>
      </c>
      <c r="V594" s="24">
        <v>1</v>
      </c>
      <c r="W594" s="24">
        <v>1</v>
      </c>
      <c r="X594" s="24">
        <v>1</v>
      </c>
      <c r="Y594" s="24">
        <v>0</v>
      </c>
      <c r="Z594" s="24">
        <v>0</v>
      </c>
      <c r="AA594" s="24">
        <v>1</v>
      </c>
      <c r="AB594" s="24">
        <v>1</v>
      </c>
      <c r="AC594" s="24">
        <v>0</v>
      </c>
      <c r="AD594" s="24">
        <v>0</v>
      </c>
      <c r="AE594" s="24">
        <v>0</v>
      </c>
      <c r="AF594" s="24">
        <v>0</v>
      </c>
      <c r="AG594" s="24">
        <v>0</v>
      </c>
      <c r="AH594" s="24">
        <v>1</v>
      </c>
      <c r="AI594" s="24">
        <v>0</v>
      </c>
      <c r="AJ594" s="24">
        <v>0</v>
      </c>
      <c r="AK594" s="24">
        <v>1</v>
      </c>
      <c r="AL594" s="24">
        <v>0</v>
      </c>
      <c r="AM594" s="24">
        <v>0</v>
      </c>
      <c r="AN594" s="24">
        <v>0</v>
      </c>
      <c r="AO594" s="24">
        <v>0</v>
      </c>
      <c r="AP594" s="24">
        <v>0</v>
      </c>
      <c r="AQ594" s="24">
        <v>0</v>
      </c>
      <c r="AR594" s="24">
        <v>1</v>
      </c>
      <c r="AS594" s="24">
        <v>0</v>
      </c>
      <c r="AT594" s="24">
        <v>0</v>
      </c>
      <c r="AU594" s="24">
        <v>0</v>
      </c>
      <c r="AV594" s="24">
        <v>0</v>
      </c>
      <c r="AW594" s="24">
        <v>0</v>
      </c>
      <c r="AX594" s="24">
        <v>1</v>
      </c>
      <c r="AY594" s="24">
        <v>0</v>
      </c>
      <c r="AZ594" s="24">
        <v>1</v>
      </c>
      <c r="BA594" s="24">
        <v>0</v>
      </c>
      <c r="BB594" s="24">
        <v>0</v>
      </c>
    </row>
    <row r="595" spans="2:54" ht="13.8" x14ac:dyDescent="0.3">
      <c r="B595" s="24">
        <v>575</v>
      </c>
      <c r="C595" s="24">
        <v>9</v>
      </c>
      <c r="D595" s="24">
        <v>0</v>
      </c>
      <c r="E595" s="24">
        <v>0</v>
      </c>
      <c r="F595" s="24">
        <v>0</v>
      </c>
      <c r="G595" s="24">
        <v>1</v>
      </c>
      <c r="H595" s="24">
        <v>0</v>
      </c>
      <c r="I595" s="24">
        <v>0</v>
      </c>
      <c r="J595" s="24">
        <v>1082</v>
      </c>
      <c r="K595" s="24">
        <v>4</v>
      </c>
      <c r="L595" s="24">
        <v>0</v>
      </c>
      <c r="M595" s="24">
        <v>1</v>
      </c>
      <c r="N595" s="24">
        <v>0</v>
      </c>
      <c r="O595" s="24">
        <v>0</v>
      </c>
      <c r="P595" s="24">
        <v>0</v>
      </c>
      <c r="Q595" s="24">
        <v>0</v>
      </c>
      <c r="R595" s="24">
        <v>0</v>
      </c>
      <c r="S595" s="24">
        <v>27</v>
      </c>
      <c r="T595" s="24">
        <v>0</v>
      </c>
      <c r="U595" s="24">
        <v>0</v>
      </c>
      <c r="V595" s="24">
        <v>1</v>
      </c>
      <c r="W595" s="24">
        <v>2</v>
      </c>
      <c r="X595" s="24">
        <v>1</v>
      </c>
      <c r="Y595" s="24">
        <v>0</v>
      </c>
      <c r="Z595" s="24">
        <v>0</v>
      </c>
      <c r="AA595" s="24">
        <v>1</v>
      </c>
      <c r="AB595" s="24">
        <v>0</v>
      </c>
      <c r="AC595" s="24">
        <v>1</v>
      </c>
      <c r="AD595" s="24">
        <v>0</v>
      </c>
      <c r="AE595" s="24">
        <v>0</v>
      </c>
      <c r="AF595" s="24">
        <v>0</v>
      </c>
      <c r="AG595" s="24">
        <v>0</v>
      </c>
      <c r="AH595" s="24">
        <v>1</v>
      </c>
      <c r="AI595" s="24">
        <v>0</v>
      </c>
      <c r="AJ595" s="24">
        <v>0</v>
      </c>
      <c r="AK595" s="24">
        <v>1</v>
      </c>
      <c r="AL595" s="24">
        <v>0</v>
      </c>
      <c r="AM595" s="24">
        <v>0</v>
      </c>
      <c r="AN595" s="24">
        <v>0</v>
      </c>
      <c r="AO595" s="24">
        <v>0</v>
      </c>
      <c r="AP595" s="24">
        <v>0</v>
      </c>
      <c r="AQ595" s="24">
        <v>0</v>
      </c>
      <c r="AR595" s="24">
        <v>0</v>
      </c>
      <c r="AS595" s="24">
        <v>0</v>
      </c>
      <c r="AT595" s="24">
        <v>1</v>
      </c>
      <c r="AU595" s="24">
        <v>0</v>
      </c>
      <c r="AV595" s="24">
        <v>0</v>
      </c>
      <c r="AW595" s="24">
        <v>0</v>
      </c>
      <c r="AX595" s="24">
        <v>1</v>
      </c>
      <c r="AY595" s="24">
        <v>0</v>
      </c>
      <c r="AZ595" s="24">
        <v>1</v>
      </c>
      <c r="BA595" s="24">
        <v>0</v>
      </c>
      <c r="BB595" s="24">
        <v>0</v>
      </c>
    </row>
    <row r="596" spans="2:54" ht="13.8" x14ac:dyDescent="0.3">
      <c r="B596" s="24">
        <v>576</v>
      </c>
      <c r="C596" s="24">
        <v>15</v>
      </c>
      <c r="D596" s="24">
        <v>0</v>
      </c>
      <c r="E596" s="24">
        <v>0</v>
      </c>
      <c r="F596" s="24">
        <v>1</v>
      </c>
      <c r="G596" s="24">
        <v>0</v>
      </c>
      <c r="H596" s="24">
        <v>0</v>
      </c>
      <c r="I596" s="24">
        <v>0</v>
      </c>
      <c r="J596" s="24">
        <v>2788</v>
      </c>
      <c r="K596" s="24">
        <v>2</v>
      </c>
      <c r="L596" s="24">
        <v>0</v>
      </c>
      <c r="M596" s="24">
        <v>0</v>
      </c>
      <c r="N596" s="24">
        <v>0</v>
      </c>
      <c r="O596" s="24">
        <v>1</v>
      </c>
      <c r="P596" s="24">
        <v>0</v>
      </c>
      <c r="Q596" s="24">
        <v>0</v>
      </c>
      <c r="R596" s="24">
        <v>0</v>
      </c>
      <c r="S596" s="24">
        <v>24</v>
      </c>
      <c r="T596" s="24">
        <v>1</v>
      </c>
      <c r="U596" s="24">
        <v>0</v>
      </c>
      <c r="V596" s="24">
        <v>1</v>
      </c>
      <c r="W596" s="24">
        <v>2</v>
      </c>
      <c r="X596" s="24">
        <v>1</v>
      </c>
      <c r="Y596" s="24">
        <v>0</v>
      </c>
      <c r="Z596" s="24">
        <v>0</v>
      </c>
      <c r="AA596" s="24">
        <v>1</v>
      </c>
      <c r="AB596" s="24">
        <v>0</v>
      </c>
      <c r="AC596" s="24">
        <v>0</v>
      </c>
      <c r="AD596" s="24">
        <v>0</v>
      </c>
      <c r="AE596" s="24">
        <v>1</v>
      </c>
      <c r="AF596" s="24">
        <v>0</v>
      </c>
      <c r="AG596" s="24">
        <v>0</v>
      </c>
      <c r="AH596" s="24">
        <v>0</v>
      </c>
      <c r="AI596" s="24">
        <v>0</v>
      </c>
      <c r="AJ596" s="24">
        <v>1</v>
      </c>
      <c r="AK596" s="24">
        <v>1</v>
      </c>
      <c r="AL596" s="24">
        <v>0</v>
      </c>
      <c r="AM596" s="24">
        <v>0</v>
      </c>
      <c r="AN596" s="24">
        <v>0</v>
      </c>
      <c r="AO596" s="24">
        <v>0</v>
      </c>
      <c r="AP596" s="24">
        <v>0</v>
      </c>
      <c r="AQ596" s="24">
        <v>0</v>
      </c>
      <c r="AR596" s="24">
        <v>0</v>
      </c>
      <c r="AS596" s="24">
        <v>1</v>
      </c>
      <c r="AT596" s="24">
        <v>0</v>
      </c>
      <c r="AU596" s="24">
        <v>0</v>
      </c>
      <c r="AV596" s="24">
        <v>0</v>
      </c>
      <c r="AW596" s="24">
        <v>1</v>
      </c>
      <c r="AX596" s="24">
        <v>0</v>
      </c>
      <c r="AY596" s="24">
        <v>0</v>
      </c>
      <c r="AZ596" s="24">
        <v>0</v>
      </c>
      <c r="BA596" s="24">
        <v>1</v>
      </c>
      <c r="BB596" s="24">
        <v>0</v>
      </c>
    </row>
    <row r="597" spans="2:54" ht="13.8" x14ac:dyDescent="0.3">
      <c r="B597" s="24">
        <v>577</v>
      </c>
      <c r="C597" s="24">
        <v>12</v>
      </c>
      <c r="D597" s="24">
        <v>0</v>
      </c>
      <c r="E597" s="24">
        <v>0</v>
      </c>
      <c r="F597" s="24">
        <v>0</v>
      </c>
      <c r="G597" s="24">
        <v>1</v>
      </c>
      <c r="H597" s="24">
        <v>0</v>
      </c>
      <c r="I597" s="24">
        <v>0</v>
      </c>
      <c r="J597" s="24">
        <v>2930</v>
      </c>
      <c r="K597" s="24">
        <v>2</v>
      </c>
      <c r="L597" s="24">
        <v>0</v>
      </c>
      <c r="M597" s="24">
        <v>0</v>
      </c>
      <c r="N597" s="24">
        <v>0</v>
      </c>
      <c r="O597" s="24">
        <v>0</v>
      </c>
      <c r="P597" s="24">
        <v>0</v>
      </c>
      <c r="Q597" s="24">
        <v>1</v>
      </c>
      <c r="R597" s="24">
        <v>0</v>
      </c>
      <c r="S597" s="24">
        <v>27</v>
      </c>
      <c r="T597" s="24">
        <v>0</v>
      </c>
      <c r="U597" s="24">
        <v>0</v>
      </c>
      <c r="V597" s="24">
        <v>1</v>
      </c>
      <c r="W597" s="24">
        <v>1</v>
      </c>
      <c r="X597" s="24">
        <v>1</v>
      </c>
      <c r="Y597" s="24">
        <v>0</v>
      </c>
      <c r="Z597" s="24">
        <v>0</v>
      </c>
      <c r="AA597" s="24">
        <v>1</v>
      </c>
      <c r="AB597" s="24">
        <v>0</v>
      </c>
      <c r="AC597" s="24">
        <v>1</v>
      </c>
      <c r="AD597" s="24">
        <v>0</v>
      </c>
      <c r="AE597" s="24">
        <v>0</v>
      </c>
      <c r="AF597" s="24">
        <v>0</v>
      </c>
      <c r="AG597" s="24">
        <v>0</v>
      </c>
      <c r="AH597" s="24">
        <v>1</v>
      </c>
      <c r="AI597" s="24">
        <v>0</v>
      </c>
      <c r="AJ597" s="24">
        <v>0</v>
      </c>
      <c r="AK597" s="24">
        <v>1</v>
      </c>
      <c r="AL597" s="24">
        <v>0</v>
      </c>
      <c r="AM597" s="24">
        <v>0</v>
      </c>
      <c r="AN597" s="24">
        <v>0</v>
      </c>
      <c r="AO597" s="24">
        <v>0</v>
      </c>
      <c r="AP597" s="24">
        <v>0</v>
      </c>
      <c r="AQ597" s="24">
        <v>0</v>
      </c>
      <c r="AR597" s="24">
        <v>0</v>
      </c>
      <c r="AS597" s="24">
        <v>1</v>
      </c>
      <c r="AT597" s="24">
        <v>0</v>
      </c>
      <c r="AU597" s="24">
        <v>1</v>
      </c>
      <c r="AV597" s="24">
        <v>0</v>
      </c>
      <c r="AW597" s="24">
        <v>0</v>
      </c>
      <c r="AX597" s="24">
        <v>0</v>
      </c>
      <c r="AY597" s="24">
        <v>0</v>
      </c>
      <c r="AZ597" s="24">
        <v>0</v>
      </c>
      <c r="BA597" s="24">
        <v>1</v>
      </c>
      <c r="BB597" s="24">
        <v>0</v>
      </c>
    </row>
    <row r="598" spans="2:54" ht="13.8" x14ac:dyDescent="0.3">
      <c r="B598" s="24">
        <v>578</v>
      </c>
      <c r="C598" s="24">
        <v>24</v>
      </c>
      <c r="D598" s="24">
        <v>0</v>
      </c>
      <c r="E598" s="24">
        <v>0</v>
      </c>
      <c r="F598" s="24">
        <v>0</v>
      </c>
      <c r="G598" s="24">
        <v>0</v>
      </c>
      <c r="H598" s="24">
        <v>1</v>
      </c>
      <c r="I598" s="24">
        <v>0</v>
      </c>
      <c r="J598" s="24">
        <v>1927</v>
      </c>
      <c r="K598" s="24">
        <v>3</v>
      </c>
      <c r="L598" s="24">
        <v>0</v>
      </c>
      <c r="M598" s="24">
        <v>0</v>
      </c>
      <c r="N598" s="24">
        <v>0</v>
      </c>
      <c r="O598" s="24">
        <v>0</v>
      </c>
      <c r="P598" s="24">
        <v>0</v>
      </c>
      <c r="Q598" s="24">
        <v>0</v>
      </c>
      <c r="R598" s="24">
        <v>0</v>
      </c>
      <c r="S598" s="24">
        <v>33</v>
      </c>
      <c r="T598" s="24">
        <v>0</v>
      </c>
      <c r="U598" s="24">
        <v>0</v>
      </c>
      <c r="V598" s="24">
        <v>1</v>
      </c>
      <c r="W598" s="24">
        <v>2</v>
      </c>
      <c r="X598" s="24">
        <v>1</v>
      </c>
      <c r="Y598" s="24">
        <v>1</v>
      </c>
      <c r="Z598" s="24">
        <v>0</v>
      </c>
      <c r="AA598" s="24">
        <v>1</v>
      </c>
      <c r="AB598" s="24">
        <v>0</v>
      </c>
      <c r="AC598" s="24">
        <v>0</v>
      </c>
      <c r="AD598" s="24">
        <v>0</v>
      </c>
      <c r="AE598" s="24">
        <v>1</v>
      </c>
      <c r="AF598" s="24">
        <v>0</v>
      </c>
      <c r="AG598" s="24">
        <v>0</v>
      </c>
      <c r="AH598" s="24">
        <v>0</v>
      </c>
      <c r="AI598" s="24">
        <v>0</v>
      </c>
      <c r="AJ598" s="24">
        <v>1</v>
      </c>
      <c r="AK598" s="24">
        <v>0</v>
      </c>
      <c r="AL598" s="24">
        <v>0</v>
      </c>
      <c r="AM598" s="24">
        <v>0</v>
      </c>
      <c r="AN598" s="24">
        <v>0</v>
      </c>
      <c r="AO598" s="24">
        <v>1</v>
      </c>
      <c r="AP598" s="24">
        <v>0</v>
      </c>
      <c r="AQ598" s="24">
        <v>0</v>
      </c>
      <c r="AR598" s="24">
        <v>1</v>
      </c>
      <c r="AS598" s="24">
        <v>0</v>
      </c>
      <c r="AT598" s="24">
        <v>0</v>
      </c>
      <c r="AU598" s="24">
        <v>0</v>
      </c>
      <c r="AV598" s="24">
        <v>1</v>
      </c>
      <c r="AW598" s="24">
        <v>0</v>
      </c>
      <c r="AX598" s="24">
        <v>0</v>
      </c>
      <c r="AY598" s="24">
        <v>0</v>
      </c>
      <c r="AZ598" s="24">
        <v>0</v>
      </c>
      <c r="BA598" s="24">
        <v>1</v>
      </c>
      <c r="BB598" s="24">
        <v>0</v>
      </c>
    </row>
    <row r="599" spans="2:54" ht="13.8" x14ac:dyDescent="0.3">
      <c r="B599" s="24">
        <v>579</v>
      </c>
      <c r="C599" s="24">
        <v>36</v>
      </c>
      <c r="D599" s="24">
        <v>1</v>
      </c>
      <c r="E599" s="24">
        <v>0</v>
      </c>
      <c r="F599" s="24">
        <v>0</v>
      </c>
      <c r="G599" s="24">
        <v>0</v>
      </c>
      <c r="H599" s="24">
        <v>0</v>
      </c>
      <c r="I599" s="24">
        <v>0</v>
      </c>
      <c r="J599" s="24">
        <v>2820</v>
      </c>
      <c r="K599" s="24">
        <v>4</v>
      </c>
      <c r="L599" s="24">
        <v>1</v>
      </c>
      <c r="M599" s="24">
        <v>0</v>
      </c>
      <c r="N599" s="24">
        <v>0</v>
      </c>
      <c r="O599" s="24">
        <v>0</v>
      </c>
      <c r="P599" s="24">
        <v>0</v>
      </c>
      <c r="Q599" s="24">
        <v>0</v>
      </c>
      <c r="R599" s="24">
        <v>0</v>
      </c>
      <c r="S599" s="24">
        <v>27</v>
      </c>
      <c r="T599" s="24">
        <v>0</v>
      </c>
      <c r="U599" s="24">
        <v>0</v>
      </c>
      <c r="V599" s="24">
        <v>1</v>
      </c>
      <c r="W599" s="24">
        <v>2</v>
      </c>
      <c r="X599" s="24">
        <v>1</v>
      </c>
      <c r="Y599" s="24">
        <v>0</v>
      </c>
      <c r="Z599" s="24">
        <v>0</v>
      </c>
      <c r="AA599" s="24">
        <v>0</v>
      </c>
      <c r="AB599" s="24">
        <v>0</v>
      </c>
      <c r="AC599" s="24">
        <v>1</v>
      </c>
      <c r="AD599" s="24">
        <v>0</v>
      </c>
      <c r="AE599" s="24">
        <v>0</v>
      </c>
      <c r="AF599" s="24">
        <v>0</v>
      </c>
      <c r="AG599" s="24">
        <v>0</v>
      </c>
      <c r="AH599" s="24">
        <v>0</v>
      </c>
      <c r="AI599" s="24">
        <v>0</v>
      </c>
      <c r="AJ599" s="24">
        <v>1</v>
      </c>
      <c r="AK599" s="24">
        <v>1</v>
      </c>
      <c r="AL599" s="24">
        <v>0</v>
      </c>
      <c r="AM599" s="24">
        <v>0</v>
      </c>
      <c r="AN599" s="24">
        <v>0</v>
      </c>
      <c r="AO599" s="24">
        <v>0</v>
      </c>
      <c r="AP599" s="24">
        <v>0</v>
      </c>
      <c r="AQ599" s="24">
        <v>1</v>
      </c>
      <c r="AR599" s="24">
        <v>0</v>
      </c>
      <c r="AS599" s="24">
        <v>0</v>
      </c>
      <c r="AT599" s="24">
        <v>0</v>
      </c>
      <c r="AU599" s="24">
        <v>0</v>
      </c>
      <c r="AV599" s="24">
        <v>0</v>
      </c>
      <c r="AW599" s="24">
        <v>0</v>
      </c>
      <c r="AX599" s="24">
        <v>1</v>
      </c>
      <c r="AY599" s="24">
        <v>0</v>
      </c>
      <c r="AZ599" s="24">
        <v>0</v>
      </c>
      <c r="BA599" s="24">
        <v>1</v>
      </c>
      <c r="BB599" s="24">
        <v>0</v>
      </c>
    </row>
    <row r="600" spans="2:54" ht="13.8" x14ac:dyDescent="0.3">
      <c r="B600" s="24">
        <v>580</v>
      </c>
      <c r="C600" s="24">
        <v>24</v>
      </c>
      <c r="D600" s="24">
        <v>0</v>
      </c>
      <c r="E600" s="24">
        <v>0</v>
      </c>
      <c r="F600" s="24">
        <v>0</v>
      </c>
      <c r="G600" s="24">
        <v>0</v>
      </c>
      <c r="H600" s="24">
        <v>0</v>
      </c>
      <c r="I600" s="24">
        <v>0</v>
      </c>
      <c r="J600" s="24">
        <v>937</v>
      </c>
      <c r="K600" s="24">
        <v>4</v>
      </c>
      <c r="L600" s="24">
        <v>0</v>
      </c>
      <c r="M600" s="24">
        <v>0</v>
      </c>
      <c r="N600" s="24">
        <v>1</v>
      </c>
      <c r="O600" s="24">
        <v>0</v>
      </c>
      <c r="P600" s="24">
        <v>0</v>
      </c>
      <c r="Q600" s="24">
        <v>0</v>
      </c>
      <c r="R600" s="24">
        <v>0</v>
      </c>
      <c r="S600" s="24">
        <v>27</v>
      </c>
      <c r="T600" s="24">
        <v>0</v>
      </c>
      <c r="U600" s="24">
        <v>0</v>
      </c>
      <c r="V600" s="24">
        <v>1</v>
      </c>
      <c r="W600" s="24">
        <v>2</v>
      </c>
      <c r="X600" s="24">
        <v>1</v>
      </c>
      <c r="Y600" s="24">
        <v>0</v>
      </c>
      <c r="Z600" s="24">
        <v>0</v>
      </c>
      <c r="AA600" s="24">
        <v>1</v>
      </c>
      <c r="AB600" s="24">
        <v>0</v>
      </c>
      <c r="AC600" s="24">
        <v>0</v>
      </c>
      <c r="AD600" s="24">
        <v>0</v>
      </c>
      <c r="AE600" s="24">
        <v>1</v>
      </c>
      <c r="AF600" s="24">
        <v>0</v>
      </c>
      <c r="AG600" s="24">
        <v>0</v>
      </c>
      <c r="AH600" s="24">
        <v>1</v>
      </c>
      <c r="AI600" s="24">
        <v>0</v>
      </c>
      <c r="AJ600" s="24">
        <v>0</v>
      </c>
      <c r="AK600" s="24">
        <v>1</v>
      </c>
      <c r="AL600" s="24">
        <v>0</v>
      </c>
      <c r="AM600" s="24">
        <v>0</v>
      </c>
      <c r="AN600" s="24">
        <v>0</v>
      </c>
      <c r="AO600" s="24">
        <v>0</v>
      </c>
      <c r="AP600" s="24">
        <v>0</v>
      </c>
      <c r="AQ600" s="24">
        <v>1</v>
      </c>
      <c r="AR600" s="24">
        <v>0</v>
      </c>
      <c r="AS600" s="24">
        <v>0</v>
      </c>
      <c r="AT600" s="24">
        <v>0</v>
      </c>
      <c r="AU600" s="24">
        <v>0</v>
      </c>
      <c r="AV600" s="24">
        <v>0</v>
      </c>
      <c r="AW600" s="24">
        <v>1</v>
      </c>
      <c r="AX600" s="24">
        <v>0</v>
      </c>
      <c r="AY600" s="24">
        <v>0</v>
      </c>
      <c r="AZ600" s="24">
        <v>1</v>
      </c>
      <c r="BA600" s="24">
        <v>0</v>
      </c>
      <c r="BB600" s="24">
        <v>0</v>
      </c>
    </row>
    <row r="601" spans="2:54" ht="13.8" x14ac:dyDescent="0.3">
      <c r="B601" s="24">
        <v>581</v>
      </c>
      <c r="C601" s="24">
        <v>18</v>
      </c>
      <c r="D601" s="24">
        <v>1</v>
      </c>
      <c r="E601" s="24">
        <v>0</v>
      </c>
      <c r="F601" s="24">
        <v>0</v>
      </c>
      <c r="G601" s="24">
        <v>0</v>
      </c>
      <c r="H601" s="24">
        <v>0</v>
      </c>
      <c r="I601" s="24">
        <v>0</v>
      </c>
      <c r="J601" s="24">
        <v>1056</v>
      </c>
      <c r="K601" s="24">
        <v>3</v>
      </c>
      <c r="L601" s="24">
        <v>0</v>
      </c>
      <c r="M601" s="24">
        <v>1</v>
      </c>
      <c r="N601" s="24">
        <v>0</v>
      </c>
      <c r="O601" s="24">
        <v>0</v>
      </c>
      <c r="P601" s="24">
        <v>1</v>
      </c>
      <c r="Q601" s="24">
        <v>1</v>
      </c>
      <c r="R601" s="24">
        <v>0</v>
      </c>
      <c r="S601" s="24">
        <v>30</v>
      </c>
      <c r="T601" s="24">
        <v>1</v>
      </c>
      <c r="U601" s="24">
        <v>0</v>
      </c>
      <c r="V601" s="24">
        <v>1</v>
      </c>
      <c r="W601" s="24">
        <v>2</v>
      </c>
      <c r="X601" s="24">
        <v>1</v>
      </c>
      <c r="Y601" s="24">
        <v>0</v>
      </c>
      <c r="Z601" s="24">
        <v>0</v>
      </c>
      <c r="AA601" s="24">
        <v>0</v>
      </c>
      <c r="AB601" s="24">
        <v>0</v>
      </c>
      <c r="AC601" s="24">
        <v>1</v>
      </c>
      <c r="AD601" s="24">
        <v>0</v>
      </c>
      <c r="AE601" s="24">
        <v>0</v>
      </c>
      <c r="AF601" s="24">
        <v>0</v>
      </c>
      <c r="AG601" s="24">
        <v>0</v>
      </c>
      <c r="AH601" s="24">
        <v>0</v>
      </c>
      <c r="AI601" s="24">
        <v>0</v>
      </c>
      <c r="AJ601" s="24">
        <v>1</v>
      </c>
      <c r="AK601" s="24">
        <v>1</v>
      </c>
      <c r="AL601" s="24">
        <v>0</v>
      </c>
      <c r="AM601" s="24">
        <v>0</v>
      </c>
      <c r="AN601" s="24">
        <v>0</v>
      </c>
      <c r="AO601" s="24">
        <v>0</v>
      </c>
      <c r="AP601" s="24">
        <v>0</v>
      </c>
      <c r="AQ601" s="24">
        <v>0</v>
      </c>
      <c r="AR601" s="24">
        <v>0</v>
      </c>
      <c r="AS601" s="24">
        <v>0</v>
      </c>
      <c r="AT601" s="24">
        <v>1</v>
      </c>
      <c r="AU601" s="24">
        <v>0</v>
      </c>
      <c r="AV601" s="24">
        <v>0</v>
      </c>
      <c r="AW601" s="24">
        <v>1</v>
      </c>
      <c r="AX601" s="24">
        <v>0</v>
      </c>
      <c r="AY601" s="24">
        <v>0</v>
      </c>
      <c r="AZ601" s="24">
        <v>0</v>
      </c>
      <c r="BA601" s="24">
        <v>1</v>
      </c>
      <c r="BB601" s="24">
        <v>0</v>
      </c>
    </row>
    <row r="602" spans="2:54" ht="13.8" x14ac:dyDescent="0.3">
      <c r="B602" s="24">
        <v>582</v>
      </c>
      <c r="C602" s="24">
        <v>12</v>
      </c>
      <c r="D602" s="24">
        <v>1</v>
      </c>
      <c r="E602" s="24">
        <v>0</v>
      </c>
      <c r="F602" s="24">
        <v>0</v>
      </c>
      <c r="G602" s="24">
        <v>0</v>
      </c>
      <c r="H602" s="24">
        <v>0</v>
      </c>
      <c r="I602" s="24">
        <v>0</v>
      </c>
      <c r="J602" s="24">
        <v>3124</v>
      </c>
      <c r="K602" s="24">
        <v>1</v>
      </c>
      <c r="L602" s="24">
        <v>0</v>
      </c>
      <c r="M602" s="24">
        <v>1</v>
      </c>
      <c r="N602" s="24">
        <v>0</v>
      </c>
      <c r="O602" s="24">
        <v>0</v>
      </c>
      <c r="P602" s="24">
        <v>0</v>
      </c>
      <c r="Q602" s="24">
        <v>1</v>
      </c>
      <c r="R602" s="24">
        <v>0</v>
      </c>
      <c r="S602" s="24">
        <v>49</v>
      </c>
      <c r="T602" s="24">
        <v>1</v>
      </c>
      <c r="U602" s="24">
        <v>0</v>
      </c>
      <c r="V602" s="24">
        <v>1</v>
      </c>
      <c r="W602" s="24">
        <v>2</v>
      </c>
      <c r="X602" s="24">
        <v>2</v>
      </c>
      <c r="Y602" s="24">
        <v>0</v>
      </c>
      <c r="Z602" s="24">
        <v>0</v>
      </c>
      <c r="AA602" s="24">
        <v>1</v>
      </c>
      <c r="AB602" s="24">
        <v>0</v>
      </c>
      <c r="AC602" s="24">
        <v>1</v>
      </c>
      <c r="AD602" s="24">
        <v>0</v>
      </c>
      <c r="AE602" s="24">
        <v>0</v>
      </c>
      <c r="AF602" s="24">
        <v>0</v>
      </c>
      <c r="AG602" s="24">
        <v>0</v>
      </c>
      <c r="AH602" s="24">
        <v>0</v>
      </c>
      <c r="AI602" s="24">
        <v>0</v>
      </c>
      <c r="AJ602" s="24">
        <v>1</v>
      </c>
      <c r="AK602" s="24">
        <v>1</v>
      </c>
      <c r="AL602" s="24">
        <v>0</v>
      </c>
      <c r="AM602" s="24">
        <v>0</v>
      </c>
      <c r="AN602" s="24">
        <v>0</v>
      </c>
      <c r="AO602" s="24">
        <v>0</v>
      </c>
      <c r="AP602" s="24">
        <v>0</v>
      </c>
      <c r="AQ602" s="24">
        <v>1</v>
      </c>
      <c r="AR602" s="24">
        <v>0</v>
      </c>
      <c r="AS602" s="24">
        <v>0</v>
      </c>
      <c r="AT602" s="24">
        <v>0</v>
      </c>
      <c r="AU602" s="24">
        <v>0</v>
      </c>
      <c r="AV602" s="24">
        <v>0</v>
      </c>
      <c r="AW602" s="24">
        <v>1</v>
      </c>
      <c r="AX602" s="24">
        <v>0</v>
      </c>
      <c r="AY602" s="24">
        <v>0</v>
      </c>
      <c r="AZ602" s="24">
        <v>1</v>
      </c>
      <c r="BA602" s="24">
        <v>0</v>
      </c>
      <c r="BB602" s="24">
        <v>0</v>
      </c>
    </row>
    <row r="603" spans="2:54" ht="13.8" x14ac:dyDescent="0.3">
      <c r="B603" s="24">
        <v>583</v>
      </c>
      <c r="C603" s="24">
        <v>9</v>
      </c>
      <c r="D603" s="24">
        <v>0</v>
      </c>
      <c r="E603" s="24">
        <v>0</v>
      </c>
      <c r="F603" s="24">
        <v>1</v>
      </c>
      <c r="G603" s="24">
        <v>0</v>
      </c>
      <c r="H603" s="24">
        <v>0</v>
      </c>
      <c r="I603" s="24">
        <v>0</v>
      </c>
      <c r="J603" s="24">
        <v>1388</v>
      </c>
      <c r="K603" s="24">
        <v>4</v>
      </c>
      <c r="L603" s="24">
        <v>0</v>
      </c>
      <c r="M603" s="24">
        <v>0</v>
      </c>
      <c r="N603" s="24">
        <v>0</v>
      </c>
      <c r="O603" s="24">
        <v>0</v>
      </c>
      <c r="P603" s="24">
        <v>0</v>
      </c>
      <c r="Q603" s="24">
        <v>1</v>
      </c>
      <c r="R603" s="24">
        <v>0</v>
      </c>
      <c r="S603" s="24">
        <v>26</v>
      </c>
      <c r="T603" s="24">
        <v>0</v>
      </c>
      <c r="U603" s="24">
        <v>1</v>
      </c>
      <c r="V603" s="24">
        <v>0</v>
      </c>
      <c r="W603" s="24">
        <v>1</v>
      </c>
      <c r="X603" s="24">
        <v>1</v>
      </c>
      <c r="Y603" s="24">
        <v>0</v>
      </c>
      <c r="Z603" s="24">
        <v>0</v>
      </c>
      <c r="AA603" s="24">
        <v>1</v>
      </c>
      <c r="AB603" s="24">
        <v>0</v>
      </c>
      <c r="AC603" s="24">
        <v>0</v>
      </c>
      <c r="AD603" s="24">
        <v>0</v>
      </c>
      <c r="AE603" s="24">
        <v>1</v>
      </c>
      <c r="AF603" s="24">
        <v>0</v>
      </c>
      <c r="AG603" s="24">
        <v>0</v>
      </c>
      <c r="AH603" s="24">
        <v>1</v>
      </c>
      <c r="AI603" s="24">
        <v>0</v>
      </c>
      <c r="AJ603" s="24">
        <v>0</v>
      </c>
      <c r="AK603" s="24">
        <v>1</v>
      </c>
      <c r="AL603" s="24">
        <v>0</v>
      </c>
      <c r="AM603" s="24">
        <v>0</v>
      </c>
      <c r="AN603" s="24">
        <v>0</v>
      </c>
      <c r="AO603" s="24">
        <v>0</v>
      </c>
      <c r="AP603" s="24">
        <v>0</v>
      </c>
      <c r="AQ603" s="24">
        <v>0</v>
      </c>
      <c r="AR603" s="24">
        <v>1</v>
      </c>
      <c r="AS603" s="24">
        <v>0</v>
      </c>
      <c r="AT603" s="24">
        <v>0</v>
      </c>
      <c r="AU603" s="24">
        <v>0</v>
      </c>
      <c r="AV603" s="24">
        <v>1</v>
      </c>
      <c r="AW603" s="24">
        <v>0</v>
      </c>
      <c r="AX603" s="24">
        <v>0</v>
      </c>
      <c r="AY603" s="24">
        <v>0</v>
      </c>
      <c r="AZ603" s="24">
        <v>0</v>
      </c>
      <c r="BA603" s="24">
        <v>1</v>
      </c>
      <c r="BB603" s="24">
        <v>0</v>
      </c>
    </row>
    <row r="604" spans="2:54" ht="13.8" x14ac:dyDescent="0.3">
      <c r="B604" s="24">
        <v>584</v>
      </c>
      <c r="C604" s="24">
        <v>36</v>
      </c>
      <c r="D604" s="24">
        <v>0</v>
      </c>
      <c r="E604" s="24">
        <v>0</v>
      </c>
      <c r="F604" s="24">
        <v>0</v>
      </c>
      <c r="G604" s="24">
        <v>0</v>
      </c>
      <c r="H604" s="24">
        <v>0</v>
      </c>
      <c r="I604" s="24">
        <v>0</v>
      </c>
      <c r="J604" s="24">
        <v>2384</v>
      </c>
      <c r="K604" s="24">
        <v>4</v>
      </c>
      <c r="L604" s="24">
        <v>0</v>
      </c>
      <c r="M604" s="24">
        <v>1</v>
      </c>
      <c r="N604" s="24">
        <v>0</v>
      </c>
      <c r="O604" s="24">
        <v>0</v>
      </c>
      <c r="P604" s="24">
        <v>0</v>
      </c>
      <c r="Q604" s="24">
        <v>0</v>
      </c>
      <c r="R604" s="24">
        <v>1</v>
      </c>
      <c r="S604" s="24">
        <v>33</v>
      </c>
      <c r="T604" s="24">
        <v>0</v>
      </c>
      <c r="U604" s="24">
        <v>1</v>
      </c>
      <c r="V604" s="24">
        <v>0</v>
      </c>
      <c r="W604" s="24">
        <v>1</v>
      </c>
      <c r="X604" s="24">
        <v>1</v>
      </c>
      <c r="Y604" s="24">
        <v>0</v>
      </c>
      <c r="Z604" s="24">
        <v>0</v>
      </c>
      <c r="AA604" s="24">
        <v>0</v>
      </c>
      <c r="AB604" s="24">
        <v>0</v>
      </c>
      <c r="AC604" s="24">
        <v>1</v>
      </c>
      <c r="AD604" s="24">
        <v>0</v>
      </c>
      <c r="AE604" s="24">
        <v>0</v>
      </c>
      <c r="AF604" s="24">
        <v>0</v>
      </c>
      <c r="AG604" s="24">
        <v>0</v>
      </c>
      <c r="AH604" s="24">
        <v>1</v>
      </c>
      <c r="AI604" s="24">
        <v>0</v>
      </c>
      <c r="AJ604" s="24">
        <v>0</v>
      </c>
      <c r="AK604" s="24">
        <v>1</v>
      </c>
      <c r="AL604" s="24">
        <v>0</v>
      </c>
      <c r="AM604" s="24">
        <v>0</v>
      </c>
      <c r="AN604" s="24">
        <v>0</v>
      </c>
      <c r="AO604" s="24">
        <v>0</v>
      </c>
      <c r="AP604" s="24">
        <v>0</v>
      </c>
      <c r="AQ604" s="24">
        <v>1</v>
      </c>
      <c r="AR604" s="24">
        <v>0</v>
      </c>
      <c r="AS604" s="24">
        <v>0</v>
      </c>
      <c r="AT604" s="24">
        <v>0</v>
      </c>
      <c r="AU604" s="24">
        <v>1</v>
      </c>
      <c r="AV604" s="24">
        <v>0</v>
      </c>
      <c r="AW604" s="24">
        <v>0</v>
      </c>
      <c r="AX604" s="24">
        <v>0</v>
      </c>
      <c r="AY604" s="24">
        <v>0</v>
      </c>
      <c r="AZ604" s="24">
        <v>1</v>
      </c>
      <c r="BA604" s="24">
        <v>0</v>
      </c>
      <c r="BB604" s="24">
        <v>0</v>
      </c>
    </row>
    <row r="605" spans="2:54" ht="13.8" x14ac:dyDescent="0.3">
      <c r="B605" s="24">
        <v>585</v>
      </c>
      <c r="C605" s="24">
        <v>12</v>
      </c>
      <c r="D605" s="24">
        <v>1</v>
      </c>
      <c r="E605" s="24">
        <v>0</v>
      </c>
      <c r="F605" s="24">
        <v>0</v>
      </c>
      <c r="G605" s="24">
        <v>0</v>
      </c>
      <c r="H605" s="24">
        <v>0</v>
      </c>
      <c r="I605" s="24">
        <v>0</v>
      </c>
      <c r="J605" s="24">
        <v>2133</v>
      </c>
      <c r="K605" s="24">
        <v>4</v>
      </c>
      <c r="L605" s="24">
        <v>0</v>
      </c>
      <c r="M605" s="24">
        <v>0</v>
      </c>
      <c r="N605" s="24">
        <v>0</v>
      </c>
      <c r="O605" s="24">
        <v>0</v>
      </c>
      <c r="P605" s="24">
        <v>0</v>
      </c>
      <c r="Q605" s="24">
        <v>0</v>
      </c>
      <c r="R605" s="24">
        <v>1</v>
      </c>
      <c r="S605" s="24">
        <v>52</v>
      </c>
      <c r="T605" s="24">
        <v>0</v>
      </c>
      <c r="U605" s="24">
        <v>0</v>
      </c>
      <c r="V605" s="24">
        <v>0</v>
      </c>
      <c r="W605" s="24">
        <v>1</v>
      </c>
      <c r="X605" s="24">
        <v>1</v>
      </c>
      <c r="Y605" s="24">
        <v>1</v>
      </c>
      <c r="Z605" s="24">
        <v>0</v>
      </c>
      <c r="AA605" s="24">
        <v>1</v>
      </c>
      <c r="AB605" s="24">
        <v>0</v>
      </c>
      <c r="AC605" s="24">
        <v>0</v>
      </c>
      <c r="AD605" s="24">
        <v>0</v>
      </c>
      <c r="AE605" s="24">
        <v>1</v>
      </c>
      <c r="AF605" s="24">
        <v>0</v>
      </c>
      <c r="AG605" s="24">
        <v>0</v>
      </c>
      <c r="AH605" s="24">
        <v>1</v>
      </c>
      <c r="AI605" s="24">
        <v>0</v>
      </c>
      <c r="AJ605" s="24">
        <v>0</v>
      </c>
      <c r="AK605" s="24">
        <v>0</v>
      </c>
      <c r="AL605" s="24">
        <v>0</v>
      </c>
      <c r="AM605" s="24">
        <v>0</v>
      </c>
      <c r="AN605" s="24">
        <v>0</v>
      </c>
      <c r="AO605" s="24">
        <v>1</v>
      </c>
      <c r="AP605" s="24">
        <v>0</v>
      </c>
      <c r="AQ605" s="24">
        <v>0</v>
      </c>
      <c r="AR605" s="24">
        <v>0</v>
      </c>
      <c r="AS605" s="24">
        <v>0</v>
      </c>
      <c r="AT605" s="24">
        <v>1</v>
      </c>
      <c r="AU605" s="24">
        <v>0</v>
      </c>
      <c r="AV605" s="24">
        <v>0</v>
      </c>
      <c r="AW605" s="24">
        <v>0</v>
      </c>
      <c r="AX605" s="24">
        <v>1</v>
      </c>
      <c r="AY605" s="24">
        <v>0</v>
      </c>
      <c r="AZ605" s="24">
        <v>0</v>
      </c>
      <c r="BA605" s="24">
        <v>0</v>
      </c>
      <c r="BB605" s="24">
        <v>1</v>
      </c>
    </row>
    <row r="606" spans="2:54" ht="13.8" x14ac:dyDescent="0.3">
      <c r="B606" s="24">
        <v>586</v>
      </c>
      <c r="C606" s="24">
        <v>18</v>
      </c>
      <c r="D606" s="24">
        <v>0</v>
      </c>
      <c r="E606" s="24">
        <v>0</v>
      </c>
      <c r="F606" s="24">
        <v>1</v>
      </c>
      <c r="G606" s="24">
        <v>0</v>
      </c>
      <c r="H606" s="24">
        <v>0</v>
      </c>
      <c r="I606" s="24">
        <v>0</v>
      </c>
      <c r="J606" s="24">
        <v>2039</v>
      </c>
      <c r="K606" s="24">
        <v>1</v>
      </c>
      <c r="L606" s="24">
        <v>0</v>
      </c>
      <c r="M606" s="24">
        <v>0</v>
      </c>
      <c r="N606" s="24">
        <v>0</v>
      </c>
      <c r="O606" s="24">
        <v>0</v>
      </c>
      <c r="P606" s="24">
        <v>0</v>
      </c>
      <c r="Q606" s="24">
        <v>1</v>
      </c>
      <c r="R606" s="24">
        <v>0</v>
      </c>
      <c r="S606" s="24">
        <v>20</v>
      </c>
      <c r="T606" s="24">
        <v>1</v>
      </c>
      <c r="U606" s="24">
        <v>1</v>
      </c>
      <c r="V606" s="24">
        <v>0</v>
      </c>
      <c r="W606" s="24">
        <v>1</v>
      </c>
      <c r="X606" s="24">
        <v>1</v>
      </c>
      <c r="Y606" s="24">
        <v>0</v>
      </c>
      <c r="Z606" s="24">
        <v>0</v>
      </c>
      <c r="AA606" s="24">
        <v>0</v>
      </c>
      <c r="AB606" s="24">
        <v>1</v>
      </c>
      <c r="AC606" s="24">
        <v>0</v>
      </c>
      <c r="AD606" s="24">
        <v>0</v>
      </c>
      <c r="AE606" s="24">
        <v>0</v>
      </c>
      <c r="AF606" s="24">
        <v>0</v>
      </c>
      <c r="AG606" s="24">
        <v>0</v>
      </c>
      <c r="AH606" s="24">
        <v>1</v>
      </c>
      <c r="AI606" s="24">
        <v>0</v>
      </c>
      <c r="AJ606" s="24">
        <v>0</v>
      </c>
      <c r="AK606" s="24">
        <v>1</v>
      </c>
      <c r="AL606" s="24">
        <v>0</v>
      </c>
      <c r="AM606" s="24">
        <v>0</v>
      </c>
      <c r="AN606" s="24">
        <v>0</v>
      </c>
      <c r="AO606" s="24">
        <v>0</v>
      </c>
      <c r="AP606" s="24">
        <v>0</v>
      </c>
      <c r="AQ606" s="24">
        <v>0</v>
      </c>
      <c r="AR606" s="24">
        <v>1</v>
      </c>
      <c r="AS606" s="24">
        <v>0</v>
      </c>
      <c r="AT606" s="24">
        <v>0</v>
      </c>
      <c r="AU606" s="24">
        <v>0</v>
      </c>
      <c r="AV606" s="24">
        <v>0</v>
      </c>
      <c r="AW606" s="24">
        <v>0</v>
      </c>
      <c r="AX606" s="24">
        <v>1</v>
      </c>
      <c r="AY606" s="24">
        <v>0</v>
      </c>
      <c r="AZ606" s="24">
        <v>0</v>
      </c>
      <c r="BA606" s="24">
        <v>1</v>
      </c>
      <c r="BB606" s="24">
        <v>0</v>
      </c>
    </row>
    <row r="607" spans="2:54" ht="13.8" x14ac:dyDescent="0.3">
      <c r="B607" s="24">
        <v>587</v>
      </c>
      <c r="C607" s="24">
        <v>9</v>
      </c>
      <c r="D607" s="24">
        <v>1</v>
      </c>
      <c r="E607" s="24">
        <v>0</v>
      </c>
      <c r="F607" s="24">
        <v>0</v>
      </c>
      <c r="G607" s="24">
        <v>0</v>
      </c>
      <c r="H607" s="24">
        <v>0</v>
      </c>
      <c r="I607" s="24">
        <v>0</v>
      </c>
      <c r="J607" s="24">
        <v>2799</v>
      </c>
      <c r="K607" s="24">
        <v>2</v>
      </c>
      <c r="L607" s="24">
        <v>0</v>
      </c>
      <c r="M607" s="24">
        <v>1</v>
      </c>
      <c r="N607" s="24">
        <v>0</v>
      </c>
      <c r="O607" s="24">
        <v>0</v>
      </c>
      <c r="P607" s="24">
        <v>0</v>
      </c>
      <c r="Q607" s="24">
        <v>1</v>
      </c>
      <c r="R607" s="24">
        <v>0</v>
      </c>
      <c r="S607" s="24">
        <v>36</v>
      </c>
      <c r="T607" s="24">
        <v>0</v>
      </c>
      <c r="U607" s="24">
        <v>1</v>
      </c>
      <c r="V607" s="24">
        <v>0</v>
      </c>
      <c r="W607" s="24">
        <v>2</v>
      </c>
      <c r="X607" s="24">
        <v>2</v>
      </c>
      <c r="Y607" s="24">
        <v>0</v>
      </c>
      <c r="Z607" s="24">
        <v>0</v>
      </c>
      <c r="AA607" s="24">
        <v>1</v>
      </c>
      <c r="AB607" s="24">
        <v>1</v>
      </c>
      <c r="AC607" s="24">
        <v>0</v>
      </c>
      <c r="AD607" s="24">
        <v>0</v>
      </c>
      <c r="AE607" s="24">
        <v>0</v>
      </c>
      <c r="AF607" s="24">
        <v>0</v>
      </c>
      <c r="AG607" s="24">
        <v>0</v>
      </c>
      <c r="AH607" s="24">
        <v>0</v>
      </c>
      <c r="AI607" s="24">
        <v>0</v>
      </c>
      <c r="AJ607" s="24">
        <v>1</v>
      </c>
      <c r="AK607" s="24">
        <v>1</v>
      </c>
      <c r="AL607" s="24">
        <v>0</v>
      </c>
      <c r="AM607" s="24">
        <v>0</v>
      </c>
      <c r="AN607" s="24">
        <v>0</v>
      </c>
      <c r="AO607" s="24">
        <v>0</v>
      </c>
      <c r="AP607" s="24">
        <v>0</v>
      </c>
      <c r="AQ607" s="24">
        <v>0</v>
      </c>
      <c r="AR607" s="24">
        <v>1</v>
      </c>
      <c r="AS607" s="24">
        <v>0</v>
      </c>
      <c r="AT607" s="24">
        <v>0</v>
      </c>
      <c r="AU607" s="24">
        <v>0</v>
      </c>
      <c r="AV607" s="24">
        <v>1</v>
      </c>
      <c r="AW607" s="24">
        <v>0</v>
      </c>
      <c r="AX607" s="24">
        <v>0</v>
      </c>
      <c r="AY607" s="24">
        <v>0</v>
      </c>
      <c r="AZ607" s="24">
        <v>0</v>
      </c>
      <c r="BA607" s="24">
        <v>1</v>
      </c>
      <c r="BB607" s="24">
        <v>0</v>
      </c>
    </row>
    <row r="608" spans="2:54" ht="13.8" x14ac:dyDescent="0.3">
      <c r="B608" s="24">
        <v>588</v>
      </c>
      <c r="C608" s="24">
        <v>12</v>
      </c>
      <c r="D608" s="24">
        <v>0</v>
      </c>
      <c r="E608" s="24">
        <v>0</v>
      </c>
      <c r="F608" s="24">
        <v>1</v>
      </c>
      <c r="G608" s="24">
        <v>0</v>
      </c>
      <c r="H608" s="24">
        <v>0</v>
      </c>
      <c r="I608" s="24">
        <v>0</v>
      </c>
      <c r="J608" s="24">
        <v>1289</v>
      </c>
      <c r="K608" s="24">
        <v>4</v>
      </c>
      <c r="L608" s="24">
        <v>0</v>
      </c>
      <c r="M608" s="24">
        <v>1</v>
      </c>
      <c r="N608" s="24">
        <v>0</v>
      </c>
      <c r="O608" s="24">
        <v>0</v>
      </c>
      <c r="P608" s="24">
        <v>1</v>
      </c>
      <c r="Q608" s="24">
        <v>0</v>
      </c>
      <c r="R608" s="24">
        <v>0</v>
      </c>
      <c r="S608" s="24">
        <v>21</v>
      </c>
      <c r="T608" s="24">
        <v>0</v>
      </c>
      <c r="U608" s="24">
        <v>0</v>
      </c>
      <c r="V608" s="24">
        <v>1</v>
      </c>
      <c r="W608" s="24">
        <v>1</v>
      </c>
      <c r="X608" s="24">
        <v>1</v>
      </c>
      <c r="Y608" s="24">
        <v>0</v>
      </c>
      <c r="Z608" s="24">
        <v>0</v>
      </c>
      <c r="AA608" s="24">
        <v>1</v>
      </c>
      <c r="AB608" s="24">
        <v>1</v>
      </c>
      <c r="AC608" s="24">
        <v>0</v>
      </c>
      <c r="AD608" s="24">
        <v>0</v>
      </c>
      <c r="AE608" s="24">
        <v>0</v>
      </c>
      <c r="AF608" s="24">
        <v>0</v>
      </c>
      <c r="AG608" s="24">
        <v>0</v>
      </c>
      <c r="AH608" s="24">
        <v>1</v>
      </c>
      <c r="AI608" s="24">
        <v>0</v>
      </c>
      <c r="AJ608" s="24">
        <v>0</v>
      </c>
      <c r="AK608" s="24">
        <v>1</v>
      </c>
      <c r="AL608" s="24">
        <v>0</v>
      </c>
      <c r="AM608" s="24">
        <v>0</v>
      </c>
      <c r="AN608" s="24">
        <v>0</v>
      </c>
      <c r="AO608" s="24">
        <v>0</v>
      </c>
      <c r="AP608" s="24">
        <v>0</v>
      </c>
      <c r="AQ608" s="24">
        <v>0</v>
      </c>
      <c r="AR608" s="24">
        <v>1</v>
      </c>
      <c r="AS608" s="24">
        <v>0</v>
      </c>
      <c r="AT608" s="24">
        <v>0</v>
      </c>
      <c r="AU608" s="24">
        <v>1</v>
      </c>
      <c r="AV608" s="24">
        <v>0</v>
      </c>
      <c r="AW608" s="24">
        <v>0</v>
      </c>
      <c r="AX608" s="24">
        <v>0</v>
      </c>
      <c r="AY608" s="24">
        <v>0</v>
      </c>
      <c r="AZ608" s="24">
        <v>1</v>
      </c>
      <c r="BA608" s="24">
        <v>0</v>
      </c>
      <c r="BB608" s="24">
        <v>0</v>
      </c>
    </row>
    <row r="609" spans="2:54" ht="13.8" x14ac:dyDescent="0.3">
      <c r="B609" s="24">
        <v>589</v>
      </c>
      <c r="C609" s="24">
        <v>18</v>
      </c>
      <c r="D609" s="24">
        <v>0</v>
      </c>
      <c r="E609" s="24">
        <v>0</v>
      </c>
      <c r="F609" s="24">
        <v>0</v>
      </c>
      <c r="G609" s="24">
        <v>0</v>
      </c>
      <c r="H609" s="24">
        <v>0</v>
      </c>
      <c r="I609" s="24">
        <v>0</v>
      </c>
      <c r="J609" s="24">
        <v>1217</v>
      </c>
      <c r="K609" s="24">
        <v>4</v>
      </c>
      <c r="L609" s="24">
        <v>0</v>
      </c>
      <c r="M609" s="24">
        <v>0</v>
      </c>
      <c r="N609" s="24">
        <v>1</v>
      </c>
      <c r="O609" s="24">
        <v>0</v>
      </c>
      <c r="P609" s="24">
        <v>0</v>
      </c>
      <c r="Q609" s="24">
        <v>1</v>
      </c>
      <c r="R609" s="24">
        <v>0</v>
      </c>
      <c r="S609" s="24">
        <v>47</v>
      </c>
      <c r="T609" s="24">
        <v>0</v>
      </c>
      <c r="U609" s="24">
        <v>0</v>
      </c>
      <c r="V609" s="24">
        <v>1</v>
      </c>
      <c r="W609" s="24">
        <v>1</v>
      </c>
      <c r="X609" s="24">
        <v>1</v>
      </c>
      <c r="Y609" s="24">
        <v>1</v>
      </c>
      <c r="Z609" s="24">
        <v>0</v>
      </c>
      <c r="AA609" s="24">
        <v>0</v>
      </c>
      <c r="AB609" s="24">
        <v>1</v>
      </c>
      <c r="AC609" s="24">
        <v>0</v>
      </c>
      <c r="AD609" s="24">
        <v>0</v>
      </c>
      <c r="AE609" s="24">
        <v>0</v>
      </c>
      <c r="AF609" s="24">
        <v>0</v>
      </c>
      <c r="AG609" s="24">
        <v>0</v>
      </c>
      <c r="AH609" s="24">
        <v>1</v>
      </c>
      <c r="AI609" s="24">
        <v>0</v>
      </c>
      <c r="AJ609" s="24">
        <v>0</v>
      </c>
      <c r="AK609" s="24">
        <v>1</v>
      </c>
      <c r="AL609" s="24">
        <v>0</v>
      </c>
      <c r="AM609" s="24">
        <v>0</v>
      </c>
      <c r="AN609" s="24">
        <v>0</v>
      </c>
      <c r="AO609" s="24">
        <v>0</v>
      </c>
      <c r="AP609" s="24">
        <v>0</v>
      </c>
      <c r="AQ609" s="24">
        <v>0</v>
      </c>
      <c r="AR609" s="24">
        <v>1</v>
      </c>
      <c r="AS609" s="24">
        <v>0</v>
      </c>
      <c r="AT609" s="24">
        <v>0</v>
      </c>
      <c r="AU609" s="24">
        <v>0</v>
      </c>
      <c r="AV609" s="24">
        <v>0</v>
      </c>
      <c r="AW609" s="24">
        <v>1</v>
      </c>
      <c r="AX609" s="24">
        <v>0</v>
      </c>
      <c r="AY609" s="24">
        <v>0</v>
      </c>
      <c r="AZ609" s="24">
        <v>1</v>
      </c>
      <c r="BA609" s="24">
        <v>0</v>
      </c>
      <c r="BB609" s="24">
        <v>0</v>
      </c>
    </row>
    <row r="610" spans="2:54" ht="13.8" x14ac:dyDescent="0.3">
      <c r="B610" s="24">
        <v>590</v>
      </c>
      <c r="C610" s="24">
        <v>12</v>
      </c>
      <c r="D610" s="24">
        <v>0</v>
      </c>
      <c r="E610" s="24">
        <v>0</v>
      </c>
      <c r="F610" s="24">
        <v>1</v>
      </c>
      <c r="G610" s="24">
        <v>0</v>
      </c>
      <c r="H610" s="24">
        <v>0</v>
      </c>
      <c r="I610" s="24">
        <v>0</v>
      </c>
      <c r="J610" s="24">
        <v>2246</v>
      </c>
      <c r="K610" s="24">
        <v>3</v>
      </c>
      <c r="L610" s="24">
        <v>0</v>
      </c>
      <c r="M610" s="24">
        <v>1</v>
      </c>
      <c r="N610" s="24">
        <v>0</v>
      </c>
      <c r="O610" s="24">
        <v>0</v>
      </c>
      <c r="P610" s="24">
        <v>0</v>
      </c>
      <c r="Q610" s="24">
        <v>0</v>
      </c>
      <c r="R610" s="24">
        <v>0</v>
      </c>
      <c r="S610" s="24">
        <v>60</v>
      </c>
      <c r="T610" s="24">
        <v>0</v>
      </c>
      <c r="U610" s="24">
        <v>0</v>
      </c>
      <c r="V610" s="24">
        <v>1</v>
      </c>
      <c r="W610" s="24">
        <v>2</v>
      </c>
      <c r="X610" s="24">
        <v>1</v>
      </c>
      <c r="Y610" s="24">
        <v>0</v>
      </c>
      <c r="Z610" s="24">
        <v>0</v>
      </c>
      <c r="AA610" s="24">
        <v>0</v>
      </c>
      <c r="AB610" s="24">
        <v>1</v>
      </c>
      <c r="AC610" s="24">
        <v>0</v>
      </c>
      <c r="AD610" s="24">
        <v>0</v>
      </c>
      <c r="AE610" s="24">
        <v>0</v>
      </c>
      <c r="AF610" s="24">
        <v>0</v>
      </c>
      <c r="AG610" s="24">
        <v>0</v>
      </c>
      <c r="AH610" s="24">
        <v>0</v>
      </c>
      <c r="AI610" s="24">
        <v>0</v>
      </c>
      <c r="AJ610" s="24">
        <v>1</v>
      </c>
      <c r="AK610" s="24">
        <v>1</v>
      </c>
      <c r="AL610" s="24">
        <v>0</v>
      </c>
      <c r="AM610" s="24">
        <v>0</v>
      </c>
      <c r="AN610" s="24">
        <v>0</v>
      </c>
      <c r="AO610" s="24">
        <v>0</v>
      </c>
      <c r="AP610" s="24">
        <v>0</v>
      </c>
      <c r="AQ610" s="24">
        <v>0</v>
      </c>
      <c r="AR610" s="24">
        <v>0</v>
      </c>
      <c r="AS610" s="24">
        <v>0</v>
      </c>
      <c r="AT610" s="24">
        <v>1</v>
      </c>
      <c r="AU610" s="24">
        <v>0</v>
      </c>
      <c r="AV610" s="24">
        <v>0</v>
      </c>
      <c r="AW610" s="24">
        <v>1</v>
      </c>
      <c r="AX610" s="24">
        <v>0</v>
      </c>
      <c r="AY610" s="24">
        <v>0</v>
      </c>
      <c r="AZ610" s="24">
        <v>0</v>
      </c>
      <c r="BA610" s="24">
        <v>1</v>
      </c>
      <c r="BB610" s="24">
        <v>0</v>
      </c>
    </row>
    <row r="611" spans="2:54" ht="13.8" x14ac:dyDescent="0.3">
      <c r="B611" s="24">
        <v>591</v>
      </c>
      <c r="C611" s="24">
        <v>12</v>
      </c>
      <c r="D611" s="24">
        <v>0</v>
      </c>
      <c r="E611" s="24">
        <v>0</v>
      </c>
      <c r="F611" s="24">
        <v>0</v>
      </c>
      <c r="G611" s="24">
        <v>1</v>
      </c>
      <c r="H611" s="24">
        <v>0</v>
      </c>
      <c r="I611" s="24">
        <v>0</v>
      </c>
      <c r="J611" s="24">
        <v>385</v>
      </c>
      <c r="K611" s="24">
        <v>4</v>
      </c>
      <c r="L611" s="24">
        <v>0</v>
      </c>
      <c r="M611" s="24">
        <v>0</v>
      </c>
      <c r="N611" s="24">
        <v>0</v>
      </c>
      <c r="O611" s="24">
        <v>0</v>
      </c>
      <c r="P611" s="24">
        <v>0</v>
      </c>
      <c r="Q611" s="24">
        <v>1</v>
      </c>
      <c r="R611" s="24">
        <v>0</v>
      </c>
      <c r="S611" s="24">
        <v>58</v>
      </c>
      <c r="T611" s="24">
        <v>0</v>
      </c>
      <c r="U611" s="24">
        <v>0</v>
      </c>
      <c r="V611" s="24">
        <v>1</v>
      </c>
      <c r="W611" s="24">
        <v>4</v>
      </c>
      <c r="X611" s="24">
        <v>1</v>
      </c>
      <c r="Y611" s="24">
        <v>1</v>
      </c>
      <c r="Z611" s="24">
        <v>0</v>
      </c>
      <c r="AA611" s="24">
        <v>1</v>
      </c>
      <c r="AB611" s="24">
        <v>1</v>
      </c>
      <c r="AC611" s="24">
        <v>0</v>
      </c>
      <c r="AD611" s="24">
        <v>0</v>
      </c>
      <c r="AE611" s="24">
        <v>0</v>
      </c>
      <c r="AF611" s="24">
        <v>0</v>
      </c>
      <c r="AG611" s="24">
        <v>0</v>
      </c>
      <c r="AH611" s="24">
        <v>0</v>
      </c>
      <c r="AI611" s="24">
        <v>0</v>
      </c>
      <c r="AJ611" s="24">
        <v>1</v>
      </c>
      <c r="AK611" s="24">
        <v>1</v>
      </c>
      <c r="AL611" s="24">
        <v>0</v>
      </c>
      <c r="AM611" s="24">
        <v>0</v>
      </c>
      <c r="AN611" s="24">
        <v>0</v>
      </c>
      <c r="AO611" s="24">
        <v>0</v>
      </c>
      <c r="AP611" s="24">
        <v>0</v>
      </c>
      <c r="AQ611" s="24">
        <v>0</v>
      </c>
      <c r="AR611" s="24">
        <v>0</v>
      </c>
      <c r="AS611" s="24">
        <v>1</v>
      </c>
      <c r="AT611" s="24">
        <v>0</v>
      </c>
      <c r="AU611" s="24">
        <v>0</v>
      </c>
      <c r="AV611" s="24">
        <v>0</v>
      </c>
      <c r="AW611" s="24">
        <v>1</v>
      </c>
      <c r="AX611" s="24">
        <v>0</v>
      </c>
      <c r="AY611" s="24">
        <v>0</v>
      </c>
      <c r="AZ611" s="24">
        <v>1</v>
      </c>
      <c r="BA611" s="24">
        <v>0</v>
      </c>
      <c r="BB611" s="24">
        <v>0</v>
      </c>
    </row>
    <row r="612" spans="2:54" ht="13.8" x14ac:dyDescent="0.3">
      <c r="B612" s="24">
        <v>592</v>
      </c>
      <c r="C612" s="24">
        <v>24</v>
      </c>
      <c r="D612" s="24">
        <v>1</v>
      </c>
      <c r="E612" s="24">
        <v>0</v>
      </c>
      <c r="F612" s="24">
        <v>0</v>
      </c>
      <c r="G612" s="24">
        <v>0</v>
      </c>
      <c r="H612" s="24">
        <v>0</v>
      </c>
      <c r="I612" s="24">
        <v>0</v>
      </c>
      <c r="J612" s="24">
        <v>1965</v>
      </c>
      <c r="K612" s="24">
        <v>4</v>
      </c>
      <c r="L612" s="24">
        <v>0</v>
      </c>
      <c r="M612" s="24">
        <v>0</v>
      </c>
      <c r="N612" s="24">
        <v>0</v>
      </c>
      <c r="O612" s="24">
        <v>0</v>
      </c>
      <c r="P612" s="24">
        <v>0</v>
      </c>
      <c r="Q612" s="24">
        <v>0</v>
      </c>
      <c r="R612" s="24">
        <v>0</v>
      </c>
      <c r="S612" s="24">
        <v>42</v>
      </c>
      <c r="T612" s="24">
        <v>0</v>
      </c>
      <c r="U612" s="24">
        <v>1</v>
      </c>
      <c r="V612" s="24">
        <v>0</v>
      </c>
      <c r="W612" s="24">
        <v>2</v>
      </c>
      <c r="X612" s="24">
        <v>1</v>
      </c>
      <c r="Y612" s="24">
        <v>1</v>
      </c>
      <c r="Z612" s="24">
        <v>0</v>
      </c>
      <c r="AA612" s="24">
        <v>1</v>
      </c>
      <c r="AB612" s="24">
        <v>0</v>
      </c>
      <c r="AC612" s="24">
        <v>1</v>
      </c>
      <c r="AD612" s="24">
        <v>0</v>
      </c>
      <c r="AE612" s="24">
        <v>0</v>
      </c>
      <c r="AF612" s="24">
        <v>0</v>
      </c>
      <c r="AG612" s="24">
        <v>0</v>
      </c>
      <c r="AH612" s="24">
        <v>0</v>
      </c>
      <c r="AI612" s="24">
        <v>1</v>
      </c>
      <c r="AJ612" s="24">
        <v>0</v>
      </c>
      <c r="AK612" s="24">
        <v>0</v>
      </c>
      <c r="AL612" s="24">
        <v>0</v>
      </c>
      <c r="AM612" s="24">
        <v>0</v>
      </c>
      <c r="AN612" s="24">
        <v>0</v>
      </c>
      <c r="AO612" s="24">
        <v>1</v>
      </c>
      <c r="AP612" s="24">
        <v>0</v>
      </c>
      <c r="AQ612" s="24">
        <v>0</v>
      </c>
      <c r="AR612" s="24">
        <v>1</v>
      </c>
      <c r="AS612" s="24">
        <v>0</v>
      </c>
      <c r="AT612" s="24">
        <v>0</v>
      </c>
      <c r="AU612" s="24">
        <v>0</v>
      </c>
      <c r="AV612" s="24">
        <v>0</v>
      </c>
      <c r="AW612" s="24">
        <v>0</v>
      </c>
      <c r="AX612" s="24">
        <v>1</v>
      </c>
      <c r="AY612" s="24">
        <v>0</v>
      </c>
      <c r="AZ612" s="24">
        <v>0</v>
      </c>
      <c r="BA612" s="24">
        <v>1</v>
      </c>
      <c r="BB612" s="24">
        <v>0</v>
      </c>
    </row>
    <row r="613" spans="2:54" ht="13.8" x14ac:dyDescent="0.3">
      <c r="B613" s="24">
        <v>593</v>
      </c>
      <c r="C613" s="24">
        <v>21</v>
      </c>
      <c r="D613" s="24">
        <v>0</v>
      </c>
      <c r="E613" s="24">
        <v>0</v>
      </c>
      <c r="F613" s="24">
        <v>0</v>
      </c>
      <c r="G613" s="24">
        <v>0</v>
      </c>
      <c r="H613" s="24">
        <v>0</v>
      </c>
      <c r="I613" s="24">
        <v>1</v>
      </c>
      <c r="J613" s="24">
        <v>1572</v>
      </c>
      <c r="K613" s="24">
        <v>4</v>
      </c>
      <c r="L613" s="24">
        <v>0</v>
      </c>
      <c r="M613" s="24">
        <v>0</v>
      </c>
      <c r="N613" s="24">
        <v>0</v>
      </c>
      <c r="O613" s="24">
        <v>0</v>
      </c>
      <c r="P613" s="24">
        <v>0</v>
      </c>
      <c r="Q613" s="24">
        <v>1</v>
      </c>
      <c r="R613" s="24">
        <v>0</v>
      </c>
      <c r="S613" s="24">
        <v>36</v>
      </c>
      <c r="T613" s="24">
        <v>1</v>
      </c>
      <c r="U613" s="24">
        <v>0</v>
      </c>
      <c r="V613" s="24">
        <v>1</v>
      </c>
      <c r="W613" s="24">
        <v>1</v>
      </c>
      <c r="X613" s="24">
        <v>1</v>
      </c>
      <c r="Y613" s="24">
        <v>0</v>
      </c>
      <c r="Z613" s="24">
        <v>0</v>
      </c>
      <c r="AA613" s="24">
        <v>1</v>
      </c>
      <c r="AB613" s="24">
        <v>0</v>
      </c>
      <c r="AC613" s="24">
        <v>0</v>
      </c>
      <c r="AD613" s="24">
        <v>0</v>
      </c>
      <c r="AE613" s="24">
        <v>1</v>
      </c>
      <c r="AF613" s="24">
        <v>0</v>
      </c>
      <c r="AG613" s="24">
        <v>0</v>
      </c>
      <c r="AH613" s="24">
        <v>1</v>
      </c>
      <c r="AI613" s="24">
        <v>0</v>
      </c>
      <c r="AJ613" s="24">
        <v>0</v>
      </c>
      <c r="AK613" s="24">
        <v>0</v>
      </c>
      <c r="AL613" s="24">
        <v>0</v>
      </c>
      <c r="AM613" s="24">
        <v>0</v>
      </c>
      <c r="AN613" s="24">
        <v>1</v>
      </c>
      <c r="AO613" s="24">
        <v>0</v>
      </c>
      <c r="AP613" s="24">
        <v>0</v>
      </c>
      <c r="AQ613" s="24">
        <v>0</v>
      </c>
      <c r="AR613" s="24">
        <v>0</v>
      </c>
      <c r="AS613" s="24">
        <v>0</v>
      </c>
      <c r="AT613" s="24">
        <v>1</v>
      </c>
      <c r="AU613" s="24">
        <v>0</v>
      </c>
      <c r="AV613" s="24">
        <v>0</v>
      </c>
      <c r="AW613" s="24">
        <v>0</v>
      </c>
      <c r="AX613" s="24">
        <v>1</v>
      </c>
      <c r="AY613" s="24">
        <v>0</v>
      </c>
      <c r="AZ613" s="24">
        <v>1</v>
      </c>
      <c r="BA613" s="24">
        <v>0</v>
      </c>
      <c r="BB613" s="24">
        <v>0</v>
      </c>
    </row>
    <row r="614" spans="2:54" ht="13.8" x14ac:dyDescent="0.3">
      <c r="B614" s="24">
        <v>594</v>
      </c>
      <c r="C614" s="24">
        <v>24</v>
      </c>
      <c r="D614" s="24">
        <v>1</v>
      </c>
      <c r="E614" s="24">
        <v>0</v>
      </c>
      <c r="F614" s="24">
        <v>0</v>
      </c>
      <c r="G614" s="24">
        <v>0</v>
      </c>
      <c r="H614" s="24">
        <v>0</v>
      </c>
      <c r="I614" s="24">
        <v>0</v>
      </c>
      <c r="J614" s="24">
        <v>2718</v>
      </c>
      <c r="K614" s="24">
        <v>3</v>
      </c>
      <c r="L614" s="24">
        <v>0</v>
      </c>
      <c r="M614" s="24">
        <v>0</v>
      </c>
      <c r="N614" s="24">
        <v>0</v>
      </c>
      <c r="O614" s="24">
        <v>0</v>
      </c>
      <c r="P614" s="24">
        <v>0</v>
      </c>
      <c r="Q614" s="24">
        <v>0</v>
      </c>
      <c r="R614" s="24">
        <v>0</v>
      </c>
      <c r="S614" s="24">
        <v>20</v>
      </c>
      <c r="T614" s="24">
        <v>0</v>
      </c>
      <c r="U614" s="24">
        <v>1</v>
      </c>
      <c r="V614" s="24">
        <v>0</v>
      </c>
      <c r="W614" s="24">
        <v>1</v>
      </c>
      <c r="X614" s="24">
        <v>1</v>
      </c>
      <c r="Y614" s="24">
        <v>1</v>
      </c>
      <c r="Z614" s="24">
        <v>0</v>
      </c>
      <c r="AA614" s="24">
        <v>0</v>
      </c>
      <c r="AB614" s="24">
        <v>0</v>
      </c>
      <c r="AC614" s="24">
        <v>1</v>
      </c>
      <c r="AD614" s="24">
        <v>0</v>
      </c>
      <c r="AE614" s="24">
        <v>0</v>
      </c>
      <c r="AF614" s="24">
        <v>0</v>
      </c>
      <c r="AG614" s="24">
        <v>0</v>
      </c>
      <c r="AH614" s="24">
        <v>1</v>
      </c>
      <c r="AI614" s="24">
        <v>0</v>
      </c>
      <c r="AJ614" s="24">
        <v>0</v>
      </c>
      <c r="AK614" s="24">
        <v>1</v>
      </c>
      <c r="AL614" s="24">
        <v>0</v>
      </c>
      <c r="AM614" s="24">
        <v>0</v>
      </c>
      <c r="AN614" s="24">
        <v>0</v>
      </c>
      <c r="AO614" s="24">
        <v>0</v>
      </c>
      <c r="AP614" s="24">
        <v>0</v>
      </c>
      <c r="AQ614" s="24">
        <v>0</v>
      </c>
      <c r="AR614" s="24">
        <v>1</v>
      </c>
      <c r="AS614" s="24">
        <v>0</v>
      </c>
      <c r="AT614" s="24">
        <v>0</v>
      </c>
      <c r="AU614" s="24">
        <v>0</v>
      </c>
      <c r="AV614" s="24">
        <v>0</v>
      </c>
      <c r="AW614" s="24">
        <v>0</v>
      </c>
      <c r="AX614" s="24">
        <v>1</v>
      </c>
      <c r="AY614" s="24">
        <v>0</v>
      </c>
      <c r="AZ614" s="24">
        <v>1</v>
      </c>
      <c r="BA614" s="24">
        <v>0</v>
      </c>
      <c r="BB614" s="24">
        <v>0</v>
      </c>
    </row>
    <row r="615" spans="2:54" ht="13.8" x14ac:dyDescent="0.3">
      <c r="B615" s="24">
        <v>595</v>
      </c>
      <c r="C615" s="24">
        <v>24</v>
      </c>
      <c r="D615" s="24">
        <v>0</v>
      </c>
      <c r="E615" s="24">
        <v>0</v>
      </c>
      <c r="F615" s="24">
        <v>0</v>
      </c>
      <c r="G615" s="24">
        <v>0</v>
      </c>
      <c r="H615" s="24">
        <v>0</v>
      </c>
      <c r="I615" s="24">
        <v>0</v>
      </c>
      <c r="J615" s="24">
        <v>1358</v>
      </c>
      <c r="K615" s="24">
        <v>4</v>
      </c>
      <c r="L615" s="24">
        <v>0</v>
      </c>
      <c r="M615" s="24">
        <v>1</v>
      </c>
      <c r="N615" s="24">
        <v>0</v>
      </c>
      <c r="O615" s="24">
        <v>0</v>
      </c>
      <c r="P615" s="24">
        <v>0</v>
      </c>
      <c r="Q615" s="24">
        <v>0</v>
      </c>
      <c r="R615" s="24">
        <v>0</v>
      </c>
      <c r="S615" s="24">
        <v>40</v>
      </c>
      <c r="T615" s="24">
        <v>1</v>
      </c>
      <c r="U615" s="24">
        <v>0</v>
      </c>
      <c r="V615" s="24">
        <v>1</v>
      </c>
      <c r="W615" s="24">
        <v>1</v>
      </c>
      <c r="X615" s="24">
        <v>1</v>
      </c>
      <c r="Y615" s="24">
        <v>1</v>
      </c>
      <c r="Z615" s="24">
        <v>0</v>
      </c>
      <c r="AA615" s="24">
        <v>0</v>
      </c>
      <c r="AB615" s="24">
        <v>1</v>
      </c>
      <c r="AC615" s="24">
        <v>0</v>
      </c>
      <c r="AD615" s="24">
        <v>0</v>
      </c>
      <c r="AE615" s="24">
        <v>0</v>
      </c>
      <c r="AF615" s="24">
        <v>0</v>
      </c>
      <c r="AG615" s="24">
        <v>1</v>
      </c>
      <c r="AH615" s="24">
        <v>0</v>
      </c>
      <c r="AI615" s="24">
        <v>0</v>
      </c>
      <c r="AJ615" s="24">
        <v>0</v>
      </c>
      <c r="AK615" s="24">
        <v>0</v>
      </c>
      <c r="AL615" s="24">
        <v>0</v>
      </c>
      <c r="AM615" s="24">
        <v>0</v>
      </c>
      <c r="AN615" s="24">
        <v>0</v>
      </c>
      <c r="AO615" s="24">
        <v>1</v>
      </c>
      <c r="AP615" s="24">
        <v>0</v>
      </c>
      <c r="AQ615" s="24">
        <v>0</v>
      </c>
      <c r="AR615" s="24">
        <v>0</v>
      </c>
      <c r="AS615" s="24">
        <v>0</v>
      </c>
      <c r="AT615" s="24">
        <v>1</v>
      </c>
      <c r="AU615" s="24">
        <v>0</v>
      </c>
      <c r="AV615" s="24">
        <v>0</v>
      </c>
      <c r="AW615" s="24">
        <v>1</v>
      </c>
      <c r="AX615" s="24">
        <v>0</v>
      </c>
      <c r="AY615" s="24">
        <v>0</v>
      </c>
      <c r="AZ615" s="24">
        <v>0</v>
      </c>
      <c r="BA615" s="24">
        <v>0</v>
      </c>
      <c r="BB615" s="24">
        <v>1</v>
      </c>
    </row>
    <row r="616" spans="2:54" ht="13.8" x14ac:dyDescent="0.3">
      <c r="B616" s="24">
        <v>596</v>
      </c>
      <c r="C616" s="24">
        <v>6</v>
      </c>
      <c r="D616" s="24">
        <v>1</v>
      </c>
      <c r="E616" s="24">
        <v>0</v>
      </c>
      <c r="F616" s="24">
        <v>0</v>
      </c>
      <c r="G616" s="24">
        <v>0</v>
      </c>
      <c r="H616" s="24">
        <v>0</v>
      </c>
      <c r="I616" s="24">
        <v>0</v>
      </c>
      <c r="J616" s="24">
        <v>931</v>
      </c>
      <c r="K616" s="24">
        <v>1</v>
      </c>
      <c r="L616" s="24">
        <v>0</v>
      </c>
      <c r="M616" s="24">
        <v>0</v>
      </c>
      <c r="N616" s="24">
        <v>0</v>
      </c>
      <c r="O616" s="24">
        <v>0</v>
      </c>
      <c r="P616" s="24">
        <v>0</v>
      </c>
      <c r="Q616" s="24">
        <v>0</v>
      </c>
      <c r="R616" s="24">
        <v>0</v>
      </c>
      <c r="S616" s="24">
        <v>32</v>
      </c>
      <c r="T616" s="24">
        <v>1</v>
      </c>
      <c r="U616" s="24">
        <v>0</v>
      </c>
      <c r="V616" s="24">
        <v>1</v>
      </c>
      <c r="W616" s="24">
        <v>1</v>
      </c>
      <c r="X616" s="24">
        <v>1</v>
      </c>
      <c r="Y616" s="24">
        <v>0</v>
      </c>
      <c r="Z616" s="24">
        <v>0</v>
      </c>
      <c r="AA616" s="24">
        <v>0</v>
      </c>
      <c r="AB616" s="24">
        <v>0</v>
      </c>
      <c r="AC616" s="24">
        <v>1</v>
      </c>
      <c r="AD616" s="24">
        <v>0</v>
      </c>
      <c r="AE616" s="24">
        <v>0</v>
      </c>
      <c r="AF616" s="24">
        <v>0</v>
      </c>
      <c r="AG616" s="24">
        <v>1</v>
      </c>
      <c r="AH616" s="24">
        <v>0</v>
      </c>
      <c r="AI616" s="24">
        <v>0</v>
      </c>
      <c r="AJ616" s="24">
        <v>0</v>
      </c>
      <c r="AK616" s="24">
        <v>0</v>
      </c>
      <c r="AL616" s="24">
        <v>1</v>
      </c>
      <c r="AM616" s="24">
        <v>0</v>
      </c>
      <c r="AN616" s="24">
        <v>0</v>
      </c>
      <c r="AO616" s="24">
        <v>0</v>
      </c>
      <c r="AP616" s="24">
        <v>0</v>
      </c>
      <c r="AQ616" s="24">
        <v>1</v>
      </c>
      <c r="AR616" s="24">
        <v>0</v>
      </c>
      <c r="AS616" s="24">
        <v>0</v>
      </c>
      <c r="AT616" s="24">
        <v>0</v>
      </c>
      <c r="AU616" s="24">
        <v>1</v>
      </c>
      <c r="AV616" s="24">
        <v>0</v>
      </c>
      <c r="AW616" s="24">
        <v>0</v>
      </c>
      <c r="AX616" s="24">
        <v>0</v>
      </c>
      <c r="AY616" s="24">
        <v>0</v>
      </c>
      <c r="AZ616" s="24">
        <v>1</v>
      </c>
      <c r="BA616" s="24">
        <v>0</v>
      </c>
      <c r="BB616" s="24">
        <v>0</v>
      </c>
    </row>
    <row r="617" spans="2:54" ht="13.8" x14ac:dyDescent="0.3">
      <c r="B617" s="24">
        <v>597</v>
      </c>
      <c r="C617" s="24">
        <v>24</v>
      </c>
      <c r="D617" s="24">
        <v>1</v>
      </c>
      <c r="E617" s="24">
        <v>0</v>
      </c>
      <c r="F617" s="24">
        <v>0</v>
      </c>
      <c r="G617" s="24">
        <v>0</v>
      </c>
      <c r="H617" s="24">
        <v>0</v>
      </c>
      <c r="I617" s="24">
        <v>0</v>
      </c>
      <c r="J617" s="24">
        <v>1442</v>
      </c>
      <c r="K617" s="24">
        <v>4</v>
      </c>
      <c r="L617" s="24">
        <v>0</v>
      </c>
      <c r="M617" s="24">
        <v>0</v>
      </c>
      <c r="N617" s="24">
        <v>0</v>
      </c>
      <c r="O617" s="24">
        <v>0</v>
      </c>
      <c r="P617" s="24">
        <v>0</v>
      </c>
      <c r="Q617" s="24">
        <v>0</v>
      </c>
      <c r="R617" s="24">
        <v>0</v>
      </c>
      <c r="S617" s="24">
        <v>23</v>
      </c>
      <c r="T617" s="24">
        <v>0</v>
      </c>
      <c r="U617" s="24">
        <v>1</v>
      </c>
      <c r="V617" s="24">
        <v>0</v>
      </c>
      <c r="W617" s="24">
        <v>2</v>
      </c>
      <c r="X617" s="24">
        <v>1</v>
      </c>
      <c r="Y617" s="24">
        <v>0</v>
      </c>
      <c r="Z617" s="24">
        <v>0</v>
      </c>
      <c r="AA617" s="24">
        <v>0</v>
      </c>
      <c r="AB617" s="24">
        <v>1</v>
      </c>
      <c r="AC617" s="24">
        <v>0</v>
      </c>
      <c r="AD617" s="24">
        <v>0</v>
      </c>
      <c r="AE617" s="24">
        <v>0</v>
      </c>
      <c r="AF617" s="24">
        <v>0</v>
      </c>
      <c r="AG617" s="24">
        <v>0</v>
      </c>
      <c r="AH617" s="24">
        <v>1</v>
      </c>
      <c r="AI617" s="24">
        <v>0</v>
      </c>
      <c r="AJ617" s="24">
        <v>0</v>
      </c>
      <c r="AK617" s="24">
        <v>1</v>
      </c>
      <c r="AL617" s="24">
        <v>0</v>
      </c>
      <c r="AM617" s="24">
        <v>0</v>
      </c>
      <c r="AN617" s="24">
        <v>0</v>
      </c>
      <c r="AO617" s="24">
        <v>0</v>
      </c>
      <c r="AP617" s="24">
        <v>0</v>
      </c>
      <c r="AQ617" s="24">
        <v>0</v>
      </c>
      <c r="AR617" s="24">
        <v>0</v>
      </c>
      <c r="AS617" s="24">
        <v>1</v>
      </c>
      <c r="AT617" s="24">
        <v>0</v>
      </c>
      <c r="AU617" s="24">
        <v>0</v>
      </c>
      <c r="AV617" s="24">
        <v>0</v>
      </c>
      <c r="AW617" s="24">
        <v>0</v>
      </c>
      <c r="AX617" s="24">
        <v>1</v>
      </c>
      <c r="AY617" s="24">
        <v>0</v>
      </c>
      <c r="AZ617" s="24">
        <v>0</v>
      </c>
      <c r="BA617" s="24">
        <v>1</v>
      </c>
      <c r="BB617" s="24">
        <v>0</v>
      </c>
    </row>
    <row r="618" spans="2:54" ht="13.8" x14ac:dyDescent="0.3">
      <c r="B618" s="24">
        <v>598</v>
      </c>
      <c r="C618" s="24">
        <v>24</v>
      </c>
      <c r="D618" s="24">
        <v>0</v>
      </c>
      <c r="E618" s="24">
        <v>0</v>
      </c>
      <c r="F618" s="24">
        <v>0</v>
      </c>
      <c r="G618" s="24">
        <v>0</v>
      </c>
      <c r="H618" s="24">
        <v>0</v>
      </c>
      <c r="I618" s="24">
        <v>1</v>
      </c>
      <c r="J618" s="24">
        <v>4241</v>
      </c>
      <c r="K618" s="24">
        <v>1</v>
      </c>
      <c r="L618" s="24">
        <v>0</v>
      </c>
      <c r="M618" s="24">
        <v>1</v>
      </c>
      <c r="N618" s="24">
        <v>0</v>
      </c>
      <c r="O618" s="24">
        <v>0</v>
      </c>
      <c r="P618" s="24">
        <v>0</v>
      </c>
      <c r="Q618" s="24">
        <v>1</v>
      </c>
      <c r="R618" s="24">
        <v>0</v>
      </c>
      <c r="S618" s="24">
        <v>36</v>
      </c>
      <c r="T618" s="24">
        <v>0</v>
      </c>
      <c r="U618" s="24">
        <v>0</v>
      </c>
      <c r="V618" s="24">
        <v>1</v>
      </c>
      <c r="W618" s="24">
        <v>3</v>
      </c>
      <c r="X618" s="24">
        <v>1</v>
      </c>
      <c r="Y618" s="24">
        <v>1</v>
      </c>
      <c r="Z618" s="24">
        <v>0</v>
      </c>
      <c r="AA618" s="24">
        <v>0</v>
      </c>
      <c r="AB618" s="24">
        <v>0</v>
      </c>
      <c r="AC618" s="24">
        <v>1</v>
      </c>
      <c r="AD618" s="24">
        <v>0</v>
      </c>
      <c r="AE618" s="24">
        <v>0</v>
      </c>
      <c r="AF618" s="24">
        <v>1</v>
      </c>
      <c r="AG618" s="24">
        <v>0</v>
      </c>
      <c r="AH618" s="24">
        <v>0</v>
      </c>
      <c r="AI618" s="24">
        <v>0</v>
      </c>
      <c r="AJ618" s="24">
        <v>0</v>
      </c>
      <c r="AK618" s="24">
        <v>1</v>
      </c>
      <c r="AL618" s="24">
        <v>0</v>
      </c>
      <c r="AM618" s="24">
        <v>0</v>
      </c>
      <c r="AN618" s="24">
        <v>0</v>
      </c>
      <c r="AO618" s="24">
        <v>0</v>
      </c>
      <c r="AP618" s="24">
        <v>0</v>
      </c>
      <c r="AQ618" s="24">
        <v>0</v>
      </c>
      <c r="AR618" s="24">
        <v>1</v>
      </c>
      <c r="AS618" s="24">
        <v>0</v>
      </c>
      <c r="AT618" s="24">
        <v>0</v>
      </c>
      <c r="AU618" s="24">
        <v>0</v>
      </c>
      <c r="AV618" s="24">
        <v>0</v>
      </c>
      <c r="AW618" s="24">
        <v>0</v>
      </c>
      <c r="AX618" s="24">
        <v>1</v>
      </c>
      <c r="AY618" s="24">
        <v>0</v>
      </c>
      <c r="AZ618" s="24">
        <v>1</v>
      </c>
      <c r="BA618" s="24">
        <v>0</v>
      </c>
      <c r="BB618" s="24">
        <v>0</v>
      </c>
    </row>
    <row r="619" spans="2:54" ht="13.8" x14ac:dyDescent="0.3">
      <c r="B619" s="24">
        <v>599</v>
      </c>
      <c r="C619" s="24">
        <v>18</v>
      </c>
      <c r="D619" s="24">
        <v>1</v>
      </c>
      <c r="E619" s="24">
        <v>0</v>
      </c>
      <c r="F619" s="24">
        <v>0</v>
      </c>
      <c r="G619" s="24">
        <v>0</v>
      </c>
      <c r="H619" s="24">
        <v>0</v>
      </c>
      <c r="I619" s="24">
        <v>0</v>
      </c>
      <c r="J619" s="24">
        <v>2775</v>
      </c>
      <c r="K619" s="24">
        <v>2</v>
      </c>
      <c r="L619" s="24">
        <v>0</v>
      </c>
      <c r="M619" s="24">
        <v>1</v>
      </c>
      <c r="N619" s="24">
        <v>0</v>
      </c>
      <c r="O619" s="24">
        <v>0</v>
      </c>
      <c r="P619" s="24">
        <v>0</v>
      </c>
      <c r="Q619" s="24">
        <v>0</v>
      </c>
      <c r="R619" s="24">
        <v>0</v>
      </c>
      <c r="S619" s="24">
        <v>31</v>
      </c>
      <c r="T619" s="24">
        <v>1</v>
      </c>
      <c r="U619" s="24">
        <v>0</v>
      </c>
      <c r="V619" s="24">
        <v>1</v>
      </c>
      <c r="W619" s="24">
        <v>2</v>
      </c>
      <c r="X619" s="24">
        <v>1</v>
      </c>
      <c r="Y619" s="24">
        <v>0</v>
      </c>
      <c r="Z619" s="24">
        <v>0</v>
      </c>
      <c r="AA619" s="24">
        <v>0</v>
      </c>
      <c r="AB619" s="24">
        <v>0</v>
      </c>
      <c r="AC619" s="24">
        <v>0</v>
      </c>
      <c r="AD619" s="24">
        <v>0</v>
      </c>
      <c r="AE619" s="24">
        <v>1</v>
      </c>
      <c r="AF619" s="24">
        <v>0</v>
      </c>
      <c r="AG619" s="24">
        <v>0</v>
      </c>
      <c r="AH619" s="24">
        <v>0</v>
      </c>
      <c r="AI619" s="24">
        <v>0</v>
      </c>
      <c r="AJ619" s="24">
        <v>1</v>
      </c>
      <c r="AK619" s="24">
        <v>1</v>
      </c>
      <c r="AL619" s="24">
        <v>0</v>
      </c>
      <c r="AM619" s="24">
        <v>0</v>
      </c>
      <c r="AN619" s="24">
        <v>0</v>
      </c>
      <c r="AO619" s="24">
        <v>0</v>
      </c>
      <c r="AP619" s="24">
        <v>0</v>
      </c>
      <c r="AQ619" s="24">
        <v>0</v>
      </c>
      <c r="AR619" s="24">
        <v>0</v>
      </c>
      <c r="AS619" s="24">
        <v>1</v>
      </c>
      <c r="AT619" s="24">
        <v>0</v>
      </c>
      <c r="AU619" s="24">
        <v>0</v>
      </c>
      <c r="AV619" s="24">
        <v>1</v>
      </c>
      <c r="AW619" s="24">
        <v>0</v>
      </c>
      <c r="AX619" s="24">
        <v>0</v>
      </c>
      <c r="AY619" s="24">
        <v>0</v>
      </c>
      <c r="AZ619" s="24">
        <v>0</v>
      </c>
      <c r="BA619" s="24">
        <v>1</v>
      </c>
      <c r="BB619" s="24">
        <v>0</v>
      </c>
    </row>
    <row r="620" spans="2:54" ht="13.8" x14ac:dyDescent="0.3">
      <c r="B620" s="24">
        <v>600</v>
      </c>
      <c r="C620" s="24">
        <v>24</v>
      </c>
      <c r="D620" s="24">
        <v>0</v>
      </c>
      <c r="E620" s="24">
        <v>0</v>
      </c>
      <c r="F620" s="24">
        <v>0</v>
      </c>
      <c r="G620" s="24">
        <v>0</v>
      </c>
      <c r="H620" s="24">
        <v>0</v>
      </c>
      <c r="I620" s="24">
        <v>1</v>
      </c>
      <c r="J620" s="24">
        <v>3863</v>
      </c>
      <c r="K620" s="24">
        <v>1</v>
      </c>
      <c r="L620" s="24">
        <v>0</v>
      </c>
      <c r="M620" s="24">
        <v>1</v>
      </c>
      <c r="N620" s="24">
        <v>0</v>
      </c>
      <c r="O620" s="24">
        <v>0</v>
      </c>
      <c r="P620" s="24">
        <v>0</v>
      </c>
      <c r="Q620" s="24">
        <v>0</v>
      </c>
      <c r="R620" s="24">
        <v>1</v>
      </c>
      <c r="S620" s="24">
        <v>32</v>
      </c>
      <c r="T620" s="24">
        <v>0</v>
      </c>
      <c r="U620" s="24">
        <v>0</v>
      </c>
      <c r="V620" s="24">
        <v>0</v>
      </c>
      <c r="W620" s="24">
        <v>1</v>
      </c>
      <c r="X620" s="24">
        <v>1</v>
      </c>
      <c r="Y620" s="24">
        <v>0</v>
      </c>
      <c r="Z620" s="24">
        <v>0</v>
      </c>
      <c r="AA620" s="24">
        <v>1</v>
      </c>
      <c r="AB620" s="24">
        <v>0</v>
      </c>
      <c r="AC620" s="24">
        <v>0</v>
      </c>
      <c r="AD620" s="24">
        <v>0</v>
      </c>
      <c r="AE620" s="24">
        <v>1</v>
      </c>
      <c r="AF620" s="24">
        <v>0</v>
      </c>
      <c r="AG620" s="24">
        <v>0</v>
      </c>
      <c r="AH620" s="24">
        <v>0</v>
      </c>
      <c r="AI620" s="24">
        <v>1</v>
      </c>
      <c r="AJ620" s="24">
        <v>0</v>
      </c>
      <c r="AK620" s="24">
        <v>1</v>
      </c>
      <c r="AL620" s="24">
        <v>0</v>
      </c>
      <c r="AM620" s="24">
        <v>0</v>
      </c>
      <c r="AN620" s="24">
        <v>0</v>
      </c>
      <c r="AO620" s="24">
        <v>0</v>
      </c>
      <c r="AP620" s="24">
        <v>0</v>
      </c>
      <c r="AQ620" s="24">
        <v>0</v>
      </c>
      <c r="AR620" s="24">
        <v>1</v>
      </c>
      <c r="AS620" s="24">
        <v>0</v>
      </c>
      <c r="AT620" s="24">
        <v>0</v>
      </c>
      <c r="AU620" s="24">
        <v>0</v>
      </c>
      <c r="AV620" s="24">
        <v>1</v>
      </c>
      <c r="AW620" s="24">
        <v>0</v>
      </c>
      <c r="AX620" s="24">
        <v>0</v>
      </c>
      <c r="AY620" s="24">
        <v>0</v>
      </c>
      <c r="AZ620" s="24">
        <v>0</v>
      </c>
      <c r="BA620" s="24">
        <v>1</v>
      </c>
      <c r="BB620" s="24">
        <v>0</v>
      </c>
    </row>
    <row r="621" spans="2:54" ht="13.8" x14ac:dyDescent="0.3">
      <c r="B621" s="24">
        <v>601</v>
      </c>
      <c r="C621" s="24">
        <v>7</v>
      </c>
      <c r="D621" s="24">
        <v>0</v>
      </c>
      <c r="E621" s="24">
        <v>0</v>
      </c>
      <c r="F621" s="24">
        <v>0</v>
      </c>
      <c r="G621" s="24">
        <v>1</v>
      </c>
      <c r="H621" s="24">
        <v>0</v>
      </c>
      <c r="I621" s="24">
        <v>0</v>
      </c>
      <c r="J621" s="24">
        <v>2329</v>
      </c>
      <c r="K621" s="24">
        <v>1</v>
      </c>
      <c r="L621" s="24">
        <v>0</v>
      </c>
      <c r="M621" s="24">
        <v>0</v>
      </c>
      <c r="N621" s="24">
        <v>0</v>
      </c>
      <c r="O621" s="24">
        <v>0</v>
      </c>
      <c r="P621" s="24">
        <v>1</v>
      </c>
      <c r="Q621" s="24">
        <v>1</v>
      </c>
      <c r="R621" s="24">
        <v>0</v>
      </c>
      <c r="S621" s="24">
        <v>45</v>
      </c>
      <c r="T621" s="24">
        <v>0</v>
      </c>
      <c r="U621" s="24">
        <v>0</v>
      </c>
      <c r="V621" s="24">
        <v>1</v>
      </c>
      <c r="W621" s="24">
        <v>1</v>
      </c>
      <c r="X621" s="24">
        <v>1</v>
      </c>
      <c r="Y621" s="24">
        <v>0</v>
      </c>
      <c r="Z621" s="24">
        <v>0</v>
      </c>
      <c r="AA621" s="24">
        <v>1</v>
      </c>
      <c r="AB621" s="24">
        <v>0</v>
      </c>
      <c r="AC621" s="24">
        <v>1</v>
      </c>
      <c r="AD621" s="24">
        <v>0</v>
      </c>
      <c r="AE621" s="24">
        <v>0</v>
      </c>
      <c r="AF621" s="24">
        <v>0</v>
      </c>
      <c r="AG621" s="24">
        <v>0</v>
      </c>
      <c r="AH621" s="24">
        <v>1</v>
      </c>
      <c r="AI621" s="24">
        <v>0</v>
      </c>
      <c r="AJ621" s="24">
        <v>0</v>
      </c>
      <c r="AK621" s="24">
        <v>1</v>
      </c>
      <c r="AL621" s="24">
        <v>0</v>
      </c>
      <c r="AM621" s="24">
        <v>0</v>
      </c>
      <c r="AN621" s="24">
        <v>0</v>
      </c>
      <c r="AO621" s="24">
        <v>0</v>
      </c>
      <c r="AP621" s="24">
        <v>0</v>
      </c>
      <c r="AQ621" s="24">
        <v>1</v>
      </c>
      <c r="AR621" s="24">
        <v>0</v>
      </c>
      <c r="AS621" s="24">
        <v>0</v>
      </c>
      <c r="AT621" s="24">
        <v>0</v>
      </c>
      <c r="AU621" s="24">
        <v>1</v>
      </c>
      <c r="AV621" s="24">
        <v>0</v>
      </c>
      <c r="AW621" s="24">
        <v>0</v>
      </c>
      <c r="AX621" s="24">
        <v>0</v>
      </c>
      <c r="AY621" s="24">
        <v>0</v>
      </c>
      <c r="AZ621" s="24">
        <v>0</v>
      </c>
      <c r="BA621" s="24">
        <v>1</v>
      </c>
      <c r="BB621" s="24">
        <v>0</v>
      </c>
    </row>
    <row r="622" spans="2:54" ht="13.8" x14ac:dyDescent="0.3">
      <c r="B622" s="24">
        <v>602</v>
      </c>
      <c r="C622" s="24">
        <v>9</v>
      </c>
      <c r="D622" s="24">
        <v>0</v>
      </c>
      <c r="E622" s="24">
        <v>0</v>
      </c>
      <c r="F622" s="24">
        <v>1</v>
      </c>
      <c r="G622" s="24">
        <v>0</v>
      </c>
      <c r="H622" s="24">
        <v>0</v>
      </c>
      <c r="I622" s="24">
        <v>0</v>
      </c>
      <c r="J622" s="24">
        <v>918</v>
      </c>
      <c r="K622" s="24">
        <v>4</v>
      </c>
      <c r="L622" s="24">
        <v>0</v>
      </c>
      <c r="M622" s="24">
        <v>0</v>
      </c>
      <c r="N622" s="24">
        <v>0</v>
      </c>
      <c r="O622" s="24">
        <v>0</v>
      </c>
      <c r="P622" s="24">
        <v>0</v>
      </c>
      <c r="Q622" s="24">
        <v>0</v>
      </c>
      <c r="R622" s="24">
        <v>0</v>
      </c>
      <c r="S622" s="24">
        <v>30</v>
      </c>
      <c r="T622" s="24">
        <v>0</v>
      </c>
      <c r="U622" s="24">
        <v>0</v>
      </c>
      <c r="V622" s="24">
        <v>1</v>
      </c>
      <c r="W622" s="24">
        <v>1</v>
      </c>
      <c r="X622" s="24">
        <v>1</v>
      </c>
      <c r="Y622" s="24">
        <v>0</v>
      </c>
      <c r="Z622" s="24">
        <v>0</v>
      </c>
      <c r="AA622" s="24">
        <v>0</v>
      </c>
      <c r="AB622" s="24">
        <v>0</v>
      </c>
      <c r="AC622" s="24">
        <v>1</v>
      </c>
      <c r="AD622" s="24">
        <v>0</v>
      </c>
      <c r="AE622" s="24">
        <v>0</v>
      </c>
      <c r="AF622" s="24">
        <v>0</v>
      </c>
      <c r="AG622" s="24">
        <v>0</v>
      </c>
      <c r="AH622" s="24">
        <v>1</v>
      </c>
      <c r="AI622" s="24">
        <v>0</v>
      </c>
      <c r="AJ622" s="24">
        <v>0</v>
      </c>
      <c r="AK622" s="24">
        <v>1</v>
      </c>
      <c r="AL622" s="24">
        <v>0</v>
      </c>
      <c r="AM622" s="24">
        <v>0</v>
      </c>
      <c r="AN622" s="24">
        <v>0</v>
      </c>
      <c r="AO622" s="24">
        <v>0</v>
      </c>
      <c r="AP622" s="24">
        <v>0</v>
      </c>
      <c r="AQ622" s="24">
        <v>0</v>
      </c>
      <c r="AR622" s="24">
        <v>1</v>
      </c>
      <c r="AS622" s="24">
        <v>0</v>
      </c>
      <c r="AT622" s="24">
        <v>0</v>
      </c>
      <c r="AU622" s="24">
        <v>1</v>
      </c>
      <c r="AV622" s="24">
        <v>0</v>
      </c>
      <c r="AW622" s="24">
        <v>0</v>
      </c>
      <c r="AX622" s="24">
        <v>0</v>
      </c>
      <c r="AY622" s="24">
        <v>0</v>
      </c>
      <c r="AZ622" s="24">
        <v>0</v>
      </c>
      <c r="BA622" s="24">
        <v>1</v>
      </c>
      <c r="BB622" s="24">
        <v>0</v>
      </c>
    </row>
    <row r="623" spans="2:54" ht="13.8" x14ac:dyDescent="0.3">
      <c r="B623" s="24">
        <v>603</v>
      </c>
      <c r="C623" s="24">
        <v>24</v>
      </c>
      <c r="D623" s="24">
        <v>0</v>
      </c>
      <c r="E623" s="24">
        <v>0</v>
      </c>
      <c r="F623" s="24">
        <v>0</v>
      </c>
      <c r="G623" s="24">
        <v>0</v>
      </c>
      <c r="H623" s="24">
        <v>1</v>
      </c>
      <c r="I623" s="24">
        <v>0</v>
      </c>
      <c r="J623" s="24">
        <v>1837</v>
      </c>
      <c r="K623" s="24">
        <v>4</v>
      </c>
      <c r="L623" s="24">
        <v>0</v>
      </c>
      <c r="M623" s="24">
        <v>0</v>
      </c>
      <c r="N623" s="24">
        <v>0</v>
      </c>
      <c r="O623" s="24">
        <v>0</v>
      </c>
      <c r="P623" s="24">
        <v>0</v>
      </c>
      <c r="Q623" s="24">
        <v>0</v>
      </c>
      <c r="R623" s="24">
        <v>1</v>
      </c>
      <c r="S623" s="24">
        <v>34</v>
      </c>
      <c r="T623" s="24">
        <v>1</v>
      </c>
      <c r="U623" s="24">
        <v>0</v>
      </c>
      <c r="V623" s="24">
        <v>0</v>
      </c>
      <c r="W623" s="24">
        <v>1</v>
      </c>
      <c r="X623" s="24">
        <v>1</v>
      </c>
      <c r="Y623" s="24">
        <v>0</v>
      </c>
      <c r="Z623" s="24">
        <v>0</v>
      </c>
      <c r="AA623" s="24">
        <v>0</v>
      </c>
      <c r="AB623" s="24">
        <v>0</v>
      </c>
      <c r="AC623" s="24">
        <v>1</v>
      </c>
      <c r="AD623" s="24">
        <v>0</v>
      </c>
      <c r="AE623" s="24">
        <v>0</v>
      </c>
      <c r="AF623" s="24">
        <v>0</v>
      </c>
      <c r="AG623" s="24">
        <v>1</v>
      </c>
      <c r="AH623" s="24">
        <v>0</v>
      </c>
      <c r="AI623" s="24">
        <v>0</v>
      </c>
      <c r="AJ623" s="24">
        <v>0</v>
      </c>
      <c r="AK623" s="24">
        <v>1</v>
      </c>
      <c r="AL623" s="24">
        <v>0</v>
      </c>
      <c r="AM623" s="24">
        <v>0</v>
      </c>
      <c r="AN623" s="24">
        <v>0</v>
      </c>
      <c r="AO623" s="24">
        <v>0</v>
      </c>
      <c r="AP623" s="24">
        <v>0</v>
      </c>
      <c r="AQ623" s="24">
        <v>0</v>
      </c>
      <c r="AR623" s="24">
        <v>0</v>
      </c>
      <c r="AS623" s="24">
        <v>1</v>
      </c>
      <c r="AT623" s="24">
        <v>0</v>
      </c>
      <c r="AU623" s="24">
        <v>0</v>
      </c>
      <c r="AV623" s="24">
        <v>0</v>
      </c>
      <c r="AW623" s="24">
        <v>0</v>
      </c>
      <c r="AX623" s="24">
        <v>1</v>
      </c>
      <c r="AY623" s="24">
        <v>0</v>
      </c>
      <c r="AZ623" s="24">
        <v>1</v>
      </c>
      <c r="BA623" s="24">
        <v>0</v>
      </c>
      <c r="BB623" s="24">
        <v>0</v>
      </c>
    </row>
    <row r="624" spans="2:54" ht="13.8" x14ac:dyDescent="0.3">
      <c r="B624" s="24">
        <v>604</v>
      </c>
      <c r="C624" s="24">
        <v>36</v>
      </c>
      <c r="D624" s="24">
        <v>0</v>
      </c>
      <c r="E624" s="24">
        <v>0</v>
      </c>
      <c r="F624" s="24">
        <v>1</v>
      </c>
      <c r="G624" s="24">
        <v>0</v>
      </c>
      <c r="H624" s="24">
        <v>0</v>
      </c>
      <c r="I624" s="24">
        <v>0</v>
      </c>
      <c r="J624" s="24">
        <v>3349</v>
      </c>
      <c r="K624" s="24">
        <v>4</v>
      </c>
      <c r="L624" s="24">
        <v>0</v>
      </c>
      <c r="M624" s="24">
        <v>0</v>
      </c>
      <c r="N624" s="24">
        <v>0</v>
      </c>
      <c r="O624" s="24">
        <v>0</v>
      </c>
      <c r="P624" s="24">
        <v>0</v>
      </c>
      <c r="Q624" s="24">
        <v>0</v>
      </c>
      <c r="R624" s="24">
        <v>0</v>
      </c>
      <c r="S624" s="24">
        <v>28</v>
      </c>
      <c r="T624" s="24">
        <v>0</v>
      </c>
      <c r="U624" s="24">
        <v>0</v>
      </c>
      <c r="V624" s="24">
        <v>1</v>
      </c>
      <c r="W624" s="24">
        <v>1</v>
      </c>
      <c r="X624" s="24">
        <v>1</v>
      </c>
      <c r="Y624" s="24">
        <v>1</v>
      </c>
      <c r="Z624" s="24">
        <v>0</v>
      </c>
      <c r="AA624" s="24">
        <v>0</v>
      </c>
      <c r="AB624" s="24">
        <v>0</v>
      </c>
      <c r="AC624" s="24">
        <v>0</v>
      </c>
      <c r="AD624" s="24">
        <v>0</v>
      </c>
      <c r="AE624" s="24">
        <v>1</v>
      </c>
      <c r="AF624" s="24">
        <v>0</v>
      </c>
      <c r="AG624" s="24">
        <v>0</v>
      </c>
      <c r="AH624" s="24">
        <v>1</v>
      </c>
      <c r="AI624" s="24">
        <v>0</v>
      </c>
      <c r="AJ624" s="24">
        <v>0</v>
      </c>
      <c r="AK624" s="24">
        <v>1</v>
      </c>
      <c r="AL624" s="24">
        <v>0</v>
      </c>
      <c r="AM624" s="24">
        <v>0</v>
      </c>
      <c r="AN624" s="24">
        <v>0</v>
      </c>
      <c r="AO624" s="24">
        <v>0</v>
      </c>
      <c r="AP624" s="24">
        <v>0</v>
      </c>
      <c r="AQ624" s="24">
        <v>0</v>
      </c>
      <c r="AR624" s="24">
        <v>1</v>
      </c>
      <c r="AS624" s="24">
        <v>0</v>
      </c>
      <c r="AT624" s="24">
        <v>0</v>
      </c>
      <c r="AU624" s="24">
        <v>0</v>
      </c>
      <c r="AV624" s="24">
        <v>1</v>
      </c>
      <c r="AW624" s="24">
        <v>0</v>
      </c>
      <c r="AX624" s="24">
        <v>0</v>
      </c>
      <c r="AY624" s="24">
        <v>0</v>
      </c>
      <c r="AZ624" s="24">
        <v>0</v>
      </c>
      <c r="BA624" s="24">
        <v>0</v>
      </c>
      <c r="BB624" s="24">
        <v>1</v>
      </c>
    </row>
    <row r="625" spans="2:54" ht="13.8" x14ac:dyDescent="0.3">
      <c r="B625" s="24">
        <v>605</v>
      </c>
      <c r="C625" s="24">
        <v>10</v>
      </c>
      <c r="D625" s="24">
        <v>0</v>
      </c>
      <c r="E625" s="24">
        <v>0</v>
      </c>
      <c r="F625" s="24">
        <v>1</v>
      </c>
      <c r="G625" s="24">
        <v>0</v>
      </c>
      <c r="H625" s="24">
        <v>0</v>
      </c>
      <c r="I625" s="24">
        <v>0</v>
      </c>
      <c r="J625" s="24">
        <v>1275</v>
      </c>
      <c r="K625" s="24">
        <v>4</v>
      </c>
      <c r="L625" s="24">
        <v>0</v>
      </c>
      <c r="M625" s="24">
        <v>0</v>
      </c>
      <c r="N625" s="24">
        <v>0</v>
      </c>
      <c r="O625" s="24">
        <v>0</v>
      </c>
      <c r="P625" s="24">
        <v>0</v>
      </c>
      <c r="Q625" s="24">
        <v>0</v>
      </c>
      <c r="R625" s="24">
        <v>0</v>
      </c>
      <c r="S625" s="24">
        <v>23</v>
      </c>
      <c r="T625" s="24">
        <v>0</v>
      </c>
      <c r="U625" s="24">
        <v>0</v>
      </c>
      <c r="V625" s="24">
        <v>1</v>
      </c>
      <c r="W625" s="24">
        <v>1</v>
      </c>
      <c r="X625" s="24">
        <v>1</v>
      </c>
      <c r="Y625" s="24">
        <v>0</v>
      </c>
      <c r="Z625" s="24">
        <v>0</v>
      </c>
      <c r="AA625" s="24">
        <v>1</v>
      </c>
      <c r="AB625" s="24">
        <v>0</v>
      </c>
      <c r="AC625" s="24">
        <v>0</v>
      </c>
      <c r="AD625" s="24">
        <v>1</v>
      </c>
      <c r="AE625" s="24">
        <v>0</v>
      </c>
      <c r="AF625" s="24">
        <v>0</v>
      </c>
      <c r="AG625" s="24">
        <v>0</v>
      </c>
      <c r="AH625" s="24">
        <v>1</v>
      </c>
      <c r="AI625" s="24">
        <v>0</v>
      </c>
      <c r="AJ625" s="24">
        <v>0</v>
      </c>
      <c r="AK625" s="24">
        <v>1</v>
      </c>
      <c r="AL625" s="24">
        <v>0</v>
      </c>
      <c r="AM625" s="24">
        <v>0</v>
      </c>
      <c r="AN625" s="24">
        <v>0</v>
      </c>
      <c r="AO625" s="24">
        <v>0</v>
      </c>
      <c r="AP625" s="24">
        <v>0</v>
      </c>
      <c r="AQ625" s="24">
        <v>1</v>
      </c>
      <c r="AR625" s="24">
        <v>0</v>
      </c>
      <c r="AS625" s="24">
        <v>0</v>
      </c>
      <c r="AT625" s="24">
        <v>0</v>
      </c>
      <c r="AU625" s="24">
        <v>0</v>
      </c>
      <c r="AV625" s="24">
        <v>1</v>
      </c>
      <c r="AW625" s="24">
        <v>0</v>
      </c>
      <c r="AX625" s="24">
        <v>0</v>
      </c>
      <c r="AY625" s="24">
        <v>0</v>
      </c>
      <c r="AZ625" s="24">
        <v>0</v>
      </c>
      <c r="BA625" s="24">
        <v>1</v>
      </c>
      <c r="BB625" s="24">
        <v>0</v>
      </c>
    </row>
    <row r="626" spans="2:54" ht="13.8" x14ac:dyDescent="0.3">
      <c r="B626" s="24">
        <v>606</v>
      </c>
      <c r="C626" s="24">
        <v>24</v>
      </c>
      <c r="D626" s="24">
        <v>0</v>
      </c>
      <c r="E626" s="24">
        <v>0</v>
      </c>
      <c r="F626" s="24">
        <v>1</v>
      </c>
      <c r="G626" s="24">
        <v>0</v>
      </c>
      <c r="H626" s="24">
        <v>0</v>
      </c>
      <c r="I626" s="24">
        <v>0</v>
      </c>
      <c r="J626" s="24">
        <v>2828</v>
      </c>
      <c r="K626" s="24">
        <v>4</v>
      </c>
      <c r="L626" s="24">
        <v>0</v>
      </c>
      <c r="M626" s="24">
        <v>1</v>
      </c>
      <c r="N626" s="24">
        <v>0</v>
      </c>
      <c r="O626" s="24">
        <v>0</v>
      </c>
      <c r="P626" s="24">
        <v>0</v>
      </c>
      <c r="Q626" s="24">
        <v>1</v>
      </c>
      <c r="R626" s="24">
        <v>0</v>
      </c>
      <c r="S626" s="24">
        <v>22</v>
      </c>
      <c r="T626" s="24">
        <v>1</v>
      </c>
      <c r="U626" s="24">
        <v>0</v>
      </c>
      <c r="V626" s="24">
        <v>1</v>
      </c>
      <c r="W626" s="24">
        <v>1</v>
      </c>
      <c r="X626" s="24">
        <v>1</v>
      </c>
      <c r="Y626" s="24">
        <v>1</v>
      </c>
      <c r="Z626" s="24">
        <v>0</v>
      </c>
      <c r="AA626" s="24">
        <v>1</v>
      </c>
      <c r="AB626" s="24">
        <v>1</v>
      </c>
      <c r="AC626" s="24">
        <v>0</v>
      </c>
      <c r="AD626" s="24">
        <v>0</v>
      </c>
      <c r="AE626" s="24">
        <v>0</v>
      </c>
      <c r="AF626" s="24">
        <v>0</v>
      </c>
      <c r="AG626" s="24">
        <v>1</v>
      </c>
      <c r="AH626" s="24">
        <v>0</v>
      </c>
      <c r="AI626" s="24">
        <v>0</v>
      </c>
      <c r="AJ626" s="24">
        <v>0</v>
      </c>
      <c r="AK626" s="24">
        <v>0</v>
      </c>
      <c r="AL626" s="24">
        <v>0</v>
      </c>
      <c r="AM626" s="24">
        <v>1</v>
      </c>
      <c r="AN626" s="24">
        <v>0</v>
      </c>
      <c r="AO626" s="24">
        <v>0</v>
      </c>
      <c r="AP626" s="24">
        <v>0</v>
      </c>
      <c r="AQ626" s="24">
        <v>0</v>
      </c>
      <c r="AR626" s="24">
        <v>1</v>
      </c>
      <c r="AS626" s="24">
        <v>0</v>
      </c>
      <c r="AT626" s="24">
        <v>0</v>
      </c>
      <c r="AU626" s="24">
        <v>0</v>
      </c>
      <c r="AV626" s="24">
        <v>0</v>
      </c>
      <c r="AW626" s="24">
        <v>0</v>
      </c>
      <c r="AX626" s="24">
        <v>1</v>
      </c>
      <c r="AY626" s="24">
        <v>0</v>
      </c>
      <c r="AZ626" s="24">
        <v>0</v>
      </c>
      <c r="BA626" s="24">
        <v>1</v>
      </c>
      <c r="BB626" s="24">
        <v>0</v>
      </c>
    </row>
    <row r="627" spans="2:54" ht="13.8" x14ac:dyDescent="0.3">
      <c r="B627" s="24">
        <v>607</v>
      </c>
      <c r="C627" s="24">
        <v>24</v>
      </c>
      <c r="D627" s="24">
        <v>0</v>
      </c>
      <c r="E627" s="24">
        <v>0</v>
      </c>
      <c r="F627" s="24">
        <v>0</v>
      </c>
      <c r="G627" s="24">
        <v>0</v>
      </c>
      <c r="H627" s="24">
        <v>0</v>
      </c>
      <c r="I627" s="24">
        <v>1</v>
      </c>
      <c r="J627" s="24">
        <v>4526</v>
      </c>
      <c r="K627" s="24">
        <v>3</v>
      </c>
      <c r="L627" s="24">
        <v>0</v>
      </c>
      <c r="M627" s="24">
        <v>1</v>
      </c>
      <c r="N627" s="24">
        <v>0</v>
      </c>
      <c r="O627" s="24">
        <v>0</v>
      </c>
      <c r="P627" s="24">
        <v>0</v>
      </c>
      <c r="Q627" s="24">
        <v>1</v>
      </c>
      <c r="R627" s="24">
        <v>0</v>
      </c>
      <c r="S627" s="24">
        <v>74</v>
      </c>
      <c r="T627" s="24">
        <v>0</v>
      </c>
      <c r="U627" s="24">
        <v>0</v>
      </c>
      <c r="V627" s="24">
        <v>1</v>
      </c>
      <c r="W627" s="24">
        <v>1</v>
      </c>
      <c r="X627" s="24">
        <v>1</v>
      </c>
      <c r="Y627" s="24">
        <v>1</v>
      </c>
      <c r="Z627" s="24">
        <v>0</v>
      </c>
      <c r="AA627" s="24">
        <v>1</v>
      </c>
      <c r="AB627" s="24">
        <v>0</v>
      </c>
      <c r="AC627" s="24">
        <v>0</v>
      </c>
      <c r="AD627" s="24">
        <v>0</v>
      </c>
      <c r="AE627" s="24">
        <v>1</v>
      </c>
      <c r="AF627" s="24">
        <v>0</v>
      </c>
      <c r="AG627" s="24">
        <v>0</v>
      </c>
      <c r="AH627" s="24">
        <v>0</v>
      </c>
      <c r="AI627" s="24">
        <v>0</v>
      </c>
      <c r="AJ627" s="24">
        <v>1</v>
      </c>
      <c r="AK627" s="24">
        <v>1</v>
      </c>
      <c r="AL627" s="24">
        <v>0</v>
      </c>
      <c r="AM627" s="24">
        <v>0</v>
      </c>
      <c r="AN627" s="24">
        <v>0</v>
      </c>
      <c r="AO627" s="24">
        <v>0</v>
      </c>
      <c r="AP627" s="24">
        <v>0</v>
      </c>
      <c r="AQ627" s="24">
        <v>0</v>
      </c>
      <c r="AR627" s="24">
        <v>1</v>
      </c>
      <c r="AS627" s="24">
        <v>0</v>
      </c>
      <c r="AT627" s="24">
        <v>0</v>
      </c>
      <c r="AU627" s="24">
        <v>0</v>
      </c>
      <c r="AV627" s="24">
        <v>1</v>
      </c>
      <c r="AW627" s="24">
        <v>0</v>
      </c>
      <c r="AX627" s="24">
        <v>0</v>
      </c>
      <c r="AY627" s="24">
        <v>0</v>
      </c>
      <c r="AZ627" s="24">
        <v>0</v>
      </c>
      <c r="BA627" s="24">
        <v>0</v>
      </c>
      <c r="BB627" s="24">
        <v>1</v>
      </c>
    </row>
    <row r="628" spans="2:54" ht="13.8" x14ac:dyDescent="0.3">
      <c r="B628" s="24">
        <v>608</v>
      </c>
      <c r="C628" s="24">
        <v>36</v>
      </c>
      <c r="D628" s="24">
        <v>0</v>
      </c>
      <c r="E628" s="24">
        <v>0</v>
      </c>
      <c r="F628" s="24">
        <v>0</v>
      </c>
      <c r="G628" s="24">
        <v>1</v>
      </c>
      <c r="H628" s="24">
        <v>0</v>
      </c>
      <c r="I628" s="24">
        <v>0</v>
      </c>
      <c r="J628" s="24">
        <v>2671</v>
      </c>
      <c r="K628" s="24">
        <v>4</v>
      </c>
      <c r="L628" s="24">
        <v>0</v>
      </c>
      <c r="M628" s="24">
        <v>0</v>
      </c>
      <c r="N628" s="24">
        <v>0</v>
      </c>
      <c r="O628" s="24">
        <v>1</v>
      </c>
      <c r="P628" s="24">
        <v>0</v>
      </c>
      <c r="Q628" s="24">
        <v>0</v>
      </c>
      <c r="R628" s="24">
        <v>1</v>
      </c>
      <c r="S628" s="24">
        <v>50</v>
      </c>
      <c r="T628" s="24">
        <v>0</v>
      </c>
      <c r="U628" s="24">
        <v>0</v>
      </c>
      <c r="V628" s="24">
        <v>0</v>
      </c>
      <c r="W628" s="24">
        <v>1</v>
      </c>
      <c r="X628" s="24">
        <v>1</v>
      </c>
      <c r="Y628" s="24">
        <v>0</v>
      </c>
      <c r="Z628" s="24">
        <v>0</v>
      </c>
      <c r="AA628" s="24">
        <v>0</v>
      </c>
      <c r="AB628" s="24">
        <v>0</v>
      </c>
      <c r="AC628" s="24">
        <v>1</v>
      </c>
      <c r="AD628" s="24">
        <v>0</v>
      </c>
      <c r="AE628" s="24">
        <v>0</v>
      </c>
      <c r="AF628" s="24">
        <v>0</v>
      </c>
      <c r="AG628" s="24">
        <v>0</v>
      </c>
      <c r="AH628" s="24">
        <v>1</v>
      </c>
      <c r="AI628" s="24">
        <v>0</v>
      </c>
      <c r="AJ628" s="24">
        <v>0</v>
      </c>
      <c r="AK628" s="24">
        <v>0</v>
      </c>
      <c r="AL628" s="24">
        <v>1</v>
      </c>
      <c r="AM628" s="24">
        <v>0</v>
      </c>
      <c r="AN628" s="24">
        <v>0</v>
      </c>
      <c r="AO628" s="24">
        <v>0</v>
      </c>
      <c r="AP628" s="24">
        <v>0</v>
      </c>
      <c r="AQ628" s="24">
        <v>0</v>
      </c>
      <c r="AR628" s="24">
        <v>1</v>
      </c>
      <c r="AS628" s="24">
        <v>0</v>
      </c>
      <c r="AT628" s="24">
        <v>0</v>
      </c>
      <c r="AU628" s="24">
        <v>0</v>
      </c>
      <c r="AV628" s="24">
        <v>0</v>
      </c>
      <c r="AW628" s="24">
        <v>0</v>
      </c>
      <c r="AX628" s="24">
        <v>1</v>
      </c>
      <c r="AY628" s="24">
        <v>0</v>
      </c>
      <c r="AZ628" s="24">
        <v>0</v>
      </c>
      <c r="BA628" s="24">
        <v>1</v>
      </c>
      <c r="BB628" s="24">
        <v>0</v>
      </c>
    </row>
    <row r="629" spans="2:54" ht="13.8" x14ac:dyDescent="0.3">
      <c r="B629" s="24">
        <v>609</v>
      </c>
      <c r="C629" s="24">
        <v>18</v>
      </c>
      <c r="D629" s="24">
        <v>0</v>
      </c>
      <c r="E629" s="24">
        <v>0</v>
      </c>
      <c r="F629" s="24">
        <v>0</v>
      </c>
      <c r="G629" s="24">
        <v>1</v>
      </c>
      <c r="H629" s="24">
        <v>0</v>
      </c>
      <c r="I629" s="24">
        <v>0</v>
      </c>
      <c r="J629" s="24">
        <v>2051</v>
      </c>
      <c r="K629" s="24">
        <v>4</v>
      </c>
      <c r="L629" s="24">
        <v>0</v>
      </c>
      <c r="M629" s="24">
        <v>1</v>
      </c>
      <c r="N629" s="24">
        <v>0</v>
      </c>
      <c r="O629" s="24">
        <v>0</v>
      </c>
      <c r="P629" s="24">
        <v>0</v>
      </c>
      <c r="Q629" s="24">
        <v>1</v>
      </c>
      <c r="R629" s="24">
        <v>0</v>
      </c>
      <c r="S629" s="24">
        <v>33</v>
      </c>
      <c r="T629" s="24">
        <v>0</v>
      </c>
      <c r="U629" s="24">
        <v>0</v>
      </c>
      <c r="V629" s="24">
        <v>1</v>
      </c>
      <c r="W629" s="24">
        <v>1</v>
      </c>
      <c r="X629" s="24">
        <v>1</v>
      </c>
      <c r="Y629" s="24">
        <v>0</v>
      </c>
      <c r="Z629" s="24">
        <v>0</v>
      </c>
      <c r="AA629" s="24">
        <v>1</v>
      </c>
      <c r="AB629" s="24">
        <v>0</v>
      </c>
      <c r="AC629" s="24">
        <v>0</v>
      </c>
      <c r="AD629" s="24">
        <v>0</v>
      </c>
      <c r="AE629" s="24">
        <v>1</v>
      </c>
      <c r="AF629" s="24">
        <v>0</v>
      </c>
      <c r="AG629" s="24">
        <v>0</v>
      </c>
      <c r="AH629" s="24">
        <v>1</v>
      </c>
      <c r="AI629" s="24">
        <v>0</v>
      </c>
      <c r="AJ629" s="24">
        <v>0</v>
      </c>
      <c r="AK629" s="24">
        <v>1</v>
      </c>
      <c r="AL629" s="24">
        <v>0</v>
      </c>
      <c r="AM629" s="24">
        <v>0</v>
      </c>
      <c r="AN629" s="24">
        <v>0</v>
      </c>
      <c r="AO629" s="24">
        <v>0</v>
      </c>
      <c r="AP629" s="24">
        <v>0</v>
      </c>
      <c r="AQ629" s="24">
        <v>1</v>
      </c>
      <c r="AR629" s="24">
        <v>0</v>
      </c>
      <c r="AS629" s="24">
        <v>0</v>
      </c>
      <c r="AT629" s="24">
        <v>0</v>
      </c>
      <c r="AU629" s="24">
        <v>1</v>
      </c>
      <c r="AV629" s="24">
        <v>0</v>
      </c>
      <c r="AW629" s="24">
        <v>0</v>
      </c>
      <c r="AX629" s="24">
        <v>0</v>
      </c>
      <c r="AY629" s="24">
        <v>0</v>
      </c>
      <c r="AZ629" s="24">
        <v>0</v>
      </c>
      <c r="BA629" s="24">
        <v>1</v>
      </c>
      <c r="BB629" s="24">
        <v>0</v>
      </c>
    </row>
    <row r="630" spans="2:54" ht="13.8" x14ac:dyDescent="0.3">
      <c r="B630" s="24">
        <v>610</v>
      </c>
      <c r="C630" s="24">
        <v>15</v>
      </c>
      <c r="D630" s="24">
        <v>0</v>
      </c>
      <c r="E630" s="24">
        <v>1</v>
      </c>
      <c r="F630" s="24">
        <v>0</v>
      </c>
      <c r="G630" s="24">
        <v>0</v>
      </c>
      <c r="H630" s="24">
        <v>0</v>
      </c>
      <c r="I630" s="24">
        <v>0</v>
      </c>
      <c r="J630" s="24">
        <v>1300</v>
      </c>
      <c r="K630" s="24">
        <v>4</v>
      </c>
      <c r="L630" s="24">
        <v>0</v>
      </c>
      <c r="M630" s="24">
        <v>1</v>
      </c>
      <c r="N630" s="24">
        <v>0</v>
      </c>
      <c r="O630" s="24">
        <v>0</v>
      </c>
      <c r="P630" s="24">
        <v>0</v>
      </c>
      <c r="Q630" s="24">
        <v>0</v>
      </c>
      <c r="R630" s="24">
        <v>1</v>
      </c>
      <c r="S630" s="24">
        <v>45</v>
      </c>
      <c r="T630" s="24">
        <v>1</v>
      </c>
      <c r="U630" s="24">
        <v>0</v>
      </c>
      <c r="V630" s="24">
        <v>0</v>
      </c>
      <c r="W630" s="24">
        <v>1</v>
      </c>
      <c r="X630" s="24">
        <v>2</v>
      </c>
      <c r="Y630" s="24">
        <v>0</v>
      </c>
      <c r="Z630" s="24">
        <v>0</v>
      </c>
      <c r="AA630" s="24">
        <v>1</v>
      </c>
      <c r="AB630" s="24">
        <v>0</v>
      </c>
      <c r="AC630" s="24">
        <v>0</v>
      </c>
      <c r="AD630" s="24">
        <v>0</v>
      </c>
      <c r="AE630" s="24">
        <v>1</v>
      </c>
      <c r="AF630" s="24">
        <v>0</v>
      </c>
      <c r="AG630" s="24">
        <v>0</v>
      </c>
      <c r="AH630" s="24">
        <v>1</v>
      </c>
      <c r="AI630" s="24">
        <v>0</v>
      </c>
      <c r="AJ630" s="24">
        <v>0</v>
      </c>
      <c r="AK630" s="24">
        <v>0</v>
      </c>
      <c r="AL630" s="24">
        <v>0</v>
      </c>
      <c r="AM630" s="24">
        <v>0</v>
      </c>
      <c r="AN630" s="24">
        <v>0</v>
      </c>
      <c r="AO630" s="24">
        <v>1</v>
      </c>
      <c r="AP630" s="24">
        <v>0</v>
      </c>
      <c r="AQ630" s="24">
        <v>0</v>
      </c>
      <c r="AR630" s="24">
        <v>0</v>
      </c>
      <c r="AS630" s="24">
        <v>0</v>
      </c>
      <c r="AT630" s="24">
        <v>1</v>
      </c>
      <c r="AU630" s="24">
        <v>0</v>
      </c>
      <c r="AV630" s="24">
        <v>0</v>
      </c>
      <c r="AW630" s="24">
        <v>0</v>
      </c>
      <c r="AX630" s="24">
        <v>1</v>
      </c>
      <c r="AY630" s="24">
        <v>0</v>
      </c>
      <c r="AZ630" s="24">
        <v>0</v>
      </c>
      <c r="BA630" s="24">
        <v>1</v>
      </c>
      <c r="BB630" s="24">
        <v>0</v>
      </c>
    </row>
    <row r="631" spans="2:54" ht="13.8" x14ac:dyDescent="0.3">
      <c r="B631" s="24">
        <v>611</v>
      </c>
      <c r="C631" s="24">
        <v>12</v>
      </c>
      <c r="D631" s="24">
        <v>0</v>
      </c>
      <c r="E631" s="24">
        <v>0</v>
      </c>
      <c r="F631" s="24">
        <v>0</v>
      </c>
      <c r="G631" s="24">
        <v>0</v>
      </c>
      <c r="H631" s="24">
        <v>0</v>
      </c>
      <c r="I631" s="24">
        <v>0</v>
      </c>
      <c r="J631" s="24">
        <v>741</v>
      </c>
      <c r="K631" s="24">
        <v>4</v>
      </c>
      <c r="L631" s="24">
        <v>0</v>
      </c>
      <c r="M631" s="24">
        <v>0</v>
      </c>
      <c r="N631" s="24">
        <v>0</v>
      </c>
      <c r="O631" s="24">
        <v>0</v>
      </c>
      <c r="P631" s="24">
        <v>0</v>
      </c>
      <c r="Q631" s="24">
        <v>0</v>
      </c>
      <c r="R631" s="24">
        <v>0</v>
      </c>
      <c r="S631" s="24">
        <v>22</v>
      </c>
      <c r="T631" s="24">
        <v>0</v>
      </c>
      <c r="U631" s="24">
        <v>0</v>
      </c>
      <c r="V631" s="24">
        <v>1</v>
      </c>
      <c r="W631" s="24">
        <v>1</v>
      </c>
      <c r="X631" s="24">
        <v>1</v>
      </c>
      <c r="Y631" s="24">
        <v>0</v>
      </c>
      <c r="Z631" s="24">
        <v>0</v>
      </c>
      <c r="AA631" s="24">
        <v>0</v>
      </c>
      <c r="AB631" s="24">
        <v>1</v>
      </c>
      <c r="AC631" s="24">
        <v>0</v>
      </c>
      <c r="AD631" s="24">
        <v>0</v>
      </c>
      <c r="AE631" s="24">
        <v>0</v>
      </c>
      <c r="AF631" s="24">
        <v>0</v>
      </c>
      <c r="AG631" s="24">
        <v>0</v>
      </c>
      <c r="AH631" s="24">
        <v>1</v>
      </c>
      <c r="AI631" s="24">
        <v>0</v>
      </c>
      <c r="AJ631" s="24">
        <v>0</v>
      </c>
      <c r="AK631" s="24">
        <v>0</v>
      </c>
      <c r="AL631" s="24">
        <v>1</v>
      </c>
      <c r="AM631" s="24">
        <v>0</v>
      </c>
      <c r="AN631" s="24">
        <v>0</v>
      </c>
      <c r="AO631" s="24">
        <v>0</v>
      </c>
      <c r="AP631" s="24">
        <v>1</v>
      </c>
      <c r="AQ631" s="24">
        <v>0</v>
      </c>
      <c r="AR631" s="24">
        <v>0</v>
      </c>
      <c r="AS631" s="24">
        <v>0</v>
      </c>
      <c r="AT631" s="24">
        <v>0</v>
      </c>
      <c r="AU631" s="24">
        <v>0</v>
      </c>
      <c r="AV631" s="24">
        <v>0</v>
      </c>
      <c r="AW631" s="24">
        <v>1</v>
      </c>
      <c r="AX631" s="24">
        <v>0</v>
      </c>
      <c r="AY631" s="24">
        <v>0</v>
      </c>
      <c r="AZ631" s="24">
        <v>0</v>
      </c>
      <c r="BA631" s="24">
        <v>1</v>
      </c>
      <c r="BB631" s="24">
        <v>0</v>
      </c>
    </row>
    <row r="632" spans="2:54" ht="13.8" x14ac:dyDescent="0.3">
      <c r="B632" s="24">
        <v>612</v>
      </c>
      <c r="C632" s="24">
        <v>10</v>
      </c>
      <c r="D632" s="24">
        <v>1</v>
      </c>
      <c r="E632" s="24">
        <v>0</v>
      </c>
      <c r="F632" s="24">
        <v>0</v>
      </c>
      <c r="G632" s="24">
        <v>0</v>
      </c>
      <c r="H632" s="24">
        <v>0</v>
      </c>
      <c r="I632" s="24">
        <v>0</v>
      </c>
      <c r="J632" s="24">
        <v>1240</v>
      </c>
      <c r="K632" s="24">
        <v>1</v>
      </c>
      <c r="L632" s="24">
        <v>0</v>
      </c>
      <c r="M632" s="24">
        <v>0</v>
      </c>
      <c r="N632" s="24">
        <v>0</v>
      </c>
      <c r="O632" s="24">
        <v>0</v>
      </c>
      <c r="P632" s="24">
        <v>0</v>
      </c>
      <c r="Q632" s="24">
        <v>0</v>
      </c>
      <c r="R632" s="24">
        <v>1</v>
      </c>
      <c r="S632" s="24">
        <v>48</v>
      </c>
      <c r="T632" s="24">
        <v>0</v>
      </c>
      <c r="U632" s="24">
        <v>0</v>
      </c>
      <c r="V632" s="24">
        <v>0</v>
      </c>
      <c r="W632" s="24">
        <v>1</v>
      </c>
      <c r="X632" s="24">
        <v>2</v>
      </c>
      <c r="Y632" s="24">
        <v>0</v>
      </c>
      <c r="Z632" s="24">
        <v>0</v>
      </c>
      <c r="AA632" s="24">
        <v>0</v>
      </c>
      <c r="AB632" s="24">
        <v>0</v>
      </c>
      <c r="AC632" s="24">
        <v>0</v>
      </c>
      <c r="AD632" s="24">
        <v>1</v>
      </c>
      <c r="AE632" s="24">
        <v>0</v>
      </c>
      <c r="AF632" s="24">
        <v>0</v>
      </c>
      <c r="AG632" s="24">
        <v>0</v>
      </c>
      <c r="AH632" s="24">
        <v>1</v>
      </c>
      <c r="AI632" s="24">
        <v>0</v>
      </c>
      <c r="AJ632" s="24">
        <v>0</v>
      </c>
      <c r="AK632" s="24">
        <v>0</v>
      </c>
      <c r="AL632" s="24">
        <v>1</v>
      </c>
      <c r="AM632" s="24">
        <v>0</v>
      </c>
      <c r="AN632" s="24">
        <v>0</v>
      </c>
      <c r="AO632" s="24">
        <v>0</v>
      </c>
      <c r="AP632" s="24">
        <v>0</v>
      </c>
      <c r="AQ632" s="24">
        <v>0</v>
      </c>
      <c r="AR632" s="24">
        <v>0</v>
      </c>
      <c r="AS632" s="24">
        <v>0</v>
      </c>
      <c r="AT632" s="24">
        <v>1</v>
      </c>
      <c r="AU632" s="24">
        <v>0</v>
      </c>
      <c r="AV632" s="24">
        <v>0</v>
      </c>
      <c r="AW632" s="24">
        <v>0</v>
      </c>
      <c r="AX632" s="24">
        <v>1</v>
      </c>
      <c r="AY632" s="24">
        <v>0</v>
      </c>
      <c r="AZ632" s="24">
        <v>1</v>
      </c>
      <c r="BA632" s="24">
        <v>0</v>
      </c>
      <c r="BB632" s="24">
        <v>0</v>
      </c>
    </row>
    <row r="633" spans="2:54" ht="13.8" x14ac:dyDescent="0.3">
      <c r="B633" s="24">
        <v>613</v>
      </c>
      <c r="C633" s="24">
        <v>21</v>
      </c>
      <c r="D633" s="24">
        <v>0</v>
      </c>
      <c r="E633" s="24">
        <v>0</v>
      </c>
      <c r="F633" s="24">
        <v>0</v>
      </c>
      <c r="G633" s="24">
        <v>1</v>
      </c>
      <c r="H633" s="24">
        <v>0</v>
      </c>
      <c r="I633" s="24">
        <v>0</v>
      </c>
      <c r="J633" s="24">
        <v>3357</v>
      </c>
      <c r="K633" s="24">
        <v>4</v>
      </c>
      <c r="L633" s="24">
        <v>0</v>
      </c>
      <c r="M633" s="24">
        <v>0</v>
      </c>
      <c r="N633" s="24">
        <v>0</v>
      </c>
      <c r="O633" s="24">
        <v>0</v>
      </c>
      <c r="P633" s="24">
        <v>0</v>
      </c>
      <c r="Q633" s="24">
        <v>0</v>
      </c>
      <c r="R633" s="24">
        <v>0</v>
      </c>
      <c r="S633" s="24">
        <v>29</v>
      </c>
      <c r="T633" s="24">
        <v>1</v>
      </c>
      <c r="U633" s="24">
        <v>0</v>
      </c>
      <c r="V633" s="24">
        <v>1</v>
      </c>
      <c r="W633" s="24">
        <v>1</v>
      </c>
      <c r="X633" s="24">
        <v>1</v>
      </c>
      <c r="Y633" s="24">
        <v>0</v>
      </c>
      <c r="Z633" s="24">
        <v>0</v>
      </c>
      <c r="AA633" s="24">
        <v>1</v>
      </c>
      <c r="AB633" s="24">
        <v>1</v>
      </c>
      <c r="AC633" s="24">
        <v>0</v>
      </c>
      <c r="AD633" s="24">
        <v>0</v>
      </c>
      <c r="AE633" s="24">
        <v>0</v>
      </c>
      <c r="AF633" s="24">
        <v>0</v>
      </c>
      <c r="AG633" s="24">
        <v>0</v>
      </c>
      <c r="AH633" s="24">
        <v>1</v>
      </c>
      <c r="AI633" s="24">
        <v>0</v>
      </c>
      <c r="AJ633" s="24">
        <v>0</v>
      </c>
      <c r="AK633" s="24">
        <v>0</v>
      </c>
      <c r="AL633" s="24">
        <v>0</v>
      </c>
      <c r="AM633" s="24">
        <v>0</v>
      </c>
      <c r="AN633" s="24">
        <v>1</v>
      </c>
      <c r="AO633" s="24">
        <v>0</v>
      </c>
      <c r="AP633" s="24">
        <v>0</v>
      </c>
      <c r="AQ633" s="24">
        <v>1</v>
      </c>
      <c r="AR633" s="24">
        <v>0</v>
      </c>
      <c r="AS633" s="24">
        <v>0</v>
      </c>
      <c r="AT633" s="24">
        <v>0</v>
      </c>
      <c r="AU633" s="24">
        <v>0</v>
      </c>
      <c r="AV633" s="24">
        <v>1</v>
      </c>
      <c r="AW633" s="24">
        <v>0</v>
      </c>
      <c r="AX633" s="24">
        <v>0</v>
      </c>
      <c r="AY633" s="24">
        <v>0</v>
      </c>
      <c r="AZ633" s="24">
        <v>0</v>
      </c>
      <c r="BA633" s="24">
        <v>1</v>
      </c>
      <c r="BB633" s="24">
        <v>0</v>
      </c>
    </row>
    <row r="634" spans="2:54" ht="13.8" x14ac:dyDescent="0.3">
      <c r="B634" s="24">
        <v>614</v>
      </c>
      <c r="C634" s="24">
        <v>24</v>
      </c>
      <c r="D634" s="24">
        <v>0</v>
      </c>
      <c r="E634" s="24">
        <v>1</v>
      </c>
      <c r="F634" s="24">
        <v>0</v>
      </c>
      <c r="G634" s="24">
        <v>0</v>
      </c>
      <c r="H634" s="24">
        <v>0</v>
      </c>
      <c r="I634" s="24">
        <v>0</v>
      </c>
      <c r="J634" s="24">
        <v>3632</v>
      </c>
      <c r="K634" s="24">
        <v>1</v>
      </c>
      <c r="L634" s="24">
        <v>0</v>
      </c>
      <c r="M634" s="24">
        <v>0</v>
      </c>
      <c r="N634" s="24">
        <v>0</v>
      </c>
      <c r="O634" s="24">
        <v>0</v>
      </c>
      <c r="P634" s="24">
        <v>1</v>
      </c>
      <c r="Q634" s="24">
        <v>0</v>
      </c>
      <c r="R634" s="24">
        <v>0</v>
      </c>
      <c r="S634" s="24">
        <v>22</v>
      </c>
      <c r="T634" s="24">
        <v>1</v>
      </c>
      <c r="U634" s="24">
        <v>1</v>
      </c>
      <c r="V634" s="24">
        <v>0</v>
      </c>
      <c r="W634" s="24">
        <v>1</v>
      </c>
      <c r="X634" s="24">
        <v>1</v>
      </c>
      <c r="Y634" s="24">
        <v>0</v>
      </c>
      <c r="Z634" s="24">
        <v>1</v>
      </c>
      <c r="AA634" s="24">
        <v>1</v>
      </c>
      <c r="AB634" s="24">
        <v>1</v>
      </c>
      <c r="AC634" s="24">
        <v>0</v>
      </c>
      <c r="AD634" s="24">
        <v>0</v>
      </c>
      <c r="AE634" s="24">
        <v>0</v>
      </c>
      <c r="AF634" s="24">
        <v>0</v>
      </c>
      <c r="AG634" s="24">
        <v>1</v>
      </c>
      <c r="AH634" s="24">
        <v>0</v>
      </c>
      <c r="AI634" s="24">
        <v>0</v>
      </c>
      <c r="AJ634" s="24">
        <v>0</v>
      </c>
      <c r="AK634" s="24">
        <v>1</v>
      </c>
      <c r="AL634" s="24">
        <v>0</v>
      </c>
      <c r="AM634" s="24">
        <v>0</v>
      </c>
      <c r="AN634" s="24">
        <v>0</v>
      </c>
      <c r="AO634" s="24">
        <v>0</v>
      </c>
      <c r="AP634" s="24">
        <v>0</v>
      </c>
      <c r="AQ634" s="24">
        <v>0</v>
      </c>
      <c r="AR634" s="24">
        <v>1</v>
      </c>
      <c r="AS634" s="24">
        <v>0</v>
      </c>
      <c r="AT634" s="24">
        <v>0</v>
      </c>
      <c r="AU634" s="24">
        <v>0</v>
      </c>
      <c r="AV634" s="24">
        <v>0</v>
      </c>
      <c r="AW634" s="24">
        <v>0</v>
      </c>
      <c r="AX634" s="24">
        <v>1</v>
      </c>
      <c r="AY634" s="24">
        <v>0</v>
      </c>
      <c r="AZ634" s="24">
        <v>0</v>
      </c>
      <c r="BA634" s="24">
        <v>1</v>
      </c>
      <c r="BB634" s="24">
        <v>0</v>
      </c>
    </row>
    <row r="635" spans="2:54" ht="13.8" x14ac:dyDescent="0.3">
      <c r="B635" s="24">
        <v>615</v>
      </c>
      <c r="C635" s="24">
        <v>18</v>
      </c>
      <c r="D635" s="24">
        <v>0</v>
      </c>
      <c r="E635" s="24">
        <v>0</v>
      </c>
      <c r="F635" s="24">
        <v>1</v>
      </c>
      <c r="G635" s="24">
        <v>0</v>
      </c>
      <c r="H635" s="24">
        <v>0</v>
      </c>
      <c r="I635" s="24">
        <v>0</v>
      </c>
      <c r="J635" s="24">
        <v>1808</v>
      </c>
      <c r="K635" s="24">
        <v>4</v>
      </c>
      <c r="L635" s="24">
        <v>0</v>
      </c>
      <c r="M635" s="24">
        <v>0</v>
      </c>
      <c r="N635" s="24">
        <v>0</v>
      </c>
      <c r="O635" s="24">
        <v>0</v>
      </c>
      <c r="P635" s="24">
        <v>0</v>
      </c>
      <c r="Q635" s="24">
        <v>1</v>
      </c>
      <c r="R635" s="24">
        <v>0</v>
      </c>
      <c r="S635" s="24">
        <v>22</v>
      </c>
      <c r="T635" s="24">
        <v>0</v>
      </c>
      <c r="U635" s="24">
        <v>0</v>
      </c>
      <c r="V635" s="24">
        <v>1</v>
      </c>
      <c r="W635" s="24">
        <v>1</v>
      </c>
      <c r="X635" s="24">
        <v>1</v>
      </c>
      <c r="Y635" s="24">
        <v>0</v>
      </c>
      <c r="Z635" s="24">
        <v>0</v>
      </c>
      <c r="AA635" s="24">
        <v>0</v>
      </c>
      <c r="AB635" s="24">
        <v>0</v>
      </c>
      <c r="AC635" s="24">
        <v>0</v>
      </c>
      <c r="AD635" s="24">
        <v>0</v>
      </c>
      <c r="AE635" s="24">
        <v>1</v>
      </c>
      <c r="AF635" s="24">
        <v>0</v>
      </c>
      <c r="AG635" s="24">
        <v>0</v>
      </c>
      <c r="AH635" s="24">
        <v>0</v>
      </c>
      <c r="AI635" s="24">
        <v>1</v>
      </c>
      <c r="AJ635" s="24">
        <v>0</v>
      </c>
      <c r="AK635" s="24">
        <v>1</v>
      </c>
      <c r="AL635" s="24">
        <v>0</v>
      </c>
      <c r="AM635" s="24">
        <v>0</v>
      </c>
      <c r="AN635" s="24">
        <v>0</v>
      </c>
      <c r="AO635" s="24">
        <v>0</v>
      </c>
      <c r="AP635" s="24">
        <v>0</v>
      </c>
      <c r="AQ635" s="24">
        <v>0</v>
      </c>
      <c r="AR635" s="24">
        <v>0</v>
      </c>
      <c r="AS635" s="24">
        <v>1</v>
      </c>
      <c r="AT635" s="24">
        <v>0</v>
      </c>
      <c r="AU635" s="24">
        <v>1</v>
      </c>
      <c r="AV635" s="24">
        <v>0</v>
      </c>
      <c r="AW635" s="24">
        <v>0</v>
      </c>
      <c r="AX635" s="24">
        <v>0</v>
      </c>
      <c r="AY635" s="24">
        <v>0</v>
      </c>
      <c r="AZ635" s="24">
        <v>0</v>
      </c>
      <c r="BA635" s="24">
        <v>1</v>
      </c>
      <c r="BB635" s="24">
        <v>0</v>
      </c>
    </row>
    <row r="636" spans="2:54" ht="13.8" x14ac:dyDescent="0.3">
      <c r="B636" s="24">
        <v>616</v>
      </c>
      <c r="C636" s="24">
        <v>48</v>
      </c>
      <c r="D636" s="24">
        <v>0</v>
      </c>
      <c r="E636" s="24">
        <v>0</v>
      </c>
      <c r="F636" s="24">
        <v>0</v>
      </c>
      <c r="G636" s="24">
        <v>0</v>
      </c>
      <c r="H636" s="24">
        <v>0</v>
      </c>
      <c r="I636" s="24">
        <v>1</v>
      </c>
      <c r="J636" s="24">
        <v>12204</v>
      </c>
      <c r="K636" s="24">
        <v>2</v>
      </c>
      <c r="L636" s="24">
        <v>0</v>
      </c>
      <c r="M636" s="24">
        <v>1</v>
      </c>
      <c r="N636" s="24">
        <v>0</v>
      </c>
      <c r="O636" s="24">
        <v>0</v>
      </c>
      <c r="P636" s="24">
        <v>0</v>
      </c>
      <c r="Q636" s="24">
        <v>0</v>
      </c>
      <c r="R636" s="24">
        <v>0</v>
      </c>
      <c r="S636" s="24">
        <v>48</v>
      </c>
      <c r="T636" s="24">
        <v>1</v>
      </c>
      <c r="U636" s="24">
        <v>0</v>
      </c>
      <c r="V636" s="24">
        <v>1</v>
      </c>
      <c r="W636" s="24">
        <v>1</v>
      </c>
      <c r="X636" s="24">
        <v>1</v>
      </c>
      <c r="Y636" s="24">
        <v>1</v>
      </c>
      <c r="Z636" s="24">
        <v>0</v>
      </c>
      <c r="AA636" s="24">
        <v>1</v>
      </c>
      <c r="AB636" s="24">
        <v>0</v>
      </c>
      <c r="AC636" s="24">
        <v>1</v>
      </c>
      <c r="AD636" s="24">
        <v>0</v>
      </c>
      <c r="AE636" s="24">
        <v>0</v>
      </c>
      <c r="AF636" s="24">
        <v>1</v>
      </c>
      <c r="AG636" s="24">
        <v>0</v>
      </c>
      <c r="AH636" s="24">
        <v>0</v>
      </c>
      <c r="AI636" s="24">
        <v>0</v>
      </c>
      <c r="AJ636" s="24">
        <v>0</v>
      </c>
      <c r="AK636" s="24">
        <v>0</v>
      </c>
      <c r="AL636" s="24">
        <v>0</v>
      </c>
      <c r="AM636" s="24">
        <v>0</v>
      </c>
      <c r="AN636" s="24">
        <v>0</v>
      </c>
      <c r="AO636" s="24">
        <v>1</v>
      </c>
      <c r="AP636" s="24">
        <v>0</v>
      </c>
      <c r="AQ636" s="24">
        <v>0</v>
      </c>
      <c r="AR636" s="24">
        <v>1</v>
      </c>
      <c r="AS636" s="24">
        <v>0</v>
      </c>
      <c r="AT636" s="24">
        <v>0</v>
      </c>
      <c r="AU636" s="24">
        <v>0</v>
      </c>
      <c r="AV636" s="24">
        <v>1</v>
      </c>
      <c r="AW636" s="24">
        <v>0</v>
      </c>
      <c r="AX636" s="24">
        <v>0</v>
      </c>
      <c r="AY636" s="24">
        <v>0</v>
      </c>
      <c r="AZ636" s="24">
        <v>0</v>
      </c>
      <c r="BA636" s="24">
        <v>0</v>
      </c>
      <c r="BB636" s="24">
        <v>1</v>
      </c>
    </row>
    <row r="637" spans="2:54" ht="13.8" x14ac:dyDescent="0.3">
      <c r="B637" s="24">
        <v>617</v>
      </c>
      <c r="C637" s="24">
        <v>60</v>
      </c>
      <c r="D637" s="24">
        <v>0</v>
      </c>
      <c r="E637" s="24">
        <v>0</v>
      </c>
      <c r="F637" s="24">
        <v>0</v>
      </c>
      <c r="G637" s="24">
        <v>1</v>
      </c>
      <c r="H637" s="24">
        <v>0</v>
      </c>
      <c r="I637" s="24">
        <v>0</v>
      </c>
      <c r="J637" s="24">
        <v>9157</v>
      </c>
      <c r="K637" s="24">
        <v>2</v>
      </c>
      <c r="L637" s="24">
        <v>0</v>
      </c>
      <c r="M637" s="24">
        <v>1</v>
      </c>
      <c r="N637" s="24">
        <v>0</v>
      </c>
      <c r="O637" s="24">
        <v>0</v>
      </c>
      <c r="P637" s="24">
        <v>0</v>
      </c>
      <c r="Q637" s="24">
        <v>0</v>
      </c>
      <c r="R637" s="24">
        <v>1</v>
      </c>
      <c r="S637" s="24">
        <v>27</v>
      </c>
      <c r="T637" s="24">
        <v>0</v>
      </c>
      <c r="U637" s="24">
        <v>0</v>
      </c>
      <c r="V637" s="24">
        <v>0</v>
      </c>
      <c r="W637" s="24">
        <v>1</v>
      </c>
      <c r="X637" s="24">
        <v>1</v>
      </c>
      <c r="Y637" s="24">
        <v>0</v>
      </c>
      <c r="Z637" s="24">
        <v>0</v>
      </c>
      <c r="AA637" s="24">
        <v>1</v>
      </c>
      <c r="AB637" s="24">
        <v>0</v>
      </c>
      <c r="AC637" s="24">
        <v>1</v>
      </c>
      <c r="AD637" s="24">
        <v>0</v>
      </c>
      <c r="AE637" s="24">
        <v>0</v>
      </c>
      <c r="AF637" s="24">
        <v>0</v>
      </c>
      <c r="AG637" s="24">
        <v>0</v>
      </c>
      <c r="AH637" s="24">
        <v>0</v>
      </c>
      <c r="AI637" s="24">
        <v>1</v>
      </c>
      <c r="AJ637" s="24">
        <v>0</v>
      </c>
      <c r="AK637" s="24">
        <v>0</v>
      </c>
      <c r="AL637" s="24">
        <v>0</v>
      </c>
      <c r="AM637" s="24">
        <v>0</v>
      </c>
      <c r="AN637" s="24">
        <v>0</v>
      </c>
      <c r="AO637" s="24">
        <v>1</v>
      </c>
      <c r="AP637" s="24">
        <v>0</v>
      </c>
      <c r="AQ637" s="24">
        <v>0</v>
      </c>
      <c r="AR637" s="24">
        <v>1</v>
      </c>
      <c r="AS637" s="24">
        <v>0</v>
      </c>
      <c r="AT637" s="24">
        <v>0</v>
      </c>
      <c r="AU637" s="24">
        <v>0</v>
      </c>
      <c r="AV637" s="24">
        <v>1</v>
      </c>
      <c r="AW637" s="24">
        <v>0</v>
      </c>
      <c r="AX637" s="24">
        <v>0</v>
      </c>
      <c r="AY637" s="24">
        <v>0</v>
      </c>
      <c r="AZ637" s="24">
        <v>0</v>
      </c>
      <c r="BA637" s="24">
        <v>0</v>
      </c>
      <c r="BB637" s="24">
        <v>1</v>
      </c>
    </row>
    <row r="638" spans="2:54" ht="13.8" x14ac:dyDescent="0.3">
      <c r="B638" s="24">
        <v>618</v>
      </c>
      <c r="C638" s="24">
        <v>6</v>
      </c>
      <c r="D638" s="24">
        <v>1</v>
      </c>
      <c r="E638" s="24">
        <v>0</v>
      </c>
      <c r="F638" s="24">
        <v>0</v>
      </c>
      <c r="G638" s="24">
        <v>0</v>
      </c>
      <c r="H638" s="24">
        <v>0</v>
      </c>
      <c r="I638" s="24">
        <v>0</v>
      </c>
      <c r="J638" s="24">
        <v>3676</v>
      </c>
      <c r="K638" s="24">
        <v>1</v>
      </c>
      <c r="L638" s="24">
        <v>0</v>
      </c>
      <c r="M638" s="24">
        <v>1</v>
      </c>
      <c r="N638" s="24">
        <v>0</v>
      </c>
      <c r="O638" s="24">
        <v>0</v>
      </c>
      <c r="P638" s="24">
        <v>0</v>
      </c>
      <c r="Q638" s="24">
        <v>1</v>
      </c>
      <c r="R638" s="24">
        <v>0</v>
      </c>
      <c r="S638" s="24">
        <v>37</v>
      </c>
      <c r="T638" s="24">
        <v>0</v>
      </c>
      <c r="U638" s="24">
        <v>1</v>
      </c>
      <c r="V638" s="24">
        <v>0</v>
      </c>
      <c r="W638" s="24">
        <v>3</v>
      </c>
      <c r="X638" s="24">
        <v>2</v>
      </c>
      <c r="Y638" s="24">
        <v>0</v>
      </c>
      <c r="Z638" s="24">
        <v>0</v>
      </c>
      <c r="AA638" s="24">
        <v>1</v>
      </c>
      <c r="AB638" s="24">
        <v>1</v>
      </c>
      <c r="AC638" s="24">
        <v>0</v>
      </c>
      <c r="AD638" s="24">
        <v>0</v>
      </c>
      <c r="AE638" s="24">
        <v>0</v>
      </c>
      <c r="AF638" s="24">
        <v>0</v>
      </c>
      <c r="AG638" s="24">
        <v>0</v>
      </c>
      <c r="AH638" s="24">
        <v>0</v>
      </c>
      <c r="AI638" s="24">
        <v>0</v>
      </c>
      <c r="AJ638" s="24">
        <v>1</v>
      </c>
      <c r="AK638" s="24">
        <v>1</v>
      </c>
      <c r="AL638" s="24">
        <v>0</v>
      </c>
      <c r="AM638" s="24">
        <v>0</v>
      </c>
      <c r="AN638" s="24">
        <v>0</v>
      </c>
      <c r="AO638" s="24">
        <v>0</v>
      </c>
      <c r="AP638" s="24">
        <v>0</v>
      </c>
      <c r="AQ638" s="24">
        <v>0</v>
      </c>
      <c r="AR638" s="24">
        <v>1</v>
      </c>
      <c r="AS638" s="24">
        <v>0</v>
      </c>
      <c r="AT638" s="24">
        <v>0</v>
      </c>
      <c r="AU638" s="24">
        <v>0</v>
      </c>
      <c r="AV638" s="24">
        <v>0</v>
      </c>
      <c r="AW638" s="24">
        <v>1</v>
      </c>
      <c r="AX638" s="24">
        <v>0</v>
      </c>
      <c r="AY638" s="24">
        <v>0</v>
      </c>
      <c r="AZ638" s="24">
        <v>0</v>
      </c>
      <c r="BA638" s="24">
        <v>1</v>
      </c>
      <c r="BB638" s="24">
        <v>0</v>
      </c>
    </row>
    <row r="639" spans="2:54" ht="13.8" x14ac:dyDescent="0.3">
      <c r="B639" s="24">
        <v>619</v>
      </c>
      <c r="C639" s="24">
        <v>30</v>
      </c>
      <c r="D639" s="24">
        <v>0</v>
      </c>
      <c r="E639" s="24">
        <v>0</v>
      </c>
      <c r="F639" s="24">
        <v>1</v>
      </c>
      <c r="G639" s="24">
        <v>0</v>
      </c>
      <c r="H639" s="24">
        <v>0</v>
      </c>
      <c r="I639" s="24">
        <v>0</v>
      </c>
      <c r="J639" s="24">
        <v>3441</v>
      </c>
      <c r="K639" s="24">
        <v>2</v>
      </c>
      <c r="L639" s="24">
        <v>0</v>
      </c>
      <c r="M639" s="24">
        <v>0</v>
      </c>
      <c r="N639" s="24">
        <v>0</v>
      </c>
      <c r="O639" s="24">
        <v>1</v>
      </c>
      <c r="P639" s="24">
        <v>0</v>
      </c>
      <c r="Q639" s="24">
        <v>0</v>
      </c>
      <c r="R639" s="24">
        <v>0</v>
      </c>
      <c r="S639" s="24">
        <v>21</v>
      </c>
      <c r="T639" s="24">
        <v>0</v>
      </c>
      <c r="U639" s="24">
        <v>1</v>
      </c>
      <c r="V639" s="24">
        <v>0</v>
      </c>
      <c r="W639" s="24">
        <v>1</v>
      </c>
      <c r="X639" s="24">
        <v>1</v>
      </c>
      <c r="Y639" s="24">
        <v>0</v>
      </c>
      <c r="Z639" s="24">
        <v>0</v>
      </c>
      <c r="AA639" s="24">
        <v>0</v>
      </c>
      <c r="AB639" s="24">
        <v>0</v>
      </c>
      <c r="AC639" s="24">
        <v>1</v>
      </c>
      <c r="AD639" s="24">
        <v>0</v>
      </c>
      <c r="AE639" s="24">
        <v>0</v>
      </c>
      <c r="AF639" s="24">
        <v>0</v>
      </c>
      <c r="AG639" s="24">
        <v>0</v>
      </c>
      <c r="AH639" s="24">
        <v>1</v>
      </c>
      <c r="AI639" s="24">
        <v>0</v>
      </c>
      <c r="AJ639" s="24">
        <v>0</v>
      </c>
      <c r="AK639" s="24">
        <v>0</v>
      </c>
      <c r="AL639" s="24">
        <v>1</v>
      </c>
      <c r="AM639" s="24">
        <v>0</v>
      </c>
      <c r="AN639" s="24">
        <v>0</v>
      </c>
      <c r="AO639" s="24">
        <v>0</v>
      </c>
      <c r="AP639" s="24">
        <v>0</v>
      </c>
      <c r="AQ639" s="24">
        <v>0</v>
      </c>
      <c r="AR639" s="24">
        <v>1</v>
      </c>
      <c r="AS639" s="24">
        <v>0</v>
      </c>
      <c r="AT639" s="24">
        <v>0</v>
      </c>
      <c r="AU639" s="24">
        <v>0</v>
      </c>
      <c r="AV639" s="24">
        <v>0</v>
      </c>
      <c r="AW639" s="24">
        <v>0</v>
      </c>
      <c r="AX639" s="24">
        <v>1</v>
      </c>
      <c r="AY639" s="24">
        <v>0</v>
      </c>
      <c r="AZ639" s="24">
        <v>0</v>
      </c>
      <c r="BA639" s="24">
        <v>1</v>
      </c>
      <c r="BB639" s="24">
        <v>0</v>
      </c>
    </row>
    <row r="640" spans="2:54" ht="13.8" x14ac:dyDescent="0.3">
      <c r="B640" s="24">
        <v>620</v>
      </c>
      <c r="C640" s="24">
        <v>12</v>
      </c>
      <c r="D640" s="24">
        <v>1</v>
      </c>
      <c r="E640" s="24">
        <v>0</v>
      </c>
      <c r="F640" s="24">
        <v>0</v>
      </c>
      <c r="G640" s="24">
        <v>0</v>
      </c>
      <c r="H640" s="24">
        <v>0</v>
      </c>
      <c r="I640" s="24">
        <v>0</v>
      </c>
      <c r="J640" s="24">
        <v>640</v>
      </c>
      <c r="K640" s="24">
        <v>4</v>
      </c>
      <c r="L640" s="24">
        <v>1</v>
      </c>
      <c r="M640" s="24">
        <v>0</v>
      </c>
      <c r="N640" s="24">
        <v>0</v>
      </c>
      <c r="O640" s="24">
        <v>0</v>
      </c>
      <c r="P640" s="24">
        <v>0</v>
      </c>
      <c r="Q640" s="24">
        <v>1</v>
      </c>
      <c r="R640" s="24">
        <v>0</v>
      </c>
      <c r="S640" s="24">
        <v>49</v>
      </c>
      <c r="T640" s="24">
        <v>0</v>
      </c>
      <c r="U640" s="24">
        <v>0</v>
      </c>
      <c r="V640" s="24">
        <v>1</v>
      </c>
      <c r="W640" s="24">
        <v>1</v>
      </c>
      <c r="X640" s="24">
        <v>1</v>
      </c>
      <c r="Y640" s="24">
        <v>0</v>
      </c>
      <c r="Z640" s="24">
        <v>0</v>
      </c>
      <c r="AA640" s="24">
        <v>1</v>
      </c>
      <c r="AB640" s="24">
        <v>0</v>
      </c>
      <c r="AC640" s="24">
        <v>0</v>
      </c>
      <c r="AD640" s="24">
        <v>0</v>
      </c>
      <c r="AE640" s="24">
        <v>1</v>
      </c>
      <c r="AF640" s="24">
        <v>0</v>
      </c>
      <c r="AG640" s="24">
        <v>0</v>
      </c>
      <c r="AH640" s="24">
        <v>1</v>
      </c>
      <c r="AI640" s="24">
        <v>0</v>
      </c>
      <c r="AJ640" s="24">
        <v>0</v>
      </c>
      <c r="AK640" s="24">
        <v>1</v>
      </c>
      <c r="AL640" s="24">
        <v>0</v>
      </c>
      <c r="AM640" s="24">
        <v>0</v>
      </c>
      <c r="AN640" s="24">
        <v>0</v>
      </c>
      <c r="AO640" s="24">
        <v>0</v>
      </c>
      <c r="AP640" s="24">
        <v>0</v>
      </c>
      <c r="AQ640" s="24">
        <v>0</v>
      </c>
      <c r="AR640" s="24">
        <v>1</v>
      </c>
      <c r="AS640" s="24">
        <v>0</v>
      </c>
      <c r="AT640" s="24">
        <v>0</v>
      </c>
      <c r="AU640" s="24">
        <v>0</v>
      </c>
      <c r="AV640" s="24">
        <v>1</v>
      </c>
      <c r="AW640" s="24">
        <v>0</v>
      </c>
      <c r="AX640" s="24">
        <v>0</v>
      </c>
      <c r="AY640" s="24">
        <v>0</v>
      </c>
      <c r="AZ640" s="24">
        <v>1</v>
      </c>
      <c r="BA640" s="24">
        <v>0</v>
      </c>
      <c r="BB640" s="24">
        <v>0</v>
      </c>
    </row>
    <row r="641" spans="2:54" ht="13.8" x14ac:dyDescent="0.3">
      <c r="B641" s="24">
        <v>621</v>
      </c>
      <c r="C641" s="24">
        <v>21</v>
      </c>
      <c r="D641" s="24">
        <v>0</v>
      </c>
      <c r="E641" s="24">
        <v>0</v>
      </c>
      <c r="F641" s="24">
        <v>0</v>
      </c>
      <c r="G641" s="24">
        <v>0</v>
      </c>
      <c r="H641" s="24">
        <v>0</v>
      </c>
      <c r="I641" s="24">
        <v>1</v>
      </c>
      <c r="J641" s="24">
        <v>3652</v>
      </c>
      <c r="K641" s="24">
        <v>2</v>
      </c>
      <c r="L641" s="24">
        <v>0</v>
      </c>
      <c r="M641" s="24">
        <v>1</v>
      </c>
      <c r="N641" s="24">
        <v>0</v>
      </c>
      <c r="O641" s="24">
        <v>0</v>
      </c>
      <c r="P641" s="24">
        <v>0</v>
      </c>
      <c r="Q641" s="24">
        <v>0</v>
      </c>
      <c r="R641" s="24">
        <v>0</v>
      </c>
      <c r="S641" s="24">
        <v>27</v>
      </c>
      <c r="T641" s="24">
        <v>0</v>
      </c>
      <c r="U641" s="24">
        <v>0</v>
      </c>
      <c r="V641" s="24">
        <v>1</v>
      </c>
      <c r="W641" s="24">
        <v>2</v>
      </c>
      <c r="X641" s="24">
        <v>1</v>
      </c>
      <c r="Y641" s="24">
        <v>0</v>
      </c>
      <c r="Z641" s="24">
        <v>0</v>
      </c>
      <c r="AA641" s="24">
        <v>1</v>
      </c>
      <c r="AB641" s="24">
        <v>0</v>
      </c>
      <c r="AC641" s="24">
        <v>1</v>
      </c>
      <c r="AD641" s="24">
        <v>0</v>
      </c>
      <c r="AE641" s="24">
        <v>0</v>
      </c>
      <c r="AF641" s="24">
        <v>0</v>
      </c>
      <c r="AG641" s="24">
        <v>0</v>
      </c>
      <c r="AH641" s="24">
        <v>0</v>
      </c>
      <c r="AI641" s="24">
        <v>0</v>
      </c>
      <c r="AJ641" s="24">
        <v>1</v>
      </c>
      <c r="AK641" s="24">
        <v>1</v>
      </c>
      <c r="AL641" s="24">
        <v>0</v>
      </c>
      <c r="AM641" s="24">
        <v>0</v>
      </c>
      <c r="AN641" s="24">
        <v>0</v>
      </c>
      <c r="AO641" s="24">
        <v>0</v>
      </c>
      <c r="AP641" s="24">
        <v>0</v>
      </c>
      <c r="AQ641" s="24">
        <v>0</v>
      </c>
      <c r="AR641" s="24">
        <v>0</v>
      </c>
      <c r="AS641" s="24">
        <v>1</v>
      </c>
      <c r="AT641" s="24">
        <v>0</v>
      </c>
      <c r="AU641" s="24">
        <v>0</v>
      </c>
      <c r="AV641" s="24">
        <v>0</v>
      </c>
      <c r="AW641" s="24">
        <v>1</v>
      </c>
      <c r="AX641" s="24">
        <v>0</v>
      </c>
      <c r="AY641" s="24">
        <v>0</v>
      </c>
      <c r="AZ641" s="24">
        <v>0</v>
      </c>
      <c r="BA641" s="24">
        <v>1</v>
      </c>
      <c r="BB641" s="24">
        <v>0</v>
      </c>
    </row>
    <row r="642" spans="2:54" ht="13.8" x14ac:dyDescent="0.3">
      <c r="B642" s="24">
        <v>622</v>
      </c>
      <c r="C642" s="24">
        <v>18</v>
      </c>
      <c r="D642" s="24">
        <v>1</v>
      </c>
      <c r="E642" s="24">
        <v>0</v>
      </c>
      <c r="F642" s="24">
        <v>0</v>
      </c>
      <c r="G642" s="24">
        <v>0</v>
      </c>
      <c r="H642" s="24">
        <v>0</v>
      </c>
      <c r="I642" s="24">
        <v>0</v>
      </c>
      <c r="J642" s="24">
        <v>1530</v>
      </c>
      <c r="K642" s="24">
        <v>3</v>
      </c>
      <c r="L642" s="24">
        <v>0</v>
      </c>
      <c r="M642" s="24">
        <v>1</v>
      </c>
      <c r="N642" s="24">
        <v>0</v>
      </c>
      <c r="O642" s="24">
        <v>0</v>
      </c>
      <c r="P642" s="24">
        <v>0</v>
      </c>
      <c r="Q642" s="24">
        <v>0</v>
      </c>
      <c r="R642" s="24">
        <v>0</v>
      </c>
      <c r="S642" s="24">
        <v>32</v>
      </c>
      <c r="T642" s="24">
        <v>1</v>
      </c>
      <c r="U642" s="24">
        <v>0</v>
      </c>
      <c r="V642" s="24">
        <v>1</v>
      </c>
      <c r="W642" s="24">
        <v>2</v>
      </c>
      <c r="X642" s="24">
        <v>1</v>
      </c>
      <c r="Y642" s="24">
        <v>0</v>
      </c>
      <c r="Z642" s="24">
        <v>0</v>
      </c>
      <c r="AA642" s="24">
        <v>0</v>
      </c>
      <c r="AB642" s="24">
        <v>0</v>
      </c>
      <c r="AC642" s="24">
        <v>0</v>
      </c>
      <c r="AD642" s="24">
        <v>0</v>
      </c>
      <c r="AE642" s="24">
        <v>1</v>
      </c>
      <c r="AF642" s="24">
        <v>0</v>
      </c>
      <c r="AG642" s="24">
        <v>0</v>
      </c>
      <c r="AH642" s="24">
        <v>0</v>
      </c>
      <c r="AI642" s="24">
        <v>0</v>
      </c>
      <c r="AJ642" s="24">
        <v>1</v>
      </c>
      <c r="AK642" s="24">
        <v>1</v>
      </c>
      <c r="AL642" s="24">
        <v>0</v>
      </c>
      <c r="AM642" s="24">
        <v>0</v>
      </c>
      <c r="AN642" s="24">
        <v>0</v>
      </c>
      <c r="AO642" s="24">
        <v>0</v>
      </c>
      <c r="AP642" s="24">
        <v>0</v>
      </c>
      <c r="AQ642" s="24">
        <v>0</v>
      </c>
      <c r="AR642" s="24">
        <v>1</v>
      </c>
      <c r="AS642" s="24">
        <v>0</v>
      </c>
      <c r="AT642" s="24">
        <v>0</v>
      </c>
      <c r="AU642" s="24">
        <v>0</v>
      </c>
      <c r="AV642" s="24">
        <v>1</v>
      </c>
      <c r="AW642" s="24">
        <v>0</v>
      </c>
      <c r="AX642" s="24">
        <v>0</v>
      </c>
      <c r="AY642" s="24">
        <v>0</v>
      </c>
      <c r="AZ642" s="24">
        <v>0</v>
      </c>
      <c r="BA642" s="24">
        <v>1</v>
      </c>
      <c r="BB642" s="24">
        <v>0</v>
      </c>
    </row>
    <row r="643" spans="2:54" ht="13.8" x14ac:dyDescent="0.3">
      <c r="B643" s="24">
        <v>623</v>
      </c>
      <c r="C643" s="24">
        <v>48</v>
      </c>
      <c r="D643" s="24">
        <v>0</v>
      </c>
      <c r="E643" s="24">
        <v>0</v>
      </c>
      <c r="F643" s="24">
        <v>0</v>
      </c>
      <c r="G643" s="24">
        <v>0</v>
      </c>
      <c r="H643" s="24">
        <v>0</v>
      </c>
      <c r="I643" s="24">
        <v>1</v>
      </c>
      <c r="J643" s="24">
        <v>3914</v>
      </c>
      <c r="K643" s="24">
        <v>4</v>
      </c>
      <c r="L643" s="24">
        <v>1</v>
      </c>
      <c r="M643" s="24">
        <v>0</v>
      </c>
      <c r="N643" s="24">
        <v>0</v>
      </c>
      <c r="O643" s="24">
        <v>0</v>
      </c>
      <c r="P643" s="24">
        <v>0</v>
      </c>
      <c r="Q643" s="24">
        <v>1</v>
      </c>
      <c r="R643" s="24">
        <v>0</v>
      </c>
      <c r="S643" s="24">
        <v>38</v>
      </c>
      <c r="T643" s="24">
        <v>1</v>
      </c>
      <c r="U643" s="24">
        <v>0</v>
      </c>
      <c r="V643" s="24">
        <v>1</v>
      </c>
      <c r="W643" s="24">
        <v>1</v>
      </c>
      <c r="X643" s="24">
        <v>1</v>
      </c>
      <c r="Y643" s="24">
        <v>0</v>
      </c>
      <c r="Z643" s="24">
        <v>0</v>
      </c>
      <c r="AA643" s="24">
        <v>0</v>
      </c>
      <c r="AB643" s="24">
        <v>0</v>
      </c>
      <c r="AC643" s="24">
        <v>0</v>
      </c>
      <c r="AD643" s="24">
        <v>0</v>
      </c>
      <c r="AE643" s="24">
        <v>1</v>
      </c>
      <c r="AF643" s="24">
        <v>0</v>
      </c>
      <c r="AG643" s="24">
        <v>0</v>
      </c>
      <c r="AH643" s="24">
        <v>1</v>
      </c>
      <c r="AI643" s="24">
        <v>0</v>
      </c>
      <c r="AJ643" s="24">
        <v>0</v>
      </c>
      <c r="AK643" s="24">
        <v>0</v>
      </c>
      <c r="AL643" s="24">
        <v>0</v>
      </c>
      <c r="AM643" s="24">
        <v>0</v>
      </c>
      <c r="AN643" s="24">
        <v>0</v>
      </c>
      <c r="AO643" s="24">
        <v>1</v>
      </c>
      <c r="AP643" s="24">
        <v>0</v>
      </c>
      <c r="AQ643" s="24">
        <v>0</v>
      </c>
      <c r="AR643" s="24">
        <v>1</v>
      </c>
      <c r="AS643" s="24">
        <v>0</v>
      </c>
      <c r="AT643" s="24">
        <v>0</v>
      </c>
      <c r="AU643" s="24">
        <v>0</v>
      </c>
      <c r="AV643" s="24">
        <v>1</v>
      </c>
      <c r="AW643" s="24">
        <v>0</v>
      </c>
      <c r="AX643" s="24">
        <v>0</v>
      </c>
      <c r="AY643" s="24">
        <v>0</v>
      </c>
      <c r="AZ643" s="24">
        <v>0</v>
      </c>
      <c r="BA643" s="24">
        <v>1</v>
      </c>
      <c r="BB643" s="24">
        <v>0</v>
      </c>
    </row>
    <row r="644" spans="2:54" ht="13.8" x14ac:dyDescent="0.3">
      <c r="B644" s="24">
        <v>624</v>
      </c>
      <c r="C644" s="24">
        <v>12</v>
      </c>
      <c r="D644" s="24">
        <v>0</v>
      </c>
      <c r="E644" s="24">
        <v>0</v>
      </c>
      <c r="F644" s="24">
        <v>1</v>
      </c>
      <c r="G644" s="24">
        <v>0</v>
      </c>
      <c r="H644" s="24">
        <v>0</v>
      </c>
      <c r="I644" s="24">
        <v>0</v>
      </c>
      <c r="J644" s="24">
        <v>1858</v>
      </c>
      <c r="K644" s="24">
        <v>4</v>
      </c>
      <c r="L644" s="24">
        <v>0</v>
      </c>
      <c r="M644" s="24">
        <v>0</v>
      </c>
      <c r="N644" s="24">
        <v>0</v>
      </c>
      <c r="O644" s="24">
        <v>0</v>
      </c>
      <c r="P644" s="24">
        <v>0</v>
      </c>
      <c r="Q644" s="24">
        <v>0</v>
      </c>
      <c r="R644" s="24">
        <v>0</v>
      </c>
      <c r="S644" s="24">
        <v>22</v>
      </c>
      <c r="T644" s="24">
        <v>0</v>
      </c>
      <c r="U644" s="24">
        <v>1</v>
      </c>
      <c r="V644" s="24">
        <v>0</v>
      </c>
      <c r="W644" s="24">
        <v>1</v>
      </c>
      <c r="X644" s="24">
        <v>1</v>
      </c>
      <c r="Y644" s="24">
        <v>0</v>
      </c>
      <c r="Z644" s="24">
        <v>0</v>
      </c>
      <c r="AA644" s="24">
        <v>1</v>
      </c>
      <c r="AB644" s="24">
        <v>1</v>
      </c>
      <c r="AC644" s="24">
        <v>0</v>
      </c>
      <c r="AD644" s="24">
        <v>0</v>
      </c>
      <c r="AE644" s="24">
        <v>0</v>
      </c>
      <c r="AF644" s="24">
        <v>0</v>
      </c>
      <c r="AG644" s="24">
        <v>0</v>
      </c>
      <c r="AH644" s="24">
        <v>1</v>
      </c>
      <c r="AI644" s="24">
        <v>0</v>
      </c>
      <c r="AJ644" s="24">
        <v>0</v>
      </c>
      <c r="AK644" s="24">
        <v>1</v>
      </c>
      <c r="AL644" s="24">
        <v>0</v>
      </c>
      <c r="AM644" s="24">
        <v>0</v>
      </c>
      <c r="AN644" s="24">
        <v>0</v>
      </c>
      <c r="AO644" s="24">
        <v>0</v>
      </c>
      <c r="AP644" s="24">
        <v>0</v>
      </c>
      <c r="AQ644" s="24">
        <v>1</v>
      </c>
      <c r="AR644" s="24">
        <v>0</v>
      </c>
      <c r="AS644" s="24">
        <v>0</v>
      </c>
      <c r="AT644" s="24">
        <v>0</v>
      </c>
      <c r="AU644" s="24">
        <v>1</v>
      </c>
      <c r="AV644" s="24">
        <v>0</v>
      </c>
      <c r="AW644" s="24">
        <v>0</v>
      </c>
      <c r="AX644" s="24">
        <v>0</v>
      </c>
      <c r="AY644" s="24">
        <v>0</v>
      </c>
      <c r="AZ644" s="24">
        <v>0</v>
      </c>
      <c r="BA644" s="24">
        <v>1</v>
      </c>
      <c r="BB644" s="24">
        <v>0</v>
      </c>
    </row>
    <row r="645" spans="2:54" ht="13.8" x14ac:dyDescent="0.3">
      <c r="B645" s="24">
        <v>625</v>
      </c>
      <c r="C645" s="24">
        <v>18</v>
      </c>
      <c r="D645" s="24">
        <v>0</v>
      </c>
      <c r="E645" s="24">
        <v>0</v>
      </c>
      <c r="F645" s="24">
        <v>0</v>
      </c>
      <c r="G645" s="24">
        <v>1</v>
      </c>
      <c r="H645" s="24">
        <v>0</v>
      </c>
      <c r="I645" s="24">
        <v>0</v>
      </c>
      <c r="J645" s="24">
        <v>2600</v>
      </c>
      <c r="K645" s="24">
        <v>4</v>
      </c>
      <c r="L645" s="24">
        <v>0</v>
      </c>
      <c r="M645" s="24">
        <v>1</v>
      </c>
      <c r="N645" s="24">
        <v>0</v>
      </c>
      <c r="O645" s="24">
        <v>0</v>
      </c>
      <c r="P645" s="24">
        <v>0</v>
      </c>
      <c r="Q645" s="24">
        <v>0</v>
      </c>
      <c r="R645" s="24">
        <v>1</v>
      </c>
      <c r="S645" s="24">
        <v>65</v>
      </c>
      <c r="T645" s="24">
        <v>0</v>
      </c>
      <c r="U645" s="24">
        <v>0</v>
      </c>
      <c r="V645" s="24">
        <v>0</v>
      </c>
      <c r="W645" s="24">
        <v>2</v>
      </c>
      <c r="X645" s="24">
        <v>1</v>
      </c>
      <c r="Y645" s="24">
        <v>0</v>
      </c>
      <c r="Z645" s="24">
        <v>0</v>
      </c>
      <c r="AA645" s="24">
        <v>0</v>
      </c>
      <c r="AB645" s="24">
        <v>1</v>
      </c>
      <c r="AC645" s="24">
        <v>0</v>
      </c>
      <c r="AD645" s="24">
        <v>0</v>
      </c>
      <c r="AE645" s="24">
        <v>0</v>
      </c>
      <c r="AF645" s="24">
        <v>0</v>
      </c>
      <c r="AG645" s="24">
        <v>0</v>
      </c>
      <c r="AH645" s="24">
        <v>1</v>
      </c>
      <c r="AI645" s="24">
        <v>0</v>
      </c>
      <c r="AJ645" s="24">
        <v>0</v>
      </c>
      <c r="AK645" s="24">
        <v>1</v>
      </c>
      <c r="AL645" s="24">
        <v>0</v>
      </c>
      <c r="AM645" s="24">
        <v>0</v>
      </c>
      <c r="AN645" s="24">
        <v>0</v>
      </c>
      <c r="AO645" s="24">
        <v>0</v>
      </c>
      <c r="AP645" s="24">
        <v>0</v>
      </c>
      <c r="AQ645" s="24">
        <v>0</v>
      </c>
      <c r="AR645" s="24">
        <v>1</v>
      </c>
      <c r="AS645" s="24">
        <v>0</v>
      </c>
      <c r="AT645" s="24">
        <v>0</v>
      </c>
      <c r="AU645" s="24">
        <v>0</v>
      </c>
      <c r="AV645" s="24">
        <v>0</v>
      </c>
      <c r="AW645" s="24">
        <v>0</v>
      </c>
      <c r="AX645" s="24">
        <v>1</v>
      </c>
      <c r="AY645" s="24">
        <v>0</v>
      </c>
      <c r="AZ645" s="24">
        <v>0</v>
      </c>
      <c r="BA645" s="24">
        <v>1</v>
      </c>
      <c r="BB645" s="24">
        <v>0</v>
      </c>
    </row>
    <row r="646" spans="2:54" ht="13.8" x14ac:dyDescent="0.3">
      <c r="B646" s="24">
        <v>626</v>
      </c>
      <c r="C646" s="24">
        <v>15</v>
      </c>
      <c r="D646" s="24">
        <v>0</v>
      </c>
      <c r="E646" s="24">
        <v>0</v>
      </c>
      <c r="F646" s="24">
        <v>0</v>
      </c>
      <c r="G646" s="24">
        <v>1</v>
      </c>
      <c r="H646" s="24">
        <v>0</v>
      </c>
      <c r="I646" s="24">
        <v>0</v>
      </c>
      <c r="J646" s="24">
        <v>1979</v>
      </c>
      <c r="K646" s="24">
        <v>4</v>
      </c>
      <c r="L646" s="24">
        <v>0</v>
      </c>
      <c r="M646" s="24">
        <v>1</v>
      </c>
      <c r="N646" s="24">
        <v>0</v>
      </c>
      <c r="O646" s="24">
        <v>0</v>
      </c>
      <c r="P646" s="24">
        <v>0</v>
      </c>
      <c r="Q646" s="24">
        <v>0</v>
      </c>
      <c r="R646" s="24">
        <v>0</v>
      </c>
      <c r="S646" s="24">
        <v>35</v>
      </c>
      <c r="T646" s="24">
        <v>0</v>
      </c>
      <c r="U646" s="24">
        <v>0</v>
      </c>
      <c r="V646" s="24">
        <v>1</v>
      </c>
      <c r="W646" s="24">
        <v>1</v>
      </c>
      <c r="X646" s="24">
        <v>1</v>
      </c>
      <c r="Y646" s="24">
        <v>0</v>
      </c>
      <c r="Z646" s="24">
        <v>0</v>
      </c>
      <c r="AA646" s="24">
        <v>1</v>
      </c>
      <c r="AB646" s="24">
        <v>0</v>
      </c>
      <c r="AC646" s="24">
        <v>0</v>
      </c>
      <c r="AD646" s="24">
        <v>0</v>
      </c>
      <c r="AE646" s="24">
        <v>1</v>
      </c>
      <c r="AF646" s="24">
        <v>0</v>
      </c>
      <c r="AG646" s="24">
        <v>0</v>
      </c>
      <c r="AH646" s="24">
        <v>1</v>
      </c>
      <c r="AI646" s="24">
        <v>0</v>
      </c>
      <c r="AJ646" s="24">
        <v>0</v>
      </c>
      <c r="AK646" s="24">
        <v>0</v>
      </c>
      <c r="AL646" s="24">
        <v>0</v>
      </c>
      <c r="AM646" s="24">
        <v>0</v>
      </c>
      <c r="AN646" s="24">
        <v>0</v>
      </c>
      <c r="AO646" s="24">
        <v>1</v>
      </c>
      <c r="AP646" s="24">
        <v>0</v>
      </c>
      <c r="AQ646" s="24">
        <v>0</v>
      </c>
      <c r="AR646" s="24">
        <v>0</v>
      </c>
      <c r="AS646" s="24">
        <v>0</v>
      </c>
      <c r="AT646" s="24">
        <v>1</v>
      </c>
      <c r="AU646" s="24">
        <v>0</v>
      </c>
      <c r="AV646" s="24">
        <v>1</v>
      </c>
      <c r="AW646" s="24">
        <v>0</v>
      </c>
      <c r="AX646" s="24">
        <v>0</v>
      </c>
      <c r="AY646" s="24">
        <v>0</v>
      </c>
      <c r="AZ646" s="24">
        <v>0</v>
      </c>
      <c r="BA646" s="24">
        <v>1</v>
      </c>
      <c r="BB646" s="24">
        <v>0</v>
      </c>
    </row>
    <row r="647" spans="2:54" ht="13.8" x14ac:dyDescent="0.3">
      <c r="B647" s="24">
        <v>627</v>
      </c>
      <c r="C647" s="24">
        <v>6</v>
      </c>
      <c r="D647" s="24">
        <v>0</v>
      </c>
      <c r="E647" s="24">
        <v>0</v>
      </c>
      <c r="F647" s="24">
        <v>1</v>
      </c>
      <c r="G647" s="24">
        <v>0</v>
      </c>
      <c r="H647" s="24">
        <v>0</v>
      </c>
      <c r="I647" s="24">
        <v>0</v>
      </c>
      <c r="J647" s="24">
        <v>2116</v>
      </c>
      <c r="K647" s="24">
        <v>2</v>
      </c>
      <c r="L647" s="24">
        <v>0</v>
      </c>
      <c r="M647" s="24">
        <v>1</v>
      </c>
      <c r="N647" s="24">
        <v>0</v>
      </c>
      <c r="O647" s="24">
        <v>0</v>
      </c>
      <c r="P647" s="24">
        <v>0</v>
      </c>
      <c r="Q647" s="24">
        <v>1</v>
      </c>
      <c r="R647" s="24">
        <v>0</v>
      </c>
      <c r="S647" s="24">
        <v>41</v>
      </c>
      <c r="T647" s="24">
        <v>0</v>
      </c>
      <c r="U647" s="24">
        <v>0</v>
      </c>
      <c r="V647" s="24">
        <v>1</v>
      </c>
      <c r="W647" s="24">
        <v>1</v>
      </c>
      <c r="X647" s="24">
        <v>1</v>
      </c>
      <c r="Y647" s="24">
        <v>1</v>
      </c>
      <c r="Z647" s="24">
        <v>0</v>
      </c>
      <c r="AA647" s="24">
        <v>1</v>
      </c>
      <c r="AB647" s="24">
        <v>0</v>
      </c>
      <c r="AC647" s="24">
        <v>0</v>
      </c>
      <c r="AD647" s="24">
        <v>1</v>
      </c>
      <c r="AE647" s="24">
        <v>0</v>
      </c>
      <c r="AF647" s="24">
        <v>0</v>
      </c>
      <c r="AG647" s="24">
        <v>0</v>
      </c>
      <c r="AH647" s="24">
        <v>1</v>
      </c>
      <c r="AI647" s="24">
        <v>0</v>
      </c>
      <c r="AJ647" s="24">
        <v>0</v>
      </c>
      <c r="AK647" s="24">
        <v>1</v>
      </c>
      <c r="AL647" s="24">
        <v>0</v>
      </c>
      <c r="AM647" s="24">
        <v>0</v>
      </c>
      <c r="AN647" s="24">
        <v>0</v>
      </c>
      <c r="AO647" s="24">
        <v>0</v>
      </c>
      <c r="AP647" s="24">
        <v>0</v>
      </c>
      <c r="AQ647" s="24">
        <v>0</v>
      </c>
      <c r="AR647" s="24">
        <v>1</v>
      </c>
      <c r="AS647" s="24">
        <v>0</v>
      </c>
      <c r="AT647" s="24">
        <v>0</v>
      </c>
      <c r="AU647" s="24">
        <v>0</v>
      </c>
      <c r="AV647" s="24">
        <v>1</v>
      </c>
      <c r="AW647" s="24">
        <v>0</v>
      </c>
      <c r="AX647" s="24">
        <v>0</v>
      </c>
      <c r="AY647" s="24">
        <v>0</v>
      </c>
      <c r="AZ647" s="24">
        <v>0</v>
      </c>
      <c r="BA647" s="24">
        <v>1</v>
      </c>
      <c r="BB647" s="24">
        <v>0</v>
      </c>
    </row>
    <row r="648" spans="2:54" ht="13.8" x14ac:dyDescent="0.3">
      <c r="B648" s="24">
        <v>628</v>
      </c>
      <c r="C648" s="24">
        <v>9</v>
      </c>
      <c r="D648" s="24">
        <v>1</v>
      </c>
      <c r="E648" s="24">
        <v>0</v>
      </c>
      <c r="F648" s="24">
        <v>0</v>
      </c>
      <c r="G648" s="24">
        <v>0</v>
      </c>
      <c r="H648" s="24">
        <v>0</v>
      </c>
      <c r="I648" s="24">
        <v>0</v>
      </c>
      <c r="J648" s="24">
        <v>1437</v>
      </c>
      <c r="K648" s="24">
        <v>2</v>
      </c>
      <c r="L648" s="24">
        <v>0</v>
      </c>
      <c r="M648" s="24">
        <v>1</v>
      </c>
      <c r="N648" s="24">
        <v>0</v>
      </c>
      <c r="O648" s="24">
        <v>0</v>
      </c>
      <c r="P648" s="24">
        <v>0</v>
      </c>
      <c r="Q648" s="24">
        <v>0</v>
      </c>
      <c r="R648" s="24">
        <v>1</v>
      </c>
      <c r="S648" s="24">
        <v>29</v>
      </c>
      <c r="T648" s="24">
        <v>0</v>
      </c>
      <c r="U648" s="24">
        <v>0</v>
      </c>
      <c r="V648" s="24">
        <v>1</v>
      </c>
      <c r="W648" s="24">
        <v>1</v>
      </c>
      <c r="X648" s="24">
        <v>1</v>
      </c>
      <c r="Y648" s="24">
        <v>0</v>
      </c>
      <c r="Z648" s="24">
        <v>0</v>
      </c>
      <c r="AA648" s="24">
        <v>0</v>
      </c>
      <c r="AB648" s="24">
        <v>0</v>
      </c>
      <c r="AC648" s="24">
        <v>1</v>
      </c>
      <c r="AD648" s="24">
        <v>0</v>
      </c>
      <c r="AE648" s="24">
        <v>0</v>
      </c>
      <c r="AF648" s="24">
        <v>0</v>
      </c>
      <c r="AG648" s="24">
        <v>1</v>
      </c>
      <c r="AH648" s="24">
        <v>0</v>
      </c>
      <c r="AI648" s="24">
        <v>0</v>
      </c>
      <c r="AJ648" s="24">
        <v>0</v>
      </c>
      <c r="AK648" s="24">
        <v>0</v>
      </c>
      <c r="AL648" s="24">
        <v>1</v>
      </c>
      <c r="AM648" s="24">
        <v>0</v>
      </c>
      <c r="AN648" s="24">
        <v>0</v>
      </c>
      <c r="AO648" s="24">
        <v>0</v>
      </c>
      <c r="AP648" s="24">
        <v>0</v>
      </c>
      <c r="AQ648" s="24">
        <v>0</v>
      </c>
      <c r="AR648" s="24">
        <v>0</v>
      </c>
      <c r="AS648" s="24">
        <v>1</v>
      </c>
      <c r="AT648" s="24">
        <v>0</v>
      </c>
      <c r="AU648" s="24">
        <v>0</v>
      </c>
      <c r="AV648" s="24">
        <v>0</v>
      </c>
      <c r="AW648" s="24">
        <v>1</v>
      </c>
      <c r="AX648" s="24">
        <v>0</v>
      </c>
      <c r="AY648" s="24">
        <v>0</v>
      </c>
      <c r="AZ648" s="24">
        <v>0</v>
      </c>
      <c r="BA648" s="24">
        <v>1</v>
      </c>
      <c r="BB648" s="24">
        <v>0</v>
      </c>
    </row>
    <row r="649" spans="2:54" ht="13.8" x14ac:dyDescent="0.3">
      <c r="B649" s="24">
        <v>629</v>
      </c>
      <c r="C649" s="24">
        <v>42</v>
      </c>
      <c r="D649" s="24">
        <v>0</v>
      </c>
      <c r="E649" s="24">
        <v>0</v>
      </c>
      <c r="F649" s="24">
        <v>1</v>
      </c>
      <c r="G649" s="24">
        <v>0</v>
      </c>
      <c r="H649" s="24">
        <v>0</v>
      </c>
      <c r="I649" s="24">
        <v>0</v>
      </c>
      <c r="J649" s="24">
        <v>4042</v>
      </c>
      <c r="K649" s="24">
        <v>4</v>
      </c>
      <c r="L649" s="24">
        <v>0</v>
      </c>
      <c r="M649" s="24">
        <v>1</v>
      </c>
      <c r="N649" s="24">
        <v>0</v>
      </c>
      <c r="O649" s="24">
        <v>0</v>
      </c>
      <c r="P649" s="24">
        <v>0</v>
      </c>
      <c r="Q649" s="24">
        <v>1</v>
      </c>
      <c r="R649" s="24">
        <v>0</v>
      </c>
      <c r="S649" s="24">
        <v>36</v>
      </c>
      <c r="T649" s="24">
        <v>0</v>
      </c>
      <c r="U649" s="24">
        <v>0</v>
      </c>
      <c r="V649" s="24">
        <v>1</v>
      </c>
      <c r="W649" s="24">
        <v>2</v>
      </c>
      <c r="X649" s="24">
        <v>1</v>
      </c>
      <c r="Y649" s="24">
        <v>1</v>
      </c>
      <c r="Z649" s="24">
        <v>0</v>
      </c>
      <c r="AA649" s="24">
        <v>1</v>
      </c>
      <c r="AB649" s="24">
        <v>0</v>
      </c>
      <c r="AC649" s="24">
        <v>0</v>
      </c>
      <c r="AD649" s="24">
        <v>0</v>
      </c>
      <c r="AE649" s="24">
        <v>1</v>
      </c>
      <c r="AF649" s="24">
        <v>0</v>
      </c>
      <c r="AG649" s="24">
        <v>0</v>
      </c>
      <c r="AH649" s="24">
        <v>0</v>
      </c>
      <c r="AI649" s="24">
        <v>0</v>
      </c>
      <c r="AJ649" s="24">
        <v>1</v>
      </c>
      <c r="AK649" s="24">
        <v>0</v>
      </c>
      <c r="AL649" s="24">
        <v>0</v>
      </c>
      <c r="AM649" s="24">
        <v>1</v>
      </c>
      <c r="AN649" s="24">
        <v>0</v>
      </c>
      <c r="AO649" s="24">
        <v>0</v>
      </c>
      <c r="AP649" s="24">
        <v>0</v>
      </c>
      <c r="AQ649" s="24">
        <v>0</v>
      </c>
      <c r="AR649" s="24">
        <v>1</v>
      </c>
      <c r="AS649" s="24">
        <v>0</v>
      </c>
      <c r="AT649" s="24">
        <v>0</v>
      </c>
      <c r="AU649" s="24">
        <v>0</v>
      </c>
      <c r="AV649" s="24">
        <v>0</v>
      </c>
      <c r="AW649" s="24">
        <v>0</v>
      </c>
      <c r="AX649" s="24">
        <v>1</v>
      </c>
      <c r="AY649" s="24">
        <v>0</v>
      </c>
      <c r="AZ649" s="24">
        <v>0</v>
      </c>
      <c r="BA649" s="24">
        <v>1</v>
      </c>
      <c r="BB649" s="24">
        <v>0</v>
      </c>
    </row>
    <row r="650" spans="2:54" ht="13.8" x14ac:dyDescent="0.3">
      <c r="B650" s="24">
        <v>630</v>
      </c>
      <c r="C650" s="24">
        <v>9</v>
      </c>
      <c r="D650" s="24">
        <v>0</v>
      </c>
      <c r="E650" s="24">
        <v>0</v>
      </c>
      <c r="F650" s="24">
        <v>0</v>
      </c>
      <c r="G650" s="24">
        <v>0</v>
      </c>
      <c r="H650" s="24">
        <v>1</v>
      </c>
      <c r="I650" s="24">
        <v>0</v>
      </c>
      <c r="J650" s="24">
        <v>3832</v>
      </c>
      <c r="K650" s="24">
        <v>1</v>
      </c>
      <c r="L650" s="24">
        <v>0</v>
      </c>
      <c r="M650" s="24">
        <v>1</v>
      </c>
      <c r="N650" s="24">
        <v>0</v>
      </c>
      <c r="O650" s="24">
        <v>0</v>
      </c>
      <c r="P650" s="24">
        <v>0</v>
      </c>
      <c r="Q650" s="24">
        <v>1</v>
      </c>
      <c r="R650" s="24">
        <v>0</v>
      </c>
      <c r="S650" s="24">
        <v>64</v>
      </c>
      <c r="T650" s="24">
        <v>0</v>
      </c>
      <c r="U650" s="24">
        <v>0</v>
      </c>
      <c r="V650" s="24">
        <v>1</v>
      </c>
      <c r="W650" s="24">
        <v>1</v>
      </c>
      <c r="X650" s="24">
        <v>1</v>
      </c>
      <c r="Y650" s="24">
        <v>0</v>
      </c>
      <c r="Z650" s="24">
        <v>0</v>
      </c>
      <c r="AA650" s="24">
        <v>1</v>
      </c>
      <c r="AB650" s="24">
        <v>0</v>
      </c>
      <c r="AC650" s="24">
        <v>0</v>
      </c>
      <c r="AD650" s="24">
        <v>0</v>
      </c>
      <c r="AE650" s="24">
        <v>1</v>
      </c>
      <c r="AF650" s="24">
        <v>0</v>
      </c>
      <c r="AG650" s="24">
        <v>0</v>
      </c>
      <c r="AH650" s="24">
        <v>1</v>
      </c>
      <c r="AI650" s="24">
        <v>0</v>
      </c>
      <c r="AJ650" s="24">
        <v>0</v>
      </c>
      <c r="AK650" s="24">
        <v>0</v>
      </c>
      <c r="AL650" s="24">
        <v>0</v>
      </c>
      <c r="AM650" s="24">
        <v>0</v>
      </c>
      <c r="AN650" s="24">
        <v>0</v>
      </c>
      <c r="AO650" s="24">
        <v>1</v>
      </c>
      <c r="AP650" s="24">
        <v>0</v>
      </c>
      <c r="AQ650" s="24">
        <v>0</v>
      </c>
      <c r="AR650" s="24">
        <v>0</v>
      </c>
      <c r="AS650" s="24">
        <v>0</v>
      </c>
      <c r="AT650" s="24">
        <v>1</v>
      </c>
      <c r="AU650" s="24">
        <v>0</v>
      </c>
      <c r="AV650" s="24">
        <v>0</v>
      </c>
      <c r="AW650" s="24">
        <v>0</v>
      </c>
      <c r="AX650" s="24">
        <v>1</v>
      </c>
      <c r="AY650" s="24">
        <v>0</v>
      </c>
      <c r="AZ650" s="24">
        <v>1</v>
      </c>
      <c r="BA650" s="24">
        <v>0</v>
      </c>
      <c r="BB650" s="24">
        <v>0</v>
      </c>
    </row>
    <row r="651" spans="2:54" ht="13.8" x14ac:dyDescent="0.3">
      <c r="B651" s="24">
        <v>631</v>
      </c>
      <c r="C651" s="24">
        <v>24</v>
      </c>
      <c r="D651" s="24">
        <v>0</v>
      </c>
      <c r="E651" s="24">
        <v>0</v>
      </c>
      <c r="F651" s="24">
        <v>0</v>
      </c>
      <c r="G651" s="24">
        <v>1</v>
      </c>
      <c r="H651" s="24">
        <v>0</v>
      </c>
      <c r="I651" s="24">
        <v>0</v>
      </c>
      <c r="J651" s="24">
        <v>3660</v>
      </c>
      <c r="K651" s="24">
        <v>2</v>
      </c>
      <c r="L651" s="24">
        <v>0</v>
      </c>
      <c r="M651" s="24">
        <v>0</v>
      </c>
      <c r="N651" s="24">
        <v>0</v>
      </c>
      <c r="O651" s="24">
        <v>0</v>
      </c>
      <c r="P651" s="24">
        <v>0</v>
      </c>
      <c r="Q651" s="24">
        <v>0</v>
      </c>
      <c r="R651" s="24">
        <v>0</v>
      </c>
      <c r="S651" s="24">
        <v>28</v>
      </c>
      <c r="T651" s="24">
        <v>0</v>
      </c>
      <c r="U651" s="24">
        <v>0</v>
      </c>
      <c r="V651" s="24">
        <v>1</v>
      </c>
      <c r="W651" s="24">
        <v>1</v>
      </c>
      <c r="X651" s="24">
        <v>1</v>
      </c>
      <c r="Y651" s="24">
        <v>0</v>
      </c>
      <c r="Z651" s="24">
        <v>0</v>
      </c>
      <c r="AA651" s="24">
        <v>1</v>
      </c>
      <c r="AB651" s="24">
        <v>1</v>
      </c>
      <c r="AC651" s="24">
        <v>0</v>
      </c>
      <c r="AD651" s="24">
        <v>0</v>
      </c>
      <c r="AE651" s="24">
        <v>0</v>
      </c>
      <c r="AF651" s="24">
        <v>0</v>
      </c>
      <c r="AG651" s="24">
        <v>0</v>
      </c>
      <c r="AH651" s="24">
        <v>1</v>
      </c>
      <c r="AI651" s="24">
        <v>0</v>
      </c>
      <c r="AJ651" s="24">
        <v>0</v>
      </c>
      <c r="AK651" s="24">
        <v>1</v>
      </c>
      <c r="AL651" s="24">
        <v>0</v>
      </c>
      <c r="AM651" s="24">
        <v>0</v>
      </c>
      <c r="AN651" s="24">
        <v>0</v>
      </c>
      <c r="AO651" s="24">
        <v>0</v>
      </c>
      <c r="AP651" s="24">
        <v>0</v>
      </c>
      <c r="AQ651" s="24">
        <v>0</v>
      </c>
      <c r="AR651" s="24">
        <v>1</v>
      </c>
      <c r="AS651" s="24">
        <v>0</v>
      </c>
      <c r="AT651" s="24">
        <v>0</v>
      </c>
      <c r="AU651" s="24">
        <v>0</v>
      </c>
      <c r="AV651" s="24">
        <v>0</v>
      </c>
      <c r="AW651" s="24">
        <v>0</v>
      </c>
      <c r="AX651" s="24">
        <v>1</v>
      </c>
      <c r="AY651" s="24">
        <v>0</v>
      </c>
      <c r="AZ651" s="24">
        <v>0</v>
      </c>
      <c r="BA651" s="24">
        <v>1</v>
      </c>
      <c r="BB651" s="24">
        <v>0</v>
      </c>
    </row>
    <row r="652" spans="2:54" ht="13.8" x14ac:dyDescent="0.3">
      <c r="B652" s="24">
        <v>632</v>
      </c>
      <c r="C652" s="24">
        <v>18</v>
      </c>
      <c r="D652" s="24">
        <v>0</v>
      </c>
      <c r="E652" s="24">
        <v>0</v>
      </c>
      <c r="F652" s="24">
        <v>1</v>
      </c>
      <c r="G652" s="24">
        <v>0</v>
      </c>
      <c r="H652" s="24">
        <v>0</v>
      </c>
      <c r="I652" s="24">
        <v>0</v>
      </c>
      <c r="J652" s="24">
        <v>1553</v>
      </c>
      <c r="K652" s="24">
        <v>4</v>
      </c>
      <c r="L652" s="24">
        <v>0</v>
      </c>
      <c r="M652" s="24">
        <v>1</v>
      </c>
      <c r="N652" s="24">
        <v>0</v>
      </c>
      <c r="O652" s="24">
        <v>0</v>
      </c>
      <c r="P652" s="24">
        <v>0</v>
      </c>
      <c r="Q652" s="24">
        <v>0</v>
      </c>
      <c r="R652" s="24">
        <v>0</v>
      </c>
      <c r="S652" s="24">
        <v>44</v>
      </c>
      <c r="T652" s="24">
        <v>1</v>
      </c>
      <c r="U652" s="24">
        <v>0</v>
      </c>
      <c r="V652" s="24">
        <v>1</v>
      </c>
      <c r="W652" s="24">
        <v>1</v>
      </c>
      <c r="X652" s="24">
        <v>1</v>
      </c>
      <c r="Y652" s="24">
        <v>0</v>
      </c>
      <c r="Z652" s="24">
        <v>0</v>
      </c>
      <c r="AA652" s="24">
        <v>0</v>
      </c>
      <c r="AB652" s="24">
        <v>1</v>
      </c>
      <c r="AC652" s="24">
        <v>0</v>
      </c>
      <c r="AD652" s="24">
        <v>0</v>
      </c>
      <c r="AE652" s="24">
        <v>0</v>
      </c>
      <c r="AF652" s="24">
        <v>0</v>
      </c>
      <c r="AG652" s="24">
        <v>1</v>
      </c>
      <c r="AH652" s="24">
        <v>0</v>
      </c>
      <c r="AI652" s="24">
        <v>0</v>
      </c>
      <c r="AJ652" s="24">
        <v>0</v>
      </c>
      <c r="AK652" s="24">
        <v>1</v>
      </c>
      <c r="AL652" s="24">
        <v>0</v>
      </c>
      <c r="AM652" s="24">
        <v>0</v>
      </c>
      <c r="AN652" s="24">
        <v>0</v>
      </c>
      <c r="AO652" s="24">
        <v>0</v>
      </c>
      <c r="AP652" s="24">
        <v>0</v>
      </c>
      <c r="AQ652" s="24">
        <v>0</v>
      </c>
      <c r="AR652" s="24">
        <v>1</v>
      </c>
      <c r="AS652" s="24">
        <v>0</v>
      </c>
      <c r="AT652" s="24">
        <v>0</v>
      </c>
      <c r="AU652" s="24">
        <v>0</v>
      </c>
      <c r="AV652" s="24">
        <v>0</v>
      </c>
      <c r="AW652" s="24">
        <v>1</v>
      </c>
      <c r="AX652" s="24">
        <v>0</v>
      </c>
      <c r="AY652" s="24">
        <v>0</v>
      </c>
      <c r="AZ652" s="24">
        <v>0</v>
      </c>
      <c r="BA652" s="24">
        <v>1</v>
      </c>
      <c r="BB652" s="24">
        <v>0</v>
      </c>
    </row>
    <row r="653" spans="2:54" ht="13.8" x14ac:dyDescent="0.3">
      <c r="B653" s="24">
        <v>633</v>
      </c>
      <c r="C653" s="24">
        <v>15</v>
      </c>
      <c r="D653" s="24">
        <v>0</v>
      </c>
      <c r="E653" s="24">
        <v>0</v>
      </c>
      <c r="F653" s="24">
        <v>0</v>
      </c>
      <c r="G653" s="24">
        <v>1</v>
      </c>
      <c r="H653" s="24">
        <v>0</v>
      </c>
      <c r="I653" s="24">
        <v>0</v>
      </c>
      <c r="J653" s="24">
        <v>1444</v>
      </c>
      <c r="K653" s="24">
        <v>4</v>
      </c>
      <c r="L653" s="24">
        <v>0</v>
      </c>
      <c r="M653" s="24">
        <v>1</v>
      </c>
      <c r="N653" s="24">
        <v>0</v>
      </c>
      <c r="O653" s="24">
        <v>0</v>
      </c>
      <c r="P653" s="24">
        <v>0</v>
      </c>
      <c r="Q653" s="24">
        <v>0</v>
      </c>
      <c r="R653" s="24">
        <v>0</v>
      </c>
      <c r="S653" s="24">
        <v>23</v>
      </c>
      <c r="T653" s="24">
        <v>0</v>
      </c>
      <c r="U653" s="24">
        <v>0</v>
      </c>
      <c r="V653" s="24">
        <v>1</v>
      </c>
      <c r="W653" s="24">
        <v>1</v>
      </c>
      <c r="X653" s="24">
        <v>1</v>
      </c>
      <c r="Y653" s="24">
        <v>0</v>
      </c>
      <c r="Z653" s="24">
        <v>0</v>
      </c>
      <c r="AA653" s="24">
        <v>1</v>
      </c>
      <c r="AB653" s="24">
        <v>0</v>
      </c>
      <c r="AC653" s="24">
        <v>1</v>
      </c>
      <c r="AD653" s="24">
        <v>0</v>
      </c>
      <c r="AE653" s="24">
        <v>0</v>
      </c>
      <c r="AF653" s="24">
        <v>0</v>
      </c>
      <c r="AG653" s="24">
        <v>0</v>
      </c>
      <c r="AH653" s="24">
        <v>1</v>
      </c>
      <c r="AI653" s="24">
        <v>0</v>
      </c>
      <c r="AJ653" s="24">
        <v>0</v>
      </c>
      <c r="AK653" s="24">
        <v>0</v>
      </c>
      <c r="AL653" s="24">
        <v>0</v>
      </c>
      <c r="AM653" s="24">
        <v>0</v>
      </c>
      <c r="AN653" s="24">
        <v>0</v>
      </c>
      <c r="AO653" s="24">
        <v>1</v>
      </c>
      <c r="AP653" s="24">
        <v>0</v>
      </c>
      <c r="AQ653" s="24">
        <v>1</v>
      </c>
      <c r="AR653" s="24">
        <v>0</v>
      </c>
      <c r="AS653" s="24">
        <v>0</v>
      </c>
      <c r="AT653" s="24">
        <v>0</v>
      </c>
      <c r="AU653" s="24">
        <v>1</v>
      </c>
      <c r="AV653" s="24">
        <v>0</v>
      </c>
      <c r="AW653" s="24">
        <v>0</v>
      </c>
      <c r="AX653" s="24">
        <v>0</v>
      </c>
      <c r="AY653" s="24">
        <v>0</v>
      </c>
      <c r="AZ653" s="24">
        <v>0</v>
      </c>
      <c r="BA653" s="24">
        <v>1</v>
      </c>
      <c r="BB653" s="24">
        <v>0</v>
      </c>
    </row>
    <row r="654" spans="2:54" ht="13.8" x14ac:dyDescent="0.3">
      <c r="B654" s="24">
        <v>634</v>
      </c>
      <c r="C654" s="24">
        <v>9</v>
      </c>
      <c r="D654" s="24">
        <v>0</v>
      </c>
      <c r="E654" s="24">
        <v>0</v>
      </c>
      <c r="F654" s="24">
        <v>1</v>
      </c>
      <c r="G654" s="24">
        <v>0</v>
      </c>
      <c r="H654" s="24">
        <v>0</v>
      </c>
      <c r="I654" s="24">
        <v>0</v>
      </c>
      <c r="J654" s="24">
        <v>1980</v>
      </c>
      <c r="K654" s="24">
        <v>2</v>
      </c>
      <c r="L654" s="24">
        <v>0</v>
      </c>
      <c r="M654" s="24">
        <v>0</v>
      </c>
      <c r="N654" s="24">
        <v>0</v>
      </c>
      <c r="O654" s="24">
        <v>1</v>
      </c>
      <c r="P654" s="24">
        <v>0</v>
      </c>
      <c r="Q654" s="24">
        <v>0</v>
      </c>
      <c r="R654" s="24">
        <v>0</v>
      </c>
      <c r="S654" s="24">
        <v>19</v>
      </c>
      <c r="T654" s="24">
        <v>0</v>
      </c>
      <c r="U654" s="24">
        <v>1</v>
      </c>
      <c r="V654" s="24">
        <v>0</v>
      </c>
      <c r="W654" s="24">
        <v>2</v>
      </c>
      <c r="X654" s="24">
        <v>1</v>
      </c>
      <c r="Y654" s="24">
        <v>0</v>
      </c>
      <c r="Z654" s="24">
        <v>0</v>
      </c>
      <c r="AA654" s="24">
        <v>0</v>
      </c>
      <c r="AB654" s="24">
        <v>0</v>
      </c>
      <c r="AC654" s="24">
        <v>0</v>
      </c>
      <c r="AD654" s="24">
        <v>0</v>
      </c>
      <c r="AE654" s="24">
        <v>1</v>
      </c>
      <c r="AF654" s="24">
        <v>0</v>
      </c>
      <c r="AG654" s="24">
        <v>0</v>
      </c>
      <c r="AH654" s="24">
        <v>1</v>
      </c>
      <c r="AI654" s="24">
        <v>0</v>
      </c>
      <c r="AJ654" s="24">
        <v>0</v>
      </c>
      <c r="AK654" s="24">
        <v>1</v>
      </c>
      <c r="AL654" s="24">
        <v>0</v>
      </c>
      <c r="AM654" s="24">
        <v>0</v>
      </c>
      <c r="AN654" s="24">
        <v>0</v>
      </c>
      <c r="AO654" s="24">
        <v>0</v>
      </c>
      <c r="AP654" s="24">
        <v>0</v>
      </c>
      <c r="AQ654" s="24">
        <v>1</v>
      </c>
      <c r="AR654" s="24">
        <v>0</v>
      </c>
      <c r="AS654" s="24">
        <v>0</v>
      </c>
      <c r="AT654" s="24">
        <v>0</v>
      </c>
      <c r="AU654" s="24">
        <v>0</v>
      </c>
      <c r="AV654" s="24">
        <v>1</v>
      </c>
      <c r="AW654" s="24">
        <v>0</v>
      </c>
      <c r="AX654" s="24">
        <v>0</v>
      </c>
      <c r="AY654" s="24">
        <v>0</v>
      </c>
      <c r="AZ654" s="24">
        <v>0</v>
      </c>
      <c r="BA654" s="24">
        <v>1</v>
      </c>
      <c r="BB654" s="24">
        <v>0</v>
      </c>
    </row>
    <row r="655" spans="2:54" ht="13.8" x14ac:dyDescent="0.3">
      <c r="B655" s="24">
        <v>635</v>
      </c>
      <c r="C655" s="24">
        <v>24</v>
      </c>
      <c r="D655" s="24">
        <v>1</v>
      </c>
      <c r="E655" s="24">
        <v>0</v>
      </c>
      <c r="F655" s="24">
        <v>0</v>
      </c>
      <c r="G655" s="24">
        <v>0</v>
      </c>
      <c r="H655" s="24">
        <v>0</v>
      </c>
      <c r="I655" s="24">
        <v>0</v>
      </c>
      <c r="J655" s="24">
        <v>1355</v>
      </c>
      <c r="K655" s="24">
        <v>3</v>
      </c>
      <c r="L655" s="24">
        <v>0</v>
      </c>
      <c r="M655" s="24">
        <v>0</v>
      </c>
      <c r="N655" s="24">
        <v>0</v>
      </c>
      <c r="O655" s="24">
        <v>0</v>
      </c>
      <c r="P655" s="24">
        <v>0</v>
      </c>
      <c r="Q655" s="24">
        <v>0</v>
      </c>
      <c r="R655" s="24">
        <v>0</v>
      </c>
      <c r="S655" s="24">
        <v>25</v>
      </c>
      <c r="T655" s="24">
        <v>0</v>
      </c>
      <c r="U655" s="24">
        <v>0</v>
      </c>
      <c r="V655" s="24">
        <v>1</v>
      </c>
      <c r="W655" s="24">
        <v>1</v>
      </c>
      <c r="X655" s="24">
        <v>1</v>
      </c>
      <c r="Y655" s="24">
        <v>1</v>
      </c>
      <c r="Z655" s="24">
        <v>0</v>
      </c>
      <c r="AA655" s="24">
        <v>0</v>
      </c>
      <c r="AB655" s="24">
        <v>0</v>
      </c>
      <c r="AC655" s="24">
        <v>1</v>
      </c>
      <c r="AD655" s="24">
        <v>0</v>
      </c>
      <c r="AE655" s="24">
        <v>0</v>
      </c>
      <c r="AF655" s="24">
        <v>0</v>
      </c>
      <c r="AG655" s="24">
        <v>0</v>
      </c>
      <c r="AH655" s="24">
        <v>1</v>
      </c>
      <c r="AI655" s="24">
        <v>0</v>
      </c>
      <c r="AJ655" s="24">
        <v>0</v>
      </c>
      <c r="AK655" s="24">
        <v>1</v>
      </c>
      <c r="AL655" s="24">
        <v>0</v>
      </c>
      <c r="AM655" s="24">
        <v>0</v>
      </c>
      <c r="AN655" s="24">
        <v>0</v>
      </c>
      <c r="AO655" s="24">
        <v>0</v>
      </c>
      <c r="AP655" s="24">
        <v>0</v>
      </c>
      <c r="AQ655" s="24">
        <v>1</v>
      </c>
      <c r="AR655" s="24">
        <v>0</v>
      </c>
      <c r="AS655" s="24">
        <v>0</v>
      </c>
      <c r="AT655" s="24">
        <v>0</v>
      </c>
      <c r="AU655" s="24">
        <v>0</v>
      </c>
      <c r="AV655" s="24">
        <v>0</v>
      </c>
      <c r="AW655" s="24">
        <v>0</v>
      </c>
      <c r="AX655" s="24">
        <v>1</v>
      </c>
      <c r="AY655" s="24">
        <v>0</v>
      </c>
      <c r="AZ655" s="24">
        <v>1</v>
      </c>
      <c r="BA655" s="24">
        <v>0</v>
      </c>
      <c r="BB655" s="24">
        <v>0</v>
      </c>
    </row>
    <row r="656" spans="2:54" ht="13.8" x14ac:dyDescent="0.3">
      <c r="B656" s="24">
        <v>636</v>
      </c>
      <c r="C656" s="24">
        <v>12</v>
      </c>
      <c r="D656" s="24">
        <v>0</v>
      </c>
      <c r="E656" s="24">
        <v>0</v>
      </c>
      <c r="F656" s="24">
        <v>0</v>
      </c>
      <c r="G656" s="24">
        <v>0</v>
      </c>
      <c r="H656" s="24">
        <v>1</v>
      </c>
      <c r="I656" s="24">
        <v>0</v>
      </c>
      <c r="J656" s="24">
        <v>1393</v>
      </c>
      <c r="K656" s="24">
        <v>4</v>
      </c>
      <c r="L656" s="24">
        <v>0</v>
      </c>
      <c r="M656" s="24">
        <v>1</v>
      </c>
      <c r="N656" s="24">
        <v>0</v>
      </c>
      <c r="O656" s="24">
        <v>0</v>
      </c>
      <c r="P656" s="24">
        <v>0</v>
      </c>
      <c r="Q656" s="24">
        <v>0</v>
      </c>
      <c r="R656" s="24">
        <v>0</v>
      </c>
      <c r="S656" s="24">
        <v>47</v>
      </c>
      <c r="T656" s="24">
        <v>1</v>
      </c>
      <c r="U656" s="24">
        <v>0</v>
      </c>
      <c r="V656" s="24">
        <v>1</v>
      </c>
      <c r="W656" s="24">
        <v>3</v>
      </c>
      <c r="X656" s="24">
        <v>2</v>
      </c>
      <c r="Y656" s="24">
        <v>1</v>
      </c>
      <c r="Z656" s="24">
        <v>0</v>
      </c>
      <c r="AA656" s="24">
        <v>1</v>
      </c>
      <c r="AB656" s="24">
        <v>0</v>
      </c>
      <c r="AC656" s="24">
        <v>0</v>
      </c>
      <c r="AD656" s="24">
        <v>0</v>
      </c>
      <c r="AE656" s="24">
        <v>1</v>
      </c>
      <c r="AF656" s="24">
        <v>0</v>
      </c>
      <c r="AG656" s="24">
        <v>0</v>
      </c>
      <c r="AH656" s="24">
        <v>1</v>
      </c>
      <c r="AI656" s="24">
        <v>0</v>
      </c>
      <c r="AJ656" s="24">
        <v>0</v>
      </c>
      <c r="AK656" s="24">
        <v>1</v>
      </c>
      <c r="AL656" s="24">
        <v>0</v>
      </c>
      <c r="AM656" s="24">
        <v>0</v>
      </c>
      <c r="AN656" s="24">
        <v>0</v>
      </c>
      <c r="AO656" s="24">
        <v>0</v>
      </c>
      <c r="AP656" s="24">
        <v>0</v>
      </c>
      <c r="AQ656" s="24">
        <v>0</v>
      </c>
      <c r="AR656" s="24">
        <v>0</v>
      </c>
      <c r="AS656" s="24">
        <v>0</v>
      </c>
      <c r="AT656" s="24">
        <v>1</v>
      </c>
      <c r="AU656" s="24">
        <v>0</v>
      </c>
      <c r="AV656" s="24">
        <v>0</v>
      </c>
      <c r="AW656" s="24">
        <v>0</v>
      </c>
      <c r="AX656" s="24">
        <v>1</v>
      </c>
      <c r="AY656" s="24">
        <v>0</v>
      </c>
      <c r="AZ656" s="24">
        <v>0</v>
      </c>
      <c r="BA656" s="24">
        <v>1</v>
      </c>
      <c r="BB656" s="24">
        <v>0</v>
      </c>
    </row>
    <row r="657" spans="2:54" ht="13.8" x14ac:dyDescent="0.3">
      <c r="B657" s="24">
        <v>637</v>
      </c>
      <c r="C657" s="24">
        <v>24</v>
      </c>
      <c r="D657" s="24">
        <v>0</v>
      </c>
      <c r="E657" s="24">
        <v>0</v>
      </c>
      <c r="F657" s="24">
        <v>0</v>
      </c>
      <c r="G657" s="24">
        <v>1</v>
      </c>
      <c r="H657" s="24">
        <v>0</v>
      </c>
      <c r="I657" s="24">
        <v>0</v>
      </c>
      <c r="J657" s="24">
        <v>1376</v>
      </c>
      <c r="K657" s="24">
        <v>4</v>
      </c>
      <c r="L657" s="24">
        <v>0</v>
      </c>
      <c r="M657" s="24">
        <v>0</v>
      </c>
      <c r="N657" s="24">
        <v>0</v>
      </c>
      <c r="O657" s="24">
        <v>0</v>
      </c>
      <c r="P657" s="24">
        <v>0</v>
      </c>
      <c r="Q657" s="24">
        <v>0</v>
      </c>
      <c r="R657" s="24">
        <v>0</v>
      </c>
      <c r="S657" s="24">
        <v>28</v>
      </c>
      <c r="T657" s="24">
        <v>0</v>
      </c>
      <c r="U657" s="24">
        <v>0</v>
      </c>
      <c r="V657" s="24">
        <v>1</v>
      </c>
      <c r="W657" s="24">
        <v>1</v>
      </c>
      <c r="X657" s="24">
        <v>1</v>
      </c>
      <c r="Y657" s="24">
        <v>0</v>
      </c>
      <c r="Z657" s="24">
        <v>0</v>
      </c>
      <c r="AA657" s="24">
        <v>1</v>
      </c>
      <c r="AB657" s="24">
        <v>0</v>
      </c>
      <c r="AC657" s="24">
        <v>0</v>
      </c>
      <c r="AD657" s="24">
        <v>0</v>
      </c>
      <c r="AE657" s="24">
        <v>1</v>
      </c>
      <c r="AF657" s="24">
        <v>0</v>
      </c>
      <c r="AG657" s="24">
        <v>0</v>
      </c>
      <c r="AH657" s="24">
        <v>1</v>
      </c>
      <c r="AI657" s="24">
        <v>0</v>
      </c>
      <c r="AJ657" s="24">
        <v>0</v>
      </c>
      <c r="AK657" s="24">
        <v>0</v>
      </c>
      <c r="AL657" s="24">
        <v>0</v>
      </c>
      <c r="AM657" s="24">
        <v>1</v>
      </c>
      <c r="AN657" s="24">
        <v>0</v>
      </c>
      <c r="AO657" s="24">
        <v>0</v>
      </c>
      <c r="AP657" s="24">
        <v>0</v>
      </c>
      <c r="AQ657" s="24">
        <v>0</v>
      </c>
      <c r="AR657" s="24">
        <v>0</v>
      </c>
      <c r="AS657" s="24">
        <v>1</v>
      </c>
      <c r="AT657" s="24">
        <v>0</v>
      </c>
      <c r="AU657" s="24">
        <v>1</v>
      </c>
      <c r="AV657" s="24">
        <v>0</v>
      </c>
      <c r="AW657" s="24">
        <v>0</v>
      </c>
      <c r="AX657" s="24">
        <v>0</v>
      </c>
      <c r="AY657" s="24">
        <v>0</v>
      </c>
      <c r="AZ657" s="24">
        <v>0</v>
      </c>
      <c r="BA657" s="24">
        <v>1</v>
      </c>
      <c r="BB657" s="24">
        <v>0</v>
      </c>
    </row>
    <row r="658" spans="2:54" ht="13.8" x14ac:dyDescent="0.3">
      <c r="B658" s="24">
        <v>638</v>
      </c>
      <c r="C658" s="24">
        <v>60</v>
      </c>
      <c r="D658" s="24">
        <v>0</v>
      </c>
      <c r="E658" s="24">
        <v>0</v>
      </c>
      <c r="F658" s="24">
        <v>0</v>
      </c>
      <c r="G658" s="24">
        <v>1</v>
      </c>
      <c r="H658" s="24">
        <v>0</v>
      </c>
      <c r="I658" s="24">
        <v>0</v>
      </c>
      <c r="J658" s="24">
        <v>15653</v>
      </c>
      <c r="K658" s="24">
        <v>2</v>
      </c>
      <c r="L658" s="24">
        <v>0</v>
      </c>
      <c r="M658" s="24">
        <v>1</v>
      </c>
      <c r="N658" s="24">
        <v>0</v>
      </c>
      <c r="O658" s="24">
        <v>0</v>
      </c>
      <c r="P658" s="24">
        <v>0</v>
      </c>
      <c r="Q658" s="24">
        <v>0</v>
      </c>
      <c r="R658" s="24">
        <v>0</v>
      </c>
      <c r="S658" s="24">
        <v>21</v>
      </c>
      <c r="T658" s="24">
        <v>0</v>
      </c>
      <c r="U658" s="24">
        <v>0</v>
      </c>
      <c r="V658" s="24">
        <v>1</v>
      </c>
      <c r="W658" s="24">
        <v>2</v>
      </c>
      <c r="X658" s="24">
        <v>1</v>
      </c>
      <c r="Y658" s="24">
        <v>1</v>
      </c>
      <c r="Z658" s="24">
        <v>0</v>
      </c>
      <c r="AA658" s="24">
        <v>1</v>
      </c>
      <c r="AB658" s="24">
        <v>0</v>
      </c>
      <c r="AC658" s="24">
        <v>0</v>
      </c>
      <c r="AD658" s="24">
        <v>0</v>
      </c>
      <c r="AE658" s="24">
        <v>1</v>
      </c>
      <c r="AF658" s="24">
        <v>0</v>
      </c>
      <c r="AG658" s="24">
        <v>0</v>
      </c>
      <c r="AH658" s="24">
        <v>0</v>
      </c>
      <c r="AI658" s="24">
        <v>1</v>
      </c>
      <c r="AJ658" s="24">
        <v>0</v>
      </c>
      <c r="AK658" s="24">
        <v>1</v>
      </c>
      <c r="AL658" s="24">
        <v>0</v>
      </c>
      <c r="AM658" s="24">
        <v>0</v>
      </c>
      <c r="AN658" s="24">
        <v>0</v>
      </c>
      <c r="AO658" s="24">
        <v>0</v>
      </c>
      <c r="AP658" s="24">
        <v>0</v>
      </c>
      <c r="AQ658" s="24">
        <v>0</v>
      </c>
      <c r="AR658" s="24">
        <v>0</v>
      </c>
      <c r="AS658" s="24">
        <v>1</v>
      </c>
      <c r="AT658" s="24">
        <v>0</v>
      </c>
      <c r="AU658" s="24">
        <v>0</v>
      </c>
      <c r="AV658" s="24">
        <v>0</v>
      </c>
      <c r="AW658" s="24">
        <v>0</v>
      </c>
      <c r="AX658" s="24">
        <v>1</v>
      </c>
      <c r="AY658" s="24">
        <v>0</v>
      </c>
      <c r="AZ658" s="24">
        <v>0</v>
      </c>
      <c r="BA658" s="24">
        <v>1</v>
      </c>
      <c r="BB658" s="24">
        <v>0</v>
      </c>
    </row>
    <row r="659" spans="2:54" ht="13.8" x14ac:dyDescent="0.3">
      <c r="B659" s="24">
        <v>639</v>
      </c>
      <c r="C659" s="24">
        <v>12</v>
      </c>
      <c r="D659" s="24">
        <v>0</v>
      </c>
      <c r="E659" s="24">
        <v>0</v>
      </c>
      <c r="F659" s="24">
        <v>0</v>
      </c>
      <c r="G659" s="24">
        <v>1</v>
      </c>
      <c r="H659" s="24">
        <v>0</v>
      </c>
      <c r="I659" s="24">
        <v>0</v>
      </c>
      <c r="J659" s="24">
        <v>1493</v>
      </c>
      <c r="K659" s="24">
        <v>4</v>
      </c>
      <c r="L659" s="24">
        <v>0</v>
      </c>
      <c r="M659" s="24">
        <v>0</v>
      </c>
      <c r="N659" s="24">
        <v>0</v>
      </c>
      <c r="O659" s="24">
        <v>0</v>
      </c>
      <c r="P659" s="24">
        <v>0</v>
      </c>
      <c r="Q659" s="24">
        <v>0</v>
      </c>
      <c r="R659" s="24">
        <v>0</v>
      </c>
      <c r="S659" s="24">
        <v>34</v>
      </c>
      <c r="T659" s="24">
        <v>0</v>
      </c>
      <c r="U659" s="24">
        <v>0</v>
      </c>
      <c r="V659" s="24">
        <v>1</v>
      </c>
      <c r="W659" s="24">
        <v>1</v>
      </c>
      <c r="X659" s="24">
        <v>2</v>
      </c>
      <c r="Y659" s="24">
        <v>0</v>
      </c>
      <c r="Z659" s="24">
        <v>0</v>
      </c>
      <c r="AA659" s="24">
        <v>1</v>
      </c>
      <c r="AB659" s="24">
        <v>0</v>
      </c>
      <c r="AC659" s="24">
        <v>0</v>
      </c>
      <c r="AD659" s="24">
        <v>0</v>
      </c>
      <c r="AE659" s="24">
        <v>1</v>
      </c>
      <c r="AF659" s="24">
        <v>0</v>
      </c>
      <c r="AG659" s="24">
        <v>0</v>
      </c>
      <c r="AH659" s="24">
        <v>1</v>
      </c>
      <c r="AI659" s="24">
        <v>0</v>
      </c>
      <c r="AJ659" s="24">
        <v>0</v>
      </c>
      <c r="AK659" s="24">
        <v>1</v>
      </c>
      <c r="AL659" s="24">
        <v>0</v>
      </c>
      <c r="AM659" s="24">
        <v>0</v>
      </c>
      <c r="AN659" s="24">
        <v>0</v>
      </c>
      <c r="AO659" s="24">
        <v>0</v>
      </c>
      <c r="AP659" s="24">
        <v>0</v>
      </c>
      <c r="AQ659" s="24">
        <v>1</v>
      </c>
      <c r="AR659" s="24">
        <v>0</v>
      </c>
      <c r="AS659" s="24">
        <v>0</v>
      </c>
      <c r="AT659" s="24">
        <v>0</v>
      </c>
      <c r="AU659" s="24">
        <v>0</v>
      </c>
      <c r="AV659" s="24">
        <v>0</v>
      </c>
      <c r="AW659" s="24">
        <v>1</v>
      </c>
      <c r="AX659" s="24">
        <v>0</v>
      </c>
      <c r="AY659" s="24">
        <v>0</v>
      </c>
      <c r="AZ659" s="24">
        <v>0</v>
      </c>
      <c r="BA659" s="24">
        <v>1</v>
      </c>
      <c r="BB659" s="24">
        <v>0</v>
      </c>
    </row>
    <row r="660" spans="2:54" ht="13.8" x14ac:dyDescent="0.3">
      <c r="B660" s="24">
        <v>640</v>
      </c>
      <c r="C660" s="24">
        <v>42</v>
      </c>
      <c r="D660" s="24">
        <v>0</v>
      </c>
      <c r="E660" s="24">
        <v>0</v>
      </c>
      <c r="F660" s="24">
        <v>0</v>
      </c>
      <c r="G660" s="24">
        <v>1</v>
      </c>
      <c r="H660" s="24">
        <v>0</v>
      </c>
      <c r="I660" s="24">
        <v>0</v>
      </c>
      <c r="J660" s="24">
        <v>4370</v>
      </c>
      <c r="K660" s="24">
        <v>3</v>
      </c>
      <c r="L660" s="24">
        <v>0</v>
      </c>
      <c r="M660" s="24">
        <v>1</v>
      </c>
      <c r="N660" s="24">
        <v>0</v>
      </c>
      <c r="O660" s="24">
        <v>0</v>
      </c>
      <c r="P660" s="24">
        <v>0</v>
      </c>
      <c r="Q660" s="24">
        <v>0</v>
      </c>
      <c r="R660" s="24">
        <v>0</v>
      </c>
      <c r="S660" s="24">
        <v>26</v>
      </c>
      <c r="T660" s="24">
        <v>1</v>
      </c>
      <c r="U660" s="24">
        <v>0</v>
      </c>
      <c r="V660" s="24">
        <v>1</v>
      </c>
      <c r="W660" s="24">
        <v>2</v>
      </c>
      <c r="X660" s="24">
        <v>2</v>
      </c>
      <c r="Y660" s="24">
        <v>1</v>
      </c>
      <c r="Z660" s="24">
        <v>0</v>
      </c>
      <c r="AA660" s="24">
        <v>0</v>
      </c>
      <c r="AB660" s="24">
        <v>1</v>
      </c>
      <c r="AC660" s="24">
        <v>0</v>
      </c>
      <c r="AD660" s="24">
        <v>0</v>
      </c>
      <c r="AE660" s="24">
        <v>0</v>
      </c>
      <c r="AF660" s="24">
        <v>0</v>
      </c>
      <c r="AG660" s="24">
        <v>0</v>
      </c>
      <c r="AH660" s="24">
        <v>0</v>
      </c>
      <c r="AI660" s="24">
        <v>1</v>
      </c>
      <c r="AJ660" s="24">
        <v>0</v>
      </c>
      <c r="AK660" s="24">
        <v>1</v>
      </c>
      <c r="AL660" s="24">
        <v>0</v>
      </c>
      <c r="AM660" s="24">
        <v>0</v>
      </c>
      <c r="AN660" s="24">
        <v>0</v>
      </c>
      <c r="AO660" s="24">
        <v>0</v>
      </c>
      <c r="AP660" s="24">
        <v>0</v>
      </c>
      <c r="AQ660" s="24">
        <v>0</v>
      </c>
      <c r="AR660" s="24">
        <v>0</v>
      </c>
      <c r="AS660" s="24">
        <v>1</v>
      </c>
      <c r="AT660" s="24">
        <v>0</v>
      </c>
      <c r="AU660" s="24">
        <v>0</v>
      </c>
      <c r="AV660" s="24">
        <v>1</v>
      </c>
      <c r="AW660" s="24">
        <v>0</v>
      </c>
      <c r="AX660" s="24">
        <v>0</v>
      </c>
      <c r="AY660" s="24">
        <v>0</v>
      </c>
      <c r="AZ660" s="24">
        <v>0</v>
      </c>
      <c r="BA660" s="24">
        <v>1</v>
      </c>
      <c r="BB660" s="24">
        <v>0</v>
      </c>
    </row>
    <row r="661" spans="2:54" ht="13.8" x14ac:dyDescent="0.3">
      <c r="B661" s="24">
        <v>641</v>
      </c>
      <c r="C661" s="24">
        <v>18</v>
      </c>
      <c r="D661" s="24">
        <v>0</v>
      </c>
      <c r="E661" s="24">
        <v>0</v>
      </c>
      <c r="F661" s="24">
        <v>0</v>
      </c>
      <c r="G661" s="24">
        <v>0</v>
      </c>
      <c r="H661" s="24">
        <v>1</v>
      </c>
      <c r="I661" s="24">
        <v>0</v>
      </c>
      <c r="J661" s="24">
        <v>750</v>
      </c>
      <c r="K661" s="24">
        <v>4</v>
      </c>
      <c r="L661" s="24">
        <v>0</v>
      </c>
      <c r="M661" s="24">
        <v>0</v>
      </c>
      <c r="N661" s="24">
        <v>0</v>
      </c>
      <c r="O661" s="24">
        <v>0</v>
      </c>
      <c r="P661" s="24">
        <v>0</v>
      </c>
      <c r="Q661" s="24">
        <v>1</v>
      </c>
      <c r="R661" s="24">
        <v>0</v>
      </c>
      <c r="S661" s="24">
        <v>27</v>
      </c>
      <c r="T661" s="24">
        <v>0</v>
      </c>
      <c r="U661" s="24">
        <v>0</v>
      </c>
      <c r="V661" s="24">
        <v>1</v>
      </c>
      <c r="W661" s="24">
        <v>1</v>
      </c>
      <c r="X661" s="24">
        <v>1</v>
      </c>
      <c r="Y661" s="24">
        <v>0</v>
      </c>
      <c r="Z661" s="24">
        <v>0</v>
      </c>
      <c r="AA661" s="24">
        <v>0</v>
      </c>
      <c r="AB661" s="24">
        <v>1</v>
      </c>
      <c r="AC661" s="24">
        <v>0</v>
      </c>
      <c r="AD661" s="24">
        <v>0</v>
      </c>
      <c r="AE661" s="24">
        <v>0</v>
      </c>
      <c r="AF661" s="24">
        <v>0</v>
      </c>
      <c r="AG661" s="24">
        <v>0</v>
      </c>
      <c r="AH661" s="24">
        <v>1</v>
      </c>
      <c r="AI661" s="24">
        <v>0</v>
      </c>
      <c r="AJ661" s="24">
        <v>0</v>
      </c>
      <c r="AK661" s="24">
        <v>1</v>
      </c>
      <c r="AL661" s="24">
        <v>0</v>
      </c>
      <c r="AM661" s="24">
        <v>0</v>
      </c>
      <c r="AN661" s="24">
        <v>0</v>
      </c>
      <c r="AO661" s="24">
        <v>0</v>
      </c>
      <c r="AP661" s="24">
        <v>1</v>
      </c>
      <c r="AQ661" s="24">
        <v>0</v>
      </c>
      <c r="AR661" s="24">
        <v>0</v>
      </c>
      <c r="AS661" s="24">
        <v>0</v>
      </c>
      <c r="AT661" s="24">
        <v>0</v>
      </c>
      <c r="AU661" s="24">
        <v>1</v>
      </c>
      <c r="AV661" s="24">
        <v>0</v>
      </c>
      <c r="AW661" s="24">
        <v>0</v>
      </c>
      <c r="AX661" s="24">
        <v>0</v>
      </c>
      <c r="AY661" s="24">
        <v>1</v>
      </c>
      <c r="AZ661" s="24">
        <v>0</v>
      </c>
      <c r="BA661" s="24">
        <v>0</v>
      </c>
      <c r="BB661" s="24">
        <v>0</v>
      </c>
    </row>
    <row r="662" spans="2:54" ht="13.8" x14ac:dyDescent="0.3">
      <c r="B662" s="24">
        <v>642</v>
      </c>
      <c r="C662" s="24">
        <v>15</v>
      </c>
      <c r="D662" s="24">
        <v>0</v>
      </c>
      <c r="E662" s="24">
        <v>0</v>
      </c>
      <c r="F662" s="24">
        <v>0</v>
      </c>
      <c r="G662" s="24">
        <v>0</v>
      </c>
      <c r="H662" s="24">
        <v>0</v>
      </c>
      <c r="I662" s="24">
        <v>0</v>
      </c>
      <c r="J662" s="24">
        <v>1308</v>
      </c>
      <c r="K662" s="24">
        <v>4</v>
      </c>
      <c r="L662" s="24">
        <v>0</v>
      </c>
      <c r="M662" s="24">
        <v>1</v>
      </c>
      <c r="N662" s="24">
        <v>0</v>
      </c>
      <c r="O662" s="24">
        <v>0</v>
      </c>
      <c r="P662" s="24">
        <v>0</v>
      </c>
      <c r="Q662" s="24">
        <v>0</v>
      </c>
      <c r="R662" s="24">
        <v>0</v>
      </c>
      <c r="S662" s="24">
        <v>38</v>
      </c>
      <c r="T662" s="24">
        <v>0</v>
      </c>
      <c r="U662" s="24">
        <v>0</v>
      </c>
      <c r="V662" s="24">
        <v>1</v>
      </c>
      <c r="W662" s="24">
        <v>2</v>
      </c>
      <c r="X662" s="24">
        <v>1</v>
      </c>
      <c r="Y662" s="24">
        <v>0</v>
      </c>
      <c r="Z662" s="24">
        <v>0</v>
      </c>
      <c r="AA662" s="24">
        <v>1</v>
      </c>
      <c r="AB662" s="24">
        <v>0</v>
      </c>
      <c r="AC662" s="24">
        <v>1</v>
      </c>
      <c r="AD662" s="24">
        <v>0</v>
      </c>
      <c r="AE662" s="24">
        <v>0</v>
      </c>
      <c r="AF662" s="24">
        <v>0</v>
      </c>
      <c r="AG662" s="24">
        <v>0</v>
      </c>
      <c r="AH662" s="24">
        <v>1</v>
      </c>
      <c r="AI662" s="24">
        <v>0</v>
      </c>
      <c r="AJ662" s="24">
        <v>0</v>
      </c>
      <c r="AK662" s="24">
        <v>1</v>
      </c>
      <c r="AL662" s="24">
        <v>0</v>
      </c>
      <c r="AM662" s="24">
        <v>0</v>
      </c>
      <c r="AN662" s="24">
        <v>0</v>
      </c>
      <c r="AO662" s="24">
        <v>0</v>
      </c>
      <c r="AP662" s="24">
        <v>0</v>
      </c>
      <c r="AQ662" s="24">
        <v>0</v>
      </c>
      <c r="AR662" s="24">
        <v>0</v>
      </c>
      <c r="AS662" s="24">
        <v>0</v>
      </c>
      <c r="AT662" s="24">
        <v>1</v>
      </c>
      <c r="AU662" s="24">
        <v>0</v>
      </c>
      <c r="AV662" s="24">
        <v>0</v>
      </c>
      <c r="AW662" s="24">
        <v>0</v>
      </c>
      <c r="AX662" s="24">
        <v>1</v>
      </c>
      <c r="AY662" s="24">
        <v>0</v>
      </c>
      <c r="AZ662" s="24">
        <v>1</v>
      </c>
      <c r="BA662" s="24">
        <v>0</v>
      </c>
      <c r="BB662" s="24">
        <v>0</v>
      </c>
    </row>
    <row r="663" spans="2:54" ht="13.8" x14ac:dyDescent="0.3">
      <c r="B663" s="24">
        <v>643</v>
      </c>
      <c r="C663" s="24">
        <v>15</v>
      </c>
      <c r="D663" s="24">
        <v>0</v>
      </c>
      <c r="E663" s="24">
        <v>0</v>
      </c>
      <c r="F663" s="24">
        <v>0</v>
      </c>
      <c r="G663" s="24">
        <v>0</v>
      </c>
      <c r="H663" s="24">
        <v>1</v>
      </c>
      <c r="I663" s="24">
        <v>0</v>
      </c>
      <c r="J663" s="24">
        <v>4623</v>
      </c>
      <c r="K663" s="24">
        <v>3</v>
      </c>
      <c r="L663" s="24">
        <v>0</v>
      </c>
      <c r="M663" s="24">
        <v>1</v>
      </c>
      <c r="N663" s="24">
        <v>0</v>
      </c>
      <c r="O663" s="24">
        <v>0</v>
      </c>
      <c r="P663" s="24">
        <v>0</v>
      </c>
      <c r="Q663" s="24">
        <v>0</v>
      </c>
      <c r="R663" s="24">
        <v>0</v>
      </c>
      <c r="S663" s="24">
        <v>40</v>
      </c>
      <c r="T663" s="24">
        <v>0</v>
      </c>
      <c r="U663" s="24">
        <v>0</v>
      </c>
      <c r="V663" s="24">
        <v>1</v>
      </c>
      <c r="W663" s="24">
        <v>1</v>
      </c>
      <c r="X663" s="24">
        <v>1</v>
      </c>
      <c r="Y663" s="24">
        <v>1</v>
      </c>
      <c r="Z663" s="24">
        <v>0</v>
      </c>
      <c r="AA663" s="24">
        <v>0</v>
      </c>
      <c r="AB663" s="24">
        <v>0</v>
      </c>
      <c r="AC663" s="24">
        <v>0</v>
      </c>
      <c r="AD663" s="24">
        <v>0</v>
      </c>
      <c r="AE663" s="24">
        <v>1</v>
      </c>
      <c r="AF663" s="24">
        <v>0</v>
      </c>
      <c r="AG663" s="24">
        <v>0</v>
      </c>
      <c r="AH663" s="24">
        <v>1</v>
      </c>
      <c r="AI663" s="24">
        <v>0</v>
      </c>
      <c r="AJ663" s="24">
        <v>0</v>
      </c>
      <c r="AK663" s="24">
        <v>0</v>
      </c>
      <c r="AL663" s="24">
        <v>1</v>
      </c>
      <c r="AM663" s="24">
        <v>0</v>
      </c>
      <c r="AN663" s="24">
        <v>0</v>
      </c>
      <c r="AO663" s="24">
        <v>0</v>
      </c>
      <c r="AP663" s="24">
        <v>0</v>
      </c>
      <c r="AQ663" s="24">
        <v>0</v>
      </c>
      <c r="AR663" s="24">
        <v>1</v>
      </c>
      <c r="AS663" s="24">
        <v>0</v>
      </c>
      <c r="AT663" s="24">
        <v>0</v>
      </c>
      <c r="AU663" s="24">
        <v>0</v>
      </c>
      <c r="AV663" s="24">
        <v>1</v>
      </c>
      <c r="AW663" s="24">
        <v>0</v>
      </c>
      <c r="AX663" s="24">
        <v>0</v>
      </c>
      <c r="AY663" s="24">
        <v>0</v>
      </c>
      <c r="AZ663" s="24">
        <v>0</v>
      </c>
      <c r="BA663" s="24">
        <v>0</v>
      </c>
      <c r="BB663" s="24">
        <v>1</v>
      </c>
    </row>
    <row r="664" spans="2:54" ht="13.8" x14ac:dyDescent="0.3">
      <c r="B664" s="24">
        <v>644</v>
      </c>
      <c r="C664" s="24">
        <v>24</v>
      </c>
      <c r="D664" s="24">
        <v>0</v>
      </c>
      <c r="E664" s="24">
        <v>0</v>
      </c>
      <c r="F664" s="24">
        <v>0</v>
      </c>
      <c r="G664" s="24">
        <v>1</v>
      </c>
      <c r="H664" s="24">
        <v>0</v>
      </c>
      <c r="I664" s="24">
        <v>0</v>
      </c>
      <c r="J664" s="24">
        <v>1851</v>
      </c>
      <c r="K664" s="24">
        <v>4</v>
      </c>
      <c r="L664" s="24">
        <v>0</v>
      </c>
      <c r="M664" s="24">
        <v>0</v>
      </c>
      <c r="N664" s="24">
        <v>1</v>
      </c>
      <c r="O664" s="24">
        <v>0</v>
      </c>
      <c r="P664" s="24">
        <v>1</v>
      </c>
      <c r="Q664" s="24">
        <v>0</v>
      </c>
      <c r="R664" s="24">
        <v>0</v>
      </c>
      <c r="S664" s="24">
        <v>33</v>
      </c>
      <c r="T664" s="24">
        <v>0</v>
      </c>
      <c r="U664" s="24">
        <v>0</v>
      </c>
      <c r="V664" s="24">
        <v>1</v>
      </c>
      <c r="W664" s="24">
        <v>2</v>
      </c>
      <c r="X664" s="24">
        <v>1</v>
      </c>
      <c r="Y664" s="24">
        <v>1</v>
      </c>
      <c r="Z664" s="24">
        <v>0</v>
      </c>
      <c r="AA664" s="24">
        <v>1</v>
      </c>
      <c r="AB664" s="24">
        <v>0</v>
      </c>
      <c r="AC664" s="24">
        <v>0</v>
      </c>
      <c r="AD664" s="24">
        <v>0</v>
      </c>
      <c r="AE664" s="24">
        <v>1</v>
      </c>
      <c r="AF664" s="24">
        <v>0</v>
      </c>
      <c r="AG664" s="24">
        <v>0</v>
      </c>
      <c r="AH664" s="24">
        <v>0</v>
      </c>
      <c r="AI664" s="24">
        <v>0</v>
      </c>
      <c r="AJ664" s="24">
        <v>1</v>
      </c>
      <c r="AK664" s="24">
        <v>1</v>
      </c>
      <c r="AL664" s="24">
        <v>0</v>
      </c>
      <c r="AM664" s="24">
        <v>0</v>
      </c>
      <c r="AN664" s="24">
        <v>0</v>
      </c>
      <c r="AO664" s="24">
        <v>0</v>
      </c>
      <c r="AP664" s="24">
        <v>0</v>
      </c>
      <c r="AQ664" s="24">
        <v>0</v>
      </c>
      <c r="AR664" s="24">
        <v>0</v>
      </c>
      <c r="AS664" s="24">
        <v>1</v>
      </c>
      <c r="AT664" s="24">
        <v>0</v>
      </c>
      <c r="AU664" s="24">
        <v>0</v>
      </c>
      <c r="AV664" s="24">
        <v>1</v>
      </c>
      <c r="AW664" s="24">
        <v>0</v>
      </c>
      <c r="AX664" s="24">
        <v>0</v>
      </c>
      <c r="AY664" s="24">
        <v>0</v>
      </c>
      <c r="AZ664" s="24">
        <v>0</v>
      </c>
      <c r="BA664" s="24">
        <v>1</v>
      </c>
      <c r="BB664" s="24">
        <v>0</v>
      </c>
    </row>
    <row r="665" spans="2:54" ht="13.8" x14ac:dyDescent="0.3">
      <c r="B665" s="24">
        <v>645</v>
      </c>
      <c r="C665" s="24">
        <v>18</v>
      </c>
      <c r="D665" s="24">
        <v>0</v>
      </c>
      <c r="E665" s="24">
        <v>0</v>
      </c>
      <c r="F665" s="24">
        <v>0</v>
      </c>
      <c r="G665" s="24">
        <v>1</v>
      </c>
      <c r="H665" s="24">
        <v>0</v>
      </c>
      <c r="I665" s="24">
        <v>0</v>
      </c>
      <c r="J665" s="24">
        <v>1880</v>
      </c>
      <c r="K665" s="24">
        <v>4</v>
      </c>
      <c r="L665" s="24">
        <v>0</v>
      </c>
      <c r="M665" s="24">
        <v>0</v>
      </c>
      <c r="N665" s="24">
        <v>1</v>
      </c>
      <c r="O665" s="24">
        <v>0</v>
      </c>
      <c r="P665" s="24">
        <v>0</v>
      </c>
      <c r="Q665" s="24">
        <v>0</v>
      </c>
      <c r="R665" s="24">
        <v>0</v>
      </c>
      <c r="S665" s="24">
        <v>32</v>
      </c>
      <c r="T665" s="24">
        <v>0</v>
      </c>
      <c r="U665" s="24">
        <v>0</v>
      </c>
      <c r="V665" s="24">
        <v>1</v>
      </c>
      <c r="W665" s="24">
        <v>2</v>
      </c>
      <c r="X665" s="24">
        <v>1</v>
      </c>
      <c r="Y665" s="24">
        <v>1</v>
      </c>
      <c r="Z665" s="24">
        <v>0</v>
      </c>
      <c r="AA665" s="24">
        <v>1</v>
      </c>
      <c r="AB665" s="24">
        <v>1</v>
      </c>
      <c r="AC665" s="24">
        <v>0</v>
      </c>
      <c r="AD665" s="24">
        <v>0</v>
      </c>
      <c r="AE665" s="24">
        <v>0</v>
      </c>
      <c r="AF665" s="24">
        <v>0</v>
      </c>
      <c r="AG665" s="24">
        <v>0</v>
      </c>
      <c r="AH665" s="24">
        <v>0</v>
      </c>
      <c r="AI665" s="24">
        <v>0</v>
      </c>
      <c r="AJ665" s="24">
        <v>1</v>
      </c>
      <c r="AK665" s="24">
        <v>1</v>
      </c>
      <c r="AL665" s="24">
        <v>0</v>
      </c>
      <c r="AM665" s="24">
        <v>0</v>
      </c>
      <c r="AN665" s="24">
        <v>0</v>
      </c>
      <c r="AO665" s="24">
        <v>0</v>
      </c>
      <c r="AP665" s="24">
        <v>0</v>
      </c>
      <c r="AQ665" s="24">
        <v>0</v>
      </c>
      <c r="AR665" s="24">
        <v>0</v>
      </c>
      <c r="AS665" s="24">
        <v>1</v>
      </c>
      <c r="AT665" s="24">
        <v>0</v>
      </c>
      <c r="AU665" s="24">
        <v>1</v>
      </c>
      <c r="AV665" s="24">
        <v>0</v>
      </c>
      <c r="AW665" s="24">
        <v>0</v>
      </c>
      <c r="AX665" s="24">
        <v>0</v>
      </c>
      <c r="AY665" s="24">
        <v>0</v>
      </c>
      <c r="AZ665" s="24">
        <v>0</v>
      </c>
      <c r="BA665" s="24">
        <v>0</v>
      </c>
      <c r="BB665" s="24">
        <v>1</v>
      </c>
    </row>
    <row r="666" spans="2:54" ht="13.8" x14ac:dyDescent="0.3">
      <c r="B666" s="24">
        <v>646</v>
      </c>
      <c r="C666" s="24">
        <v>36</v>
      </c>
      <c r="D666" s="24">
        <v>0</v>
      </c>
      <c r="E666" s="24">
        <v>0</v>
      </c>
      <c r="F666" s="24">
        <v>0</v>
      </c>
      <c r="G666" s="24">
        <v>0</v>
      </c>
      <c r="H666" s="24">
        <v>0</v>
      </c>
      <c r="I666" s="24">
        <v>1</v>
      </c>
      <c r="J666" s="24">
        <v>7980</v>
      </c>
      <c r="K666" s="24">
        <v>4</v>
      </c>
      <c r="L666" s="24">
        <v>0</v>
      </c>
      <c r="M666" s="24">
        <v>1</v>
      </c>
      <c r="N666" s="24">
        <v>0</v>
      </c>
      <c r="O666" s="24">
        <v>0</v>
      </c>
      <c r="P666" s="24">
        <v>0</v>
      </c>
      <c r="Q666" s="24">
        <v>0</v>
      </c>
      <c r="R666" s="24">
        <v>0</v>
      </c>
      <c r="S666" s="24">
        <v>27</v>
      </c>
      <c r="T666" s="24">
        <v>0</v>
      </c>
      <c r="U666" s="24">
        <v>1</v>
      </c>
      <c r="V666" s="24">
        <v>0</v>
      </c>
      <c r="W666" s="24">
        <v>2</v>
      </c>
      <c r="X666" s="24">
        <v>1</v>
      </c>
      <c r="Y666" s="24">
        <v>1</v>
      </c>
      <c r="Z666" s="24">
        <v>0</v>
      </c>
      <c r="AA666" s="24">
        <v>0</v>
      </c>
      <c r="AB666" s="24">
        <v>0</v>
      </c>
      <c r="AC666" s="24">
        <v>0</v>
      </c>
      <c r="AD666" s="24">
        <v>0</v>
      </c>
      <c r="AE666" s="24">
        <v>1</v>
      </c>
      <c r="AF666" s="24">
        <v>0</v>
      </c>
      <c r="AG666" s="24">
        <v>0</v>
      </c>
      <c r="AH666" s="24">
        <v>0</v>
      </c>
      <c r="AI666" s="24">
        <v>1</v>
      </c>
      <c r="AJ666" s="24">
        <v>0</v>
      </c>
      <c r="AK666" s="24">
        <v>0</v>
      </c>
      <c r="AL666" s="24">
        <v>0</v>
      </c>
      <c r="AM666" s="24">
        <v>0</v>
      </c>
      <c r="AN666" s="24">
        <v>0</v>
      </c>
      <c r="AO666" s="24">
        <v>1</v>
      </c>
      <c r="AP666" s="24">
        <v>0</v>
      </c>
      <c r="AQ666" s="24">
        <v>1</v>
      </c>
      <c r="AR666" s="24">
        <v>0</v>
      </c>
      <c r="AS666" s="24">
        <v>0</v>
      </c>
      <c r="AT666" s="24">
        <v>0</v>
      </c>
      <c r="AU666" s="24">
        <v>0</v>
      </c>
      <c r="AV666" s="24">
        <v>0</v>
      </c>
      <c r="AW666" s="24">
        <v>0</v>
      </c>
      <c r="AX666" s="24">
        <v>1</v>
      </c>
      <c r="AY666" s="24">
        <v>0</v>
      </c>
      <c r="AZ666" s="24">
        <v>0</v>
      </c>
      <c r="BA666" s="24">
        <v>1</v>
      </c>
      <c r="BB666" s="24">
        <v>0</v>
      </c>
    </row>
    <row r="667" spans="2:54" ht="13.8" x14ac:dyDescent="0.3">
      <c r="B667" s="24">
        <v>647</v>
      </c>
      <c r="C667" s="24">
        <v>30</v>
      </c>
      <c r="D667" s="24">
        <v>0</v>
      </c>
      <c r="E667" s="24">
        <v>0</v>
      </c>
      <c r="F667" s="24">
        <v>1</v>
      </c>
      <c r="G667" s="24">
        <v>0</v>
      </c>
      <c r="H667" s="24">
        <v>0</v>
      </c>
      <c r="I667" s="24">
        <v>0</v>
      </c>
      <c r="J667" s="24">
        <v>4583</v>
      </c>
      <c r="K667" s="24">
        <v>2</v>
      </c>
      <c r="L667" s="24">
        <v>1</v>
      </c>
      <c r="M667" s="24">
        <v>0</v>
      </c>
      <c r="N667" s="24">
        <v>0</v>
      </c>
      <c r="O667" s="24">
        <v>0</v>
      </c>
      <c r="P667" s="24">
        <v>1</v>
      </c>
      <c r="Q667" s="24">
        <v>1</v>
      </c>
      <c r="R667" s="24">
        <v>0</v>
      </c>
      <c r="S667" s="24">
        <v>32</v>
      </c>
      <c r="T667" s="24">
        <v>0</v>
      </c>
      <c r="U667" s="24">
        <v>0</v>
      </c>
      <c r="V667" s="24">
        <v>1</v>
      </c>
      <c r="W667" s="24">
        <v>2</v>
      </c>
      <c r="X667" s="24">
        <v>1</v>
      </c>
      <c r="Y667" s="24">
        <v>0</v>
      </c>
      <c r="Z667" s="24">
        <v>0</v>
      </c>
      <c r="AA667" s="24">
        <v>1</v>
      </c>
      <c r="AB667" s="24">
        <v>1</v>
      </c>
      <c r="AC667" s="24">
        <v>0</v>
      </c>
      <c r="AD667" s="24">
        <v>0</v>
      </c>
      <c r="AE667" s="24">
        <v>0</v>
      </c>
      <c r="AF667" s="24">
        <v>1</v>
      </c>
      <c r="AG667" s="24">
        <v>0</v>
      </c>
      <c r="AH667" s="24">
        <v>0</v>
      </c>
      <c r="AI667" s="24">
        <v>0</v>
      </c>
      <c r="AJ667" s="24">
        <v>0</v>
      </c>
      <c r="AK667" s="24">
        <v>1</v>
      </c>
      <c r="AL667" s="24">
        <v>0</v>
      </c>
      <c r="AM667" s="24">
        <v>0</v>
      </c>
      <c r="AN667" s="24">
        <v>0</v>
      </c>
      <c r="AO667" s="24">
        <v>0</v>
      </c>
      <c r="AP667" s="24">
        <v>0</v>
      </c>
      <c r="AQ667" s="24">
        <v>0</v>
      </c>
      <c r="AR667" s="24">
        <v>1</v>
      </c>
      <c r="AS667" s="24">
        <v>0</v>
      </c>
      <c r="AT667" s="24">
        <v>0</v>
      </c>
      <c r="AU667" s="24">
        <v>0</v>
      </c>
      <c r="AV667" s="24">
        <v>1</v>
      </c>
      <c r="AW667" s="24">
        <v>0</v>
      </c>
      <c r="AX667" s="24">
        <v>0</v>
      </c>
      <c r="AY667" s="24">
        <v>0</v>
      </c>
      <c r="AZ667" s="24">
        <v>0</v>
      </c>
      <c r="BA667" s="24">
        <v>1</v>
      </c>
      <c r="BB667" s="24">
        <v>0</v>
      </c>
    </row>
    <row r="668" spans="2:54" ht="13.8" x14ac:dyDescent="0.3">
      <c r="B668" s="24">
        <v>648</v>
      </c>
      <c r="C668" s="24">
        <v>12</v>
      </c>
      <c r="D668" s="24">
        <v>1</v>
      </c>
      <c r="E668" s="24">
        <v>0</v>
      </c>
      <c r="F668" s="24">
        <v>0</v>
      </c>
      <c r="G668" s="24">
        <v>0</v>
      </c>
      <c r="H668" s="24">
        <v>0</v>
      </c>
      <c r="I668" s="24">
        <v>0</v>
      </c>
      <c r="J668" s="24">
        <v>1386</v>
      </c>
      <c r="K668" s="24">
        <v>2</v>
      </c>
      <c r="L668" s="24">
        <v>0</v>
      </c>
      <c r="M668" s="24">
        <v>0</v>
      </c>
      <c r="N668" s="24">
        <v>0</v>
      </c>
      <c r="O668" s="24">
        <v>0</v>
      </c>
      <c r="P668" s="24">
        <v>0</v>
      </c>
      <c r="Q668" s="24">
        <v>0</v>
      </c>
      <c r="R668" s="24">
        <v>0</v>
      </c>
      <c r="S668" s="24">
        <v>26</v>
      </c>
      <c r="T668" s="24">
        <v>0</v>
      </c>
      <c r="U668" s="24">
        <v>0</v>
      </c>
      <c r="V668" s="24">
        <v>1</v>
      </c>
      <c r="W668" s="24">
        <v>1</v>
      </c>
      <c r="X668" s="24">
        <v>1</v>
      </c>
      <c r="Y668" s="24">
        <v>0</v>
      </c>
      <c r="Z668" s="24">
        <v>0</v>
      </c>
      <c r="AA668" s="24">
        <v>0</v>
      </c>
      <c r="AB668" s="24">
        <v>0</v>
      </c>
      <c r="AC668" s="24">
        <v>0</v>
      </c>
      <c r="AD668" s="24">
        <v>0</v>
      </c>
      <c r="AE668" s="24">
        <v>1</v>
      </c>
      <c r="AF668" s="24">
        <v>0</v>
      </c>
      <c r="AG668" s="24">
        <v>0</v>
      </c>
      <c r="AH668" s="24">
        <v>1</v>
      </c>
      <c r="AI668" s="24">
        <v>0</v>
      </c>
      <c r="AJ668" s="24">
        <v>0</v>
      </c>
      <c r="AK668" s="24">
        <v>0</v>
      </c>
      <c r="AL668" s="24">
        <v>0</v>
      </c>
      <c r="AM668" s="24">
        <v>1</v>
      </c>
      <c r="AN668" s="24">
        <v>0</v>
      </c>
      <c r="AO668" s="24">
        <v>0</v>
      </c>
      <c r="AP668" s="24">
        <v>0</v>
      </c>
      <c r="AQ668" s="24">
        <v>0</v>
      </c>
      <c r="AR668" s="24">
        <v>1</v>
      </c>
      <c r="AS668" s="24">
        <v>0</v>
      </c>
      <c r="AT668" s="24">
        <v>0</v>
      </c>
      <c r="AU668" s="24">
        <v>0</v>
      </c>
      <c r="AV668" s="24">
        <v>1</v>
      </c>
      <c r="AW668" s="24">
        <v>0</v>
      </c>
      <c r="AX668" s="24">
        <v>0</v>
      </c>
      <c r="AY668" s="24">
        <v>0</v>
      </c>
      <c r="AZ668" s="24">
        <v>0</v>
      </c>
      <c r="BA668" s="24">
        <v>1</v>
      </c>
      <c r="BB668" s="24">
        <v>0</v>
      </c>
    </row>
    <row r="669" spans="2:54" ht="13.8" x14ac:dyDescent="0.3">
      <c r="B669" s="24">
        <v>649</v>
      </c>
      <c r="C669" s="24">
        <v>24</v>
      </c>
      <c r="D669" s="24">
        <v>1</v>
      </c>
      <c r="E669" s="24">
        <v>0</v>
      </c>
      <c r="F669" s="24">
        <v>0</v>
      </c>
      <c r="G669" s="24">
        <v>0</v>
      </c>
      <c r="H669" s="24">
        <v>0</v>
      </c>
      <c r="I669" s="24">
        <v>0</v>
      </c>
      <c r="J669" s="24">
        <v>947</v>
      </c>
      <c r="K669" s="24">
        <v>4</v>
      </c>
      <c r="L669" s="24">
        <v>0</v>
      </c>
      <c r="M669" s="24">
        <v>1</v>
      </c>
      <c r="N669" s="24">
        <v>0</v>
      </c>
      <c r="O669" s="24">
        <v>0</v>
      </c>
      <c r="P669" s="24">
        <v>0</v>
      </c>
      <c r="Q669" s="24">
        <v>0</v>
      </c>
      <c r="R669" s="24">
        <v>1</v>
      </c>
      <c r="S669" s="24">
        <v>38</v>
      </c>
      <c r="T669" s="24">
        <v>1</v>
      </c>
      <c r="U669" s="24">
        <v>0</v>
      </c>
      <c r="V669" s="24">
        <v>0</v>
      </c>
      <c r="W669" s="24">
        <v>1</v>
      </c>
      <c r="X669" s="24">
        <v>2</v>
      </c>
      <c r="Y669" s="24">
        <v>0</v>
      </c>
      <c r="Z669" s="24">
        <v>0</v>
      </c>
      <c r="AA669" s="24">
        <v>0</v>
      </c>
      <c r="AB669" s="24">
        <v>0</v>
      </c>
      <c r="AC669" s="24">
        <v>0</v>
      </c>
      <c r="AD669" s="24">
        <v>1</v>
      </c>
      <c r="AE669" s="24">
        <v>0</v>
      </c>
      <c r="AF669" s="24">
        <v>0</v>
      </c>
      <c r="AG669" s="24">
        <v>0</v>
      </c>
      <c r="AH669" s="24">
        <v>1</v>
      </c>
      <c r="AI669" s="24">
        <v>0</v>
      </c>
      <c r="AJ669" s="24">
        <v>0</v>
      </c>
      <c r="AK669" s="24">
        <v>1</v>
      </c>
      <c r="AL669" s="24">
        <v>0</v>
      </c>
      <c r="AM669" s="24">
        <v>0</v>
      </c>
      <c r="AN669" s="24">
        <v>0</v>
      </c>
      <c r="AO669" s="24">
        <v>0</v>
      </c>
      <c r="AP669" s="24">
        <v>0</v>
      </c>
      <c r="AQ669" s="24">
        <v>0</v>
      </c>
      <c r="AR669" s="24">
        <v>0</v>
      </c>
      <c r="AS669" s="24">
        <v>1</v>
      </c>
      <c r="AT669" s="24">
        <v>0</v>
      </c>
      <c r="AU669" s="24">
        <v>0</v>
      </c>
      <c r="AV669" s="24">
        <v>0</v>
      </c>
      <c r="AW669" s="24">
        <v>1</v>
      </c>
      <c r="AX669" s="24">
        <v>0</v>
      </c>
      <c r="AY669" s="24">
        <v>0</v>
      </c>
      <c r="AZ669" s="24">
        <v>0</v>
      </c>
      <c r="BA669" s="24">
        <v>1</v>
      </c>
      <c r="BB669" s="24">
        <v>0</v>
      </c>
    </row>
    <row r="670" spans="2:54" ht="13.8" x14ac:dyDescent="0.3">
      <c r="B670" s="24">
        <v>650</v>
      </c>
      <c r="C670" s="24">
        <v>12</v>
      </c>
      <c r="D670" s="24">
        <v>0</v>
      </c>
      <c r="E670" s="24">
        <v>0</v>
      </c>
      <c r="F670" s="24">
        <v>0</v>
      </c>
      <c r="G670" s="24">
        <v>0</v>
      </c>
      <c r="H670" s="24">
        <v>1</v>
      </c>
      <c r="I670" s="24">
        <v>0</v>
      </c>
      <c r="J670" s="24">
        <v>684</v>
      </c>
      <c r="K670" s="24">
        <v>4</v>
      </c>
      <c r="L670" s="24">
        <v>0</v>
      </c>
      <c r="M670" s="24">
        <v>1</v>
      </c>
      <c r="N670" s="24">
        <v>0</v>
      </c>
      <c r="O670" s="24">
        <v>0</v>
      </c>
      <c r="P670" s="24">
        <v>0</v>
      </c>
      <c r="Q670" s="24">
        <v>0</v>
      </c>
      <c r="R670" s="24">
        <v>0</v>
      </c>
      <c r="S670" s="24">
        <v>40</v>
      </c>
      <c r="T670" s="24">
        <v>0</v>
      </c>
      <c r="U670" s="24">
        <v>1</v>
      </c>
      <c r="V670" s="24">
        <v>0</v>
      </c>
      <c r="W670" s="24">
        <v>1</v>
      </c>
      <c r="X670" s="24">
        <v>2</v>
      </c>
      <c r="Y670" s="24">
        <v>0</v>
      </c>
      <c r="Z670" s="24">
        <v>0</v>
      </c>
      <c r="AA670" s="24">
        <v>0</v>
      </c>
      <c r="AB670" s="24">
        <v>1</v>
      </c>
      <c r="AC670" s="24">
        <v>0</v>
      </c>
      <c r="AD670" s="24">
        <v>0</v>
      </c>
      <c r="AE670" s="24">
        <v>0</v>
      </c>
      <c r="AF670" s="24">
        <v>0</v>
      </c>
      <c r="AG670" s="24">
        <v>0</v>
      </c>
      <c r="AH670" s="24">
        <v>1</v>
      </c>
      <c r="AI670" s="24">
        <v>0</v>
      </c>
      <c r="AJ670" s="24">
        <v>0</v>
      </c>
      <c r="AK670" s="24">
        <v>1</v>
      </c>
      <c r="AL670" s="24">
        <v>0</v>
      </c>
      <c r="AM670" s="24">
        <v>0</v>
      </c>
      <c r="AN670" s="24">
        <v>0</v>
      </c>
      <c r="AO670" s="24">
        <v>0</v>
      </c>
      <c r="AP670" s="24">
        <v>0</v>
      </c>
      <c r="AQ670" s="24">
        <v>0</v>
      </c>
      <c r="AR670" s="24">
        <v>1</v>
      </c>
      <c r="AS670" s="24">
        <v>0</v>
      </c>
      <c r="AT670" s="24">
        <v>0</v>
      </c>
      <c r="AU670" s="24">
        <v>0</v>
      </c>
      <c r="AV670" s="24">
        <v>0</v>
      </c>
      <c r="AW670" s="24">
        <v>0</v>
      </c>
      <c r="AX670" s="24">
        <v>1</v>
      </c>
      <c r="AY670" s="24">
        <v>0</v>
      </c>
      <c r="AZ670" s="24">
        <v>1</v>
      </c>
      <c r="BA670" s="24">
        <v>0</v>
      </c>
      <c r="BB670" s="24">
        <v>0</v>
      </c>
    </row>
    <row r="671" spans="2:54" ht="13.8" x14ac:dyDescent="0.3">
      <c r="B671" s="24">
        <v>651</v>
      </c>
      <c r="C671" s="24">
        <v>48</v>
      </c>
      <c r="D671" s="24">
        <v>0</v>
      </c>
      <c r="E671" s="24">
        <v>0</v>
      </c>
      <c r="F671" s="24">
        <v>0</v>
      </c>
      <c r="G671" s="24">
        <v>0</v>
      </c>
      <c r="H671" s="24">
        <v>1</v>
      </c>
      <c r="I671" s="24">
        <v>0</v>
      </c>
      <c r="J671" s="24">
        <v>7476</v>
      </c>
      <c r="K671" s="24">
        <v>4</v>
      </c>
      <c r="L671" s="24">
        <v>0</v>
      </c>
      <c r="M671" s="24">
        <v>1</v>
      </c>
      <c r="N671" s="24">
        <v>0</v>
      </c>
      <c r="O671" s="24">
        <v>0</v>
      </c>
      <c r="P671" s="24">
        <v>0</v>
      </c>
      <c r="Q671" s="24">
        <v>0</v>
      </c>
      <c r="R671" s="24">
        <v>1</v>
      </c>
      <c r="S671" s="24">
        <v>50</v>
      </c>
      <c r="T671" s="24">
        <v>0</v>
      </c>
      <c r="U671" s="24">
        <v>0</v>
      </c>
      <c r="V671" s="24">
        <v>0</v>
      </c>
      <c r="W671" s="24">
        <v>1</v>
      </c>
      <c r="X671" s="24">
        <v>1</v>
      </c>
      <c r="Y671" s="24">
        <v>1</v>
      </c>
      <c r="Z671" s="24">
        <v>0</v>
      </c>
      <c r="AA671" s="24">
        <v>1</v>
      </c>
      <c r="AB671" s="24">
        <v>1</v>
      </c>
      <c r="AC671" s="24">
        <v>0</v>
      </c>
      <c r="AD671" s="24">
        <v>0</v>
      </c>
      <c r="AE671" s="24">
        <v>0</v>
      </c>
      <c r="AF671" s="24">
        <v>0</v>
      </c>
      <c r="AG671" s="24">
        <v>0</v>
      </c>
      <c r="AH671" s="24">
        <v>1</v>
      </c>
      <c r="AI671" s="24">
        <v>0</v>
      </c>
      <c r="AJ671" s="24">
        <v>0</v>
      </c>
      <c r="AK671" s="24">
        <v>1</v>
      </c>
      <c r="AL671" s="24">
        <v>0</v>
      </c>
      <c r="AM671" s="24">
        <v>0</v>
      </c>
      <c r="AN671" s="24">
        <v>0</v>
      </c>
      <c r="AO671" s="24">
        <v>0</v>
      </c>
      <c r="AP671" s="24">
        <v>0</v>
      </c>
      <c r="AQ671" s="24">
        <v>0</v>
      </c>
      <c r="AR671" s="24">
        <v>0</v>
      </c>
      <c r="AS671" s="24">
        <v>1</v>
      </c>
      <c r="AT671" s="24">
        <v>0</v>
      </c>
      <c r="AU671" s="24">
        <v>1</v>
      </c>
      <c r="AV671" s="24">
        <v>0</v>
      </c>
      <c r="AW671" s="24">
        <v>0</v>
      </c>
      <c r="AX671" s="24">
        <v>0</v>
      </c>
      <c r="AY671" s="24">
        <v>0</v>
      </c>
      <c r="AZ671" s="24">
        <v>0</v>
      </c>
      <c r="BA671" s="24">
        <v>0</v>
      </c>
      <c r="BB671" s="24">
        <v>1</v>
      </c>
    </row>
    <row r="672" spans="2:54" ht="13.8" x14ac:dyDescent="0.3">
      <c r="B672" s="24">
        <v>652</v>
      </c>
      <c r="C672" s="24">
        <v>12</v>
      </c>
      <c r="D672" s="24">
        <v>0</v>
      </c>
      <c r="E672" s="24">
        <v>0</v>
      </c>
      <c r="F672" s="24">
        <v>1</v>
      </c>
      <c r="G672" s="24">
        <v>0</v>
      </c>
      <c r="H672" s="24">
        <v>0</v>
      </c>
      <c r="I672" s="24">
        <v>0</v>
      </c>
      <c r="J672" s="24">
        <v>1922</v>
      </c>
      <c r="K672" s="24">
        <v>4</v>
      </c>
      <c r="L672" s="24">
        <v>0</v>
      </c>
      <c r="M672" s="24">
        <v>1</v>
      </c>
      <c r="N672" s="24">
        <v>0</v>
      </c>
      <c r="O672" s="24">
        <v>0</v>
      </c>
      <c r="P672" s="24">
        <v>0</v>
      </c>
      <c r="Q672" s="24">
        <v>0</v>
      </c>
      <c r="R672" s="24">
        <v>0</v>
      </c>
      <c r="S672" s="24">
        <v>37</v>
      </c>
      <c r="T672" s="24">
        <v>0</v>
      </c>
      <c r="U672" s="24">
        <v>0</v>
      </c>
      <c r="V672" s="24">
        <v>1</v>
      </c>
      <c r="W672" s="24">
        <v>1</v>
      </c>
      <c r="X672" s="24">
        <v>1</v>
      </c>
      <c r="Y672" s="24">
        <v>0</v>
      </c>
      <c r="Z672" s="24">
        <v>0</v>
      </c>
      <c r="AA672" s="24">
        <v>0</v>
      </c>
      <c r="AB672" s="24">
        <v>0</v>
      </c>
      <c r="AC672" s="24">
        <v>1</v>
      </c>
      <c r="AD672" s="24">
        <v>0</v>
      </c>
      <c r="AE672" s="24">
        <v>0</v>
      </c>
      <c r="AF672" s="24">
        <v>0</v>
      </c>
      <c r="AG672" s="24">
        <v>0</v>
      </c>
      <c r="AH672" s="24">
        <v>1</v>
      </c>
      <c r="AI672" s="24">
        <v>0</v>
      </c>
      <c r="AJ672" s="24">
        <v>0</v>
      </c>
      <c r="AK672" s="24">
        <v>1</v>
      </c>
      <c r="AL672" s="24">
        <v>0</v>
      </c>
      <c r="AM672" s="24">
        <v>0</v>
      </c>
      <c r="AN672" s="24">
        <v>0</v>
      </c>
      <c r="AO672" s="24">
        <v>0</v>
      </c>
      <c r="AP672" s="24">
        <v>0</v>
      </c>
      <c r="AQ672" s="24">
        <v>0</v>
      </c>
      <c r="AR672" s="24">
        <v>1</v>
      </c>
      <c r="AS672" s="24">
        <v>0</v>
      </c>
      <c r="AT672" s="24">
        <v>0</v>
      </c>
      <c r="AU672" s="24">
        <v>0</v>
      </c>
      <c r="AV672" s="24">
        <v>1</v>
      </c>
      <c r="AW672" s="24">
        <v>0</v>
      </c>
      <c r="AX672" s="24">
        <v>0</v>
      </c>
      <c r="AY672" s="24">
        <v>0</v>
      </c>
      <c r="AZ672" s="24">
        <v>1</v>
      </c>
      <c r="BA672" s="24">
        <v>0</v>
      </c>
      <c r="BB672" s="24">
        <v>0</v>
      </c>
    </row>
    <row r="673" spans="2:54" ht="13.8" x14ac:dyDescent="0.3">
      <c r="B673" s="24">
        <v>653</v>
      </c>
      <c r="C673" s="24">
        <v>24</v>
      </c>
      <c r="D673" s="24">
        <v>1</v>
      </c>
      <c r="E673" s="24">
        <v>0</v>
      </c>
      <c r="F673" s="24">
        <v>0</v>
      </c>
      <c r="G673" s="24">
        <v>0</v>
      </c>
      <c r="H673" s="24">
        <v>0</v>
      </c>
      <c r="I673" s="24">
        <v>0</v>
      </c>
      <c r="J673" s="24">
        <v>2303</v>
      </c>
      <c r="K673" s="24">
        <v>4</v>
      </c>
      <c r="L673" s="24">
        <v>0</v>
      </c>
      <c r="M673" s="24">
        <v>1</v>
      </c>
      <c r="N673" s="24">
        <v>0</v>
      </c>
      <c r="O673" s="24">
        <v>1</v>
      </c>
      <c r="P673" s="24">
        <v>0</v>
      </c>
      <c r="Q673" s="24">
        <v>1</v>
      </c>
      <c r="R673" s="24">
        <v>0</v>
      </c>
      <c r="S673" s="24">
        <v>45</v>
      </c>
      <c r="T673" s="24">
        <v>0</v>
      </c>
      <c r="U673" s="24">
        <v>0</v>
      </c>
      <c r="V673" s="24">
        <v>1</v>
      </c>
      <c r="W673" s="24">
        <v>1</v>
      </c>
      <c r="X673" s="24">
        <v>1</v>
      </c>
      <c r="Y673" s="24">
        <v>0</v>
      </c>
      <c r="Z673" s="24">
        <v>0</v>
      </c>
      <c r="AA673" s="24">
        <v>0</v>
      </c>
      <c r="AB673" s="24">
        <v>1</v>
      </c>
      <c r="AC673" s="24">
        <v>0</v>
      </c>
      <c r="AD673" s="24">
        <v>0</v>
      </c>
      <c r="AE673" s="24">
        <v>0</v>
      </c>
      <c r="AF673" s="24">
        <v>0</v>
      </c>
      <c r="AG673" s="24">
        <v>0</v>
      </c>
      <c r="AH673" s="24">
        <v>1</v>
      </c>
      <c r="AI673" s="24">
        <v>0</v>
      </c>
      <c r="AJ673" s="24">
        <v>0</v>
      </c>
      <c r="AK673" s="24">
        <v>1</v>
      </c>
      <c r="AL673" s="24">
        <v>0</v>
      </c>
      <c r="AM673" s="24">
        <v>0</v>
      </c>
      <c r="AN673" s="24">
        <v>0</v>
      </c>
      <c r="AO673" s="24">
        <v>0</v>
      </c>
      <c r="AP673" s="24">
        <v>0</v>
      </c>
      <c r="AQ673" s="24">
        <v>0</v>
      </c>
      <c r="AR673" s="24">
        <v>0</v>
      </c>
      <c r="AS673" s="24">
        <v>0</v>
      </c>
      <c r="AT673" s="24">
        <v>1</v>
      </c>
      <c r="AU673" s="24">
        <v>1</v>
      </c>
      <c r="AV673" s="24">
        <v>0</v>
      </c>
      <c r="AW673" s="24">
        <v>0</v>
      </c>
      <c r="AX673" s="24">
        <v>0</v>
      </c>
      <c r="AY673" s="24">
        <v>0</v>
      </c>
      <c r="AZ673" s="24">
        <v>0</v>
      </c>
      <c r="BA673" s="24">
        <v>1</v>
      </c>
      <c r="BB673" s="24">
        <v>0</v>
      </c>
    </row>
    <row r="674" spans="2:54" ht="13.8" x14ac:dyDescent="0.3">
      <c r="B674" s="24">
        <v>654</v>
      </c>
      <c r="C674" s="24">
        <v>36</v>
      </c>
      <c r="D674" s="24">
        <v>1</v>
      </c>
      <c r="E674" s="24">
        <v>0</v>
      </c>
      <c r="F674" s="24">
        <v>0</v>
      </c>
      <c r="G674" s="24">
        <v>0</v>
      </c>
      <c r="H674" s="24">
        <v>0</v>
      </c>
      <c r="I674" s="24">
        <v>0</v>
      </c>
      <c r="J674" s="24">
        <v>8086</v>
      </c>
      <c r="K674" s="24">
        <v>2</v>
      </c>
      <c r="L674" s="24">
        <v>0</v>
      </c>
      <c r="M674" s="24">
        <v>1</v>
      </c>
      <c r="N674" s="24">
        <v>0</v>
      </c>
      <c r="O674" s="24">
        <v>0</v>
      </c>
      <c r="P674" s="24">
        <v>0</v>
      </c>
      <c r="Q674" s="24">
        <v>0</v>
      </c>
      <c r="R674" s="24">
        <v>0</v>
      </c>
      <c r="S674" s="24">
        <v>42</v>
      </c>
      <c r="T674" s="24">
        <v>0</v>
      </c>
      <c r="U674" s="24">
        <v>0</v>
      </c>
      <c r="V674" s="24">
        <v>1</v>
      </c>
      <c r="W674" s="24">
        <v>4</v>
      </c>
      <c r="X674" s="24">
        <v>1</v>
      </c>
      <c r="Y674" s="24">
        <v>1</v>
      </c>
      <c r="Z674" s="24">
        <v>0</v>
      </c>
      <c r="AA674" s="24">
        <v>0</v>
      </c>
      <c r="AB674" s="24">
        <v>0</v>
      </c>
      <c r="AC674" s="24">
        <v>1</v>
      </c>
      <c r="AD674" s="24">
        <v>0</v>
      </c>
      <c r="AE674" s="24">
        <v>0</v>
      </c>
      <c r="AF674" s="24">
        <v>0</v>
      </c>
      <c r="AG674" s="24">
        <v>0</v>
      </c>
      <c r="AH674" s="24">
        <v>0</v>
      </c>
      <c r="AI674" s="24">
        <v>1</v>
      </c>
      <c r="AJ674" s="24">
        <v>0</v>
      </c>
      <c r="AK674" s="24">
        <v>0</v>
      </c>
      <c r="AL674" s="24">
        <v>1</v>
      </c>
      <c r="AM674" s="24">
        <v>0</v>
      </c>
      <c r="AN674" s="24">
        <v>0</v>
      </c>
      <c r="AO674" s="24">
        <v>0</v>
      </c>
      <c r="AP674" s="24">
        <v>0</v>
      </c>
      <c r="AQ674" s="24">
        <v>0</v>
      </c>
      <c r="AR674" s="24">
        <v>0</v>
      </c>
      <c r="AS674" s="24">
        <v>0</v>
      </c>
      <c r="AT674" s="24">
        <v>1</v>
      </c>
      <c r="AU674" s="24">
        <v>0</v>
      </c>
      <c r="AV674" s="24">
        <v>0</v>
      </c>
      <c r="AW674" s="24">
        <v>0</v>
      </c>
      <c r="AX674" s="24">
        <v>1</v>
      </c>
      <c r="AY674" s="24">
        <v>0</v>
      </c>
      <c r="AZ674" s="24">
        <v>0</v>
      </c>
      <c r="BA674" s="24">
        <v>0</v>
      </c>
      <c r="BB674" s="24">
        <v>1</v>
      </c>
    </row>
    <row r="675" spans="2:54" ht="13.8" x14ac:dyDescent="0.3">
      <c r="B675" s="24">
        <v>655</v>
      </c>
      <c r="C675" s="24">
        <v>24</v>
      </c>
      <c r="D675" s="24">
        <v>0</v>
      </c>
      <c r="E675" s="24">
        <v>1</v>
      </c>
      <c r="F675" s="24">
        <v>0</v>
      </c>
      <c r="G675" s="24">
        <v>0</v>
      </c>
      <c r="H675" s="24">
        <v>0</v>
      </c>
      <c r="I675" s="24">
        <v>0</v>
      </c>
      <c r="J675" s="24">
        <v>2346</v>
      </c>
      <c r="K675" s="24">
        <v>4</v>
      </c>
      <c r="L675" s="24">
        <v>0</v>
      </c>
      <c r="M675" s="24">
        <v>1</v>
      </c>
      <c r="N675" s="24">
        <v>0</v>
      </c>
      <c r="O675" s="24">
        <v>0</v>
      </c>
      <c r="P675" s="24">
        <v>0</v>
      </c>
      <c r="Q675" s="24">
        <v>0</v>
      </c>
      <c r="R675" s="24">
        <v>0</v>
      </c>
      <c r="S675" s="24">
        <v>35</v>
      </c>
      <c r="T675" s="24">
        <v>0</v>
      </c>
      <c r="U675" s="24">
        <v>0</v>
      </c>
      <c r="V675" s="24">
        <v>1</v>
      </c>
      <c r="W675" s="24">
        <v>2</v>
      </c>
      <c r="X675" s="24">
        <v>1</v>
      </c>
      <c r="Y675" s="24">
        <v>1</v>
      </c>
      <c r="Z675" s="24">
        <v>0</v>
      </c>
      <c r="AA675" s="24">
        <v>1</v>
      </c>
      <c r="AB675" s="24">
        <v>0</v>
      </c>
      <c r="AC675" s="24">
        <v>0</v>
      </c>
      <c r="AD675" s="24">
        <v>0</v>
      </c>
      <c r="AE675" s="24">
        <v>1</v>
      </c>
      <c r="AF675" s="24">
        <v>0</v>
      </c>
      <c r="AG675" s="24">
        <v>0</v>
      </c>
      <c r="AH675" s="24">
        <v>0</v>
      </c>
      <c r="AI675" s="24">
        <v>0</v>
      </c>
      <c r="AJ675" s="24">
        <v>1</v>
      </c>
      <c r="AK675" s="24">
        <v>1</v>
      </c>
      <c r="AL675" s="24">
        <v>0</v>
      </c>
      <c r="AM675" s="24">
        <v>0</v>
      </c>
      <c r="AN675" s="24">
        <v>0</v>
      </c>
      <c r="AO675" s="24">
        <v>0</v>
      </c>
      <c r="AP675" s="24">
        <v>0</v>
      </c>
      <c r="AQ675" s="24">
        <v>0</v>
      </c>
      <c r="AR675" s="24">
        <v>0</v>
      </c>
      <c r="AS675" s="24">
        <v>1</v>
      </c>
      <c r="AT675" s="24">
        <v>0</v>
      </c>
      <c r="AU675" s="24">
        <v>0</v>
      </c>
      <c r="AV675" s="24">
        <v>0</v>
      </c>
      <c r="AW675" s="24">
        <v>1</v>
      </c>
      <c r="AX675" s="24">
        <v>0</v>
      </c>
      <c r="AY675" s="24">
        <v>0</v>
      </c>
      <c r="AZ675" s="24">
        <v>0</v>
      </c>
      <c r="BA675" s="24">
        <v>1</v>
      </c>
      <c r="BB675" s="24">
        <v>0</v>
      </c>
    </row>
    <row r="676" spans="2:54" ht="13.8" x14ac:dyDescent="0.3">
      <c r="B676" s="24">
        <v>656</v>
      </c>
      <c r="C676" s="24">
        <v>14</v>
      </c>
      <c r="D676" s="24">
        <v>1</v>
      </c>
      <c r="E676" s="24">
        <v>0</v>
      </c>
      <c r="F676" s="24">
        <v>0</v>
      </c>
      <c r="G676" s="24">
        <v>0</v>
      </c>
      <c r="H676" s="24">
        <v>0</v>
      </c>
      <c r="I676" s="24">
        <v>0</v>
      </c>
      <c r="J676" s="24">
        <v>3973</v>
      </c>
      <c r="K676" s="24">
        <v>1</v>
      </c>
      <c r="L676" s="24">
        <v>0</v>
      </c>
      <c r="M676" s="24">
        <v>1</v>
      </c>
      <c r="N676" s="24">
        <v>0</v>
      </c>
      <c r="O676" s="24">
        <v>0</v>
      </c>
      <c r="P676" s="24">
        <v>0</v>
      </c>
      <c r="Q676" s="24">
        <v>0</v>
      </c>
      <c r="R676" s="24">
        <v>1</v>
      </c>
      <c r="S676" s="24">
        <v>22</v>
      </c>
      <c r="T676" s="24">
        <v>0</v>
      </c>
      <c r="U676" s="24">
        <v>0</v>
      </c>
      <c r="V676" s="24">
        <v>0</v>
      </c>
      <c r="W676" s="24">
        <v>1</v>
      </c>
      <c r="X676" s="24">
        <v>1</v>
      </c>
      <c r="Y676" s="24">
        <v>0</v>
      </c>
      <c r="Z676" s="24">
        <v>0</v>
      </c>
      <c r="AA676" s="24">
        <v>1</v>
      </c>
      <c r="AB676" s="24">
        <v>1</v>
      </c>
      <c r="AC676" s="24">
        <v>0</v>
      </c>
      <c r="AD676" s="24">
        <v>0</v>
      </c>
      <c r="AE676" s="24">
        <v>0</v>
      </c>
      <c r="AF676" s="24">
        <v>0</v>
      </c>
      <c r="AG676" s="24">
        <v>0</v>
      </c>
      <c r="AH676" s="24">
        <v>1</v>
      </c>
      <c r="AI676" s="24">
        <v>0</v>
      </c>
      <c r="AJ676" s="24">
        <v>0</v>
      </c>
      <c r="AK676" s="24">
        <v>1</v>
      </c>
      <c r="AL676" s="24">
        <v>0</v>
      </c>
      <c r="AM676" s="24">
        <v>0</v>
      </c>
      <c r="AN676" s="24">
        <v>0</v>
      </c>
      <c r="AO676" s="24">
        <v>0</v>
      </c>
      <c r="AP676" s="24">
        <v>1</v>
      </c>
      <c r="AQ676" s="24">
        <v>0</v>
      </c>
      <c r="AR676" s="24">
        <v>0</v>
      </c>
      <c r="AS676" s="24">
        <v>0</v>
      </c>
      <c r="AT676" s="24">
        <v>0</v>
      </c>
      <c r="AU676" s="24">
        <v>0</v>
      </c>
      <c r="AV676" s="24">
        <v>0</v>
      </c>
      <c r="AW676" s="24">
        <v>0</v>
      </c>
      <c r="AX676" s="24">
        <v>1</v>
      </c>
      <c r="AY676" s="24">
        <v>0</v>
      </c>
      <c r="AZ676" s="24">
        <v>0</v>
      </c>
      <c r="BA676" s="24">
        <v>1</v>
      </c>
      <c r="BB676" s="24">
        <v>0</v>
      </c>
    </row>
    <row r="677" spans="2:54" ht="13.8" x14ac:dyDescent="0.3">
      <c r="B677" s="24">
        <v>657</v>
      </c>
      <c r="C677" s="24">
        <v>12</v>
      </c>
      <c r="D677" s="24">
        <v>1</v>
      </c>
      <c r="E677" s="24">
        <v>0</v>
      </c>
      <c r="F677" s="24">
        <v>0</v>
      </c>
      <c r="G677" s="24">
        <v>0</v>
      </c>
      <c r="H677" s="24">
        <v>0</v>
      </c>
      <c r="I677" s="24">
        <v>0</v>
      </c>
      <c r="J677" s="24">
        <v>888</v>
      </c>
      <c r="K677" s="24">
        <v>4</v>
      </c>
      <c r="L677" s="24">
        <v>0</v>
      </c>
      <c r="M677" s="24">
        <v>1</v>
      </c>
      <c r="N677" s="24">
        <v>0</v>
      </c>
      <c r="O677" s="24">
        <v>0</v>
      </c>
      <c r="P677" s="24">
        <v>0</v>
      </c>
      <c r="Q677" s="24">
        <v>0</v>
      </c>
      <c r="R677" s="24">
        <v>0</v>
      </c>
      <c r="S677" s="24">
        <v>41</v>
      </c>
      <c r="T677" s="24">
        <v>1</v>
      </c>
      <c r="U677" s="24">
        <v>0</v>
      </c>
      <c r="V677" s="24">
        <v>1</v>
      </c>
      <c r="W677" s="24">
        <v>1</v>
      </c>
      <c r="X677" s="24">
        <v>2</v>
      </c>
      <c r="Y677" s="24">
        <v>0</v>
      </c>
      <c r="Z677" s="24">
        <v>0</v>
      </c>
      <c r="AA677" s="24">
        <v>0</v>
      </c>
      <c r="AB677" s="24">
        <v>0</v>
      </c>
      <c r="AC677" s="24">
        <v>1</v>
      </c>
      <c r="AD677" s="24">
        <v>0</v>
      </c>
      <c r="AE677" s="24">
        <v>0</v>
      </c>
      <c r="AF677" s="24">
        <v>0</v>
      </c>
      <c r="AG677" s="24">
        <v>0</v>
      </c>
      <c r="AH677" s="24">
        <v>1</v>
      </c>
      <c r="AI677" s="24">
        <v>0</v>
      </c>
      <c r="AJ677" s="24">
        <v>0</v>
      </c>
      <c r="AK677" s="24">
        <v>1</v>
      </c>
      <c r="AL677" s="24">
        <v>0</v>
      </c>
      <c r="AM677" s="24">
        <v>0</v>
      </c>
      <c r="AN677" s="24">
        <v>0</v>
      </c>
      <c r="AO677" s="24">
        <v>0</v>
      </c>
      <c r="AP677" s="24">
        <v>0</v>
      </c>
      <c r="AQ677" s="24">
        <v>0</v>
      </c>
      <c r="AR677" s="24">
        <v>0</v>
      </c>
      <c r="AS677" s="24">
        <v>0</v>
      </c>
      <c r="AT677" s="24">
        <v>1</v>
      </c>
      <c r="AU677" s="24">
        <v>0</v>
      </c>
      <c r="AV677" s="24">
        <v>0</v>
      </c>
      <c r="AW677" s="24">
        <v>0</v>
      </c>
      <c r="AX677" s="24">
        <v>1</v>
      </c>
      <c r="AY677" s="24">
        <v>0</v>
      </c>
      <c r="AZ677" s="24">
        <v>1</v>
      </c>
      <c r="BA677" s="24">
        <v>0</v>
      </c>
      <c r="BB677" s="24">
        <v>0</v>
      </c>
    </row>
    <row r="678" spans="2:54" ht="13.8" x14ac:dyDescent="0.3">
      <c r="B678" s="24">
        <v>658</v>
      </c>
      <c r="C678" s="24">
        <v>48</v>
      </c>
      <c r="D678" s="24">
        <v>0</v>
      </c>
      <c r="E678" s="24">
        <v>0</v>
      </c>
      <c r="F678" s="24">
        <v>0</v>
      </c>
      <c r="G678" s="24">
        <v>1</v>
      </c>
      <c r="H678" s="24">
        <v>0</v>
      </c>
      <c r="I678" s="24">
        <v>0</v>
      </c>
      <c r="J678" s="24">
        <v>10222</v>
      </c>
      <c r="K678" s="24">
        <v>4</v>
      </c>
      <c r="L678" s="24">
        <v>0</v>
      </c>
      <c r="M678" s="24">
        <v>1</v>
      </c>
      <c r="N678" s="24">
        <v>0</v>
      </c>
      <c r="O678" s="24">
        <v>0</v>
      </c>
      <c r="P678" s="24">
        <v>0</v>
      </c>
      <c r="Q678" s="24">
        <v>0</v>
      </c>
      <c r="R678" s="24">
        <v>0</v>
      </c>
      <c r="S678" s="24">
        <v>37</v>
      </c>
      <c r="T678" s="24">
        <v>1</v>
      </c>
      <c r="U678" s="24">
        <v>0</v>
      </c>
      <c r="V678" s="24">
        <v>1</v>
      </c>
      <c r="W678" s="24">
        <v>1</v>
      </c>
      <c r="X678" s="24">
        <v>1</v>
      </c>
      <c r="Y678" s="24">
        <v>1</v>
      </c>
      <c r="Z678" s="24">
        <v>0</v>
      </c>
      <c r="AA678" s="24">
        <v>1</v>
      </c>
      <c r="AB678" s="24">
        <v>0</v>
      </c>
      <c r="AC678" s="24">
        <v>0</v>
      </c>
      <c r="AD678" s="24">
        <v>0</v>
      </c>
      <c r="AE678" s="24">
        <v>1</v>
      </c>
      <c r="AF678" s="24">
        <v>0</v>
      </c>
      <c r="AG678" s="24">
        <v>0</v>
      </c>
      <c r="AH678" s="24">
        <v>1</v>
      </c>
      <c r="AI678" s="24">
        <v>0</v>
      </c>
      <c r="AJ678" s="24">
        <v>0</v>
      </c>
      <c r="AK678" s="24">
        <v>0</v>
      </c>
      <c r="AL678" s="24">
        <v>0</v>
      </c>
      <c r="AM678" s="24">
        <v>0</v>
      </c>
      <c r="AN678" s="24">
        <v>0</v>
      </c>
      <c r="AO678" s="24">
        <v>1</v>
      </c>
      <c r="AP678" s="24">
        <v>0</v>
      </c>
      <c r="AQ678" s="24">
        <v>0</v>
      </c>
      <c r="AR678" s="24">
        <v>0</v>
      </c>
      <c r="AS678" s="24">
        <v>1</v>
      </c>
      <c r="AT678" s="24">
        <v>0</v>
      </c>
      <c r="AU678" s="24">
        <v>0</v>
      </c>
      <c r="AV678" s="24">
        <v>0</v>
      </c>
      <c r="AW678" s="24">
        <v>1</v>
      </c>
      <c r="AX678" s="24">
        <v>0</v>
      </c>
      <c r="AY678" s="24">
        <v>0</v>
      </c>
      <c r="AZ678" s="24">
        <v>0</v>
      </c>
      <c r="BA678" s="24">
        <v>1</v>
      </c>
      <c r="BB678" s="24">
        <v>0</v>
      </c>
    </row>
    <row r="679" spans="2:54" ht="13.8" x14ac:dyDescent="0.3">
      <c r="B679" s="24">
        <v>659</v>
      </c>
      <c r="C679" s="24">
        <v>30</v>
      </c>
      <c r="D679" s="24">
        <v>0</v>
      </c>
      <c r="E679" s="24">
        <v>0</v>
      </c>
      <c r="F679" s="24">
        <v>0</v>
      </c>
      <c r="G679" s="24">
        <v>0</v>
      </c>
      <c r="H679" s="24">
        <v>0</v>
      </c>
      <c r="I679" s="24">
        <v>1</v>
      </c>
      <c r="J679" s="24">
        <v>4221</v>
      </c>
      <c r="K679" s="24">
        <v>2</v>
      </c>
      <c r="L679" s="24">
        <v>0</v>
      </c>
      <c r="M679" s="24">
        <v>0</v>
      </c>
      <c r="N679" s="24">
        <v>0</v>
      </c>
      <c r="O679" s="24">
        <v>0</v>
      </c>
      <c r="P679" s="24">
        <v>0</v>
      </c>
      <c r="Q679" s="24">
        <v>0</v>
      </c>
      <c r="R679" s="24">
        <v>0</v>
      </c>
      <c r="S679" s="24">
        <v>28</v>
      </c>
      <c r="T679" s="24">
        <v>0</v>
      </c>
      <c r="U679" s="24">
        <v>0</v>
      </c>
      <c r="V679" s="24">
        <v>1</v>
      </c>
      <c r="W679" s="24">
        <v>2</v>
      </c>
      <c r="X679" s="24">
        <v>1</v>
      </c>
      <c r="Y679" s="24">
        <v>0</v>
      </c>
      <c r="Z679" s="24">
        <v>0</v>
      </c>
      <c r="AA679" s="24">
        <v>1</v>
      </c>
      <c r="AB679" s="24">
        <v>0</v>
      </c>
      <c r="AC679" s="24">
        <v>1</v>
      </c>
      <c r="AD679" s="24">
        <v>0</v>
      </c>
      <c r="AE679" s="24">
        <v>0</v>
      </c>
      <c r="AF679" s="24">
        <v>1</v>
      </c>
      <c r="AG679" s="24">
        <v>0</v>
      </c>
      <c r="AH679" s="24">
        <v>0</v>
      </c>
      <c r="AI679" s="24">
        <v>0</v>
      </c>
      <c r="AJ679" s="24">
        <v>0</v>
      </c>
      <c r="AK679" s="24">
        <v>1</v>
      </c>
      <c r="AL679" s="24">
        <v>0</v>
      </c>
      <c r="AM679" s="24">
        <v>0</v>
      </c>
      <c r="AN679" s="24">
        <v>0</v>
      </c>
      <c r="AO679" s="24">
        <v>0</v>
      </c>
      <c r="AP679" s="24">
        <v>0</v>
      </c>
      <c r="AQ679" s="24">
        <v>0</v>
      </c>
      <c r="AR679" s="24">
        <v>1</v>
      </c>
      <c r="AS679" s="24">
        <v>0</v>
      </c>
      <c r="AT679" s="24">
        <v>0</v>
      </c>
      <c r="AU679" s="24">
        <v>1</v>
      </c>
      <c r="AV679" s="24">
        <v>0</v>
      </c>
      <c r="AW679" s="24">
        <v>0</v>
      </c>
      <c r="AX679" s="24">
        <v>0</v>
      </c>
      <c r="AY679" s="24">
        <v>0</v>
      </c>
      <c r="AZ679" s="24">
        <v>0</v>
      </c>
      <c r="BA679" s="24">
        <v>1</v>
      </c>
      <c r="BB679" s="24">
        <v>0</v>
      </c>
    </row>
    <row r="680" spans="2:54" ht="13.8" x14ac:dyDescent="0.3">
      <c r="B680" s="24">
        <v>660</v>
      </c>
      <c r="C680" s="24">
        <v>18</v>
      </c>
      <c r="D680" s="24">
        <v>0</v>
      </c>
      <c r="E680" s="24">
        <v>0</v>
      </c>
      <c r="F680" s="24">
        <v>1</v>
      </c>
      <c r="G680" s="24">
        <v>0</v>
      </c>
      <c r="H680" s="24">
        <v>0</v>
      </c>
      <c r="I680" s="24">
        <v>0</v>
      </c>
      <c r="J680" s="24">
        <v>6361</v>
      </c>
      <c r="K680" s="24">
        <v>2</v>
      </c>
      <c r="L680" s="24">
        <v>0</v>
      </c>
      <c r="M680" s="24">
        <v>1</v>
      </c>
      <c r="N680" s="24">
        <v>0</v>
      </c>
      <c r="O680" s="24">
        <v>0</v>
      </c>
      <c r="P680" s="24">
        <v>0</v>
      </c>
      <c r="Q680" s="24">
        <v>0</v>
      </c>
      <c r="R680" s="24">
        <v>1</v>
      </c>
      <c r="S680" s="24">
        <v>41</v>
      </c>
      <c r="T680" s="24">
        <v>0</v>
      </c>
      <c r="U680" s="24">
        <v>0</v>
      </c>
      <c r="V680" s="24">
        <v>1</v>
      </c>
      <c r="W680" s="24">
        <v>1</v>
      </c>
      <c r="X680" s="24">
        <v>1</v>
      </c>
      <c r="Y680" s="24">
        <v>1</v>
      </c>
      <c r="Z680" s="24">
        <v>0</v>
      </c>
      <c r="AA680" s="24">
        <v>1</v>
      </c>
      <c r="AB680" s="24">
        <v>0</v>
      </c>
      <c r="AC680" s="24">
        <v>1</v>
      </c>
      <c r="AD680" s="24">
        <v>0</v>
      </c>
      <c r="AE680" s="24">
        <v>0</v>
      </c>
      <c r="AF680" s="24">
        <v>0</v>
      </c>
      <c r="AG680" s="24">
        <v>0</v>
      </c>
      <c r="AH680" s="24">
        <v>0</v>
      </c>
      <c r="AI680" s="24">
        <v>0</v>
      </c>
      <c r="AJ680" s="24">
        <v>1</v>
      </c>
      <c r="AK680" s="24">
        <v>1</v>
      </c>
      <c r="AL680" s="24">
        <v>0</v>
      </c>
      <c r="AM680" s="24">
        <v>0</v>
      </c>
      <c r="AN680" s="24">
        <v>0</v>
      </c>
      <c r="AO680" s="24">
        <v>0</v>
      </c>
      <c r="AP680" s="24">
        <v>0</v>
      </c>
      <c r="AQ680" s="24">
        <v>0</v>
      </c>
      <c r="AR680" s="24">
        <v>0</v>
      </c>
      <c r="AS680" s="24">
        <v>0</v>
      </c>
      <c r="AT680" s="24">
        <v>1</v>
      </c>
      <c r="AU680" s="24">
        <v>1</v>
      </c>
      <c r="AV680" s="24">
        <v>0</v>
      </c>
      <c r="AW680" s="24">
        <v>0</v>
      </c>
      <c r="AX680" s="24">
        <v>0</v>
      </c>
      <c r="AY680" s="24">
        <v>0</v>
      </c>
      <c r="AZ680" s="24">
        <v>0</v>
      </c>
      <c r="BA680" s="24">
        <v>1</v>
      </c>
      <c r="BB680" s="24">
        <v>0</v>
      </c>
    </row>
    <row r="681" spans="2:54" ht="13.8" x14ac:dyDescent="0.3">
      <c r="B681" s="24">
        <v>661</v>
      </c>
      <c r="C681" s="24">
        <v>12</v>
      </c>
      <c r="D681" s="24">
        <v>0</v>
      </c>
      <c r="E681" s="24">
        <v>0</v>
      </c>
      <c r="F681" s="24">
        <v>0</v>
      </c>
      <c r="G681" s="24">
        <v>1</v>
      </c>
      <c r="H681" s="24">
        <v>0</v>
      </c>
      <c r="I681" s="24">
        <v>0</v>
      </c>
      <c r="J681" s="24">
        <v>1297</v>
      </c>
      <c r="K681" s="24">
        <v>3</v>
      </c>
      <c r="L681" s="24">
        <v>0</v>
      </c>
      <c r="M681" s="24">
        <v>0</v>
      </c>
      <c r="N681" s="24">
        <v>1</v>
      </c>
      <c r="O681" s="24">
        <v>0</v>
      </c>
      <c r="P681" s="24">
        <v>0</v>
      </c>
      <c r="Q681" s="24">
        <v>1</v>
      </c>
      <c r="R681" s="24">
        <v>0</v>
      </c>
      <c r="S681" s="24">
        <v>23</v>
      </c>
      <c r="T681" s="24">
        <v>0</v>
      </c>
      <c r="U681" s="24">
        <v>1</v>
      </c>
      <c r="V681" s="24">
        <v>0</v>
      </c>
      <c r="W681" s="24">
        <v>1</v>
      </c>
      <c r="X681" s="24">
        <v>1</v>
      </c>
      <c r="Y681" s="24">
        <v>0</v>
      </c>
      <c r="Z681" s="24">
        <v>0</v>
      </c>
      <c r="AA681" s="24">
        <v>1</v>
      </c>
      <c r="AB681" s="24">
        <v>0</v>
      </c>
      <c r="AC681" s="24">
        <v>0</v>
      </c>
      <c r="AD681" s="24">
        <v>1</v>
      </c>
      <c r="AE681" s="24">
        <v>0</v>
      </c>
      <c r="AF681" s="24">
        <v>0</v>
      </c>
      <c r="AG681" s="24">
        <v>0</v>
      </c>
      <c r="AH681" s="24">
        <v>1</v>
      </c>
      <c r="AI681" s="24">
        <v>0</v>
      </c>
      <c r="AJ681" s="24">
        <v>0</v>
      </c>
      <c r="AK681" s="24">
        <v>1</v>
      </c>
      <c r="AL681" s="24">
        <v>0</v>
      </c>
      <c r="AM681" s="24">
        <v>0</v>
      </c>
      <c r="AN681" s="24">
        <v>0</v>
      </c>
      <c r="AO681" s="24">
        <v>0</v>
      </c>
      <c r="AP681" s="24">
        <v>0</v>
      </c>
      <c r="AQ681" s="24">
        <v>0</v>
      </c>
      <c r="AR681" s="24">
        <v>1</v>
      </c>
      <c r="AS681" s="24">
        <v>0</v>
      </c>
      <c r="AT681" s="24">
        <v>0</v>
      </c>
      <c r="AU681" s="24">
        <v>0</v>
      </c>
      <c r="AV681" s="24">
        <v>0</v>
      </c>
      <c r="AW681" s="24">
        <v>0</v>
      </c>
      <c r="AX681" s="24">
        <v>1</v>
      </c>
      <c r="AY681" s="24">
        <v>0</v>
      </c>
      <c r="AZ681" s="24">
        <v>0</v>
      </c>
      <c r="BA681" s="24">
        <v>1</v>
      </c>
      <c r="BB681" s="24">
        <v>0</v>
      </c>
    </row>
    <row r="682" spans="2:54" ht="13.8" x14ac:dyDescent="0.3">
      <c r="B682" s="24">
        <v>662</v>
      </c>
      <c r="C682" s="24">
        <v>12</v>
      </c>
      <c r="D682" s="24">
        <v>1</v>
      </c>
      <c r="E682" s="24">
        <v>0</v>
      </c>
      <c r="F682" s="24">
        <v>0</v>
      </c>
      <c r="G682" s="24">
        <v>0</v>
      </c>
      <c r="H682" s="24">
        <v>0</v>
      </c>
      <c r="I682" s="24">
        <v>0</v>
      </c>
      <c r="J682" s="24">
        <v>900</v>
      </c>
      <c r="K682" s="24">
        <v>4</v>
      </c>
      <c r="L682" s="24">
        <v>0</v>
      </c>
      <c r="M682" s="24">
        <v>0</v>
      </c>
      <c r="N682" s="24">
        <v>1</v>
      </c>
      <c r="O682" s="24">
        <v>0</v>
      </c>
      <c r="P682" s="24">
        <v>0</v>
      </c>
      <c r="Q682" s="24">
        <v>0</v>
      </c>
      <c r="R682" s="24">
        <v>0</v>
      </c>
      <c r="S682" s="24">
        <v>23</v>
      </c>
      <c r="T682" s="24">
        <v>0</v>
      </c>
      <c r="U682" s="24">
        <v>0</v>
      </c>
      <c r="V682" s="24">
        <v>1</v>
      </c>
      <c r="W682" s="24">
        <v>1</v>
      </c>
      <c r="X682" s="24">
        <v>1</v>
      </c>
      <c r="Y682" s="24">
        <v>0</v>
      </c>
      <c r="Z682" s="24">
        <v>0</v>
      </c>
      <c r="AA682" s="24">
        <v>0</v>
      </c>
      <c r="AB682" s="24">
        <v>1</v>
      </c>
      <c r="AC682" s="24">
        <v>0</v>
      </c>
      <c r="AD682" s="24">
        <v>0</v>
      </c>
      <c r="AE682" s="24">
        <v>0</v>
      </c>
      <c r="AF682" s="24">
        <v>0</v>
      </c>
      <c r="AG682" s="24">
        <v>0</v>
      </c>
      <c r="AH682" s="24">
        <v>1</v>
      </c>
      <c r="AI682" s="24">
        <v>0</v>
      </c>
      <c r="AJ682" s="24">
        <v>0</v>
      </c>
      <c r="AK682" s="24">
        <v>0</v>
      </c>
      <c r="AL682" s="24">
        <v>0</v>
      </c>
      <c r="AM682" s="24">
        <v>0</v>
      </c>
      <c r="AN682" s="24">
        <v>0</v>
      </c>
      <c r="AO682" s="24">
        <v>1</v>
      </c>
      <c r="AP682" s="24">
        <v>0</v>
      </c>
      <c r="AQ682" s="24">
        <v>0</v>
      </c>
      <c r="AR682" s="24">
        <v>1</v>
      </c>
      <c r="AS682" s="24">
        <v>0</v>
      </c>
      <c r="AT682" s="24">
        <v>0</v>
      </c>
      <c r="AU682" s="24">
        <v>0</v>
      </c>
      <c r="AV682" s="24">
        <v>1</v>
      </c>
      <c r="AW682" s="24">
        <v>0</v>
      </c>
      <c r="AX682" s="24">
        <v>0</v>
      </c>
      <c r="AY682" s="24">
        <v>0</v>
      </c>
      <c r="AZ682" s="24">
        <v>0</v>
      </c>
      <c r="BA682" s="24">
        <v>1</v>
      </c>
      <c r="BB682" s="24">
        <v>0</v>
      </c>
    </row>
    <row r="683" spans="2:54" ht="13.8" x14ac:dyDescent="0.3">
      <c r="B683" s="24">
        <v>663</v>
      </c>
      <c r="C683" s="24">
        <v>21</v>
      </c>
      <c r="D683" s="24">
        <v>0</v>
      </c>
      <c r="E683" s="24">
        <v>0</v>
      </c>
      <c r="F683" s="24">
        <v>1</v>
      </c>
      <c r="G683" s="24">
        <v>0</v>
      </c>
      <c r="H683" s="24">
        <v>0</v>
      </c>
      <c r="I683" s="24">
        <v>0</v>
      </c>
      <c r="J683" s="24">
        <v>2241</v>
      </c>
      <c r="K683" s="24">
        <v>4</v>
      </c>
      <c r="L683" s="24">
        <v>0</v>
      </c>
      <c r="M683" s="24">
        <v>1</v>
      </c>
      <c r="N683" s="24">
        <v>0</v>
      </c>
      <c r="O683" s="24">
        <v>0</v>
      </c>
      <c r="P683" s="24">
        <v>0</v>
      </c>
      <c r="Q683" s="24">
        <v>1</v>
      </c>
      <c r="R683" s="24">
        <v>0</v>
      </c>
      <c r="S683" s="24">
        <v>50</v>
      </c>
      <c r="T683" s="24">
        <v>0</v>
      </c>
      <c r="U683" s="24">
        <v>0</v>
      </c>
      <c r="V683" s="24">
        <v>1</v>
      </c>
      <c r="W683" s="24">
        <v>2</v>
      </c>
      <c r="X683" s="24">
        <v>1</v>
      </c>
      <c r="Y683" s="24">
        <v>0</v>
      </c>
      <c r="Z683" s="24">
        <v>0</v>
      </c>
      <c r="AA683" s="24">
        <v>1</v>
      </c>
      <c r="AB683" s="24">
        <v>0</v>
      </c>
      <c r="AC683" s="24">
        <v>0</v>
      </c>
      <c r="AD683" s="24">
        <v>0</v>
      </c>
      <c r="AE683" s="24">
        <v>1</v>
      </c>
      <c r="AF683" s="24">
        <v>0</v>
      </c>
      <c r="AG683" s="24">
        <v>0</v>
      </c>
      <c r="AH683" s="24">
        <v>1</v>
      </c>
      <c r="AI683" s="24">
        <v>0</v>
      </c>
      <c r="AJ683" s="24">
        <v>0</v>
      </c>
      <c r="AK683" s="24">
        <v>1</v>
      </c>
      <c r="AL683" s="24">
        <v>0</v>
      </c>
      <c r="AM683" s="24">
        <v>0</v>
      </c>
      <c r="AN683" s="24">
        <v>0</v>
      </c>
      <c r="AO683" s="24">
        <v>0</v>
      </c>
      <c r="AP683" s="24">
        <v>0</v>
      </c>
      <c r="AQ683" s="24">
        <v>0</v>
      </c>
      <c r="AR683" s="24">
        <v>0</v>
      </c>
      <c r="AS683" s="24">
        <v>0</v>
      </c>
      <c r="AT683" s="24">
        <v>1</v>
      </c>
      <c r="AU683" s="24">
        <v>0</v>
      </c>
      <c r="AV683" s="24">
        <v>1</v>
      </c>
      <c r="AW683" s="24">
        <v>0</v>
      </c>
      <c r="AX683" s="24">
        <v>0</v>
      </c>
      <c r="AY683" s="24">
        <v>0</v>
      </c>
      <c r="AZ683" s="24">
        <v>0</v>
      </c>
      <c r="BA683" s="24">
        <v>1</v>
      </c>
      <c r="BB683" s="24">
        <v>0</v>
      </c>
    </row>
    <row r="684" spans="2:54" ht="13.8" x14ac:dyDescent="0.3">
      <c r="B684" s="24">
        <v>664</v>
      </c>
      <c r="C684" s="24">
        <v>6</v>
      </c>
      <c r="D684" s="24">
        <v>0</v>
      </c>
      <c r="E684" s="24">
        <v>0</v>
      </c>
      <c r="F684" s="24">
        <v>1</v>
      </c>
      <c r="G684" s="24">
        <v>0</v>
      </c>
      <c r="H684" s="24">
        <v>0</v>
      </c>
      <c r="I684" s="24">
        <v>0</v>
      </c>
      <c r="J684" s="24">
        <v>1050</v>
      </c>
      <c r="K684" s="24">
        <v>4</v>
      </c>
      <c r="L684" s="24">
        <v>0</v>
      </c>
      <c r="M684" s="24">
        <v>1</v>
      </c>
      <c r="N684" s="24">
        <v>0</v>
      </c>
      <c r="O684" s="24">
        <v>0</v>
      </c>
      <c r="P684" s="24">
        <v>0</v>
      </c>
      <c r="Q684" s="24">
        <v>0</v>
      </c>
      <c r="R684" s="24">
        <v>0</v>
      </c>
      <c r="S684" s="24">
        <v>35</v>
      </c>
      <c r="T684" s="24">
        <v>1</v>
      </c>
      <c r="U684" s="24">
        <v>0</v>
      </c>
      <c r="V684" s="24">
        <v>1</v>
      </c>
      <c r="W684" s="24">
        <v>2</v>
      </c>
      <c r="X684" s="24">
        <v>1</v>
      </c>
      <c r="Y684" s="24">
        <v>1</v>
      </c>
      <c r="Z684" s="24">
        <v>0</v>
      </c>
      <c r="AA684" s="24">
        <v>1</v>
      </c>
      <c r="AB684" s="24">
        <v>0</v>
      </c>
      <c r="AC684" s="24">
        <v>1</v>
      </c>
      <c r="AD684" s="24">
        <v>0</v>
      </c>
      <c r="AE684" s="24">
        <v>0</v>
      </c>
      <c r="AF684" s="24">
        <v>0</v>
      </c>
      <c r="AG684" s="24">
        <v>0</v>
      </c>
      <c r="AH684" s="24">
        <v>0</v>
      </c>
      <c r="AI684" s="24">
        <v>1</v>
      </c>
      <c r="AJ684" s="24">
        <v>0</v>
      </c>
      <c r="AK684" s="24">
        <v>1</v>
      </c>
      <c r="AL684" s="24">
        <v>0</v>
      </c>
      <c r="AM684" s="24">
        <v>0</v>
      </c>
      <c r="AN684" s="24">
        <v>0</v>
      </c>
      <c r="AO684" s="24">
        <v>0</v>
      </c>
      <c r="AP684" s="24">
        <v>1</v>
      </c>
      <c r="AQ684" s="24">
        <v>0</v>
      </c>
      <c r="AR684" s="24">
        <v>0</v>
      </c>
      <c r="AS684" s="24">
        <v>0</v>
      </c>
      <c r="AT684" s="24">
        <v>0</v>
      </c>
      <c r="AU684" s="24">
        <v>1</v>
      </c>
      <c r="AV684" s="24">
        <v>0</v>
      </c>
      <c r="AW684" s="24">
        <v>0</v>
      </c>
      <c r="AX684" s="24">
        <v>0</v>
      </c>
      <c r="AY684" s="24">
        <v>0</v>
      </c>
      <c r="AZ684" s="24">
        <v>0</v>
      </c>
      <c r="BA684" s="24">
        <v>0</v>
      </c>
      <c r="BB684" s="24">
        <v>1</v>
      </c>
    </row>
    <row r="685" spans="2:54" ht="13.8" x14ac:dyDescent="0.3">
      <c r="B685" s="24">
        <v>665</v>
      </c>
      <c r="C685" s="24">
        <v>6</v>
      </c>
      <c r="D685" s="24">
        <v>0</v>
      </c>
      <c r="E685" s="24">
        <v>0</v>
      </c>
      <c r="F685" s="24">
        <v>0</v>
      </c>
      <c r="G685" s="24">
        <v>0</v>
      </c>
      <c r="H685" s="24">
        <v>1</v>
      </c>
      <c r="I685" s="24">
        <v>0</v>
      </c>
      <c r="J685" s="24">
        <v>1047</v>
      </c>
      <c r="K685" s="24">
        <v>2</v>
      </c>
      <c r="L685" s="24">
        <v>0</v>
      </c>
      <c r="M685" s="24">
        <v>0</v>
      </c>
      <c r="N685" s="24">
        <v>0</v>
      </c>
      <c r="O685" s="24">
        <v>0</v>
      </c>
      <c r="P685" s="24">
        <v>0</v>
      </c>
      <c r="Q685" s="24">
        <v>0</v>
      </c>
      <c r="R685" s="24">
        <v>0</v>
      </c>
      <c r="S685" s="24">
        <v>50</v>
      </c>
      <c r="T685" s="24">
        <v>0</v>
      </c>
      <c r="U685" s="24">
        <v>0</v>
      </c>
      <c r="V685" s="24">
        <v>1</v>
      </c>
      <c r="W685" s="24">
        <v>1</v>
      </c>
      <c r="X685" s="24">
        <v>1</v>
      </c>
      <c r="Y685" s="24">
        <v>0</v>
      </c>
      <c r="Z685" s="24">
        <v>0</v>
      </c>
      <c r="AA685" s="24">
        <v>1</v>
      </c>
      <c r="AB685" s="24">
        <v>0</v>
      </c>
      <c r="AC685" s="24">
        <v>0</v>
      </c>
      <c r="AD685" s="24">
        <v>1</v>
      </c>
      <c r="AE685" s="24">
        <v>0</v>
      </c>
      <c r="AF685" s="24">
        <v>0</v>
      </c>
      <c r="AG685" s="24">
        <v>0</v>
      </c>
      <c r="AH685" s="24">
        <v>0</v>
      </c>
      <c r="AI685" s="24">
        <v>0</v>
      </c>
      <c r="AJ685" s="24">
        <v>1</v>
      </c>
      <c r="AK685" s="24">
        <v>1</v>
      </c>
      <c r="AL685" s="24">
        <v>0</v>
      </c>
      <c r="AM685" s="24">
        <v>0</v>
      </c>
      <c r="AN685" s="24">
        <v>0</v>
      </c>
      <c r="AO685" s="24">
        <v>0</v>
      </c>
      <c r="AP685" s="24">
        <v>0</v>
      </c>
      <c r="AQ685" s="24">
        <v>0</v>
      </c>
      <c r="AR685" s="24">
        <v>1</v>
      </c>
      <c r="AS685" s="24">
        <v>0</v>
      </c>
      <c r="AT685" s="24">
        <v>0</v>
      </c>
      <c r="AU685" s="24">
        <v>0</v>
      </c>
      <c r="AV685" s="24">
        <v>0</v>
      </c>
      <c r="AW685" s="24">
        <v>0</v>
      </c>
      <c r="AX685" s="24">
        <v>1</v>
      </c>
      <c r="AY685" s="24">
        <v>0</v>
      </c>
      <c r="AZ685" s="24">
        <v>1</v>
      </c>
      <c r="BA685" s="24">
        <v>0</v>
      </c>
      <c r="BB685" s="24">
        <v>0</v>
      </c>
    </row>
    <row r="686" spans="2:54" ht="13.8" x14ac:dyDescent="0.3">
      <c r="B686" s="24">
        <v>666</v>
      </c>
      <c r="C686" s="24">
        <v>24</v>
      </c>
      <c r="D686" s="24">
        <v>0</v>
      </c>
      <c r="E686" s="24">
        <v>0</v>
      </c>
      <c r="F686" s="24">
        <v>0</v>
      </c>
      <c r="G686" s="24">
        <v>0</v>
      </c>
      <c r="H686" s="24">
        <v>0</v>
      </c>
      <c r="I686" s="24">
        <v>0</v>
      </c>
      <c r="J686" s="24">
        <v>6314</v>
      </c>
      <c r="K686" s="24">
        <v>4</v>
      </c>
      <c r="L686" s="24">
        <v>0</v>
      </c>
      <c r="M686" s="24">
        <v>1</v>
      </c>
      <c r="N686" s="24">
        <v>0</v>
      </c>
      <c r="O686" s="24">
        <v>1</v>
      </c>
      <c r="P686" s="24">
        <v>0</v>
      </c>
      <c r="Q686" s="24">
        <v>0</v>
      </c>
      <c r="R686" s="24">
        <v>1</v>
      </c>
      <c r="S686" s="24">
        <v>27</v>
      </c>
      <c r="T686" s="24">
        <v>1</v>
      </c>
      <c r="U686" s="24">
        <v>0</v>
      </c>
      <c r="V686" s="24">
        <v>1</v>
      </c>
      <c r="W686" s="24">
        <v>2</v>
      </c>
      <c r="X686" s="24">
        <v>1</v>
      </c>
      <c r="Y686" s="24">
        <v>1</v>
      </c>
      <c r="Z686" s="24">
        <v>0</v>
      </c>
      <c r="AA686" s="24">
        <v>1</v>
      </c>
      <c r="AB686" s="24">
        <v>0</v>
      </c>
      <c r="AC686" s="24">
        <v>0</v>
      </c>
      <c r="AD686" s="24">
        <v>0</v>
      </c>
      <c r="AE686" s="24">
        <v>1</v>
      </c>
      <c r="AF686" s="24">
        <v>0</v>
      </c>
      <c r="AG686" s="24">
        <v>0</v>
      </c>
      <c r="AH686" s="24">
        <v>0</v>
      </c>
      <c r="AI686" s="24">
        <v>0</v>
      </c>
      <c r="AJ686" s="24">
        <v>1</v>
      </c>
      <c r="AK686" s="24">
        <v>1</v>
      </c>
      <c r="AL686" s="24">
        <v>0</v>
      </c>
      <c r="AM686" s="24">
        <v>0</v>
      </c>
      <c r="AN686" s="24">
        <v>0</v>
      </c>
      <c r="AO686" s="24">
        <v>0</v>
      </c>
      <c r="AP686" s="24">
        <v>1</v>
      </c>
      <c r="AQ686" s="24">
        <v>0</v>
      </c>
      <c r="AR686" s="24">
        <v>0</v>
      </c>
      <c r="AS686" s="24">
        <v>0</v>
      </c>
      <c r="AT686" s="24">
        <v>0</v>
      </c>
      <c r="AU686" s="24">
        <v>0</v>
      </c>
      <c r="AV686" s="24">
        <v>1</v>
      </c>
      <c r="AW686" s="24">
        <v>0</v>
      </c>
      <c r="AX686" s="24">
        <v>0</v>
      </c>
      <c r="AY686" s="24">
        <v>0</v>
      </c>
      <c r="AZ686" s="24">
        <v>0</v>
      </c>
      <c r="BA686" s="24">
        <v>0</v>
      </c>
      <c r="BB686" s="24">
        <v>1</v>
      </c>
    </row>
    <row r="687" spans="2:54" ht="13.8" x14ac:dyDescent="0.3">
      <c r="B687" s="24">
        <v>667</v>
      </c>
      <c r="C687" s="24">
        <v>30</v>
      </c>
      <c r="D687" s="24">
        <v>0</v>
      </c>
      <c r="E687" s="24">
        <v>0</v>
      </c>
      <c r="F687" s="24">
        <v>1</v>
      </c>
      <c r="G687" s="24">
        <v>0</v>
      </c>
      <c r="H687" s="24">
        <v>0</v>
      </c>
      <c r="I687" s="24">
        <v>0</v>
      </c>
      <c r="J687" s="24">
        <v>3496</v>
      </c>
      <c r="K687" s="24">
        <v>4</v>
      </c>
      <c r="L687" s="24">
        <v>0</v>
      </c>
      <c r="M687" s="24">
        <v>1</v>
      </c>
      <c r="N687" s="24">
        <v>0</v>
      </c>
      <c r="O687" s="24">
        <v>0</v>
      </c>
      <c r="P687" s="24">
        <v>0</v>
      </c>
      <c r="Q687" s="24">
        <v>0</v>
      </c>
      <c r="R687" s="24">
        <v>0</v>
      </c>
      <c r="S687" s="24">
        <v>34</v>
      </c>
      <c r="T687" s="24">
        <v>1</v>
      </c>
      <c r="U687" s="24">
        <v>0</v>
      </c>
      <c r="V687" s="24">
        <v>1</v>
      </c>
      <c r="W687" s="24">
        <v>1</v>
      </c>
      <c r="X687" s="24">
        <v>2</v>
      </c>
      <c r="Y687" s="24">
        <v>1</v>
      </c>
      <c r="Z687" s="24">
        <v>0</v>
      </c>
      <c r="AA687" s="24">
        <v>1</v>
      </c>
      <c r="AB687" s="24">
        <v>0</v>
      </c>
      <c r="AC687" s="24">
        <v>1</v>
      </c>
      <c r="AD687" s="24">
        <v>0</v>
      </c>
      <c r="AE687" s="24">
        <v>0</v>
      </c>
      <c r="AF687" s="24">
        <v>0</v>
      </c>
      <c r="AG687" s="24">
        <v>1</v>
      </c>
      <c r="AH687" s="24">
        <v>0</v>
      </c>
      <c r="AI687" s="24">
        <v>0</v>
      </c>
      <c r="AJ687" s="24">
        <v>0</v>
      </c>
      <c r="AK687" s="24">
        <v>0</v>
      </c>
      <c r="AL687" s="24">
        <v>0</v>
      </c>
      <c r="AM687" s="24">
        <v>0</v>
      </c>
      <c r="AN687" s="24">
        <v>1</v>
      </c>
      <c r="AO687" s="24">
        <v>0</v>
      </c>
      <c r="AP687" s="24">
        <v>0</v>
      </c>
      <c r="AQ687" s="24">
        <v>0</v>
      </c>
      <c r="AR687" s="24">
        <v>1</v>
      </c>
      <c r="AS687" s="24">
        <v>0</v>
      </c>
      <c r="AT687" s="24">
        <v>0</v>
      </c>
      <c r="AU687" s="24">
        <v>0</v>
      </c>
      <c r="AV687" s="24">
        <v>1</v>
      </c>
      <c r="AW687" s="24">
        <v>0</v>
      </c>
      <c r="AX687" s="24">
        <v>0</v>
      </c>
      <c r="AY687" s="24">
        <v>0</v>
      </c>
      <c r="AZ687" s="24">
        <v>0</v>
      </c>
      <c r="BA687" s="24">
        <v>1</v>
      </c>
      <c r="BB687" s="24">
        <v>0</v>
      </c>
    </row>
    <row r="688" spans="2:54" ht="13.8" x14ac:dyDescent="0.3">
      <c r="B688" s="24">
        <v>668</v>
      </c>
      <c r="C688" s="24">
        <v>48</v>
      </c>
      <c r="D688" s="24">
        <v>0</v>
      </c>
      <c r="E688" s="24">
        <v>0</v>
      </c>
      <c r="F688" s="24">
        <v>0</v>
      </c>
      <c r="G688" s="24">
        <v>0</v>
      </c>
      <c r="H688" s="24">
        <v>0</v>
      </c>
      <c r="I688" s="24">
        <v>1</v>
      </c>
      <c r="J688" s="24">
        <v>3609</v>
      </c>
      <c r="K688" s="24">
        <v>1</v>
      </c>
      <c r="L688" s="24">
        <v>0</v>
      </c>
      <c r="M688" s="24">
        <v>0</v>
      </c>
      <c r="N688" s="24">
        <v>0</v>
      </c>
      <c r="O688" s="24">
        <v>0</v>
      </c>
      <c r="P688" s="24">
        <v>0</v>
      </c>
      <c r="Q688" s="24">
        <v>1</v>
      </c>
      <c r="R688" s="24">
        <v>0</v>
      </c>
      <c r="S688" s="24">
        <v>27</v>
      </c>
      <c r="T688" s="24">
        <v>1</v>
      </c>
      <c r="U688" s="24">
        <v>0</v>
      </c>
      <c r="V688" s="24">
        <v>1</v>
      </c>
      <c r="W688" s="24">
        <v>1</v>
      </c>
      <c r="X688" s="24">
        <v>1</v>
      </c>
      <c r="Y688" s="24">
        <v>0</v>
      </c>
      <c r="Z688" s="24">
        <v>0</v>
      </c>
      <c r="AA688" s="24">
        <v>1</v>
      </c>
      <c r="AB688" s="24">
        <v>0</v>
      </c>
      <c r="AC688" s="24">
        <v>0</v>
      </c>
      <c r="AD688" s="24">
        <v>0</v>
      </c>
      <c r="AE688" s="24">
        <v>1</v>
      </c>
      <c r="AF688" s="24">
        <v>0</v>
      </c>
      <c r="AG688" s="24">
        <v>1</v>
      </c>
      <c r="AH688" s="24">
        <v>0</v>
      </c>
      <c r="AI688" s="24">
        <v>0</v>
      </c>
      <c r="AJ688" s="24">
        <v>0</v>
      </c>
      <c r="AK688" s="24">
        <v>1</v>
      </c>
      <c r="AL688" s="24">
        <v>0</v>
      </c>
      <c r="AM688" s="24">
        <v>0</v>
      </c>
      <c r="AN688" s="24">
        <v>0</v>
      </c>
      <c r="AO688" s="24">
        <v>0</v>
      </c>
      <c r="AP688" s="24">
        <v>0</v>
      </c>
      <c r="AQ688" s="24">
        <v>0</v>
      </c>
      <c r="AR688" s="24">
        <v>1</v>
      </c>
      <c r="AS688" s="24">
        <v>0</v>
      </c>
      <c r="AT688" s="24">
        <v>0</v>
      </c>
      <c r="AU688" s="24">
        <v>1</v>
      </c>
      <c r="AV688" s="24">
        <v>0</v>
      </c>
      <c r="AW688" s="24">
        <v>0</v>
      </c>
      <c r="AX688" s="24">
        <v>0</v>
      </c>
      <c r="AY688" s="24">
        <v>0</v>
      </c>
      <c r="AZ688" s="24">
        <v>0</v>
      </c>
      <c r="BA688" s="24">
        <v>1</v>
      </c>
      <c r="BB688" s="24">
        <v>0</v>
      </c>
    </row>
    <row r="689" spans="2:54" ht="13.8" x14ac:dyDescent="0.3">
      <c r="B689" s="24">
        <v>669</v>
      </c>
      <c r="C689" s="24">
        <v>12</v>
      </c>
      <c r="D689" s="24">
        <v>1</v>
      </c>
      <c r="E689" s="24">
        <v>0</v>
      </c>
      <c r="F689" s="24">
        <v>0</v>
      </c>
      <c r="G689" s="24">
        <v>0</v>
      </c>
      <c r="H689" s="24">
        <v>0</v>
      </c>
      <c r="I689" s="24">
        <v>0</v>
      </c>
      <c r="J689" s="24">
        <v>4843</v>
      </c>
      <c r="K689" s="24">
        <v>3</v>
      </c>
      <c r="L689" s="24">
        <v>0</v>
      </c>
      <c r="M689" s="24">
        <v>1</v>
      </c>
      <c r="N689" s="24">
        <v>0</v>
      </c>
      <c r="O689" s="24">
        <v>1</v>
      </c>
      <c r="P689" s="24">
        <v>0</v>
      </c>
      <c r="Q689" s="24">
        <v>0</v>
      </c>
      <c r="R689" s="24">
        <v>0</v>
      </c>
      <c r="S689" s="24">
        <v>43</v>
      </c>
      <c r="T689" s="24">
        <v>0</v>
      </c>
      <c r="U689" s="24">
        <v>1</v>
      </c>
      <c r="V689" s="24">
        <v>0</v>
      </c>
      <c r="W689" s="24">
        <v>2</v>
      </c>
      <c r="X689" s="24">
        <v>1</v>
      </c>
      <c r="Y689" s="24">
        <v>1</v>
      </c>
      <c r="Z689" s="24">
        <v>0</v>
      </c>
      <c r="AA689" s="24">
        <v>0</v>
      </c>
      <c r="AB689" s="24">
        <v>1</v>
      </c>
      <c r="AC689" s="24">
        <v>0</v>
      </c>
      <c r="AD689" s="24">
        <v>0</v>
      </c>
      <c r="AE689" s="24">
        <v>0</v>
      </c>
      <c r="AF689" s="24">
        <v>0</v>
      </c>
      <c r="AG689" s="24">
        <v>0</v>
      </c>
      <c r="AH689" s="24">
        <v>0</v>
      </c>
      <c r="AI689" s="24">
        <v>0</v>
      </c>
      <c r="AJ689" s="24">
        <v>1</v>
      </c>
      <c r="AK689" s="24">
        <v>1</v>
      </c>
      <c r="AL689" s="24">
        <v>0</v>
      </c>
      <c r="AM689" s="24">
        <v>0</v>
      </c>
      <c r="AN689" s="24">
        <v>0</v>
      </c>
      <c r="AO689" s="24">
        <v>0</v>
      </c>
      <c r="AP689" s="24">
        <v>0</v>
      </c>
      <c r="AQ689" s="24">
        <v>0</v>
      </c>
      <c r="AR689" s="24">
        <v>0</v>
      </c>
      <c r="AS689" s="24">
        <v>0</v>
      </c>
      <c r="AT689" s="24">
        <v>1</v>
      </c>
      <c r="AU689" s="24">
        <v>0</v>
      </c>
      <c r="AV689" s="24">
        <v>0</v>
      </c>
      <c r="AW689" s="24">
        <v>0</v>
      </c>
      <c r="AX689" s="24">
        <v>1</v>
      </c>
      <c r="AY689" s="24">
        <v>0</v>
      </c>
      <c r="AZ689" s="24">
        <v>0</v>
      </c>
      <c r="BA689" s="24">
        <v>1</v>
      </c>
      <c r="BB689" s="24">
        <v>0</v>
      </c>
    </row>
    <row r="690" spans="2:54" ht="13.8" x14ac:dyDescent="0.3">
      <c r="B690" s="24">
        <v>670</v>
      </c>
      <c r="C690" s="24">
        <v>30</v>
      </c>
      <c r="D690" s="24">
        <v>0</v>
      </c>
      <c r="E690" s="24">
        <v>0</v>
      </c>
      <c r="F690" s="24">
        <v>0</v>
      </c>
      <c r="G690" s="24">
        <v>1</v>
      </c>
      <c r="H690" s="24">
        <v>0</v>
      </c>
      <c r="I690" s="24">
        <v>0</v>
      </c>
      <c r="J690" s="24">
        <v>3017</v>
      </c>
      <c r="K690" s="24">
        <v>4</v>
      </c>
      <c r="L690" s="24">
        <v>0</v>
      </c>
      <c r="M690" s="24">
        <v>1</v>
      </c>
      <c r="N690" s="24">
        <v>0</v>
      </c>
      <c r="O690" s="24">
        <v>0</v>
      </c>
      <c r="P690" s="24">
        <v>0</v>
      </c>
      <c r="Q690" s="24">
        <v>0</v>
      </c>
      <c r="R690" s="24">
        <v>0</v>
      </c>
      <c r="S690" s="24">
        <v>47</v>
      </c>
      <c r="T690" s="24">
        <v>0</v>
      </c>
      <c r="U690" s="24">
        <v>0</v>
      </c>
      <c r="V690" s="24">
        <v>1</v>
      </c>
      <c r="W690" s="24">
        <v>1</v>
      </c>
      <c r="X690" s="24">
        <v>1</v>
      </c>
      <c r="Y690" s="24">
        <v>0</v>
      </c>
      <c r="Z690" s="24">
        <v>0</v>
      </c>
      <c r="AA690" s="24">
        <v>1</v>
      </c>
      <c r="AB690" s="24">
        <v>0</v>
      </c>
      <c r="AC690" s="24">
        <v>0</v>
      </c>
      <c r="AD690" s="24">
        <v>1</v>
      </c>
      <c r="AE690" s="24">
        <v>0</v>
      </c>
      <c r="AF690" s="24">
        <v>0</v>
      </c>
      <c r="AG690" s="24">
        <v>0</v>
      </c>
      <c r="AH690" s="24">
        <v>0</v>
      </c>
      <c r="AI690" s="24">
        <v>0</v>
      </c>
      <c r="AJ690" s="24">
        <v>1</v>
      </c>
      <c r="AK690" s="24">
        <v>1</v>
      </c>
      <c r="AL690" s="24">
        <v>0</v>
      </c>
      <c r="AM690" s="24">
        <v>0</v>
      </c>
      <c r="AN690" s="24">
        <v>0</v>
      </c>
      <c r="AO690" s="24">
        <v>0</v>
      </c>
      <c r="AP690" s="24">
        <v>0</v>
      </c>
      <c r="AQ690" s="24">
        <v>0</v>
      </c>
      <c r="AR690" s="24">
        <v>0</v>
      </c>
      <c r="AS690" s="24">
        <v>0</v>
      </c>
      <c r="AT690" s="24">
        <v>1</v>
      </c>
      <c r="AU690" s="24">
        <v>0</v>
      </c>
      <c r="AV690" s="24">
        <v>0</v>
      </c>
      <c r="AW690" s="24">
        <v>0</v>
      </c>
      <c r="AX690" s="24">
        <v>1</v>
      </c>
      <c r="AY690" s="24">
        <v>0</v>
      </c>
      <c r="AZ690" s="24">
        <v>0</v>
      </c>
      <c r="BA690" s="24">
        <v>1</v>
      </c>
      <c r="BB690" s="24">
        <v>0</v>
      </c>
    </row>
    <row r="691" spans="2:54" ht="13.8" x14ac:dyDescent="0.3">
      <c r="B691" s="24">
        <v>671</v>
      </c>
      <c r="C691" s="24">
        <v>24</v>
      </c>
      <c r="D691" s="24">
        <v>0</v>
      </c>
      <c r="E691" s="24">
        <v>0</v>
      </c>
      <c r="F691" s="24">
        <v>0</v>
      </c>
      <c r="G691" s="24">
        <v>0</v>
      </c>
      <c r="H691" s="24">
        <v>0</v>
      </c>
      <c r="I691" s="24">
        <v>1</v>
      </c>
      <c r="J691" s="24">
        <v>4139</v>
      </c>
      <c r="K691" s="24">
        <v>3</v>
      </c>
      <c r="L691" s="24">
        <v>0</v>
      </c>
      <c r="M691" s="24">
        <v>1</v>
      </c>
      <c r="N691" s="24">
        <v>0</v>
      </c>
      <c r="O691" s="24">
        <v>0</v>
      </c>
      <c r="P691" s="24">
        <v>0</v>
      </c>
      <c r="Q691" s="24">
        <v>0</v>
      </c>
      <c r="R691" s="24">
        <v>0</v>
      </c>
      <c r="S691" s="24">
        <v>27</v>
      </c>
      <c r="T691" s="24">
        <v>0</v>
      </c>
      <c r="U691" s="24">
        <v>0</v>
      </c>
      <c r="V691" s="24">
        <v>1</v>
      </c>
      <c r="W691" s="24">
        <v>2</v>
      </c>
      <c r="X691" s="24">
        <v>1</v>
      </c>
      <c r="Y691" s="24">
        <v>1</v>
      </c>
      <c r="Z691" s="24">
        <v>0</v>
      </c>
      <c r="AA691" s="24">
        <v>1</v>
      </c>
      <c r="AB691" s="24">
        <v>0</v>
      </c>
      <c r="AC691" s="24">
        <v>0</v>
      </c>
      <c r="AD691" s="24">
        <v>0</v>
      </c>
      <c r="AE691" s="24">
        <v>1</v>
      </c>
      <c r="AF691" s="24">
        <v>0</v>
      </c>
      <c r="AG691" s="24">
        <v>0</v>
      </c>
      <c r="AH691" s="24">
        <v>0</v>
      </c>
      <c r="AI691" s="24">
        <v>0</v>
      </c>
      <c r="AJ691" s="24">
        <v>1</v>
      </c>
      <c r="AK691" s="24">
        <v>0</v>
      </c>
      <c r="AL691" s="24">
        <v>1</v>
      </c>
      <c r="AM691" s="24">
        <v>0</v>
      </c>
      <c r="AN691" s="24">
        <v>0</v>
      </c>
      <c r="AO691" s="24">
        <v>0</v>
      </c>
      <c r="AP691" s="24">
        <v>0</v>
      </c>
      <c r="AQ691" s="24">
        <v>0</v>
      </c>
      <c r="AR691" s="24">
        <v>1</v>
      </c>
      <c r="AS691" s="24">
        <v>0</v>
      </c>
      <c r="AT691" s="24">
        <v>0</v>
      </c>
      <c r="AU691" s="24">
        <v>0</v>
      </c>
      <c r="AV691" s="24">
        <v>0</v>
      </c>
      <c r="AW691" s="24">
        <v>1</v>
      </c>
      <c r="AX691" s="24">
        <v>0</v>
      </c>
      <c r="AY691" s="24">
        <v>0</v>
      </c>
      <c r="AZ691" s="24">
        <v>1</v>
      </c>
      <c r="BA691" s="24">
        <v>0</v>
      </c>
      <c r="BB691" s="24">
        <v>0</v>
      </c>
    </row>
    <row r="692" spans="2:54" ht="13.8" x14ac:dyDescent="0.3">
      <c r="B692" s="24">
        <v>672</v>
      </c>
      <c r="C692" s="24">
        <v>36</v>
      </c>
      <c r="D692" s="24">
        <v>0</v>
      </c>
      <c r="E692" s="24">
        <v>0</v>
      </c>
      <c r="F692" s="24">
        <v>0</v>
      </c>
      <c r="G692" s="24">
        <v>0</v>
      </c>
      <c r="H692" s="24">
        <v>0</v>
      </c>
      <c r="I692" s="24">
        <v>1</v>
      </c>
      <c r="J692" s="24">
        <v>5742</v>
      </c>
      <c r="K692" s="24">
        <v>2</v>
      </c>
      <c r="L692" s="24">
        <v>0</v>
      </c>
      <c r="M692" s="24">
        <v>1</v>
      </c>
      <c r="N692" s="24">
        <v>0</v>
      </c>
      <c r="O692" s="24">
        <v>0</v>
      </c>
      <c r="P692" s="24">
        <v>0</v>
      </c>
      <c r="Q692" s="24">
        <v>0</v>
      </c>
      <c r="R692" s="24">
        <v>0</v>
      </c>
      <c r="S692" s="24">
        <v>31</v>
      </c>
      <c r="T692" s="24">
        <v>0</v>
      </c>
      <c r="U692" s="24">
        <v>0</v>
      </c>
      <c r="V692" s="24">
        <v>1</v>
      </c>
      <c r="W692" s="24">
        <v>2</v>
      </c>
      <c r="X692" s="24">
        <v>1</v>
      </c>
      <c r="Y692" s="24">
        <v>1</v>
      </c>
      <c r="Z692" s="24">
        <v>0</v>
      </c>
      <c r="AA692" s="24">
        <v>1</v>
      </c>
      <c r="AB692" s="24">
        <v>0</v>
      </c>
      <c r="AC692" s="24">
        <v>0</v>
      </c>
      <c r="AD692" s="24">
        <v>0</v>
      </c>
      <c r="AE692" s="24">
        <v>1</v>
      </c>
      <c r="AF692" s="24">
        <v>0</v>
      </c>
      <c r="AG692" s="24">
        <v>0</v>
      </c>
      <c r="AH692" s="24">
        <v>1</v>
      </c>
      <c r="AI692" s="24">
        <v>0</v>
      </c>
      <c r="AJ692" s="24">
        <v>0</v>
      </c>
      <c r="AK692" s="24">
        <v>0</v>
      </c>
      <c r="AL692" s="24">
        <v>1</v>
      </c>
      <c r="AM692" s="24">
        <v>0</v>
      </c>
      <c r="AN692" s="24">
        <v>0</v>
      </c>
      <c r="AO692" s="24">
        <v>0</v>
      </c>
      <c r="AP692" s="24">
        <v>0</v>
      </c>
      <c r="AQ692" s="24">
        <v>0</v>
      </c>
      <c r="AR692" s="24">
        <v>0</v>
      </c>
      <c r="AS692" s="24">
        <v>1</v>
      </c>
      <c r="AT692" s="24">
        <v>0</v>
      </c>
      <c r="AU692" s="24">
        <v>0</v>
      </c>
      <c r="AV692" s="24">
        <v>1</v>
      </c>
      <c r="AW692" s="24">
        <v>0</v>
      </c>
      <c r="AX692" s="24">
        <v>0</v>
      </c>
      <c r="AY692" s="24">
        <v>0</v>
      </c>
      <c r="AZ692" s="24">
        <v>0</v>
      </c>
      <c r="BA692" s="24">
        <v>1</v>
      </c>
      <c r="BB692" s="24">
        <v>0</v>
      </c>
    </row>
    <row r="693" spans="2:54" ht="13.8" x14ac:dyDescent="0.3">
      <c r="B693" s="24">
        <v>673</v>
      </c>
      <c r="C693" s="24">
        <v>60</v>
      </c>
      <c r="D693" s="24">
        <v>1</v>
      </c>
      <c r="E693" s="24">
        <v>0</v>
      </c>
      <c r="F693" s="24">
        <v>0</v>
      </c>
      <c r="G693" s="24">
        <v>0</v>
      </c>
      <c r="H693" s="24">
        <v>0</v>
      </c>
      <c r="I693" s="24">
        <v>0</v>
      </c>
      <c r="J693" s="24">
        <v>10366</v>
      </c>
      <c r="K693" s="24">
        <v>2</v>
      </c>
      <c r="L693" s="24">
        <v>0</v>
      </c>
      <c r="M693" s="24">
        <v>1</v>
      </c>
      <c r="N693" s="24">
        <v>0</v>
      </c>
      <c r="O693" s="24">
        <v>0</v>
      </c>
      <c r="P693" s="24">
        <v>0</v>
      </c>
      <c r="Q693" s="24">
        <v>0</v>
      </c>
      <c r="R693" s="24">
        <v>0</v>
      </c>
      <c r="S693" s="24">
        <v>42</v>
      </c>
      <c r="T693" s="24">
        <v>0</v>
      </c>
      <c r="U693" s="24">
        <v>0</v>
      </c>
      <c r="V693" s="24">
        <v>1</v>
      </c>
      <c r="W693" s="24">
        <v>1</v>
      </c>
      <c r="X693" s="24">
        <v>1</v>
      </c>
      <c r="Y693" s="24">
        <v>1</v>
      </c>
      <c r="Z693" s="24">
        <v>0</v>
      </c>
      <c r="AA693" s="24">
        <v>1</v>
      </c>
      <c r="AB693" s="24">
        <v>0</v>
      </c>
      <c r="AC693" s="24">
        <v>0</v>
      </c>
      <c r="AD693" s="24">
        <v>0</v>
      </c>
      <c r="AE693" s="24">
        <v>1</v>
      </c>
      <c r="AF693" s="24">
        <v>0</v>
      </c>
      <c r="AG693" s="24">
        <v>0</v>
      </c>
      <c r="AH693" s="24">
        <v>1</v>
      </c>
      <c r="AI693" s="24">
        <v>0</v>
      </c>
      <c r="AJ693" s="24">
        <v>0</v>
      </c>
      <c r="AK693" s="24">
        <v>1</v>
      </c>
      <c r="AL693" s="24">
        <v>0</v>
      </c>
      <c r="AM693" s="24">
        <v>0</v>
      </c>
      <c r="AN693" s="24">
        <v>0</v>
      </c>
      <c r="AO693" s="24">
        <v>0</v>
      </c>
      <c r="AP693" s="24">
        <v>0</v>
      </c>
      <c r="AQ693" s="24">
        <v>0</v>
      </c>
      <c r="AR693" s="24">
        <v>0</v>
      </c>
      <c r="AS693" s="24">
        <v>0</v>
      </c>
      <c r="AT693" s="24">
        <v>1</v>
      </c>
      <c r="AU693" s="24">
        <v>0</v>
      </c>
      <c r="AV693" s="24">
        <v>0</v>
      </c>
      <c r="AW693" s="24">
        <v>0</v>
      </c>
      <c r="AX693" s="24">
        <v>1</v>
      </c>
      <c r="AY693" s="24">
        <v>0</v>
      </c>
      <c r="AZ693" s="24">
        <v>0</v>
      </c>
      <c r="BA693" s="24">
        <v>0</v>
      </c>
      <c r="BB693" s="24">
        <v>1</v>
      </c>
    </row>
    <row r="694" spans="2:54" ht="13.8" x14ac:dyDescent="0.3">
      <c r="B694" s="24">
        <v>674</v>
      </c>
      <c r="C694" s="24">
        <v>6</v>
      </c>
      <c r="D694" s="24">
        <v>1</v>
      </c>
      <c r="E694" s="24">
        <v>0</v>
      </c>
      <c r="F694" s="24">
        <v>0</v>
      </c>
      <c r="G694" s="24">
        <v>0</v>
      </c>
      <c r="H694" s="24">
        <v>0</v>
      </c>
      <c r="I694" s="24">
        <v>0</v>
      </c>
      <c r="J694" s="24">
        <v>2080</v>
      </c>
      <c r="K694" s="24">
        <v>1</v>
      </c>
      <c r="L694" s="24">
        <v>0</v>
      </c>
      <c r="M694" s="24">
        <v>0</v>
      </c>
      <c r="N694" s="24">
        <v>1</v>
      </c>
      <c r="O694" s="24">
        <v>0</v>
      </c>
      <c r="P694" s="24">
        <v>0</v>
      </c>
      <c r="Q694" s="24">
        <v>0</v>
      </c>
      <c r="R694" s="24">
        <v>0</v>
      </c>
      <c r="S694" s="24">
        <v>24</v>
      </c>
      <c r="T694" s="24">
        <v>0</v>
      </c>
      <c r="U694" s="24">
        <v>0</v>
      </c>
      <c r="V694" s="24">
        <v>1</v>
      </c>
      <c r="W694" s="24">
        <v>1</v>
      </c>
      <c r="X694" s="24">
        <v>1</v>
      </c>
      <c r="Y694" s="24">
        <v>0</v>
      </c>
      <c r="Z694" s="24">
        <v>0</v>
      </c>
      <c r="AA694" s="24">
        <v>1</v>
      </c>
      <c r="AB694" s="24">
        <v>0</v>
      </c>
      <c r="AC694" s="24">
        <v>0</v>
      </c>
      <c r="AD694" s="24">
        <v>0</v>
      </c>
      <c r="AE694" s="24">
        <v>1</v>
      </c>
      <c r="AF694" s="24">
        <v>0</v>
      </c>
      <c r="AG694" s="24">
        <v>0</v>
      </c>
      <c r="AH694" s="24">
        <v>0</v>
      </c>
      <c r="AI694" s="24">
        <v>0</v>
      </c>
      <c r="AJ694" s="24">
        <v>1</v>
      </c>
      <c r="AK694" s="24">
        <v>0</v>
      </c>
      <c r="AL694" s="24">
        <v>0</v>
      </c>
      <c r="AM694" s="24">
        <v>1</v>
      </c>
      <c r="AN694" s="24">
        <v>0</v>
      </c>
      <c r="AO694" s="24">
        <v>0</v>
      </c>
      <c r="AP694" s="24">
        <v>0</v>
      </c>
      <c r="AQ694" s="24">
        <v>0</v>
      </c>
      <c r="AR694" s="24">
        <v>1</v>
      </c>
      <c r="AS694" s="24">
        <v>0</v>
      </c>
      <c r="AT694" s="24">
        <v>0</v>
      </c>
      <c r="AU694" s="24">
        <v>0</v>
      </c>
      <c r="AV694" s="24">
        <v>1</v>
      </c>
      <c r="AW694" s="24">
        <v>0</v>
      </c>
      <c r="AX694" s="24">
        <v>0</v>
      </c>
      <c r="AY694" s="24">
        <v>0</v>
      </c>
      <c r="AZ694" s="24">
        <v>0</v>
      </c>
      <c r="BA694" s="24">
        <v>1</v>
      </c>
      <c r="BB694" s="24">
        <v>0</v>
      </c>
    </row>
    <row r="695" spans="2:54" ht="13.8" x14ac:dyDescent="0.3">
      <c r="B695" s="24">
        <v>675</v>
      </c>
      <c r="C695" s="24">
        <v>21</v>
      </c>
      <c r="D695" s="24">
        <v>0</v>
      </c>
      <c r="E695" s="24">
        <v>0</v>
      </c>
      <c r="F695" s="24">
        <v>0</v>
      </c>
      <c r="G695" s="24">
        <v>0</v>
      </c>
      <c r="H695" s="24">
        <v>0</v>
      </c>
      <c r="I695" s="24">
        <v>1</v>
      </c>
      <c r="J695" s="24">
        <v>2580</v>
      </c>
      <c r="K695" s="24">
        <v>4</v>
      </c>
      <c r="L695" s="24">
        <v>0</v>
      </c>
      <c r="M695" s="24">
        <v>1</v>
      </c>
      <c r="N695" s="24">
        <v>0</v>
      </c>
      <c r="O695" s="24">
        <v>0</v>
      </c>
      <c r="P695" s="24">
        <v>0</v>
      </c>
      <c r="Q695" s="24">
        <v>1</v>
      </c>
      <c r="R695" s="24">
        <v>0</v>
      </c>
      <c r="S695" s="24">
        <v>41</v>
      </c>
      <c r="T695" s="24">
        <v>1</v>
      </c>
      <c r="U695" s="24">
        <v>0</v>
      </c>
      <c r="V695" s="24">
        <v>1</v>
      </c>
      <c r="W695" s="24">
        <v>1</v>
      </c>
      <c r="X695" s="24">
        <v>2</v>
      </c>
      <c r="Y695" s="24">
        <v>0</v>
      </c>
      <c r="Z695" s="24">
        <v>0</v>
      </c>
      <c r="AA695" s="24">
        <v>0</v>
      </c>
      <c r="AB695" s="24">
        <v>0</v>
      </c>
      <c r="AC695" s="24">
        <v>0</v>
      </c>
      <c r="AD695" s="24">
        <v>0</v>
      </c>
      <c r="AE695" s="24">
        <v>1</v>
      </c>
      <c r="AF695" s="24">
        <v>0</v>
      </c>
      <c r="AG695" s="24">
        <v>0</v>
      </c>
      <c r="AH695" s="24">
        <v>0</v>
      </c>
      <c r="AI695" s="24">
        <v>1</v>
      </c>
      <c r="AJ695" s="24">
        <v>0</v>
      </c>
      <c r="AK695" s="24">
        <v>0</v>
      </c>
      <c r="AL695" s="24">
        <v>0</v>
      </c>
      <c r="AM695" s="24">
        <v>1</v>
      </c>
      <c r="AN695" s="24">
        <v>0</v>
      </c>
      <c r="AO695" s="24">
        <v>0</v>
      </c>
      <c r="AP695" s="24">
        <v>0</v>
      </c>
      <c r="AQ695" s="24">
        <v>1</v>
      </c>
      <c r="AR695" s="24">
        <v>0</v>
      </c>
      <c r="AS695" s="24">
        <v>0</v>
      </c>
      <c r="AT695" s="24">
        <v>0</v>
      </c>
      <c r="AU695" s="24">
        <v>0</v>
      </c>
      <c r="AV695" s="24">
        <v>1</v>
      </c>
      <c r="AW695" s="24">
        <v>0</v>
      </c>
      <c r="AX695" s="24">
        <v>0</v>
      </c>
      <c r="AY695" s="24">
        <v>0</v>
      </c>
      <c r="AZ695" s="24">
        <v>1</v>
      </c>
      <c r="BA695" s="24">
        <v>0</v>
      </c>
      <c r="BB695" s="24">
        <v>0</v>
      </c>
    </row>
    <row r="696" spans="2:54" ht="13.8" x14ac:dyDescent="0.3">
      <c r="B696" s="24">
        <v>676</v>
      </c>
      <c r="C696" s="24">
        <v>30</v>
      </c>
      <c r="D696" s="24">
        <v>0</v>
      </c>
      <c r="E696" s="24">
        <v>0</v>
      </c>
      <c r="F696" s="24">
        <v>0</v>
      </c>
      <c r="G696" s="24">
        <v>1</v>
      </c>
      <c r="H696" s="24">
        <v>0</v>
      </c>
      <c r="I696" s="24">
        <v>0</v>
      </c>
      <c r="J696" s="24">
        <v>4530</v>
      </c>
      <c r="K696" s="24">
        <v>4</v>
      </c>
      <c r="L696" s="24">
        <v>0</v>
      </c>
      <c r="M696" s="24">
        <v>0</v>
      </c>
      <c r="N696" s="24">
        <v>0</v>
      </c>
      <c r="O696" s="24">
        <v>0</v>
      </c>
      <c r="P696" s="24">
        <v>0</v>
      </c>
      <c r="Q696" s="24">
        <v>0</v>
      </c>
      <c r="R696" s="24">
        <v>0</v>
      </c>
      <c r="S696" s="24">
        <v>26</v>
      </c>
      <c r="T696" s="24">
        <v>0</v>
      </c>
      <c r="U696" s="24">
        <v>1</v>
      </c>
      <c r="V696" s="24">
        <v>0</v>
      </c>
      <c r="W696" s="24">
        <v>1</v>
      </c>
      <c r="X696" s="24">
        <v>1</v>
      </c>
      <c r="Y696" s="24">
        <v>1</v>
      </c>
      <c r="Z696" s="24">
        <v>0</v>
      </c>
      <c r="AA696" s="24">
        <v>1</v>
      </c>
      <c r="AB696" s="24">
        <v>0</v>
      </c>
      <c r="AC696" s="24">
        <v>0</v>
      </c>
      <c r="AD696" s="24">
        <v>0</v>
      </c>
      <c r="AE696" s="24">
        <v>1</v>
      </c>
      <c r="AF696" s="24">
        <v>0</v>
      </c>
      <c r="AG696" s="24">
        <v>0</v>
      </c>
      <c r="AH696" s="24">
        <v>0</v>
      </c>
      <c r="AI696" s="24">
        <v>0</v>
      </c>
      <c r="AJ696" s="24">
        <v>1</v>
      </c>
      <c r="AK696" s="24">
        <v>1</v>
      </c>
      <c r="AL696" s="24">
        <v>0</v>
      </c>
      <c r="AM696" s="24">
        <v>0</v>
      </c>
      <c r="AN696" s="24">
        <v>0</v>
      </c>
      <c r="AO696" s="24">
        <v>0</v>
      </c>
      <c r="AP696" s="24">
        <v>0</v>
      </c>
      <c r="AQ696" s="24">
        <v>0</v>
      </c>
      <c r="AR696" s="24">
        <v>0</v>
      </c>
      <c r="AS696" s="24">
        <v>1</v>
      </c>
      <c r="AT696" s="24">
        <v>0</v>
      </c>
      <c r="AU696" s="24">
        <v>0</v>
      </c>
      <c r="AV696" s="24">
        <v>0</v>
      </c>
      <c r="AW696" s="24">
        <v>0</v>
      </c>
      <c r="AX696" s="24">
        <v>1</v>
      </c>
      <c r="AY696" s="24">
        <v>0</v>
      </c>
      <c r="AZ696" s="24">
        <v>0</v>
      </c>
      <c r="BA696" s="24">
        <v>0</v>
      </c>
      <c r="BB696" s="24">
        <v>1</v>
      </c>
    </row>
    <row r="697" spans="2:54" ht="13.8" x14ac:dyDescent="0.3">
      <c r="B697" s="24">
        <v>677</v>
      </c>
      <c r="C697" s="24">
        <v>24</v>
      </c>
      <c r="D697" s="24">
        <v>0</v>
      </c>
      <c r="E697" s="24">
        <v>0</v>
      </c>
      <c r="F697" s="24">
        <v>1</v>
      </c>
      <c r="G697" s="24">
        <v>0</v>
      </c>
      <c r="H697" s="24">
        <v>0</v>
      </c>
      <c r="I697" s="24">
        <v>0</v>
      </c>
      <c r="J697" s="24">
        <v>5150</v>
      </c>
      <c r="K697" s="24">
        <v>4</v>
      </c>
      <c r="L697" s="24">
        <v>0</v>
      </c>
      <c r="M697" s="24">
        <v>1</v>
      </c>
      <c r="N697" s="24">
        <v>0</v>
      </c>
      <c r="O697" s="24">
        <v>0</v>
      </c>
      <c r="P697" s="24">
        <v>0</v>
      </c>
      <c r="Q697" s="24">
        <v>0</v>
      </c>
      <c r="R697" s="24">
        <v>0</v>
      </c>
      <c r="S697" s="24">
        <v>33</v>
      </c>
      <c r="T697" s="24">
        <v>0</v>
      </c>
      <c r="U697" s="24">
        <v>0</v>
      </c>
      <c r="V697" s="24">
        <v>1</v>
      </c>
      <c r="W697" s="24">
        <v>1</v>
      </c>
      <c r="X697" s="24">
        <v>1</v>
      </c>
      <c r="Y697" s="24">
        <v>1</v>
      </c>
      <c r="Z697" s="24">
        <v>0</v>
      </c>
      <c r="AA697" s="24">
        <v>1</v>
      </c>
      <c r="AB697" s="24">
        <v>0</v>
      </c>
      <c r="AC697" s="24">
        <v>0</v>
      </c>
      <c r="AD697" s="24">
        <v>0</v>
      </c>
      <c r="AE697" s="24">
        <v>1</v>
      </c>
      <c r="AF697" s="24">
        <v>0</v>
      </c>
      <c r="AG697" s="24">
        <v>0</v>
      </c>
      <c r="AH697" s="24">
        <v>0</v>
      </c>
      <c r="AI697" s="24">
        <v>0</v>
      </c>
      <c r="AJ697" s="24">
        <v>1</v>
      </c>
      <c r="AK697" s="24">
        <v>1</v>
      </c>
      <c r="AL697" s="24">
        <v>0</v>
      </c>
      <c r="AM697" s="24">
        <v>0</v>
      </c>
      <c r="AN697" s="24">
        <v>0</v>
      </c>
      <c r="AO697" s="24">
        <v>0</v>
      </c>
      <c r="AP697" s="24">
        <v>0</v>
      </c>
      <c r="AQ697" s="24">
        <v>0</v>
      </c>
      <c r="AR697" s="24">
        <v>0</v>
      </c>
      <c r="AS697" s="24">
        <v>0</v>
      </c>
      <c r="AT697" s="24">
        <v>1</v>
      </c>
      <c r="AU697" s="24">
        <v>0</v>
      </c>
      <c r="AV697" s="24">
        <v>0</v>
      </c>
      <c r="AW697" s="24">
        <v>0</v>
      </c>
      <c r="AX697" s="24">
        <v>1</v>
      </c>
      <c r="AY697" s="24">
        <v>0</v>
      </c>
      <c r="AZ697" s="24">
        <v>0</v>
      </c>
      <c r="BA697" s="24">
        <v>1</v>
      </c>
      <c r="BB697" s="24">
        <v>0</v>
      </c>
    </row>
    <row r="698" spans="2:54" ht="13.8" x14ac:dyDescent="0.3">
      <c r="B698" s="24">
        <v>678</v>
      </c>
      <c r="C698" s="24">
        <v>72</v>
      </c>
      <c r="D698" s="24">
        <v>0</v>
      </c>
      <c r="E698" s="24">
        <v>0</v>
      </c>
      <c r="F698" s="24">
        <v>0</v>
      </c>
      <c r="G698" s="24">
        <v>1</v>
      </c>
      <c r="H698" s="24">
        <v>0</v>
      </c>
      <c r="I698" s="24">
        <v>0</v>
      </c>
      <c r="J698" s="24">
        <v>5595</v>
      </c>
      <c r="K698" s="24">
        <v>2</v>
      </c>
      <c r="L698" s="24">
        <v>0</v>
      </c>
      <c r="M698" s="24">
        <v>0</v>
      </c>
      <c r="N698" s="24">
        <v>1</v>
      </c>
      <c r="O698" s="24">
        <v>0</v>
      </c>
      <c r="P698" s="24">
        <v>0</v>
      </c>
      <c r="Q698" s="24">
        <v>0</v>
      </c>
      <c r="R698" s="24">
        <v>0</v>
      </c>
      <c r="S698" s="24">
        <v>24</v>
      </c>
      <c r="T698" s="24">
        <v>0</v>
      </c>
      <c r="U698" s="24">
        <v>0</v>
      </c>
      <c r="V698" s="24">
        <v>1</v>
      </c>
      <c r="W698" s="24">
        <v>1</v>
      </c>
      <c r="X698" s="24">
        <v>1</v>
      </c>
      <c r="Y698" s="24">
        <v>0</v>
      </c>
      <c r="Z698" s="24">
        <v>0</v>
      </c>
      <c r="AA698" s="24">
        <v>0</v>
      </c>
      <c r="AB698" s="24">
        <v>0</v>
      </c>
      <c r="AC698" s="24">
        <v>1</v>
      </c>
      <c r="AD698" s="24">
        <v>0</v>
      </c>
      <c r="AE698" s="24">
        <v>0</v>
      </c>
      <c r="AF698" s="24">
        <v>0</v>
      </c>
      <c r="AG698" s="24">
        <v>0</v>
      </c>
      <c r="AH698" s="24">
        <v>1</v>
      </c>
      <c r="AI698" s="24">
        <v>0</v>
      </c>
      <c r="AJ698" s="24">
        <v>0</v>
      </c>
      <c r="AK698" s="24">
        <v>0</v>
      </c>
      <c r="AL698" s="24">
        <v>1</v>
      </c>
      <c r="AM698" s="24">
        <v>0</v>
      </c>
      <c r="AN698" s="24">
        <v>0</v>
      </c>
      <c r="AO698" s="24">
        <v>0</v>
      </c>
      <c r="AP698" s="24">
        <v>0</v>
      </c>
      <c r="AQ698" s="24">
        <v>0</v>
      </c>
      <c r="AR698" s="24">
        <v>1</v>
      </c>
      <c r="AS698" s="24">
        <v>0</v>
      </c>
      <c r="AT698" s="24">
        <v>0</v>
      </c>
      <c r="AU698" s="24">
        <v>0</v>
      </c>
      <c r="AV698" s="24">
        <v>1</v>
      </c>
      <c r="AW698" s="24">
        <v>0</v>
      </c>
      <c r="AX698" s="24">
        <v>0</v>
      </c>
      <c r="AY698" s="24">
        <v>0</v>
      </c>
      <c r="AZ698" s="24">
        <v>0</v>
      </c>
      <c r="BA698" s="24">
        <v>1</v>
      </c>
      <c r="BB698" s="24">
        <v>0</v>
      </c>
    </row>
    <row r="699" spans="2:54" ht="13.8" x14ac:dyDescent="0.3">
      <c r="B699" s="24">
        <v>679</v>
      </c>
      <c r="C699" s="24">
        <v>24</v>
      </c>
      <c r="D699" s="24">
        <v>0</v>
      </c>
      <c r="E699" s="24">
        <v>0</v>
      </c>
      <c r="F699" s="24">
        <v>0</v>
      </c>
      <c r="G699" s="24">
        <v>1</v>
      </c>
      <c r="H699" s="24">
        <v>0</v>
      </c>
      <c r="I699" s="24">
        <v>0</v>
      </c>
      <c r="J699" s="24">
        <v>2384</v>
      </c>
      <c r="K699" s="24">
        <v>4</v>
      </c>
      <c r="L699" s="24">
        <v>0</v>
      </c>
      <c r="M699" s="24">
        <v>1</v>
      </c>
      <c r="N699" s="24">
        <v>0</v>
      </c>
      <c r="O699" s="24">
        <v>0</v>
      </c>
      <c r="P699" s="24">
        <v>0</v>
      </c>
      <c r="Q699" s="24">
        <v>1</v>
      </c>
      <c r="R699" s="24">
        <v>0</v>
      </c>
      <c r="S699" s="24">
        <v>64</v>
      </c>
      <c r="T699" s="24">
        <v>1</v>
      </c>
      <c r="U699" s="24">
        <v>1</v>
      </c>
      <c r="V699" s="24">
        <v>0</v>
      </c>
      <c r="W699" s="24">
        <v>1</v>
      </c>
      <c r="X699" s="24">
        <v>1</v>
      </c>
      <c r="Y699" s="24">
        <v>0</v>
      </c>
      <c r="Z699" s="24">
        <v>0</v>
      </c>
      <c r="AA699" s="24">
        <v>1</v>
      </c>
      <c r="AB699" s="24">
        <v>1</v>
      </c>
      <c r="AC699" s="24">
        <v>0</v>
      </c>
      <c r="AD699" s="24">
        <v>0</v>
      </c>
      <c r="AE699" s="24">
        <v>0</v>
      </c>
      <c r="AF699" s="24">
        <v>0</v>
      </c>
      <c r="AG699" s="24">
        <v>0</v>
      </c>
      <c r="AH699" s="24">
        <v>1</v>
      </c>
      <c r="AI699" s="24">
        <v>0</v>
      </c>
      <c r="AJ699" s="24">
        <v>0</v>
      </c>
      <c r="AK699" s="24">
        <v>1</v>
      </c>
      <c r="AL699" s="24">
        <v>0</v>
      </c>
      <c r="AM699" s="24">
        <v>0</v>
      </c>
      <c r="AN699" s="24">
        <v>0</v>
      </c>
      <c r="AO699" s="24">
        <v>0</v>
      </c>
      <c r="AP699" s="24">
        <v>0</v>
      </c>
      <c r="AQ699" s="24">
        <v>0</v>
      </c>
      <c r="AR699" s="24">
        <v>0</v>
      </c>
      <c r="AS699" s="24">
        <v>0</v>
      </c>
      <c r="AT699" s="24">
        <v>1</v>
      </c>
      <c r="AU699" s="24">
        <v>0</v>
      </c>
      <c r="AV699" s="24">
        <v>0</v>
      </c>
      <c r="AW699" s="24">
        <v>0</v>
      </c>
      <c r="AX699" s="24">
        <v>1</v>
      </c>
      <c r="AY699" s="24">
        <v>0</v>
      </c>
      <c r="AZ699" s="24">
        <v>1</v>
      </c>
      <c r="BA699" s="24">
        <v>0</v>
      </c>
      <c r="BB699" s="24">
        <v>0</v>
      </c>
    </row>
    <row r="700" spans="2:54" ht="13.8" x14ac:dyDescent="0.3">
      <c r="B700" s="24">
        <v>680</v>
      </c>
      <c r="C700" s="24">
        <v>18</v>
      </c>
      <c r="D700" s="24">
        <v>0</v>
      </c>
      <c r="E700" s="24">
        <v>0</v>
      </c>
      <c r="F700" s="24">
        <v>0</v>
      </c>
      <c r="G700" s="24">
        <v>1</v>
      </c>
      <c r="H700" s="24">
        <v>0</v>
      </c>
      <c r="I700" s="24">
        <v>0</v>
      </c>
      <c r="J700" s="24">
        <v>1453</v>
      </c>
      <c r="K700" s="24">
        <v>3</v>
      </c>
      <c r="L700" s="24">
        <v>0</v>
      </c>
      <c r="M700" s="24">
        <v>0</v>
      </c>
      <c r="N700" s="24">
        <v>0</v>
      </c>
      <c r="O700" s="24">
        <v>0</v>
      </c>
      <c r="P700" s="24">
        <v>0</v>
      </c>
      <c r="Q700" s="24">
        <v>1</v>
      </c>
      <c r="R700" s="24">
        <v>0</v>
      </c>
      <c r="S700" s="24">
        <v>26</v>
      </c>
      <c r="T700" s="24">
        <v>0</v>
      </c>
      <c r="U700" s="24">
        <v>0</v>
      </c>
      <c r="V700" s="24">
        <v>1</v>
      </c>
      <c r="W700" s="24">
        <v>1</v>
      </c>
      <c r="X700" s="24">
        <v>1</v>
      </c>
      <c r="Y700" s="24">
        <v>0</v>
      </c>
      <c r="Z700" s="24">
        <v>0</v>
      </c>
      <c r="AA700" s="24">
        <v>1</v>
      </c>
      <c r="AB700" s="24">
        <v>0</v>
      </c>
      <c r="AC700" s="24">
        <v>0</v>
      </c>
      <c r="AD700" s="24">
        <v>0</v>
      </c>
      <c r="AE700" s="24">
        <v>1</v>
      </c>
      <c r="AF700" s="24">
        <v>0</v>
      </c>
      <c r="AG700" s="24">
        <v>0</v>
      </c>
      <c r="AH700" s="24">
        <v>1</v>
      </c>
      <c r="AI700" s="24">
        <v>0</v>
      </c>
      <c r="AJ700" s="24">
        <v>0</v>
      </c>
      <c r="AK700" s="24">
        <v>1</v>
      </c>
      <c r="AL700" s="24">
        <v>0</v>
      </c>
      <c r="AM700" s="24">
        <v>0</v>
      </c>
      <c r="AN700" s="24">
        <v>0</v>
      </c>
      <c r="AO700" s="24">
        <v>0</v>
      </c>
      <c r="AP700" s="24">
        <v>0</v>
      </c>
      <c r="AQ700" s="24">
        <v>1</v>
      </c>
      <c r="AR700" s="24">
        <v>0</v>
      </c>
      <c r="AS700" s="24">
        <v>0</v>
      </c>
      <c r="AT700" s="24">
        <v>0</v>
      </c>
      <c r="AU700" s="24">
        <v>1</v>
      </c>
      <c r="AV700" s="24">
        <v>0</v>
      </c>
      <c r="AW700" s="24">
        <v>0</v>
      </c>
      <c r="AX700" s="24">
        <v>0</v>
      </c>
      <c r="AY700" s="24">
        <v>0</v>
      </c>
      <c r="AZ700" s="24">
        <v>0</v>
      </c>
      <c r="BA700" s="24">
        <v>1</v>
      </c>
      <c r="BB700" s="24">
        <v>0</v>
      </c>
    </row>
    <row r="701" spans="2:54" ht="13.8" x14ac:dyDescent="0.3">
      <c r="B701" s="24">
        <v>681</v>
      </c>
      <c r="C701" s="24">
        <v>6</v>
      </c>
      <c r="D701" s="24">
        <v>0</v>
      </c>
      <c r="E701" s="24">
        <v>0</v>
      </c>
      <c r="F701" s="24">
        <v>0</v>
      </c>
      <c r="G701" s="24">
        <v>0</v>
      </c>
      <c r="H701" s="24">
        <v>1</v>
      </c>
      <c r="I701" s="24">
        <v>0</v>
      </c>
      <c r="J701" s="24">
        <v>1538</v>
      </c>
      <c r="K701" s="24">
        <v>1</v>
      </c>
      <c r="L701" s="24">
        <v>0</v>
      </c>
      <c r="M701" s="24">
        <v>0</v>
      </c>
      <c r="N701" s="24">
        <v>0</v>
      </c>
      <c r="O701" s="24">
        <v>0</v>
      </c>
      <c r="P701" s="24">
        <v>0</v>
      </c>
      <c r="Q701" s="24">
        <v>0</v>
      </c>
      <c r="R701" s="24">
        <v>1</v>
      </c>
      <c r="S701" s="24">
        <v>56</v>
      </c>
      <c r="T701" s="24">
        <v>0</v>
      </c>
      <c r="U701" s="24">
        <v>0</v>
      </c>
      <c r="V701" s="24">
        <v>1</v>
      </c>
      <c r="W701" s="24">
        <v>1</v>
      </c>
      <c r="X701" s="24">
        <v>1</v>
      </c>
      <c r="Y701" s="24">
        <v>0</v>
      </c>
      <c r="Z701" s="24">
        <v>0</v>
      </c>
      <c r="AA701" s="24">
        <v>1</v>
      </c>
      <c r="AB701" s="24">
        <v>0</v>
      </c>
      <c r="AC701" s="24">
        <v>0</v>
      </c>
      <c r="AD701" s="24">
        <v>0</v>
      </c>
      <c r="AE701" s="24">
        <v>1</v>
      </c>
      <c r="AF701" s="24">
        <v>0</v>
      </c>
      <c r="AG701" s="24">
        <v>0</v>
      </c>
      <c r="AH701" s="24">
        <v>1</v>
      </c>
      <c r="AI701" s="24">
        <v>0</v>
      </c>
      <c r="AJ701" s="24">
        <v>0</v>
      </c>
      <c r="AK701" s="24">
        <v>1</v>
      </c>
      <c r="AL701" s="24">
        <v>0</v>
      </c>
      <c r="AM701" s="24">
        <v>0</v>
      </c>
      <c r="AN701" s="24">
        <v>0</v>
      </c>
      <c r="AO701" s="24">
        <v>0</v>
      </c>
      <c r="AP701" s="24">
        <v>0</v>
      </c>
      <c r="AQ701" s="24">
        <v>1</v>
      </c>
      <c r="AR701" s="24">
        <v>0</v>
      </c>
      <c r="AS701" s="24">
        <v>0</v>
      </c>
      <c r="AT701" s="24">
        <v>0</v>
      </c>
      <c r="AU701" s="24">
        <v>0</v>
      </c>
      <c r="AV701" s="24">
        <v>1</v>
      </c>
      <c r="AW701" s="24">
        <v>0</v>
      </c>
      <c r="AX701" s="24">
        <v>0</v>
      </c>
      <c r="AY701" s="24">
        <v>0</v>
      </c>
      <c r="AZ701" s="24">
        <v>0</v>
      </c>
      <c r="BA701" s="24">
        <v>1</v>
      </c>
      <c r="BB701" s="24">
        <v>0</v>
      </c>
    </row>
    <row r="702" spans="2:54" ht="13.8" x14ac:dyDescent="0.3">
      <c r="B702" s="24">
        <v>682</v>
      </c>
      <c r="C702" s="24">
        <v>12</v>
      </c>
      <c r="D702" s="24">
        <v>0</v>
      </c>
      <c r="E702" s="24">
        <v>0</v>
      </c>
      <c r="F702" s="24">
        <v>0</v>
      </c>
      <c r="G702" s="24">
        <v>1</v>
      </c>
      <c r="H702" s="24">
        <v>0</v>
      </c>
      <c r="I702" s="24">
        <v>0</v>
      </c>
      <c r="J702" s="24">
        <v>2279</v>
      </c>
      <c r="K702" s="24">
        <v>4</v>
      </c>
      <c r="L702" s="24">
        <v>0</v>
      </c>
      <c r="M702" s="24">
        <v>1</v>
      </c>
      <c r="N702" s="24">
        <v>0</v>
      </c>
      <c r="O702" s="24">
        <v>0</v>
      </c>
      <c r="P702" s="24">
        <v>0</v>
      </c>
      <c r="Q702" s="24">
        <v>0</v>
      </c>
      <c r="R702" s="24">
        <v>1</v>
      </c>
      <c r="S702" s="24">
        <v>37</v>
      </c>
      <c r="T702" s="24">
        <v>0</v>
      </c>
      <c r="U702" s="24">
        <v>0</v>
      </c>
      <c r="V702" s="24">
        <v>0</v>
      </c>
      <c r="W702" s="24">
        <v>1</v>
      </c>
      <c r="X702" s="24">
        <v>1</v>
      </c>
      <c r="Y702" s="24">
        <v>1</v>
      </c>
      <c r="Z702" s="24">
        <v>0</v>
      </c>
      <c r="AA702" s="24">
        <v>1</v>
      </c>
      <c r="AB702" s="24">
        <v>0</v>
      </c>
      <c r="AC702" s="24">
        <v>0</v>
      </c>
      <c r="AD702" s="24">
        <v>0</v>
      </c>
      <c r="AE702" s="24">
        <v>1</v>
      </c>
      <c r="AF702" s="24">
        <v>0</v>
      </c>
      <c r="AG702" s="24">
        <v>0</v>
      </c>
      <c r="AH702" s="24">
        <v>1</v>
      </c>
      <c r="AI702" s="24">
        <v>0</v>
      </c>
      <c r="AJ702" s="24">
        <v>0</v>
      </c>
      <c r="AK702" s="24">
        <v>0</v>
      </c>
      <c r="AL702" s="24">
        <v>0</v>
      </c>
      <c r="AM702" s="24">
        <v>0</v>
      </c>
      <c r="AN702" s="24">
        <v>0</v>
      </c>
      <c r="AO702" s="24">
        <v>1</v>
      </c>
      <c r="AP702" s="24">
        <v>0</v>
      </c>
      <c r="AQ702" s="24">
        <v>0</v>
      </c>
      <c r="AR702" s="24">
        <v>1</v>
      </c>
      <c r="AS702" s="24">
        <v>0</v>
      </c>
      <c r="AT702" s="24">
        <v>0</v>
      </c>
      <c r="AU702" s="24">
        <v>0</v>
      </c>
      <c r="AV702" s="24">
        <v>0</v>
      </c>
      <c r="AW702" s="24">
        <v>0</v>
      </c>
      <c r="AX702" s="24">
        <v>1</v>
      </c>
      <c r="AY702" s="24">
        <v>0</v>
      </c>
      <c r="AZ702" s="24">
        <v>0</v>
      </c>
      <c r="BA702" s="24">
        <v>1</v>
      </c>
      <c r="BB702" s="24">
        <v>0</v>
      </c>
    </row>
    <row r="703" spans="2:54" ht="13.8" x14ac:dyDescent="0.3">
      <c r="B703" s="24">
        <v>683</v>
      </c>
      <c r="C703" s="24">
        <v>15</v>
      </c>
      <c r="D703" s="24">
        <v>0</v>
      </c>
      <c r="E703" s="24">
        <v>0</v>
      </c>
      <c r="F703" s="24">
        <v>0</v>
      </c>
      <c r="G703" s="24">
        <v>1</v>
      </c>
      <c r="H703" s="24">
        <v>0</v>
      </c>
      <c r="I703" s="24">
        <v>0</v>
      </c>
      <c r="J703" s="24">
        <v>1478</v>
      </c>
      <c r="K703" s="24">
        <v>4</v>
      </c>
      <c r="L703" s="24">
        <v>0</v>
      </c>
      <c r="M703" s="24">
        <v>0</v>
      </c>
      <c r="N703" s="24">
        <v>1</v>
      </c>
      <c r="O703" s="24">
        <v>0</v>
      </c>
      <c r="P703" s="24">
        <v>0</v>
      </c>
      <c r="Q703" s="24">
        <v>1</v>
      </c>
      <c r="R703" s="24">
        <v>0</v>
      </c>
      <c r="S703" s="24">
        <v>33</v>
      </c>
      <c r="T703" s="24">
        <v>1</v>
      </c>
      <c r="U703" s="24">
        <v>0</v>
      </c>
      <c r="V703" s="24">
        <v>1</v>
      </c>
      <c r="W703" s="24">
        <v>2</v>
      </c>
      <c r="X703" s="24">
        <v>1</v>
      </c>
      <c r="Y703" s="24">
        <v>0</v>
      </c>
      <c r="Z703" s="24">
        <v>0</v>
      </c>
      <c r="AA703" s="24">
        <v>1</v>
      </c>
      <c r="AB703" s="24">
        <v>0</v>
      </c>
      <c r="AC703" s="24">
        <v>0</v>
      </c>
      <c r="AD703" s="24">
        <v>0</v>
      </c>
      <c r="AE703" s="24">
        <v>1</v>
      </c>
      <c r="AF703" s="24">
        <v>0</v>
      </c>
      <c r="AG703" s="24">
        <v>0</v>
      </c>
      <c r="AH703" s="24">
        <v>0</v>
      </c>
      <c r="AI703" s="24">
        <v>1</v>
      </c>
      <c r="AJ703" s="24">
        <v>0</v>
      </c>
      <c r="AK703" s="24">
        <v>1</v>
      </c>
      <c r="AL703" s="24">
        <v>0</v>
      </c>
      <c r="AM703" s="24">
        <v>0</v>
      </c>
      <c r="AN703" s="24">
        <v>0</v>
      </c>
      <c r="AO703" s="24">
        <v>0</v>
      </c>
      <c r="AP703" s="24">
        <v>0</v>
      </c>
      <c r="AQ703" s="24">
        <v>0</v>
      </c>
      <c r="AR703" s="24">
        <v>1</v>
      </c>
      <c r="AS703" s="24">
        <v>0</v>
      </c>
      <c r="AT703" s="24">
        <v>0</v>
      </c>
      <c r="AU703" s="24">
        <v>0</v>
      </c>
      <c r="AV703" s="24">
        <v>0</v>
      </c>
      <c r="AW703" s="24">
        <v>1</v>
      </c>
      <c r="AX703" s="24">
        <v>0</v>
      </c>
      <c r="AY703" s="24">
        <v>0</v>
      </c>
      <c r="AZ703" s="24">
        <v>0</v>
      </c>
      <c r="BA703" s="24">
        <v>1</v>
      </c>
      <c r="BB703" s="24">
        <v>0</v>
      </c>
    </row>
    <row r="704" spans="2:54" ht="13.8" x14ac:dyDescent="0.3">
      <c r="B704" s="24">
        <v>684</v>
      </c>
      <c r="C704" s="24">
        <v>24</v>
      </c>
      <c r="D704" s="24">
        <v>0</v>
      </c>
      <c r="E704" s="24">
        <v>0</v>
      </c>
      <c r="F704" s="24">
        <v>0</v>
      </c>
      <c r="G704" s="24">
        <v>1</v>
      </c>
      <c r="H704" s="24">
        <v>0</v>
      </c>
      <c r="I704" s="24">
        <v>0</v>
      </c>
      <c r="J704" s="24">
        <v>5103</v>
      </c>
      <c r="K704" s="24">
        <v>3</v>
      </c>
      <c r="L704" s="24">
        <v>0</v>
      </c>
      <c r="M704" s="24">
        <v>0</v>
      </c>
      <c r="N704" s="24">
        <v>1</v>
      </c>
      <c r="O704" s="24">
        <v>0</v>
      </c>
      <c r="P704" s="24">
        <v>0</v>
      </c>
      <c r="Q704" s="24">
        <v>0</v>
      </c>
      <c r="R704" s="24">
        <v>1</v>
      </c>
      <c r="S704" s="24">
        <v>47</v>
      </c>
      <c r="T704" s="24">
        <v>0</v>
      </c>
      <c r="U704" s="24">
        <v>0</v>
      </c>
      <c r="V704" s="24">
        <v>0</v>
      </c>
      <c r="W704" s="24">
        <v>3</v>
      </c>
      <c r="X704" s="24">
        <v>1</v>
      </c>
      <c r="Y704" s="24">
        <v>1</v>
      </c>
      <c r="Z704" s="24">
        <v>0</v>
      </c>
      <c r="AA704" s="24">
        <v>1</v>
      </c>
      <c r="AB704" s="24">
        <v>0</v>
      </c>
      <c r="AC704" s="24">
        <v>0</v>
      </c>
      <c r="AD704" s="24">
        <v>0</v>
      </c>
      <c r="AE704" s="24">
        <v>1</v>
      </c>
      <c r="AF704" s="24">
        <v>0</v>
      </c>
      <c r="AG704" s="24">
        <v>0</v>
      </c>
      <c r="AH704" s="24">
        <v>0</v>
      </c>
      <c r="AI704" s="24">
        <v>0</v>
      </c>
      <c r="AJ704" s="24">
        <v>1</v>
      </c>
      <c r="AK704" s="24">
        <v>1</v>
      </c>
      <c r="AL704" s="24">
        <v>0</v>
      </c>
      <c r="AM704" s="24">
        <v>0</v>
      </c>
      <c r="AN704" s="24">
        <v>0</v>
      </c>
      <c r="AO704" s="24">
        <v>0</v>
      </c>
      <c r="AP704" s="24">
        <v>0</v>
      </c>
      <c r="AQ704" s="24">
        <v>1</v>
      </c>
      <c r="AR704" s="24">
        <v>0</v>
      </c>
      <c r="AS704" s="24">
        <v>0</v>
      </c>
      <c r="AT704" s="24">
        <v>0</v>
      </c>
      <c r="AU704" s="24">
        <v>0</v>
      </c>
      <c r="AV704" s="24">
        <v>0</v>
      </c>
      <c r="AW704" s="24">
        <v>1</v>
      </c>
      <c r="AX704" s="24">
        <v>0</v>
      </c>
      <c r="AY704" s="24">
        <v>0</v>
      </c>
      <c r="AZ704" s="24">
        <v>0</v>
      </c>
      <c r="BA704" s="24">
        <v>1</v>
      </c>
      <c r="BB704" s="24">
        <v>0</v>
      </c>
    </row>
    <row r="705" spans="2:54" ht="13.8" x14ac:dyDescent="0.3">
      <c r="B705" s="24">
        <v>685</v>
      </c>
      <c r="C705" s="24">
        <v>36</v>
      </c>
      <c r="D705" s="24">
        <v>0</v>
      </c>
      <c r="E705" s="24">
        <v>0</v>
      </c>
      <c r="F705" s="24">
        <v>0</v>
      </c>
      <c r="G705" s="24">
        <v>0</v>
      </c>
      <c r="H705" s="24">
        <v>0</v>
      </c>
      <c r="I705" s="24">
        <v>1</v>
      </c>
      <c r="J705" s="24">
        <v>9857</v>
      </c>
      <c r="K705" s="24">
        <v>1</v>
      </c>
      <c r="L705" s="24">
        <v>0</v>
      </c>
      <c r="M705" s="24">
        <v>1</v>
      </c>
      <c r="N705" s="24">
        <v>0</v>
      </c>
      <c r="O705" s="24">
        <v>0</v>
      </c>
      <c r="P705" s="24">
        <v>0</v>
      </c>
      <c r="Q705" s="24">
        <v>0</v>
      </c>
      <c r="R705" s="24">
        <v>0</v>
      </c>
      <c r="S705" s="24">
        <v>31</v>
      </c>
      <c r="T705" s="24">
        <v>0</v>
      </c>
      <c r="U705" s="24">
        <v>0</v>
      </c>
      <c r="V705" s="24">
        <v>1</v>
      </c>
      <c r="W705" s="24">
        <v>2</v>
      </c>
      <c r="X705" s="24">
        <v>2</v>
      </c>
      <c r="Y705" s="24">
        <v>1</v>
      </c>
      <c r="Z705" s="24">
        <v>0</v>
      </c>
      <c r="AA705" s="24">
        <v>1</v>
      </c>
      <c r="AB705" s="24">
        <v>0</v>
      </c>
      <c r="AC705" s="24">
        <v>1</v>
      </c>
      <c r="AD705" s="24">
        <v>0</v>
      </c>
      <c r="AE705" s="24">
        <v>0</v>
      </c>
      <c r="AF705" s="24">
        <v>0</v>
      </c>
      <c r="AG705" s="24">
        <v>0</v>
      </c>
      <c r="AH705" s="24">
        <v>0</v>
      </c>
      <c r="AI705" s="24">
        <v>1</v>
      </c>
      <c r="AJ705" s="24">
        <v>0</v>
      </c>
      <c r="AK705" s="24">
        <v>0</v>
      </c>
      <c r="AL705" s="24">
        <v>1</v>
      </c>
      <c r="AM705" s="24">
        <v>0</v>
      </c>
      <c r="AN705" s="24">
        <v>0</v>
      </c>
      <c r="AO705" s="24">
        <v>0</v>
      </c>
      <c r="AP705" s="24">
        <v>0</v>
      </c>
      <c r="AQ705" s="24">
        <v>0</v>
      </c>
      <c r="AR705" s="24">
        <v>0</v>
      </c>
      <c r="AS705" s="24">
        <v>1</v>
      </c>
      <c r="AT705" s="24">
        <v>0</v>
      </c>
      <c r="AU705" s="24">
        <v>0</v>
      </c>
      <c r="AV705" s="24">
        <v>0</v>
      </c>
      <c r="AW705" s="24">
        <v>1</v>
      </c>
      <c r="AX705" s="24">
        <v>0</v>
      </c>
      <c r="AY705" s="24">
        <v>0</v>
      </c>
      <c r="AZ705" s="24">
        <v>1</v>
      </c>
      <c r="BA705" s="24">
        <v>0</v>
      </c>
      <c r="BB705" s="24">
        <v>0</v>
      </c>
    </row>
    <row r="706" spans="2:54" ht="13.8" x14ac:dyDescent="0.3">
      <c r="B706" s="24">
        <v>686</v>
      </c>
      <c r="C706" s="24">
        <v>60</v>
      </c>
      <c r="D706" s="24">
        <v>1</v>
      </c>
      <c r="E706" s="24">
        <v>0</v>
      </c>
      <c r="F706" s="24">
        <v>0</v>
      </c>
      <c r="G706" s="24">
        <v>0</v>
      </c>
      <c r="H706" s="24">
        <v>0</v>
      </c>
      <c r="I706" s="24">
        <v>0</v>
      </c>
      <c r="J706" s="24">
        <v>6527</v>
      </c>
      <c r="K706" s="24">
        <v>4</v>
      </c>
      <c r="L706" s="24">
        <v>0</v>
      </c>
      <c r="M706" s="24">
        <v>1</v>
      </c>
      <c r="N706" s="24">
        <v>0</v>
      </c>
      <c r="O706" s="24">
        <v>0</v>
      </c>
      <c r="P706" s="24">
        <v>0</v>
      </c>
      <c r="Q706" s="24">
        <v>0</v>
      </c>
      <c r="R706" s="24">
        <v>1</v>
      </c>
      <c r="S706" s="24">
        <v>34</v>
      </c>
      <c r="T706" s="24">
        <v>0</v>
      </c>
      <c r="U706" s="24">
        <v>0</v>
      </c>
      <c r="V706" s="24">
        <v>0</v>
      </c>
      <c r="W706" s="24">
        <v>1</v>
      </c>
      <c r="X706" s="24">
        <v>2</v>
      </c>
      <c r="Y706" s="24">
        <v>1</v>
      </c>
      <c r="Z706" s="24">
        <v>0</v>
      </c>
      <c r="AA706" s="24">
        <v>1</v>
      </c>
      <c r="AB706" s="24">
        <v>0</v>
      </c>
      <c r="AC706" s="24">
        <v>0</v>
      </c>
      <c r="AD706" s="24">
        <v>0</v>
      </c>
      <c r="AE706" s="24">
        <v>1</v>
      </c>
      <c r="AF706" s="24">
        <v>0</v>
      </c>
      <c r="AG706" s="24">
        <v>0</v>
      </c>
      <c r="AH706" s="24">
        <v>1</v>
      </c>
      <c r="AI706" s="24">
        <v>0</v>
      </c>
      <c r="AJ706" s="24">
        <v>0</v>
      </c>
      <c r="AK706" s="24">
        <v>0</v>
      </c>
      <c r="AL706" s="24">
        <v>0</v>
      </c>
      <c r="AM706" s="24">
        <v>0</v>
      </c>
      <c r="AN706" s="24">
        <v>0</v>
      </c>
      <c r="AO706" s="24">
        <v>1</v>
      </c>
      <c r="AP706" s="24">
        <v>0</v>
      </c>
      <c r="AQ706" s="24">
        <v>0</v>
      </c>
      <c r="AR706" s="24">
        <v>1</v>
      </c>
      <c r="AS706" s="24">
        <v>0</v>
      </c>
      <c r="AT706" s="24">
        <v>0</v>
      </c>
      <c r="AU706" s="24">
        <v>0</v>
      </c>
      <c r="AV706" s="24">
        <v>0</v>
      </c>
      <c r="AW706" s="24">
        <v>0</v>
      </c>
      <c r="AX706" s="24">
        <v>1</v>
      </c>
      <c r="AY706" s="24">
        <v>0</v>
      </c>
      <c r="AZ706" s="24">
        <v>0</v>
      </c>
      <c r="BA706" s="24">
        <v>1</v>
      </c>
      <c r="BB706" s="24">
        <v>0</v>
      </c>
    </row>
    <row r="707" spans="2:54" ht="13.8" x14ac:dyDescent="0.3">
      <c r="B707" s="24">
        <v>687</v>
      </c>
      <c r="C707" s="24">
        <v>10</v>
      </c>
      <c r="D707" s="24">
        <v>0</v>
      </c>
      <c r="E707" s="24">
        <v>0</v>
      </c>
      <c r="F707" s="24">
        <v>0</v>
      </c>
      <c r="G707" s="24">
        <v>1</v>
      </c>
      <c r="H707" s="24">
        <v>0</v>
      </c>
      <c r="I707" s="24">
        <v>0</v>
      </c>
      <c r="J707" s="24">
        <v>1347</v>
      </c>
      <c r="K707" s="24">
        <v>4</v>
      </c>
      <c r="L707" s="24">
        <v>0</v>
      </c>
      <c r="M707" s="24">
        <v>1</v>
      </c>
      <c r="N707" s="24">
        <v>0</v>
      </c>
      <c r="O707" s="24">
        <v>0</v>
      </c>
      <c r="P707" s="24">
        <v>0</v>
      </c>
      <c r="Q707" s="24">
        <v>0</v>
      </c>
      <c r="R707" s="24">
        <v>0</v>
      </c>
      <c r="S707" s="24">
        <v>27</v>
      </c>
      <c r="T707" s="24">
        <v>0</v>
      </c>
      <c r="U707" s="24">
        <v>0</v>
      </c>
      <c r="V707" s="24">
        <v>1</v>
      </c>
      <c r="W707" s="24">
        <v>2</v>
      </c>
      <c r="X707" s="24">
        <v>1</v>
      </c>
      <c r="Y707" s="24">
        <v>1</v>
      </c>
      <c r="Z707" s="24">
        <v>0</v>
      </c>
      <c r="AA707" s="24">
        <v>1</v>
      </c>
      <c r="AB707" s="24">
        <v>0</v>
      </c>
      <c r="AC707" s="24">
        <v>0</v>
      </c>
      <c r="AD707" s="24">
        <v>1</v>
      </c>
      <c r="AE707" s="24">
        <v>0</v>
      </c>
      <c r="AF707" s="24">
        <v>0</v>
      </c>
      <c r="AG707" s="24">
        <v>0</v>
      </c>
      <c r="AH707" s="24">
        <v>0</v>
      </c>
      <c r="AI707" s="24">
        <v>0</v>
      </c>
      <c r="AJ707" s="24">
        <v>1</v>
      </c>
      <c r="AK707" s="24">
        <v>0</v>
      </c>
      <c r="AL707" s="24">
        <v>0</v>
      </c>
      <c r="AM707" s="24">
        <v>0</v>
      </c>
      <c r="AN707" s="24">
        <v>0</v>
      </c>
      <c r="AO707" s="24">
        <v>1</v>
      </c>
      <c r="AP707" s="24">
        <v>0</v>
      </c>
      <c r="AQ707" s="24">
        <v>0</v>
      </c>
      <c r="AR707" s="24">
        <v>0</v>
      </c>
      <c r="AS707" s="24">
        <v>1</v>
      </c>
      <c r="AT707" s="24">
        <v>0</v>
      </c>
      <c r="AU707" s="24">
        <v>0</v>
      </c>
      <c r="AV707" s="24">
        <v>1</v>
      </c>
      <c r="AW707" s="24">
        <v>0</v>
      </c>
      <c r="AX707" s="24">
        <v>0</v>
      </c>
      <c r="AY707" s="24">
        <v>0</v>
      </c>
      <c r="AZ707" s="24">
        <v>0</v>
      </c>
      <c r="BA707" s="24">
        <v>1</v>
      </c>
      <c r="BB707" s="24">
        <v>0</v>
      </c>
    </row>
    <row r="708" spans="2:54" ht="13.8" x14ac:dyDescent="0.3">
      <c r="B708" s="24">
        <v>688</v>
      </c>
      <c r="C708" s="24">
        <v>36</v>
      </c>
      <c r="D708" s="24">
        <v>1</v>
      </c>
      <c r="E708" s="24">
        <v>0</v>
      </c>
      <c r="F708" s="24">
        <v>0</v>
      </c>
      <c r="G708" s="24">
        <v>0</v>
      </c>
      <c r="H708" s="24">
        <v>0</v>
      </c>
      <c r="I708" s="24">
        <v>0</v>
      </c>
      <c r="J708" s="24">
        <v>2862</v>
      </c>
      <c r="K708" s="24">
        <v>4</v>
      </c>
      <c r="L708" s="24">
        <v>0</v>
      </c>
      <c r="M708" s="24">
        <v>1</v>
      </c>
      <c r="N708" s="24">
        <v>0</v>
      </c>
      <c r="O708" s="24">
        <v>0</v>
      </c>
      <c r="P708" s="24">
        <v>0</v>
      </c>
      <c r="Q708" s="24">
        <v>0</v>
      </c>
      <c r="R708" s="24">
        <v>1</v>
      </c>
      <c r="S708" s="24">
        <v>30</v>
      </c>
      <c r="T708" s="24">
        <v>0</v>
      </c>
      <c r="U708" s="24">
        <v>0</v>
      </c>
      <c r="V708" s="24">
        <v>0</v>
      </c>
      <c r="W708" s="24">
        <v>1</v>
      </c>
      <c r="X708" s="24">
        <v>1</v>
      </c>
      <c r="Y708" s="24">
        <v>0</v>
      </c>
      <c r="Z708" s="24">
        <v>0</v>
      </c>
      <c r="AA708" s="24">
        <v>1</v>
      </c>
      <c r="AB708" s="24">
        <v>0</v>
      </c>
      <c r="AC708" s="24">
        <v>1</v>
      </c>
      <c r="AD708" s="24">
        <v>0</v>
      </c>
      <c r="AE708" s="24">
        <v>0</v>
      </c>
      <c r="AF708" s="24">
        <v>0</v>
      </c>
      <c r="AG708" s="24">
        <v>0</v>
      </c>
      <c r="AH708" s="24">
        <v>0</v>
      </c>
      <c r="AI708" s="24">
        <v>1</v>
      </c>
      <c r="AJ708" s="24">
        <v>0</v>
      </c>
      <c r="AK708" s="24">
        <v>0</v>
      </c>
      <c r="AL708" s="24">
        <v>1</v>
      </c>
      <c r="AM708" s="24">
        <v>0</v>
      </c>
      <c r="AN708" s="24">
        <v>0</v>
      </c>
      <c r="AO708" s="24">
        <v>0</v>
      </c>
      <c r="AP708" s="24">
        <v>0</v>
      </c>
      <c r="AQ708" s="24">
        <v>0</v>
      </c>
      <c r="AR708" s="24">
        <v>0</v>
      </c>
      <c r="AS708" s="24">
        <v>0</v>
      </c>
      <c r="AT708" s="24">
        <v>1</v>
      </c>
      <c r="AU708" s="24">
        <v>0</v>
      </c>
      <c r="AV708" s="24">
        <v>0</v>
      </c>
      <c r="AW708" s="24">
        <v>1</v>
      </c>
      <c r="AX708" s="24">
        <v>0</v>
      </c>
      <c r="AY708" s="24">
        <v>0</v>
      </c>
      <c r="AZ708" s="24">
        <v>0</v>
      </c>
      <c r="BA708" s="24">
        <v>1</v>
      </c>
      <c r="BB708" s="24">
        <v>0</v>
      </c>
    </row>
    <row r="709" spans="2:54" ht="13.8" x14ac:dyDescent="0.3">
      <c r="B709" s="24">
        <v>689</v>
      </c>
      <c r="C709" s="24">
        <v>9</v>
      </c>
      <c r="D709" s="24">
        <v>0</v>
      </c>
      <c r="E709" s="24">
        <v>0</v>
      </c>
      <c r="F709" s="24">
        <v>0</v>
      </c>
      <c r="G709" s="24">
        <v>1</v>
      </c>
      <c r="H709" s="24">
        <v>0</v>
      </c>
      <c r="I709" s="24">
        <v>0</v>
      </c>
      <c r="J709" s="24">
        <v>2753</v>
      </c>
      <c r="K709" s="24">
        <v>3</v>
      </c>
      <c r="L709" s="24">
        <v>0</v>
      </c>
      <c r="M709" s="24">
        <v>1</v>
      </c>
      <c r="N709" s="24">
        <v>0</v>
      </c>
      <c r="O709" s="24">
        <v>1</v>
      </c>
      <c r="P709" s="24">
        <v>0</v>
      </c>
      <c r="Q709" s="24">
        <v>0</v>
      </c>
      <c r="R709" s="24">
        <v>0</v>
      </c>
      <c r="S709" s="24">
        <v>35</v>
      </c>
      <c r="T709" s="24">
        <v>0</v>
      </c>
      <c r="U709" s="24">
        <v>0</v>
      </c>
      <c r="V709" s="24">
        <v>1</v>
      </c>
      <c r="W709" s="24">
        <v>1</v>
      </c>
      <c r="X709" s="24">
        <v>1</v>
      </c>
      <c r="Y709" s="24">
        <v>1</v>
      </c>
      <c r="Z709" s="24">
        <v>0</v>
      </c>
      <c r="AA709" s="24">
        <v>1</v>
      </c>
      <c r="AB709" s="24">
        <v>0</v>
      </c>
      <c r="AC709" s="24">
        <v>0</v>
      </c>
      <c r="AD709" s="24">
        <v>0</v>
      </c>
      <c r="AE709" s="24">
        <v>1</v>
      </c>
      <c r="AF709" s="24">
        <v>0</v>
      </c>
      <c r="AG709" s="24">
        <v>0</v>
      </c>
      <c r="AH709" s="24">
        <v>1</v>
      </c>
      <c r="AI709" s="24">
        <v>0</v>
      </c>
      <c r="AJ709" s="24">
        <v>0</v>
      </c>
      <c r="AK709" s="24">
        <v>0</v>
      </c>
      <c r="AL709" s="24">
        <v>1</v>
      </c>
      <c r="AM709" s="24">
        <v>0</v>
      </c>
      <c r="AN709" s="24">
        <v>0</v>
      </c>
      <c r="AO709" s="24">
        <v>0</v>
      </c>
      <c r="AP709" s="24">
        <v>0</v>
      </c>
      <c r="AQ709" s="24">
        <v>0</v>
      </c>
      <c r="AR709" s="24">
        <v>0</v>
      </c>
      <c r="AS709" s="24">
        <v>0</v>
      </c>
      <c r="AT709" s="24">
        <v>1</v>
      </c>
      <c r="AU709" s="24">
        <v>0</v>
      </c>
      <c r="AV709" s="24">
        <v>0</v>
      </c>
      <c r="AW709" s="24">
        <v>0</v>
      </c>
      <c r="AX709" s="24">
        <v>1</v>
      </c>
      <c r="AY709" s="24">
        <v>0</v>
      </c>
      <c r="AZ709" s="24">
        <v>0</v>
      </c>
      <c r="BA709" s="24">
        <v>1</v>
      </c>
      <c r="BB709" s="24">
        <v>0</v>
      </c>
    </row>
    <row r="710" spans="2:54" ht="13.8" x14ac:dyDescent="0.3">
      <c r="B710" s="24">
        <v>690</v>
      </c>
      <c r="C710" s="24">
        <v>12</v>
      </c>
      <c r="D710" s="24">
        <v>1</v>
      </c>
      <c r="E710" s="24">
        <v>0</v>
      </c>
      <c r="F710" s="24">
        <v>0</v>
      </c>
      <c r="G710" s="24">
        <v>0</v>
      </c>
      <c r="H710" s="24">
        <v>0</v>
      </c>
      <c r="I710" s="24">
        <v>0</v>
      </c>
      <c r="J710" s="24">
        <v>3651</v>
      </c>
      <c r="K710" s="24">
        <v>1</v>
      </c>
      <c r="L710" s="24">
        <v>0</v>
      </c>
      <c r="M710" s="24">
        <v>1</v>
      </c>
      <c r="N710" s="24">
        <v>0</v>
      </c>
      <c r="O710" s="24">
        <v>0</v>
      </c>
      <c r="P710" s="24">
        <v>0</v>
      </c>
      <c r="Q710" s="24">
        <v>0</v>
      </c>
      <c r="R710" s="24">
        <v>0</v>
      </c>
      <c r="S710" s="24">
        <v>31</v>
      </c>
      <c r="T710" s="24">
        <v>0</v>
      </c>
      <c r="U710" s="24">
        <v>0</v>
      </c>
      <c r="V710" s="24">
        <v>1</v>
      </c>
      <c r="W710" s="24">
        <v>1</v>
      </c>
      <c r="X710" s="24">
        <v>2</v>
      </c>
      <c r="Y710" s="24">
        <v>0</v>
      </c>
      <c r="Z710" s="24">
        <v>0</v>
      </c>
      <c r="AA710" s="24">
        <v>1</v>
      </c>
      <c r="AB710" s="24">
        <v>1</v>
      </c>
      <c r="AC710" s="24">
        <v>0</v>
      </c>
      <c r="AD710" s="24">
        <v>0</v>
      </c>
      <c r="AE710" s="24">
        <v>0</v>
      </c>
      <c r="AF710" s="24">
        <v>0</v>
      </c>
      <c r="AG710" s="24">
        <v>0</v>
      </c>
      <c r="AH710" s="24">
        <v>1</v>
      </c>
      <c r="AI710" s="24">
        <v>0</v>
      </c>
      <c r="AJ710" s="24">
        <v>0</v>
      </c>
      <c r="AK710" s="24">
        <v>0</v>
      </c>
      <c r="AL710" s="24">
        <v>0</v>
      </c>
      <c r="AM710" s="24">
        <v>0</v>
      </c>
      <c r="AN710" s="24">
        <v>1</v>
      </c>
      <c r="AO710" s="24">
        <v>0</v>
      </c>
      <c r="AP710" s="24">
        <v>0</v>
      </c>
      <c r="AQ710" s="24">
        <v>0</v>
      </c>
      <c r="AR710" s="24">
        <v>1</v>
      </c>
      <c r="AS710" s="24">
        <v>0</v>
      </c>
      <c r="AT710" s="24">
        <v>0</v>
      </c>
      <c r="AU710" s="24">
        <v>0</v>
      </c>
      <c r="AV710" s="24">
        <v>0</v>
      </c>
      <c r="AW710" s="24">
        <v>1</v>
      </c>
      <c r="AX710" s="24">
        <v>0</v>
      </c>
      <c r="AY710" s="24">
        <v>0</v>
      </c>
      <c r="AZ710" s="24">
        <v>0</v>
      </c>
      <c r="BA710" s="24">
        <v>1</v>
      </c>
      <c r="BB710" s="24">
        <v>0</v>
      </c>
    </row>
    <row r="711" spans="2:54" ht="13.8" x14ac:dyDescent="0.3">
      <c r="B711" s="24">
        <v>691</v>
      </c>
      <c r="C711" s="24">
        <v>15</v>
      </c>
      <c r="D711" s="24">
        <v>0</v>
      </c>
      <c r="E711" s="24">
        <v>0</v>
      </c>
      <c r="F711" s="24">
        <v>1</v>
      </c>
      <c r="G711" s="24">
        <v>0</v>
      </c>
      <c r="H711" s="24">
        <v>0</v>
      </c>
      <c r="I711" s="24">
        <v>0</v>
      </c>
      <c r="J711" s="24">
        <v>975</v>
      </c>
      <c r="K711" s="24">
        <v>2</v>
      </c>
      <c r="L711" s="24">
        <v>1</v>
      </c>
      <c r="M711" s="24">
        <v>0</v>
      </c>
      <c r="N711" s="24">
        <v>0</v>
      </c>
      <c r="O711" s="24">
        <v>0</v>
      </c>
      <c r="P711" s="24">
        <v>0</v>
      </c>
      <c r="Q711" s="24">
        <v>0</v>
      </c>
      <c r="R711" s="24">
        <v>0</v>
      </c>
      <c r="S711" s="24">
        <v>25</v>
      </c>
      <c r="T711" s="24">
        <v>0</v>
      </c>
      <c r="U711" s="24">
        <v>0</v>
      </c>
      <c r="V711" s="24">
        <v>1</v>
      </c>
      <c r="W711" s="24">
        <v>2</v>
      </c>
      <c r="X711" s="24">
        <v>1</v>
      </c>
      <c r="Y711" s="24">
        <v>0</v>
      </c>
      <c r="Z711" s="24">
        <v>0</v>
      </c>
      <c r="AA711" s="24">
        <v>1</v>
      </c>
      <c r="AB711" s="24">
        <v>1</v>
      </c>
      <c r="AC711" s="24">
        <v>0</v>
      </c>
      <c r="AD711" s="24">
        <v>0</v>
      </c>
      <c r="AE711" s="24">
        <v>0</v>
      </c>
      <c r="AF711" s="24">
        <v>0</v>
      </c>
      <c r="AG711" s="24">
        <v>0</v>
      </c>
      <c r="AH711" s="24">
        <v>0</v>
      </c>
      <c r="AI711" s="24">
        <v>0</v>
      </c>
      <c r="AJ711" s="24">
        <v>1</v>
      </c>
      <c r="AK711" s="24">
        <v>1</v>
      </c>
      <c r="AL711" s="24">
        <v>0</v>
      </c>
      <c r="AM711" s="24">
        <v>0</v>
      </c>
      <c r="AN711" s="24">
        <v>0</v>
      </c>
      <c r="AO711" s="24">
        <v>0</v>
      </c>
      <c r="AP711" s="24">
        <v>0</v>
      </c>
      <c r="AQ711" s="24">
        <v>0</v>
      </c>
      <c r="AR711" s="24">
        <v>1</v>
      </c>
      <c r="AS711" s="24">
        <v>0</v>
      </c>
      <c r="AT711" s="24">
        <v>0</v>
      </c>
      <c r="AU711" s="24">
        <v>0</v>
      </c>
      <c r="AV711" s="24">
        <v>0</v>
      </c>
      <c r="AW711" s="24">
        <v>1</v>
      </c>
      <c r="AX711" s="24">
        <v>0</v>
      </c>
      <c r="AY711" s="24">
        <v>0</v>
      </c>
      <c r="AZ711" s="24">
        <v>0</v>
      </c>
      <c r="BA711" s="24">
        <v>1</v>
      </c>
      <c r="BB711" s="24">
        <v>0</v>
      </c>
    </row>
    <row r="712" spans="2:54" ht="13.8" x14ac:dyDescent="0.3">
      <c r="B712" s="24">
        <v>692</v>
      </c>
      <c r="C712" s="24">
        <v>15</v>
      </c>
      <c r="D712" s="24">
        <v>0</v>
      </c>
      <c r="E712" s="24">
        <v>0</v>
      </c>
      <c r="F712" s="24">
        <v>0</v>
      </c>
      <c r="G712" s="24">
        <v>0</v>
      </c>
      <c r="H712" s="24">
        <v>0</v>
      </c>
      <c r="I712" s="24">
        <v>0</v>
      </c>
      <c r="J712" s="24">
        <v>2631</v>
      </c>
      <c r="K712" s="24">
        <v>3</v>
      </c>
      <c r="L712" s="24">
        <v>0</v>
      </c>
      <c r="M712" s="24">
        <v>0</v>
      </c>
      <c r="N712" s="24">
        <v>0</v>
      </c>
      <c r="O712" s="24">
        <v>0</v>
      </c>
      <c r="P712" s="24">
        <v>0</v>
      </c>
      <c r="Q712" s="24">
        <v>1</v>
      </c>
      <c r="R712" s="24">
        <v>0</v>
      </c>
      <c r="S712" s="24">
        <v>25</v>
      </c>
      <c r="T712" s="24">
        <v>0</v>
      </c>
      <c r="U712" s="24">
        <v>0</v>
      </c>
      <c r="V712" s="24">
        <v>1</v>
      </c>
      <c r="W712" s="24">
        <v>1</v>
      </c>
      <c r="X712" s="24">
        <v>1</v>
      </c>
      <c r="Y712" s="24">
        <v>0</v>
      </c>
      <c r="Z712" s="24">
        <v>0</v>
      </c>
      <c r="AA712" s="24">
        <v>1</v>
      </c>
      <c r="AB712" s="24">
        <v>0</v>
      </c>
      <c r="AC712" s="24">
        <v>1</v>
      </c>
      <c r="AD712" s="24">
        <v>0</v>
      </c>
      <c r="AE712" s="24">
        <v>0</v>
      </c>
      <c r="AF712" s="24">
        <v>0</v>
      </c>
      <c r="AG712" s="24">
        <v>0</v>
      </c>
      <c r="AH712" s="24">
        <v>1</v>
      </c>
      <c r="AI712" s="24">
        <v>0</v>
      </c>
      <c r="AJ712" s="24">
        <v>0</v>
      </c>
      <c r="AK712" s="24">
        <v>0</v>
      </c>
      <c r="AL712" s="24">
        <v>1</v>
      </c>
      <c r="AM712" s="24">
        <v>0</v>
      </c>
      <c r="AN712" s="24">
        <v>0</v>
      </c>
      <c r="AO712" s="24">
        <v>0</v>
      </c>
      <c r="AP712" s="24">
        <v>0</v>
      </c>
      <c r="AQ712" s="24">
        <v>0</v>
      </c>
      <c r="AR712" s="24">
        <v>1</v>
      </c>
      <c r="AS712" s="24">
        <v>0</v>
      </c>
      <c r="AT712" s="24">
        <v>0</v>
      </c>
      <c r="AU712" s="24">
        <v>0</v>
      </c>
      <c r="AV712" s="24">
        <v>1</v>
      </c>
      <c r="AW712" s="24">
        <v>0</v>
      </c>
      <c r="AX712" s="24">
        <v>0</v>
      </c>
      <c r="AY712" s="24">
        <v>0</v>
      </c>
      <c r="AZ712" s="24">
        <v>1</v>
      </c>
      <c r="BA712" s="24">
        <v>0</v>
      </c>
      <c r="BB712" s="24">
        <v>0</v>
      </c>
    </row>
    <row r="713" spans="2:54" ht="13.8" x14ac:dyDescent="0.3">
      <c r="B713" s="24">
        <v>693</v>
      </c>
      <c r="C713" s="24">
        <v>24</v>
      </c>
      <c r="D713" s="24">
        <v>0</v>
      </c>
      <c r="E713" s="24">
        <v>0</v>
      </c>
      <c r="F713" s="24">
        <v>0</v>
      </c>
      <c r="G713" s="24">
        <v>1</v>
      </c>
      <c r="H713" s="24">
        <v>0</v>
      </c>
      <c r="I713" s="24">
        <v>0</v>
      </c>
      <c r="J713" s="24">
        <v>2896</v>
      </c>
      <c r="K713" s="24">
        <v>2</v>
      </c>
      <c r="L713" s="24">
        <v>0</v>
      </c>
      <c r="M713" s="24">
        <v>1</v>
      </c>
      <c r="N713" s="24">
        <v>0</v>
      </c>
      <c r="O713" s="24">
        <v>0</v>
      </c>
      <c r="P713" s="24">
        <v>0</v>
      </c>
      <c r="Q713" s="24">
        <v>0</v>
      </c>
      <c r="R713" s="24">
        <v>0</v>
      </c>
      <c r="S713" s="24">
        <v>29</v>
      </c>
      <c r="T713" s="24">
        <v>0</v>
      </c>
      <c r="U713" s="24">
        <v>0</v>
      </c>
      <c r="V713" s="24">
        <v>1</v>
      </c>
      <c r="W713" s="24">
        <v>1</v>
      </c>
      <c r="X713" s="24">
        <v>1</v>
      </c>
      <c r="Y713" s="24">
        <v>0</v>
      </c>
      <c r="Z713" s="24">
        <v>0</v>
      </c>
      <c r="AA713" s="24">
        <v>1</v>
      </c>
      <c r="AB713" s="24">
        <v>0</v>
      </c>
      <c r="AC713" s="24">
        <v>1</v>
      </c>
      <c r="AD713" s="24">
        <v>0</v>
      </c>
      <c r="AE713" s="24">
        <v>0</v>
      </c>
      <c r="AF713" s="24">
        <v>0</v>
      </c>
      <c r="AG713" s="24">
        <v>0</v>
      </c>
      <c r="AH713" s="24">
        <v>1</v>
      </c>
      <c r="AI713" s="24">
        <v>0</v>
      </c>
      <c r="AJ713" s="24">
        <v>0</v>
      </c>
      <c r="AK713" s="24">
        <v>0</v>
      </c>
      <c r="AL713" s="24">
        <v>1</v>
      </c>
      <c r="AM713" s="24">
        <v>0</v>
      </c>
      <c r="AN713" s="24">
        <v>0</v>
      </c>
      <c r="AO713" s="24">
        <v>0</v>
      </c>
      <c r="AP713" s="24">
        <v>0</v>
      </c>
      <c r="AQ713" s="24">
        <v>1</v>
      </c>
      <c r="AR713" s="24">
        <v>0</v>
      </c>
      <c r="AS713" s="24">
        <v>0</v>
      </c>
      <c r="AT713" s="24">
        <v>0</v>
      </c>
      <c r="AU713" s="24">
        <v>1</v>
      </c>
      <c r="AV713" s="24">
        <v>0</v>
      </c>
      <c r="AW713" s="24">
        <v>0</v>
      </c>
      <c r="AX713" s="24">
        <v>0</v>
      </c>
      <c r="AY713" s="24">
        <v>0</v>
      </c>
      <c r="AZ713" s="24">
        <v>0</v>
      </c>
      <c r="BA713" s="24">
        <v>1</v>
      </c>
      <c r="BB713" s="24">
        <v>0</v>
      </c>
    </row>
    <row r="714" spans="2:54" ht="13.8" x14ac:dyDescent="0.3">
      <c r="B714" s="24">
        <v>694</v>
      </c>
      <c r="C714" s="24">
        <v>6</v>
      </c>
      <c r="D714" s="24">
        <v>1</v>
      </c>
      <c r="E714" s="24">
        <v>0</v>
      </c>
      <c r="F714" s="24">
        <v>0</v>
      </c>
      <c r="G714" s="24">
        <v>0</v>
      </c>
      <c r="H714" s="24">
        <v>0</v>
      </c>
      <c r="I714" s="24">
        <v>0</v>
      </c>
      <c r="J714" s="24">
        <v>4716</v>
      </c>
      <c r="K714" s="24">
        <v>1</v>
      </c>
      <c r="L714" s="24">
        <v>0</v>
      </c>
      <c r="M714" s="24">
        <v>1</v>
      </c>
      <c r="N714" s="24">
        <v>0</v>
      </c>
      <c r="O714" s="24">
        <v>0</v>
      </c>
      <c r="P714" s="24">
        <v>0</v>
      </c>
      <c r="Q714" s="24">
        <v>1</v>
      </c>
      <c r="R714" s="24">
        <v>0</v>
      </c>
      <c r="S714" s="24">
        <v>44</v>
      </c>
      <c r="T714" s="24">
        <v>0</v>
      </c>
      <c r="U714" s="24">
        <v>0</v>
      </c>
      <c r="V714" s="24">
        <v>1</v>
      </c>
      <c r="W714" s="24">
        <v>2</v>
      </c>
      <c r="X714" s="24">
        <v>2</v>
      </c>
      <c r="Y714" s="24">
        <v>0</v>
      </c>
      <c r="Z714" s="24">
        <v>0</v>
      </c>
      <c r="AA714" s="24">
        <v>1</v>
      </c>
      <c r="AB714" s="24">
        <v>1</v>
      </c>
      <c r="AC714" s="24">
        <v>0</v>
      </c>
      <c r="AD714" s="24">
        <v>0</v>
      </c>
      <c r="AE714" s="24">
        <v>0</v>
      </c>
      <c r="AF714" s="24">
        <v>0</v>
      </c>
      <c r="AG714" s="24">
        <v>0</v>
      </c>
      <c r="AH714" s="24">
        <v>0</v>
      </c>
      <c r="AI714" s="24">
        <v>0</v>
      </c>
      <c r="AJ714" s="24">
        <v>1</v>
      </c>
      <c r="AK714" s="24">
        <v>0</v>
      </c>
      <c r="AL714" s="24">
        <v>0</v>
      </c>
      <c r="AM714" s="24">
        <v>0</v>
      </c>
      <c r="AN714" s="24">
        <v>0</v>
      </c>
      <c r="AO714" s="24">
        <v>1</v>
      </c>
      <c r="AP714" s="24">
        <v>0</v>
      </c>
      <c r="AQ714" s="24">
        <v>1</v>
      </c>
      <c r="AR714" s="24">
        <v>0</v>
      </c>
      <c r="AS714" s="24">
        <v>0</v>
      </c>
      <c r="AT714" s="24">
        <v>0</v>
      </c>
      <c r="AU714" s="24">
        <v>0</v>
      </c>
      <c r="AV714" s="24">
        <v>0</v>
      </c>
      <c r="AW714" s="24">
        <v>1</v>
      </c>
      <c r="AX714" s="24">
        <v>0</v>
      </c>
      <c r="AY714" s="24">
        <v>0</v>
      </c>
      <c r="AZ714" s="24">
        <v>1</v>
      </c>
      <c r="BA714" s="24">
        <v>0</v>
      </c>
      <c r="BB714" s="24">
        <v>0</v>
      </c>
    </row>
    <row r="715" spans="2:54" ht="13.8" x14ac:dyDescent="0.3">
      <c r="B715" s="24">
        <v>695</v>
      </c>
      <c r="C715" s="24">
        <v>24</v>
      </c>
      <c r="D715" s="24">
        <v>0</v>
      </c>
      <c r="E715" s="24">
        <v>0</v>
      </c>
      <c r="F715" s="24">
        <v>0</v>
      </c>
      <c r="G715" s="24">
        <v>1</v>
      </c>
      <c r="H715" s="24">
        <v>0</v>
      </c>
      <c r="I715" s="24">
        <v>0</v>
      </c>
      <c r="J715" s="24">
        <v>2284</v>
      </c>
      <c r="K715" s="24">
        <v>4</v>
      </c>
      <c r="L715" s="24">
        <v>0</v>
      </c>
      <c r="M715" s="24">
        <v>1</v>
      </c>
      <c r="N715" s="24">
        <v>0</v>
      </c>
      <c r="O715" s="24">
        <v>0</v>
      </c>
      <c r="P715" s="24">
        <v>0</v>
      </c>
      <c r="Q715" s="24">
        <v>0</v>
      </c>
      <c r="R715" s="24">
        <v>0</v>
      </c>
      <c r="S715" s="24">
        <v>28</v>
      </c>
      <c r="T715" s="24">
        <v>0</v>
      </c>
      <c r="U715" s="24">
        <v>0</v>
      </c>
      <c r="V715" s="24">
        <v>1</v>
      </c>
      <c r="W715" s="24">
        <v>1</v>
      </c>
      <c r="X715" s="24">
        <v>1</v>
      </c>
      <c r="Y715" s="24">
        <v>1</v>
      </c>
      <c r="Z715" s="24">
        <v>0</v>
      </c>
      <c r="AA715" s="24">
        <v>1</v>
      </c>
      <c r="AB715" s="24">
        <v>0</v>
      </c>
      <c r="AC715" s="24">
        <v>0</v>
      </c>
      <c r="AD715" s="24">
        <v>0</v>
      </c>
      <c r="AE715" s="24">
        <v>1</v>
      </c>
      <c r="AF715" s="24">
        <v>0</v>
      </c>
      <c r="AG715" s="24">
        <v>0</v>
      </c>
      <c r="AH715" s="24">
        <v>1</v>
      </c>
      <c r="AI715" s="24">
        <v>0</v>
      </c>
      <c r="AJ715" s="24">
        <v>0</v>
      </c>
      <c r="AK715" s="24">
        <v>1</v>
      </c>
      <c r="AL715" s="24">
        <v>0</v>
      </c>
      <c r="AM715" s="24">
        <v>0</v>
      </c>
      <c r="AN715" s="24">
        <v>0</v>
      </c>
      <c r="AO715" s="24">
        <v>0</v>
      </c>
      <c r="AP715" s="24">
        <v>0</v>
      </c>
      <c r="AQ715" s="24">
        <v>0</v>
      </c>
      <c r="AR715" s="24">
        <v>0</v>
      </c>
      <c r="AS715" s="24">
        <v>1</v>
      </c>
      <c r="AT715" s="24">
        <v>0</v>
      </c>
      <c r="AU715" s="24">
        <v>0</v>
      </c>
      <c r="AV715" s="24">
        <v>1</v>
      </c>
      <c r="AW715" s="24">
        <v>0</v>
      </c>
      <c r="AX715" s="24">
        <v>0</v>
      </c>
      <c r="AY715" s="24">
        <v>0</v>
      </c>
      <c r="AZ715" s="24">
        <v>0</v>
      </c>
      <c r="BA715" s="24">
        <v>1</v>
      </c>
      <c r="BB715" s="24">
        <v>0</v>
      </c>
    </row>
    <row r="716" spans="2:54" ht="13.8" x14ac:dyDescent="0.3">
      <c r="B716" s="24">
        <v>696</v>
      </c>
      <c r="C716" s="24">
        <v>6</v>
      </c>
      <c r="D716" s="24">
        <v>0</v>
      </c>
      <c r="E716" s="24">
        <v>1</v>
      </c>
      <c r="F716" s="24">
        <v>0</v>
      </c>
      <c r="G716" s="24">
        <v>0</v>
      </c>
      <c r="H716" s="24">
        <v>0</v>
      </c>
      <c r="I716" s="24">
        <v>0</v>
      </c>
      <c r="J716" s="24">
        <v>1236</v>
      </c>
      <c r="K716" s="24">
        <v>2</v>
      </c>
      <c r="L716" s="24">
        <v>0</v>
      </c>
      <c r="M716" s="24">
        <v>1</v>
      </c>
      <c r="N716" s="24">
        <v>0</v>
      </c>
      <c r="O716" s="24">
        <v>0</v>
      </c>
      <c r="P716" s="24">
        <v>0</v>
      </c>
      <c r="Q716" s="24">
        <v>0</v>
      </c>
      <c r="R716" s="24">
        <v>0</v>
      </c>
      <c r="S716" s="24">
        <v>50</v>
      </c>
      <c r="T716" s="24">
        <v>0</v>
      </c>
      <c r="U716" s="24">
        <v>1</v>
      </c>
      <c r="V716" s="24">
        <v>0</v>
      </c>
      <c r="W716" s="24">
        <v>1</v>
      </c>
      <c r="X716" s="24">
        <v>1</v>
      </c>
      <c r="Y716" s="24">
        <v>0</v>
      </c>
      <c r="Z716" s="24">
        <v>0</v>
      </c>
      <c r="AA716" s="24">
        <v>1</v>
      </c>
      <c r="AB716" s="24">
        <v>0</v>
      </c>
      <c r="AC716" s="24">
        <v>0</v>
      </c>
      <c r="AD716" s="24">
        <v>0</v>
      </c>
      <c r="AE716" s="24">
        <v>1</v>
      </c>
      <c r="AF716" s="24">
        <v>0</v>
      </c>
      <c r="AG716" s="24">
        <v>0</v>
      </c>
      <c r="AH716" s="24">
        <v>1</v>
      </c>
      <c r="AI716" s="24">
        <v>0</v>
      </c>
      <c r="AJ716" s="24">
        <v>0</v>
      </c>
      <c r="AK716" s="24">
        <v>0</v>
      </c>
      <c r="AL716" s="24">
        <v>0</v>
      </c>
      <c r="AM716" s="24">
        <v>1</v>
      </c>
      <c r="AN716" s="24">
        <v>0</v>
      </c>
      <c r="AO716" s="24">
        <v>0</v>
      </c>
      <c r="AP716" s="24">
        <v>0</v>
      </c>
      <c r="AQ716" s="24">
        <v>0</v>
      </c>
      <c r="AR716" s="24">
        <v>1</v>
      </c>
      <c r="AS716" s="24">
        <v>0</v>
      </c>
      <c r="AT716" s="24">
        <v>0</v>
      </c>
      <c r="AU716" s="24">
        <v>0</v>
      </c>
      <c r="AV716" s="24">
        <v>0</v>
      </c>
      <c r="AW716" s="24">
        <v>0</v>
      </c>
      <c r="AX716" s="24">
        <v>1</v>
      </c>
      <c r="AY716" s="24">
        <v>0</v>
      </c>
      <c r="AZ716" s="24">
        <v>0</v>
      </c>
      <c r="BA716" s="24">
        <v>1</v>
      </c>
      <c r="BB716" s="24">
        <v>0</v>
      </c>
    </row>
    <row r="717" spans="2:54" ht="13.8" x14ac:dyDescent="0.3">
      <c r="B717" s="24">
        <v>697</v>
      </c>
      <c r="C717" s="24">
        <v>12</v>
      </c>
      <c r="D717" s="24">
        <v>0</v>
      </c>
      <c r="E717" s="24">
        <v>0</v>
      </c>
      <c r="F717" s="24">
        <v>0</v>
      </c>
      <c r="G717" s="24">
        <v>1</v>
      </c>
      <c r="H717" s="24">
        <v>0</v>
      </c>
      <c r="I717" s="24">
        <v>0</v>
      </c>
      <c r="J717" s="24">
        <v>1103</v>
      </c>
      <c r="K717" s="24">
        <v>4</v>
      </c>
      <c r="L717" s="24">
        <v>0</v>
      </c>
      <c r="M717" s="24">
        <v>1</v>
      </c>
      <c r="N717" s="24">
        <v>0</v>
      </c>
      <c r="O717" s="24">
        <v>0</v>
      </c>
      <c r="P717" s="24">
        <v>1</v>
      </c>
      <c r="Q717" s="24">
        <v>1</v>
      </c>
      <c r="R717" s="24">
        <v>0</v>
      </c>
      <c r="S717" s="24">
        <v>29</v>
      </c>
      <c r="T717" s="24">
        <v>0</v>
      </c>
      <c r="U717" s="24">
        <v>0</v>
      </c>
      <c r="V717" s="24">
        <v>1</v>
      </c>
      <c r="W717" s="24">
        <v>2</v>
      </c>
      <c r="X717" s="24">
        <v>1</v>
      </c>
      <c r="Y717" s="24">
        <v>0</v>
      </c>
      <c r="Z717" s="24">
        <v>1</v>
      </c>
      <c r="AA717" s="24">
        <v>1</v>
      </c>
      <c r="AB717" s="24">
        <v>0</v>
      </c>
      <c r="AC717" s="24">
        <v>1</v>
      </c>
      <c r="AD717" s="24">
        <v>0</v>
      </c>
      <c r="AE717" s="24">
        <v>0</v>
      </c>
      <c r="AF717" s="24">
        <v>0</v>
      </c>
      <c r="AG717" s="24">
        <v>0</v>
      </c>
      <c r="AH717" s="24">
        <v>1</v>
      </c>
      <c r="AI717" s="24">
        <v>0</v>
      </c>
      <c r="AJ717" s="24">
        <v>0</v>
      </c>
      <c r="AK717" s="24">
        <v>1</v>
      </c>
      <c r="AL717" s="24">
        <v>0</v>
      </c>
      <c r="AM717" s="24">
        <v>0</v>
      </c>
      <c r="AN717" s="24">
        <v>0</v>
      </c>
      <c r="AO717" s="24">
        <v>0</v>
      </c>
      <c r="AP717" s="24">
        <v>0</v>
      </c>
      <c r="AQ717" s="24">
        <v>0</v>
      </c>
      <c r="AR717" s="24">
        <v>0</v>
      </c>
      <c r="AS717" s="24">
        <v>1</v>
      </c>
      <c r="AT717" s="24">
        <v>0</v>
      </c>
      <c r="AU717" s="24">
        <v>0</v>
      </c>
      <c r="AV717" s="24">
        <v>0</v>
      </c>
      <c r="AW717" s="24">
        <v>1</v>
      </c>
      <c r="AX717" s="24">
        <v>0</v>
      </c>
      <c r="AY717" s="24">
        <v>0</v>
      </c>
      <c r="AZ717" s="24">
        <v>0</v>
      </c>
      <c r="BA717" s="24">
        <v>1</v>
      </c>
      <c r="BB717" s="24">
        <v>0</v>
      </c>
    </row>
    <row r="718" spans="2:54" ht="13.8" x14ac:dyDescent="0.3">
      <c r="B718" s="24">
        <v>698</v>
      </c>
      <c r="C718" s="24">
        <v>12</v>
      </c>
      <c r="D718" s="24">
        <v>1</v>
      </c>
      <c r="E718" s="24">
        <v>0</v>
      </c>
      <c r="F718" s="24">
        <v>0</v>
      </c>
      <c r="G718" s="24">
        <v>0</v>
      </c>
      <c r="H718" s="24">
        <v>0</v>
      </c>
      <c r="I718" s="24">
        <v>0</v>
      </c>
      <c r="J718" s="24">
        <v>926</v>
      </c>
      <c r="K718" s="24">
        <v>1</v>
      </c>
      <c r="L718" s="24">
        <v>0</v>
      </c>
      <c r="M718" s="24">
        <v>0</v>
      </c>
      <c r="N718" s="24">
        <v>0</v>
      </c>
      <c r="O718" s="24">
        <v>0</v>
      </c>
      <c r="P718" s="24">
        <v>0</v>
      </c>
      <c r="Q718" s="24">
        <v>0</v>
      </c>
      <c r="R718" s="24">
        <v>0</v>
      </c>
      <c r="S718" s="24">
        <v>38</v>
      </c>
      <c r="T718" s="24">
        <v>0</v>
      </c>
      <c r="U718" s="24">
        <v>0</v>
      </c>
      <c r="V718" s="24">
        <v>1</v>
      </c>
      <c r="W718" s="24">
        <v>1</v>
      </c>
      <c r="X718" s="24">
        <v>1</v>
      </c>
      <c r="Y718" s="24">
        <v>0</v>
      </c>
      <c r="Z718" s="24">
        <v>0</v>
      </c>
      <c r="AA718" s="24">
        <v>1</v>
      </c>
      <c r="AB718" s="24">
        <v>0</v>
      </c>
      <c r="AC718" s="24">
        <v>0</v>
      </c>
      <c r="AD718" s="24">
        <v>0</v>
      </c>
      <c r="AE718" s="24">
        <v>1</v>
      </c>
      <c r="AF718" s="24">
        <v>0</v>
      </c>
      <c r="AG718" s="24">
        <v>0</v>
      </c>
      <c r="AH718" s="24">
        <v>0</v>
      </c>
      <c r="AI718" s="24">
        <v>0</v>
      </c>
      <c r="AJ718" s="24">
        <v>1</v>
      </c>
      <c r="AK718" s="24">
        <v>1</v>
      </c>
      <c r="AL718" s="24">
        <v>0</v>
      </c>
      <c r="AM718" s="24">
        <v>0</v>
      </c>
      <c r="AN718" s="24">
        <v>0</v>
      </c>
      <c r="AO718" s="24">
        <v>0</v>
      </c>
      <c r="AP718" s="24">
        <v>1</v>
      </c>
      <c r="AQ718" s="24">
        <v>0</v>
      </c>
      <c r="AR718" s="24">
        <v>0</v>
      </c>
      <c r="AS718" s="24">
        <v>0</v>
      </c>
      <c r="AT718" s="24">
        <v>0</v>
      </c>
      <c r="AU718" s="24">
        <v>0</v>
      </c>
      <c r="AV718" s="24">
        <v>1</v>
      </c>
      <c r="AW718" s="24">
        <v>0</v>
      </c>
      <c r="AX718" s="24">
        <v>0</v>
      </c>
      <c r="AY718" s="24">
        <v>1</v>
      </c>
      <c r="AZ718" s="24">
        <v>0</v>
      </c>
      <c r="BA718" s="24">
        <v>0</v>
      </c>
      <c r="BB718" s="24">
        <v>0</v>
      </c>
    </row>
    <row r="719" spans="2:54" ht="13.8" x14ac:dyDescent="0.3">
      <c r="B719" s="24">
        <v>699</v>
      </c>
      <c r="C719" s="24">
        <v>18</v>
      </c>
      <c r="D719" s="24">
        <v>0</v>
      </c>
      <c r="E719" s="24">
        <v>0</v>
      </c>
      <c r="F719" s="24">
        <v>0</v>
      </c>
      <c r="G719" s="24">
        <v>1</v>
      </c>
      <c r="H719" s="24">
        <v>0</v>
      </c>
      <c r="I719" s="24">
        <v>0</v>
      </c>
      <c r="J719" s="24">
        <v>1800</v>
      </c>
      <c r="K719" s="24">
        <v>4</v>
      </c>
      <c r="L719" s="24">
        <v>0</v>
      </c>
      <c r="M719" s="24">
        <v>1</v>
      </c>
      <c r="N719" s="24">
        <v>0</v>
      </c>
      <c r="O719" s="24">
        <v>0</v>
      </c>
      <c r="P719" s="24">
        <v>0</v>
      </c>
      <c r="Q719" s="24">
        <v>0</v>
      </c>
      <c r="R719" s="24">
        <v>0</v>
      </c>
      <c r="S719" s="24">
        <v>24</v>
      </c>
      <c r="T719" s="24">
        <v>0</v>
      </c>
      <c r="U719" s="24">
        <v>0</v>
      </c>
      <c r="V719" s="24">
        <v>1</v>
      </c>
      <c r="W719" s="24">
        <v>2</v>
      </c>
      <c r="X719" s="24">
        <v>1</v>
      </c>
      <c r="Y719" s="24">
        <v>0</v>
      </c>
      <c r="Z719" s="24">
        <v>0</v>
      </c>
      <c r="AA719" s="24">
        <v>1</v>
      </c>
      <c r="AB719" s="24">
        <v>0</v>
      </c>
      <c r="AC719" s="24">
        <v>0</v>
      </c>
      <c r="AD719" s="24">
        <v>0</v>
      </c>
      <c r="AE719" s="24">
        <v>1</v>
      </c>
      <c r="AF719" s="24">
        <v>0</v>
      </c>
      <c r="AG719" s="24">
        <v>0</v>
      </c>
      <c r="AH719" s="24">
        <v>0</v>
      </c>
      <c r="AI719" s="24">
        <v>0</v>
      </c>
      <c r="AJ719" s="24">
        <v>1</v>
      </c>
      <c r="AK719" s="24">
        <v>1</v>
      </c>
      <c r="AL719" s="24">
        <v>0</v>
      </c>
      <c r="AM719" s="24">
        <v>0</v>
      </c>
      <c r="AN719" s="24">
        <v>0</v>
      </c>
      <c r="AO719" s="24">
        <v>0</v>
      </c>
      <c r="AP719" s="24">
        <v>0</v>
      </c>
      <c r="AQ719" s="24">
        <v>0</v>
      </c>
      <c r="AR719" s="24">
        <v>1</v>
      </c>
      <c r="AS719" s="24">
        <v>0</v>
      </c>
      <c r="AT719" s="24">
        <v>0</v>
      </c>
      <c r="AU719" s="24">
        <v>0</v>
      </c>
      <c r="AV719" s="24">
        <v>1</v>
      </c>
      <c r="AW719" s="24">
        <v>0</v>
      </c>
      <c r="AX719" s="24">
        <v>0</v>
      </c>
      <c r="AY719" s="24">
        <v>0</v>
      </c>
      <c r="AZ719" s="24">
        <v>0</v>
      </c>
      <c r="BA719" s="24">
        <v>1</v>
      </c>
      <c r="BB719" s="24">
        <v>0</v>
      </c>
    </row>
    <row r="720" spans="2:54" ht="13.8" x14ac:dyDescent="0.3">
      <c r="B720" s="24">
        <v>700</v>
      </c>
      <c r="C720" s="24">
        <v>15</v>
      </c>
      <c r="D720" s="24">
        <v>0</v>
      </c>
      <c r="E720" s="24">
        <v>0</v>
      </c>
      <c r="F720" s="24">
        <v>0</v>
      </c>
      <c r="G720" s="24">
        <v>0</v>
      </c>
      <c r="H720" s="24">
        <v>1</v>
      </c>
      <c r="I720" s="24">
        <v>0</v>
      </c>
      <c r="J720" s="24">
        <v>1905</v>
      </c>
      <c r="K720" s="24">
        <v>4</v>
      </c>
      <c r="L720" s="24">
        <v>0</v>
      </c>
      <c r="M720" s="24">
        <v>1</v>
      </c>
      <c r="N720" s="24">
        <v>0</v>
      </c>
      <c r="O720" s="24">
        <v>0</v>
      </c>
      <c r="P720" s="24">
        <v>0</v>
      </c>
      <c r="Q720" s="24">
        <v>0</v>
      </c>
      <c r="R720" s="24">
        <v>0</v>
      </c>
      <c r="S720" s="24">
        <v>40</v>
      </c>
      <c r="T720" s="24">
        <v>0</v>
      </c>
      <c r="U720" s="24">
        <v>1</v>
      </c>
      <c r="V720" s="24">
        <v>0</v>
      </c>
      <c r="W720" s="24">
        <v>1</v>
      </c>
      <c r="X720" s="24">
        <v>1</v>
      </c>
      <c r="Y720" s="24">
        <v>1</v>
      </c>
      <c r="Z720" s="24">
        <v>0</v>
      </c>
      <c r="AA720" s="24">
        <v>1</v>
      </c>
      <c r="AB720" s="24">
        <v>0</v>
      </c>
      <c r="AC720" s="24">
        <v>0</v>
      </c>
      <c r="AD720" s="24">
        <v>1</v>
      </c>
      <c r="AE720" s="24">
        <v>0</v>
      </c>
      <c r="AF720" s="24">
        <v>0</v>
      </c>
      <c r="AG720" s="24">
        <v>0</v>
      </c>
      <c r="AH720" s="24">
        <v>1</v>
      </c>
      <c r="AI720" s="24">
        <v>0</v>
      </c>
      <c r="AJ720" s="24">
        <v>0</v>
      </c>
      <c r="AK720" s="24">
        <v>1</v>
      </c>
      <c r="AL720" s="24">
        <v>0</v>
      </c>
      <c r="AM720" s="24">
        <v>0</v>
      </c>
      <c r="AN720" s="24">
        <v>0</v>
      </c>
      <c r="AO720" s="24">
        <v>0</v>
      </c>
      <c r="AP720" s="24">
        <v>0</v>
      </c>
      <c r="AQ720" s="24">
        <v>0</v>
      </c>
      <c r="AR720" s="24">
        <v>0</v>
      </c>
      <c r="AS720" s="24">
        <v>0</v>
      </c>
      <c r="AT720" s="24">
        <v>1</v>
      </c>
      <c r="AU720" s="24">
        <v>0</v>
      </c>
      <c r="AV720" s="24">
        <v>0</v>
      </c>
      <c r="AW720" s="24">
        <v>0</v>
      </c>
      <c r="AX720" s="24">
        <v>1</v>
      </c>
      <c r="AY720" s="24">
        <v>0</v>
      </c>
      <c r="AZ720" s="24">
        <v>0</v>
      </c>
      <c r="BA720" s="24">
        <v>0</v>
      </c>
      <c r="BB720" s="24">
        <v>1</v>
      </c>
    </row>
    <row r="721" spans="2:54" ht="13.8" x14ac:dyDescent="0.3">
      <c r="B721" s="24">
        <v>701</v>
      </c>
      <c r="C721" s="24">
        <v>12</v>
      </c>
      <c r="D721" s="24">
        <v>0</v>
      </c>
      <c r="E721" s="24">
        <v>0</v>
      </c>
      <c r="F721" s="24">
        <v>1</v>
      </c>
      <c r="G721" s="24">
        <v>0</v>
      </c>
      <c r="H721" s="24">
        <v>0</v>
      </c>
      <c r="I721" s="24">
        <v>0</v>
      </c>
      <c r="J721" s="24">
        <v>1123</v>
      </c>
      <c r="K721" s="24">
        <v>4</v>
      </c>
      <c r="L721" s="24">
        <v>0</v>
      </c>
      <c r="M721" s="24">
        <v>0</v>
      </c>
      <c r="N721" s="24">
        <v>0</v>
      </c>
      <c r="O721" s="24">
        <v>0</v>
      </c>
      <c r="P721" s="24">
        <v>0</v>
      </c>
      <c r="Q721" s="24">
        <v>0</v>
      </c>
      <c r="R721" s="24">
        <v>0</v>
      </c>
      <c r="S721" s="24">
        <v>29</v>
      </c>
      <c r="T721" s="24">
        <v>0</v>
      </c>
      <c r="U721" s="24">
        <v>1</v>
      </c>
      <c r="V721" s="24">
        <v>0</v>
      </c>
      <c r="W721" s="24">
        <v>1</v>
      </c>
      <c r="X721" s="24">
        <v>1</v>
      </c>
      <c r="Y721" s="24">
        <v>0</v>
      </c>
      <c r="Z721" s="24">
        <v>0</v>
      </c>
      <c r="AA721" s="24">
        <v>0</v>
      </c>
      <c r="AB721" s="24">
        <v>0</v>
      </c>
      <c r="AC721" s="24">
        <v>0</v>
      </c>
      <c r="AD721" s="24">
        <v>0</v>
      </c>
      <c r="AE721" s="24">
        <v>1</v>
      </c>
      <c r="AF721" s="24">
        <v>0</v>
      </c>
      <c r="AG721" s="24">
        <v>0</v>
      </c>
      <c r="AH721" s="24">
        <v>1</v>
      </c>
      <c r="AI721" s="24">
        <v>0</v>
      </c>
      <c r="AJ721" s="24">
        <v>0</v>
      </c>
      <c r="AK721" s="24">
        <v>0</v>
      </c>
      <c r="AL721" s="24">
        <v>0</v>
      </c>
      <c r="AM721" s="24">
        <v>1</v>
      </c>
      <c r="AN721" s="24">
        <v>0</v>
      </c>
      <c r="AO721" s="24">
        <v>0</v>
      </c>
      <c r="AP721" s="24">
        <v>0</v>
      </c>
      <c r="AQ721" s="24">
        <v>0</v>
      </c>
      <c r="AR721" s="24">
        <v>1</v>
      </c>
      <c r="AS721" s="24">
        <v>0</v>
      </c>
      <c r="AT721" s="24">
        <v>0</v>
      </c>
      <c r="AU721" s="24">
        <v>0</v>
      </c>
      <c r="AV721" s="24">
        <v>0</v>
      </c>
      <c r="AW721" s="24">
        <v>0</v>
      </c>
      <c r="AX721" s="24">
        <v>1</v>
      </c>
      <c r="AY721" s="24">
        <v>0</v>
      </c>
      <c r="AZ721" s="24">
        <v>1</v>
      </c>
      <c r="BA721" s="24">
        <v>0</v>
      </c>
      <c r="BB721" s="24">
        <v>0</v>
      </c>
    </row>
    <row r="722" spans="2:54" ht="13.8" x14ac:dyDescent="0.3">
      <c r="B722" s="24">
        <v>702</v>
      </c>
      <c r="C722" s="24">
        <v>48</v>
      </c>
      <c r="D722" s="24">
        <v>0</v>
      </c>
      <c r="E722" s="24">
        <v>1</v>
      </c>
      <c r="F722" s="24">
        <v>0</v>
      </c>
      <c r="G722" s="24">
        <v>0</v>
      </c>
      <c r="H722" s="24">
        <v>0</v>
      </c>
      <c r="I722" s="24">
        <v>0</v>
      </c>
      <c r="J722" s="24">
        <v>6331</v>
      </c>
      <c r="K722" s="24">
        <v>4</v>
      </c>
      <c r="L722" s="24">
        <v>0</v>
      </c>
      <c r="M722" s="24">
        <v>1</v>
      </c>
      <c r="N722" s="24">
        <v>0</v>
      </c>
      <c r="O722" s="24">
        <v>0</v>
      </c>
      <c r="P722" s="24">
        <v>0</v>
      </c>
      <c r="Q722" s="24">
        <v>0</v>
      </c>
      <c r="R722" s="24">
        <v>1</v>
      </c>
      <c r="S722" s="24">
        <v>46</v>
      </c>
      <c r="T722" s="24">
        <v>0</v>
      </c>
      <c r="U722" s="24">
        <v>0</v>
      </c>
      <c r="V722" s="24">
        <v>0</v>
      </c>
      <c r="W722" s="24">
        <v>2</v>
      </c>
      <c r="X722" s="24">
        <v>1</v>
      </c>
      <c r="Y722" s="24">
        <v>1</v>
      </c>
      <c r="Z722" s="24">
        <v>0</v>
      </c>
      <c r="AA722" s="24">
        <v>0</v>
      </c>
      <c r="AB722" s="24">
        <v>1</v>
      </c>
      <c r="AC722" s="24">
        <v>0</v>
      </c>
      <c r="AD722" s="24">
        <v>0</v>
      </c>
      <c r="AE722" s="24">
        <v>0</v>
      </c>
      <c r="AF722" s="24">
        <v>0</v>
      </c>
      <c r="AG722" s="24">
        <v>0</v>
      </c>
      <c r="AH722" s="24">
        <v>0</v>
      </c>
      <c r="AI722" s="24">
        <v>0</v>
      </c>
      <c r="AJ722" s="24">
        <v>1</v>
      </c>
      <c r="AK722" s="24">
        <v>1</v>
      </c>
      <c r="AL722" s="24">
        <v>0</v>
      </c>
      <c r="AM722" s="24">
        <v>0</v>
      </c>
      <c r="AN722" s="24">
        <v>0</v>
      </c>
      <c r="AO722" s="24">
        <v>0</v>
      </c>
      <c r="AP722" s="24">
        <v>0</v>
      </c>
      <c r="AQ722" s="24">
        <v>0</v>
      </c>
      <c r="AR722" s="24">
        <v>0</v>
      </c>
      <c r="AS722" s="24">
        <v>0</v>
      </c>
      <c r="AT722" s="24">
        <v>1</v>
      </c>
      <c r="AU722" s="24">
        <v>0</v>
      </c>
      <c r="AV722" s="24">
        <v>0</v>
      </c>
      <c r="AW722" s="24">
        <v>0</v>
      </c>
      <c r="AX722" s="24">
        <v>1</v>
      </c>
      <c r="AY722" s="24">
        <v>0</v>
      </c>
      <c r="AZ722" s="24">
        <v>0</v>
      </c>
      <c r="BA722" s="24">
        <v>1</v>
      </c>
      <c r="BB722" s="24">
        <v>0</v>
      </c>
    </row>
    <row r="723" spans="2:54" ht="13.8" x14ac:dyDescent="0.3">
      <c r="B723" s="24">
        <v>703</v>
      </c>
      <c r="C723" s="24">
        <v>24</v>
      </c>
      <c r="D723" s="24">
        <v>0</v>
      </c>
      <c r="E723" s="24">
        <v>0</v>
      </c>
      <c r="F723" s="24">
        <v>0</v>
      </c>
      <c r="G723" s="24">
        <v>1</v>
      </c>
      <c r="H723" s="24">
        <v>0</v>
      </c>
      <c r="I723" s="24">
        <v>0</v>
      </c>
      <c r="J723" s="24">
        <v>1377</v>
      </c>
      <c r="K723" s="24">
        <v>4</v>
      </c>
      <c r="L723" s="24">
        <v>0</v>
      </c>
      <c r="M723" s="24">
        <v>0</v>
      </c>
      <c r="N723" s="24">
        <v>0</v>
      </c>
      <c r="O723" s="24">
        <v>0</v>
      </c>
      <c r="P723" s="24">
        <v>0</v>
      </c>
      <c r="Q723" s="24">
        <v>0</v>
      </c>
      <c r="R723" s="24">
        <v>1</v>
      </c>
      <c r="S723" s="24">
        <v>47</v>
      </c>
      <c r="T723" s="24">
        <v>0</v>
      </c>
      <c r="U723" s="24">
        <v>0</v>
      </c>
      <c r="V723" s="24">
        <v>0</v>
      </c>
      <c r="W723" s="24">
        <v>1</v>
      </c>
      <c r="X723" s="24">
        <v>1</v>
      </c>
      <c r="Y723" s="24">
        <v>1</v>
      </c>
      <c r="Z723" s="24">
        <v>0</v>
      </c>
      <c r="AA723" s="24">
        <v>1</v>
      </c>
      <c r="AB723" s="24">
        <v>0</v>
      </c>
      <c r="AC723" s="24">
        <v>0</v>
      </c>
      <c r="AD723" s="24">
        <v>1</v>
      </c>
      <c r="AE723" s="24">
        <v>0</v>
      </c>
      <c r="AF723" s="24">
        <v>0</v>
      </c>
      <c r="AG723" s="24">
        <v>0</v>
      </c>
      <c r="AH723" s="24">
        <v>1</v>
      </c>
      <c r="AI723" s="24">
        <v>0</v>
      </c>
      <c r="AJ723" s="24">
        <v>0</v>
      </c>
      <c r="AK723" s="24">
        <v>0</v>
      </c>
      <c r="AL723" s="24">
        <v>1</v>
      </c>
      <c r="AM723" s="24">
        <v>0</v>
      </c>
      <c r="AN723" s="24">
        <v>0</v>
      </c>
      <c r="AO723" s="24">
        <v>0</v>
      </c>
      <c r="AP723" s="24">
        <v>0</v>
      </c>
      <c r="AQ723" s="24">
        <v>0</v>
      </c>
      <c r="AR723" s="24">
        <v>0</v>
      </c>
      <c r="AS723" s="24">
        <v>0</v>
      </c>
      <c r="AT723" s="24">
        <v>1</v>
      </c>
      <c r="AU723" s="24">
        <v>0</v>
      </c>
      <c r="AV723" s="24">
        <v>1</v>
      </c>
      <c r="AW723" s="24">
        <v>0</v>
      </c>
      <c r="AX723" s="24">
        <v>0</v>
      </c>
      <c r="AY723" s="24">
        <v>0</v>
      </c>
      <c r="AZ723" s="24">
        <v>0</v>
      </c>
      <c r="BA723" s="24">
        <v>1</v>
      </c>
      <c r="BB723" s="24">
        <v>0</v>
      </c>
    </row>
    <row r="724" spans="2:54" ht="13.8" x14ac:dyDescent="0.3">
      <c r="B724" s="24">
        <v>704</v>
      </c>
      <c r="C724" s="24">
        <v>30</v>
      </c>
      <c r="D724" s="24">
        <v>0</v>
      </c>
      <c r="E724" s="24">
        <v>0</v>
      </c>
      <c r="F724" s="24">
        <v>0</v>
      </c>
      <c r="G724" s="24">
        <v>0</v>
      </c>
      <c r="H724" s="24">
        <v>0</v>
      </c>
      <c r="I724" s="24">
        <v>1</v>
      </c>
      <c r="J724" s="24">
        <v>2503</v>
      </c>
      <c r="K724" s="24">
        <v>4</v>
      </c>
      <c r="L724" s="24">
        <v>0</v>
      </c>
      <c r="M724" s="24">
        <v>1</v>
      </c>
      <c r="N724" s="24">
        <v>0</v>
      </c>
      <c r="O724" s="24">
        <v>0</v>
      </c>
      <c r="P724" s="24">
        <v>0</v>
      </c>
      <c r="Q724" s="24">
        <v>0</v>
      </c>
      <c r="R724" s="24">
        <v>0</v>
      </c>
      <c r="S724" s="24">
        <v>41</v>
      </c>
      <c r="T724" s="24">
        <v>1</v>
      </c>
      <c r="U724" s="24">
        <v>0</v>
      </c>
      <c r="V724" s="24">
        <v>1</v>
      </c>
      <c r="W724" s="24">
        <v>2</v>
      </c>
      <c r="X724" s="24">
        <v>1</v>
      </c>
      <c r="Y724" s="24">
        <v>0</v>
      </c>
      <c r="Z724" s="24">
        <v>0</v>
      </c>
      <c r="AA724" s="24">
        <v>1</v>
      </c>
      <c r="AB724" s="24">
        <v>0</v>
      </c>
      <c r="AC724" s="24">
        <v>1</v>
      </c>
      <c r="AD724" s="24">
        <v>0</v>
      </c>
      <c r="AE724" s="24">
        <v>0</v>
      </c>
      <c r="AF724" s="24">
        <v>0</v>
      </c>
      <c r="AG724" s="24">
        <v>0</v>
      </c>
      <c r="AH724" s="24">
        <v>0</v>
      </c>
      <c r="AI724" s="24">
        <v>1</v>
      </c>
      <c r="AJ724" s="24">
        <v>0</v>
      </c>
      <c r="AK724" s="24">
        <v>0</v>
      </c>
      <c r="AL724" s="24">
        <v>1</v>
      </c>
      <c r="AM724" s="24">
        <v>0</v>
      </c>
      <c r="AN724" s="24">
        <v>0</v>
      </c>
      <c r="AO724" s="24">
        <v>0</v>
      </c>
      <c r="AP724" s="24">
        <v>0</v>
      </c>
      <c r="AQ724" s="24">
        <v>0</v>
      </c>
      <c r="AR724" s="24">
        <v>0</v>
      </c>
      <c r="AS724" s="24">
        <v>0</v>
      </c>
      <c r="AT724" s="24">
        <v>1</v>
      </c>
      <c r="AU724" s="24">
        <v>0</v>
      </c>
      <c r="AV724" s="24">
        <v>1</v>
      </c>
      <c r="AW724" s="24">
        <v>0</v>
      </c>
      <c r="AX724" s="24">
        <v>0</v>
      </c>
      <c r="AY724" s="24">
        <v>0</v>
      </c>
      <c r="AZ724" s="24">
        <v>0</v>
      </c>
      <c r="BA724" s="24">
        <v>1</v>
      </c>
      <c r="BB724" s="24">
        <v>0</v>
      </c>
    </row>
    <row r="725" spans="2:54" ht="13.8" x14ac:dyDescent="0.3">
      <c r="B725" s="24">
        <v>705</v>
      </c>
      <c r="C725" s="24">
        <v>27</v>
      </c>
      <c r="D725" s="24">
        <v>0</v>
      </c>
      <c r="E725" s="24">
        <v>0</v>
      </c>
      <c r="F725" s="24">
        <v>0</v>
      </c>
      <c r="G725" s="24">
        <v>0</v>
      </c>
      <c r="H725" s="24">
        <v>0</v>
      </c>
      <c r="I725" s="24">
        <v>1</v>
      </c>
      <c r="J725" s="24">
        <v>2528</v>
      </c>
      <c r="K725" s="24">
        <v>4</v>
      </c>
      <c r="L725" s="24">
        <v>0</v>
      </c>
      <c r="M725" s="24">
        <v>0</v>
      </c>
      <c r="N725" s="24">
        <v>0</v>
      </c>
      <c r="O725" s="24">
        <v>0</v>
      </c>
      <c r="P725" s="24">
        <v>0</v>
      </c>
      <c r="Q725" s="24">
        <v>0</v>
      </c>
      <c r="R725" s="24">
        <v>0</v>
      </c>
      <c r="S725" s="24">
        <v>32</v>
      </c>
      <c r="T725" s="24">
        <v>0</v>
      </c>
      <c r="U725" s="24">
        <v>0</v>
      </c>
      <c r="V725" s="24">
        <v>1</v>
      </c>
      <c r="W725" s="24">
        <v>1</v>
      </c>
      <c r="X725" s="24">
        <v>2</v>
      </c>
      <c r="Y725" s="24">
        <v>1</v>
      </c>
      <c r="Z725" s="24">
        <v>0</v>
      </c>
      <c r="AA725" s="24">
        <v>1</v>
      </c>
      <c r="AB725" s="24">
        <v>0</v>
      </c>
      <c r="AC725" s="24">
        <v>1</v>
      </c>
      <c r="AD725" s="24">
        <v>0</v>
      </c>
      <c r="AE725" s="24">
        <v>0</v>
      </c>
      <c r="AF725" s="24">
        <v>0</v>
      </c>
      <c r="AG725" s="24">
        <v>0</v>
      </c>
      <c r="AH725" s="24">
        <v>1</v>
      </c>
      <c r="AI725" s="24">
        <v>0</v>
      </c>
      <c r="AJ725" s="24">
        <v>0</v>
      </c>
      <c r="AK725" s="24">
        <v>1</v>
      </c>
      <c r="AL725" s="24">
        <v>0</v>
      </c>
      <c r="AM725" s="24">
        <v>0</v>
      </c>
      <c r="AN725" s="24">
        <v>0</v>
      </c>
      <c r="AO725" s="24">
        <v>0</v>
      </c>
      <c r="AP725" s="24">
        <v>0</v>
      </c>
      <c r="AQ725" s="24">
        <v>1</v>
      </c>
      <c r="AR725" s="24">
        <v>0</v>
      </c>
      <c r="AS725" s="24">
        <v>0</v>
      </c>
      <c r="AT725" s="24">
        <v>0</v>
      </c>
      <c r="AU725" s="24">
        <v>1</v>
      </c>
      <c r="AV725" s="24">
        <v>0</v>
      </c>
      <c r="AW725" s="24">
        <v>0</v>
      </c>
      <c r="AX725" s="24">
        <v>0</v>
      </c>
      <c r="AY725" s="24">
        <v>0</v>
      </c>
      <c r="AZ725" s="24">
        <v>0</v>
      </c>
      <c r="BA725" s="24">
        <v>1</v>
      </c>
      <c r="BB725" s="24">
        <v>0</v>
      </c>
    </row>
    <row r="726" spans="2:54" ht="13.8" x14ac:dyDescent="0.3">
      <c r="B726" s="24">
        <v>706</v>
      </c>
      <c r="C726" s="24">
        <v>15</v>
      </c>
      <c r="D726" s="24">
        <v>1</v>
      </c>
      <c r="E726" s="24">
        <v>0</v>
      </c>
      <c r="F726" s="24">
        <v>0</v>
      </c>
      <c r="G726" s="24">
        <v>0</v>
      </c>
      <c r="H726" s="24">
        <v>0</v>
      </c>
      <c r="I726" s="24">
        <v>0</v>
      </c>
      <c r="J726" s="24">
        <v>5324</v>
      </c>
      <c r="K726" s="24">
        <v>1</v>
      </c>
      <c r="L726" s="24">
        <v>0</v>
      </c>
      <c r="M726" s="24">
        <v>0</v>
      </c>
      <c r="N726" s="24">
        <v>0</v>
      </c>
      <c r="O726" s="24">
        <v>0</v>
      </c>
      <c r="P726" s="24">
        <v>0</v>
      </c>
      <c r="Q726" s="24">
        <v>0</v>
      </c>
      <c r="R726" s="24">
        <v>1</v>
      </c>
      <c r="S726" s="24">
        <v>35</v>
      </c>
      <c r="T726" s="24">
        <v>0</v>
      </c>
      <c r="U726" s="24">
        <v>0</v>
      </c>
      <c r="V726" s="24">
        <v>0</v>
      </c>
      <c r="W726" s="24">
        <v>1</v>
      </c>
      <c r="X726" s="24">
        <v>1</v>
      </c>
      <c r="Y726" s="24">
        <v>0</v>
      </c>
      <c r="Z726" s="24">
        <v>0</v>
      </c>
      <c r="AA726" s="24">
        <v>1</v>
      </c>
      <c r="AB726" s="24">
        <v>0</v>
      </c>
      <c r="AC726" s="24">
        <v>0</v>
      </c>
      <c r="AD726" s="24">
        <v>0</v>
      </c>
      <c r="AE726" s="24">
        <v>1</v>
      </c>
      <c r="AF726" s="24">
        <v>0</v>
      </c>
      <c r="AG726" s="24">
        <v>0</v>
      </c>
      <c r="AH726" s="24">
        <v>1</v>
      </c>
      <c r="AI726" s="24">
        <v>0</v>
      </c>
      <c r="AJ726" s="24">
        <v>0</v>
      </c>
      <c r="AK726" s="24">
        <v>0</v>
      </c>
      <c r="AL726" s="24">
        <v>0</v>
      </c>
      <c r="AM726" s="24">
        <v>1</v>
      </c>
      <c r="AN726" s="24">
        <v>0</v>
      </c>
      <c r="AO726" s="24">
        <v>0</v>
      </c>
      <c r="AP726" s="24">
        <v>0</v>
      </c>
      <c r="AQ726" s="24">
        <v>0</v>
      </c>
      <c r="AR726" s="24">
        <v>0</v>
      </c>
      <c r="AS726" s="24">
        <v>0</v>
      </c>
      <c r="AT726" s="24">
        <v>1</v>
      </c>
      <c r="AU726" s="24">
        <v>0</v>
      </c>
      <c r="AV726" s="24">
        <v>0</v>
      </c>
      <c r="AW726" s="24">
        <v>0</v>
      </c>
      <c r="AX726" s="24">
        <v>1</v>
      </c>
      <c r="AY726" s="24">
        <v>0</v>
      </c>
      <c r="AZ726" s="24">
        <v>0</v>
      </c>
      <c r="BA726" s="24">
        <v>1</v>
      </c>
      <c r="BB726" s="24">
        <v>0</v>
      </c>
    </row>
    <row r="727" spans="2:54" ht="13.8" x14ac:dyDescent="0.3">
      <c r="B727" s="24">
        <v>707</v>
      </c>
      <c r="C727" s="24">
        <v>48</v>
      </c>
      <c r="D727" s="24">
        <v>1</v>
      </c>
      <c r="E727" s="24">
        <v>0</v>
      </c>
      <c r="F727" s="24">
        <v>0</v>
      </c>
      <c r="G727" s="24">
        <v>0</v>
      </c>
      <c r="H727" s="24">
        <v>0</v>
      </c>
      <c r="I727" s="24">
        <v>0</v>
      </c>
      <c r="J727" s="24">
        <v>6560</v>
      </c>
      <c r="K727" s="24">
        <v>3</v>
      </c>
      <c r="L727" s="24">
        <v>0</v>
      </c>
      <c r="M727" s="24">
        <v>1</v>
      </c>
      <c r="N727" s="24">
        <v>0</v>
      </c>
      <c r="O727" s="24">
        <v>0</v>
      </c>
      <c r="P727" s="24">
        <v>0</v>
      </c>
      <c r="Q727" s="24">
        <v>0</v>
      </c>
      <c r="R727" s="24">
        <v>0</v>
      </c>
      <c r="S727" s="24">
        <v>24</v>
      </c>
      <c r="T727" s="24">
        <v>0</v>
      </c>
      <c r="U727" s="24">
        <v>0</v>
      </c>
      <c r="V727" s="24">
        <v>1</v>
      </c>
      <c r="W727" s="24">
        <v>1</v>
      </c>
      <c r="X727" s="24">
        <v>1</v>
      </c>
      <c r="Y727" s="24">
        <v>0</v>
      </c>
      <c r="Z727" s="24">
        <v>0</v>
      </c>
      <c r="AA727" s="24">
        <v>0</v>
      </c>
      <c r="AB727" s="24">
        <v>0</v>
      </c>
      <c r="AC727" s="24">
        <v>1</v>
      </c>
      <c r="AD727" s="24">
        <v>0</v>
      </c>
      <c r="AE727" s="24">
        <v>0</v>
      </c>
      <c r="AF727" s="24">
        <v>0</v>
      </c>
      <c r="AG727" s="24">
        <v>0</v>
      </c>
      <c r="AH727" s="24">
        <v>1</v>
      </c>
      <c r="AI727" s="24">
        <v>0</v>
      </c>
      <c r="AJ727" s="24">
        <v>0</v>
      </c>
      <c r="AK727" s="24">
        <v>0</v>
      </c>
      <c r="AL727" s="24">
        <v>1</v>
      </c>
      <c r="AM727" s="24">
        <v>0</v>
      </c>
      <c r="AN727" s="24">
        <v>0</v>
      </c>
      <c r="AO727" s="24">
        <v>0</v>
      </c>
      <c r="AP727" s="24">
        <v>0</v>
      </c>
      <c r="AQ727" s="24">
        <v>0</v>
      </c>
      <c r="AR727" s="24">
        <v>0</v>
      </c>
      <c r="AS727" s="24">
        <v>1</v>
      </c>
      <c r="AT727" s="24">
        <v>0</v>
      </c>
      <c r="AU727" s="24">
        <v>0</v>
      </c>
      <c r="AV727" s="24">
        <v>1</v>
      </c>
      <c r="AW727" s="24">
        <v>0</v>
      </c>
      <c r="AX727" s="24">
        <v>0</v>
      </c>
      <c r="AY727" s="24">
        <v>0</v>
      </c>
      <c r="AZ727" s="24">
        <v>0</v>
      </c>
      <c r="BA727" s="24">
        <v>1</v>
      </c>
      <c r="BB727" s="24">
        <v>0</v>
      </c>
    </row>
    <row r="728" spans="2:54" ht="13.8" x14ac:dyDescent="0.3">
      <c r="B728" s="24">
        <v>708</v>
      </c>
      <c r="C728" s="24">
        <v>12</v>
      </c>
      <c r="D728" s="24">
        <v>0</v>
      </c>
      <c r="E728" s="24">
        <v>0</v>
      </c>
      <c r="F728" s="24">
        <v>1</v>
      </c>
      <c r="G728" s="24">
        <v>0</v>
      </c>
      <c r="H728" s="24">
        <v>0</v>
      </c>
      <c r="I728" s="24">
        <v>0</v>
      </c>
      <c r="J728" s="24">
        <v>2969</v>
      </c>
      <c r="K728" s="24">
        <v>4</v>
      </c>
      <c r="L728" s="24">
        <v>0</v>
      </c>
      <c r="M728" s="24">
        <v>0</v>
      </c>
      <c r="N728" s="24">
        <v>0</v>
      </c>
      <c r="O728" s="24">
        <v>0</v>
      </c>
      <c r="P728" s="24">
        <v>0</v>
      </c>
      <c r="Q728" s="24">
        <v>0</v>
      </c>
      <c r="R728" s="24">
        <v>0</v>
      </c>
      <c r="S728" s="24">
        <v>25</v>
      </c>
      <c r="T728" s="24">
        <v>0</v>
      </c>
      <c r="U728" s="24">
        <v>1</v>
      </c>
      <c r="V728" s="24">
        <v>0</v>
      </c>
      <c r="W728" s="24">
        <v>2</v>
      </c>
      <c r="X728" s="24">
        <v>1</v>
      </c>
      <c r="Y728" s="24">
        <v>0</v>
      </c>
      <c r="Z728" s="24">
        <v>0</v>
      </c>
      <c r="AA728" s="24">
        <v>0</v>
      </c>
      <c r="AB728" s="24">
        <v>0</v>
      </c>
      <c r="AC728" s="24">
        <v>1</v>
      </c>
      <c r="AD728" s="24">
        <v>0</v>
      </c>
      <c r="AE728" s="24">
        <v>0</v>
      </c>
      <c r="AF728" s="24">
        <v>1</v>
      </c>
      <c r="AG728" s="24">
        <v>0</v>
      </c>
      <c r="AH728" s="24">
        <v>0</v>
      </c>
      <c r="AI728" s="24">
        <v>0</v>
      </c>
      <c r="AJ728" s="24">
        <v>0</v>
      </c>
      <c r="AK728" s="24">
        <v>1</v>
      </c>
      <c r="AL728" s="24">
        <v>0</v>
      </c>
      <c r="AM728" s="24">
        <v>0</v>
      </c>
      <c r="AN728" s="24">
        <v>0</v>
      </c>
      <c r="AO728" s="24">
        <v>0</v>
      </c>
      <c r="AP728" s="24">
        <v>0</v>
      </c>
      <c r="AQ728" s="24">
        <v>1</v>
      </c>
      <c r="AR728" s="24">
        <v>0</v>
      </c>
      <c r="AS728" s="24">
        <v>0</v>
      </c>
      <c r="AT728" s="24">
        <v>0</v>
      </c>
      <c r="AU728" s="24">
        <v>0</v>
      </c>
      <c r="AV728" s="24">
        <v>0</v>
      </c>
      <c r="AW728" s="24">
        <v>1</v>
      </c>
      <c r="AX728" s="24">
        <v>0</v>
      </c>
      <c r="AY728" s="24">
        <v>0</v>
      </c>
      <c r="AZ728" s="24">
        <v>0</v>
      </c>
      <c r="BA728" s="24">
        <v>1</v>
      </c>
      <c r="BB728" s="24">
        <v>0</v>
      </c>
    </row>
    <row r="729" spans="2:54" ht="13.8" x14ac:dyDescent="0.3">
      <c r="B729" s="24">
        <v>709</v>
      </c>
      <c r="C729" s="24">
        <v>9</v>
      </c>
      <c r="D729" s="24">
        <v>0</v>
      </c>
      <c r="E729" s="24">
        <v>0</v>
      </c>
      <c r="F729" s="24">
        <v>0</v>
      </c>
      <c r="G729" s="24">
        <v>1</v>
      </c>
      <c r="H729" s="24">
        <v>0</v>
      </c>
      <c r="I729" s="24">
        <v>0</v>
      </c>
      <c r="J729" s="24">
        <v>1206</v>
      </c>
      <c r="K729" s="24">
        <v>4</v>
      </c>
      <c r="L729" s="24">
        <v>0</v>
      </c>
      <c r="M729" s="24">
        <v>0</v>
      </c>
      <c r="N729" s="24">
        <v>0</v>
      </c>
      <c r="O729" s="24">
        <v>0</v>
      </c>
      <c r="P729" s="24">
        <v>0</v>
      </c>
      <c r="Q729" s="24">
        <v>1</v>
      </c>
      <c r="R729" s="24">
        <v>0</v>
      </c>
      <c r="S729" s="24">
        <v>25</v>
      </c>
      <c r="T729" s="24">
        <v>0</v>
      </c>
      <c r="U729" s="24">
        <v>0</v>
      </c>
      <c r="V729" s="24">
        <v>1</v>
      </c>
      <c r="W729" s="24">
        <v>1</v>
      </c>
      <c r="X729" s="24">
        <v>1</v>
      </c>
      <c r="Y729" s="24">
        <v>0</v>
      </c>
      <c r="Z729" s="24">
        <v>0</v>
      </c>
      <c r="AA729" s="24">
        <v>1</v>
      </c>
      <c r="AB729" s="24">
        <v>0</v>
      </c>
      <c r="AC729" s="24">
        <v>1</v>
      </c>
      <c r="AD729" s="24">
        <v>0</v>
      </c>
      <c r="AE729" s="24">
        <v>0</v>
      </c>
      <c r="AF729" s="24">
        <v>0</v>
      </c>
      <c r="AG729" s="24">
        <v>0</v>
      </c>
      <c r="AH729" s="24">
        <v>1</v>
      </c>
      <c r="AI729" s="24">
        <v>0</v>
      </c>
      <c r="AJ729" s="24">
        <v>0</v>
      </c>
      <c r="AK729" s="24">
        <v>1</v>
      </c>
      <c r="AL729" s="24">
        <v>0</v>
      </c>
      <c r="AM729" s="24">
        <v>0</v>
      </c>
      <c r="AN729" s="24">
        <v>0</v>
      </c>
      <c r="AO729" s="24">
        <v>0</v>
      </c>
      <c r="AP729" s="24">
        <v>0</v>
      </c>
      <c r="AQ729" s="24">
        <v>0</v>
      </c>
      <c r="AR729" s="24">
        <v>0</v>
      </c>
      <c r="AS729" s="24">
        <v>0</v>
      </c>
      <c r="AT729" s="24">
        <v>1</v>
      </c>
      <c r="AU729" s="24">
        <v>0</v>
      </c>
      <c r="AV729" s="24">
        <v>0</v>
      </c>
      <c r="AW729" s="24">
        <v>0</v>
      </c>
      <c r="AX729" s="24">
        <v>1</v>
      </c>
      <c r="AY729" s="24">
        <v>0</v>
      </c>
      <c r="AZ729" s="24">
        <v>0</v>
      </c>
      <c r="BA729" s="24">
        <v>1</v>
      </c>
      <c r="BB729" s="24">
        <v>0</v>
      </c>
    </row>
    <row r="730" spans="2:54" ht="13.8" x14ac:dyDescent="0.3">
      <c r="B730" s="24">
        <v>710</v>
      </c>
      <c r="C730" s="24">
        <v>9</v>
      </c>
      <c r="D730" s="24">
        <v>0</v>
      </c>
      <c r="E730" s="24">
        <v>0</v>
      </c>
      <c r="F730" s="24">
        <v>0</v>
      </c>
      <c r="G730" s="24">
        <v>1</v>
      </c>
      <c r="H730" s="24">
        <v>0</v>
      </c>
      <c r="I730" s="24">
        <v>0</v>
      </c>
      <c r="J730" s="24">
        <v>2118</v>
      </c>
      <c r="K730" s="24">
        <v>2</v>
      </c>
      <c r="L730" s="24">
        <v>0</v>
      </c>
      <c r="M730" s="24">
        <v>1</v>
      </c>
      <c r="N730" s="24">
        <v>0</v>
      </c>
      <c r="O730" s="24">
        <v>0</v>
      </c>
      <c r="P730" s="24">
        <v>0</v>
      </c>
      <c r="Q730" s="24">
        <v>1</v>
      </c>
      <c r="R730" s="24">
        <v>0</v>
      </c>
      <c r="S730" s="24">
        <v>37</v>
      </c>
      <c r="T730" s="24">
        <v>0</v>
      </c>
      <c r="U730" s="24">
        <v>0</v>
      </c>
      <c r="V730" s="24">
        <v>1</v>
      </c>
      <c r="W730" s="24">
        <v>1</v>
      </c>
      <c r="X730" s="24">
        <v>2</v>
      </c>
      <c r="Y730" s="24">
        <v>0</v>
      </c>
      <c r="Z730" s="24">
        <v>0</v>
      </c>
      <c r="AA730" s="24">
        <v>1</v>
      </c>
      <c r="AB730" s="24">
        <v>0</v>
      </c>
      <c r="AC730" s="24">
        <v>1</v>
      </c>
      <c r="AD730" s="24">
        <v>0</v>
      </c>
      <c r="AE730" s="24">
        <v>0</v>
      </c>
      <c r="AF730" s="24">
        <v>0</v>
      </c>
      <c r="AG730" s="24">
        <v>0</v>
      </c>
      <c r="AH730" s="24">
        <v>1</v>
      </c>
      <c r="AI730" s="24">
        <v>0</v>
      </c>
      <c r="AJ730" s="24">
        <v>0</v>
      </c>
      <c r="AK730" s="24">
        <v>1</v>
      </c>
      <c r="AL730" s="24">
        <v>0</v>
      </c>
      <c r="AM730" s="24">
        <v>0</v>
      </c>
      <c r="AN730" s="24">
        <v>0</v>
      </c>
      <c r="AO730" s="24">
        <v>0</v>
      </c>
      <c r="AP730" s="24">
        <v>0</v>
      </c>
      <c r="AQ730" s="24">
        <v>0</v>
      </c>
      <c r="AR730" s="24">
        <v>1</v>
      </c>
      <c r="AS730" s="24">
        <v>0</v>
      </c>
      <c r="AT730" s="24">
        <v>0</v>
      </c>
      <c r="AU730" s="24">
        <v>0</v>
      </c>
      <c r="AV730" s="24">
        <v>1</v>
      </c>
      <c r="AW730" s="24">
        <v>0</v>
      </c>
      <c r="AX730" s="24">
        <v>0</v>
      </c>
      <c r="AY730" s="24">
        <v>0</v>
      </c>
      <c r="AZ730" s="24">
        <v>1</v>
      </c>
      <c r="BA730" s="24">
        <v>0</v>
      </c>
      <c r="BB730" s="24">
        <v>0</v>
      </c>
    </row>
    <row r="731" spans="2:54" ht="13.8" x14ac:dyDescent="0.3">
      <c r="B731" s="24">
        <v>711</v>
      </c>
      <c r="C731" s="24">
        <v>18</v>
      </c>
      <c r="D731" s="24">
        <v>0</v>
      </c>
      <c r="E731" s="24">
        <v>0</v>
      </c>
      <c r="F731" s="24">
        <v>0</v>
      </c>
      <c r="G731" s="24">
        <v>1</v>
      </c>
      <c r="H731" s="24">
        <v>0</v>
      </c>
      <c r="I731" s="24">
        <v>0</v>
      </c>
      <c r="J731" s="24">
        <v>629</v>
      </c>
      <c r="K731" s="24">
        <v>4</v>
      </c>
      <c r="L731" s="24">
        <v>0</v>
      </c>
      <c r="M731" s="24">
        <v>1</v>
      </c>
      <c r="N731" s="24">
        <v>0</v>
      </c>
      <c r="O731" s="24">
        <v>0</v>
      </c>
      <c r="P731" s="24">
        <v>0</v>
      </c>
      <c r="Q731" s="24">
        <v>0</v>
      </c>
      <c r="R731" s="24">
        <v>0</v>
      </c>
      <c r="S731" s="24">
        <v>32</v>
      </c>
      <c r="T731" s="24">
        <v>1</v>
      </c>
      <c r="U731" s="24">
        <v>0</v>
      </c>
      <c r="V731" s="24">
        <v>1</v>
      </c>
      <c r="W731" s="24">
        <v>2</v>
      </c>
      <c r="X731" s="24">
        <v>1</v>
      </c>
      <c r="Y731" s="24">
        <v>1</v>
      </c>
      <c r="Z731" s="24">
        <v>0</v>
      </c>
      <c r="AA731" s="24">
        <v>1</v>
      </c>
      <c r="AB731" s="24">
        <v>0</v>
      </c>
      <c r="AC731" s="24">
        <v>0</v>
      </c>
      <c r="AD731" s="24">
        <v>0</v>
      </c>
      <c r="AE731" s="24">
        <v>1</v>
      </c>
      <c r="AF731" s="24">
        <v>0</v>
      </c>
      <c r="AG731" s="24">
        <v>0</v>
      </c>
      <c r="AH731" s="24">
        <v>0</v>
      </c>
      <c r="AI731" s="24">
        <v>0</v>
      </c>
      <c r="AJ731" s="24">
        <v>1</v>
      </c>
      <c r="AK731" s="24">
        <v>0</v>
      </c>
      <c r="AL731" s="24">
        <v>0</v>
      </c>
      <c r="AM731" s="24">
        <v>1</v>
      </c>
      <c r="AN731" s="24">
        <v>0</v>
      </c>
      <c r="AO731" s="24">
        <v>0</v>
      </c>
      <c r="AP731" s="24">
        <v>0</v>
      </c>
      <c r="AQ731" s="24">
        <v>0</v>
      </c>
      <c r="AR731" s="24">
        <v>0</v>
      </c>
      <c r="AS731" s="24">
        <v>0</v>
      </c>
      <c r="AT731" s="24">
        <v>1</v>
      </c>
      <c r="AU731" s="24">
        <v>0</v>
      </c>
      <c r="AV731" s="24">
        <v>0</v>
      </c>
      <c r="AW731" s="24">
        <v>1</v>
      </c>
      <c r="AX731" s="24">
        <v>0</v>
      </c>
      <c r="AY731" s="24">
        <v>0</v>
      </c>
      <c r="AZ731" s="24">
        <v>0</v>
      </c>
      <c r="BA731" s="24">
        <v>0</v>
      </c>
      <c r="BB731" s="24">
        <v>1</v>
      </c>
    </row>
    <row r="732" spans="2:54" ht="13.8" x14ac:dyDescent="0.3">
      <c r="B732" s="24">
        <v>712</v>
      </c>
      <c r="C732" s="24">
        <v>6</v>
      </c>
      <c r="D732" s="24">
        <v>0</v>
      </c>
      <c r="E732" s="24">
        <v>0</v>
      </c>
      <c r="F732" s="24">
        <v>0</v>
      </c>
      <c r="G732" s="24">
        <v>0</v>
      </c>
      <c r="H732" s="24">
        <v>1</v>
      </c>
      <c r="I732" s="24">
        <v>0</v>
      </c>
      <c r="J732" s="24">
        <v>1198</v>
      </c>
      <c r="K732" s="24">
        <v>4</v>
      </c>
      <c r="L732" s="24">
        <v>0</v>
      </c>
      <c r="M732" s="24">
        <v>0</v>
      </c>
      <c r="N732" s="24">
        <v>0</v>
      </c>
      <c r="O732" s="24">
        <v>0</v>
      </c>
      <c r="P732" s="24">
        <v>0</v>
      </c>
      <c r="Q732" s="24">
        <v>0</v>
      </c>
      <c r="R732" s="24">
        <v>1</v>
      </c>
      <c r="S732" s="24">
        <v>35</v>
      </c>
      <c r="T732" s="24">
        <v>0</v>
      </c>
      <c r="U732" s="24">
        <v>0</v>
      </c>
      <c r="V732" s="24">
        <v>0</v>
      </c>
      <c r="W732" s="24">
        <v>1</v>
      </c>
      <c r="X732" s="24">
        <v>1</v>
      </c>
      <c r="Y732" s="24">
        <v>0</v>
      </c>
      <c r="Z732" s="24">
        <v>0</v>
      </c>
      <c r="AA732" s="24">
        <v>0</v>
      </c>
      <c r="AB732" s="24">
        <v>1</v>
      </c>
      <c r="AC732" s="24">
        <v>0</v>
      </c>
      <c r="AD732" s="24">
        <v>0</v>
      </c>
      <c r="AE732" s="24">
        <v>0</v>
      </c>
      <c r="AF732" s="24">
        <v>0</v>
      </c>
      <c r="AG732" s="24">
        <v>1</v>
      </c>
      <c r="AH732" s="24">
        <v>0</v>
      </c>
      <c r="AI732" s="24">
        <v>0</v>
      </c>
      <c r="AJ732" s="24">
        <v>0</v>
      </c>
      <c r="AK732" s="24">
        <v>1</v>
      </c>
      <c r="AL732" s="24">
        <v>0</v>
      </c>
      <c r="AM732" s="24">
        <v>0</v>
      </c>
      <c r="AN732" s="24">
        <v>0</v>
      </c>
      <c r="AO732" s="24">
        <v>0</v>
      </c>
      <c r="AP732" s="24">
        <v>0</v>
      </c>
      <c r="AQ732" s="24">
        <v>0</v>
      </c>
      <c r="AR732" s="24">
        <v>0</v>
      </c>
      <c r="AS732" s="24">
        <v>0</v>
      </c>
      <c r="AT732" s="24">
        <v>1</v>
      </c>
      <c r="AU732" s="24">
        <v>0</v>
      </c>
      <c r="AV732" s="24">
        <v>0</v>
      </c>
      <c r="AW732" s="24">
        <v>0</v>
      </c>
      <c r="AX732" s="24">
        <v>1</v>
      </c>
      <c r="AY732" s="24">
        <v>0</v>
      </c>
      <c r="AZ732" s="24">
        <v>0</v>
      </c>
      <c r="BA732" s="24">
        <v>1</v>
      </c>
      <c r="BB732" s="24">
        <v>0</v>
      </c>
    </row>
    <row r="733" spans="2:54" ht="13.8" x14ac:dyDescent="0.3">
      <c r="B733" s="24">
        <v>713</v>
      </c>
      <c r="C733" s="24">
        <v>21</v>
      </c>
      <c r="D733" s="24">
        <v>0</v>
      </c>
      <c r="E733" s="24">
        <v>1</v>
      </c>
      <c r="F733" s="24">
        <v>0</v>
      </c>
      <c r="G733" s="24">
        <v>0</v>
      </c>
      <c r="H733" s="24">
        <v>0</v>
      </c>
      <c r="I733" s="24">
        <v>0</v>
      </c>
      <c r="J733" s="24">
        <v>2476</v>
      </c>
      <c r="K733" s="24">
        <v>4</v>
      </c>
      <c r="L733" s="24">
        <v>0</v>
      </c>
      <c r="M733" s="24">
        <v>1</v>
      </c>
      <c r="N733" s="24">
        <v>0</v>
      </c>
      <c r="O733" s="24">
        <v>0</v>
      </c>
      <c r="P733" s="24">
        <v>0</v>
      </c>
      <c r="Q733" s="24">
        <v>1</v>
      </c>
      <c r="R733" s="24">
        <v>0</v>
      </c>
      <c r="S733" s="24">
        <v>46</v>
      </c>
      <c r="T733" s="24">
        <v>0</v>
      </c>
      <c r="U733" s="24">
        <v>0</v>
      </c>
      <c r="V733" s="24">
        <v>1</v>
      </c>
      <c r="W733" s="24">
        <v>1</v>
      </c>
      <c r="X733" s="24">
        <v>1</v>
      </c>
      <c r="Y733" s="24">
        <v>1</v>
      </c>
      <c r="Z733" s="24">
        <v>0</v>
      </c>
      <c r="AA733" s="24">
        <v>1</v>
      </c>
      <c r="AB733" s="24">
        <v>0</v>
      </c>
      <c r="AC733" s="24">
        <v>0</v>
      </c>
      <c r="AD733" s="24">
        <v>0</v>
      </c>
      <c r="AE733" s="24">
        <v>1</v>
      </c>
      <c r="AF733" s="24">
        <v>0</v>
      </c>
      <c r="AG733" s="24">
        <v>0</v>
      </c>
      <c r="AH733" s="24">
        <v>1</v>
      </c>
      <c r="AI733" s="24">
        <v>0</v>
      </c>
      <c r="AJ733" s="24">
        <v>0</v>
      </c>
      <c r="AK733" s="24">
        <v>0</v>
      </c>
      <c r="AL733" s="24">
        <v>0</v>
      </c>
      <c r="AM733" s="24">
        <v>0</v>
      </c>
      <c r="AN733" s="24">
        <v>0</v>
      </c>
      <c r="AO733" s="24">
        <v>1</v>
      </c>
      <c r="AP733" s="24">
        <v>0</v>
      </c>
      <c r="AQ733" s="24">
        <v>0</v>
      </c>
      <c r="AR733" s="24">
        <v>0</v>
      </c>
      <c r="AS733" s="24">
        <v>0</v>
      </c>
      <c r="AT733" s="24">
        <v>1</v>
      </c>
      <c r="AU733" s="24">
        <v>0</v>
      </c>
      <c r="AV733" s="24">
        <v>0</v>
      </c>
      <c r="AW733" s="24">
        <v>0</v>
      </c>
      <c r="AX733" s="24">
        <v>1</v>
      </c>
      <c r="AY733" s="24">
        <v>0</v>
      </c>
      <c r="AZ733" s="24">
        <v>0</v>
      </c>
      <c r="BA733" s="24">
        <v>0</v>
      </c>
      <c r="BB733" s="24">
        <v>1</v>
      </c>
    </row>
    <row r="734" spans="2:54" ht="13.8" x14ac:dyDescent="0.3">
      <c r="B734" s="24">
        <v>714</v>
      </c>
      <c r="C734" s="24">
        <v>9</v>
      </c>
      <c r="D734" s="24">
        <v>0</v>
      </c>
      <c r="E734" s="24">
        <v>0</v>
      </c>
      <c r="F734" s="24">
        <v>0</v>
      </c>
      <c r="G734" s="24">
        <v>1</v>
      </c>
      <c r="H734" s="24">
        <v>0</v>
      </c>
      <c r="I734" s="24">
        <v>0</v>
      </c>
      <c r="J734" s="24">
        <v>1138</v>
      </c>
      <c r="K734" s="24">
        <v>4</v>
      </c>
      <c r="L734" s="24">
        <v>0</v>
      </c>
      <c r="M734" s="24">
        <v>1</v>
      </c>
      <c r="N734" s="24">
        <v>0</v>
      </c>
      <c r="O734" s="24">
        <v>0</v>
      </c>
      <c r="P734" s="24">
        <v>0</v>
      </c>
      <c r="Q734" s="24">
        <v>1</v>
      </c>
      <c r="R734" s="24">
        <v>0</v>
      </c>
      <c r="S734" s="24">
        <v>25</v>
      </c>
      <c r="T734" s="24">
        <v>0</v>
      </c>
      <c r="U734" s="24">
        <v>0</v>
      </c>
      <c r="V734" s="24">
        <v>1</v>
      </c>
      <c r="W734" s="24">
        <v>2</v>
      </c>
      <c r="X734" s="24">
        <v>1</v>
      </c>
      <c r="Y734" s="24">
        <v>0</v>
      </c>
      <c r="Z734" s="24">
        <v>0</v>
      </c>
      <c r="AA734" s="24">
        <v>1</v>
      </c>
      <c r="AB734" s="24">
        <v>1</v>
      </c>
      <c r="AC734" s="24">
        <v>0</v>
      </c>
      <c r="AD734" s="24">
        <v>0</v>
      </c>
      <c r="AE734" s="24">
        <v>0</v>
      </c>
      <c r="AF734" s="24">
        <v>0</v>
      </c>
      <c r="AG734" s="24">
        <v>0</v>
      </c>
      <c r="AH734" s="24">
        <v>0</v>
      </c>
      <c r="AI734" s="24">
        <v>0</v>
      </c>
      <c r="AJ734" s="24">
        <v>1</v>
      </c>
      <c r="AK734" s="24">
        <v>1</v>
      </c>
      <c r="AL734" s="24">
        <v>0</v>
      </c>
      <c r="AM734" s="24">
        <v>0</v>
      </c>
      <c r="AN734" s="24">
        <v>0</v>
      </c>
      <c r="AO734" s="24">
        <v>0</v>
      </c>
      <c r="AP734" s="24">
        <v>0</v>
      </c>
      <c r="AQ734" s="24">
        <v>0</v>
      </c>
      <c r="AR734" s="24">
        <v>1</v>
      </c>
      <c r="AS734" s="24">
        <v>0</v>
      </c>
      <c r="AT734" s="24">
        <v>0</v>
      </c>
      <c r="AU734" s="24">
        <v>0</v>
      </c>
      <c r="AV734" s="24">
        <v>0</v>
      </c>
      <c r="AW734" s="24">
        <v>0</v>
      </c>
      <c r="AX734" s="24">
        <v>1</v>
      </c>
      <c r="AY734" s="24">
        <v>0</v>
      </c>
      <c r="AZ734" s="24">
        <v>1</v>
      </c>
      <c r="BA734" s="24">
        <v>0</v>
      </c>
      <c r="BB734" s="24">
        <v>0</v>
      </c>
    </row>
    <row r="735" spans="2:54" ht="13.8" x14ac:dyDescent="0.3">
      <c r="B735" s="24">
        <v>715</v>
      </c>
      <c r="C735" s="24">
        <v>60</v>
      </c>
      <c r="D735" s="24">
        <v>1</v>
      </c>
      <c r="E735" s="24">
        <v>0</v>
      </c>
      <c r="F735" s="24">
        <v>0</v>
      </c>
      <c r="G735" s="24">
        <v>0</v>
      </c>
      <c r="H735" s="24">
        <v>0</v>
      </c>
      <c r="I735" s="24">
        <v>0</v>
      </c>
      <c r="J735" s="24">
        <v>14027</v>
      </c>
      <c r="K735" s="24">
        <v>4</v>
      </c>
      <c r="L735" s="24">
        <v>0</v>
      </c>
      <c r="M735" s="24">
        <v>1</v>
      </c>
      <c r="N735" s="24">
        <v>0</v>
      </c>
      <c r="O735" s="24">
        <v>0</v>
      </c>
      <c r="P735" s="24">
        <v>0</v>
      </c>
      <c r="Q735" s="24">
        <v>0</v>
      </c>
      <c r="R735" s="24">
        <v>1</v>
      </c>
      <c r="S735" s="24">
        <v>27</v>
      </c>
      <c r="T735" s="24">
        <v>0</v>
      </c>
      <c r="U735" s="24">
        <v>0</v>
      </c>
      <c r="V735" s="24">
        <v>1</v>
      </c>
      <c r="W735" s="24">
        <v>1</v>
      </c>
      <c r="X735" s="24">
        <v>1</v>
      </c>
      <c r="Y735" s="24">
        <v>1</v>
      </c>
      <c r="Z735" s="24">
        <v>0</v>
      </c>
      <c r="AA735" s="24">
        <v>0</v>
      </c>
      <c r="AB735" s="24">
        <v>0</v>
      </c>
      <c r="AC735" s="24">
        <v>1</v>
      </c>
      <c r="AD735" s="24">
        <v>0</v>
      </c>
      <c r="AE735" s="24">
        <v>0</v>
      </c>
      <c r="AF735" s="24">
        <v>0</v>
      </c>
      <c r="AG735" s="24">
        <v>0</v>
      </c>
      <c r="AH735" s="24">
        <v>1</v>
      </c>
      <c r="AI735" s="24">
        <v>0</v>
      </c>
      <c r="AJ735" s="24">
        <v>0</v>
      </c>
      <c r="AK735" s="24">
        <v>1</v>
      </c>
      <c r="AL735" s="24">
        <v>0</v>
      </c>
      <c r="AM735" s="24">
        <v>0</v>
      </c>
      <c r="AN735" s="24">
        <v>0</v>
      </c>
      <c r="AO735" s="24">
        <v>0</v>
      </c>
      <c r="AP735" s="24">
        <v>0</v>
      </c>
      <c r="AQ735" s="24">
        <v>0</v>
      </c>
      <c r="AR735" s="24">
        <v>0</v>
      </c>
      <c r="AS735" s="24">
        <v>1</v>
      </c>
      <c r="AT735" s="24">
        <v>0</v>
      </c>
      <c r="AU735" s="24">
        <v>0</v>
      </c>
      <c r="AV735" s="24">
        <v>1</v>
      </c>
      <c r="AW735" s="24">
        <v>0</v>
      </c>
      <c r="AX735" s="24">
        <v>0</v>
      </c>
      <c r="AY735" s="24">
        <v>0</v>
      </c>
      <c r="AZ735" s="24">
        <v>0</v>
      </c>
      <c r="BA735" s="24">
        <v>0</v>
      </c>
      <c r="BB735" s="24">
        <v>1</v>
      </c>
    </row>
    <row r="736" spans="2:54" ht="13.8" x14ac:dyDescent="0.3">
      <c r="B736" s="24">
        <v>716</v>
      </c>
      <c r="C736" s="24">
        <v>30</v>
      </c>
      <c r="D736" s="24">
        <v>0</v>
      </c>
      <c r="E736" s="24">
        <v>1</v>
      </c>
      <c r="F736" s="24">
        <v>0</v>
      </c>
      <c r="G736" s="24">
        <v>0</v>
      </c>
      <c r="H736" s="24">
        <v>0</v>
      </c>
      <c r="I736" s="24">
        <v>0</v>
      </c>
      <c r="J736" s="24">
        <v>7596</v>
      </c>
      <c r="K736" s="24">
        <v>1</v>
      </c>
      <c r="L736" s="24">
        <v>0</v>
      </c>
      <c r="M736" s="24">
        <v>1</v>
      </c>
      <c r="N736" s="24">
        <v>0</v>
      </c>
      <c r="O736" s="24">
        <v>0</v>
      </c>
      <c r="P736" s="24">
        <v>0</v>
      </c>
      <c r="Q736" s="24">
        <v>0</v>
      </c>
      <c r="R736" s="24">
        <v>0</v>
      </c>
      <c r="S736" s="24">
        <v>63</v>
      </c>
      <c r="T736" s="24">
        <v>0</v>
      </c>
      <c r="U736" s="24">
        <v>0</v>
      </c>
      <c r="V736" s="24">
        <v>1</v>
      </c>
      <c r="W736" s="24">
        <v>2</v>
      </c>
      <c r="X736" s="24">
        <v>1</v>
      </c>
      <c r="Y736" s="24">
        <v>0</v>
      </c>
      <c r="Z736" s="24">
        <v>0</v>
      </c>
      <c r="AA736" s="24">
        <v>1</v>
      </c>
      <c r="AB736" s="24">
        <v>0</v>
      </c>
      <c r="AC736" s="24">
        <v>0</v>
      </c>
      <c r="AD736" s="24">
        <v>0</v>
      </c>
      <c r="AE736" s="24">
        <v>1</v>
      </c>
      <c r="AF736" s="24">
        <v>0</v>
      </c>
      <c r="AG736" s="24">
        <v>0</v>
      </c>
      <c r="AH736" s="24">
        <v>0</v>
      </c>
      <c r="AI736" s="24">
        <v>0</v>
      </c>
      <c r="AJ736" s="24">
        <v>1</v>
      </c>
      <c r="AK736" s="24">
        <v>0</v>
      </c>
      <c r="AL736" s="24">
        <v>0</v>
      </c>
      <c r="AM736" s="24">
        <v>0</v>
      </c>
      <c r="AN736" s="24">
        <v>0</v>
      </c>
      <c r="AO736" s="24">
        <v>1</v>
      </c>
      <c r="AP736" s="24">
        <v>0</v>
      </c>
      <c r="AQ736" s="24">
        <v>0</v>
      </c>
      <c r="AR736" s="24">
        <v>0</v>
      </c>
      <c r="AS736" s="24">
        <v>0</v>
      </c>
      <c r="AT736" s="24">
        <v>1</v>
      </c>
      <c r="AU736" s="24">
        <v>0</v>
      </c>
      <c r="AV736" s="24">
        <v>0</v>
      </c>
      <c r="AW736" s="24">
        <v>0</v>
      </c>
      <c r="AX736" s="24">
        <v>1</v>
      </c>
      <c r="AY736" s="24">
        <v>0</v>
      </c>
      <c r="AZ736" s="24">
        <v>0</v>
      </c>
      <c r="BA736" s="24">
        <v>1</v>
      </c>
      <c r="BB736" s="24">
        <v>0</v>
      </c>
    </row>
    <row r="737" spans="2:54" ht="13.8" x14ac:dyDescent="0.3">
      <c r="B737" s="24">
        <v>717</v>
      </c>
      <c r="C737" s="24">
        <v>30</v>
      </c>
      <c r="D737" s="24">
        <v>0</v>
      </c>
      <c r="E737" s="24">
        <v>0</v>
      </c>
      <c r="F737" s="24">
        <v>0</v>
      </c>
      <c r="G737" s="24">
        <v>1</v>
      </c>
      <c r="H737" s="24">
        <v>0</v>
      </c>
      <c r="I737" s="24">
        <v>0</v>
      </c>
      <c r="J737" s="24">
        <v>3077</v>
      </c>
      <c r="K737" s="24">
        <v>3</v>
      </c>
      <c r="L737" s="24">
        <v>0</v>
      </c>
      <c r="M737" s="24">
        <v>1</v>
      </c>
      <c r="N737" s="24">
        <v>0</v>
      </c>
      <c r="O737" s="24">
        <v>0</v>
      </c>
      <c r="P737" s="24">
        <v>0</v>
      </c>
      <c r="Q737" s="24">
        <v>0</v>
      </c>
      <c r="R737" s="24">
        <v>0</v>
      </c>
      <c r="S737" s="24">
        <v>40</v>
      </c>
      <c r="T737" s="24">
        <v>0</v>
      </c>
      <c r="U737" s="24">
        <v>0</v>
      </c>
      <c r="V737" s="24">
        <v>1</v>
      </c>
      <c r="W737" s="24">
        <v>2</v>
      </c>
      <c r="X737" s="24">
        <v>2</v>
      </c>
      <c r="Y737" s="24">
        <v>1</v>
      </c>
      <c r="Z737" s="24">
        <v>0</v>
      </c>
      <c r="AA737" s="24">
        <v>1</v>
      </c>
      <c r="AB737" s="24">
        <v>0</v>
      </c>
      <c r="AC737" s="24">
        <v>0</v>
      </c>
      <c r="AD737" s="24">
        <v>0</v>
      </c>
      <c r="AE737" s="24">
        <v>1</v>
      </c>
      <c r="AF737" s="24">
        <v>0</v>
      </c>
      <c r="AG737" s="24">
        <v>0</v>
      </c>
      <c r="AH737" s="24">
        <v>0</v>
      </c>
      <c r="AI737" s="24">
        <v>0</v>
      </c>
      <c r="AJ737" s="24">
        <v>1</v>
      </c>
      <c r="AK737" s="24">
        <v>0</v>
      </c>
      <c r="AL737" s="24">
        <v>0</v>
      </c>
      <c r="AM737" s="24">
        <v>0</v>
      </c>
      <c r="AN737" s="24">
        <v>0</v>
      </c>
      <c r="AO737" s="24">
        <v>1</v>
      </c>
      <c r="AP737" s="24">
        <v>0</v>
      </c>
      <c r="AQ737" s="24">
        <v>0</v>
      </c>
      <c r="AR737" s="24">
        <v>0</v>
      </c>
      <c r="AS737" s="24">
        <v>0</v>
      </c>
      <c r="AT737" s="24">
        <v>1</v>
      </c>
      <c r="AU737" s="24">
        <v>0</v>
      </c>
      <c r="AV737" s="24">
        <v>1</v>
      </c>
      <c r="AW737" s="24">
        <v>0</v>
      </c>
      <c r="AX737" s="24">
        <v>0</v>
      </c>
      <c r="AY737" s="24">
        <v>0</v>
      </c>
      <c r="AZ737" s="24">
        <v>0</v>
      </c>
      <c r="BA737" s="24">
        <v>1</v>
      </c>
      <c r="BB737" s="24">
        <v>0</v>
      </c>
    </row>
    <row r="738" spans="2:54" ht="13.8" x14ac:dyDescent="0.3">
      <c r="B738" s="24">
        <v>718</v>
      </c>
      <c r="C738" s="24">
        <v>18</v>
      </c>
      <c r="D738" s="24">
        <v>0</v>
      </c>
      <c r="E738" s="24">
        <v>0</v>
      </c>
      <c r="F738" s="24">
        <v>0</v>
      </c>
      <c r="G738" s="24">
        <v>1</v>
      </c>
      <c r="H738" s="24">
        <v>0</v>
      </c>
      <c r="I738" s="24">
        <v>0</v>
      </c>
      <c r="J738" s="24">
        <v>1505</v>
      </c>
      <c r="K738" s="24">
        <v>4</v>
      </c>
      <c r="L738" s="24">
        <v>0</v>
      </c>
      <c r="M738" s="24">
        <v>1</v>
      </c>
      <c r="N738" s="24">
        <v>0</v>
      </c>
      <c r="O738" s="24">
        <v>0</v>
      </c>
      <c r="P738" s="24">
        <v>0</v>
      </c>
      <c r="Q738" s="24">
        <v>0</v>
      </c>
      <c r="R738" s="24">
        <v>1</v>
      </c>
      <c r="S738" s="24">
        <v>32</v>
      </c>
      <c r="T738" s="24">
        <v>0</v>
      </c>
      <c r="U738" s="24">
        <v>0</v>
      </c>
      <c r="V738" s="24">
        <v>0</v>
      </c>
      <c r="W738" s="24">
        <v>1</v>
      </c>
      <c r="X738" s="24">
        <v>1</v>
      </c>
      <c r="Y738" s="24">
        <v>1</v>
      </c>
      <c r="Z738" s="24">
        <v>0</v>
      </c>
      <c r="AA738" s="24">
        <v>1</v>
      </c>
      <c r="AB738" s="24">
        <v>0</v>
      </c>
      <c r="AC738" s="24">
        <v>0</v>
      </c>
      <c r="AD738" s="24">
        <v>0</v>
      </c>
      <c r="AE738" s="24">
        <v>1</v>
      </c>
      <c r="AF738" s="24">
        <v>0</v>
      </c>
      <c r="AG738" s="24">
        <v>0</v>
      </c>
      <c r="AH738" s="24">
        <v>1</v>
      </c>
      <c r="AI738" s="24">
        <v>0</v>
      </c>
      <c r="AJ738" s="24">
        <v>0</v>
      </c>
      <c r="AK738" s="24">
        <v>1</v>
      </c>
      <c r="AL738" s="24">
        <v>0</v>
      </c>
      <c r="AM738" s="24">
        <v>0</v>
      </c>
      <c r="AN738" s="24">
        <v>0</v>
      </c>
      <c r="AO738" s="24">
        <v>0</v>
      </c>
      <c r="AP738" s="24">
        <v>0</v>
      </c>
      <c r="AQ738" s="24">
        <v>0</v>
      </c>
      <c r="AR738" s="24">
        <v>1</v>
      </c>
      <c r="AS738" s="24">
        <v>0</v>
      </c>
      <c r="AT738" s="24">
        <v>0</v>
      </c>
      <c r="AU738" s="24">
        <v>0</v>
      </c>
      <c r="AV738" s="24">
        <v>1</v>
      </c>
      <c r="AW738" s="24">
        <v>0</v>
      </c>
      <c r="AX738" s="24">
        <v>0</v>
      </c>
      <c r="AY738" s="24">
        <v>0</v>
      </c>
      <c r="AZ738" s="24">
        <v>0</v>
      </c>
      <c r="BA738" s="24">
        <v>0</v>
      </c>
      <c r="BB738" s="24">
        <v>1</v>
      </c>
    </row>
    <row r="739" spans="2:54" ht="13.8" x14ac:dyDescent="0.3">
      <c r="B739" s="24">
        <v>719</v>
      </c>
      <c r="C739" s="24">
        <v>24</v>
      </c>
      <c r="D739" s="24">
        <v>0</v>
      </c>
      <c r="E739" s="24">
        <v>0</v>
      </c>
      <c r="F739" s="24">
        <v>0</v>
      </c>
      <c r="G739" s="24">
        <v>1</v>
      </c>
      <c r="H739" s="24">
        <v>0</v>
      </c>
      <c r="I739" s="24">
        <v>0</v>
      </c>
      <c r="J739" s="24">
        <v>3148</v>
      </c>
      <c r="K739" s="24">
        <v>3</v>
      </c>
      <c r="L739" s="24">
        <v>0</v>
      </c>
      <c r="M739" s="24">
        <v>1</v>
      </c>
      <c r="N739" s="24">
        <v>0</v>
      </c>
      <c r="O739" s="24">
        <v>0</v>
      </c>
      <c r="P739" s="24">
        <v>0</v>
      </c>
      <c r="Q739" s="24">
        <v>0</v>
      </c>
      <c r="R739" s="24">
        <v>0</v>
      </c>
      <c r="S739" s="24">
        <v>31</v>
      </c>
      <c r="T739" s="24">
        <v>0</v>
      </c>
      <c r="U739" s="24">
        <v>0</v>
      </c>
      <c r="V739" s="24">
        <v>1</v>
      </c>
      <c r="W739" s="24">
        <v>2</v>
      </c>
      <c r="X739" s="24">
        <v>1</v>
      </c>
      <c r="Y739" s="24">
        <v>1</v>
      </c>
      <c r="Z739" s="24">
        <v>0</v>
      </c>
      <c r="AA739" s="24">
        <v>1</v>
      </c>
      <c r="AB739" s="24">
        <v>0</v>
      </c>
      <c r="AC739" s="24">
        <v>0</v>
      </c>
      <c r="AD739" s="24">
        <v>1</v>
      </c>
      <c r="AE739" s="24">
        <v>0</v>
      </c>
      <c r="AF739" s="24">
        <v>0</v>
      </c>
      <c r="AG739" s="24">
        <v>0</v>
      </c>
      <c r="AH739" s="24">
        <v>0</v>
      </c>
      <c r="AI739" s="24">
        <v>0</v>
      </c>
      <c r="AJ739" s="24">
        <v>1</v>
      </c>
      <c r="AK739" s="24">
        <v>0</v>
      </c>
      <c r="AL739" s="24">
        <v>0</v>
      </c>
      <c r="AM739" s="24">
        <v>0</v>
      </c>
      <c r="AN739" s="24">
        <v>0</v>
      </c>
      <c r="AO739" s="24">
        <v>1</v>
      </c>
      <c r="AP739" s="24">
        <v>0</v>
      </c>
      <c r="AQ739" s="24">
        <v>0</v>
      </c>
      <c r="AR739" s="24">
        <v>1</v>
      </c>
      <c r="AS739" s="24">
        <v>0</v>
      </c>
      <c r="AT739" s="24">
        <v>0</v>
      </c>
      <c r="AU739" s="24">
        <v>0</v>
      </c>
      <c r="AV739" s="24">
        <v>1</v>
      </c>
      <c r="AW739" s="24">
        <v>0</v>
      </c>
      <c r="AX739" s="24">
        <v>0</v>
      </c>
      <c r="AY739" s="24">
        <v>0</v>
      </c>
      <c r="AZ739" s="24">
        <v>0</v>
      </c>
      <c r="BA739" s="24">
        <v>1</v>
      </c>
      <c r="BB739" s="24">
        <v>0</v>
      </c>
    </row>
    <row r="740" spans="2:54" ht="13.8" x14ac:dyDescent="0.3">
      <c r="B740" s="24">
        <v>720</v>
      </c>
      <c r="C740" s="24">
        <v>20</v>
      </c>
      <c r="D740" s="24">
        <v>0</v>
      </c>
      <c r="E740" s="24">
        <v>1</v>
      </c>
      <c r="F740" s="24">
        <v>0</v>
      </c>
      <c r="G740" s="24">
        <v>0</v>
      </c>
      <c r="H740" s="24">
        <v>0</v>
      </c>
      <c r="I740" s="24">
        <v>0</v>
      </c>
      <c r="J740" s="24">
        <v>6148</v>
      </c>
      <c r="K740" s="24">
        <v>3</v>
      </c>
      <c r="L740" s="24">
        <v>0</v>
      </c>
      <c r="M740" s="24">
        <v>0</v>
      </c>
      <c r="N740" s="24">
        <v>1</v>
      </c>
      <c r="O740" s="24">
        <v>0</v>
      </c>
      <c r="P740" s="24">
        <v>0</v>
      </c>
      <c r="Q740" s="24">
        <v>0</v>
      </c>
      <c r="R740" s="24">
        <v>0</v>
      </c>
      <c r="S740" s="24">
        <v>31</v>
      </c>
      <c r="T740" s="24">
        <v>1</v>
      </c>
      <c r="U740" s="24">
        <v>0</v>
      </c>
      <c r="V740" s="24">
        <v>1</v>
      </c>
      <c r="W740" s="24">
        <v>2</v>
      </c>
      <c r="X740" s="24">
        <v>1</v>
      </c>
      <c r="Y740" s="24">
        <v>1</v>
      </c>
      <c r="Z740" s="24">
        <v>0</v>
      </c>
      <c r="AA740" s="24">
        <v>1</v>
      </c>
      <c r="AB740" s="24">
        <v>0</v>
      </c>
      <c r="AC740" s="24">
        <v>1</v>
      </c>
      <c r="AD740" s="24">
        <v>0</v>
      </c>
      <c r="AE740" s="24">
        <v>0</v>
      </c>
      <c r="AF740" s="24">
        <v>1</v>
      </c>
      <c r="AG740" s="24">
        <v>0</v>
      </c>
      <c r="AH740" s="24">
        <v>0</v>
      </c>
      <c r="AI740" s="24">
        <v>0</v>
      </c>
      <c r="AJ740" s="24">
        <v>0</v>
      </c>
      <c r="AK740" s="24">
        <v>0</v>
      </c>
      <c r="AL740" s="24">
        <v>1</v>
      </c>
      <c r="AM740" s="24">
        <v>0</v>
      </c>
      <c r="AN740" s="24">
        <v>0</v>
      </c>
      <c r="AO740" s="24">
        <v>0</v>
      </c>
      <c r="AP740" s="24">
        <v>0</v>
      </c>
      <c r="AQ740" s="24">
        <v>0</v>
      </c>
      <c r="AR740" s="24">
        <v>0</v>
      </c>
      <c r="AS740" s="24">
        <v>0</v>
      </c>
      <c r="AT740" s="24">
        <v>1</v>
      </c>
      <c r="AU740" s="24">
        <v>0</v>
      </c>
      <c r="AV740" s="24">
        <v>0</v>
      </c>
      <c r="AW740" s="24">
        <v>0</v>
      </c>
      <c r="AX740" s="24">
        <v>1</v>
      </c>
      <c r="AY740" s="24">
        <v>0</v>
      </c>
      <c r="AZ740" s="24">
        <v>0</v>
      </c>
      <c r="BA740" s="24">
        <v>1</v>
      </c>
      <c r="BB740" s="24">
        <v>0</v>
      </c>
    </row>
    <row r="741" spans="2:54" ht="13.8" x14ac:dyDescent="0.3">
      <c r="B741" s="24">
        <v>721</v>
      </c>
      <c r="C741" s="24">
        <v>9</v>
      </c>
      <c r="D741" s="24">
        <v>0</v>
      </c>
      <c r="E741" s="24">
        <v>0</v>
      </c>
      <c r="F741" s="24">
        <v>0</v>
      </c>
      <c r="G741" s="24">
        <v>1</v>
      </c>
      <c r="H741" s="24">
        <v>0</v>
      </c>
      <c r="I741" s="24">
        <v>0</v>
      </c>
      <c r="J741" s="24">
        <v>1337</v>
      </c>
      <c r="K741" s="24">
        <v>4</v>
      </c>
      <c r="L741" s="24">
        <v>0</v>
      </c>
      <c r="M741" s="24">
        <v>1</v>
      </c>
      <c r="N741" s="24">
        <v>0</v>
      </c>
      <c r="O741" s="24">
        <v>0</v>
      </c>
      <c r="P741" s="24">
        <v>0</v>
      </c>
      <c r="Q741" s="24">
        <v>0</v>
      </c>
      <c r="R741" s="24">
        <v>0</v>
      </c>
      <c r="S741" s="24">
        <v>34</v>
      </c>
      <c r="T741" s="24">
        <v>0</v>
      </c>
      <c r="U741" s="24">
        <v>0</v>
      </c>
      <c r="V741" s="24">
        <v>1</v>
      </c>
      <c r="W741" s="24">
        <v>2</v>
      </c>
      <c r="X741" s="24">
        <v>1</v>
      </c>
      <c r="Y741" s="24">
        <v>1</v>
      </c>
      <c r="Z741" s="24">
        <v>0</v>
      </c>
      <c r="AA741" s="24">
        <v>0</v>
      </c>
      <c r="AB741" s="24">
        <v>0</v>
      </c>
      <c r="AC741" s="24">
        <v>0</v>
      </c>
      <c r="AD741" s="24">
        <v>1</v>
      </c>
      <c r="AE741" s="24">
        <v>0</v>
      </c>
      <c r="AF741" s="24">
        <v>1</v>
      </c>
      <c r="AG741" s="24">
        <v>0</v>
      </c>
      <c r="AH741" s="24">
        <v>0</v>
      </c>
      <c r="AI741" s="24">
        <v>0</v>
      </c>
      <c r="AJ741" s="24">
        <v>0</v>
      </c>
      <c r="AK741" s="24">
        <v>1</v>
      </c>
      <c r="AL741" s="24">
        <v>0</v>
      </c>
      <c r="AM741" s="24">
        <v>0</v>
      </c>
      <c r="AN741" s="24">
        <v>0</v>
      </c>
      <c r="AO741" s="24">
        <v>0</v>
      </c>
      <c r="AP741" s="24">
        <v>0</v>
      </c>
      <c r="AQ741" s="24">
        <v>1</v>
      </c>
      <c r="AR741" s="24">
        <v>0</v>
      </c>
      <c r="AS741" s="24">
        <v>0</v>
      </c>
      <c r="AT741" s="24">
        <v>0</v>
      </c>
      <c r="AU741" s="24">
        <v>0</v>
      </c>
      <c r="AV741" s="24">
        <v>1</v>
      </c>
      <c r="AW741" s="24">
        <v>0</v>
      </c>
      <c r="AX741" s="24">
        <v>0</v>
      </c>
      <c r="AY741" s="24">
        <v>0</v>
      </c>
      <c r="AZ741" s="24">
        <v>0</v>
      </c>
      <c r="BA741" s="24">
        <v>0</v>
      </c>
      <c r="BB741" s="24">
        <v>1</v>
      </c>
    </row>
    <row r="742" spans="2:54" ht="13.8" x14ac:dyDescent="0.3">
      <c r="B742" s="24">
        <v>722</v>
      </c>
      <c r="C742" s="24">
        <v>6</v>
      </c>
      <c r="D742" s="24">
        <v>0</v>
      </c>
      <c r="E742" s="24">
        <v>0</v>
      </c>
      <c r="F742" s="24">
        <v>0</v>
      </c>
      <c r="G742" s="24">
        <v>0</v>
      </c>
      <c r="H742" s="24">
        <v>1</v>
      </c>
      <c r="I742" s="24">
        <v>0</v>
      </c>
      <c r="J742" s="24">
        <v>433</v>
      </c>
      <c r="K742" s="24">
        <v>4</v>
      </c>
      <c r="L742" s="24">
        <v>0</v>
      </c>
      <c r="M742" s="24">
        <v>0</v>
      </c>
      <c r="N742" s="24">
        <v>0</v>
      </c>
      <c r="O742" s="24">
        <v>0</v>
      </c>
      <c r="P742" s="24">
        <v>0</v>
      </c>
      <c r="Q742" s="24">
        <v>0</v>
      </c>
      <c r="R742" s="24">
        <v>0</v>
      </c>
      <c r="S742" s="24">
        <v>24</v>
      </c>
      <c r="T742" s="24">
        <v>1</v>
      </c>
      <c r="U742" s="24">
        <v>1</v>
      </c>
      <c r="V742" s="24">
        <v>0</v>
      </c>
      <c r="W742" s="24">
        <v>1</v>
      </c>
      <c r="X742" s="24">
        <v>2</v>
      </c>
      <c r="Y742" s="24">
        <v>0</v>
      </c>
      <c r="Z742" s="24">
        <v>0</v>
      </c>
      <c r="AA742" s="24">
        <v>0</v>
      </c>
      <c r="AB742" s="24">
        <v>0</v>
      </c>
      <c r="AC742" s="24">
        <v>1</v>
      </c>
      <c r="AD742" s="24">
        <v>0</v>
      </c>
      <c r="AE742" s="24">
        <v>0</v>
      </c>
      <c r="AF742" s="24">
        <v>0</v>
      </c>
      <c r="AG742" s="24">
        <v>1</v>
      </c>
      <c r="AH742" s="24">
        <v>0</v>
      </c>
      <c r="AI742" s="24">
        <v>0</v>
      </c>
      <c r="AJ742" s="24">
        <v>0</v>
      </c>
      <c r="AK742" s="24">
        <v>0</v>
      </c>
      <c r="AL742" s="24">
        <v>0</v>
      </c>
      <c r="AM742" s="24">
        <v>0</v>
      </c>
      <c r="AN742" s="24">
        <v>1</v>
      </c>
      <c r="AO742" s="24">
        <v>0</v>
      </c>
      <c r="AP742" s="24">
        <v>0</v>
      </c>
      <c r="AQ742" s="24">
        <v>1</v>
      </c>
      <c r="AR742" s="24">
        <v>0</v>
      </c>
      <c r="AS742" s="24">
        <v>0</v>
      </c>
      <c r="AT742" s="24">
        <v>0</v>
      </c>
      <c r="AU742" s="24">
        <v>0</v>
      </c>
      <c r="AV742" s="24">
        <v>1</v>
      </c>
      <c r="AW742" s="24">
        <v>0</v>
      </c>
      <c r="AX742" s="24">
        <v>0</v>
      </c>
      <c r="AY742" s="24">
        <v>0</v>
      </c>
      <c r="AZ742" s="24">
        <v>0</v>
      </c>
      <c r="BA742" s="24">
        <v>1</v>
      </c>
      <c r="BB742" s="24">
        <v>0</v>
      </c>
    </row>
    <row r="743" spans="2:54" ht="13.8" x14ac:dyDescent="0.3">
      <c r="B743" s="24">
        <v>723</v>
      </c>
      <c r="C743" s="24">
        <v>12</v>
      </c>
      <c r="D743" s="24">
        <v>1</v>
      </c>
      <c r="E743" s="24">
        <v>0</v>
      </c>
      <c r="F743" s="24">
        <v>0</v>
      </c>
      <c r="G743" s="24">
        <v>0</v>
      </c>
      <c r="H743" s="24">
        <v>0</v>
      </c>
      <c r="I743" s="24">
        <v>0</v>
      </c>
      <c r="J743" s="24">
        <v>1228</v>
      </c>
      <c r="K743" s="24">
        <v>4</v>
      </c>
      <c r="L743" s="24">
        <v>0</v>
      </c>
      <c r="M743" s="24">
        <v>0</v>
      </c>
      <c r="N743" s="24">
        <v>0</v>
      </c>
      <c r="O743" s="24">
        <v>0</v>
      </c>
      <c r="P743" s="24">
        <v>0</v>
      </c>
      <c r="Q743" s="24">
        <v>1</v>
      </c>
      <c r="R743" s="24">
        <v>0</v>
      </c>
      <c r="S743" s="24">
        <v>24</v>
      </c>
      <c r="T743" s="24">
        <v>0</v>
      </c>
      <c r="U743" s="24">
        <v>0</v>
      </c>
      <c r="V743" s="24">
        <v>1</v>
      </c>
      <c r="W743" s="24">
        <v>1</v>
      </c>
      <c r="X743" s="24">
        <v>1</v>
      </c>
      <c r="Y743" s="24">
        <v>0</v>
      </c>
      <c r="Z743" s="24">
        <v>0</v>
      </c>
      <c r="AA743" s="24">
        <v>0</v>
      </c>
      <c r="AB743" s="24">
        <v>1</v>
      </c>
      <c r="AC743" s="24">
        <v>0</v>
      </c>
      <c r="AD743" s="24">
        <v>0</v>
      </c>
      <c r="AE743" s="24">
        <v>0</v>
      </c>
      <c r="AF743" s="24">
        <v>0</v>
      </c>
      <c r="AG743" s="24">
        <v>0</v>
      </c>
      <c r="AH743" s="24">
        <v>1</v>
      </c>
      <c r="AI743" s="24">
        <v>0</v>
      </c>
      <c r="AJ743" s="24">
        <v>0</v>
      </c>
      <c r="AK743" s="24">
        <v>1</v>
      </c>
      <c r="AL743" s="24">
        <v>0</v>
      </c>
      <c r="AM743" s="24">
        <v>0</v>
      </c>
      <c r="AN743" s="24">
        <v>0</v>
      </c>
      <c r="AO743" s="24">
        <v>0</v>
      </c>
      <c r="AP743" s="24">
        <v>0</v>
      </c>
      <c r="AQ743" s="24">
        <v>0</v>
      </c>
      <c r="AR743" s="24">
        <v>1</v>
      </c>
      <c r="AS743" s="24">
        <v>0</v>
      </c>
      <c r="AT743" s="24">
        <v>0</v>
      </c>
      <c r="AU743" s="24">
        <v>0</v>
      </c>
      <c r="AV743" s="24">
        <v>1</v>
      </c>
      <c r="AW743" s="24">
        <v>0</v>
      </c>
      <c r="AX743" s="24">
        <v>0</v>
      </c>
      <c r="AY743" s="24">
        <v>0</v>
      </c>
      <c r="AZ743" s="24">
        <v>1</v>
      </c>
      <c r="BA743" s="24">
        <v>0</v>
      </c>
      <c r="BB743" s="24">
        <v>0</v>
      </c>
    </row>
    <row r="744" spans="2:54" ht="13.8" x14ac:dyDescent="0.3">
      <c r="B744" s="24">
        <v>724</v>
      </c>
      <c r="C744" s="24">
        <v>9</v>
      </c>
      <c r="D744" s="24">
        <v>0</v>
      </c>
      <c r="E744" s="24">
        <v>0</v>
      </c>
      <c r="F744" s="24">
        <v>0</v>
      </c>
      <c r="G744" s="24">
        <v>1</v>
      </c>
      <c r="H744" s="24">
        <v>0</v>
      </c>
      <c r="I744" s="24">
        <v>0</v>
      </c>
      <c r="J744" s="24">
        <v>790</v>
      </c>
      <c r="K744" s="24">
        <v>4</v>
      </c>
      <c r="L744" s="24">
        <v>0</v>
      </c>
      <c r="M744" s="24">
        <v>0</v>
      </c>
      <c r="N744" s="24">
        <v>0</v>
      </c>
      <c r="O744" s="24">
        <v>0</v>
      </c>
      <c r="P744" s="24">
        <v>0</v>
      </c>
      <c r="Q744" s="24">
        <v>1</v>
      </c>
      <c r="R744" s="24">
        <v>0</v>
      </c>
      <c r="S744" s="24">
        <v>66</v>
      </c>
      <c r="T744" s="24">
        <v>0</v>
      </c>
      <c r="U744" s="24">
        <v>0</v>
      </c>
      <c r="V744" s="24">
        <v>1</v>
      </c>
      <c r="W744" s="24">
        <v>1</v>
      </c>
      <c r="X744" s="24">
        <v>1</v>
      </c>
      <c r="Y744" s="24">
        <v>0</v>
      </c>
      <c r="Z744" s="24">
        <v>0</v>
      </c>
      <c r="AA744" s="24">
        <v>1</v>
      </c>
      <c r="AB744" s="24">
        <v>0</v>
      </c>
      <c r="AC744" s="24">
        <v>1</v>
      </c>
      <c r="AD744" s="24">
        <v>0</v>
      </c>
      <c r="AE744" s="24">
        <v>0</v>
      </c>
      <c r="AF744" s="24">
        <v>0</v>
      </c>
      <c r="AG744" s="24">
        <v>0</v>
      </c>
      <c r="AH744" s="24">
        <v>1</v>
      </c>
      <c r="AI744" s="24">
        <v>0</v>
      </c>
      <c r="AJ744" s="24">
        <v>0</v>
      </c>
      <c r="AK744" s="24">
        <v>0</v>
      </c>
      <c r="AL744" s="24">
        <v>0</v>
      </c>
      <c r="AM744" s="24">
        <v>1</v>
      </c>
      <c r="AN744" s="24">
        <v>0</v>
      </c>
      <c r="AO744" s="24">
        <v>0</v>
      </c>
      <c r="AP744" s="24">
        <v>0</v>
      </c>
      <c r="AQ744" s="24">
        <v>0</v>
      </c>
      <c r="AR744" s="24">
        <v>1</v>
      </c>
      <c r="AS744" s="24">
        <v>0</v>
      </c>
      <c r="AT744" s="24">
        <v>0</v>
      </c>
      <c r="AU744" s="24">
        <v>0</v>
      </c>
      <c r="AV744" s="24">
        <v>0</v>
      </c>
      <c r="AW744" s="24">
        <v>1</v>
      </c>
      <c r="AX744" s="24">
        <v>0</v>
      </c>
      <c r="AY744" s="24">
        <v>0</v>
      </c>
      <c r="AZ744" s="24">
        <v>1</v>
      </c>
      <c r="BA744" s="24">
        <v>0</v>
      </c>
      <c r="BB744" s="24">
        <v>0</v>
      </c>
    </row>
    <row r="745" spans="2:54" ht="13.8" x14ac:dyDescent="0.3">
      <c r="B745" s="24">
        <v>725</v>
      </c>
      <c r="C745" s="24">
        <v>27</v>
      </c>
      <c r="D745" s="24">
        <v>1</v>
      </c>
      <c r="E745" s="24">
        <v>0</v>
      </c>
      <c r="F745" s="24">
        <v>0</v>
      </c>
      <c r="G745" s="24">
        <v>0</v>
      </c>
      <c r="H745" s="24">
        <v>0</v>
      </c>
      <c r="I745" s="24">
        <v>0</v>
      </c>
      <c r="J745" s="24">
        <v>2570</v>
      </c>
      <c r="K745" s="24">
        <v>3</v>
      </c>
      <c r="L745" s="24">
        <v>0</v>
      </c>
      <c r="M745" s="24">
        <v>0</v>
      </c>
      <c r="N745" s="24">
        <v>0</v>
      </c>
      <c r="O745" s="24">
        <v>0</v>
      </c>
      <c r="P745" s="24">
        <v>0</v>
      </c>
      <c r="Q745" s="24">
        <v>1</v>
      </c>
      <c r="R745" s="24">
        <v>0</v>
      </c>
      <c r="S745" s="24">
        <v>21</v>
      </c>
      <c r="T745" s="24">
        <v>0</v>
      </c>
      <c r="U745" s="24">
        <v>1</v>
      </c>
      <c r="V745" s="24">
        <v>0</v>
      </c>
      <c r="W745" s="24">
        <v>1</v>
      </c>
      <c r="X745" s="24">
        <v>1</v>
      </c>
      <c r="Y745" s="24">
        <v>0</v>
      </c>
      <c r="Z745" s="24">
        <v>0</v>
      </c>
      <c r="AA745" s="24">
        <v>0</v>
      </c>
      <c r="AB745" s="24">
        <v>0</v>
      </c>
      <c r="AC745" s="24">
        <v>0</v>
      </c>
      <c r="AD745" s="24">
        <v>0</v>
      </c>
      <c r="AE745" s="24">
        <v>1</v>
      </c>
      <c r="AF745" s="24">
        <v>0</v>
      </c>
      <c r="AG745" s="24">
        <v>0</v>
      </c>
      <c r="AH745" s="24">
        <v>1</v>
      </c>
      <c r="AI745" s="24">
        <v>0</v>
      </c>
      <c r="AJ745" s="24">
        <v>0</v>
      </c>
      <c r="AK745" s="24">
        <v>1</v>
      </c>
      <c r="AL745" s="24">
        <v>0</v>
      </c>
      <c r="AM745" s="24">
        <v>0</v>
      </c>
      <c r="AN745" s="24">
        <v>0</v>
      </c>
      <c r="AO745" s="24">
        <v>0</v>
      </c>
      <c r="AP745" s="24">
        <v>0</v>
      </c>
      <c r="AQ745" s="24">
        <v>0</v>
      </c>
      <c r="AR745" s="24">
        <v>1</v>
      </c>
      <c r="AS745" s="24">
        <v>0</v>
      </c>
      <c r="AT745" s="24">
        <v>0</v>
      </c>
      <c r="AU745" s="24">
        <v>0</v>
      </c>
      <c r="AV745" s="24">
        <v>0</v>
      </c>
      <c r="AW745" s="24">
        <v>1</v>
      </c>
      <c r="AX745" s="24">
        <v>0</v>
      </c>
      <c r="AY745" s="24">
        <v>0</v>
      </c>
      <c r="AZ745" s="24">
        <v>0</v>
      </c>
      <c r="BA745" s="24">
        <v>1</v>
      </c>
      <c r="BB745" s="24">
        <v>0</v>
      </c>
    </row>
    <row r="746" spans="2:54" ht="13.8" x14ac:dyDescent="0.3">
      <c r="B746" s="24">
        <v>726</v>
      </c>
      <c r="C746" s="24">
        <v>6</v>
      </c>
      <c r="D746" s="24">
        <v>1</v>
      </c>
      <c r="E746" s="24">
        <v>0</v>
      </c>
      <c r="F746" s="24">
        <v>0</v>
      </c>
      <c r="G746" s="24">
        <v>0</v>
      </c>
      <c r="H746" s="24">
        <v>0</v>
      </c>
      <c r="I746" s="24">
        <v>0</v>
      </c>
      <c r="J746" s="24">
        <v>250</v>
      </c>
      <c r="K746" s="24">
        <v>2</v>
      </c>
      <c r="L746" s="24">
        <v>0</v>
      </c>
      <c r="M746" s="24">
        <v>0</v>
      </c>
      <c r="N746" s="24">
        <v>0</v>
      </c>
      <c r="O746" s="24">
        <v>0</v>
      </c>
      <c r="P746" s="24">
        <v>0</v>
      </c>
      <c r="Q746" s="24">
        <v>1</v>
      </c>
      <c r="R746" s="24">
        <v>0</v>
      </c>
      <c r="S746" s="24">
        <v>41</v>
      </c>
      <c r="T746" s="24">
        <v>1</v>
      </c>
      <c r="U746" s="24">
        <v>0</v>
      </c>
      <c r="V746" s="24">
        <v>1</v>
      </c>
      <c r="W746" s="24">
        <v>2</v>
      </c>
      <c r="X746" s="24">
        <v>1</v>
      </c>
      <c r="Y746" s="24">
        <v>0</v>
      </c>
      <c r="Z746" s="24">
        <v>0</v>
      </c>
      <c r="AA746" s="24">
        <v>1</v>
      </c>
      <c r="AB746" s="24">
        <v>0</v>
      </c>
      <c r="AC746" s="24">
        <v>0</v>
      </c>
      <c r="AD746" s="24">
        <v>0</v>
      </c>
      <c r="AE746" s="24">
        <v>1</v>
      </c>
      <c r="AF746" s="24">
        <v>0</v>
      </c>
      <c r="AG746" s="24">
        <v>0</v>
      </c>
      <c r="AH746" s="24">
        <v>0</v>
      </c>
      <c r="AI746" s="24">
        <v>0</v>
      </c>
      <c r="AJ746" s="24">
        <v>1</v>
      </c>
      <c r="AK746" s="24">
        <v>0</v>
      </c>
      <c r="AL746" s="24">
        <v>0</v>
      </c>
      <c r="AM746" s="24">
        <v>0</v>
      </c>
      <c r="AN746" s="24">
        <v>1</v>
      </c>
      <c r="AO746" s="24">
        <v>0</v>
      </c>
      <c r="AP746" s="24">
        <v>0</v>
      </c>
      <c r="AQ746" s="24">
        <v>0</v>
      </c>
      <c r="AR746" s="24">
        <v>1</v>
      </c>
      <c r="AS746" s="24">
        <v>0</v>
      </c>
      <c r="AT746" s="24">
        <v>0</v>
      </c>
      <c r="AU746" s="24">
        <v>0</v>
      </c>
      <c r="AV746" s="24">
        <v>1</v>
      </c>
      <c r="AW746" s="24">
        <v>0</v>
      </c>
      <c r="AX746" s="24">
        <v>0</v>
      </c>
      <c r="AY746" s="24">
        <v>0</v>
      </c>
      <c r="AZ746" s="24">
        <v>1</v>
      </c>
      <c r="BA746" s="24">
        <v>0</v>
      </c>
      <c r="BB746" s="24">
        <v>0</v>
      </c>
    </row>
    <row r="747" spans="2:54" ht="13.8" x14ac:dyDescent="0.3">
      <c r="B747" s="24">
        <v>727</v>
      </c>
      <c r="C747" s="24">
        <v>15</v>
      </c>
      <c r="D747" s="24">
        <v>0</v>
      </c>
      <c r="E747" s="24">
        <v>0</v>
      </c>
      <c r="F747" s="24">
        <v>0</v>
      </c>
      <c r="G747" s="24">
        <v>1</v>
      </c>
      <c r="H747" s="24">
        <v>0</v>
      </c>
      <c r="I747" s="24">
        <v>0</v>
      </c>
      <c r="J747" s="24">
        <v>1316</v>
      </c>
      <c r="K747" s="24">
        <v>2</v>
      </c>
      <c r="L747" s="24">
        <v>0</v>
      </c>
      <c r="M747" s="24">
        <v>0</v>
      </c>
      <c r="N747" s="24">
        <v>1</v>
      </c>
      <c r="O747" s="24">
        <v>0</v>
      </c>
      <c r="P747" s="24">
        <v>0</v>
      </c>
      <c r="Q747" s="24">
        <v>0</v>
      </c>
      <c r="R747" s="24">
        <v>0</v>
      </c>
      <c r="S747" s="24">
        <v>47</v>
      </c>
      <c r="T747" s="24">
        <v>0</v>
      </c>
      <c r="U747" s="24">
        <v>0</v>
      </c>
      <c r="V747" s="24">
        <v>1</v>
      </c>
      <c r="W747" s="24">
        <v>2</v>
      </c>
      <c r="X747" s="24">
        <v>1</v>
      </c>
      <c r="Y747" s="24">
        <v>0</v>
      </c>
      <c r="Z747" s="24">
        <v>0</v>
      </c>
      <c r="AA747" s="24">
        <v>1</v>
      </c>
      <c r="AB747" s="24">
        <v>0</v>
      </c>
      <c r="AC747" s="24">
        <v>0</v>
      </c>
      <c r="AD747" s="24">
        <v>0</v>
      </c>
      <c r="AE747" s="24">
        <v>1</v>
      </c>
      <c r="AF747" s="24">
        <v>0</v>
      </c>
      <c r="AG747" s="24">
        <v>0</v>
      </c>
      <c r="AH747" s="24">
        <v>0</v>
      </c>
      <c r="AI747" s="24">
        <v>0</v>
      </c>
      <c r="AJ747" s="24">
        <v>1</v>
      </c>
      <c r="AK747" s="24">
        <v>0</v>
      </c>
      <c r="AL747" s="24">
        <v>0</v>
      </c>
      <c r="AM747" s="24">
        <v>1</v>
      </c>
      <c r="AN747" s="24">
        <v>0</v>
      </c>
      <c r="AO747" s="24">
        <v>0</v>
      </c>
      <c r="AP747" s="24">
        <v>0</v>
      </c>
      <c r="AQ747" s="24">
        <v>0</v>
      </c>
      <c r="AR747" s="24">
        <v>1</v>
      </c>
      <c r="AS747" s="24">
        <v>0</v>
      </c>
      <c r="AT747" s="24">
        <v>0</v>
      </c>
      <c r="AU747" s="24">
        <v>0</v>
      </c>
      <c r="AV747" s="24">
        <v>1</v>
      </c>
      <c r="AW747" s="24">
        <v>0</v>
      </c>
      <c r="AX747" s="24">
        <v>0</v>
      </c>
      <c r="AY747" s="24">
        <v>0</v>
      </c>
      <c r="AZ747" s="24">
        <v>1</v>
      </c>
      <c r="BA747" s="24">
        <v>0</v>
      </c>
      <c r="BB747" s="24">
        <v>0</v>
      </c>
    </row>
    <row r="748" spans="2:54" ht="13.8" x14ac:dyDescent="0.3">
      <c r="B748" s="24">
        <v>728</v>
      </c>
      <c r="C748" s="24">
        <v>18</v>
      </c>
      <c r="D748" s="24">
        <v>0</v>
      </c>
      <c r="E748" s="24">
        <v>0</v>
      </c>
      <c r="F748" s="24">
        <v>0</v>
      </c>
      <c r="G748" s="24">
        <v>1</v>
      </c>
      <c r="H748" s="24">
        <v>0</v>
      </c>
      <c r="I748" s="24">
        <v>0</v>
      </c>
      <c r="J748" s="24">
        <v>1882</v>
      </c>
      <c r="K748" s="24">
        <v>4</v>
      </c>
      <c r="L748" s="24">
        <v>0</v>
      </c>
      <c r="M748" s="24">
        <v>0</v>
      </c>
      <c r="N748" s="24">
        <v>0</v>
      </c>
      <c r="O748" s="24">
        <v>0</v>
      </c>
      <c r="P748" s="24">
        <v>0</v>
      </c>
      <c r="Q748" s="24">
        <v>0</v>
      </c>
      <c r="R748" s="24">
        <v>0</v>
      </c>
      <c r="S748" s="24">
        <v>25</v>
      </c>
      <c r="T748" s="24">
        <v>1</v>
      </c>
      <c r="U748" s="24">
        <v>1</v>
      </c>
      <c r="V748" s="24">
        <v>0</v>
      </c>
      <c r="W748" s="24">
        <v>2</v>
      </c>
      <c r="X748" s="24">
        <v>1</v>
      </c>
      <c r="Y748" s="24">
        <v>0</v>
      </c>
      <c r="Z748" s="24">
        <v>0</v>
      </c>
      <c r="AA748" s="24">
        <v>0</v>
      </c>
      <c r="AB748" s="24">
        <v>1</v>
      </c>
      <c r="AC748" s="24">
        <v>0</v>
      </c>
      <c r="AD748" s="24">
        <v>0</v>
      </c>
      <c r="AE748" s="24">
        <v>0</v>
      </c>
      <c r="AF748" s="24">
        <v>0</v>
      </c>
      <c r="AG748" s="24">
        <v>0</v>
      </c>
      <c r="AH748" s="24">
        <v>1</v>
      </c>
      <c r="AI748" s="24">
        <v>0</v>
      </c>
      <c r="AJ748" s="24">
        <v>0</v>
      </c>
      <c r="AK748" s="24">
        <v>1</v>
      </c>
      <c r="AL748" s="24">
        <v>0</v>
      </c>
      <c r="AM748" s="24">
        <v>0</v>
      </c>
      <c r="AN748" s="24">
        <v>0</v>
      </c>
      <c r="AO748" s="24">
        <v>0</v>
      </c>
      <c r="AP748" s="24">
        <v>0</v>
      </c>
      <c r="AQ748" s="24">
        <v>0</v>
      </c>
      <c r="AR748" s="24">
        <v>1</v>
      </c>
      <c r="AS748" s="24">
        <v>0</v>
      </c>
      <c r="AT748" s="24">
        <v>0</v>
      </c>
      <c r="AU748" s="24">
        <v>0</v>
      </c>
      <c r="AV748" s="24">
        <v>0</v>
      </c>
      <c r="AW748" s="24">
        <v>0</v>
      </c>
      <c r="AX748" s="24">
        <v>1</v>
      </c>
      <c r="AY748" s="24">
        <v>0</v>
      </c>
      <c r="AZ748" s="24">
        <v>0</v>
      </c>
      <c r="BA748" s="24">
        <v>1</v>
      </c>
      <c r="BB748" s="24">
        <v>0</v>
      </c>
    </row>
    <row r="749" spans="2:54" ht="13.8" x14ac:dyDescent="0.3">
      <c r="B749" s="24">
        <v>729</v>
      </c>
      <c r="C749" s="24">
        <v>48</v>
      </c>
      <c r="D749" s="24">
        <v>0</v>
      </c>
      <c r="E749" s="24">
        <v>0</v>
      </c>
      <c r="F749" s="24">
        <v>0</v>
      </c>
      <c r="G749" s="24">
        <v>0</v>
      </c>
      <c r="H749" s="24">
        <v>0</v>
      </c>
      <c r="I749" s="24">
        <v>1</v>
      </c>
      <c r="J749" s="24">
        <v>6416</v>
      </c>
      <c r="K749" s="24">
        <v>4</v>
      </c>
      <c r="L749" s="24">
        <v>0</v>
      </c>
      <c r="M749" s="24">
        <v>0</v>
      </c>
      <c r="N749" s="24">
        <v>0</v>
      </c>
      <c r="O749" s="24">
        <v>0</v>
      </c>
      <c r="P749" s="24">
        <v>0</v>
      </c>
      <c r="Q749" s="24">
        <v>0</v>
      </c>
      <c r="R749" s="24">
        <v>1</v>
      </c>
      <c r="S749" s="24">
        <v>59</v>
      </c>
      <c r="T749" s="24">
        <v>0</v>
      </c>
      <c r="U749" s="24">
        <v>1</v>
      </c>
      <c r="V749" s="24">
        <v>0</v>
      </c>
      <c r="W749" s="24">
        <v>1</v>
      </c>
      <c r="X749" s="24">
        <v>1</v>
      </c>
      <c r="Y749" s="24">
        <v>0</v>
      </c>
      <c r="Z749" s="24">
        <v>0</v>
      </c>
      <c r="AA749" s="24">
        <v>0</v>
      </c>
      <c r="AB749" s="24">
        <v>0</v>
      </c>
      <c r="AC749" s="24">
        <v>1</v>
      </c>
      <c r="AD749" s="24">
        <v>0</v>
      </c>
      <c r="AE749" s="24">
        <v>0</v>
      </c>
      <c r="AF749" s="24">
        <v>0</v>
      </c>
      <c r="AG749" s="24">
        <v>1</v>
      </c>
      <c r="AH749" s="24">
        <v>0</v>
      </c>
      <c r="AI749" s="24">
        <v>0</v>
      </c>
      <c r="AJ749" s="24">
        <v>0</v>
      </c>
      <c r="AK749" s="24">
        <v>1</v>
      </c>
      <c r="AL749" s="24">
        <v>0</v>
      </c>
      <c r="AM749" s="24">
        <v>0</v>
      </c>
      <c r="AN749" s="24">
        <v>0</v>
      </c>
      <c r="AO749" s="24">
        <v>0</v>
      </c>
      <c r="AP749" s="24">
        <v>0</v>
      </c>
      <c r="AQ749" s="24">
        <v>0</v>
      </c>
      <c r="AR749" s="24">
        <v>0</v>
      </c>
      <c r="AS749" s="24">
        <v>0</v>
      </c>
      <c r="AT749" s="24">
        <v>1</v>
      </c>
      <c r="AU749" s="24">
        <v>0</v>
      </c>
      <c r="AV749" s="24">
        <v>0</v>
      </c>
      <c r="AW749" s="24">
        <v>1</v>
      </c>
      <c r="AX749" s="24">
        <v>0</v>
      </c>
      <c r="AY749" s="24">
        <v>0</v>
      </c>
      <c r="AZ749" s="24">
        <v>0</v>
      </c>
      <c r="BA749" s="24">
        <v>1</v>
      </c>
      <c r="BB749" s="24">
        <v>0</v>
      </c>
    </row>
    <row r="750" spans="2:54" ht="13.8" x14ac:dyDescent="0.3">
      <c r="B750" s="24">
        <v>730</v>
      </c>
      <c r="C750" s="24">
        <v>24</v>
      </c>
      <c r="D750" s="24">
        <v>0</v>
      </c>
      <c r="E750" s="24">
        <v>0</v>
      </c>
      <c r="F750" s="24">
        <v>0</v>
      </c>
      <c r="G750" s="24">
        <v>0</v>
      </c>
      <c r="H750" s="24">
        <v>0</v>
      </c>
      <c r="I750" s="24">
        <v>1</v>
      </c>
      <c r="J750" s="24">
        <v>1275</v>
      </c>
      <c r="K750" s="24">
        <v>2</v>
      </c>
      <c r="L750" s="24">
        <v>1</v>
      </c>
      <c r="M750" s="24">
        <v>0</v>
      </c>
      <c r="N750" s="24">
        <v>0</v>
      </c>
      <c r="O750" s="24">
        <v>0</v>
      </c>
      <c r="P750" s="24">
        <v>0</v>
      </c>
      <c r="Q750" s="24">
        <v>1</v>
      </c>
      <c r="R750" s="24">
        <v>0</v>
      </c>
      <c r="S750" s="24">
        <v>36</v>
      </c>
      <c r="T750" s="24">
        <v>0</v>
      </c>
      <c r="U750" s="24">
        <v>0</v>
      </c>
      <c r="V750" s="24">
        <v>1</v>
      </c>
      <c r="W750" s="24">
        <v>2</v>
      </c>
      <c r="X750" s="24">
        <v>1</v>
      </c>
      <c r="Y750" s="24">
        <v>1</v>
      </c>
      <c r="Z750" s="24">
        <v>0</v>
      </c>
      <c r="AA750" s="24">
        <v>1</v>
      </c>
      <c r="AB750" s="24">
        <v>0</v>
      </c>
      <c r="AC750" s="24">
        <v>0</v>
      </c>
      <c r="AD750" s="24">
        <v>1</v>
      </c>
      <c r="AE750" s="24">
        <v>0</v>
      </c>
      <c r="AF750" s="24">
        <v>0</v>
      </c>
      <c r="AG750" s="24">
        <v>0</v>
      </c>
      <c r="AH750" s="24">
        <v>0</v>
      </c>
      <c r="AI750" s="24">
        <v>0</v>
      </c>
      <c r="AJ750" s="24">
        <v>1</v>
      </c>
      <c r="AK750" s="24">
        <v>0</v>
      </c>
      <c r="AL750" s="24">
        <v>0</v>
      </c>
      <c r="AM750" s="24">
        <v>0</v>
      </c>
      <c r="AN750" s="24">
        <v>1</v>
      </c>
      <c r="AO750" s="24">
        <v>0</v>
      </c>
      <c r="AP750" s="24">
        <v>0</v>
      </c>
      <c r="AQ750" s="24">
        <v>0</v>
      </c>
      <c r="AR750" s="24">
        <v>1</v>
      </c>
      <c r="AS750" s="24">
        <v>0</v>
      </c>
      <c r="AT750" s="24">
        <v>0</v>
      </c>
      <c r="AU750" s="24">
        <v>0</v>
      </c>
      <c r="AV750" s="24">
        <v>0</v>
      </c>
      <c r="AW750" s="24">
        <v>0</v>
      </c>
      <c r="AX750" s="24">
        <v>1</v>
      </c>
      <c r="AY750" s="24">
        <v>0</v>
      </c>
      <c r="AZ750" s="24">
        <v>0</v>
      </c>
      <c r="BA750" s="24">
        <v>1</v>
      </c>
      <c r="BB750" s="24">
        <v>0</v>
      </c>
    </row>
    <row r="751" spans="2:54" ht="13.8" x14ac:dyDescent="0.3">
      <c r="B751" s="24">
        <v>731</v>
      </c>
      <c r="C751" s="24">
        <v>24</v>
      </c>
      <c r="D751" s="24">
        <v>0</v>
      </c>
      <c r="E751" s="24">
        <v>0</v>
      </c>
      <c r="F751" s="24">
        <v>0</v>
      </c>
      <c r="G751" s="24">
        <v>1</v>
      </c>
      <c r="H751" s="24">
        <v>0</v>
      </c>
      <c r="I751" s="24">
        <v>0</v>
      </c>
      <c r="J751" s="24">
        <v>6403</v>
      </c>
      <c r="K751" s="24">
        <v>1</v>
      </c>
      <c r="L751" s="24">
        <v>0</v>
      </c>
      <c r="M751" s="24">
        <v>1</v>
      </c>
      <c r="N751" s="24">
        <v>0</v>
      </c>
      <c r="O751" s="24">
        <v>0</v>
      </c>
      <c r="P751" s="24">
        <v>0</v>
      </c>
      <c r="Q751" s="24">
        <v>0</v>
      </c>
      <c r="R751" s="24">
        <v>0</v>
      </c>
      <c r="S751" s="24">
        <v>33</v>
      </c>
      <c r="T751" s="24">
        <v>0</v>
      </c>
      <c r="U751" s="24">
        <v>0</v>
      </c>
      <c r="V751" s="24">
        <v>1</v>
      </c>
      <c r="W751" s="24">
        <v>1</v>
      </c>
      <c r="X751" s="24">
        <v>1</v>
      </c>
      <c r="Y751" s="24">
        <v>0</v>
      </c>
      <c r="Z751" s="24">
        <v>0</v>
      </c>
      <c r="AA751" s="24">
        <v>1</v>
      </c>
      <c r="AB751" s="24">
        <v>0</v>
      </c>
      <c r="AC751" s="24">
        <v>1</v>
      </c>
      <c r="AD751" s="24">
        <v>0</v>
      </c>
      <c r="AE751" s="24">
        <v>0</v>
      </c>
      <c r="AF751" s="24">
        <v>0</v>
      </c>
      <c r="AG751" s="24">
        <v>0</v>
      </c>
      <c r="AH751" s="24">
        <v>0</v>
      </c>
      <c r="AI751" s="24">
        <v>1</v>
      </c>
      <c r="AJ751" s="24">
        <v>0</v>
      </c>
      <c r="AK751" s="24">
        <v>1</v>
      </c>
      <c r="AL751" s="24">
        <v>0</v>
      </c>
      <c r="AM751" s="24">
        <v>0</v>
      </c>
      <c r="AN751" s="24">
        <v>0</v>
      </c>
      <c r="AO751" s="24">
        <v>0</v>
      </c>
      <c r="AP751" s="24">
        <v>0</v>
      </c>
      <c r="AQ751" s="24">
        <v>1</v>
      </c>
      <c r="AR751" s="24">
        <v>0</v>
      </c>
      <c r="AS751" s="24">
        <v>0</v>
      </c>
      <c r="AT751" s="24">
        <v>0</v>
      </c>
      <c r="AU751" s="24">
        <v>0</v>
      </c>
      <c r="AV751" s="24">
        <v>1</v>
      </c>
      <c r="AW751" s="24">
        <v>0</v>
      </c>
      <c r="AX751" s="24">
        <v>0</v>
      </c>
      <c r="AY751" s="24">
        <v>0</v>
      </c>
      <c r="AZ751" s="24">
        <v>0</v>
      </c>
      <c r="BA751" s="24">
        <v>1</v>
      </c>
      <c r="BB751" s="24">
        <v>0</v>
      </c>
    </row>
    <row r="752" spans="2:54" ht="13.8" x14ac:dyDescent="0.3">
      <c r="B752" s="24">
        <v>732</v>
      </c>
      <c r="C752" s="24">
        <v>24</v>
      </c>
      <c r="D752" s="24">
        <v>0</v>
      </c>
      <c r="E752" s="24">
        <v>0</v>
      </c>
      <c r="F752" s="24">
        <v>0</v>
      </c>
      <c r="G752" s="24">
        <v>1</v>
      </c>
      <c r="H752" s="24">
        <v>0</v>
      </c>
      <c r="I752" s="24">
        <v>0</v>
      </c>
      <c r="J752" s="24">
        <v>1987</v>
      </c>
      <c r="K752" s="24">
        <v>2</v>
      </c>
      <c r="L752" s="24">
        <v>0</v>
      </c>
      <c r="M752" s="24">
        <v>1</v>
      </c>
      <c r="N752" s="24">
        <v>0</v>
      </c>
      <c r="O752" s="24">
        <v>0</v>
      </c>
      <c r="P752" s="24">
        <v>0</v>
      </c>
      <c r="Q752" s="24">
        <v>1</v>
      </c>
      <c r="R752" s="24">
        <v>0</v>
      </c>
      <c r="S752" s="24">
        <v>21</v>
      </c>
      <c r="T752" s="24">
        <v>0</v>
      </c>
      <c r="U752" s="24">
        <v>1</v>
      </c>
      <c r="V752" s="24">
        <v>0</v>
      </c>
      <c r="W752" s="24">
        <v>1</v>
      </c>
      <c r="X752" s="24">
        <v>2</v>
      </c>
      <c r="Y752" s="24">
        <v>0</v>
      </c>
      <c r="Z752" s="24">
        <v>0</v>
      </c>
      <c r="AA752" s="24">
        <v>0</v>
      </c>
      <c r="AB752" s="24">
        <v>1</v>
      </c>
      <c r="AC752" s="24">
        <v>0</v>
      </c>
      <c r="AD752" s="24">
        <v>0</v>
      </c>
      <c r="AE752" s="24">
        <v>0</v>
      </c>
      <c r="AF752" s="24">
        <v>0</v>
      </c>
      <c r="AG752" s="24">
        <v>0</v>
      </c>
      <c r="AH752" s="24">
        <v>1</v>
      </c>
      <c r="AI752" s="24">
        <v>0</v>
      </c>
      <c r="AJ752" s="24">
        <v>0</v>
      </c>
      <c r="AK752" s="24">
        <v>1</v>
      </c>
      <c r="AL752" s="24">
        <v>0</v>
      </c>
      <c r="AM752" s="24">
        <v>0</v>
      </c>
      <c r="AN752" s="24">
        <v>0</v>
      </c>
      <c r="AO752" s="24">
        <v>0</v>
      </c>
      <c r="AP752" s="24">
        <v>0</v>
      </c>
      <c r="AQ752" s="24">
        <v>0</v>
      </c>
      <c r="AR752" s="24">
        <v>1</v>
      </c>
      <c r="AS752" s="24">
        <v>0</v>
      </c>
      <c r="AT752" s="24">
        <v>0</v>
      </c>
      <c r="AU752" s="24">
        <v>0</v>
      </c>
      <c r="AV752" s="24">
        <v>0</v>
      </c>
      <c r="AW752" s="24">
        <v>0</v>
      </c>
      <c r="AX752" s="24">
        <v>1</v>
      </c>
      <c r="AY752" s="24">
        <v>0</v>
      </c>
      <c r="AZ752" s="24">
        <v>1</v>
      </c>
      <c r="BA752" s="24">
        <v>0</v>
      </c>
      <c r="BB752" s="24">
        <v>0</v>
      </c>
    </row>
    <row r="753" spans="2:54" ht="13.8" x14ac:dyDescent="0.3">
      <c r="B753" s="24">
        <v>733</v>
      </c>
      <c r="C753" s="24">
        <v>8</v>
      </c>
      <c r="D753" s="24">
        <v>0</v>
      </c>
      <c r="E753" s="24">
        <v>0</v>
      </c>
      <c r="F753" s="24">
        <v>0</v>
      </c>
      <c r="G753" s="24">
        <v>1</v>
      </c>
      <c r="H753" s="24">
        <v>0</v>
      </c>
      <c r="I753" s="24">
        <v>0</v>
      </c>
      <c r="J753" s="24">
        <v>760</v>
      </c>
      <c r="K753" s="24">
        <v>4</v>
      </c>
      <c r="L753" s="24">
        <v>0</v>
      </c>
      <c r="M753" s="24">
        <v>0</v>
      </c>
      <c r="N753" s="24">
        <v>0</v>
      </c>
      <c r="O753" s="24">
        <v>0</v>
      </c>
      <c r="P753" s="24">
        <v>1</v>
      </c>
      <c r="Q753" s="24">
        <v>1</v>
      </c>
      <c r="R753" s="24">
        <v>0</v>
      </c>
      <c r="S753" s="24">
        <v>44</v>
      </c>
      <c r="T753" s="24">
        <v>0</v>
      </c>
      <c r="U753" s="24">
        <v>0</v>
      </c>
      <c r="V753" s="24">
        <v>1</v>
      </c>
      <c r="W753" s="24">
        <v>1</v>
      </c>
      <c r="X753" s="24">
        <v>1</v>
      </c>
      <c r="Y753" s="24">
        <v>0</v>
      </c>
      <c r="Z753" s="24">
        <v>0</v>
      </c>
      <c r="AA753" s="24">
        <v>1</v>
      </c>
      <c r="AB753" s="24">
        <v>0</v>
      </c>
      <c r="AC753" s="24">
        <v>1</v>
      </c>
      <c r="AD753" s="24">
        <v>0</v>
      </c>
      <c r="AE753" s="24">
        <v>0</v>
      </c>
      <c r="AF753" s="24">
        <v>0</v>
      </c>
      <c r="AG753" s="24">
        <v>0</v>
      </c>
      <c r="AH753" s="24">
        <v>1</v>
      </c>
      <c r="AI753" s="24">
        <v>0</v>
      </c>
      <c r="AJ753" s="24">
        <v>0</v>
      </c>
      <c r="AK753" s="24">
        <v>1</v>
      </c>
      <c r="AL753" s="24">
        <v>0</v>
      </c>
      <c r="AM753" s="24">
        <v>0</v>
      </c>
      <c r="AN753" s="24">
        <v>0</v>
      </c>
      <c r="AO753" s="24">
        <v>0</v>
      </c>
      <c r="AP753" s="24">
        <v>0</v>
      </c>
      <c r="AQ753" s="24">
        <v>0</v>
      </c>
      <c r="AR753" s="24">
        <v>0</v>
      </c>
      <c r="AS753" s="24">
        <v>1</v>
      </c>
      <c r="AT753" s="24">
        <v>0</v>
      </c>
      <c r="AU753" s="24">
        <v>0</v>
      </c>
      <c r="AV753" s="24">
        <v>1</v>
      </c>
      <c r="AW753" s="24">
        <v>0</v>
      </c>
      <c r="AX753" s="24">
        <v>0</v>
      </c>
      <c r="AY753" s="24">
        <v>0</v>
      </c>
      <c r="AZ753" s="24">
        <v>1</v>
      </c>
      <c r="BA753" s="24">
        <v>0</v>
      </c>
      <c r="BB753" s="24">
        <v>0</v>
      </c>
    </row>
    <row r="754" spans="2:54" ht="13.8" x14ac:dyDescent="0.3">
      <c r="B754" s="24">
        <v>734</v>
      </c>
      <c r="C754" s="24">
        <v>24</v>
      </c>
      <c r="D754" s="24">
        <v>0</v>
      </c>
      <c r="E754" s="24">
        <v>1</v>
      </c>
      <c r="F754" s="24">
        <v>0</v>
      </c>
      <c r="G754" s="24">
        <v>0</v>
      </c>
      <c r="H754" s="24">
        <v>0</v>
      </c>
      <c r="I754" s="24">
        <v>0</v>
      </c>
      <c r="J754" s="24">
        <v>2603</v>
      </c>
      <c r="K754" s="24">
        <v>2</v>
      </c>
      <c r="L754" s="24">
        <v>0</v>
      </c>
      <c r="M754" s="24">
        <v>0</v>
      </c>
      <c r="N754" s="24">
        <v>0</v>
      </c>
      <c r="O754" s="24">
        <v>0</v>
      </c>
      <c r="P754" s="24">
        <v>0</v>
      </c>
      <c r="Q754" s="24">
        <v>0</v>
      </c>
      <c r="R754" s="24">
        <v>0</v>
      </c>
      <c r="S754" s="24">
        <v>28</v>
      </c>
      <c r="T754" s="24">
        <v>0</v>
      </c>
      <c r="U754" s="24">
        <v>1</v>
      </c>
      <c r="V754" s="24">
        <v>0</v>
      </c>
      <c r="W754" s="24">
        <v>1</v>
      </c>
      <c r="X754" s="24">
        <v>1</v>
      </c>
      <c r="Y754" s="24">
        <v>1</v>
      </c>
      <c r="Z754" s="24">
        <v>0</v>
      </c>
      <c r="AA754" s="24">
        <v>1</v>
      </c>
      <c r="AB754" s="24">
        <v>0</v>
      </c>
      <c r="AC754" s="24">
        <v>0</v>
      </c>
      <c r="AD754" s="24">
        <v>0</v>
      </c>
      <c r="AE754" s="24">
        <v>1</v>
      </c>
      <c r="AF754" s="24">
        <v>0</v>
      </c>
      <c r="AG754" s="24">
        <v>0</v>
      </c>
      <c r="AH754" s="24">
        <v>1</v>
      </c>
      <c r="AI754" s="24">
        <v>0</v>
      </c>
      <c r="AJ754" s="24">
        <v>0</v>
      </c>
      <c r="AK754" s="24">
        <v>0</v>
      </c>
      <c r="AL754" s="24">
        <v>0</v>
      </c>
      <c r="AM754" s="24">
        <v>0</v>
      </c>
      <c r="AN754" s="24">
        <v>1</v>
      </c>
      <c r="AO754" s="24">
        <v>0</v>
      </c>
      <c r="AP754" s="24">
        <v>0</v>
      </c>
      <c r="AQ754" s="24">
        <v>0</v>
      </c>
      <c r="AR754" s="24">
        <v>1</v>
      </c>
      <c r="AS754" s="24">
        <v>0</v>
      </c>
      <c r="AT754" s="24">
        <v>0</v>
      </c>
      <c r="AU754" s="24">
        <v>0</v>
      </c>
      <c r="AV754" s="24">
        <v>0</v>
      </c>
      <c r="AW754" s="24">
        <v>0</v>
      </c>
      <c r="AX754" s="24">
        <v>1</v>
      </c>
      <c r="AY754" s="24">
        <v>0</v>
      </c>
      <c r="AZ754" s="24">
        <v>0</v>
      </c>
      <c r="BA754" s="24">
        <v>1</v>
      </c>
      <c r="BB754" s="24">
        <v>0</v>
      </c>
    </row>
    <row r="755" spans="2:54" ht="13.8" x14ac:dyDescent="0.3">
      <c r="B755" s="24">
        <v>735</v>
      </c>
      <c r="C755" s="24">
        <v>4</v>
      </c>
      <c r="D755" s="24">
        <v>1</v>
      </c>
      <c r="E755" s="24">
        <v>0</v>
      </c>
      <c r="F755" s="24">
        <v>0</v>
      </c>
      <c r="G755" s="24">
        <v>0</v>
      </c>
      <c r="H755" s="24">
        <v>0</v>
      </c>
      <c r="I755" s="24">
        <v>0</v>
      </c>
      <c r="J755" s="24">
        <v>3380</v>
      </c>
      <c r="K755" s="24">
        <v>1</v>
      </c>
      <c r="L755" s="24">
        <v>0</v>
      </c>
      <c r="M755" s="24">
        <v>0</v>
      </c>
      <c r="N755" s="24">
        <v>0</v>
      </c>
      <c r="O755" s="24">
        <v>0</v>
      </c>
      <c r="P755" s="24">
        <v>0</v>
      </c>
      <c r="Q755" s="24">
        <v>1</v>
      </c>
      <c r="R755" s="24">
        <v>0</v>
      </c>
      <c r="S755" s="24">
        <v>37</v>
      </c>
      <c r="T755" s="24">
        <v>0</v>
      </c>
      <c r="U755" s="24">
        <v>0</v>
      </c>
      <c r="V755" s="24">
        <v>1</v>
      </c>
      <c r="W755" s="24">
        <v>1</v>
      </c>
      <c r="X755" s="24">
        <v>2</v>
      </c>
      <c r="Y755" s="24">
        <v>0</v>
      </c>
      <c r="Z755" s="24">
        <v>0</v>
      </c>
      <c r="AA755" s="24">
        <v>1</v>
      </c>
      <c r="AB755" s="24">
        <v>0</v>
      </c>
      <c r="AC755" s="24">
        <v>0</v>
      </c>
      <c r="AD755" s="24">
        <v>0</v>
      </c>
      <c r="AE755" s="24">
        <v>1</v>
      </c>
      <c r="AF755" s="24">
        <v>0</v>
      </c>
      <c r="AG755" s="24">
        <v>0</v>
      </c>
      <c r="AH755" s="24">
        <v>0</v>
      </c>
      <c r="AI755" s="24">
        <v>0</v>
      </c>
      <c r="AJ755" s="24">
        <v>1</v>
      </c>
      <c r="AK755" s="24">
        <v>1</v>
      </c>
      <c r="AL755" s="24">
        <v>0</v>
      </c>
      <c r="AM755" s="24">
        <v>0</v>
      </c>
      <c r="AN755" s="24">
        <v>0</v>
      </c>
      <c r="AO755" s="24">
        <v>0</v>
      </c>
      <c r="AP755" s="24">
        <v>0</v>
      </c>
      <c r="AQ755" s="24">
        <v>0</v>
      </c>
      <c r="AR755" s="24">
        <v>0</v>
      </c>
      <c r="AS755" s="24">
        <v>1</v>
      </c>
      <c r="AT755" s="24">
        <v>0</v>
      </c>
      <c r="AU755" s="24">
        <v>1</v>
      </c>
      <c r="AV755" s="24">
        <v>0</v>
      </c>
      <c r="AW755" s="24">
        <v>0</v>
      </c>
      <c r="AX755" s="24">
        <v>0</v>
      </c>
      <c r="AY755" s="24">
        <v>0</v>
      </c>
      <c r="AZ755" s="24">
        <v>0</v>
      </c>
      <c r="BA755" s="24">
        <v>1</v>
      </c>
      <c r="BB755" s="24">
        <v>0</v>
      </c>
    </row>
    <row r="756" spans="2:54" ht="13.8" x14ac:dyDescent="0.3">
      <c r="B756" s="24">
        <v>736</v>
      </c>
      <c r="C756" s="24">
        <v>36</v>
      </c>
      <c r="D756" s="24">
        <v>0</v>
      </c>
      <c r="E756" s="24">
        <v>0</v>
      </c>
      <c r="F756" s="24">
        <v>0</v>
      </c>
      <c r="G756" s="24">
        <v>0</v>
      </c>
      <c r="H756" s="24">
        <v>0</v>
      </c>
      <c r="I756" s="24">
        <v>0</v>
      </c>
      <c r="J756" s="24">
        <v>3990</v>
      </c>
      <c r="K756" s="24">
        <v>3</v>
      </c>
      <c r="L756" s="24">
        <v>0</v>
      </c>
      <c r="M756" s="24">
        <v>0</v>
      </c>
      <c r="N756" s="24">
        <v>0</v>
      </c>
      <c r="O756" s="24">
        <v>0</v>
      </c>
      <c r="P756" s="24">
        <v>0</v>
      </c>
      <c r="Q756" s="24">
        <v>0</v>
      </c>
      <c r="R756" s="24">
        <v>1</v>
      </c>
      <c r="S756" s="24">
        <v>29</v>
      </c>
      <c r="T756" s="24">
        <v>1</v>
      </c>
      <c r="U756" s="24">
        <v>0</v>
      </c>
      <c r="V756" s="24">
        <v>1</v>
      </c>
      <c r="W756" s="24">
        <v>1</v>
      </c>
      <c r="X756" s="24">
        <v>1</v>
      </c>
      <c r="Y756" s="24">
        <v>0</v>
      </c>
      <c r="Z756" s="24">
        <v>0</v>
      </c>
      <c r="AA756" s="24">
        <v>1</v>
      </c>
      <c r="AB756" s="24">
        <v>0</v>
      </c>
      <c r="AC756" s="24">
        <v>1</v>
      </c>
      <c r="AD756" s="24">
        <v>0</v>
      </c>
      <c r="AE756" s="24">
        <v>0</v>
      </c>
      <c r="AF756" s="24">
        <v>0</v>
      </c>
      <c r="AG756" s="24">
        <v>1</v>
      </c>
      <c r="AH756" s="24">
        <v>0</v>
      </c>
      <c r="AI756" s="24">
        <v>0</v>
      </c>
      <c r="AJ756" s="24">
        <v>0</v>
      </c>
      <c r="AK756" s="24">
        <v>0</v>
      </c>
      <c r="AL756" s="24">
        <v>0</v>
      </c>
      <c r="AM756" s="24">
        <v>0</v>
      </c>
      <c r="AN756" s="24">
        <v>0</v>
      </c>
      <c r="AO756" s="24">
        <v>1</v>
      </c>
      <c r="AP756" s="24">
        <v>0</v>
      </c>
      <c r="AQ756" s="24">
        <v>1</v>
      </c>
      <c r="AR756" s="24">
        <v>0</v>
      </c>
      <c r="AS756" s="24">
        <v>0</v>
      </c>
      <c r="AT756" s="24">
        <v>0</v>
      </c>
      <c r="AU756" s="24">
        <v>0</v>
      </c>
      <c r="AV756" s="24">
        <v>1</v>
      </c>
      <c r="AW756" s="24">
        <v>0</v>
      </c>
      <c r="AX756" s="24">
        <v>0</v>
      </c>
      <c r="AY756" s="24">
        <v>1</v>
      </c>
      <c r="AZ756" s="24">
        <v>0</v>
      </c>
      <c r="BA756" s="24">
        <v>0</v>
      </c>
      <c r="BB756" s="24">
        <v>0</v>
      </c>
    </row>
    <row r="757" spans="2:54" ht="13.8" x14ac:dyDescent="0.3">
      <c r="B757" s="24">
        <v>737</v>
      </c>
      <c r="C757" s="24">
        <v>24</v>
      </c>
      <c r="D757" s="24">
        <v>0</v>
      </c>
      <c r="E757" s="24">
        <v>1</v>
      </c>
      <c r="F757" s="24">
        <v>0</v>
      </c>
      <c r="G757" s="24">
        <v>0</v>
      </c>
      <c r="H757" s="24">
        <v>0</v>
      </c>
      <c r="I757" s="24">
        <v>0</v>
      </c>
      <c r="J757" s="24">
        <v>11560</v>
      </c>
      <c r="K757" s="24">
        <v>1</v>
      </c>
      <c r="L757" s="24">
        <v>0</v>
      </c>
      <c r="M757" s="24">
        <v>0</v>
      </c>
      <c r="N757" s="24">
        <v>0</v>
      </c>
      <c r="O757" s="24">
        <v>0</v>
      </c>
      <c r="P757" s="24">
        <v>0</v>
      </c>
      <c r="Q757" s="24">
        <v>0</v>
      </c>
      <c r="R757" s="24">
        <v>0</v>
      </c>
      <c r="S757" s="24">
        <v>23</v>
      </c>
      <c r="T757" s="24">
        <v>0</v>
      </c>
      <c r="U757" s="24">
        <v>1</v>
      </c>
      <c r="V757" s="24">
        <v>0</v>
      </c>
      <c r="W757" s="24">
        <v>2</v>
      </c>
      <c r="X757" s="24">
        <v>1</v>
      </c>
      <c r="Y757" s="24">
        <v>0</v>
      </c>
      <c r="Z757" s="24">
        <v>0</v>
      </c>
      <c r="AA757" s="24">
        <v>0</v>
      </c>
      <c r="AB757" s="24">
        <v>0</v>
      </c>
      <c r="AC757" s="24">
        <v>1</v>
      </c>
      <c r="AD757" s="24">
        <v>0</v>
      </c>
      <c r="AE757" s="24">
        <v>0</v>
      </c>
      <c r="AF757" s="24">
        <v>0</v>
      </c>
      <c r="AG757" s="24">
        <v>0</v>
      </c>
      <c r="AH757" s="24">
        <v>1</v>
      </c>
      <c r="AI757" s="24">
        <v>0</v>
      </c>
      <c r="AJ757" s="24">
        <v>0</v>
      </c>
      <c r="AK757" s="24">
        <v>1</v>
      </c>
      <c r="AL757" s="24">
        <v>0</v>
      </c>
      <c r="AM757" s="24">
        <v>0</v>
      </c>
      <c r="AN757" s="24">
        <v>0</v>
      </c>
      <c r="AO757" s="24">
        <v>0</v>
      </c>
      <c r="AP757" s="24">
        <v>0</v>
      </c>
      <c r="AQ757" s="24">
        <v>0</v>
      </c>
      <c r="AR757" s="24">
        <v>1</v>
      </c>
      <c r="AS757" s="24">
        <v>0</v>
      </c>
      <c r="AT757" s="24">
        <v>0</v>
      </c>
      <c r="AU757" s="24">
        <v>0</v>
      </c>
      <c r="AV757" s="24">
        <v>0</v>
      </c>
      <c r="AW757" s="24">
        <v>0</v>
      </c>
      <c r="AX757" s="24">
        <v>1</v>
      </c>
      <c r="AY757" s="24">
        <v>0</v>
      </c>
      <c r="AZ757" s="24">
        <v>0</v>
      </c>
      <c r="BA757" s="24">
        <v>0</v>
      </c>
      <c r="BB757" s="24">
        <v>1</v>
      </c>
    </row>
    <row r="758" spans="2:54" ht="13.8" x14ac:dyDescent="0.3">
      <c r="B758" s="24">
        <v>738</v>
      </c>
      <c r="C758" s="24">
        <v>18</v>
      </c>
      <c r="D758" s="24">
        <v>1</v>
      </c>
      <c r="E758" s="24">
        <v>0</v>
      </c>
      <c r="F758" s="24">
        <v>0</v>
      </c>
      <c r="G758" s="24">
        <v>0</v>
      </c>
      <c r="H758" s="24">
        <v>0</v>
      </c>
      <c r="I758" s="24">
        <v>0</v>
      </c>
      <c r="J758" s="24">
        <v>4380</v>
      </c>
      <c r="K758" s="24">
        <v>3</v>
      </c>
      <c r="L758" s="24">
        <v>0</v>
      </c>
      <c r="M758" s="24">
        <v>1</v>
      </c>
      <c r="N758" s="24">
        <v>0</v>
      </c>
      <c r="O758" s="24">
        <v>0</v>
      </c>
      <c r="P758" s="24">
        <v>0</v>
      </c>
      <c r="Q758" s="24">
        <v>0</v>
      </c>
      <c r="R758" s="24">
        <v>0</v>
      </c>
      <c r="S758" s="24">
        <v>35</v>
      </c>
      <c r="T758" s="24">
        <v>0</v>
      </c>
      <c r="U758" s="24">
        <v>0</v>
      </c>
      <c r="V758" s="24">
        <v>1</v>
      </c>
      <c r="W758" s="24">
        <v>1</v>
      </c>
      <c r="X758" s="24">
        <v>2</v>
      </c>
      <c r="Y758" s="24">
        <v>1</v>
      </c>
      <c r="Z758" s="24">
        <v>0</v>
      </c>
      <c r="AA758" s="24">
        <v>1</v>
      </c>
      <c r="AB758" s="24">
        <v>1</v>
      </c>
      <c r="AC758" s="24">
        <v>0</v>
      </c>
      <c r="AD758" s="24">
        <v>0</v>
      </c>
      <c r="AE758" s="24">
        <v>0</v>
      </c>
      <c r="AF758" s="24">
        <v>0</v>
      </c>
      <c r="AG758" s="24">
        <v>0</v>
      </c>
      <c r="AH758" s="24">
        <v>1</v>
      </c>
      <c r="AI758" s="24">
        <v>0</v>
      </c>
      <c r="AJ758" s="24">
        <v>0</v>
      </c>
      <c r="AK758" s="24">
        <v>0</v>
      </c>
      <c r="AL758" s="24">
        <v>1</v>
      </c>
      <c r="AM758" s="24">
        <v>0</v>
      </c>
      <c r="AN758" s="24">
        <v>0</v>
      </c>
      <c r="AO758" s="24">
        <v>0</v>
      </c>
      <c r="AP758" s="24">
        <v>0</v>
      </c>
      <c r="AQ758" s="24">
        <v>0</v>
      </c>
      <c r="AR758" s="24">
        <v>1</v>
      </c>
      <c r="AS758" s="24">
        <v>0</v>
      </c>
      <c r="AT758" s="24">
        <v>0</v>
      </c>
      <c r="AU758" s="24">
        <v>0</v>
      </c>
      <c r="AV758" s="24">
        <v>0</v>
      </c>
      <c r="AW758" s="24">
        <v>0</v>
      </c>
      <c r="AX758" s="24">
        <v>1</v>
      </c>
      <c r="AY758" s="24">
        <v>0</v>
      </c>
      <c r="AZ758" s="24">
        <v>1</v>
      </c>
      <c r="BA758" s="24">
        <v>0</v>
      </c>
      <c r="BB758" s="24">
        <v>0</v>
      </c>
    </row>
    <row r="759" spans="2:54" ht="13.8" x14ac:dyDescent="0.3">
      <c r="B759" s="24">
        <v>739</v>
      </c>
      <c r="C759" s="24">
        <v>6</v>
      </c>
      <c r="D759" s="24">
        <v>1</v>
      </c>
      <c r="E759" s="24">
        <v>0</v>
      </c>
      <c r="F759" s="24">
        <v>0</v>
      </c>
      <c r="G759" s="24">
        <v>0</v>
      </c>
      <c r="H759" s="24">
        <v>0</v>
      </c>
      <c r="I759" s="24">
        <v>0</v>
      </c>
      <c r="J759" s="24">
        <v>6761</v>
      </c>
      <c r="K759" s="24">
        <v>1</v>
      </c>
      <c r="L759" s="24">
        <v>0</v>
      </c>
      <c r="M759" s="24">
        <v>1</v>
      </c>
      <c r="N759" s="24">
        <v>0</v>
      </c>
      <c r="O759" s="24">
        <v>0</v>
      </c>
      <c r="P759" s="24">
        <v>0</v>
      </c>
      <c r="Q759" s="24">
        <v>0</v>
      </c>
      <c r="R759" s="24">
        <v>1</v>
      </c>
      <c r="S759" s="24">
        <v>45</v>
      </c>
      <c r="T759" s="24">
        <v>0</v>
      </c>
      <c r="U759" s="24">
        <v>0</v>
      </c>
      <c r="V759" s="24">
        <v>1</v>
      </c>
      <c r="W759" s="24">
        <v>2</v>
      </c>
      <c r="X759" s="24">
        <v>2</v>
      </c>
      <c r="Y759" s="24">
        <v>1</v>
      </c>
      <c r="Z759" s="24">
        <v>0</v>
      </c>
      <c r="AA759" s="24">
        <v>1</v>
      </c>
      <c r="AB759" s="24">
        <v>0</v>
      </c>
      <c r="AC759" s="24">
        <v>0</v>
      </c>
      <c r="AD759" s="24">
        <v>0</v>
      </c>
      <c r="AE759" s="24">
        <v>1</v>
      </c>
      <c r="AF759" s="24">
        <v>0</v>
      </c>
      <c r="AG759" s="24">
        <v>0</v>
      </c>
      <c r="AH759" s="24">
        <v>0</v>
      </c>
      <c r="AI759" s="24">
        <v>0</v>
      </c>
      <c r="AJ759" s="24">
        <v>1</v>
      </c>
      <c r="AK759" s="24">
        <v>1</v>
      </c>
      <c r="AL759" s="24">
        <v>0</v>
      </c>
      <c r="AM759" s="24">
        <v>0</v>
      </c>
      <c r="AN759" s="24">
        <v>0</v>
      </c>
      <c r="AO759" s="24">
        <v>0</v>
      </c>
      <c r="AP759" s="24">
        <v>0</v>
      </c>
      <c r="AQ759" s="24">
        <v>0</v>
      </c>
      <c r="AR759" s="24">
        <v>0</v>
      </c>
      <c r="AS759" s="24">
        <v>1</v>
      </c>
      <c r="AT759" s="24">
        <v>0</v>
      </c>
      <c r="AU759" s="24">
        <v>0</v>
      </c>
      <c r="AV759" s="24">
        <v>0</v>
      </c>
      <c r="AW759" s="24">
        <v>1</v>
      </c>
      <c r="AX759" s="24">
        <v>0</v>
      </c>
      <c r="AY759" s="24">
        <v>0</v>
      </c>
      <c r="AZ759" s="24">
        <v>0</v>
      </c>
      <c r="BA759" s="24">
        <v>0</v>
      </c>
      <c r="BB759" s="24">
        <v>1</v>
      </c>
    </row>
    <row r="760" spans="2:54" ht="13.8" x14ac:dyDescent="0.3">
      <c r="B760" s="24">
        <v>740</v>
      </c>
      <c r="C760" s="24">
        <v>30</v>
      </c>
      <c r="D760" s="24">
        <v>0</v>
      </c>
      <c r="E760" s="24">
        <v>0</v>
      </c>
      <c r="F760" s="24">
        <v>0</v>
      </c>
      <c r="G760" s="24">
        <v>0</v>
      </c>
      <c r="H760" s="24">
        <v>0</v>
      </c>
      <c r="I760" s="24">
        <v>1</v>
      </c>
      <c r="J760" s="24">
        <v>4280</v>
      </c>
      <c r="K760" s="24">
        <v>4</v>
      </c>
      <c r="L760" s="24">
        <v>0</v>
      </c>
      <c r="M760" s="24">
        <v>0</v>
      </c>
      <c r="N760" s="24">
        <v>0</v>
      </c>
      <c r="O760" s="24">
        <v>0</v>
      </c>
      <c r="P760" s="24">
        <v>0</v>
      </c>
      <c r="Q760" s="24">
        <v>0</v>
      </c>
      <c r="R760" s="24">
        <v>0</v>
      </c>
      <c r="S760" s="24">
        <v>26</v>
      </c>
      <c r="T760" s="24">
        <v>0</v>
      </c>
      <c r="U760" s="24">
        <v>1</v>
      </c>
      <c r="V760" s="24">
        <v>0</v>
      </c>
      <c r="W760" s="24">
        <v>2</v>
      </c>
      <c r="X760" s="24">
        <v>1</v>
      </c>
      <c r="Y760" s="24">
        <v>0</v>
      </c>
      <c r="Z760" s="24">
        <v>0</v>
      </c>
      <c r="AA760" s="24">
        <v>0</v>
      </c>
      <c r="AB760" s="24">
        <v>0</v>
      </c>
      <c r="AC760" s="24">
        <v>1</v>
      </c>
      <c r="AD760" s="24">
        <v>0</v>
      </c>
      <c r="AE760" s="24">
        <v>0</v>
      </c>
      <c r="AF760" s="24">
        <v>1</v>
      </c>
      <c r="AG760" s="24">
        <v>0</v>
      </c>
      <c r="AH760" s="24">
        <v>0</v>
      </c>
      <c r="AI760" s="24">
        <v>0</v>
      </c>
      <c r="AJ760" s="24">
        <v>0</v>
      </c>
      <c r="AK760" s="24">
        <v>0</v>
      </c>
      <c r="AL760" s="24">
        <v>1</v>
      </c>
      <c r="AM760" s="24">
        <v>0</v>
      </c>
      <c r="AN760" s="24">
        <v>0</v>
      </c>
      <c r="AO760" s="24">
        <v>0</v>
      </c>
      <c r="AP760" s="24">
        <v>0</v>
      </c>
      <c r="AQ760" s="24">
        <v>0</v>
      </c>
      <c r="AR760" s="24">
        <v>1</v>
      </c>
      <c r="AS760" s="24">
        <v>0</v>
      </c>
      <c r="AT760" s="24">
        <v>0</v>
      </c>
      <c r="AU760" s="24">
        <v>0</v>
      </c>
      <c r="AV760" s="24">
        <v>0</v>
      </c>
      <c r="AW760" s="24">
        <v>0</v>
      </c>
      <c r="AX760" s="24">
        <v>1</v>
      </c>
      <c r="AY760" s="24">
        <v>0</v>
      </c>
      <c r="AZ760" s="24">
        <v>1</v>
      </c>
      <c r="BA760" s="24">
        <v>0</v>
      </c>
      <c r="BB760" s="24">
        <v>0</v>
      </c>
    </row>
    <row r="761" spans="2:54" ht="13.8" x14ac:dyDescent="0.3">
      <c r="B761" s="24">
        <v>741</v>
      </c>
      <c r="C761" s="24">
        <v>24</v>
      </c>
      <c r="D761" s="24">
        <v>1</v>
      </c>
      <c r="E761" s="24">
        <v>0</v>
      </c>
      <c r="F761" s="24">
        <v>0</v>
      </c>
      <c r="G761" s="24">
        <v>0</v>
      </c>
      <c r="H761" s="24">
        <v>0</v>
      </c>
      <c r="I761" s="24">
        <v>0</v>
      </c>
      <c r="J761" s="24">
        <v>2325</v>
      </c>
      <c r="K761" s="24">
        <v>2</v>
      </c>
      <c r="L761" s="24">
        <v>0</v>
      </c>
      <c r="M761" s="24">
        <v>1</v>
      </c>
      <c r="N761" s="24">
        <v>0</v>
      </c>
      <c r="O761" s="24">
        <v>0</v>
      </c>
      <c r="P761" s="24">
        <v>0</v>
      </c>
      <c r="Q761" s="24">
        <v>0</v>
      </c>
      <c r="R761" s="24">
        <v>0</v>
      </c>
      <c r="S761" s="24">
        <v>32</v>
      </c>
      <c r="T761" s="24">
        <v>1</v>
      </c>
      <c r="U761" s="24">
        <v>0</v>
      </c>
      <c r="V761" s="24">
        <v>1</v>
      </c>
      <c r="W761" s="24">
        <v>1</v>
      </c>
      <c r="X761" s="24">
        <v>1</v>
      </c>
      <c r="Y761" s="24">
        <v>0</v>
      </c>
      <c r="Z761" s="24">
        <v>0</v>
      </c>
      <c r="AA761" s="24">
        <v>1</v>
      </c>
      <c r="AB761" s="24">
        <v>1</v>
      </c>
      <c r="AC761" s="24">
        <v>0</v>
      </c>
      <c r="AD761" s="24">
        <v>0</v>
      </c>
      <c r="AE761" s="24">
        <v>0</v>
      </c>
      <c r="AF761" s="24">
        <v>0</v>
      </c>
      <c r="AG761" s="24">
        <v>1</v>
      </c>
      <c r="AH761" s="24">
        <v>0</v>
      </c>
      <c r="AI761" s="24">
        <v>0</v>
      </c>
      <c r="AJ761" s="24">
        <v>0</v>
      </c>
      <c r="AK761" s="24">
        <v>0</v>
      </c>
      <c r="AL761" s="24">
        <v>1</v>
      </c>
      <c r="AM761" s="24">
        <v>0</v>
      </c>
      <c r="AN761" s="24">
        <v>0</v>
      </c>
      <c r="AO761" s="24">
        <v>0</v>
      </c>
      <c r="AP761" s="24">
        <v>0</v>
      </c>
      <c r="AQ761" s="24">
        <v>0</v>
      </c>
      <c r="AR761" s="24">
        <v>0</v>
      </c>
      <c r="AS761" s="24">
        <v>1</v>
      </c>
      <c r="AT761" s="24">
        <v>0</v>
      </c>
      <c r="AU761" s="24">
        <v>0</v>
      </c>
      <c r="AV761" s="24">
        <v>0</v>
      </c>
      <c r="AW761" s="24">
        <v>1</v>
      </c>
      <c r="AX761" s="24">
        <v>0</v>
      </c>
      <c r="AY761" s="24">
        <v>0</v>
      </c>
      <c r="AZ761" s="24">
        <v>0</v>
      </c>
      <c r="BA761" s="24">
        <v>1</v>
      </c>
      <c r="BB761" s="24">
        <v>0</v>
      </c>
    </row>
    <row r="762" spans="2:54" ht="13.8" x14ac:dyDescent="0.3">
      <c r="B762" s="24">
        <v>742</v>
      </c>
      <c r="C762" s="24">
        <v>10</v>
      </c>
      <c r="D762" s="24">
        <v>0</v>
      </c>
      <c r="E762" s="24">
        <v>0</v>
      </c>
      <c r="F762" s="24">
        <v>0</v>
      </c>
      <c r="G762" s="24">
        <v>1</v>
      </c>
      <c r="H762" s="24">
        <v>0</v>
      </c>
      <c r="I762" s="24">
        <v>0</v>
      </c>
      <c r="J762" s="24">
        <v>1048</v>
      </c>
      <c r="K762" s="24">
        <v>4</v>
      </c>
      <c r="L762" s="24">
        <v>0</v>
      </c>
      <c r="M762" s="24">
        <v>1</v>
      </c>
      <c r="N762" s="24">
        <v>0</v>
      </c>
      <c r="O762" s="24">
        <v>0</v>
      </c>
      <c r="P762" s="24">
        <v>0</v>
      </c>
      <c r="Q762" s="24">
        <v>1</v>
      </c>
      <c r="R762" s="24">
        <v>0</v>
      </c>
      <c r="S762" s="24">
        <v>23</v>
      </c>
      <c r="T762" s="24">
        <v>1</v>
      </c>
      <c r="U762" s="24">
        <v>0</v>
      </c>
      <c r="V762" s="24">
        <v>1</v>
      </c>
      <c r="W762" s="24">
        <v>1</v>
      </c>
      <c r="X762" s="24">
        <v>1</v>
      </c>
      <c r="Y762" s="24">
        <v>0</v>
      </c>
      <c r="Z762" s="24">
        <v>0</v>
      </c>
      <c r="AA762" s="24">
        <v>1</v>
      </c>
      <c r="AB762" s="24">
        <v>0</v>
      </c>
      <c r="AC762" s="24">
        <v>1</v>
      </c>
      <c r="AD762" s="24">
        <v>0</v>
      </c>
      <c r="AE762" s="24">
        <v>0</v>
      </c>
      <c r="AF762" s="24">
        <v>0</v>
      </c>
      <c r="AG762" s="24">
        <v>1</v>
      </c>
      <c r="AH762" s="24">
        <v>0</v>
      </c>
      <c r="AI762" s="24">
        <v>0</v>
      </c>
      <c r="AJ762" s="24">
        <v>0</v>
      </c>
      <c r="AK762" s="24">
        <v>1</v>
      </c>
      <c r="AL762" s="24">
        <v>0</v>
      </c>
      <c r="AM762" s="24">
        <v>0</v>
      </c>
      <c r="AN762" s="24">
        <v>0</v>
      </c>
      <c r="AO762" s="24">
        <v>0</v>
      </c>
      <c r="AP762" s="24">
        <v>0</v>
      </c>
      <c r="AQ762" s="24">
        <v>0</v>
      </c>
      <c r="AR762" s="24">
        <v>1</v>
      </c>
      <c r="AS762" s="24">
        <v>0</v>
      </c>
      <c r="AT762" s="24">
        <v>0</v>
      </c>
      <c r="AU762" s="24">
        <v>0</v>
      </c>
      <c r="AV762" s="24">
        <v>0</v>
      </c>
      <c r="AW762" s="24">
        <v>0</v>
      </c>
      <c r="AX762" s="24">
        <v>1</v>
      </c>
      <c r="AY762" s="24">
        <v>0</v>
      </c>
      <c r="AZ762" s="24">
        <v>1</v>
      </c>
      <c r="BA762" s="24">
        <v>0</v>
      </c>
      <c r="BB762" s="24">
        <v>0</v>
      </c>
    </row>
    <row r="763" spans="2:54" ht="13.8" x14ac:dyDescent="0.3">
      <c r="B763" s="24">
        <v>743</v>
      </c>
      <c r="C763" s="24">
        <v>21</v>
      </c>
      <c r="D763" s="24">
        <v>0</v>
      </c>
      <c r="E763" s="24">
        <v>0</v>
      </c>
      <c r="F763" s="24">
        <v>0</v>
      </c>
      <c r="G763" s="24">
        <v>1</v>
      </c>
      <c r="H763" s="24">
        <v>0</v>
      </c>
      <c r="I763" s="24">
        <v>0</v>
      </c>
      <c r="J763" s="24">
        <v>3160</v>
      </c>
      <c r="K763" s="24">
        <v>4</v>
      </c>
      <c r="L763" s="24">
        <v>0</v>
      </c>
      <c r="M763" s="24">
        <v>1</v>
      </c>
      <c r="N763" s="24">
        <v>0</v>
      </c>
      <c r="O763" s="24">
        <v>0</v>
      </c>
      <c r="P763" s="24">
        <v>0</v>
      </c>
      <c r="Q763" s="24">
        <v>0</v>
      </c>
      <c r="R763" s="24">
        <v>0</v>
      </c>
      <c r="S763" s="24">
        <v>41</v>
      </c>
      <c r="T763" s="24">
        <v>0</v>
      </c>
      <c r="U763" s="24">
        <v>0</v>
      </c>
      <c r="V763" s="24">
        <v>1</v>
      </c>
      <c r="W763" s="24">
        <v>1</v>
      </c>
      <c r="X763" s="24">
        <v>1</v>
      </c>
      <c r="Y763" s="24">
        <v>1</v>
      </c>
      <c r="Z763" s="24">
        <v>0</v>
      </c>
      <c r="AA763" s="24">
        <v>1</v>
      </c>
      <c r="AB763" s="24">
        <v>0</v>
      </c>
      <c r="AC763" s="24">
        <v>0</v>
      </c>
      <c r="AD763" s="24">
        <v>0</v>
      </c>
      <c r="AE763" s="24">
        <v>1</v>
      </c>
      <c r="AF763" s="24">
        <v>0</v>
      </c>
      <c r="AG763" s="24">
        <v>0</v>
      </c>
      <c r="AH763" s="24">
        <v>1</v>
      </c>
      <c r="AI763" s="24">
        <v>0</v>
      </c>
      <c r="AJ763" s="24">
        <v>0</v>
      </c>
      <c r="AK763" s="24">
        <v>0</v>
      </c>
      <c r="AL763" s="24">
        <v>0</v>
      </c>
      <c r="AM763" s="24">
        <v>0</v>
      </c>
      <c r="AN763" s="24">
        <v>0</v>
      </c>
      <c r="AO763" s="24">
        <v>1</v>
      </c>
      <c r="AP763" s="24">
        <v>0</v>
      </c>
      <c r="AQ763" s="24">
        <v>0</v>
      </c>
      <c r="AR763" s="24">
        <v>0</v>
      </c>
      <c r="AS763" s="24">
        <v>0</v>
      </c>
      <c r="AT763" s="24">
        <v>1</v>
      </c>
      <c r="AU763" s="24">
        <v>0</v>
      </c>
      <c r="AV763" s="24">
        <v>0</v>
      </c>
      <c r="AW763" s="24">
        <v>1</v>
      </c>
      <c r="AX763" s="24">
        <v>0</v>
      </c>
      <c r="AY763" s="24">
        <v>0</v>
      </c>
      <c r="AZ763" s="24">
        <v>0</v>
      </c>
      <c r="BA763" s="24">
        <v>1</v>
      </c>
      <c r="BB763" s="24">
        <v>0</v>
      </c>
    </row>
    <row r="764" spans="2:54" ht="13.8" x14ac:dyDescent="0.3">
      <c r="B764" s="24">
        <v>744</v>
      </c>
      <c r="C764" s="24">
        <v>24</v>
      </c>
      <c r="D764" s="24">
        <v>0</v>
      </c>
      <c r="E764" s="24">
        <v>0</v>
      </c>
      <c r="F764" s="24">
        <v>1</v>
      </c>
      <c r="G764" s="24">
        <v>0</v>
      </c>
      <c r="H764" s="24">
        <v>0</v>
      </c>
      <c r="I764" s="24">
        <v>0</v>
      </c>
      <c r="J764" s="24">
        <v>2483</v>
      </c>
      <c r="K764" s="24">
        <v>4</v>
      </c>
      <c r="L764" s="24">
        <v>0</v>
      </c>
      <c r="M764" s="24">
        <v>1</v>
      </c>
      <c r="N764" s="24">
        <v>0</v>
      </c>
      <c r="O764" s="24">
        <v>0</v>
      </c>
      <c r="P764" s="24">
        <v>0</v>
      </c>
      <c r="Q764" s="24">
        <v>1</v>
      </c>
      <c r="R764" s="24">
        <v>0</v>
      </c>
      <c r="S764" s="24">
        <v>22</v>
      </c>
      <c r="T764" s="24">
        <v>1</v>
      </c>
      <c r="U764" s="24">
        <v>0</v>
      </c>
      <c r="V764" s="24">
        <v>1</v>
      </c>
      <c r="W764" s="24">
        <v>1</v>
      </c>
      <c r="X764" s="24">
        <v>1</v>
      </c>
      <c r="Y764" s="24">
        <v>1</v>
      </c>
      <c r="Z764" s="24">
        <v>0</v>
      </c>
      <c r="AA764" s="24">
        <v>1</v>
      </c>
      <c r="AB764" s="24">
        <v>1</v>
      </c>
      <c r="AC764" s="24">
        <v>0</v>
      </c>
      <c r="AD764" s="24">
        <v>0</v>
      </c>
      <c r="AE764" s="24">
        <v>0</v>
      </c>
      <c r="AF764" s="24">
        <v>0</v>
      </c>
      <c r="AG764" s="24">
        <v>1</v>
      </c>
      <c r="AH764" s="24">
        <v>0</v>
      </c>
      <c r="AI764" s="24">
        <v>0</v>
      </c>
      <c r="AJ764" s="24">
        <v>0</v>
      </c>
      <c r="AK764" s="24">
        <v>0</v>
      </c>
      <c r="AL764" s="24">
        <v>0</v>
      </c>
      <c r="AM764" s="24">
        <v>1</v>
      </c>
      <c r="AN764" s="24">
        <v>0</v>
      </c>
      <c r="AO764" s="24">
        <v>0</v>
      </c>
      <c r="AP764" s="24">
        <v>0</v>
      </c>
      <c r="AQ764" s="24">
        <v>0</v>
      </c>
      <c r="AR764" s="24">
        <v>1</v>
      </c>
      <c r="AS764" s="24">
        <v>0</v>
      </c>
      <c r="AT764" s="24">
        <v>0</v>
      </c>
      <c r="AU764" s="24">
        <v>0</v>
      </c>
      <c r="AV764" s="24">
        <v>0</v>
      </c>
      <c r="AW764" s="24">
        <v>0</v>
      </c>
      <c r="AX764" s="24">
        <v>1</v>
      </c>
      <c r="AY764" s="24">
        <v>0</v>
      </c>
      <c r="AZ764" s="24">
        <v>0</v>
      </c>
      <c r="BA764" s="24">
        <v>1</v>
      </c>
      <c r="BB764" s="24">
        <v>0</v>
      </c>
    </row>
    <row r="765" spans="2:54" ht="13.8" x14ac:dyDescent="0.3">
      <c r="B765" s="24">
        <v>745</v>
      </c>
      <c r="C765" s="24">
        <v>39</v>
      </c>
      <c r="D765" s="24">
        <v>0</v>
      </c>
      <c r="E765" s="24">
        <v>0</v>
      </c>
      <c r="F765" s="24">
        <v>1</v>
      </c>
      <c r="G765" s="24">
        <v>0</v>
      </c>
      <c r="H765" s="24">
        <v>0</v>
      </c>
      <c r="I765" s="24">
        <v>0</v>
      </c>
      <c r="J765" s="24">
        <v>14179</v>
      </c>
      <c r="K765" s="24">
        <v>4</v>
      </c>
      <c r="L765" s="24">
        <v>0</v>
      </c>
      <c r="M765" s="24">
        <v>1</v>
      </c>
      <c r="N765" s="24">
        <v>0</v>
      </c>
      <c r="O765" s="24">
        <v>0</v>
      </c>
      <c r="P765" s="24">
        <v>0</v>
      </c>
      <c r="Q765" s="24">
        <v>0</v>
      </c>
      <c r="R765" s="24">
        <v>0</v>
      </c>
      <c r="S765" s="24">
        <v>30</v>
      </c>
      <c r="T765" s="24">
        <v>0</v>
      </c>
      <c r="U765" s="24">
        <v>0</v>
      </c>
      <c r="V765" s="24">
        <v>1</v>
      </c>
      <c r="W765" s="24">
        <v>2</v>
      </c>
      <c r="X765" s="24">
        <v>1</v>
      </c>
      <c r="Y765" s="24">
        <v>1</v>
      </c>
      <c r="Z765" s="24">
        <v>0</v>
      </c>
      <c r="AA765" s="24">
        <v>1</v>
      </c>
      <c r="AB765" s="24">
        <v>1</v>
      </c>
      <c r="AC765" s="24">
        <v>0</v>
      </c>
      <c r="AD765" s="24">
        <v>0</v>
      </c>
      <c r="AE765" s="24">
        <v>0</v>
      </c>
      <c r="AF765" s="24">
        <v>0</v>
      </c>
      <c r="AG765" s="24">
        <v>0</v>
      </c>
      <c r="AH765" s="24">
        <v>0</v>
      </c>
      <c r="AI765" s="24">
        <v>0</v>
      </c>
      <c r="AJ765" s="24">
        <v>1</v>
      </c>
      <c r="AK765" s="24">
        <v>0</v>
      </c>
      <c r="AL765" s="24">
        <v>0</v>
      </c>
      <c r="AM765" s="24">
        <v>0</v>
      </c>
      <c r="AN765" s="24">
        <v>0</v>
      </c>
      <c r="AO765" s="24">
        <v>1</v>
      </c>
      <c r="AP765" s="24">
        <v>0</v>
      </c>
      <c r="AQ765" s="24">
        <v>0</v>
      </c>
      <c r="AR765" s="24">
        <v>0</v>
      </c>
      <c r="AS765" s="24">
        <v>1</v>
      </c>
      <c r="AT765" s="24">
        <v>0</v>
      </c>
      <c r="AU765" s="24">
        <v>0</v>
      </c>
      <c r="AV765" s="24">
        <v>0</v>
      </c>
      <c r="AW765" s="24">
        <v>0</v>
      </c>
      <c r="AX765" s="24">
        <v>1</v>
      </c>
      <c r="AY765" s="24">
        <v>0</v>
      </c>
      <c r="AZ765" s="24">
        <v>0</v>
      </c>
      <c r="BA765" s="24">
        <v>0</v>
      </c>
      <c r="BB765" s="24">
        <v>1</v>
      </c>
    </row>
    <row r="766" spans="2:54" ht="13.8" x14ac:dyDescent="0.3">
      <c r="B766" s="24">
        <v>746</v>
      </c>
      <c r="C766" s="24">
        <v>13</v>
      </c>
      <c r="D766" s="24">
        <v>0</v>
      </c>
      <c r="E766" s="24">
        <v>0</v>
      </c>
      <c r="F766" s="24">
        <v>0</v>
      </c>
      <c r="G766" s="24">
        <v>0</v>
      </c>
      <c r="H766" s="24">
        <v>0</v>
      </c>
      <c r="I766" s="24">
        <v>1</v>
      </c>
      <c r="J766" s="24">
        <v>1797</v>
      </c>
      <c r="K766" s="24">
        <v>3</v>
      </c>
      <c r="L766" s="24">
        <v>0</v>
      </c>
      <c r="M766" s="24">
        <v>1</v>
      </c>
      <c r="N766" s="24">
        <v>0</v>
      </c>
      <c r="O766" s="24">
        <v>0</v>
      </c>
      <c r="P766" s="24">
        <v>0</v>
      </c>
      <c r="Q766" s="24">
        <v>0</v>
      </c>
      <c r="R766" s="24">
        <v>0</v>
      </c>
      <c r="S766" s="24">
        <v>28</v>
      </c>
      <c r="T766" s="24">
        <v>1</v>
      </c>
      <c r="U766" s="24">
        <v>0</v>
      </c>
      <c r="V766" s="24">
        <v>1</v>
      </c>
      <c r="W766" s="24">
        <v>2</v>
      </c>
      <c r="X766" s="24">
        <v>1</v>
      </c>
      <c r="Y766" s="24">
        <v>0</v>
      </c>
      <c r="Z766" s="24">
        <v>0</v>
      </c>
      <c r="AA766" s="24">
        <v>1</v>
      </c>
      <c r="AB766" s="24">
        <v>1</v>
      </c>
      <c r="AC766" s="24">
        <v>0</v>
      </c>
      <c r="AD766" s="24">
        <v>0</v>
      </c>
      <c r="AE766" s="24">
        <v>0</v>
      </c>
      <c r="AF766" s="24">
        <v>0</v>
      </c>
      <c r="AG766" s="24">
        <v>0</v>
      </c>
      <c r="AH766" s="24">
        <v>0</v>
      </c>
      <c r="AI766" s="24">
        <v>0</v>
      </c>
      <c r="AJ766" s="24">
        <v>1</v>
      </c>
      <c r="AK766" s="24">
        <v>1</v>
      </c>
      <c r="AL766" s="24">
        <v>0</v>
      </c>
      <c r="AM766" s="24">
        <v>0</v>
      </c>
      <c r="AN766" s="24">
        <v>0</v>
      </c>
      <c r="AO766" s="24">
        <v>0</v>
      </c>
      <c r="AP766" s="24">
        <v>0</v>
      </c>
      <c r="AQ766" s="24">
        <v>1</v>
      </c>
      <c r="AR766" s="24">
        <v>0</v>
      </c>
      <c r="AS766" s="24">
        <v>0</v>
      </c>
      <c r="AT766" s="24">
        <v>0</v>
      </c>
      <c r="AU766" s="24">
        <v>1</v>
      </c>
      <c r="AV766" s="24">
        <v>0</v>
      </c>
      <c r="AW766" s="24">
        <v>0</v>
      </c>
      <c r="AX766" s="24">
        <v>0</v>
      </c>
      <c r="AY766" s="24">
        <v>0</v>
      </c>
      <c r="AZ766" s="24">
        <v>1</v>
      </c>
      <c r="BA766" s="24">
        <v>0</v>
      </c>
      <c r="BB766" s="24">
        <v>0</v>
      </c>
    </row>
    <row r="767" spans="2:54" ht="13.8" x14ac:dyDescent="0.3">
      <c r="B767" s="24">
        <v>747</v>
      </c>
      <c r="C767" s="24">
        <v>15</v>
      </c>
      <c r="D767" s="24">
        <v>1</v>
      </c>
      <c r="E767" s="24">
        <v>0</v>
      </c>
      <c r="F767" s="24">
        <v>0</v>
      </c>
      <c r="G767" s="24">
        <v>0</v>
      </c>
      <c r="H767" s="24">
        <v>0</v>
      </c>
      <c r="I767" s="24">
        <v>0</v>
      </c>
      <c r="J767" s="24">
        <v>2511</v>
      </c>
      <c r="K767" s="24">
        <v>1</v>
      </c>
      <c r="L767" s="24">
        <v>0</v>
      </c>
      <c r="M767" s="24">
        <v>0</v>
      </c>
      <c r="N767" s="24">
        <v>0</v>
      </c>
      <c r="O767" s="24">
        <v>0</v>
      </c>
      <c r="P767" s="24">
        <v>0</v>
      </c>
      <c r="Q767" s="24">
        <v>0</v>
      </c>
      <c r="R767" s="24">
        <v>0</v>
      </c>
      <c r="S767" s="24">
        <v>23</v>
      </c>
      <c r="T767" s="24">
        <v>0</v>
      </c>
      <c r="U767" s="24">
        <v>1</v>
      </c>
      <c r="V767" s="24">
        <v>0</v>
      </c>
      <c r="W767" s="24">
        <v>1</v>
      </c>
      <c r="X767" s="24">
        <v>1</v>
      </c>
      <c r="Y767" s="24">
        <v>0</v>
      </c>
      <c r="Z767" s="24">
        <v>0</v>
      </c>
      <c r="AA767" s="24">
        <v>1</v>
      </c>
      <c r="AB767" s="24">
        <v>1</v>
      </c>
      <c r="AC767" s="24">
        <v>0</v>
      </c>
      <c r="AD767" s="24">
        <v>0</v>
      </c>
      <c r="AE767" s="24">
        <v>0</v>
      </c>
      <c r="AF767" s="24">
        <v>0</v>
      </c>
      <c r="AG767" s="24">
        <v>0</v>
      </c>
      <c r="AH767" s="24">
        <v>1</v>
      </c>
      <c r="AI767" s="24">
        <v>0</v>
      </c>
      <c r="AJ767" s="24">
        <v>0</v>
      </c>
      <c r="AK767" s="24">
        <v>1</v>
      </c>
      <c r="AL767" s="24">
        <v>0</v>
      </c>
      <c r="AM767" s="24">
        <v>0</v>
      </c>
      <c r="AN767" s="24">
        <v>0</v>
      </c>
      <c r="AO767" s="24">
        <v>0</v>
      </c>
      <c r="AP767" s="24">
        <v>1</v>
      </c>
      <c r="AQ767" s="24">
        <v>0</v>
      </c>
      <c r="AR767" s="24">
        <v>0</v>
      </c>
      <c r="AS767" s="24">
        <v>0</v>
      </c>
      <c r="AT767" s="24">
        <v>0</v>
      </c>
      <c r="AU767" s="24">
        <v>0</v>
      </c>
      <c r="AV767" s="24">
        <v>0</v>
      </c>
      <c r="AW767" s="24">
        <v>0</v>
      </c>
      <c r="AX767" s="24">
        <v>1</v>
      </c>
      <c r="AY767" s="24">
        <v>0</v>
      </c>
      <c r="AZ767" s="24">
        <v>0</v>
      </c>
      <c r="BA767" s="24">
        <v>1</v>
      </c>
      <c r="BB767" s="24">
        <v>0</v>
      </c>
    </row>
    <row r="768" spans="2:54" ht="13.8" x14ac:dyDescent="0.3">
      <c r="B768" s="24">
        <v>748</v>
      </c>
      <c r="C768" s="24">
        <v>12</v>
      </c>
      <c r="D768" s="24">
        <v>1</v>
      </c>
      <c r="E768" s="24">
        <v>0</v>
      </c>
      <c r="F768" s="24">
        <v>0</v>
      </c>
      <c r="G768" s="24">
        <v>0</v>
      </c>
      <c r="H768" s="24">
        <v>0</v>
      </c>
      <c r="I768" s="24">
        <v>0</v>
      </c>
      <c r="J768" s="24">
        <v>1274</v>
      </c>
      <c r="K768" s="24">
        <v>3</v>
      </c>
      <c r="L768" s="24">
        <v>0</v>
      </c>
      <c r="M768" s="24">
        <v>0</v>
      </c>
      <c r="N768" s="24">
        <v>0</v>
      </c>
      <c r="O768" s="24">
        <v>0</v>
      </c>
      <c r="P768" s="24">
        <v>0</v>
      </c>
      <c r="Q768" s="24">
        <v>1</v>
      </c>
      <c r="R768" s="24">
        <v>0</v>
      </c>
      <c r="S768" s="24">
        <v>37</v>
      </c>
      <c r="T768" s="24">
        <v>0</v>
      </c>
      <c r="U768" s="24">
        <v>0</v>
      </c>
      <c r="V768" s="24">
        <v>1</v>
      </c>
      <c r="W768" s="24">
        <v>1</v>
      </c>
      <c r="X768" s="24">
        <v>1</v>
      </c>
      <c r="Y768" s="24">
        <v>0</v>
      </c>
      <c r="Z768" s="24">
        <v>0</v>
      </c>
      <c r="AA768" s="24">
        <v>0</v>
      </c>
      <c r="AB768" s="24">
        <v>1</v>
      </c>
      <c r="AC768" s="24">
        <v>0</v>
      </c>
      <c r="AD768" s="24">
        <v>0</v>
      </c>
      <c r="AE768" s="24">
        <v>0</v>
      </c>
      <c r="AF768" s="24">
        <v>0</v>
      </c>
      <c r="AG768" s="24">
        <v>0</v>
      </c>
      <c r="AH768" s="24">
        <v>1</v>
      </c>
      <c r="AI768" s="24">
        <v>0</v>
      </c>
      <c r="AJ768" s="24">
        <v>0</v>
      </c>
      <c r="AK768" s="24">
        <v>1</v>
      </c>
      <c r="AL768" s="24">
        <v>0</v>
      </c>
      <c r="AM768" s="24">
        <v>0</v>
      </c>
      <c r="AN768" s="24">
        <v>0</v>
      </c>
      <c r="AO768" s="24">
        <v>0</v>
      </c>
      <c r="AP768" s="24">
        <v>0</v>
      </c>
      <c r="AQ768" s="24">
        <v>1</v>
      </c>
      <c r="AR768" s="24">
        <v>0</v>
      </c>
      <c r="AS768" s="24">
        <v>0</v>
      </c>
      <c r="AT768" s="24">
        <v>0</v>
      </c>
      <c r="AU768" s="24">
        <v>1</v>
      </c>
      <c r="AV768" s="24">
        <v>0</v>
      </c>
      <c r="AW768" s="24">
        <v>0</v>
      </c>
      <c r="AX768" s="24">
        <v>0</v>
      </c>
      <c r="AY768" s="24">
        <v>0</v>
      </c>
      <c r="AZ768" s="24">
        <v>1</v>
      </c>
      <c r="BA768" s="24">
        <v>0</v>
      </c>
      <c r="BB768" s="24">
        <v>0</v>
      </c>
    </row>
    <row r="769" spans="2:54" ht="13.8" x14ac:dyDescent="0.3">
      <c r="B769" s="24">
        <v>749</v>
      </c>
      <c r="C769" s="24">
        <v>21</v>
      </c>
      <c r="D769" s="24">
        <v>0</v>
      </c>
      <c r="E769" s="24">
        <v>1</v>
      </c>
      <c r="F769" s="24">
        <v>0</v>
      </c>
      <c r="G769" s="24">
        <v>0</v>
      </c>
      <c r="H769" s="24">
        <v>0</v>
      </c>
      <c r="I769" s="24">
        <v>0</v>
      </c>
      <c r="J769" s="24">
        <v>5248</v>
      </c>
      <c r="K769" s="24">
        <v>1</v>
      </c>
      <c r="L769" s="24">
        <v>0</v>
      </c>
      <c r="M769" s="24">
        <v>1</v>
      </c>
      <c r="N769" s="24">
        <v>0</v>
      </c>
      <c r="O769" s="24">
        <v>0</v>
      </c>
      <c r="P769" s="24">
        <v>0</v>
      </c>
      <c r="Q769" s="24">
        <v>0</v>
      </c>
      <c r="R769" s="24">
        <v>0</v>
      </c>
      <c r="S769" s="24">
        <v>26</v>
      </c>
      <c r="T769" s="24">
        <v>0</v>
      </c>
      <c r="U769" s="24">
        <v>0</v>
      </c>
      <c r="V769" s="24">
        <v>1</v>
      </c>
      <c r="W769" s="24">
        <v>1</v>
      </c>
      <c r="X769" s="24">
        <v>1</v>
      </c>
      <c r="Y769" s="24">
        <v>0</v>
      </c>
      <c r="Z769" s="24">
        <v>0</v>
      </c>
      <c r="AA769" s="24">
        <v>1</v>
      </c>
      <c r="AB769" s="24">
        <v>0</v>
      </c>
      <c r="AC769" s="24">
        <v>0</v>
      </c>
      <c r="AD769" s="24">
        <v>0</v>
      </c>
      <c r="AE769" s="24">
        <v>1</v>
      </c>
      <c r="AF769" s="24">
        <v>0</v>
      </c>
      <c r="AG769" s="24">
        <v>0</v>
      </c>
      <c r="AH769" s="24">
        <v>1</v>
      </c>
      <c r="AI769" s="24">
        <v>0</v>
      </c>
      <c r="AJ769" s="24">
        <v>0</v>
      </c>
      <c r="AK769" s="24">
        <v>0</v>
      </c>
      <c r="AL769" s="24">
        <v>0</v>
      </c>
      <c r="AM769" s="24">
        <v>0</v>
      </c>
      <c r="AN769" s="24">
        <v>0</v>
      </c>
      <c r="AO769" s="24">
        <v>1</v>
      </c>
      <c r="AP769" s="24">
        <v>0</v>
      </c>
      <c r="AQ769" s="24">
        <v>0</v>
      </c>
      <c r="AR769" s="24">
        <v>1</v>
      </c>
      <c r="AS769" s="24">
        <v>0</v>
      </c>
      <c r="AT769" s="24">
        <v>0</v>
      </c>
      <c r="AU769" s="24">
        <v>0</v>
      </c>
      <c r="AV769" s="24">
        <v>0</v>
      </c>
      <c r="AW769" s="24">
        <v>1</v>
      </c>
      <c r="AX769" s="24">
        <v>0</v>
      </c>
      <c r="AY769" s="24">
        <v>0</v>
      </c>
      <c r="AZ769" s="24">
        <v>0</v>
      </c>
      <c r="BA769" s="24">
        <v>1</v>
      </c>
      <c r="BB769" s="24">
        <v>0</v>
      </c>
    </row>
    <row r="770" spans="2:54" ht="13.8" x14ac:dyDescent="0.3">
      <c r="B770" s="24">
        <v>750</v>
      </c>
      <c r="C770" s="24">
        <v>15</v>
      </c>
      <c r="D770" s="24">
        <v>0</v>
      </c>
      <c r="E770" s="24">
        <v>1</v>
      </c>
      <c r="F770" s="24">
        <v>0</v>
      </c>
      <c r="G770" s="24">
        <v>0</v>
      </c>
      <c r="H770" s="24">
        <v>0</v>
      </c>
      <c r="I770" s="24">
        <v>0</v>
      </c>
      <c r="J770" s="24">
        <v>3029</v>
      </c>
      <c r="K770" s="24">
        <v>2</v>
      </c>
      <c r="L770" s="24">
        <v>0</v>
      </c>
      <c r="M770" s="24">
        <v>1</v>
      </c>
      <c r="N770" s="24">
        <v>0</v>
      </c>
      <c r="O770" s="24">
        <v>0</v>
      </c>
      <c r="P770" s="24">
        <v>0</v>
      </c>
      <c r="Q770" s="24">
        <v>0</v>
      </c>
      <c r="R770" s="24">
        <v>0</v>
      </c>
      <c r="S770" s="24">
        <v>33</v>
      </c>
      <c r="T770" s="24">
        <v>0</v>
      </c>
      <c r="U770" s="24">
        <v>0</v>
      </c>
      <c r="V770" s="24">
        <v>1</v>
      </c>
      <c r="W770" s="24">
        <v>1</v>
      </c>
      <c r="X770" s="24">
        <v>1</v>
      </c>
      <c r="Y770" s="24">
        <v>0</v>
      </c>
      <c r="Z770" s="24">
        <v>0</v>
      </c>
      <c r="AA770" s="24">
        <v>1</v>
      </c>
      <c r="AB770" s="24">
        <v>0</v>
      </c>
      <c r="AC770" s="24">
        <v>0</v>
      </c>
      <c r="AD770" s="24">
        <v>0</v>
      </c>
      <c r="AE770" s="24">
        <v>1</v>
      </c>
      <c r="AF770" s="24">
        <v>0</v>
      </c>
      <c r="AG770" s="24">
        <v>0</v>
      </c>
      <c r="AH770" s="24">
        <v>1</v>
      </c>
      <c r="AI770" s="24">
        <v>0</v>
      </c>
      <c r="AJ770" s="24">
        <v>0</v>
      </c>
      <c r="AK770" s="24">
        <v>1</v>
      </c>
      <c r="AL770" s="24">
        <v>0</v>
      </c>
      <c r="AM770" s="24">
        <v>0</v>
      </c>
      <c r="AN770" s="24">
        <v>0</v>
      </c>
      <c r="AO770" s="24">
        <v>0</v>
      </c>
      <c r="AP770" s="24">
        <v>0</v>
      </c>
      <c r="AQ770" s="24">
        <v>0</v>
      </c>
      <c r="AR770" s="24">
        <v>0</v>
      </c>
      <c r="AS770" s="24">
        <v>1</v>
      </c>
      <c r="AT770" s="24">
        <v>0</v>
      </c>
      <c r="AU770" s="24">
        <v>0</v>
      </c>
      <c r="AV770" s="24">
        <v>1</v>
      </c>
      <c r="AW770" s="24">
        <v>0</v>
      </c>
      <c r="AX770" s="24">
        <v>0</v>
      </c>
      <c r="AY770" s="24">
        <v>0</v>
      </c>
      <c r="AZ770" s="24">
        <v>0</v>
      </c>
      <c r="BA770" s="24">
        <v>1</v>
      </c>
      <c r="BB770" s="24">
        <v>0</v>
      </c>
    </row>
    <row r="771" spans="2:54" ht="13.8" x14ac:dyDescent="0.3">
      <c r="B771" s="24">
        <v>751</v>
      </c>
      <c r="C771" s="24">
        <v>6</v>
      </c>
      <c r="D771" s="24">
        <v>0</v>
      </c>
      <c r="E771" s="24">
        <v>0</v>
      </c>
      <c r="F771" s="24">
        <v>1</v>
      </c>
      <c r="G771" s="24">
        <v>0</v>
      </c>
      <c r="H771" s="24">
        <v>0</v>
      </c>
      <c r="I771" s="24">
        <v>0</v>
      </c>
      <c r="J771" s="24">
        <v>428</v>
      </c>
      <c r="K771" s="24">
        <v>2</v>
      </c>
      <c r="L771" s="24">
        <v>0</v>
      </c>
      <c r="M771" s="24">
        <v>0</v>
      </c>
      <c r="N771" s="24">
        <v>0</v>
      </c>
      <c r="O771" s="24">
        <v>0</v>
      </c>
      <c r="P771" s="24">
        <v>0</v>
      </c>
      <c r="Q771" s="24">
        <v>0</v>
      </c>
      <c r="R771" s="24">
        <v>0</v>
      </c>
      <c r="S771" s="24">
        <v>49</v>
      </c>
      <c r="T771" s="24">
        <v>1</v>
      </c>
      <c r="U771" s="24">
        <v>0</v>
      </c>
      <c r="V771" s="24">
        <v>1</v>
      </c>
      <c r="W771" s="24">
        <v>1</v>
      </c>
      <c r="X771" s="24">
        <v>1</v>
      </c>
      <c r="Y771" s="24">
        <v>1</v>
      </c>
      <c r="Z771" s="24">
        <v>0</v>
      </c>
      <c r="AA771" s="24">
        <v>1</v>
      </c>
      <c r="AB771" s="24">
        <v>1</v>
      </c>
      <c r="AC771" s="24">
        <v>0</v>
      </c>
      <c r="AD771" s="24">
        <v>0</v>
      </c>
      <c r="AE771" s="24">
        <v>0</v>
      </c>
      <c r="AF771" s="24">
        <v>0</v>
      </c>
      <c r="AG771" s="24">
        <v>0</v>
      </c>
      <c r="AH771" s="24">
        <v>1</v>
      </c>
      <c r="AI771" s="24">
        <v>0</v>
      </c>
      <c r="AJ771" s="24">
        <v>0</v>
      </c>
      <c r="AK771" s="24">
        <v>1</v>
      </c>
      <c r="AL771" s="24">
        <v>0</v>
      </c>
      <c r="AM771" s="24">
        <v>0</v>
      </c>
      <c r="AN771" s="24">
        <v>0</v>
      </c>
      <c r="AO771" s="24">
        <v>0</v>
      </c>
      <c r="AP771" s="24">
        <v>0</v>
      </c>
      <c r="AQ771" s="24">
        <v>0</v>
      </c>
      <c r="AR771" s="24">
        <v>0</v>
      </c>
      <c r="AS771" s="24">
        <v>0</v>
      </c>
      <c r="AT771" s="24">
        <v>1</v>
      </c>
      <c r="AU771" s="24">
        <v>1</v>
      </c>
      <c r="AV771" s="24">
        <v>0</v>
      </c>
      <c r="AW771" s="24">
        <v>0</v>
      </c>
      <c r="AX771" s="24">
        <v>0</v>
      </c>
      <c r="AY771" s="24">
        <v>0</v>
      </c>
      <c r="AZ771" s="24">
        <v>0</v>
      </c>
      <c r="BA771" s="24">
        <v>1</v>
      </c>
      <c r="BB771" s="24">
        <v>0</v>
      </c>
    </row>
    <row r="772" spans="2:54" ht="13.8" x14ac:dyDescent="0.3">
      <c r="B772" s="24">
        <v>752</v>
      </c>
      <c r="C772" s="24">
        <v>18</v>
      </c>
      <c r="D772" s="24">
        <v>1</v>
      </c>
      <c r="E772" s="24">
        <v>0</v>
      </c>
      <c r="F772" s="24">
        <v>0</v>
      </c>
      <c r="G772" s="24">
        <v>0</v>
      </c>
      <c r="H772" s="24">
        <v>0</v>
      </c>
      <c r="I772" s="24">
        <v>0</v>
      </c>
      <c r="J772" s="24">
        <v>976</v>
      </c>
      <c r="K772" s="24">
        <v>1</v>
      </c>
      <c r="L772" s="24">
        <v>0</v>
      </c>
      <c r="M772" s="24">
        <v>0</v>
      </c>
      <c r="N772" s="24">
        <v>0</v>
      </c>
      <c r="O772" s="24">
        <v>0</v>
      </c>
      <c r="P772" s="24">
        <v>0</v>
      </c>
      <c r="Q772" s="24">
        <v>0</v>
      </c>
      <c r="R772" s="24">
        <v>0</v>
      </c>
      <c r="S772" s="24">
        <v>23</v>
      </c>
      <c r="T772" s="24">
        <v>0</v>
      </c>
      <c r="U772" s="24">
        <v>0</v>
      </c>
      <c r="V772" s="24">
        <v>1</v>
      </c>
      <c r="W772" s="24">
        <v>1</v>
      </c>
      <c r="X772" s="24">
        <v>1</v>
      </c>
      <c r="Y772" s="24">
        <v>0</v>
      </c>
      <c r="Z772" s="24">
        <v>0</v>
      </c>
      <c r="AA772" s="24">
        <v>0</v>
      </c>
      <c r="AB772" s="24">
        <v>1</v>
      </c>
      <c r="AC772" s="24">
        <v>0</v>
      </c>
      <c r="AD772" s="24">
        <v>0</v>
      </c>
      <c r="AE772" s="24">
        <v>0</v>
      </c>
      <c r="AF772" s="24">
        <v>0</v>
      </c>
      <c r="AG772" s="24">
        <v>0</v>
      </c>
      <c r="AH772" s="24">
        <v>1</v>
      </c>
      <c r="AI772" s="24">
        <v>0</v>
      </c>
      <c r="AJ772" s="24">
        <v>0</v>
      </c>
      <c r="AK772" s="24">
        <v>1</v>
      </c>
      <c r="AL772" s="24">
        <v>0</v>
      </c>
      <c r="AM772" s="24">
        <v>0</v>
      </c>
      <c r="AN772" s="24">
        <v>0</v>
      </c>
      <c r="AO772" s="24">
        <v>0</v>
      </c>
      <c r="AP772" s="24">
        <v>0</v>
      </c>
      <c r="AQ772" s="24">
        <v>1</v>
      </c>
      <c r="AR772" s="24">
        <v>0</v>
      </c>
      <c r="AS772" s="24">
        <v>0</v>
      </c>
      <c r="AT772" s="24">
        <v>0</v>
      </c>
      <c r="AU772" s="24">
        <v>0</v>
      </c>
      <c r="AV772" s="24">
        <v>1</v>
      </c>
      <c r="AW772" s="24">
        <v>0</v>
      </c>
      <c r="AX772" s="24">
        <v>0</v>
      </c>
      <c r="AY772" s="24">
        <v>0</v>
      </c>
      <c r="AZ772" s="24">
        <v>1</v>
      </c>
      <c r="BA772" s="24">
        <v>0</v>
      </c>
      <c r="BB772" s="24">
        <v>0</v>
      </c>
    </row>
    <row r="773" spans="2:54" ht="13.8" x14ac:dyDescent="0.3">
      <c r="B773" s="24">
        <v>753</v>
      </c>
      <c r="C773" s="24">
        <v>12</v>
      </c>
      <c r="D773" s="24">
        <v>0</v>
      </c>
      <c r="E773" s="24">
        <v>0</v>
      </c>
      <c r="F773" s="24">
        <v>0</v>
      </c>
      <c r="G773" s="24">
        <v>0</v>
      </c>
      <c r="H773" s="24">
        <v>0</v>
      </c>
      <c r="I773" s="24">
        <v>1</v>
      </c>
      <c r="J773" s="24">
        <v>841</v>
      </c>
      <c r="K773" s="24">
        <v>2</v>
      </c>
      <c r="L773" s="24">
        <v>0</v>
      </c>
      <c r="M773" s="24">
        <v>0</v>
      </c>
      <c r="N773" s="24">
        <v>0</v>
      </c>
      <c r="O773" s="24">
        <v>0</v>
      </c>
      <c r="P773" s="24">
        <v>0</v>
      </c>
      <c r="Q773" s="24">
        <v>1</v>
      </c>
      <c r="R773" s="24">
        <v>0</v>
      </c>
      <c r="S773" s="24">
        <v>23</v>
      </c>
      <c r="T773" s="24">
        <v>0</v>
      </c>
      <c r="U773" s="24">
        <v>1</v>
      </c>
      <c r="V773" s="24">
        <v>0</v>
      </c>
      <c r="W773" s="24">
        <v>1</v>
      </c>
      <c r="X773" s="24">
        <v>1</v>
      </c>
      <c r="Y773" s="24">
        <v>0</v>
      </c>
      <c r="Z773" s="24">
        <v>0</v>
      </c>
      <c r="AA773" s="24">
        <v>1</v>
      </c>
      <c r="AB773" s="24">
        <v>0</v>
      </c>
      <c r="AC773" s="24">
        <v>1</v>
      </c>
      <c r="AD773" s="24">
        <v>0</v>
      </c>
      <c r="AE773" s="24">
        <v>0</v>
      </c>
      <c r="AF773" s="24">
        <v>0</v>
      </c>
      <c r="AG773" s="24">
        <v>0</v>
      </c>
      <c r="AH773" s="24">
        <v>1</v>
      </c>
      <c r="AI773" s="24">
        <v>0</v>
      </c>
      <c r="AJ773" s="24">
        <v>0</v>
      </c>
      <c r="AK773" s="24">
        <v>0</v>
      </c>
      <c r="AL773" s="24">
        <v>1</v>
      </c>
      <c r="AM773" s="24">
        <v>0</v>
      </c>
      <c r="AN773" s="24">
        <v>0</v>
      </c>
      <c r="AO773" s="24">
        <v>0</v>
      </c>
      <c r="AP773" s="24">
        <v>0</v>
      </c>
      <c r="AQ773" s="24">
        <v>0</v>
      </c>
      <c r="AR773" s="24">
        <v>0</v>
      </c>
      <c r="AS773" s="24">
        <v>1</v>
      </c>
      <c r="AT773" s="24">
        <v>0</v>
      </c>
      <c r="AU773" s="24">
        <v>0</v>
      </c>
      <c r="AV773" s="24">
        <v>0</v>
      </c>
      <c r="AW773" s="24">
        <v>0</v>
      </c>
      <c r="AX773" s="24">
        <v>1</v>
      </c>
      <c r="AY773" s="24">
        <v>0</v>
      </c>
      <c r="AZ773" s="24">
        <v>1</v>
      </c>
      <c r="BA773" s="24">
        <v>0</v>
      </c>
      <c r="BB773" s="24">
        <v>0</v>
      </c>
    </row>
    <row r="774" spans="2:54" ht="13.8" x14ac:dyDescent="0.3">
      <c r="B774" s="24">
        <v>754</v>
      </c>
      <c r="C774" s="24">
        <v>30</v>
      </c>
      <c r="D774" s="24">
        <v>0</v>
      </c>
      <c r="E774" s="24">
        <v>0</v>
      </c>
      <c r="F774" s="24">
        <v>0</v>
      </c>
      <c r="G774" s="24">
        <v>1</v>
      </c>
      <c r="H774" s="24">
        <v>0</v>
      </c>
      <c r="I774" s="24">
        <v>0</v>
      </c>
      <c r="J774" s="24">
        <v>5771</v>
      </c>
      <c r="K774" s="24">
        <v>4</v>
      </c>
      <c r="L774" s="24">
        <v>0</v>
      </c>
      <c r="M774" s="24">
        <v>0</v>
      </c>
      <c r="N774" s="24">
        <v>0</v>
      </c>
      <c r="O774" s="24">
        <v>0</v>
      </c>
      <c r="P774" s="24">
        <v>0</v>
      </c>
      <c r="Q774" s="24">
        <v>0</v>
      </c>
      <c r="R774" s="24">
        <v>0</v>
      </c>
      <c r="S774" s="24">
        <v>25</v>
      </c>
      <c r="T774" s="24">
        <v>0</v>
      </c>
      <c r="U774" s="24">
        <v>0</v>
      </c>
      <c r="V774" s="24">
        <v>1</v>
      </c>
      <c r="W774" s="24">
        <v>2</v>
      </c>
      <c r="X774" s="24">
        <v>1</v>
      </c>
      <c r="Y774" s="24">
        <v>0</v>
      </c>
      <c r="Z774" s="24">
        <v>0</v>
      </c>
      <c r="AA774" s="24">
        <v>1</v>
      </c>
      <c r="AB774" s="24">
        <v>0</v>
      </c>
      <c r="AC774" s="24">
        <v>0</v>
      </c>
      <c r="AD774" s="24">
        <v>0</v>
      </c>
      <c r="AE774" s="24">
        <v>1</v>
      </c>
      <c r="AF774" s="24">
        <v>0</v>
      </c>
      <c r="AG774" s="24">
        <v>0</v>
      </c>
      <c r="AH774" s="24">
        <v>0</v>
      </c>
      <c r="AI774" s="24">
        <v>0</v>
      </c>
      <c r="AJ774" s="24">
        <v>1</v>
      </c>
      <c r="AK774" s="24">
        <v>1</v>
      </c>
      <c r="AL774" s="24">
        <v>0</v>
      </c>
      <c r="AM774" s="24">
        <v>0</v>
      </c>
      <c r="AN774" s="24">
        <v>0</v>
      </c>
      <c r="AO774" s="24">
        <v>0</v>
      </c>
      <c r="AP774" s="24">
        <v>0</v>
      </c>
      <c r="AQ774" s="24">
        <v>0</v>
      </c>
      <c r="AR774" s="24">
        <v>0</v>
      </c>
      <c r="AS774" s="24">
        <v>1</v>
      </c>
      <c r="AT774" s="24">
        <v>0</v>
      </c>
      <c r="AU774" s="24">
        <v>0</v>
      </c>
      <c r="AV774" s="24">
        <v>1</v>
      </c>
      <c r="AW774" s="24">
        <v>0</v>
      </c>
      <c r="AX774" s="24">
        <v>0</v>
      </c>
      <c r="AY774" s="24">
        <v>0</v>
      </c>
      <c r="AZ774" s="24">
        <v>0</v>
      </c>
      <c r="BA774" s="24">
        <v>1</v>
      </c>
      <c r="BB774" s="24">
        <v>0</v>
      </c>
    </row>
    <row r="775" spans="2:54" ht="13.8" x14ac:dyDescent="0.3">
      <c r="B775" s="24">
        <v>755</v>
      </c>
      <c r="C775" s="24">
        <v>12</v>
      </c>
      <c r="D775" s="24">
        <v>0</v>
      </c>
      <c r="E775" s="24">
        <v>0</v>
      </c>
      <c r="F775" s="24">
        <v>0</v>
      </c>
      <c r="G775" s="24">
        <v>0</v>
      </c>
      <c r="H775" s="24">
        <v>0</v>
      </c>
      <c r="I775" s="24">
        <v>0</v>
      </c>
      <c r="J775" s="24">
        <v>1555</v>
      </c>
      <c r="K775" s="24">
        <v>4</v>
      </c>
      <c r="L775" s="24">
        <v>0</v>
      </c>
      <c r="M775" s="24">
        <v>1</v>
      </c>
      <c r="N775" s="24">
        <v>0</v>
      </c>
      <c r="O775" s="24">
        <v>0</v>
      </c>
      <c r="P775" s="24">
        <v>0</v>
      </c>
      <c r="Q775" s="24">
        <v>0</v>
      </c>
      <c r="R775" s="24">
        <v>1</v>
      </c>
      <c r="S775" s="24">
        <v>55</v>
      </c>
      <c r="T775" s="24">
        <v>0</v>
      </c>
      <c r="U775" s="24">
        <v>0</v>
      </c>
      <c r="V775" s="24">
        <v>0</v>
      </c>
      <c r="W775" s="24">
        <v>2</v>
      </c>
      <c r="X775" s="24">
        <v>2</v>
      </c>
      <c r="Y775" s="24">
        <v>0</v>
      </c>
      <c r="Z775" s="24">
        <v>0</v>
      </c>
      <c r="AA775" s="24">
        <v>0</v>
      </c>
      <c r="AB775" s="24">
        <v>0</v>
      </c>
      <c r="AC775" s="24">
        <v>0</v>
      </c>
      <c r="AD775" s="24">
        <v>0</v>
      </c>
      <c r="AE775" s="24">
        <v>1</v>
      </c>
      <c r="AF775" s="24">
        <v>0</v>
      </c>
      <c r="AG775" s="24">
        <v>0</v>
      </c>
      <c r="AH775" s="24">
        <v>0</v>
      </c>
      <c r="AI775" s="24">
        <v>1</v>
      </c>
      <c r="AJ775" s="24">
        <v>0</v>
      </c>
      <c r="AK775" s="24">
        <v>0</v>
      </c>
      <c r="AL775" s="24">
        <v>0</v>
      </c>
      <c r="AM775" s="24">
        <v>0</v>
      </c>
      <c r="AN775" s="24">
        <v>1</v>
      </c>
      <c r="AO775" s="24">
        <v>0</v>
      </c>
      <c r="AP775" s="24">
        <v>0</v>
      </c>
      <c r="AQ775" s="24">
        <v>0</v>
      </c>
      <c r="AR775" s="24">
        <v>0</v>
      </c>
      <c r="AS775" s="24">
        <v>0</v>
      </c>
      <c r="AT775" s="24">
        <v>1</v>
      </c>
      <c r="AU775" s="24">
        <v>0</v>
      </c>
      <c r="AV775" s="24">
        <v>0</v>
      </c>
      <c r="AW775" s="24">
        <v>0</v>
      </c>
      <c r="AX775" s="24">
        <v>1</v>
      </c>
      <c r="AY775" s="24">
        <v>0</v>
      </c>
      <c r="AZ775" s="24">
        <v>0</v>
      </c>
      <c r="BA775" s="24">
        <v>1</v>
      </c>
      <c r="BB775" s="24">
        <v>0</v>
      </c>
    </row>
    <row r="776" spans="2:54" ht="13.8" x14ac:dyDescent="0.3">
      <c r="B776" s="24">
        <v>756</v>
      </c>
      <c r="C776" s="24">
        <v>24</v>
      </c>
      <c r="D776" s="24">
        <v>1</v>
      </c>
      <c r="E776" s="24">
        <v>0</v>
      </c>
      <c r="F776" s="24">
        <v>0</v>
      </c>
      <c r="G776" s="24">
        <v>0</v>
      </c>
      <c r="H776" s="24">
        <v>0</v>
      </c>
      <c r="I776" s="24">
        <v>0</v>
      </c>
      <c r="J776" s="24">
        <v>1285</v>
      </c>
      <c r="K776" s="24">
        <v>4</v>
      </c>
      <c r="L776" s="24">
        <v>0</v>
      </c>
      <c r="M776" s="24">
        <v>0</v>
      </c>
      <c r="N776" s="24">
        <v>0</v>
      </c>
      <c r="O776" s="24">
        <v>0</v>
      </c>
      <c r="P776" s="24">
        <v>0</v>
      </c>
      <c r="Q776" s="24">
        <v>0</v>
      </c>
      <c r="R776" s="24">
        <v>1</v>
      </c>
      <c r="S776" s="24">
        <v>32</v>
      </c>
      <c r="T776" s="24">
        <v>0</v>
      </c>
      <c r="U776" s="24">
        <v>1</v>
      </c>
      <c r="V776" s="24">
        <v>0</v>
      </c>
      <c r="W776" s="24">
        <v>1</v>
      </c>
      <c r="X776" s="24">
        <v>1</v>
      </c>
      <c r="Y776" s="24">
        <v>0</v>
      </c>
      <c r="Z776" s="24">
        <v>0</v>
      </c>
      <c r="AA776" s="24">
        <v>0</v>
      </c>
      <c r="AB776" s="24">
        <v>1</v>
      </c>
      <c r="AC776" s="24">
        <v>0</v>
      </c>
      <c r="AD776" s="24">
        <v>0</v>
      </c>
      <c r="AE776" s="24">
        <v>0</v>
      </c>
      <c r="AF776" s="24">
        <v>0</v>
      </c>
      <c r="AG776" s="24">
        <v>0</v>
      </c>
      <c r="AH776" s="24">
        <v>1</v>
      </c>
      <c r="AI776" s="24">
        <v>0</v>
      </c>
      <c r="AJ776" s="24">
        <v>0</v>
      </c>
      <c r="AK776" s="24">
        <v>0</v>
      </c>
      <c r="AL776" s="24">
        <v>0</v>
      </c>
      <c r="AM776" s="24">
        <v>0</v>
      </c>
      <c r="AN776" s="24">
        <v>0</v>
      </c>
      <c r="AO776" s="24">
        <v>1</v>
      </c>
      <c r="AP776" s="24">
        <v>0</v>
      </c>
      <c r="AQ776" s="24">
        <v>0</v>
      </c>
      <c r="AR776" s="24">
        <v>0</v>
      </c>
      <c r="AS776" s="24">
        <v>1</v>
      </c>
      <c r="AT776" s="24">
        <v>0</v>
      </c>
      <c r="AU776" s="24">
        <v>0</v>
      </c>
      <c r="AV776" s="24">
        <v>0</v>
      </c>
      <c r="AW776" s="24">
        <v>0</v>
      </c>
      <c r="AX776" s="24">
        <v>1</v>
      </c>
      <c r="AY776" s="24">
        <v>0</v>
      </c>
      <c r="AZ776" s="24">
        <v>0</v>
      </c>
      <c r="BA776" s="24">
        <v>1</v>
      </c>
      <c r="BB776" s="24">
        <v>0</v>
      </c>
    </row>
    <row r="777" spans="2:54" ht="13.8" x14ac:dyDescent="0.3">
      <c r="B777" s="24">
        <v>757</v>
      </c>
      <c r="C777" s="24">
        <v>6</v>
      </c>
      <c r="D777" s="24">
        <v>1</v>
      </c>
      <c r="E777" s="24">
        <v>0</v>
      </c>
      <c r="F777" s="24">
        <v>0</v>
      </c>
      <c r="G777" s="24">
        <v>0</v>
      </c>
      <c r="H777" s="24">
        <v>0</v>
      </c>
      <c r="I777" s="24">
        <v>0</v>
      </c>
      <c r="J777" s="24">
        <v>1299</v>
      </c>
      <c r="K777" s="24">
        <v>1</v>
      </c>
      <c r="L777" s="24">
        <v>0</v>
      </c>
      <c r="M777" s="24">
        <v>1</v>
      </c>
      <c r="N777" s="24">
        <v>0</v>
      </c>
      <c r="O777" s="24">
        <v>0</v>
      </c>
      <c r="P777" s="24">
        <v>0</v>
      </c>
      <c r="Q777" s="24">
        <v>1</v>
      </c>
      <c r="R777" s="24">
        <v>0</v>
      </c>
      <c r="S777" s="24">
        <v>74</v>
      </c>
      <c r="T777" s="24">
        <v>0</v>
      </c>
      <c r="U777" s="24">
        <v>0</v>
      </c>
      <c r="V777" s="24">
        <v>1</v>
      </c>
      <c r="W777" s="24">
        <v>3</v>
      </c>
      <c r="X777" s="24">
        <v>2</v>
      </c>
      <c r="Y777" s="24">
        <v>0</v>
      </c>
      <c r="Z777" s="24">
        <v>1</v>
      </c>
      <c r="AA777" s="24">
        <v>1</v>
      </c>
      <c r="AB777" s="24">
        <v>0</v>
      </c>
      <c r="AC777" s="24">
        <v>0</v>
      </c>
      <c r="AD777" s="24">
        <v>1</v>
      </c>
      <c r="AE777" s="24">
        <v>0</v>
      </c>
      <c r="AF777" s="24">
        <v>0</v>
      </c>
      <c r="AG777" s="24">
        <v>0</v>
      </c>
      <c r="AH777" s="24">
        <v>0</v>
      </c>
      <c r="AI777" s="24">
        <v>0</v>
      </c>
      <c r="AJ777" s="24">
        <v>1</v>
      </c>
      <c r="AK777" s="24">
        <v>1</v>
      </c>
      <c r="AL777" s="24">
        <v>0</v>
      </c>
      <c r="AM777" s="24">
        <v>0</v>
      </c>
      <c r="AN777" s="24">
        <v>0</v>
      </c>
      <c r="AO777" s="24">
        <v>0</v>
      </c>
      <c r="AP777" s="24">
        <v>0</v>
      </c>
      <c r="AQ777" s="24">
        <v>0</v>
      </c>
      <c r="AR777" s="24">
        <v>1</v>
      </c>
      <c r="AS777" s="24">
        <v>0</v>
      </c>
      <c r="AT777" s="24">
        <v>0</v>
      </c>
      <c r="AU777" s="24">
        <v>1</v>
      </c>
      <c r="AV777" s="24">
        <v>0</v>
      </c>
      <c r="AW777" s="24">
        <v>0</v>
      </c>
      <c r="AX777" s="24">
        <v>0</v>
      </c>
      <c r="AY777" s="24">
        <v>1</v>
      </c>
      <c r="AZ777" s="24">
        <v>0</v>
      </c>
      <c r="BA777" s="24">
        <v>0</v>
      </c>
      <c r="BB777" s="24">
        <v>0</v>
      </c>
    </row>
    <row r="778" spans="2:54" ht="13.8" x14ac:dyDescent="0.3">
      <c r="B778" s="24">
        <v>758</v>
      </c>
      <c r="C778" s="24">
        <v>15</v>
      </c>
      <c r="D778" s="24">
        <v>0</v>
      </c>
      <c r="E778" s="24">
        <v>0</v>
      </c>
      <c r="F778" s="24">
        <v>0</v>
      </c>
      <c r="G778" s="24">
        <v>1</v>
      </c>
      <c r="H778" s="24">
        <v>0</v>
      </c>
      <c r="I778" s="24">
        <v>0</v>
      </c>
      <c r="J778" s="24">
        <v>1271</v>
      </c>
      <c r="K778" s="24">
        <v>3</v>
      </c>
      <c r="L778" s="24">
        <v>0</v>
      </c>
      <c r="M778" s="24">
        <v>1</v>
      </c>
      <c r="N778" s="24">
        <v>0</v>
      </c>
      <c r="O778" s="24">
        <v>0</v>
      </c>
      <c r="P778" s="24">
        <v>0</v>
      </c>
      <c r="Q778" s="24">
        <v>0</v>
      </c>
      <c r="R778" s="24">
        <v>1</v>
      </c>
      <c r="S778" s="24">
        <v>39</v>
      </c>
      <c r="T778" s="24">
        <v>0</v>
      </c>
      <c r="U778" s="24">
        <v>0</v>
      </c>
      <c r="V778" s="24">
        <v>0</v>
      </c>
      <c r="W778" s="24">
        <v>2</v>
      </c>
      <c r="X778" s="24">
        <v>1</v>
      </c>
      <c r="Y778" s="24">
        <v>1</v>
      </c>
      <c r="Z778" s="24">
        <v>0</v>
      </c>
      <c r="AA778" s="24">
        <v>0</v>
      </c>
      <c r="AB778" s="24">
        <v>0</v>
      </c>
      <c r="AC778" s="24">
        <v>0</v>
      </c>
      <c r="AD778" s="24">
        <v>1</v>
      </c>
      <c r="AE778" s="24">
        <v>0</v>
      </c>
      <c r="AF778" s="24">
        <v>0</v>
      </c>
      <c r="AG778" s="24">
        <v>0</v>
      </c>
      <c r="AH778" s="24">
        <v>0</v>
      </c>
      <c r="AI778" s="24">
        <v>0</v>
      </c>
      <c r="AJ778" s="24">
        <v>1</v>
      </c>
      <c r="AK778" s="24">
        <v>0</v>
      </c>
      <c r="AL778" s="24">
        <v>0</v>
      </c>
      <c r="AM778" s="24">
        <v>0</v>
      </c>
      <c r="AN778" s="24">
        <v>0</v>
      </c>
      <c r="AO778" s="24">
        <v>1</v>
      </c>
      <c r="AP778" s="24">
        <v>0</v>
      </c>
      <c r="AQ778" s="24">
        <v>0</v>
      </c>
      <c r="AR778" s="24">
        <v>1</v>
      </c>
      <c r="AS778" s="24">
        <v>0</v>
      </c>
      <c r="AT778" s="24">
        <v>0</v>
      </c>
      <c r="AU778" s="24">
        <v>0</v>
      </c>
      <c r="AV778" s="24">
        <v>0</v>
      </c>
      <c r="AW778" s="24">
        <v>0</v>
      </c>
      <c r="AX778" s="24">
        <v>1</v>
      </c>
      <c r="AY778" s="24">
        <v>0</v>
      </c>
      <c r="AZ778" s="24">
        <v>0</v>
      </c>
      <c r="BA778" s="24">
        <v>1</v>
      </c>
      <c r="BB778" s="24">
        <v>0</v>
      </c>
    </row>
    <row r="779" spans="2:54" ht="13.8" x14ac:dyDescent="0.3">
      <c r="B779" s="24">
        <v>759</v>
      </c>
      <c r="C779" s="24">
        <v>24</v>
      </c>
      <c r="D779" s="24">
        <v>1</v>
      </c>
      <c r="E779" s="24">
        <v>0</v>
      </c>
      <c r="F779" s="24">
        <v>0</v>
      </c>
      <c r="G779" s="24">
        <v>0</v>
      </c>
      <c r="H779" s="24">
        <v>0</v>
      </c>
      <c r="I779" s="24">
        <v>0</v>
      </c>
      <c r="J779" s="24">
        <v>1393</v>
      </c>
      <c r="K779" s="24">
        <v>2</v>
      </c>
      <c r="L779" s="24">
        <v>0</v>
      </c>
      <c r="M779" s="24">
        <v>1</v>
      </c>
      <c r="N779" s="24">
        <v>0</v>
      </c>
      <c r="O779" s="24">
        <v>0</v>
      </c>
      <c r="P779" s="24">
        <v>1</v>
      </c>
      <c r="Q779" s="24">
        <v>1</v>
      </c>
      <c r="R779" s="24">
        <v>0</v>
      </c>
      <c r="S779" s="24">
        <v>31</v>
      </c>
      <c r="T779" s="24">
        <v>0</v>
      </c>
      <c r="U779" s="24">
        <v>0</v>
      </c>
      <c r="V779" s="24">
        <v>1</v>
      </c>
      <c r="W779" s="24">
        <v>1</v>
      </c>
      <c r="X779" s="24">
        <v>1</v>
      </c>
      <c r="Y779" s="24">
        <v>1</v>
      </c>
      <c r="Z779" s="24">
        <v>0</v>
      </c>
      <c r="AA779" s="24">
        <v>1</v>
      </c>
      <c r="AB779" s="24">
        <v>0</v>
      </c>
      <c r="AC779" s="24">
        <v>0</v>
      </c>
      <c r="AD779" s="24">
        <v>0</v>
      </c>
      <c r="AE779" s="24">
        <v>1</v>
      </c>
      <c r="AF779" s="24">
        <v>0</v>
      </c>
      <c r="AG779" s="24">
        <v>0</v>
      </c>
      <c r="AH779" s="24">
        <v>1</v>
      </c>
      <c r="AI779" s="24">
        <v>0</v>
      </c>
      <c r="AJ779" s="24">
        <v>0</v>
      </c>
      <c r="AK779" s="24">
        <v>1</v>
      </c>
      <c r="AL779" s="24">
        <v>0</v>
      </c>
      <c r="AM779" s="24">
        <v>0</v>
      </c>
      <c r="AN779" s="24">
        <v>0</v>
      </c>
      <c r="AO779" s="24">
        <v>0</v>
      </c>
      <c r="AP779" s="24">
        <v>0</v>
      </c>
      <c r="AQ779" s="24">
        <v>0</v>
      </c>
      <c r="AR779" s="24">
        <v>1</v>
      </c>
      <c r="AS779" s="24">
        <v>0</v>
      </c>
      <c r="AT779" s="24">
        <v>0</v>
      </c>
      <c r="AU779" s="24">
        <v>0</v>
      </c>
      <c r="AV779" s="24">
        <v>1</v>
      </c>
      <c r="AW779" s="24">
        <v>0</v>
      </c>
      <c r="AX779" s="24">
        <v>0</v>
      </c>
      <c r="AY779" s="24">
        <v>0</v>
      </c>
      <c r="AZ779" s="24">
        <v>0</v>
      </c>
      <c r="BA779" s="24">
        <v>1</v>
      </c>
      <c r="BB779" s="24">
        <v>0</v>
      </c>
    </row>
    <row r="780" spans="2:54" ht="13.8" x14ac:dyDescent="0.3">
      <c r="B780" s="24">
        <v>760</v>
      </c>
      <c r="C780" s="24">
        <v>12</v>
      </c>
      <c r="D780" s="24">
        <v>1</v>
      </c>
      <c r="E780" s="24">
        <v>0</v>
      </c>
      <c r="F780" s="24">
        <v>0</v>
      </c>
      <c r="G780" s="24">
        <v>0</v>
      </c>
      <c r="H780" s="24">
        <v>0</v>
      </c>
      <c r="I780" s="24">
        <v>0</v>
      </c>
      <c r="J780" s="24">
        <v>691</v>
      </c>
      <c r="K780" s="24">
        <v>4</v>
      </c>
      <c r="L780" s="24">
        <v>0</v>
      </c>
      <c r="M780" s="24">
        <v>1</v>
      </c>
      <c r="N780" s="24">
        <v>0</v>
      </c>
      <c r="O780" s="24">
        <v>0</v>
      </c>
      <c r="P780" s="24">
        <v>0</v>
      </c>
      <c r="Q780" s="24">
        <v>0</v>
      </c>
      <c r="R780" s="24">
        <v>0</v>
      </c>
      <c r="S780" s="24">
        <v>35</v>
      </c>
      <c r="T780" s="24">
        <v>0</v>
      </c>
      <c r="U780" s="24">
        <v>0</v>
      </c>
      <c r="V780" s="24">
        <v>1</v>
      </c>
      <c r="W780" s="24">
        <v>2</v>
      </c>
      <c r="X780" s="24">
        <v>1</v>
      </c>
      <c r="Y780" s="24">
        <v>0</v>
      </c>
      <c r="Z780" s="24">
        <v>0</v>
      </c>
      <c r="AA780" s="24">
        <v>0</v>
      </c>
      <c r="AB780" s="24">
        <v>1</v>
      </c>
      <c r="AC780" s="24">
        <v>0</v>
      </c>
      <c r="AD780" s="24">
        <v>0</v>
      </c>
      <c r="AE780" s="24">
        <v>0</v>
      </c>
      <c r="AF780" s="24">
        <v>0</v>
      </c>
      <c r="AG780" s="24">
        <v>0</v>
      </c>
      <c r="AH780" s="24">
        <v>0</v>
      </c>
      <c r="AI780" s="24">
        <v>0</v>
      </c>
      <c r="AJ780" s="24">
        <v>1</v>
      </c>
      <c r="AK780" s="24">
        <v>1</v>
      </c>
      <c r="AL780" s="24">
        <v>0</v>
      </c>
      <c r="AM780" s="24">
        <v>0</v>
      </c>
      <c r="AN780" s="24">
        <v>0</v>
      </c>
      <c r="AO780" s="24">
        <v>0</v>
      </c>
      <c r="AP780" s="24">
        <v>0</v>
      </c>
      <c r="AQ780" s="24">
        <v>0</v>
      </c>
      <c r="AR780" s="24">
        <v>0</v>
      </c>
      <c r="AS780" s="24">
        <v>0</v>
      </c>
      <c r="AT780" s="24">
        <v>1</v>
      </c>
      <c r="AU780" s="24">
        <v>0</v>
      </c>
      <c r="AV780" s="24">
        <v>0</v>
      </c>
      <c r="AW780" s="24">
        <v>1</v>
      </c>
      <c r="AX780" s="24">
        <v>0</v>
      </c>
      <c r="AY780" s="24">
        <v>0</v>
      </c>
      <c r="AZ780" s="24">
        <v>0</v>
      </c>
      <c r="BA780" s="24">
        <v>1</v>
      </c>
      <c r="BB780" s="24">
        <v>0</v>
      </c>
    </row>
    <row r="781" spans="2:54" ht="13.8" x14ac:dyDescent="0.3">
      <c r="B781" s="24">
        <v>761</v>
      </c>
      <c r="C781" s="24">
        <v>15</v>
      </c>
      <c r="D781" s="24">
        <v>1</v>
      </c>
      <c r="E781" s="24">
        <v>0</v>
      </c>
      <c r="F781" s="24">
        <v>0</v>
      </c>
      <c r="G781" s="24">
        <v>0</v>
      </c>
      <c r="H781" s="24">
        <v>0</v>
      </c>
      <c r="I781" s="24">
        <v>0</v>
      </c>
      <c r="J781" s="24">
        <v>5045</v>
      </c>
      <c r="K781" s="24">
        <v>1</v>
      </c>
      <c r="L781" s="24">
        <v>0</v>
      </c>
      <c r="M781" s="24">
        <v>0</v>
      </c>
      <c r="N781" s="24">
        <v>0</v>
      </c>
      <c r="O781" s="24">
        <v>0</v>
      </c>
      <c r="P781" s="24">
        <v>0</v>
      </c>
      <c r="Q781" s="24">
        <v>0</v>
      </c>
      <c r="R781" s="24">
        <v>0</v>
      </c>
      <c r="S781" s="24">
        <v>59</v>
      </c>
      <c r="T781" s="24">
        <v>0</v>
      </c>
      <c r="U781" s="24">
        <v>0</v>
      </c>
      <c r="V781" s="24">
        <v>1</v>
      </c>
      <c r="W781" s="24">
        <v>1</v>
      </c>
      <c r="X781" s="24">
        <v>1</v>
      </c>
      <c r="Y781" s="24">
        <v>1</v>
      </c>
      <c r="Z781" s="24">
        <v>0</v>
      </c>
      <c r="AA781" s="24">
        <v>1</v>
      </c>
      <c r="AB781" s="24">
        <v>0</v>
      </c>
      <c r="AC781" s="24">
        <v>0</v>
      </c>
      <c r="AD781" s="24">
        <v>0</v>
      </c>
      <c r="AE781" s="24">
        <v>1</v>
      </c>
      <c r="AF781" s="24">
        <v>0</v>
      </c>
      <c r="AG781" s="24">
        <v>0</v>
      </c>
      <c r="AH781" s="24">
        <v>0</v>
      </c>
      <c r="AI781" s="24">
        <v>0</v>
      </c>
      <c r="AJ781" s="24">
        <v>1</v>
      </c>
      <c r="AK781" s="24">
        <v>0</v>
      </c>
      <c r="AL781" s="24">
        <v>0</v>
      </c>
      <c r="AM781" s="24">
        <v>0</v>
      </c>
      <c r="AN781" s="24">
        <v>0</v>
      </c>
      <c r="AO781" s="24">
        <v>1</v>
      </c>
      <c r="AP781" s="24">
        <v>0</v>
      </c>
      <c r="AQ781" s="24">
        <v>0</v>
      </c>
      <c r="AR781" s="24">
        <v>0</v>
      </c>
      <c r="AS781" s="24">
        <v>0</v>
      </c>
      <c r="AT781" s="24">
        <v>1</v>
      </c>
      <c r="AU781" s="24">
        <v>0</v>
      </c>
      <c r="AV781" s="24">
        <v>0</v>
      </c>
      <c r="AW781" s="24">
        <v>0</v>
      </c>
      <c r="AX781" s="24">
        <v>1</v>
      </c>
      <c r="AY781" s="24">
        <v>0</v>
      </c>
      <c r="AZ781" s="24">
        <v>0</v>
      </c>
      <c r="BA781" s="24">
        <v>1</v>
      </c>
      <c r="BB781" s="24">
        <v>0</v>
      </c>
    </row>
    <row r="782" spans="2:54" ht="13.8" x14ac:dyDescent="0.3">
      <c r="B782" s="24">
        <v>762</v>
      </c>
      <c r="C782" s="24">
        <v>18</v>
      </c>
      <c r="D782" s="24">
        <v>0</v>
      </c>
      <c r="E782" s="24">
        <v>0</v>
      </c>
      <c r="F782" s="24">
        <v>1</v>
      </c>
      <c r="G782" s="24">
        <v>0</v>
      </c>
      <c r="H782" s="24">
        <v>0</v>
      </c>
      <c r="I782" s="24">
        <v>0</v>
      </c>
      <c r="J782" s="24">
        <v>2124</v>
      </c>
      <c r="K782" s="24">
        <v>4</v>
      </c>
      <c r="L782" s="24">
        <v>0</v>
      </c>
      <c r="M782" s="24">
        <v>0</v>
      </c>
      <c r="N782" s="24">
        <v>0</v>
      </c>
      <c r="O782" s="24">
        <v>0</v>
      </c>
      <c r="P782" s="24">
        <v>0</v>
      </c>
      <c r="Q782" s="24">
        <v>1</v>
      </c>
      <c r="R782" s="24">
        <v>0</v>
      </c>
      <c r="S782" s="24">
        <v>24</v>
      </c>
      <c r="T782" s="24">
        <v>0</v>
      </c>
      <c r="U782" s="24">
        <v>1</v>
      </c>
      <c r="V782" s="24">
        <v>0</v>
      </c>
      <c r="W782" s="24">
        <v>2</v>
      </c>
      <c r="X782" s="24">
        <v>1</v>
      </c>
      <c r="Y782" s="24">
        <v>0</v>
      </c>
      <c r="Z782" s="24">
        <v>0</v>
      </c>
      <c r="AA782" s="24">
        <v>0</v>
      </c>
      <c r="AB782" s="24">
        <v>1</v>
      </c>
      <c r="AC782" s="24">
        <v>0</v>
      </c>
      <c r="AD782" s="24">
        <v>0</v>
      </c>
      <c r="AE782" s="24">
        <v>0</v>
      </c>
      <c r="AF782" s="24">
        <v>0</v>
      </c>
      <c r="AG782" s="24">
        <v>0</v>
      </c>
      <c r="AH782" s="24">
        <v>0</v>
      </c>
      <c r="AI782" s="24">
        <v>0</v>
      </c>
      <c r="AJ782" s="24">
        <v>1</v>
      </c>
      <c r="AK782" s="24">
        <v>1</v>
      </c>
      <c r="AL782" s="24">
        <v>0</v>
      </c>
      <c r="AM782" s="24">
        <v>0</v>
      </c>
      <c r="AN782" s="24">
        <v>0</v>
      </c>
      <c r="AO782" s="24">
        <v>0</v>
      </c>
      <c r="AP782" s="24">
        <v>0</v>
      </c>
      <c r="AQ782" s="24">
        <v>0</v>
      </c>
      <c r="AR782" s="24">
        <v>1</v>
      </c>
      <c r="AS782" s="24">
        <v>0</v>
      </c>
      <c r="AT782" s="24">
        <v>0</v>
      </c>
      <c r="AU782" s="24">
        <v>0</v>
      </c>
      <c r="AV782" s="24">
        <v>0</v>
      </c>
      <c r="AW782" s="24">
        <v>0</v>
      </c>
      <c r="AX782" s="24">
        <v>1</v>
      </c>
      <c r="AY782" s="24">
        <v>0</v>
      </c>
      <c r="AZ782" s="24">
        <v>0</v>
      </c>
      <c r="BA782" s="24">
        <v>1</v>
      </c>
      <c r="BB782" s="24">
        <v>0</v>
      </c>
    </row>
    <row r="783" spans="2:54" ht="13.8" x14ac:dyDescent="0.3">
      <c r="B783" s="24">
        <v>763</v>
      </c>
      <c r="C783" s="24">
        <v>12</v>
      </c>
      <c r="D783" s="24">
        <v>0</v>
      </c>
      <c r="E783" s="24">
        <v>0</v>
      </c>
      <c r="F783" s="24">
        <v>0</v>
      </c>
      <c r="G783" s="24">
        <v>1</v>
      </c>
      <c r="H783" s="24">
        <v>0</v>
      </c>
      <c r="I783" s="24">
        <v>0</v>
      </c>
      <c r="J783" s="24">
        <v>2214</v>
      </c>
      <c r="K783" s="24">
        <v>4</v>
      </c>
      <c r="L783" s="24">
        <v>0</v>
      </c>
      <c r="M783" s="24">
        <v>1</v>
      </c>
      <c r="N783" s="24">
        <v>0</v>
      </c>
      <c r="O783" s="24">
        <v>0</v>
      </c>
      <c r="P783" s="24">
        <v>0</v>
      </c>
      <c r="Q783" s="24">
        <v>0</v>
      </c>
      <c r="R783" s="24">
        <v>0</v>
      </c>
      <c r="S783" s="24">
        <v>24</v>
      </c>
      <c r="T783" s="24">
        <v>0</v>
      </c>
      <c r="U783" s="24">
        <v>0</v>
      </c>
      <c r="V783" s="24">
        <v>1</v>
      </c>
      <c r="W783" s="24">
        <v>1</v>
      </c>
      <c r="X783" s="24">
        <v>1</v>
      </c>
      <c r="Y783" s="24">
        <v>0</v>
      </c>
      <c r="Z783" s="24">
        <v>0</v>
      </c>
      <c r="AA783" s="24">
        <v>1</v>
      </c>
      <c r="AB783" s="24">
        <v>1</v>
      </c>
      <c r="AC783" s="24">
        <v>0</v>
      </c>
      <c r="AD783" s="24">
        <v>0</v>
      </c>
      <c r="AE783" s="24">
        <v>0</v>
      </c>
      <c r="AF783" s="24">
        <v>0</v>
      </c>
      <c r="AG783" s="24">
        <v>0</v>
      </c>
      <c r="AH783" s="24">
        <v>1</v>
      </c>
      <c r="AI783" s="24">
        <v>0</v>
      </c>
      <c r="AJ783" s="24">
        <v>0</v>
      </c>
      <c r="AK783" s="24">
        <v>1</v>
      </c>
      <c r="AL783" s="24">
        <v>0</v>
      </c>
      <c r="AM783" s="24">
        <v>0</v>
      </c>
      <c r="AN783" s="24">
        <v>0</v>
      </c>
      <c r="AO783" s="24">
        <v>0</v>
      </c>
      <c r="AP783" s="24">
        <v>0</v>
      </c>
      <c r="AQ783" s="24">
        <v>0</v>
      </c>
      <c r="AR783" s="24">
        <v>1</v>
      </c>
      <c r="AS783" s="24">
        <v>0</v>
      </c>
      <c r="AT783" s="24">
        <v>0</v>
      </c>
      <c r="AU783" s="24">
        <v>0</v>
      </c>
      <c r="AV783" s="24">
        <v>0</v>
      </c>
      <c r="AW783" s="24">
        <v>1</v>
      </c>
      <c r="AX783" s="24">
        <v>0</v>
      </c>
      <c r="AY783" s="24">
        <v>0</v>
      </c>
      <c r="AZ783" s="24">
        <v>1</v>
      </c>
      <c r="BA783" s="24">
        <v>0</v>
      </c>
      <c r="BB783" s="24">
        <v>0</v>
      </c>
    </row>
    <row r="784" spans="2:54" ht="13.8" x14ac:dyDescent="0.3">
      <c r="B784" s="24">
        <v>764</v>
      </c>
      <c r="C784" s="24">
        <v>21</v>
      </c>
      <c r="D784" s="24">
        <v>1</v>
      </c>
      <c r="E784" s="24">
        <v>0</v>
      </c>
      <c r="F784" s="24">
        <v>0</v>
      </c>
      <c r="G784" s="24">
        <v>0</v>
      </c>
      <c r="H784" s="24">
        <v>0</v>
      </c>
      <c r="I784" s="24">
        <v>0</v>
      </c>
      <c r="J784" s="24">
        <v>12680</v>
      </c>
      <c r="K784" s="24">
        <v>4</v>
      </c>
      <c r="L784" s="24">
        <v>0</v>
      </c>
      <c r="M784" s="24">
        <v>1</v>
      </c>
      <c r="N784" s="24">
        <v>0</v>
      </c>
      <c r="O784" s="24">
        <v>0</v>
      </c>
      <c r="P784" s="24">
        <v>0</v>
      </c>
      <c r="Q784" s="24">
        <v>0</v>
      </c>
      <c r="R784" s="24">
        <v>1</v>
      </c>
      <c r="S784" s="24">
        <v>30</v>
      </c>
      <c r="T784" s="24">
        <v>0</v>
      </c>
      <c r="U784" s="24">
        <v>0</v>
      </c>
      <c r="V784" s="24">
        <v>0</v>
      </c>
      <c r="W784" s="24">
        <v>1</v>
      </c>
      <c r="X784" s="24">
        <v>1</v>
      </c>
      <c r="Y784" s="24">
        <v>1</v>
      </c>
      <c r="Z784" s="24">
        <v>0</v>
      </c>
      <c r="AA784" s="24">
        <v>0</v>
      </c>
      <c r="AB784" s="24">
        <v>0</v>
      </c>
      <c r="AC784" s="24">
        <v>0</v>
      </c>
      <c r="AD784" s="24">
        <v>0</v>
      </c>
      <c r="AE784" s="24">
        <v>1</v>
      </c>
      <c r="AF784" s="24">
        <v>0</v>
      </c>
      <c r="AG784" s="24">
        <v>0</v>
      </c>
      <c r="AH784" s="24">
        <v>0</v>
      </c>
      <c r="AI784" s="24">
        <v>0</v>
      </c>
      <c r="AJ784" s="24">
        <v>1</v>
      </c>
      <c r="AK784" s="24">
        <v>0</v>
      </c>
      <c r="AL784" s="24">
        <v>0</v>
      </c>
      <c r="AM784" s="24">
        <v>0</v>
      </c>
      <c r="AN784" s="24">
        <v>0</v>
      </c>
      <c r="AO784" s="24">
        <v>1</v>
      </c>
      <c r="AP784" s="24">
        <v>0</v>
      </c>
      <c r="AQ784" s="24">
        <v>0</v>
      </c>
      <c r="AR784" s="24">
        <v>0</v>
      </c>
      <c r="AS784" s="24">
        <v>0</v>
      </c>
      <c r="AT784" s="24">
        <v>1</v>
      </c>
      <c r="AU784" s="24">
        <v>0</v>
      </c>
      <c r="AV784" s="24">
        <v>0</v>
      </c>
      <c r="AW784" s="24">
        <v>0</v>
      </c>
      <c r="AX784" s="24">
        <v>1</v>
      </c>
      <c r="AY784" s="24">
        <v>0</v>
      </c>
      <c r="AZ784" s="24">
        <v>0</v>
      </c>
      <c r="BA784" s="24">
        <v>0</v>
      </c>
      <c r="BB784" s="24">
        <v>1</v>
      </c>
    </row>
    <row r="785" spans="2:54" ht="13.8" x14ac:dyDescent="0.3">
      <c r="B785" s="24">
        <v>765</v>
      </c>
      <c r="C785" s="24">
        <v>24</v>
      </c>
      <c r="D785" s="24">
        <v>1</v>
      </c>
      <c r="E785" s="24">
        <v>0</v>
      </c>
      <c r="F785" s="24">
        <v>0</v>
      </c>
      <c r="G785" s="24">
        <v>0</v>
      </c>
      <c r="H785" s="24">
        <v>0</v>
      </c>
      <c r="I785" s="24">
        <v>0</v>
      </c>
      <c r="J785" s="24">
        <v>2463</v>
      </c>
      <c r="K785" s="24">
        <v>4</v>
      </c>
      <c r="L785" s="24">
        <v>0</v>
      </c>
      <c r="M785" s="24">
        <v>0</v>
      </c>
      <c r="N785" s="24">
        <v>1</v>
      </c>
      <c r="O785" s="24">
        <v>0</v>
      </c>
      <c r="P785" s="24">
        <v>0</v>
      </c>
      <c r="Q785" s="24">
        <v>0</v>
      </c>
      <c r="R785" s="24">
        <v>0</v>
      </c>
      <c r="S785" s="24">
        <v>27</v>
      </c>
      <c r="T785" s="24">
        <v>0</v>
      </c>
      <c r="U785" s="24">
        <v>0</v>
      </c>
      <c r="V785" s="24">
        <v>1</v>
      </c>
      <c r="W785" s="24">
        <v>2</v>
      </c>
      <c r="X785" s="24">
        <v>1</v>
      </c>
      <c r="Y785" s="24">
        <v>1</v>
      </c>
      <c r="Z785" s="24">
        <v>0</v>
      </c>
      <c r="AA785" s="24">
        <v>1</v>
      </c>
      <c r="AB785" s="24">
        <v>0</v>
      </c>
      <c r="AC785" s="24">
        <v>0</v>
      </c>
      <c r="AD785" s="24">
        <v>0</v>
      </c>
      <c r="AE785" s="24">
        <v>1</v>
      </c>
      <c r="AF785" s="24">
        <v>0</v>
      </c>
      <c r="AG785" s="24">
        <v>0</v>
      </c>
      <c r="AH785" s="24">
        <v>0</v>
      </c>
      <c r="AI785" s="24">
        <v>0</v>
      </c>
      <c r="AJ785" s="24">
        <v>1</v>
      </c>
      <c r="AK785" s="24">
        <v>0</v>
      </c>
      <c r="AL785" s="24">
        <v>1</v>
      </c>
      <c r="AM785" s="24">
        <v>0</v>
      </c>
      <c r="AN785" s="24">
        <v>0</v>
      </c>
      <c r="AO785" s="24">
        <v>0</v>
      </c>
      <c r="AP785" s="24">
        <v>0</v>
      </c>
      <c r="AQ785" s="24">
        <v>0</v>
      </c>
      <c r="AR785" s="24">
        <v>0</v>
      </c>
      <c r="AS785" s="24">
        <v>1</v>
      </c>
      <c r="AT785" s="24">
        <v>0</v>
      </c>
      <c r="AU785" s="24">
        <v>0</v>
      </c>
      <c r="AV785" s="24">
        <v>0</v>
      </c>
      <c r="AW785" s="24">
        <v>1</v>
      </c>
      <c r="AX785" s="24">
        <v>0</v>
      </c>
      <c r="AY785" s="24">
        <v>0</v>
      </c>
      <c r="AZ785" s="24">
        <v>0</v>
      </c>
      <c r="BA785" s="24">
        <v>1</v>
      </c>
      <c r="BB785" s="24">
        <v>0</v>
      </c>
    </row>
    <row r="786" spans="2:54" ht="13.8" x14ac:dyDescent="0.3">
      <c r="B786" s="24">
        <v>766</v>
      </c>
      <c r="C786" s="24">
        <v>12</v>
      </c>
      <c r="D786" s="24">
        <v>0</v>
      </c>
      <c r="E786" s="24">
        <v>0</v>
      </c>
      <c r="F786" s="24">
        <v>0</v>
      </c>
      <c r="G786" s="24">
        <v>1</v>
      </c>
      <c r="H786" s="24">
        <v>0</v>
      </c>
      <c r="I786" s="24">
        <v>0</v>
      </c>
      <c r="J786" s="24">
        <v>1155</v>
      </c>
      <c r="K786" s="24">
        <v>3</v>
      </c>
      <c r="L786" s="24">
        <v>0</v>
      </c>
      <c r="M786" s="24">
        <v>0</v>
      </c>
      <c r="N786" s="24">
        <v>1</v>
      </c>
      <c r="O786" s="24">
        <v>0</v>
      </c>
      <c r="P786" s="24">
        <v>1</v>
      </c>
      <c r="Q786" s="24">
        <v>1</v>
      </c>
      <c r="R786" s="24">
        <v>0</v>
      </c>
      <c r="S786" s="24">
        <v>40</v>
      </c>
      <c r="T786" s="24">
        <v>1</v>
      </c>
      <c r="U786" s="24">
        <v>0</v>
      </c>
      <c r="V786" s="24">
        <v>1</v>
      </c>
      <c r="W786" s="24">
        <v>2</v>
      </c>
      <c r="X786" s="24">
        <v>1</v>
      </c>
      <c r="Y786" s="24">
        <v>0</v>
      </c>
      <c r="Z786" s="24">
        <v>0</v>
      </c>
      <c r="AA786" s="24">
        <v>1</v>
      </c>
      <c r="AB786" s="24">
        <v>0</v>
      </c>
      <c r="AC786" s="24">
        <v>1</v>
      </c>
      <c r="AD786" s="24">
        <v>0</v>
      </c>
      <c r="AE786" s="24">
        <v>0</v>
      </c>
      <c r="AF786" s="24">
        <v>0</v>
      </c>
      <c r="AG786" s="24">
        <v>0</v>
      </c>
      <c r="AH786" s="24">
        <v>1</v>
      </c>
      <c r="AI786" s="24">
        <v>0</v>
      </c>
      <c r="AJ786" s="24">
        <v>0</v>
      </c>
      <c r="AK786" s="24">
        <v>1</v>
      </c>
      <c r="AL786" s="24">
        <v>0</v>
      </c>
      <c r="AM786" s="24">
        <v>0</v>
      </c>
      <c r="AN786" s="24">
        <v>0</v>
      </c>
      <c r="AO786" s="24">
        <v>0</v>
      </c>
      <c r="AP786" s="24">
        <v>0</v>
      </c>
      <c r="AQ786" s="24">
        <v>0</v>
      </c>
      <c r="AR786" s="24">
        <v>0</v>
      </c>
      <c r="AS786" s="24">
        <v>0</v>
      </c>
      <c r="AT786" s="24">
        <v>1</v>
      </c>
      <c r="AU786" s="24">
        <v>0</v>
      </c>
      <c r="AV786" s="24">
        <v>0</v>
      </c>
      <c r="AW786" s="24">
        <v>1</v>
      </c>
      <c r="AX786" s="24">
        <v>0</v>
      </c>
      <c r="AY786" s="24">
        <v>0</v>
      </c>
      <c r="AZ786" s="24">
        <v>1</v>
      </c>
      <c r="BA786" s="24">
        <v>0</v>
      </c>
      <c r="BB786" s="24">
        <v>0</v>
      </c>
    </row>
    <row r="787" spans="2:54" ht="13.8" x14ac:dyDescent="0.3">
      <c r="B787" s="24">
        <v>767</v>
      </c>
      <c r="C787" s="24">
        <v>30</v>
      </c>
      <c r="D787" s="24">
        <v>0</v>
      </c>
      <c r="E787" s="24">
        <v>0</v>
      </c>
      <c r="F787" s="24">
        <v>1</v>
      </c>
      <c r="G787" s="24">
        <v>0</v>
      </c>
      <c r="H787" s="24">
        <v>0</v>
      </c>
      <c r="I787" s="24">
        <v>0</v>
      </c>
      <c r="J787" s="24">
        <v>3108</v>
      </c>
      <c r="K787" s="24">
        <v>2</v>
      </c>
      <c r="L787" s="24">
        <v>1</v>
      </c>
      <c r="M787" s="24">
        <v>0</v>
      </c>
      <c r="N787" s="24">
        <v>0</v>
      </c>
      <c r="O787" s="24">
        <v>0</v>
      </c>
      <c r="P787" s="24">
        <v>0</v>
      </c>
      <c r="Q787" s="24">
        <v>0</v>
      </c>
      <c r="R787" s="24">
        <v>0</v>
      </c>
      <c r="S787" s="24">
        <v>31</v>
      </c>
      <c r="T787" s="24">
        <v>0</v>
      </c>
      <c r="U787" s="24">
        <v>0</v>
      </c>
      <c r="V787" s="24">
        <v>1</v>
      </c>
      <c r="W787" s="24">
        <v>1</v>
      </c>
      <c r="X787" s="24">
        <v>1</v>
      </c>
      <c r="Y787" s="24">
        <v>0</v>
      </c>
      <c r="Z787" s="24">
        <v>0</v>
      </c>
      <c r="AA787" s="24">
        <v>0</v>
      </c>
      <c r="AB787" s="24">
        <v>1</v>
      </c>
      <c r="AC787" s="24">
        <v>0</v>
      </c>
      <c r="AD787" s="24">
        <v>0</v>
      </c>
      <c r="AE787" s="24">
        <v>0</v>
      </c>
      <c r="AF787" s="24">
        <v>0</v>
      </c>
      <c r="AG787" s="24">
        <v>0</v>
      </c>
      <c r="AH787" s="24">
        <v>1</v>
      </c>
      <c r="AI787" s="24">
        <v>0</v>
      </c>
      <c r="AJ787" s="24">
        <v>0</v>
      </c>
      <c r="AK787" s="24">
        <v>1</v>
      </c>
      <c r="AL787" s="24">
        <v>0</v>
      </c>
      <c r="AM787" s="24">
        <v>0</v>
      </c>
      <c r="AN787" s="24">
        <v>0</v>
      </c>
      <c r="AO787" s="24">
        <v>0</v>
      </c>
      <c r="AP787" s="24">
        <v>0</v>
      </c>
      <c r="AQ787" s="24">
        <v>1</v>
      </c>
      <c r="AR787" s="24">
        <v>0</v>
      </c>
      <c r="AS787" s="24">
        <v>0</v>
      </c>
      <c r="AT787" s="24">
        <v>0</v>
      </c>
      <c r="AU787" s="24">
        <v>0</v>
      </c>
      <c r="AV787" s="24">
        <v>0</v>
      </c>
      <c r="AW787" s="24">
        <v>0</v>
      </c>
      <c r="AX787" s="24">
        <v>1</v>
      </c>
      <c r="AY787" s="24">
        <v>0</v>
      </c>
      <c r="AZ787" s="24">
        <v>1</v>
      </c>
      <c r="BA787" s="24">
        <v>0</v>
      </c>
      <c r="BB787" s="24">
        <v>0</v>
      </c>
    </row>
    <row r="788" spans="2:54" ht="13.8" x14ac:dyDescent="0.3">
      <c r="B788" s="24">
        <v>768</v>
      </c>
      <c r="C788" s="24">
        <v>10</v>
      </c>
      <c r="D788" s="24">
        <v>0</v>
      </c>
      <c r="E788" s="24">
        <v>1</v>
      </c>
      <c r="F788" s="24">
        <v>0</v>
      </c>
      <c r="G788" s="24">
        <v>0</v>
      </c>
      <c r="H788" s="24">
        <v>0</v>
      </c>
      <c r="I788" s="24">
        <v>0</v>
      </c>
      <c r="J788" s="24">
        <v>2901</v>
      </c>
      <c r="K788" s="24">
        <v>1</v>
      </c>
      <c r="L788" s="24">
        <v>0</v>
      </c>
      <c r="M788" s="24">
        <v>0</v>
      </c>
      <c r="N788" s="24">
        <v>0</v>
      </c>
      <c r="O788" s="24">
        <v>0</v>
      </c>
      <c r="P788" s="24">
        <v>0</v>
      </c>
      <c r="Q788" s="24">
        <v>1</v>
      </c>
      <c r="R788" s="24">
        <v>0</v>
      </c>
      <c r="S788" s="24">
        <v>31</v>
      </c>
      <c r="T788" s="24">
        <v>0</v>
      </c>
      <c r="U788" s="24">
        <v>1</v>
      </c>
      <c r="V788" s="24">
        <v>0</v>
      </c>
      <c r="W788" s="24">
        <v>1</v>
      </c>
      <c r="X788" s="24">
        <v>1</v>
      </c>
      <c r="Y788" s="24">
        <v>0</v>
      </c>
      <c r="Z788" s="24">
        <v>0</v>
      </c>
      <c r="AA788" s="24">
        <v>1</v>
      </c>
      <c r="AB788" s="24">
        <v>0</v>
      </c>
      <c r="AC788" s="24">
        <v>0</v>
      </c>
      <c r="AD788" s="24">
        <v>0</v>
      </c>
      <c r="AE788" s="24">
        <v>1</v>
      </c>
      <c r="AF788" s="24">
        <v>0</v>
      </c>
      <c r="AG788" s="24">
        <v>0</v>
      </c>
      <c r="AH788" s="24">
        <v>1</v>
      </c>
      <c r="AI788" s="24">
        <v>0</v>
      </c>
      <c r="AJ788" s="24">
        <v>0</v>
      </c>
      <c r="AK788" s="24">
        <v>0</v>
      </c>
      <c r="AL788" s="24">
        <v>0</v>
      </c>
      <c r="AM788" s="24">
        <v>0</v>
      </c>
      <c r="AN788" s="24">
        <v>0</v>
      </c>
      <c r="AO788" s="24">
        <v>1</v>
      </c>
      <c r="AP788" s="24">
        <v>0</v>
      </c>
      <c r="AQ788" s="24">
        <v>1</v>
      </c>
      <c r="AR788" s="24">
        <v>0</v>
      </c>
      <c r="AS788" s="24">
        <v>0</v>
      </c>
      <c r="AT788" s="24">
        <v>0</v>
      </c>
      <c r="AU788" s="24">
        <v>0</v>
      </c>
      <c r="AV788" s="24">
        <v>0</v>
      </c>
      <c r="AW788" s="24">
        <v>0</v>
      </c>
      <c r="AX788" s="24">
        <v>1</v>
      </c>
      <c r="AY788" s="24">
        <v>0</v>
      </c>
      <c r="AZ788" s="24">
        <v>0</v>
      </c>
      <c r="BA788" s="24">
        <v>1</v>
      </c>
      <c r="BB788" s="24">
        <v>0</v>
      </c>
    </row>
    <row r="789" spans="2:54" ht="13.8" x14ac:dyDescent="0.3">
      <c r="B789" s="24">
        <v>769</v>
      </c>
      <c r="C789" s="24">
        <v>12</v>
      </c>
      <c r="D789" s="24">
        <v>0</v>
      </c>
      <c r="E789" s="24">
        <v>0</v>
      </c>
      <c r="F789" s="24">
        <v>1</v>
      </c>
      <c r="G789" s="24">
        <v>0</v>
      </c>
      <c r="H789" s="24">
        <v>0</v>
      </c>
      <c r="I789" s="24">
        <v>0</v>
      </c>
      <c r="J789" s="24">
        <v>3617</v>
      </c>
      <c r="K789" s="24">
        <v>1</v>
      </c>
      <c r="L789" s="24">
        <v>0</v>
      </c>
      <c r="M789" s="24">
        <v>1</v>
      </c>
      <c r="N789" s="24">
        <v>0</v>
      </c>
      <c r="O789" s="24">
        <v>0</v>
      </c>
      <c r="P789" s="24">
        <v>0</v>
      </c>
      <c r="Q789" s="24">
        <v>0</v>
      </c>
      <c r="R789" s="24">
        <v>0</v>
      </c>
      <c r="S789" s="24">
        <v>28</v>
      </c>
      <c r="T789" s="24">
        <v>0</v>
      </c>
      <c r="U789" s="24">
        <v>1</v>
      </c>
      <c r="V789" s="24">
        <v>0</v>
      </c>
      <c r="W789" s="24">
        <v>3</v>
      </c>
      <c r="X789" s="24">
        <v>1</v>
      </c>
      <c r="Y789" s="24">
        <v>1</v>
      </c>
      <c r="Z789" s="24">
        <v>0</v>
      </c>
      <c r="AA789" s="24">
        <v>1</v>
      </c>
      <c r="AB789" s="24">
        <v>0</v>
      </c>
      <c r="AC789" s="24">
        <v>1</v>
      </c>
      <c r="AD789" s="24">
        <v>0</v>
      </c>
      <c r="AE789" s="24">
        <v>0</v>
      </c>
      <c r="AF789" s="24">
        <v>0</v>
      </c>
      <c r="AG789" s="24">
        <v>0</v>
      </c>
      <c r="AH789" s="24">
        <v>0</v>
      </c>
      <c r="AI789" s="24">
        <v>0</v>
      </c>
      <c r="AJ789" s="24">
        <v>1</v>
      </c>
      <c r="AK789" s="24">
        <v>1</v>
      </c>
      <c r="AL789" s="24">
        <v>0</v>
      </c>
      <c r="AM789" s="24">
        <v>0</v>
      </c>
      <c r="AN789" s="24">
        <v>0</v>
      </c>
      <c r="AO789" s="24">
        <v>0</v>
      </c>
      <c r="AP789" s="24">
        <v>0</v>
      </c>
      <c r="AQ789" s="24">
        <v>0</v>
      </c>
      <c r="AR789" s="24">
        <v>0</v>
      </c>
      <c r="AS789" s="24">
        <v>0</v>
      </c>
      <c r="AT789" s="24">
        <v>1</v>
      </c>
      <c r="AU789" s="24">
        <v>0</v>
      </c>
      <c r="AV789" s="24">
        <v>0</v>
      </c>
      <c r="AW789" s="24">
        <v>0</v>
      </c>
      <c r="AX789" s="24">
        <v>1</v>
      </c>
      <c r="AY789" s="24">
        <v>0</v>
      </c>
      <c r="AZ789" s="24">
        <v>0</v>
      </c>
      <c r="BA789" s="24">
        <v>1</v>
      </c>
      <c r="BB789" s="24">
        <v>0</v>
      </c>
    </row>
    <row r="790" spans="2:54" ht="13.8" x14ac:dyDescent="0.3">
      <c r="B790" s="24">
        <v>770</v>
      </c>
      <c r="C790" s="24">
        <v>12</v>
      </c>
      <c r="D790" s="24">
        <v>0</v>
      </c>
      <c r="E790" s="24">
        <v>0</v>
      </c>
      <c r="F790" s="24">
        <v>0</v>
      </c>
      <c r="G790" s="24">
        <v>1</v>
      </c>
      <c r="H790" s="24">
        <v>0</v>
      </c>
      <c r="I790" s="24">
        <v>0</v>
      </c>
      <c r="J790" s="24">
        <v>1655</v>
      </c>
      <c r="K790" s="24">
        <v>2</v>
      </c>
      <c r="L790" s="24">
        <v>0</v>
      </c>
      <c r="M790" s="24">
        <v>1</v>
      </c>
      <c r="N790" s="24">
        <v>0</v>
      </c>
      <c r="O790" s="24">
        <v>0</v>
      </c>
      <c r="P790" s="24">
        <v>0</v>
      </c>
      <c r="Q790" s="24">
        <v>1</v>
      </c>
      <c r="R790" s="24">
        <v>0</v>
      </c>
      <c r="S790" s="24">
        <v>63</v>
      </c>
      <c r="T790" s="24">
        <v>0</v>
      </c>
      <c r="U790" s="24">
        <v>0</v>
      </c>
      <c r="V790" s="24">
        <v>1</v>
      </c>
      <c r="W790" s="24">
        <v>2</v>
      </c>
      <c r="X790" s="24">
        <v>1</v>
      </c>
      <c r="Y790" s="24">
        <v>1</v>
      </c>
      <c r="Z790" s="24">
        <v>0</v>
      </c>
      <c r="AA790" s="24">
        <v>1</v>
      </c>
      <c r="AB790" s="24">
        <v>0</v>
      </c>
      <c r="AC790" s="24">
        <v>0</v>
      </c>
      <c r="AD790" s="24">
        <v>0</v>
      </c>
      <c r="AE790" s="24">
        <v>1</v>
      </c>
      <c r="AF790" s="24">
        <v>0</v>
      </c>
      <c r="AG790" s="24">
        <v>0</v>
      </c>
      <c r="AH790" s="24">
        <v>0</v>
      </c>
      <c r="AI790" s="24">
        <v>0</v>
      </c>
      <c r="AJ790" s="24">
        <v>1</v>
      </c>
      <c r="AK790" s="24">
        <v>1</v>
      </c>
      <c r="AL790" s="24">
        <v>0</v>
      </c>
      <c r="AM790" s="24">
        <v>0</v>
      </c>
      <c r="AN790" s="24">
        <v>0</v>
      </c>
      <c r="AO790" s="24">
        <v>0</v>
      </c>
      <c r="AP790" s="24">
        <v>0</v>
      </c>
      <c r="AQ790" s="24">
        <v>0</v>
      </c>
      <c r="AR790" s="24">
        <v>0</v>
      </c>
      <c r="AS790" s="24">
        <v>0</v>
      </c>
      <c r="AT790" s="24">
        <v>1</v>
      </c>
      <c r="AU790" s="24">
        <v>0</v>
      </c>
      <c r="AV790" s="24">
        <v>0</v>
      </c>
      <c r="AW790" s="24">
        <v>0</v>
      </c>
      <c r="AX790" s="24">
        <v>1</v>
      </c>
      <c r="AY790" s="24">
        <v>0</v>
      </c>
      <c r="AZ790" s="24">
        <v>1</v>
      </c>
      <c r="BA790" s="24">
        <v>0</v>
      </c>
      <c r="BB790" s="24">
        <v>0</v>
      </c>
    </row>
    <row r="791" spans="2:54" ht="13.8" x14ac:dyDescent="0.3">
      <c r="B791" s="24">
        <v>771</v>
      </c>
      <c r="C791" s="24">
        <v>24</v>
      </c>
      <c r="D791" s="24">
        <v>0</v>
      </c>
      <c r="E791" s="24">
        <v>1</v>
      </c>
      <c r="F791" s="24">
        <v>0</v>
      </c>
      <c r="G791" s="24">
        <v>0</v>
      </c>
      <c r="H791" s="24">
        <v>0</v>
      </c>
      <c r="I791" s="24">
        <v>0</v>
      </c>
      <c r="J791" s="24">
        <v>2812</v>
      </c>
      <c r="K791" s="24">
        <v>2</v>
      </c>
      <c r="L791" s="24">
        <v>0</v>
      </c>
      <c r="M791" s="24">
        <v>0</v>
      </c>
      <c r="N791" s="24">
        <v>0</v>
      </c>
      <c r="O791" s="24">
        <v>0</v>
      </c>
      <c r="P791" s="24">
        <v>0</v>
      </c>
      <c r="Q791" s="24">
        <v>1</v>
      </c>
      <c r="R791" s="24">
        <v>0</v>
      </c>
      <c r="S791" s="24">
        <v>26</v>
      </c>
      <c r="T791" s="24">
        <v>0</v>
      </c>
      <c r="U791" s="24">
        <v>1</v>
      </c>
      <c r="V791" s="24">
        <v>0</v>
      </c>
      <c r="W791" s="24">
        <v>1</v>
      </c>
      <c r="X791" s="24">
        <v>1</v>
      </c>
      <c r="Y791" s="24">
        <v>0</v>
      </c>
      <c r="Z791" s="24">
        <v>0</v>
      </c>
      <c r="AA791" s="24">
        <v>1</v>
      </c>
      <c r="AB791" s="24">
        <v>1</v>
      </c>
      <c r="AC791" s="24">
        <v>0</v>
      </c>
      <c r="AD791" s="24">
        <v>0</v>
      </c>
      <c r="AE791" s="24">
        <v>0</v>
      </c>
      <c r="AF791" s="24">
        <v>0</v>
      </c>
      <c r="AG791" s="24">
        <v>0</v>
      </c>
      <c r="AH791" s="24">
        <v>1</v>
      </c>
      <c r="AI791" s="24">
        <v>0</v>
      </c>
      <c r="AJ791" s="24">
        <v>0</v>
      </c>
      <c r="AK791" s="24">
        <v>0</v>
      </c>
      <c r="AL791" s="24">
        <v>0</v>
      </c>
      <c r="AM791" s="24">
        <v>0</v>
      </c>
      <c r="AN791" s="24">
        <v>0</v>
      </c>
      <c r="AO791" s="24">
        <v>1</v>
      </c>
      <c r="AP791" s="24">
        <v>0</v>
      </c>
      <c r="AQ791" s="24">
        <v>0</v>
      </c>
      <c r="AR791" s="24">
        <v>0</v>
      </c>
      <c r="AS791" s="24">
        <v>0</v>
      </c>
      <c r="AT791" s="24">
        <v>1</v>
      </c>
      <c r="AU791" s="24">
        <v>0</v>
      </c>
      <c r="AV791" s="24">
        <v>0</v>
      </c>
      <c r="AW791" s="24">
        <v>0</v>
      </c>
      <c r="AX791" s="24">
        <v>1</v>
      </c>
      <c r="AY791" s="24">
        <v>0</v>
      </c>
      <c r="AZ791" s="24">
        <v>0</v>
      </c>
      <c r="BA791" s="24">
        <v>1</v>
      </c>
      <c r="BB791" s="24">
        <v>0</v>
      </c>
    </row>
    <row r="792" spans="2:54" ht="13.8" x14ac:dyDescent="0.3">
      <c r="B792" s="24">
        <v>772</v>
      </c>
      <c r="C792" s="24">
        <v>36</v>
      </c>
      <c r="D792" s="24">
        <v>0</v>
      </c>
      <c r="E792" s="24">
        <v>0</v>
      </c>
      <c r="F792" s="24">
        <v>0</v>
      </c>
      <c r="G792" s="24">
        <v>0</v>
      </c>
      <c r="H792" s="24">
        <v>1</v>
      </c>
      <c r="I792" s="24">
        <v>0</v>
      </c>
      <c r="J792" s="24">
        <v>8065</v>
      </c>
      <c r="K792" s="24">
        <v>3</v>
      </c>
      <c r="L792" s="24">
        <v>0</v>
      </c>
      <c r="M792" s="24">
        <v>0</v>
      </c>
      <c r="N792" s="24">
        <v>0</v>
      </c>
      <c r="O792" s="24">
        <v>0</v>
      </c>
      <c r="P792" s="24">
        <v>0</v>
      </c>
      <c r="Q792" s="24">
        <v>0</v>
      </c>
      <c r="R792" s="24">
        <v>1</v>
      </c>
      <c r="S792" s="24">
        <v>25</v>
      </c>
      <c r="T792" s="24">
        <v>0</v>
      </c>
      <c r="U792" s="24">
        <v>0</v>
      </c>
      <c r="V792" s="24">
        <v>1</v>
      </c>
      <c r="W792" s="24">
        <v>2</v>
      </c>
      <c r="X792" s="24">
        <v>1</v>
      </c>
      <c r="Y792" s="24">
        <v>1</v>
      </c>
      <c r="Z792" s="24">
        <v>0</v>
      </c>
      <c r="AA792" s="24">
        <v>0</v>
      </c>
      <c r="AB792" s="24">
        <v>1</v>
      </c>
      <c r="AC792" s="24">
        <v>0</v>
      </c>
      <c r="AD792" s="24">
        <v>0</v>
      </c>
      <c r="AE792" s="24">
        <v>0</v>
      </c>
      <c r="AF792" s="24">
        <v>0</v>
      </c>
      <c r="AG792" s="24">
        <v>0</v>
      </c>
      <c r="AH792" s="24">
        <v>0</v>
      </c>
      <c r="AI792" s="24">
        <v>0</v>
      </c>
      <c r="AJ792" s="24">
        <v>1</v>
      </c>
      <c r="AK792" s="24">
        <v>1</v>
      </c>
      <c r="AL792" s="24">
        <v>0</v>
      </c>
      <c r="AM792" s="24">
        <v>0</v>
      </c>
      <c r="AN792" s="24">
        <v>0</v>
      </c>
      <c r="AO792" s="24">
        <v>0</v>
      </c>
      <c r="AP792" s="24">
        <v>0</v>
      </c>
      <c r="AQ792" s="24">
        <v>0</v>
      </c>
      <c r="AR792" s="24">
        <v>1</v>
      </c>
      <c r="AS792" s="24">
        <v>0</v>
      </c>
      <c r="AT792" s="24">
        <v>0</v>
      </c>
      <c r="AU792" s="24">
        <v>0</v>
      </c>
      <c r="AV792" s="24">
        <v>1</v>
      </c>
      <c r="AW792" s="24">
        <v>0</v>
      </c>
      <c r="AX792" s="24">
        <v>0</v>
      </c>
      <c r="AY792" s="24">
        <v>0</v>
      </c>
      <c r="AZ792" s="24">
        <v>0</v>
      </c>
      <c r="BA792" s="24">
        <v>0</v>
      </c>
      <c r="BB792" s="24">
        <v>1</v>
      </c>
    </row>
    <row r="793" spans="2:54" ht="13.8" x14ac:dyDescent="0.3">
      <c r="B793" s="24">
        <v>773</v>
      </c>
      <c r="C793" s="24">
        <v>21</v>
      </c>
      <c r="D793" s="24">
        <v>0</v>
      </c>
      <c r="E793" s="24">
        <v>1</v>
      </c>
      <c r="F793" s="24">
        <v>0</v>
      </c>
      <c r="G793" s="24">
        <v>0</v>
      </c>
      <c r="H793" s="24">
        <v>0</v>
      </c>
      <c r="I793" s="24">
        <v>0</v>
      </c>
      <c r="J793" s="24">
        <v>3275</v>
      </c>
      <c r="K793" s="24">
        <v>1</v>
      </c>
      <c r="L793" s="24">
        <v>0</v>
      </c>
      <c r="M793" s="24">
        <v>1</v>
      </c>
      <c r="N793" s="24">
        <v>0</v>
      </c>
      <c r="O793" s="24">
        <v>0</v>
      </c>
      <c r="P793" s="24">
        <v>0</v>
      </c>
      <c r="Q793" s="24">
        <v>0</v>
      </c>
      <c r="R793" s="24">
        <v>0</v>
      </c>
      <c r="S793" s="24">
        <v>36</v>
      </c>
      <c r="T793" s="24">
        <v>0</v>
      </c>
      <c r="U793" s="24">
        <v>0</v>
      </c>
      <c r="V793" s="24">
        <v>1</v>
      </c>
      <c r="W793" s="24">
        <v>1</v>
      </c>
      <c r="X793" s="24">
        <v>1</v>
      </c>
      <c r="Y793" s="24">
        <v>1</v>
      </c>
      <c r="Z793" s="24">
        <v>0</v>
      </c>
      <c r="AA793" s="24">
        <v>1</v>
      </c>
      <c r="AB793" s="24">
        <v>0</v>
      </c>
      <c r="AC793" s="24">
        <v>0</v>
      </c>
      <c r="AD793" s="24">
        <v>0</v>
      </c>
      <c r="AE793" s="24">
        <v>1</v>
      </c>
      <c r="AF793" s="24">
        <v>0</v>
      </c>
      <c r="AG793" s="24">
        <v>0</v>
      </c>
      <c r="AH793" s="24">
        <v>0</v>
      </c>
      <c r="AI793" s="24">
        <v>0</v>
      </c>
      <c r="AJ793" s="24">
        <v>1</v>
      </c>
      <c r="AK793" s="24">
        <v>1</v>
      </c>
      <c r="AL793" s="24">
        <v>0</v>
      </c>
      <c r="AM793" s="24">
        <v>0</v>
      </c>
      <c r="AN793" s="24">
        <v>0</v>
      </c>
      <c r="AO793" s="24">
        <v>0</v>
      </c>
      <c r="AP793" s="24">
        <v>0</v>
      </c>
      <c r="AQ793" s="24">
        <v>0</v>
      </c>
      <c r="AR793" s="24">
        <v>0</v>
      </c>
      <c r="AS793" s="24">
        <v>0</v>
      </c>
      <c r="AT793" s="24">
        <v>1</v>
      </c>
      <c r="AU793" s="24">
        <v>0</v>
      </c>
      <c r="AV793" s="24">
        <v>0</v>
      </c>
      <c r="AW793" s="24">
        <v>0</v>
      </c>
      <c r="AX793" s="24">
        <v>1</v>
      </c>
      <c r="AY793" s="24">
        <v>0</v>
      </c>
      <c r="AZ793" s="24">
        <v>0</v>
      </c>
      <c r="BA793" s="24">
        <v>0</v>
      </c>
      <c r="BB793" s="24">
        <v>1</v>
      </c>
    </row>
    <row r="794" spans="2:54" ht="13.8" x14ac:dyDescent="0.3">
      <c r="B794" s="24">
        <v>774</v>
      </c>
      <c r="C794" s="24">
        <v>24</v>
      </c>
      <c r="D794" s="24">
        <v>0</v>
      </c>
      <c r="E794" s="24">
        <v>0</v>
      </c>
      <c r="F794" s="24">
        <v>0</v>
      </c>
      <c r="G794" s="24">
        <v>1</v>
      </c>
      <c r="H794" s="24">
        <v>0</v>
      </c>
      <c r="I794" s="24">
        <v>0</v>
      </c>
      <c r="J794" s="24">
        <v>2223</v>
      </c>
      <c r="K794" s="24">
        <v>4</v>
      </c>
      <c r="L794" s="24">
        <v>0</v>
      </c>
      <c r="M794" s="24">
        <v>1</v>
      </c>
      <c r="N794" s="24">
        <v>0</v>
      </c>
      <c r="O794" s="24">
        <v>0</v>
      </c>
      <c r="P794" s="24">
        <v>0</v>
      </c>
      <c r="Q794" s="24">
        <v>0</v>
      </c>
      <c r="R794" s="24">
        <v>0</v>
      </c>
      <c r="S794" s="24">
        <v>52</v>
      </c>
      <c r="T794" s="24">
        <v>1</v>
      </c>
      <c r="U794" s="24">
        <v>0</v>
      </c>
      <c r="V794" s="24">
        <v>1</v>
      </c>
      <c r="W794" s="24">
        <v>2</v>
      </c>
      <c r="X794" s="24">
        <v>1</v>
      </c>
      <c r="Y794" s="24">
        <v>0</v>
      </c>
      <c r="Z794" s="24">
        <v>0</v>
      </c>
      <c r="AA794" s="24">
        <v>1</v>
      </c>
      <c r="AB794" s="24">
        <v>0</v>
      </c>
      <c r="AC794" s="24">
        <v>0</v>
      </c>
      <c r="AD794" s="24">
        <v>0</v>
      </c>
      <c r="AE794" s="24">
        <v>1</v>
      </c>
      <c r="AF794" s="24">
        <v>0</v>
      </c>
      <c r="AG794" s="24">
        <v>0</v>
      </c>
      <c r="AH794" s="24">
        <v>0</v>
      </c>
      <c r="AI794" s="24">
        <v>0</v>
      </c>
      <c r="AJ794" s="24">
        <v>1</v>
      </c>
      <c r="AK794" s="24">
        <v>0</v>
      </c>
      <c r="AL794" s="24">
        <v>1</v>
      </c>
      <c r="AM794" s="24">
        <v>0</v>
      </c>
      <c r="AN794" s="24">
        <v>0</v>
      </c>
      <c r="AO794" s="24">
        <v>0</v>
      </c>
      <c r="AP794" s="24">
        <v>0</v>
      </c>
      <c r="AQ794" s="24">
        <v>0</v>
      </c>
      <c r="AR794" s="24">
        <v>0</v>
      </c>
      <c r="AS794" s="24">
        <v>0</v>
      </c>
      <c r="AT794" s="24">
        <v>1</v>
      </c>
      <c r="AU794" s="24">
        <v>0</v>
      </c>
      <c r="AV794" s="24">
        <v>0</v>
      </c>
      <c r="AW794" s="24">
        <v>0</v>
      </c>
      <c r="AX794" s="24">
        <v>1</v>
      </c>
      <c r="AY794" s="24">
        <v>0</v>
      </c>
      <c r="AZ794" s="24">
        <v>0</v>
      </c>
      <c r="BA794" s="24">
        <v>1</v>
      </c>
      <c r="BB794" s="24">
        <v>0</v>
      </c>
    </row>
    <row r="795" spans="2:54" ht="13.8" x14ac:dyDescent="0.3">
      <c r="B795" s="24">
        <v>775</v>
      </c>
      <c r="C795" s="24">
        <v>12</v>
      </c>
      <c r="D795" s="24">
        <v>1</v>
      </c>
      <c r="E795" s="24">
        <v>0</v>
      </c>
      <c r="F795" s="24">
        <v>0</v>
      </c>
      <c r="G795" s="24">
        <v>0</v>
      </c>
      <c r="H795" s="24">
        <v>0</v>
      </c>
      <c r="I795" s="24">
        <v>0</v>
      </c>
      <c r="J795" s="24">
        <v>1480</v>
      </c>
      <c r="K795" s="24">
        <v>2</v>
      </c>
      <c r="L795" s="24">
        <v>0</v>
      </c>
      <c r="M795" s="24">
        <v>1</v>
      </c>
      <c r="N795" s="24">
        <v>0</v>
      </c>
      <c r="O795" s="24">
        <v>0</v>
      </c>
      <c r="P795" s="24">
        <v>0</v>
      </c>
      <c r="Q795" s="24">
        <v>0</v>
      </c>
      <c r="R795" s="24">
        <v>1</v>
      </c>
      <c r="S795" s="24">
        <v>66</v>
      </c>
      <c r="T795" s="24">
        <v>1</v>
      </c>
      <c r="U795" s="24">
        <v>0</v>
      </c>
      <c r="V795" s="24">
        <v>0</v>
      </c>
      <c r="W795" s="24">
        <v>3</v>
      </c>
      <c r="X795" s="24">
        <v>1</v>
      </c>
      <c r="Y795" s="24">
        <v>0</v>
      </c>
      <c r="Z795" s="24">
        <v>0</v>
      </c>
      <c r="AA795" s="24">
        <v>1</v>
      </c>
      <c r="AB795" s="24">
        <v>0</v>
      </c>
      <c r="AC795" s="24">
        <v>0</v>
      </c>
      <c r="AD795" s="24">
        <v>1</v>
      </c>
      <c r="AE795" s="24">
        <v>0</v>
      </c>
      <c r="AF795" s="24">
        <v>0</v>
      </c>
      <c r="AG795" s="24">
        <v>0</v>
      </c>
      <c r="AH795" s="24">
        <v>0</v>
      </c>
      <c r="AI795" s="24">
        <v>0</v>
      </c>
      <c r="AJ795" s="24">
        <v>1</v>
      </c>
      <c r="AK795" s="24">
        <v>0</v>
      </c>
      <c r="AL795" s="24">
        <v>0</v>
      </c>
      <c r="AM795" s="24">
        <v>1</v>
      </c>
      <c r="AN795" s="24">
        <v>0</v>
      </c>
      <c r="AO795" s="24">
        <v>0</v>
      </c>
      <c r="AP795" s="24">
        <v>1</v>
      </c>
      <c r="AQ795" s="24">
        <v>0</v>
      </c>
      <c r="AR795" s="24">
        <v>0</v>
      </c>
      <c r="AS795" s="24">
        <v>0</v>
      </c>
      <c r="AT795" s="24">
        <v>0</v>
      </c>
      <c r="AU795" s="24">
        <v>0</v>
      </c>
      <c r="AV795" s="24">
        <v>0</v>
      </c>
      <c r="AW795" s="24">
        <v>0</v>
      </c>
      <c r="AX795" s="24">
        <v>1</v>
      </c>
      <c r="AY795" s="24">
        <v>1</v>
      </c>
      <c r="AZ795" s="24">
        <v>0</v>
      </c>
      <c r="BA795" s="24">
        <v>0</v>
      </c>
      <c r="BB795" s="24">
        <v>0</v>
      </c>
    </row>
    <row r="796" spans="2:54" ht="13.8" x14ac:dyDescent="0.3">
      <c r="B796" s="24">
        <v>776</v>
      </c>
      <c r="C796" s="24">
        <v>24</v>
      </c>
      <c r="D796" s="24">
        <v>1</v>
      </c>
      <c r="E796" s="24">
        <v>0</v>
      </c>
      <c r="F796" s="24">
        <v>0</v>
      </c>
      <c r="G796" s="24">
        <v>0</v>
      </c>
      <c r="H796" s="24">
        <v>0</v>
      </c>
      <c r="I796" s="24">
        <v>0</v>
      </c>
      <c r="J796" s="24">
        <v>1371</v>
      </c>
      <c r="K796" s="24">
        <v>4</v>
      </c>
      <c r="L796" s="24">
        <v>0</v>
      </c>
      <c r="M796" s="24">
        <v>0</v>
      </c>
      <c r="N796" s="24">
        <v>0</v>
      </c>
      <c r="O796" s="24">
        <v>0</v>
      </c>
      <c r="P796" s="24">
        <v>0</v>
      </c>
      <c r="Q796" s="24">
        <v>1</v>
      </c>
      <c r="R796" s="24">
        <v>0</v>
      </c>
      <c r="S796" s="24">
        <v>25</v>
      </c>
      <c r="T796" s="24">
        <v>0</v>
      </c>
      <c r="U796" s="24">
        <v>1</v>
      </c>
      <c r="V796" s="24">
        <v>0</v>
      </c>
      <c r="W796" s="24">
        <v>1</v>
      </c>
      <c r="X796" s="24">
        <v>1</v>
      </c>
      <c r="Y796" s="24">
        <v>0</v>
      </c>
      <c r="Z796" s="24">
        <v>0</v>
      </c>
      <c r="AA796" s="24">
        <v>0</v>
      </c>
      <c r="AB796" s="24">
        <v>1</v>
      </c>
      <c r="AC796" s="24">
        <v>0</v>
      </c>
      <c r="AD796" s="24">
        <v>0</v>
      </c>
      <c r="AE796" s="24">
        <v>0</v>
      </c>
      <c r="AF796" s="24">
        <v>0</v>
      </c>
      <c r="AG796" s="24">
        <v>0</v>
      </c>
      <c r="AH796" s="24">
        <v>1</v>
      </c>
      <c r="AI796" s="24">
        <v>0</v>
      </c>
      <c r="AJ796" s="24">
        <v>0</v>
      </c>
      <c r="AK796" s="24">
        <v>0</v>
      </c>
      <c r="AL796" s="24">
        <v>0</v>
      </c>
      <c r="AM796" s="24">
        <v>0</v>
      </c>
      <c r="AN796" s="24">
        <v>0</v>
      </c>
      <c r="AO796" s="24">
        <v>1</v>
      </c>
      <c r="AP796" s="24">
        <v>0</v>
      </c>
      <c r="AQ796" s="24">
        <v>0</v>
      </c>
      <c r="AR796" s="24">
        <v>1</v>
      </c>
      <c r="AS796" s="24">
        <v>0</v>
      </c>
      <c r="AT796" s="24">
        <v>0</v>
      </c>
      <c r="AU796" s="24">
        <v>0</v>
      </c>
      <c r="AV796" s="24">
        <v>0</v>
      </c>
      <c r="AW796" s="24">
        <v>0</v>
      </c>
      <c r="AX796" s="24">
        <v>1</v>
      </c>
      <c r="AY796" s="24">
        <v>0</v>
      </c>
      <c r="AZ796" s="24">
        <v>0</v>
      </c>
      <c r="BA796" s="24">
        <v>1</v>
      </c>
      <c r="BB796" s="24">
        <v>0</v>
      </c>
    </row>
    <row r="797" spans="2:54" ht="13.8" x14ac:dyDescent="0.3">
      <c r="B797" s="24">
        <v>777</v>
      </c>
      <c r="C797" s="24">
        <v>36</v>
      </c>
      <c r="D797" s="24">
        <v>1</v>
      </c>
      <c r="E797" s="24">
        <v>0</v>
      </c>
      <c r="F797" s="24">
        <v>0</v>
      </c>
      <c r="G797" s="24">
        <v>0</v>
      </c>
      <c r="H797" s="24">
        <v>0</v>
      </c>
      <c r="I797" s="24">
        <v>0</v>
      </c>
      <c r="J797" s="24">
        <v>3535</v>
      </c>
      <c r="K797" s="24">
        <v>4</v>
      </c>
      <c r="L797" s="24">
        <v>0</v>
      </c>
      <c r="M797" s="24">
        <v>1</v>
      </c>
      <c r="N797" s="24">
        <v>0</v>
      </c>
      <c r="O797" s="24">
        <v>0</v>
      </c>
      <c r="P797" s="24">
        <v>0</v>
      </c>
      <c r="Q797" s="24">
        <v>0</v>
      </c>
      <c r="R797" s="24">
        <v>0</v>
      </c>
      <c r="S797" s="24">
        <v>37</v>
      </c>
      <c r="T797" s="24">
        <v>0</v>
      </c>
      <c r="U797" s="24">
        <v>0</v>
      </c>
      <c r="V797" s="24">
        <v>1</v>
      </c>
      <c r="W797" s="24">
        <v>2</v>
      </c>
      <c r="X797" s="24">
        <v>1</v>
      </c>
      <c r="Y797" s="24">
        <v>1</v>
      </c>
      <c r="Z797" s="24">
        <v>0</v>
      </c>
      <c r="AA797" s="24">
        <v>1</v>
      </c>
      <c r="AB797" s="24">
        <v>0</v>
      </c>
      <c r="AC797" s="24">
        <v>0</v>
      </c>
      <c r="AD797" s="24">
        <v>0</v>
      </c>
      <c r="AE797" s="24">
        <v>1</v>
      </c>
      <c r="AF797" s="24">
        <v>0</v>
      </c>
      <c r="AG797" s="24">
        <v>0</v>
      </c>
      <c r="AH797" s="24">
        <v>0</v>
      </c>
      <c r="AI797" s="24">
        <v>0</v>
      </c>
      <c r="AJ797" s="24">
        <v>1</v>
      </c>
      <c r="AK797" s="24">
        <v>1</v>
      </c>
      <c r="AL797" s="24">
        <v>0</v>
      </c>
      <c r="AM797" s="24">
        <v>0</v>
      </c>
      <c r="AN797" s="24">
        <v>0</v>
      </c>
      <c r="AO797" s="24">
        <v>0</v>
      </c>
      <c r="AP797" s="24">
        <v>0</v>
      </c>
      <c r="AQ797" s="24">
        <v>0</v>
      </c>
      <c r="AR797" s="24">
        <v>0</v>
      </c>
      <c r="AS797" s="24">
        <v>1</v>
      </c>
      <c r="AT797" s="24">
        <v>0</v>
      </c>
      <c r="AU797" s="24">
        <v>0</v>
      </c>
      <c r="AV797" s="24">
        <v>0</v>
      </c>
      <c r="AW797" s="24">
        <v>0</v>
      </c>
      <c r="AX797" s="24">
        <v>1</v>
      </c>
      <c r="AY797" s="24">
        <v>0</v>
      </c>
      <c r="AZ797" s="24">
        <v>0</v>
      </c>
      <c r="BA797" s="24">
        <v>1</v>
      </c>
      <c r="BB797" s="24">
        <v>0</v>
      </c>
    </row>
    <row r="798" spans="2:54" ht="13.8" x14ac:dyDescent="0.3">
      <c r="B798" s="24">
        <v>778</v>
      </c>
      <c r="C798" s="24">
        <v>18</v>
      </c>
      <c r="D798" s="24">
        <v>0</v>
      </c>
      <c r="E798" s="24">
        <v>0</v>
      </c>
      <c r="F798" s="24">
        <v>0</v>
      </c>
      <c r="G798" s="24">
        <v>1</v>
      </c>
      <c r="H798" s="24">
        <v>0</v>
      </c>
      <c r="I798" s="24">
        <v>0</v>
      </c>
      <c r="J798" s="24">
        <v>3509</v>
      </c>
      <c r="K798" s="24">
        <v>4</v>
      </c>
      <c r="L798" s="24">
        <v>0</v>
      </c>
      <c r="M798" s="24">
        <v>0</v>
      </c>
      <c r="N798" s="24">
        <v>0</v>
      </c>
      <c r="O798" s="24">
        <v>0</v>
      </c>
      <c r="P798" s="24">
        <v>1</v>
      </c>
      <c r="Q798" s="24">
        <v>1</v>
      </c>
      <c r="R798" s="24">
        <v>0</v>
      </c>
      <c r="S798" s="24">
        <v>25</v>
      </c>
      <c r="T798" s="24">
        <v>0</v>
      </c>
      <c r="U798" s="24">
        <v>0</v>
      </c>
      <c r="V798" s="24">
        <v>1</v>
      </c>
      <c r="W798" s="24">
        <v>1</v>
      </c>
      <c r="X798" s="24">
        <v>1</v>
      </c>
      <c r="Y798" s="24">
        <v>0</v>
      </c>
      <c r="Z798" s="24">
        <v>0</v>
      </c>
      <c r="AA798" s="24">
        <v>1</v>
      </c>
      <c r="AB798" s="24">
        <v>1</v>
      </c>
      <c r="AC798" s="24">
        <v>0</v>
      </c>
      <c r="AD798" s="24">
        <v>0</v>
      </c>
      <c r="AE798" s="24">
        <v>0</v>
      </c>
      <c r="AF798" s="24">
        <v>0</v>
      </c>
      <c r="AG798" s="24">
        <v>0</v>
      </c>
      <c r="AH798" s="24">
        <v>1</v>
      </c>
      <c r="AI798" s="24">
        <v>0</v>
      </c>
      <c r="AJ798" s="24">
        <v>0</v>
      </c>
      <c r="AK798" s="24">
        <v>1</v>
      </c>
      <c r="AL798" s="24">
        <v>0</v>
      </c>
      <c r="AM798" s="24">
        <v>0</v>
      </c>
      <c r="AN798" s="24">
        <v>0</v>
      </c>
      <c r="AO798" s="24">
        <v>0</v>
      </c>
      <c r="AP798" s="24">
        <v>0</v>
      </c>
      <c r="AQ798" s="24">
        <v>0</v>
      </c>
      <c r="AR798" s="24">
        <v>0</v>
      </c>
      <c r="AS798" s="24">
        <v>1</v>
      </c>
      <c r="AT798" s="24">
        <v>0</v>
      </c>
      <c r="AU798" s="24">
        <v>1</v>
      </c>
      <c r="AV798" s="24">
        <v>0</v>
      </c>
      <c r="AW798" s="24">
        <v>0</v>
      </c>
      <c r="AX798" s="24">
        <v>0</v>
      </c>
      <c r="AY798" s="24">
        <v>0</v>
      </c>
      <c r="AZ798" s="24">
        <v>0</v>
      </c>
      <c r="BA798" s="24">
        <v>1</v>
      </c>
      <c r="BB798" s="24">
        <v>0</v>
      </c>
    </row>
    <row r="799" spans="2:54" ht="13.8" x14ac:dyDescent="0.3">
      <c r="B799" s="24">
        <v>779</v>
      </c>
      <c r="C799" s="24">
        <v>36</v>
      </c>
      <c r="D799" s="24">
        <v>0</v>
      </c>
      <c r="E799" s="24">
        <v>1</v>
      </c>
      <c r="F799" s="24">
        <v>0</v>
      </c>
      <c r="G799" s="24">
        <v>0</v>
      </c>
      <c r="H799" s="24">
        <v>0</v>
      </c>
      <c r="I799" s="24">
        <v>0</v>
      </c>
      <c r="J799" s="24">
        <v>5711</v>
      </c>
      <c r="K799" s="24">
        <v>4</v>
      </c>
      <c r="L799" s="24">
        <v>0</v>
      </c>
      <c r="M799" s="24">
        <v>1</v>
      </c>
      <c r="N799" s="24">
        <v>0</v>
      </c>
      <c r="O799" s="24">
        <v>0</v>
      </c>
      <c r="P799" s="24">
        <v>0</v>
      </c>
      <c r="Q799" s="24">
        <v>0</v>
      </c>
      <c r="R799" s="24">
        <v>0</v>
      </c>
      <c r="S799" s="24">
        <v>38</v>
      </c>
      <c r="T799" s="24">
        <v>0</v>
      </c>
      <c r="U799" s="24">
        <v>0</v>
      </c>
      <c r="V799" s="24">
        <v>1</v>
      </c>
      <c r="W799" s="24">
        <v>2</v>
      </c>
      <c r="X799" s="24">
        <v>1</v>
      </c>
      <c r="Y799" s="24">
        <v>1</v>
      </c>
      <c r="Z799" s="24">
        <v>0</v>
      </c>
      <c r="AA799" s="24">
        <v>1</v>
      </c>
      <c r="AB799" s="24">
        <v>0</v>
      </c>
      <c r="AC799" s="24">
        <v>0</v>
      </c>
      <c r="AD799" s="24">
        <v>0</v>
      </c>
      <c r="AE799" s="24">
        <v>1</v>
      </c>
      <c r="AF799" s="24">
        <v>0</v>
      </c>
      <c r="AG799" s="24">
        <v>0</v>
      </c>
      <c r="AH799" s="24">
        <v>0</v>
      </c>
      <c r="AI799" s="24">
        <v>0</v>
      </c>
      <c r="AJ799" s="24">
        <v>1</v>
      </c>
      <c r="AK799" s="24">
        <v>0</v>
      </c>
      <c r="AL799" s="24">
        <v>0</v>
      </c>
      <c r="AM799" s="24">
        <v>0</v>
      </c>
      <c r="AN799" s="24">
        <v>1</v>
      </c>
      <c r="AO799" s="24">
        <v>0</v>
      </c>
      <c r="AP799" s="24">
        <v>0</v>
      </c>
      <c r="AQ799" s="24">
        <v>0</v>
      </c>
      <c r="AR799" s="24">
        <v>0</v>
      </c>
      <c r="AS799" s="24">
        <v>0</v>
      </c>
      <c r="AT799" s="24">
        <v>1</v>
      </c>
      <c r="AU799" s="24">
        <v>0</v>
      </c>
      <c r="AV799" s="24">
        <v>1</v>
      </c>
      <c r="AW799" s="24">
        <v>0</v>
      </c>
      <c r="AX799" s="24">
        <v>0</v>
      </c>
      <c r="AY799" s="24">
        <v>0</v>
      </c>
      <c r="AZ799" s="24">
        <v>0</v>
      </c>
      <c r="BA799" s="24">
        <v>0</v>
      </c>
      <c r="BB799" s="24">
        <v>1</v>
      </c>
    </row>
    <row r="800" spans="2:54" ht="13.8" x14ac:dyDescent="0.3">
      <c r="B800" s="24">
        <v>780</v>
      </c>
      <c r="C800" s="24">
        <v>18</v>
      </c>
      <c r="D800" s="24">
        <v>0</v>
      </c>
      <c r="E800" s="24">
        <v>0</v>
      </c>
      <c r="F800" s="24">
        <v>0</v>
      </c>
      <c r="G800" s="24">
        <v>0</v>
      </c>
      <c r="H800" s="24">
        <v>0</v>
      </c>
      <c r="I800" s="24">
        <v>0</v>
      </c>
      <c r="J800" s="24">
        <v>3872</v>
      </c>
      <c r="K800" s="24">
        <v>2</v>
      </c>
      <c r="L800" s="24">
        <v>0</v>
      </c>
      <c r="M800" s="24">
        <v>0</v>
      </c>
      <c r="N800" s="24">
        <v>0</v>
      </c>
      <c r="O800" s="24">
        <v>0</v>
      </c>
      <c r="P800" s="24">
        <v>0</v>
      </c>
      <c r="Q800" s="24">
        <v>0</v>
      </c>
      <c r="R800" s="24">
        <v>0</v>
      </c>
      <c r="S800" s="24">
        <v>67</v>
      </c>
      <c r="T800" s="24">
        <v>0</v>
      </c>
      <c r="U800" s="24">
        <v>0</v>
      </c>
      <c r="V800" s="24">
        <v>1</v>
      </c>
      <c r="W800" s="24">
        <v>1</v>
      </c>
      <c r="X800" s="24">
        <v>1</v>
      </c>
      <c r="Y800" s="24">
        <v>1</v>
      </c>
      <c r="Z800" s="24">
        <v>0</v>
      </c>
      <c r="AA800" s="24">
        <v>1</v>
      </c>
      <c r="AB800" s="24">
        <v>0</v>
      </c>
      <c r="AC800" s="24">
        <v>1</v>
      </c>
      <c r="AD800" s="24">
        <v>0</v>
      </c>
      <c r="AE800" s="24">
        <v>0</v>
      </c>
      <c r="AF800" s="24">
        <v>0</v>
      </c>
      <c r="AG800" s="24">
        <v>0</v>
      </c>
      <c r="AH800" s="24">
        <v>1</v>
      </c>
      <c r="AI800" s="24">
        <v>0</v>
      </c>
      <c r="AJ800" s="24">
        <v>0</v>
      </c>
      <c r="AK800" s="24">
        <v>1</v>
      </c>
      <c r="AL800" s="24">
        <v>0</v>
      </c>
      <c r="AM800" s="24">
        <v>0</v>
      </c>
      <c r="AN800" s="24">
        <v>0</v>
      </c>
      <c r="AO800" s="24">
        <v>0</v>
      </c>
      <c r="AP800" s="24">
        <v>1</v>
      </c>
      <c r="AQ800" s="24">
        <v>0</v>
      </c>
      <c r="AR800" s="24">
        <v>0</v>
      </c>
      <c r="AS800" s="24">
        <v>0</v>
      </c>
      <c r="AT800" s="24">
        <v>0</v>
      </c>
      <c r="AU800" s="24">
        <v>0</v>
      </c>
      <c r="AV800" s="24">
        <v>0</v>
      </c>
      <c r="AW800" s="24">
        <v>0</v>
      </c>
      <c r="AX800" s="24">
        <v>1</v>
      </c>
      <c r="AY800" s="24">
        <v>0</v>
      </c>
      <c r="AZ800" s="24">
        <v>0</v>
      </c>
      <c r="BA800" s="24">
        <v>1</v>
      </c>
      <c r="BB800" s="24">
        <v>0</v>
      </c>
    </row>
    <row r="801" spans="2:54" ht="13.8" x14ac:dyDescent="0.3">
      <c r="B801" s="24">
        <v>781</v>
      </c>
      <c r="C801" s="24">
        <v>39</v>
      </c>
      <c r="D801" s="24">
        <v>0</v>
      </c>
      <c r="E801" s="24">
        <v>0</v>
      </c>
      <c r="F801" s="24">
        <v>0</v>
      </c>
      <c r="G801" s="24">
        <v>1</v>
      </c>
      <c r="H801" s="24">
        <v>0</v>
      </c>
      <c r="I801" s="24">
        <v>0</v>
      </c>
      <c r="J801" s="24">
        <v>4933</v>
      </c>
      <c r="K801" s="24">
        <v>2</v>
      </c>
      <c r="L801" s="24">
        <v>0</v>
      </c>
      <c r="M801" s="24">
        <v>1</v>
      </c>
      <c r="N801" s="24">
        <v>0</v>
      </c>
      <c r="O801" s="24">
        <v>0</v>
      </c>
      <c r="P801" s="24">
        <v>1</v>
      </c>
      <c r="Q801" s="24">
        <v>1</v>
      </c>
      <c r="R801" s="24">
        <v>0</v>
      </c>
      <c r="S801" s="24">
        <v>25</v>
      </c>
      <c r="T801" s="24">
        <v>0</v>
      </c>
      <c r="U801" s="24">
        <v>0</v>
      </c>
      <c r="V801" s="24">
        <v>1</v>
      </c>
      <c r="W801" s="24">
        <v>2</v>
      </c>
      <c r="X801" s="24">
        <v>1</v>
      </c>
      <c r="Y801" s="24">
        <v>0</v>
      </c>
      <c r="Z801" s="24">
        <v>0</v>
      </c>
      <c r="AA801" s="24">
        <v>0</v>
      </c>
      <c r="AB801" s="24">
        <v>0</v>
      </c>
      <c r="AC801" s="24">
        <v>1</v>
      </c>
      <c r="AD801" s="24">
        <v>0</v>
      </c>
      <c r="AE801" s="24">
        <v>0</v>
      </c>
      <c r="AF801" s="24">
        <v>0</v>
      </c>
      <c r="AG801" s="24">
        <v>0</v>
      </c>
      <c r="AH801" s="24">
        <v>0</v>
      </c>
      <c r="AI801" s="24">
        <v>0</v>
      </c>
      <c r="AJ801" s="24">
        <v>1</v>
      </c>
      <c r="AK801" s="24">
        <v>1</v>
      </c>
      <c r="AL801" s="24">
        <v>0</v>
      </c>
      <c r="AM801" s="24">
        <v>0</v>
      </c>
      <c r="AN801" s="24">
        <v>0</v>
      </c>
      <c r="AO801" s="24">
        <v>0</v>
      </c>
      <c r="AP801" s="24">
        <v>0</v>
      </c>
      <c r="AQ801" s="24">
        <v>0</v>
      </c>
      <c r="AR801" s="24">
        <v>0</v>
      </c>
      <c r="AS801" s="24">
        <v>1</v>
      </c>
      <c r="AT801" s="24">
        <v>0</v>
      </c>
      <c r="AU801" s="24">
        <v>0</v>
      </c>
      <c r="AV801" s="24">
        <v>1</v>
      </c>
      <c r="AW801" s="24">
        <v>0</v>
      </c>
      <c r="AX801" s="24">
        <v>0</v>
      </c>
      <c r="AY801" s="24">
        <v>0</v>
      </c>
      <c r="AZ801" s="24">
        <v>0</v>
      </c>
      <c r="BA801" s="24">
        <v>1</v>
      </c>
      <c r="BB801" s="24">
        <v>0</v>
      </c>
    </row>
    <row r="802" spans="2:54" ht="13.8" x14ac:dyDescent="0.3">
      <c r="B802" s="24">
        <v>782</v>
      </c>
      <c r="C802" s="24">
        <v>24</v>
      </c>
      <c r="D802" s="24">
        <v>1</v>
      </c>
      <c r="E802" s="24">
        <v>0</v>
      </c>
      <c r="F802" s="24">
        <v>0</v>
      </c>
      <c r="G802" s="24">
        <v>0</v>
      </c>
      <c r="H802" s="24">
        <v>0</v>
      </c>
      <c r="I802" s="24">
        <v>0</v>
      </c>
      <c r="J802" s="24">
        <v>1940</v>
      </c>
      <c r="K802" s="24">
        <v>4</v>
      </c>
      <c r="L802" s="24">
        <v>0</v>
      </c>
      <c r="M802" s="24">
        <v>1</v>
      </c>
      <c r="N802" s="24">
        <v>0</v>
      </c>
      <c r="O802" s="24">
        <v>0</v>
      </c>
      <c r="P802" s="24">
        <v>0</v>
      </c>
      <c r="Q802" s="24">
        <v>1</v>
      </c>
      <c r="R802" s="24">
        <v>0</v>
      </c>
      <c r="S802" s="24">
        <v>60</v>
      </c>
      <c r="T802" s="24">
        <v>0</v>
      </c>
      <c r="U802" s="24">
        <v>0</v>
      </c>
      <c r="V802" s="24">
        <v>1</v>
      </c>
      <c r="W802" s="24">
        <v>1</v>
      </c>
      <c r="X802" s="24">
        <v>1</v>
      </c>
      <c r="Y802" s="24">
        <v>1</v>
      </c>
      <c r="Z802" s="24">
        <v>0</v>
      </c>
      <c r="AA802" s="24">
        <v>1</v>
      </c>
      <c r="AB802" s="24">
        <v>0</v>
      </c>
      <c r="AC802" s="24">
        <v>0</v>
      </c>
      <c r="AD802" s="24">
        <v>0</v>
      </c>
      <c r="AE802" s="24">
        <v>1</v>
      </c>
      <c r="AF802" s="24">
        <v>0</v>
      </c>
      <c r="AG802" s="24">
        <v>0</v>
      </c>
      <c r="AH802" s="24">
        <v>0</v>
      </c>
      <c r="AI802" s="24">
        <v>0</v>
      </c>
      <c r="AJ802" s="24">
        <v>1</v>
      </c>
      <c r="AK802" s="24">
        <v>0</v>
      </c>
      <c r="AL802" s="24">
        <v>0</v>
      </c>
      <c r="AM802" s="24">
        <v>0</v>
      </c>
      <c r="AN802" s="24">
        <v>1</v>
      </c>
      <c r="AO802" s="24">
        <v>0</v>
      </c>
      <c r="AP802" s="24">
        <v>0</v>
      </c>
      <c r="AQ802" s="24">
        <v>0</v>
      </c>
      <c r="AR802" s="24">
        <v>0</v>
      </c>
      <c r="AS802" s="24">
        <v>0</v>
      </c>
      <c r="AT802" s="24">
        <v>1</v>
      </c>
      <c r="AU802" s="24">
        <v>0</v>
      </c>
      <c r="AV802" s="24">
        <v>0</v>
      </c>
      <c r="AW802" s="24">
        <v>0</v>
      </c>
      <c r="AX802" s="24">
        <v>1</v>
      </c>
      <c r="AY802" s="24">
        <v>0</v>
      </c>
      <c r="AZ802" s="24">
        <v>0</v>
      </c>
      <c r="BA802" s="24">
        <v>1</v>
      </c>
      <c r="BB802" s="24">
        <v>0</v>
      </c>
    </row>
    <row r="803" spans="2:54" ht="13.8" x14ac:dyDescent="0.3">
      <c r="B803" s="24">
        <v>783</v>
      </c>
      <c r="C803" s="24">
        <v>12</v>
      </c>
      <c r="D803" s="24">
        <v>0</v>
      </c>
      <c r="E803" s="24">
        <v>0</v>
      </c>
      <c r="F803" s="24">
        <v>0</v>
      </c>
      <c r="G803" s="24">
        <v>0</v>
      </c>
      <c r="H803" s="24">
        <v>0</v>
      </c>
      <c r="I803" s="24">
        <v>0</v>
      </c>
      <c r="J803" s="24">
        <v>1410</v>
      </c>
      <c r="K803" s="24">
        <v>2</v>
      </c>
      <c r="L803" s="24">
        <v>0</v>
      </c>
      <c r="M803" s="24">
        <v>1</v>
      </c>
      <c r="N803" s="24">
        <v>0</v>
      </c>
      <c r="O803" s="24">
        <v>0</v>
      </c>
      <c r="P803" s="24">
        <v>0</v>
      </c>
      <c r="Q803" s="24">
        <v>1</v>
      </c>
      <c r="R803" s="24">
        <v>0</v>
      </c>
      <c r="S803" s="24">
        <v>31</v>
      </c>
      <c r="T803" s="24">
        <v>0</v>
      </c>
      <c r="U803" s="24">
        <v>0</v>
      </c>
      <c r="V803" s="24">
        <v>1</v>
      </c>
      <c r="W803" s="24">
        <v>1</v>
      </c>
      <c r="X803" s="24">
        <v>1</v>
      </c>
      <c r="Y803" s="24">
        <v>1</v>
      </c>
      <c r="Z803" s="24">
        <v>0</v>
      </c>
      <c r="AA803" s="24">
        <v>1</v>
      </c>
      <c r="AB803" s="24">
        <v>0</v>
      </c>
      <c r="AC803" s="24">
        <v>1</v>
      </c>
      <c r="AD803" s="24">
        <v>0</v>
      </c>
      <c r="AE803" s="24">
        <v>0</v>
      </c>
      <c r="AF803" s="24">
        <v>1</v>
      </c>
      <c r="AG803" s="24">
        <v>0</v>
      </c>
      <c r="AH803" s="24">
        <v>0</v>
      </c>
      <c r="AI803" s="24">
        <v>0</v>
      </c>
      <c r="AJ803" s="24">
        <v>0</v>
      </c>
      <c r="AK803" s="24">
        <v>1</v>
      </c>
      <c r="AL803" s="24">
        <v>0</v>
      </c>
      <c r="AM803" s="24">
        <v>0</v>
      </c>
      <c r="AN803" s="24">
        <v>0</v>
      </c>
      <c r="AO803" s="24">
        <v>0</v>
      </c>
      <c r="AP803" s="24">
        <v>0</v>
      </c>
      <c r="AQ803" s="24">
        <v>0</v>
      </c>
      <c r="AR803" s="24">
        <v>1</v>
      </c>
      <c r="AS803" s="24">
        <v>0</v>
      </c>
      <c r="AT803" s="24">
        <v>0</v>
      </c>
      <c r="AU803" s="24">
        <v>0</v>
      </c>
      <c r="AV803" s="24">
        <v>1</v>
      </c>
      <c r="AW803" s="24">
        <v>0</v>
      </c>
      <c r="AX803" s="24">
        <v>0</v>
      </c>
      <c r="AY803" s="24">
        <v>0</v>
      </c>
      <c r="AZ803" s="24">
        <v>1</v>
      </c>
      <c r="BA803" s="24">
        <v>0</v>
      </c>
      <c r="BB803" s="24">
        <v>0</v>
      </c>
    </row>
    <row r="804" spans="2:54" ht="13.8" x14ac:dyDescent="0.3">
      <c r="B804" s="24">
        <v>784</v>
      </c>
      <c r="C804" s="24">
        <v>12</v>
      </c>
      <c r="D804" s="24">
        <v>1</v>
      </c>
      <c r="E804" s="24">
        <v>0</v>
      </c>
      <c r="F804" s="24">
        <v>0</v>
      </c>
      <c r="G804" s="24">
        <v>0</v>
      </c>
      <c r="H804" s="24">
        <v>0</v>
      </c>
      <c r="I804" s="24">
        <v>0</v>
      </c>
      <c r="J804" s="24">
        <v>836</v>
      </c>
      <c r="K804" s="24">
        <v>4</v>
      </c>
      <c r="L804" s="24">
        <v>0</v>
      </c>
      <c r="M804" s="24">
        <v>0</v>
      </c>
      <c r="N804" s="24">
        <v>0</v>
      </c>
      <c r="O804" s="24">
        <v>0</v>
      </c>
      <c r="P804" s="24">
        <v>0</v>
      </c>
      <c r="Q804" s="24">
        <v>0</v>
      </c>
      <c r="R804" s="24">
        <v>0</v>
      </c>
      <c r="S804" s="24">
        <v>23</v>
      </c>
      <c r="T804" s="24">
        <v>1</v>
      </c>
      <c r="U804" s="24">
        <v>0</v>
      </c>
      <c r="V804" s="24">
        <v>1</v>
      </c>
      <c r="W804" s="24">
        <v>1</v>
      </c>
      <c r="X804" s="24">
        <v>1</v>
      </c>
      <c r="Y804" s="24">
        <v>0</v>
      </c>
      <c r="Z804" s="24">
        <v>0</v>
      </c>
      <c r="AA804" s="24">
        <v>0</v>
      </c>
      <c r="AB804" s="24">
        <v>0</v>
      </c>
      <c r="AC804" s="24">
        <v>1</v>
      </c>
      <c r="AD804" s="24">
        <v>0</v>
      </c>
      <c r="AE804" s="24">
        <v>0</v>
      </c>
      <c r="AF804" s="24">
        <v>0</v>
      </c>
      <c r="AG804" s="24">
        <v>0</v>
      </c>
      <c r="AH804" s="24">
        <v>1</v>
      </c>
      <c r="AI804" s="24">
        <v>0</v>
      </c>
      <c r="AJ804" s="24">
        <v>0</v>
      </c>
      <c r="AK804" s="24">
        <v>0</v>
      </c>
      <c r="AL804" s="24">
        <v>1</v>
      </c>
      <c r="AM804" s="24">
        <v>0</v>
      </c>
      <c r="AN804" s="24">
        <v>0</v>
      </c>
      <c r="AO804" s="24">
        <v>0</v>
      </c>
      <c r="AP804" s="24">
        <v>0</v>
      </c>
      <c r="AQ804" s="24">
        <v>1</v>
      </c>
      <c r="AR804" s="24">
        <v>0</v>
      </c>
      <c r="AS804" s="24">
        <v>0</v>
      </c>
      <c r="AT804" s="24">
        <v>0</v>
      </c>
      <c r="AU804" s="24">
        <v>0</v>
      </c>
      <c r="AV804" s="24">
        <v>1</v>
      </c>
      <c r="AW804" s="24">
        <v>0</v>
      </c>
      <c r="AX804" s="24">
        <v>0</v>
      </c>
      <c r="AY804" s="24">
        <v>0</v>
      </c>
      <c r="AZ804" s="24">
        <v>1</v>
      </c>
      <c r="BA804" s="24">
        <v>0</v>
      </c>
      <c r="BB804" s="24">
        <v>0</v>
      </c>
    </row>
    <row r="805" spans="2:54" ht="13.8" x14ac:dyDescent="0.3">
      <c r="B805" s="24">
        <v>785</v>
      </c>
      <c r="C805" s="24">
        <v>20</v>
      </c>
      <c r="D805" s="24">
        <v>0</v>
      </c>
      <c r="E805" s="24">
        <v>1</v>
      </c>
      <c r="F805" s="24">
        <v>0</v>
      </c>
      <c r="G805" s="24">
        <v>0</v>
      </c>
      <c r="H805" s="24">
        <v>0</v>
      </c>
      <c r="I805" s="24">
        <v>0</v>
      </c>
      <c r="J805" s="24">
        <v>6468</v>
      </c>
      <c r="K805" s="24">
        <v>1</v>
      </c>
      <c r="L805" s="24">
        <v>1</v>
      </c>
      <c r="M805" s="24">
        <v>0</v>
      </c>
      <c r="N805" s="24">
        <v>0</v>
      </c>
      <c r="O805" s="24">
        <v>0</v>
      </c>
      <c r="P805" s="24">
        <v>0</v>
      </c>
      <c r="Q805" s="24">
        <v>1</v>
      </c>
      <c r="R805" s="24">
        <v>0</v>
      </c>
      <c r="S805" s="24">
        <v>60</v>
      </c>
      <c r="T805" s="24">
        <v>0</v>
      </c>
      <c r="U805" s="24">
        <v>0</v>
      </c>
      <c r="V805" s="24">
        <v>1</v>
      </c>
      <c r="W805" s="24">
        <v>1</v>
      </c>
      <c r="X805" s="24">
        <v>1</v>
      </c>
      <c r="Y805" s="24">
        <v>1</v>
      </c>
      <c r="Z805" s="24">
        <v>0</v>
      </c>
      <c r="AA805" s="24">
        <v>1</v>
      </c>
      <c r="AB805" s="24">
        <v>0</v>
      </c>
      <c r="AC805" s="24">
        <v>1</v>
      </c>
      <c r="AD805" s="24">
        <v>0</v>
      </c>
      <c r="AE805" s="24">
        <v>0</v>
      </c>
      <c r="AF805" s="24">
        <v>0</v>
      </c>
      <c r="AG805" s="24">
        <v>0</v>
      </c>
      <c r="AH805" s="24">
        <v>1</v>
      </c>
      <c r="AI805" s="24">
        <v>0</v>
      </c>
      <c r="AJ805" s="24">
        <v>0</v>
      </c>
      <c r="AK805" s="24">
        <v>0</v>
      </c>
      <c r="AL805" s="24">
        <v>0</v>
      </c>
      <c r="AM805" s="24">
        <v>0</v>
      </c>
      <c r="AN805" s="24">
        <v>0</v>
      </c>
      <c r="AO805" s="24">
        <v>1</v>
      </c>
      <c r="AP805" s="24">
        <v>1</v>
      </c>
      <c r="AQ805" s="24">
        <v>0</v>
      </c>
      <c r="AR805" s="24">
        <v>0</v>
      </c>
      <c r="AS805" s="24">
        <v>0</v>
      </c>
      <c r="AT805" s="24">
        <v>0</v>
      </c>
      <c r="AU805" s="24">
        <v>0</v>
      </c>
      <c r="AV805" s="24">
        <v>0</v>
      </c>
      <c r="AW805" s="24">
        <v>0</v>
      </c>
      <c r="AX805" s="24">
        <v>1</v>
      </c>
      <c r="AY805" s="24">
        <v>0</v>
      </c>
      <c r="AZ805" s="24">
        <v>0</v>
      </c>
      <c r="BA805" s="24">
        <v>0</v>
      </c>
      <c r="BB805" s="24">
        <v>1</v>
      </c>
    </row>
    <row r="806" spans="2:54" ht="13.8" x14ac:dyDescent="0.3">
      <c r="B806" s="24">
        <v>786</v>
      </c>
      <c r="C806" s="24">
        <v>18</v>
      </c>
      <c r="D806" s="24">
        <v>0</v>
      </c>
      <c r="E806" s="24">
        <v>0</v>
      </c>
      <c r="F806" s="24">
        <v>0</v>
      </c>
      <c r="G806" s="24">
        <v>0</v>
      </c>
      <c r="H806" s="24">
        <v>0</v>
      </c>
      <c r="I806" s="24">
        <v>1</v>
      </c>
      <c r="J806" s="24">
        <v>1941</v>
      </c>
      <c r="K806" s="24">
        <v>4</v>
      </c>
      <c r="L806" s="24">
        <v>0</v>
      </c>
      <c r="M806" s="24">
        <v>1</v>
      </c>
      <c r="N806" s="24">
        <v>0</v>
      </c>
      <c r="O806" s="24">
        <v>0</v>
      </c>
      <c r="P806" s="24">
        <v>0</v>
      </c>
      <c r="Q806" s="24">
        <v>0</v>
      </c>
      <c r="R806" s="24">
        <v>0</v>
      </c>
      <c r="S806" s="24">
        <v>35</v>
      </c>
      <c r="T806" s="24">
        <v>0</v>
      </c>
      <c r="U806" s="24">
        <v>0</v>
      </c>
      <c r="V806" s="24">
        <v>1</v>
      </c>
      <c r="W806" s="24">
        <v>1</v>
      </c>
      <c r="X806" s="24">
        <v>1</v>
      </c>
      <c r="Y806" s="24">
        <v>1</v>
      </c>
      <c r="Z806" s="24">
        <v>0</v>
      </c>
      <c r="AA806" s="24">
        <v>1</v>
      </c>
      <c r="AB806" s="24">
        <v>0</v>
      </c>
      <c r="AC806" s="24">
        <v>1</v>
      </c>
      <c r="AD806" s="24">
        <v>0</v>
      </c>
      <c r="AE806" s="24">
        <v>0</v>
      </c>
      <c r="AF806" s="24">
        <v>0</v>
      </c>
      <c r="AG806" s="24">
        <v>0</v>
      </c>
      <c r="AH806" s="24">
        <v>1</v>
      </c>
      <c r="AI806" s="24">
        <v>0</v>
      </c>
      <c r="AJ806" s="24">
        <v>0</v>
      </c>
      <c r="AK806" s="24">
        <v>0</v>
      </c>
      <c r="AL806" s="24">
        <v>0</v>
      </c>
      <c r="AM806" s="24">
        <v>0</v>
      </c>
      <c r="AN806" s="24">
        <v>1</v>
      </c>
      <c r="AO806" s="24">
        <v>0</v>
      </c>
      <c r="AP806" s="24">
        <v>0</v>
      </c>
      <c r="AQ806" s="24">
        <v>0</v>
      </c>
      <c r="AR806" s="24">
        <v>1</v>
      </c>
      <c r="AS806" s="24">
        <v>0</v>
      </c>
      <c r="AT806" s="24">
        <v>0</v>
      </c>
      <c r="AU806" s="24">
        <v>0</v>
      </c>
      <c r="AV806" s="24">
        <v>1</v>
      </c>
      <c r="AW806" s="24">
        <v>0</v>
      </c>
      <c r="AX806" s="24">
        <v>0</v>
      </c>
      <c r="AY806" s="24">
        <v>0</v>
      </c>
      <c r="AZ806" s="24">
        <v>1</v>
      </c>
      <c r="BA806" s="24">
        <v>0</v>
      </c>
      <c r="BB806" s="24">
        <v>0</v>
      </c>
    </row>
    <row r="807" spans="2:54" ht="13.8" x14ac:dyDescent="0.3">
      <c r="B807" s="24">
        <v>787</v>
      </c>
      <c r="C807" s="24">
        <v>22</v>
      </c>
      <c r="D807" s="24">
        <v>0</v>
      </c>
      <c r="E807" s="24">
        <v>0</v>
      </c>
      <c r="F807" s="24">
        <v>0</v>
      </c>
      <c r="G807" s="24">
        <v>1</v>
      </c>
      <c r="H807" s="24">
        <v>0</v>
      </c>
      <c r="I807" s="24">
        <v>0</v>
      </c>
      <c r="J807" s="24">
        <v>2675</v>
      </c>
      <c r="K807" s="24">
        <v>3</v>
      </c>
      <c r="L807" s="24">
        <v>0</v>
      </c>
      <c r="M807" s="24">
        <v>1</v>
      </c>
      <c r="N807" s="24">
        <v>0</v>
      </c>
      <c r="O807" s="24">
        <v>0</v>
      </c>
      <c r="P807" s="24">
        <v>0</v>
      </c>
      <c r="Q807" s="24">
        <v>0</v>
      </c>
      <c r="R807" s="24">
        <v>0</v>
      </c>
      <c r="S807" s="24">
        <v>40</v>
      </c>
      <c r="T807" s="24">
        <v>0</v>
      </c>
      <c r="U807" s="24">
        <v>0</v>
      </c>
      <c r="V807" s="24">
        <v>1</v>
      </c>
      <c r="W807" s="24">
        <v>1</v>
      </c>
      <c r="X807" s="24">
        <v>1</v>
      </c>
      <c r="Y807" s="24">
        <v>0</v>
      </c>
      <c r="Z807" s="24">
        <v>0</v>
      </c>
      <c r="AA807" s="24">
        <v>1</v>
      </c>
      <c r="AB807" s="24">
        <v>0</v>
      </c>
      <c r="AC807" s="24">
        <v>0</v>
      </c>
      <c r="AD807" s="24">
        <v>0</v>
      </c>
      <c r="AE807" s="24">
        <v>1</v>
      </c>
      <c r="AF807" s="24">
        <v>0</v>
      </c>
      <c r="AG807" s="24">
        <v>0</v>
      </c>
      <c r="AH807" s="24">
        <v>1</v>
      </c>
      <c r="AI807" s="24">
        <v>0</v>
      </c>
      <c r="AJ807" s="24">
        <v>0</v>
      </c>
      <c r="AK807" s="24">
        <v>0</v>
      </c>
      <c r="AL807" s="24">
        <v>0</v>
      </c>
      <c r="AM807" s="24">
        <v>1</v>
      </c>
      <c r="AN807" s="24">
        <v>0</v>
      </c>
      <c r="AO807" s="24">
        <v>0</v>
      </c>
      <c r="AP807" s="24">
        <v>0</v>
      </c>
      <c r="AQ807" s="24">
        <v>0</v>
      </c>
      <c r="AR807" s="24">
        <v>0</v>
      </c>
      <c r="AS807" s="24">
        <v>0</v>
      </c>
      <c r="AT807" s="24">
        <v>1</v>
      </c>
      <c r="AU807" s="24">
        <v>0</v>
      </c>
      <c r="AV807" s="24">
        <v>0</v>
      </c>
      <c r="AW807" s="24">
        <v>0</v>
      </c>
      <c r="AX807" s="24">
        <v>1</v>
      </c>
      <c r="AY807" s="24">
        <v>0</v>
      </c>
      <c r="AZ807" s="24">
        <v>0</v>
      </c>
      <c r="BA807" s="24">
        <v>1</v>
      </c>
      <c r="BB807" s="24">
        <v>0</v>
      </c>
    </row>
    <row r="808" spans="2:54" ht="13.8" x14ac:dyDescent="0.3">
      <c r="B808" s="24">
        <v>788</v>
      </c>
      <c r="C808" s="24">
        <v>48</v>
      </c>
      <c r="D808" s="24">
        <v>0</v>
      </c>
      <c r="E808" s="24">
        <v>1</v>
      </c>
      <c r="F808" s="24">
        <v>0</v>
      </c>
      <c r="G808" s="24">
        <v>0</v>
      </c>
      <c r="H808" s="24">
        <v>0</v>
      </c>
      <c r="I808" s="24">
        <v>0</v>
      </c>
      <c r="J808" s="24">
        <v>2751</v>
      </c>
      <c r="K808" s="24">
        <v>4</v>
      </c>
      <c r="L808" s="24">
        <v>0</v>
      </c>
      <c r="M808" s="24">
        <v>1</v>
      </c>
      <c r="N808" s="24">
        <v>0</v>
      </c>
      <c r="O808" s="24">
        <v>0</v>
      </c>
      <c r="P808" s="24">
        <v>0</v>
      </c>
      <c r="Q808" s="24">
        <v>0</v>
      </c>
      <c r="R808" s="24">
        <v>0</v>
      </c>
      <c r="S808" s="24">
        <v>38</v>
      </c>
      <c r="T808" s="24">
        <v>0</v>
      </c>
      <c r="U808" s="24">
        <v>0</v>
      </c>
      <c r="V808" s="24">
        <v>1</v>
      </c>
      <c r="W808" s="24">
        <v>2</v>
      </c>
      <c r="X808" s="24">
        <v>2</v>
      </c>
      <c r="Y808" s="24">
        <v>1</v>
      </c>
      <c r="Z808" s="24">
        <v>0</v>
      </c>
      <c r="AA808" s="24">
        <v>1</v>
      </c>
      <c r="AB808" s="24">
        <v>0</v>
      </c>
      <c r="AC808" s="24">
        <v>0</v>
      </c>
      <c r="AD808" s="24">
        <v>0</v>
      </c>
      <c r="AE808" s="24">
        <v>1</v>
      </c>
      <c r="AF808" s="24">
        <v>0</v>
      </c>
      <c r="AG808" s="24">
        <v>0</v>
      </c>
      <c r="AH808" s="24">
        <v>0</v>
      </c>
      <c r="AI808" s="24">
        <v>0</v>
      </c>
      <c r="AJ808" s="24">
        <v>1</v>
      </c>
      <c r="AK808" s="24">
        <v>0</v>
      </c>
      <c r="AL808" s="24">
        <v>0</v>
      </c>
      <c r="AM808" s="24">
        <v>0</v>
      </c>
      <c r="AN808" s="24">
        <v>0</v>
      </c>
      <c r="AO808" s="24">
        <v>1</v>
      </c>
      <c r="AP808" s="24">
        <v>0</v>
      </c>
      <c r="AQ808" s="24">
        <v>0</v>
      </c>
      <c r="AR808" s="24">
        <v>0</v>
      </c>
      <c r="AS808" s="24">
        <v>0</v>
      </c>
      <c r="AT808" s="24">
        <v>1</v>
      </c>
      <c r="AU808" s="24">
        <v>0</v>
      </c>
      <c r="AV808" s="24">
        <v>0</v>
      </c>
      <c r="AW808" s="24">
        <v>1</v>
      </c>
      <c r="AX808" s="24">
        <v>0</v>
      </c>
      <c r="AY808" s="24">
        <v>0</v>
      </c>
      <c r="AZ808" s="24">
        <v>0</v>
      </c>
      <c r="BA808" s="24">
        <v>1</v>
      </c>
      <c r="BB808" s="24">
        <v>0</v>
      </c>
    </row>
    <row r="809" spans="2:54" ht="13.8" x14ac:dyDescent="0.3">
      <c r="B809" s="24">
        <v>789</v>
      </c>
      <c r="C809" s="24">
        <v>48</v>
      </c>
      <c r="D809" s="24">
        <v>0</v>
      </c>
      <c r="E809" s="24">
        <v>0</v>
      </c>
      <c r="F809" s="24">
        <v>0</v>
      </c>
      <c r="G809" s="24">
        <v>0</v>
      </c>
      <c r="H809" s="24">
        <v>1</v>
      </c>
      <c r="I809" s="24">
        <v>0</v>
      </c>
      <c r="J809" s="24">
        <v>6224</v>
      </c>
      <c r="K809" s="24">
        <v>4</v>
      </c>
      <c r="L809" s="24">
        <v>0</v>
      </c>
      <c r="M809" s="24">
        <v>1</v>
      </c>
      <c r="N809" s="24">
        <v>0</v>
      </c>
      <c r="O809" s="24">
        <v>0</v>
      </c>
      <c r="P809" s="24">
        <v>0</v>
      </c>
      <c r="Q809" s="24">
        <v>0</v>
      </c>
      <c r="R809" s="24">
        <v>1</v>
      </c>
      <c r="S809" s="24">
        <v>50</v>
      </c>
      <c r="T809" s="24">
        <v>0</v>
      </c>
      <c r="U809" s="24">
        <v>0</v>
      </c>
      <c r="V809" s="24">
        <v>0</v>
      </c>
      <c r="W809" s="24">
        <v>1</v>
      </c>
      <c r="X809" s="24">
        <v>1</v>
      </c>
      <c r="Y809" s="24">
        <v>0</v>
      </c>
      <c r="Z809" s="24">
        <v>0</v>
      </c>
      <c r="AA809" s="24">
        <v>0</v>
      </c>
      <c r="AB809" s="24">
        <v>0</v>
      </c>
      <c r="AC809" s="24">
        <v>1</v>
      </c>
      <c r="AD809" s="24">
        <v>0</v>
      </c>
      <c r="AE809" s="24">
        <v>0</v>
      </c>
      <c r="AF809" s="24">
        <v>0</v>
      </c>
      <c r="AG809" s="24">
        <v>0</v>
      </c>
      <c r="AH809" s="24">
        <v>0</v>
      </c>
      <c r="AI809" s="24">
        <v>1</v>
      </c>
      <c r="AJ809" s="24">
        <v>0</v>
      </c>
      <c r="AK809" s="24">
        <v>1</v>
      </c>
      <c r="AL809" s="24">
        <v>0</v>
      </c>
      <c r="AM809" s="24">
        <v>0</v>
      </c>
      <c r="AN809" s="24">
        <v>0</v>
      </c>
      <c r="AO809" s="24">
        <v>0</v>
      </c>
      <c r="AP809" s="24">
        <v>0</v>
      </c>
      <c r="AQ809" s="24">
        <v>0</v>
      </c>
      <c r="AR809" s="24">
        <v>0</v>
      </c>
      <c r="AS809" s="24">
        <v>0</v>
      </c>
      <c r="AT809" s="24">
        <v>1</v>
      </c>
      <c r="AU809" s="24">
        <v>0</v>
      </c>
      <c r="AV809" s="24">
        <v>0</v>
      </c>
      <c r="AW809" s="24">
        <v>0</v>
      </c>
      <c r="AX809" s="24">
        <v>1</v>
      </c>
      <c r="AY809" s="24">
        <v>0</v>
      </c>
      <c r="AZ809" s="24">
        <v>0</v>
      </c>
      <c r="BA809" s="24">
        <v>1</v>
      </c>
      <c r="BB809" s="24">
        <v>0</v>
      </c>
    </row>
    <row r="810" spans="2:54" ht="13.8" x14ac:dyDescent="0.3">
      <c r="B810" s="24">
        <v>790</v>
      </c>
      <c r="C810" s="24">
        <v>40</v>
      </c>
      <c r="D810" s="24">
        <v>0</v>
      </c>
      <c r="E810" s="24">
        <v>0</v>
      </c>
      <c r="F810" s="24">
        <v>0</v>
      </c>
      <c r="G810" s="24">
        <v>0</v>
      </c>
      <c r="H810" s="24">
        <v>1</v>
      </c>
      <c r="I810" s="24">
        <v>0</v>
      </c>
      <c r="J810" s="24">
        <v>5998</v>
      </c>
      <c r="K810" s="24">
        <v>4</v>
      </c>
      <c r="L810" s="24">
        <v>0</v>
      </c>
      <c r="M810" s="24">
        <v>1</v>
      </c>
      <c r="N810" s="24">
        <v>0</v>
      </c>
      <c r="O810" s="24">
        <v>0</v>
      </c>
      <c r="P810" s="24">
        <v>0</v>
      </c>
      <c r="Q810" s="24">
        <v>0</v>
      </c>
      <c r="R810" s="24">
        <v>1</v>
      </c>
      <c r="S810" s="24">
        <v>27</v>
      </c>
      <c r="T810" s="24">
        <v>1</v>
      </c>
      <c r="U810" s="24">
        <v>0</v>
      </c>
      <c r="V810" s="24">
        <v>1</v>
      </c>
      <c r="W810" s="24">
        <v>1</v>
      </c>
      <c r="X810" s="24">
        <v>1</v>
      </c>
      <c r="Y810" s="24">
        <v>1</v>
      </c>
      <c r="Z810" s="24">
        <v>0</v>
      </c>
      <c r="AA810" s="24">
        <v>0</v>
      </c>
      <c r="AB810" s="24">
        <v>1</v>
      </c>
      <c r="AC810" s="24">
        <v>0</v>
      </c>
      <c r="AD810" s="24">
        <v>0</v>
      </c>
      <c r="AE810" s="24">
        <v>0</v>
      </c>
      <c r="AF810" s="24">
        <v>0</v>
      </c>
      <c r="AG810" s="24">
        <v>0</v>
      </c>
      <c r="AH810" s="24">
        <v>0</v>
      </c>
      <c r="AI810" s="24">
        <v>0</v>
      </c>
      <c r="AJ810" s="24">
        <v>1</v>
      </c>
      <c r="AK810" s="24">
        <v>1</v>
      </c>
      <c r="AL810" s="24">
        <v>0</v>
      </c>
      <c r="AM810" s="24">
        <v>0</v>
      </c>
      <c r="AN810" s="24">
        <v>0</v>
      </c>
      <c r="AO810" s="24">
        <v>0</v>
      </c>
      <c r="AP810" s="24">
        <v>0</v>
      </c>
      <c r="AQ810" s="24">
        <v>0</v>
      </c>
      <c r="AR810" s="24">
        <v>1</v>
      </c>
      <c r="AS810" s="24">
        <v>0</v>
      </c>
      <c r="AT810" s="24">
        <v>0</v>
      </c>
      <c r="AU810" s="24">
        <v>0</v>
      </c>
      <c r="AV810" s="24">
        <v>0</v>
      </c>
      <c r="AW810" s="24">
        <v>1</v>
      </c>
      <c r="AX810" s="24">
        <v>0</v>
      </c>
      <c r="AY810" s="24">
        <v>0</v>
      </c>
      <c r="AZ810" s="24">
        <v>0</v>
      </c>
      <c r="BA810" s="24">
        <v>1</v>
      </c>
      <c r="BB810" s="24">
        <v>0</v>
      </c>
    </row>
    <row r="811" spans="2:54" ht="13.8" x14ac:dyDescent="0.3">
      <c r="B811" s="24">
        <v>791</v>
      </c>
      <c r="C811" s="24">
        <v>21</v>
      </c>
      <c r="D811" s="24">
        <v>0</v>
      </c>
      <c r="E811" s="24">
        <v>0</v>
      </c>
      <c r="F811" s="24">
        <v>0</v>
      </c>
      <c r="G811" s="24">
        <v>0</v>
      </c>
      <c r="H811" s="24">
        <v>0</v>
      </c>
      <c r="I811" s="24">
        <v>1</v>
      </c>
      <c r="J811" s="24">
        <v>1188</v>
      </c>
      <c r="K811" s="24">
        <v>2</v>
      </c>
      <c r="L811" s="24">
        <v>0</v>
      </c>
      <c r="M811" s="24">
        <v>0</v>
      </c>
      <c r="N811" s="24">
        <v>0</v>
      </c>
      <c r="O811" s="24">
        <v>0</v>
      </c>
      <c r="P811" s="24">
        <v>0</v>
      </c>
      <c r="Q811" s="24">
        <v>0</v>
      </c>
      <c r="R811" s="24">
        <v>0</v>
      </c>
      <c r="S811" s="24">
        <v>39</v>
      </c>
      <c r="T811" s="24">
        <v>0</v>
      </c>
      <c r="U811" s="24">
        <v>0</v>
      </c>
      <c r="V811" s="24">
        <v>1</v>
      </c>
      <c r="W811" s="24">
        <v>1</v>
      </c>
      <c r="X811" s="24">
        <v>2</v>
      </c>
      <c r="Y811" s="24">
        <v>0</v>
      </c>
      <c r="Z811" s="24">
        <v>0</v>
      </c>
      <c r="AA811" s="24">
        <v>0</v>
      </c>
      <c r="AB811" s="24">
        <v>0</v>
      </c>
      <c r="AC811" s="24">
        <v>1</v>
      </c>
      <c r="AD811" s="24">
        <v>0</v>
      </c>
      <c r="AE811" s="24">
        <v>0</v>
      </c>
      <c r="AF811" s="24">
        <v>0</v>
      </c>
      <c r="AG811" s="24">
        <v>0</v>
      </c>
      <c r="AH811" s="24">
        <v>1</v>
      </c>
      <c r="AI811" s="24">
        <v>0</v>
      </c>
      <c r="AJ811" s="24">
        <v>0</v>
      </c>
      <c r="AK811" s="24">
        <v>1</v>
      </c>
      <c r="AL811" s="24">
        <v>0</v>
      </c>
      <c r="AM811" s="24">
        <v>0</v>
      </c>
      <c r="AN811" s="24">
        <v>0</v>
      </c>
      <c r="AO811" s="24">
        <v>0</v>
      </c>
      <c r="AP811" s="24">
        <v>0</v>
      </c>
      <c r="AQ811" s="24">
        <v>0</v>
      </c>
      <c r="AR811" s="24">
        <v>0</v>
      </c>
      <c r="AS811" s="24">
        <v>0</v>
      </c>
      <c r="AT811" s="24">
        <v>1</v>
      </c>
      <c r="AU811" s="24">
        <v>0</v>
      </c>
      <c r="AV811" s="24">
        <v>0</v>
      </c>
      <c r="AW811" s="24">
        <v>0</v>
      </c>
      <c r="AX811" s="24">
        <v>1</v>
      </c>
      <c r="AY811" s="24">
        <v>0</v>
      </c>
      <c r="AZ811" s="24">
        <v>0</v>
      </c>
      <c r="BA811" s="24">
        <v>1</v>
      </c>
      <c r="BB811" s="24">
        <v>0</v>
      </c>
    </row>
    <row r="812" spans="2:54" ht="13.8" x14ac:dyDescent="0.3">
      <c r="B812" s="24">
        <v>792</v>
      </c>
      <c r="C812" s="24">
        <v>24</v>
      </c>
      <c r="D812" s="24">
        <v>0</v>
      </c>
      <c r="E812" s="24">
        <v>1</v>
      </c>
      <c r="F812" s="24">
        <v>0</v>
      </c>
      <c r="G812" s="24">
        <v>0</v>
      </c>
      <c r="H812" s="24">
        <v>0</v>
      </c>
      <c r="I812" s="24">
        <v>0</v>
      </c>
      <c r="J812" s="24">
        <v>6313</v>
      </c>
      <c r="K812" s="24">
        <v>3</v>
      </c>
      <c r="L812" s="24">
        <v>0</v>
      </c>
      <c r="M812" s="24">
        <v>1</v>
      </c>
      <c r="N812" s="24">
        <v>0</v>
      </c>
      <c r="O812" s="24">
        <v>0</v>
      </c>
      <c r="P812" s="24">
        <v>0</v>
      </c>
      <c r="Q812" s="24">
        <v>0</v>
      </c>
      <c r="R812" s="24">
        <v>0</v>
      </c>
      <c r="S812" s="24">
        <v>41</v>
      </c>
      <c r="T812" s="24">
        <v>0</v>
      </c>
      <c r="U812" s="24">
        <v>0</v>
      </c>
      <c r="V812" s="24">
        <v>1</v>
      </c>
      <c r="W812" s="24">
        <v>1</v>
      </c>
      <c r="X812" s="24">
        <v>2</v>
      </c>
      <c r="Y812" s="24">
        <v>1</v>
      </c>
      <c r="Z812" s="24">
        <v>0</v>
      </c>
      <c r="AA812" s="24">
        <v>1</v>
      </c>
      <c r="AB812" s="24">
        <v>0</v>
      </c>
      <c r="AC812" s="24">
        <v>0</v>
      </c>
      <c r="AD812" s="24">
        <v>0</v>
      </c>
      <c r="AE812" s="24">
        <v>1</v>
      </c>
      <c r="AF812" s="24">
        <v>0</v>
      </c>
      <c r="AG812" s="24">
        <v>0</v>
      </c>
      <c r="AH812" s="24">
        <v>1</v>
      </c>
      <c r="AI812" s="24">
        <v>0</v>
      </c>
      <c r="AJ812" s="24">
        <v>0</v>
      </c>
      <c r="AK812" s="24">
        <v>0</v>
      </c>
      <c r="AL812" s="24">
        <v>0</v>
      </c>
      <c r="AM812" s="24">
        <v>0</v>
      </c>
      <c r="AN812" s="24">
        <v>0</v>
      </c>
      <c r="AO812" s="24">
        <v>1</v>
      </c>
      <c r="AP812" s="24">
        <v>0</v>
      </c>
      <c r="AQ812" s="24">
        <v>0</v>
      </c>
      <c r="AR812" s="24">
        <v>0</v>
      </c>
      <c r="AS812" s="24">
        <v>0</v>
      </c>
      <c r="AT812" s="24">
        <v>1</v>
      </c>
      <c r="AU812" s="24">
        <v>0</v>
      </c>
      <c r="AV812" s="24">
        <v>0</v>
      </c>
      <c r="AW812" s="24">
        <v>0</v>
      </c>
      <c r="AX812" s="24">
        <v>1</v>
      </c>
      <c r="AY812" s="24">
        <v>0</v>
      </c>
      <c r="AZ812" s="24">
        <v>0</v>
      </c>
      <c r="BA812" s="24">
        <v>0</v>
      </c>
      <c r="BB812" s="24">
        <v>1</v>
      </c>
    </row>
    <row r="813" spans="2:54" ht="13.8" x14ac:dyDescent="0.3">
      <c r="B813" s="24">
        <v>793</v>
      </c>
      <c r="C813" s="24">
        <v>6</v>
      </c>
      <c r="D813" s="24">
        <v>0</v>
      </c>
      <c r="E813" s="24">
        <v>0</v>
      </c>
      <c r="F813" s="24">
        <v>1</v>
      </c>
      <c r="G813" s="24">
        <v>0</v>
      </c>
      <c r="H813" s="24">
        <v>0</v>
      </c>
      <c r="I813" s="24">
        <v>0</v>
      </c>
      <c r="J813" s="24">
        <v>1221</v>
      </c>
      <c r="K813" s="24">
        <v>1</v>
      </c>
      <c r="L813" s="24">
        <v>0</v>
      </c>
      <c r="M813" s="24">
        <v>0</v>
      </c>
      <c r="N813" s="24">
        <v>1</v>
      </c>
      <c r="O813" s="24">
        <v>0</v>
      </c>
      <c r="P813" s="24">
        <v>0</v>
      </c>
      <c r="Q813" s="24">
        <v>0</v>
      </c>
      <c r="R813" s="24">
        <v>0</v>
      </c>
      <c r="S813" s="24">
        <v>27</v>
      </c>
      <c r="T813" s="24">
        <v>0</v>
      </c>
      <c r="U813" s="24">
        <v>0</v>
      </c>
      <c r="V813" s="24">
        <v>1</v>
      </c>
      <c r="W813" s="24">
        <v>2</v>
      </c>
      <c r="X813" s="24">
        <v>1</v>
      </c>
      <c r="Y813" s="24">
        <v>0</v>
      </c>
      <c r="Z813" s="24">
        <v>0</v>
      </c>
      <c r="AA813" s="24">
        <v>1</v>
      </c>
      <c r="AB813" s="24">
        <v>0</v>
      </c>
      <c r="AC813" s="24">
        <v>0</v>
      </c>
      <c r="AD813" s="24">
        <v>0</v>
      </c>
      <c r="AE813" s="24">
        <v>1</v>
      </c>
      <c r="AF813" s="24">
        <v>0</v>
      </c>
      <c r="AG813" s="24">
        <v>0</v>
      </c>
      <c r="AH813" s="24">
        <v>0</v>
      </c>
      <c r="AI813" s="24">
        <v>0</v>
      </c>
      <c r="AJ813" s="24">
        <v>1</v>
      </c>
      <c r="AK813" s="24">
        <v>0</v>
      </c>
      <c r="AL813" s="24">
        <v>0</v>
      </c>
      <c r="AM813" s="24">
        <v>0</v>
      </c>
      <c r="AN813" s="24">
        <v>0</v>
      </c>
      <c r="AO813" s="24">
        <v>1</v>
      </c>
      <c r="AP813" s="24">
        <v>0</v>
      </c>
      <c r="AQ813" s="24">
        <v>0</v>
      </c>
      <c r="AR813" s="24">
        <v>1</v>
      </c>
      <c r="AS813" s="24">
        <v>0</v>
      </c>
      <c r="AT813" s="24">
        <v>0</v>
      </c>
      <c r="AU813" s="24">
        <v>0</v>
      </c>
      <c r="AV813" s="24">
        <v>1</v>
      </c>
      <c r="AW813" s="24">
        <v>0</v>
      </c>
      <c r="AX813" s="24">
        <v>0</v>
      </c>
      <c r="AY813" s="24">
        <v>0</v>
      </c>
      <c r="AZ813" s="24">
        <v>0</v>
      </c>
      <c r="BA813" s="24">
        <v>1</v>
      </c>
      <c r="BB813" s="24">
        <v>0</v>
      </c>
    </row>
    <row r="814" spans="2:54" ht="13.8" x14ac:dyDescent="0.3">
      <c r="B814" s="24">
        <v>794</v>
      </c>
      <c r="C814" s="24">
        <v>24</v>
      </c>
      <c r="D814" s="24">
        <v>0</v>
      </c>
      <c r="E814" s="24">
        <v>0</v>
      </c>
      <c r="F814" s="24">
        <v>1</v>
      </c>
      <c r="G814" s="24">
        <v>0</v>
      </c>
      <c r="H814" s="24">
        <v>0</v>
      </c>
      <c r="I814" s="24">
        <v>0</v>
      </c>
      <c r="J814" s="24">
        <v>2892</v>
      </c>
      <c r="K814" s="24">
        <v>3</v>
      </c>
      <c r="L814" s="24">
        <v>1</v>
      </c>
      <c r="M814" s="24">
        <v>0</v>
      </c>
      <c r="N814" s="24">
        <v>0</v>
      </c>
      <c r="O814" s="24">
        <v>0</v>
      </c>
      <c r="P814" s="24">
        <v>0</v>
      </c>
      <c r="Q814" s="24">
        <v>0</v>
      </c>
      <c r="R814" s="24">
        <v>1</v>
      </c>
      <c r="S814" s="24">
        <v>51</v>
      </c>
      <c r="T814" s="24">
        <v>0</v>
      </c>
      <c r="U814" s="24">
        <v>0</v>
      </c>
      <c r="V814" s="24">
        <v>0</v>
      </c>
      <c r="W814" s="24">
        <v>1</v>
      </c>
      <c r="X814" s="24">
        <v>1</v>
      </c>
      <c r="Y814" s="24">
        <v>0</v>
      </c>
      <c r="Z814" s="24">
        <v>0</v>
      </c>
      <c r="AA814" s="24">
        <v>1</v>
      </c>
      <c r="AB814" s="24">
        <v>0</v>
      </c>
      <c r="AC814" s="24">
        <v>0</v>
      </c>
      <c r="AD814" s="24">
        <v>1</v>
      </c>
      <c r="AE814" s="24">
        <v>0</v>
      </c>
      <c r="AF814" s="24">
        <v>0</v>
      </c>
      <c r="AG814" s="24">
        <v>0</v>
      </c>
      <c r="AH814" s="24">
        <v>1</v>
      </c>
      <c r="AI814" s="24">
        <v>0</v>
      </c>
      <c r="AJ814" s="24">
        <v>0</v>
      </c>
      <c r="AK814" s="24">
        <v>1</v>
      </c>
      <c r="AL814" s="24">
        <v>0</v>
      </c>
      <c r="AM814" s="24">
        <v>0</v>
      </c>
      <c r="AN814" s="24">
        <v>0</v>
      </c>
      <c r="AO814" s="24">
        <v>0</v>
      </c>
      <c r="AP814" s="24">
        <v>0</v>
      </c>
      <c r="AQ814" s="24">
        <v>0</v>
      </c>
      <c r="AR814" s="24">
        <v>0</v>
      </c>
      <c r="AS814" s="24">
        <v>0</v>
      </c>
      <c r="AT814" s="24">
        <v>1</v>
      </c>
      <c r="AU814" s="24">
        <v>0</v>
      </c>
      <c r="AV814" s="24">
        <v>0</v>
      </c>
      <c r="AW814" s="24">
        <v>0</v>
      </c>
      <c r="AX814" s="24">
        <v>1</v>
      </c>
      <c r="AY814" s="24">
        <v>0</v>
      </c>
      <c r="AZ814" s="24">
        <v>0</v>
      </c>
      <c r="BA814" s="24">
        <v>1</v>
      </c>
      <c r="BB814" s="24">
        <v>0</v>
      </c>
    </row>
    <row r="815" spans="2:54" ht="13.8" x14ac:dyDescent="0.3">
      <c r="B815" s="24">
        <v>795</v>
      </c>
      <c r="C815" s="24">
        <v>24</v>
      </c>
      <c r="D815" s="24">
        <v>0</v>
      </c>
      <c r="E815" s="24">
        <v>0</v>
      </c>
      <c r="F815" s="24">
        <v>1</v>
      </c>
      <c r="G815" s="24">
        <v>0</v>
      </c>
      <c r="H815" s="24">
        <v>0</v>
      </c>
      <c r="I815" s="24">
        <v>0</v>
      </c>
      <c r="J815" s="24">
        <v>3062</v>
      </c>
      <c r="K815" s="24">
        <v>4</v>
      </c>
      <c r="L815" s="24">
        <v>0</v>
      </c>
      <c r="M815" s="24">
        <v>1</v>
      </c>
      <c r="N815" s="24">
        <v>0</v>
      </c>
      <c r="O815" s="24">
        <v>0</v>
      </c>
      <c r="P815" s="24">
        <v>0</v>
      </c>
      <c r="Q815" s="24">
        <v>0</v>
      </c>
      <c r="R815" s="24">
        <v>1</v>
      </c>
      <c r="S815" s="24">
        <v>32</v>
      </c>
      <c r="T815" s="24">
        <v>0</v>
      </c>
      <c r="U815" s="24">
        <v>1</v>
      </c>
      <c r="V815" s="24">
        <v>0</v>
      </c>
      <c r="W815" s="24">
        <v>1</v>
      </c>
      <c r="X815" s="24">
        <v>1</v>
      </c>
      <c r="Y815" s="24">
        <v>1</v>
      </c>
      <c r="Z815" s="24">
        <v>0</v>
      </c>
      <c r="AA815" s="24">
        <v>1</v>
      </c>
      <c r="AB815" s="24">
        <v>0</v>
      </c>
      <c r="AC815" s="24">
        <v>0</v>
      </c>
      <c r="AD815" s="24">
        <v>0</v>
      </c>
      <c r="AE815" s="24">
        <v>1</v>
      </c>
      <c r="AF815" s="24">
        <v>0</v>
      </c>
      <c r="AG815" s="24">
        <v>0</v>
      </c>
      <c r="AH815" s="24">
        <v>1</v>
      </c>
      <c r="AI815" s="24">
        <v>0</v>
      </c>
      <c r="AJ815" s="24">
        <v>0</v>
      </c>
      <c r="AK815" s="24">
        <v>0</v>
      </c>
      <c r="AL815" s="24">
        <v>0</v>
      </c>
      <c r="AM815" s="24">
        <v>1</v>
      </c>
      <c r="AN815" s="24">
        <v>0</v>
      </c>
      <c r="AO815" s="24">
        <v>0</v>
      </c>
      <c r="AP815" s="24">
        <v>0</v>
      </c>
      <c r="AQ815" s="24">
        <v>0</v>
      </c>
      <c r="AR815" s="24">
        <v>0</v>
      </c>
      <c r="AS815" s="24">
        <v>0</v>
      </c>
      <c r="AT815" s="24">
        <v>1</v>
      </c>
      <c r="AU815" s="24">
        <v>0</v>
      </c>
      <c r="AV815" s="24">
        <v>0</v>
      </c>
      <c r="AW815" s="24">
        <v>1</v>
      </c>
      <c r="AX815" s="24">
        <v>0</v>
      </c>
      <c r="AY815" s="24">
        <v>0</v>
      </c>
      <c r="AZ815" s="24">
        <v>0</v>
      </c>
      <c r="BA815" s="24">
        <v>1</v>
      </c>
      <c r="BB815" s="24">
        <v>0</v>
      </c>
    </row>
    <row r="816" spans="2:54" ht="13.8" x14ac:dyDescent="0.3">
      <c r="B816" s="24">
        <v>796</v>
      </c>
      <c r="C816" s="24">
        <v>9</v>
      </c>
      <c r="D816" s="24">
        <v>0</v>
      </c>
      <c r="E816" s="24">
        <v>0</v>
      </c>
      <c r="F816" s="24">
        <v>1</v>
      </c>
      <c r="G816" s="24">
        <v>0</v>
      </c>
      <c r="H816" s="24">
        <v>0</v>
      </c>
      <c r="I816" s="24">
        <v>0</v>
      </c>
      <c r="J816" s="24">
        <v>2301</v>
      </c>
      <c r="K816" s="24">
        <v>2</v>
      </c>
      <c r="L816" s="24">
        <v>0</v>
      </c>
      <c r="M816" s="24">
        <v>0</v>
      </c>
      <c r="N816" s="24">
        <v>0</v>
      </c>
      <c r="O816" s="24">
        <v>0</v>
      </c>
      <c r="P816" s="24">
        <v>0</v>
      </c>
      <c r="Q816" s="24">
        <v>0</v>
      </c>
      <c r="R816" s="24">
        <v>0</v>
      </c>
      <c r="S816" s="24">
        <v>22</v>
      </c>
      <c r="T816" s="24">
        <v>0</v>
      </c>
      <c r="U816" s="24">
        <v>1</v>
      </c>
      <c r="V816" s="24">
        <v>0</v>
      </c>
      <c r="W816" s="24">
        <v>1</v>
      </c>
      <c r="X816" s="24">
        <v>1</v>
      </c>
      <c r="Y816" s="24">
        <v>0</v>
      </c>
      <c r="Z816" s="24">
        <v>0</v>
      </c>
      <c r="AA816" s="24">
        <v>1</v>
      </c>
      <c r="AB816" s="24">
        <v>0</v>
      </c>
      <c r="AC816" s="24">
        <v>0</v>
      </c>
      <c r="AD816" s="24">
        <v>0</v>
      </c>
      <c r="AE816" s="24">
        <v>1</v>
      </c>
      <c r="AF816" s="24">
        <v>0</v>
      </c>
      <c r="AG816" s="24">
        <v>0</v>
      </c>
      <c r="AH816" s="24">
        <v>1</v>
      </c>
      <c r="AI816" s="24">
        <v>0</v>
      </c>
      <c r="AJ816" s="24">
        <v>0</v>
      </c>
      <c r="AK816" s="24">
        <v>0</v>
      </c>
      <c r="AL816" s="24">
        <v>1</v>
      </c>
      <c r="AM816" s="24">
        <v>0</v>
      </c>
      <c r="AN816" s="24">
        <v>0</v>
      </c>
      <c r="AO816" s="24">
        <v>0</v>
      </c>
      <c r="AP816" s="24">
        <v>0</v>
      </c>
      <c r="AQ816" s="24">
        <v>1</v>
      </c>
      <c r="AR816" s="24">
        <v>0</v>
      </c>
      <c r="AS816" s="24">
        <v>0</v>
      </c>
      <c r="AT816" s="24">
        <v>0</v>
      </c>
      <c r="AU816" s="24">
        <v>0</v>
      </c>
      <c r="AV816" s="24">
        <v>0</v>
      </c>
      <c r="AW816" s="24">
        <v>0</v>
      </c>
      <c r="AX816" s="24">
        <v>1</v>
      </c>
      <c r="AY816" s="24">
        <v>0</v>
      </c>
      <c r="AZ816" s="24">
        <v>0</v>
      </c>
      <c r="BA816" s="24">
        <v>1</v>
      </c>
      <c r="BB816" s="24">
        <v>0</v>
      </c>
    </row>
    <row r="817" spans="2:54" ht="13.8" x14ac:dyDescent="0.3">
      <c r="B817" s="24">
        <v>797</v>
      </c>
      <c r="C817" s="24">
        <v>18</v>
      </c>
      <c r="D817" s="24">
        <v>0</v>
      </c>
      <c r="E817" s="24">
        <v>1</v>
      </c>
      <c r="F817" s="24">
        <v>0</v>
      </c>
      <c r="G817" s="24">
        <v>0</v>
      </c>
      <c r="H817" s="24">
        <v>0</v>
      </c>
      <c r="I817" s="24">
        <v>0</v>
      </c>
      <c r="J817" s="24">
        <v>7511</v>
      </c>
      <c r="K817" s="24">
        <v>1</v>
      </c>
      <c r="L817" s="24">
        <v>0</v>
      </c>
      <c r="M817" s="24">
        <v>1</v>
      </c>
      <c r="N817" s="24">
        <v>0</v>
      </c>
      <c r="O817" s="24">
        <v>0</v>
      </c>
      <c r="P817" s="24">
        <v>0</v>
      </c>
      <c r="Q817" s="24">
        <v>0</v>
      </c>
      <c r="R817" s="24">
        <v>0</v>
      </c>
      <c r="S817" s="24">
        <v>51</v>
      </c>
      <c r="T817" s="24">
        <v>0</v>
      </c>
      <c r="U817" s="24">
        <v>0</v>
      </c>
      <c r="V817" s="24">
        <v>0</v>
      </c>
      <c r="W817" s="24">
        <v>1</v>
      </c>
      <c r="X817" s="24">
        <v>2</v>
      </c>
      <c r="Y817" s="24">
        <v>1</v>
      </c>
      <c r="Z817" s="24">
        <v>0</v>
      </c>
      <c r="AA817" s="24">
        <v>0</v>
      </c>
      <c r="AB817" s="24">
        <v>1</v>
      </c>
      <c r="AC817" s="24">
        <v>0</v>
      </c>
      <c r="AD817" s="24">
        <v>0</v>
      </c>
      <c r="AE817" s="24">
        <v>0</v>
      </c>
      <c r="AF817" s="24">
        <v>0</v>
      </c>
      <c r="AG817" s="24">
        <v>0</v>
      </c>
      <c r="AH817" s="24">
        <v>1</v>
      </c>
      <c r="AI817" s="24">
        <v>0</v>
      </c>
      <c r="AJ817" s="24">
        <v>0</v>
      </c>
      <c r="AK817" s="24">
        <v>0</v>
      </c>
      <c r="AL817" s="24">
        <v>0</v>
      </c>
      <c r="AM817" s="24">
        <v>0</v>
      </c>
      <c r="AN817" s="24">
        <v>0</v>
      </c>
      <c r="AO817" s="24">
        <v>1</v>
      </c>
      <c r="AP817" s="24">
        <v>0</v>
      </c>
      <c r="AQ817" s="24">
        <v>0</v>
      </c>
      <c r="AR817" s="24">
        <v>0</v>
      </c>
      <c r="AS817" s="24">
        <v>0</v>
      </c>
      <c r="AT817" s="24">
        <v>1</v>
      </c>
      <c r="AU817" s="24">
        <v>0</v>
      </c>
      <c r="AV817" s="24">
        <v>0</v>
      </c>
      <c r="AW817" s="24">
        <v>0</v>
      </c>
      <c r="AX817" s="24">
        <v>1</v>
      </c>
      <c r="AY817" s="24">
        <v>0</v>
      </c>
      <c r="AZ817" s="24">
        <v>0</v>
      </c>
      <c r="BA817" s="24">
        <v>1</v>
      </c>
      <c r="BB817" s="24">
        <v>0</v>
      </c>
    </row>
    <row r="818" spans="2:54" ht="13.8" x14ac:dyDescent="0.3">
      <c r="B818" s="24">
        <v>798</v>
      </c>
      <c r="C818" s="24">
        <v>12</v>
      </c>
      <c r="D818" s="24">
        <v>0</v>
      </c>
      <c r="E818" s="24">
        <v>0</v>
      </c>
      <c r="F818" s="24">
        <v>1</v>
      </c>
      <c r="G818" s="24">
        <v>0</v>
      </c>
      <c r="H818" s="24">
        <v>0</v>
      </c>
      <c r="I818" s="24">
        <v>0</v>
      </c>
      <c r="J818" s="24">
        <v>1258</v>
      </c>
      <c r="K818" s="24">
        <v>2</v>
      </c>
      <c r="L818" s="24">
        <v>0</v>
      </c>
      <c r="M818" s="24">
        <v>0</v>
      </c>
      <c r="N818" s="24">
        <v>0</v>
      </c>
      <c r="O818" s="24">
        <v>0</v>
      </c>
      <c r="P818" s="24">
        <v>0</v>
      </c>
      <c r="Q818" s="24">
        <v>0</v>
      </c>
      <c r="R818" s="24">
        <v>0</v>
      </c>
      <c r="S818" s="24">
        <v>22</v>
      </c>
      <c r="T818" s="24">
        <v>0</v>
      </c>
      <c r="U818" s="24">
        <v>1</v>
      </c>
      <c r="V818" s="24">
        <v>0</v>
      </c>
      <c r="W818" s="24">
        <v>2</v>
      </c>
      <c r="X818" s="24">
        <v>1</v>
      </c>
      <c r="Y818" s="24">
        <v>0</v>
      </c>
      <c r="Z818" s="24">
        <v>0</v>
      </c>
      <c r="AA818" s="24">
        <v>1</v>
      </c>
      <c r="AB818" s="24">
        <v>0</v>
      </c>
      <c r="AC818" s="24">
        <v>0</v>
      </c>
      <c r="AD818" s="24">
        <v>0</v>
      </c>
      <c r="AE818" s="24">
        <v>1</v>
      </c>
      <c r="AF818" s="24">
        <v>0</v>
      </c>
      <c r="AG818" s="24">
        <v>0</v>
      </c>
      <c r="AH818" s="24">
        <v>0</v>
      </c>
      <c r="AI818" s="24">
        <v>0</v>
      </c>
      <c r="AJ818" s="24">
        <v>1</v>
      </c>
      <c r="AK818" s="24">
        <v>1</v>
      </c>
      <c r="AL818" s="24">
        <v>0</v>
      </c>
      <c r="AM818" s="24">
        <v>0</v>
      </c>
      <c r="AN818" s="24">
        <v>0</v>
      </c>
      <c r="AO818" s="24">
        <v>0</v>
      </c>
      <c r="AP818" s="24">
        <v>0</v>
      </c>
      <c r="AQ818" s="24">
        <v>1</v>
      </c>
      <c r="AR818" s="24">
        <v>0</v>
      </c>
      <c r="AS818" s="24">
        <v>0</v>
      </c>
      <c r="AT818" s="24">
        <v>0</v>
      </c>
      <c r="AU818" s="24">
        <v>0</v>
      </c>
      <c r="AV818" s="24">
        <v>0</v>
      </c>
      <c r="AW818" s="24">
        <v>0</v>
      </c>
      <c r="AX818" s="24">
        <v>1</v>
      </c>
      <c r="AY818" s="24">
        <v>0</v>
      </c>
      <c r="AZ818" s="24">
        <v>1</v>
      </c>
      <c r="BA818" s="24">
        <v>0</v>
      </c>
      <c r="BB818" s="24">
        <v>0</v>
      </c>
    </row>
    <row r="819" spans="2:54" ht="13.8" x14ac:dyDescent="0.3">
      <c r="B819" s="24">
        <v>799</v>
      </c>
      <c r="C819" s="24">
        <v>24</v>
      </c>
      <c r="D819" s="24">
        <v>1</v>
      </c>
      <c r="E819" s="24">
        <v>0</v>
      </c>
      <c r="F819" s="24">
        <v>0</v>
      </c>
      <c r="G819" s="24">
        <v>0</v>
      </c>
      <c r="H819" s="24">
        <v>0</v>
      </c>
      <c r="I819" s="24">
        <v>0</v>
      </c>
      <c r="J819" s="24">
        <v>717</v>
      </c>
      <c r="K819" s="24">
        <v>4</v>
      </c>
      <c r="L819" s="24">
        <v>0</v>
      </c>
      <c r="M819" s="24">
        <v>0</v>
      </c>
      <c r="N819" s="24">
        <v>1</v>
      </c>
      <c r="O819" s="24">
        <v>0</v>
      </c>
      <c r="P819" s="24">
        <v>0</v>
      </c>
      <c r="Q819" s="24">
        <v>0</v>
      </c>
      <c r="R819" s="24">
        <v>0</v>
      </c>
      <c r="S819" s="24">
        <v>54</v>
      </c>
      <c r="T819" s="24">
        <v>0</v>
      </c>
      <c r="U819" s="24">
        <v>0</v>
      </c>
      <c r="V819" s="24">
        <v>1</v>
      </c>
      <c r="W819" s="24">
        <v>2</v>
      </c>
      <c r="X819" s="24">
        <v>1</v>
      </c>
      <c r="Y819" s="24">
        <v>1</v>
      </c>
      <c r="Z819" s="24">
        <v>0</v>
      </c>
      <c r="AA819" s="24">
        <v>1</v>
      </c>
      <c r="AB819" s="24">
        <v>0</v>
      </c>
      <c r="AC819" s="24">
        <v>0</v>
      </c>
      <c r="AD819" s="24">
        <v>0</v>
      </c>
      <c r="AE819" s="24">
        <v>1</v>
      </c>
      <c r="AF819" s="24">
        <v>0</v>
      </c>
      <c r="AG819" s="24">
        <v>0</v>
      </c>
      <c r="AH819" s="24">
        <v>0</v>
      </c>
      <c r="AI819" s="24">
        <v>1</v>
      </c>
      <c r="AJ819" s="24">
        <v>0</v>
      </c>
      <c r="AK819" s="24">
        <v>0</v>
      </c>
      <c r="AL819" s="24">
        <v>0</v>
      </c>
      <c r="AM819" s="24">
        <v>0</v>
      </c>
      <c r="AN819" s="24">
        <v>0</v>
      </c>
      <c r="AO819" s="24">
        <v>1</v>
      </c>
      <c r="AP819" s="24">
        <v>0</v>
      </c>
      <c r="AQ819" s="24">
        <v>0</v>
      </c>
      <c r="AR819" s="24">
        <v>0</v>
      </c>
      <c r="AS819" s="24">
        <v>0</v>
      </c>
      <c r="AT819" s="24">
        <v>1</v>
      </c>
      <c r="AU819" s="24">
        <v>0</v>
      </c>
      <c r="AV819" s="24">
        <v>0</v>
      </c>
      <c r="AW819" s="24">
        <v>0</v>
      </c>
      <c r="AX819" s="24">
        <v>1</v>
      </c>
      <c r="AY819" s="24">
        <v>0</v>
      </c>
      <c r="AZ819" s="24">
        <v>0</v>
      </c>
      <c r="BA819" s="24">
        <v>1</v>
      </c>
      <c r="BB819" s="24">
        <v>0</v>
      </c>
    </row>
    <row r="820" spans="2:54" ht="13.8" x14ac:dyDescent="0.3">
      <c r="B820" s="24">
        <v>800</v>
      </c>
      <c r="C820" s="24">
        <v>9</v>
      </c>
      <c r="D820" s="24">
        <v>1</v>
      </c>
      <c r="E820" s="24">
        <v>0</v>
      </c>
      <c r="F820" s="24">
        <v>0</v>
      </c>
      <c r="G820" s="24">
        <v>0</v>
      </c>
      <c r="H820" s="24">
        <v>0</v>
      </c>
      <c r="I820" s="24">
        <v>0</v>
      </c>
      <c r="J820" s="24">
        <v>1549</v>
      </c>
      <c r="K820" s="24">
        <v>4</v>
      </c>
      <c r="L820" s="24">
        <v>0</v>
      </c>
      <c r="M820" s="24">
        <v>1</v>
      </c>
      <c r="N820" s="24">
        <v>0</v>
      </c>
      <c r="O820" s="24">
        <v>0</v>
      </c>
      <c r="P820" s="24">
        <v>0</v>
      </c>
      <c r="Q820" s="24">
        <v>1</v>
      </c>
      <c r="R820" s="24">
        <v>0</v>
      </c>
      <c r="S820" s="24">
        <v>35</v>
      </c>
      <c r="T820" s="24">
        <v>0</v>
      </c>
      <c r="U820" s="24">
        <v>0</v>
      </c>
      <c r="V820" s="24">
        <v>1</v>
      </c>
      <c r="W820" s="24">
        <v>1</v>
      </c>
      <c r="X820" s="24">
        <v>1</v>
      </c>
      <c r="Y820" s="24">
        <v>0</v>
      </c>
      <c r="Z820" s="24">
        <v>0</v>
      </c>
      <c r="AA820" s="24">
        <v>1</v>
      </c>
      <c r="AB820" s="24">
        <v>0</v>
      </c>
      <c r="AC820" s="24">
        <v>1</v>
      </c>
      <c r="AD820" s="24">
        <v>0</v>
      </c>
      <c r="AE820" s="24">
        <v>0</v>
      </c>
      <c r="AF820" s="24">
        <v>0</v>
      </c>
      <c r="AG820" s="24">
        <v>0</v>
      </c>
      <c r="AH820" s="24">
        <v>1</v>
      </c>
      <c r="AI820" s="24">
        <v>0</v>
      </c>
      <c r="AJ820" s="24">
        <v>0</v>
      </c>
      <c r="AK820" s="24">
        <v>0</v>
      </c>
      <c r="AL820" s="24">
        <v>0</v>
      </c>
      <c r="AM820" s="24">
        <v>0</v>
      </c>
      <c r="AN820" s="24">
        <v>0</v>
      </c>
      <c r="AO820" s="24">
        <v>1</v>
      </c>
      <c r="AP820" s="24">
        <v>0</v>
      </c>
      <c r="AQ820" s="24">
        <v>1</v>
      </c>
      <c r="AR820" s="24">
        <v>0</v>
      </c>
      <c r="AS820" s="24">
        <v>0</v>
      </c>
      <c r="AT820" s="24">
        <v>0</v>
      </c>
      <c r="AU820" s="24">
        <v>0</v>
      </c>
      <c r="AV820" s="24">
        <v>1</v>
      </c>
      <c r="AW820" s="24">
        <v>0</v>
      </c>
      <c r="AX820" s="24">
        <v>0</v>
      </c>
      <c r="AY820" s="24">
        <v>1</v>
      </c>
      <c r="AZ820" s="24">
        <v>0</v>
      </c>
      <c r="BA820" s="24">
        <v>0</v>
      </c>
      <c r="BB820" s="24">
        <v>0</v>
      </c>
    </row>
    <row r="821" spans="2:54" ht="13.8" x14ac:dyDescent="0.3">
      <c r="B821" s="24">
        <v>801</v>
      </c>
      <c r="C821" s="24">
        <v>24</v>
      </c>
      <c r="D821" s="24">
        <v>0</v>
      </c>
      <c r="E821" s="24">
        <v>0</v>
      </c>
      <c r="F821" s="24">
        <v>0</v>
      </c>
      <c r="G821" s="24">
        <v>0</v>
      </c>
      <c r="H821" s="24">
        <v>1</v>
      </c>
      <c r="I821" s="24">
        <v>0</v>
      </c>
      <c r="J821" s="24">
        <v>1597</v>
      </c>
      <c r="K821" s="24">
        <v>4</v>
      </c>
      <c r="L821" s="24">
        <v>0</v>
      </c>
      <c r="M821" s="24">
        <v>1</v>
      </c>
      <c r="N821" s="24">
        <v>0</v>
      </c>
      <c r="O821" s="24">
        <v>0</v>
      </c>
      <c r="P821" s="24">
        <v>0</v>
      </c>
      <c r="Q821" s="24">
        <v>0</v>
      </c>
      <c r="R821" s="24">
        <v>1</v>
      </c>
      <c r="S821" s="24">
        <v>54</v>
      </c>
      <c r="T821" s="24">
        <v>0</v>
      </c>
      <c r="U821" s="24">
        <v>0</v>
      </c>
      <c r="V821" s="24">
        <v>0</v>
      </c>
      <c r="W821" s="24">
        <v>2</v>
      </c>
      <c r="X821" s="24">
        <v>2</v>
      </c>
      <c r="Y821" s="24">
        <v>0</v>
      </c>
      <c r="Z821" s="24">
        <v>0</v>
      </c>
      <c r="AA821" s="24">
        <v>1</v>
      </c>
      <c r="AB821" s="24">
        <v>0</v>
      </c>
      <c r="AC821" s="24">
        <v>0</v>
      </c>
      <c r="AD821" s="24">
        <v>0</v>
      </c>
      <c r="AE821" s="24">
        <v>1</v>
      </c>
      <c r="AF821" s="24">
        <v>0</v>
      </c>
      <c r="AG821" s="24">
        <v>0</v>
      </c>
      <c r="AH821" s="24">
        <v>0</v>
      </c>
      <c r="AI821" s="24">
        <v>0</v>
      </c>
      <c r="AJ821" s="24">
        <v>1</v>
      </c>
      <c r="AK821" s="24">
        <v>1</v>
      </c>
      <c r="AL821" s="24">
        <v>0</v>
      </c>
      <c r="AM821" s="24">
        <v>0</v>
      </c>
      <c r="AN821" s="24">
        <v>0</v>
      </c>
      <c r="AO821" s="24">
        <v>0</v>
      </c>
      <c r="AP821" s="24">
        <v>0</v>
      </c>
      <c r="AQ821" s="24">
        <v>0</v>
      </c>
      <c r="AR821" s="24">
        <v>0</v>
      </c>
      <c r="AS821" s="24">
        <v>0</v>
      </c>
      <c r="AT821" s="24">
        <v>1</v>
      </c>
      <c r="AU821" s="24">
        <v>0</v>
      </c>
      <c r="AV821" s="24">
        <v>0</v>
      </c>
      <c r="AW821" s="24">
        <v>0</v>
      </c>
      <c r="AX821" s="24">
        <v>1</v>
      </c>
      <c r="AY821" s="24">
        <v>0</v>
      </c>
      <c r="AZ821" s="24">
        <v>0</v>
      </c>
      <c r="BA821" s="24">
        <v>1</v>
      </c>
      <c r="BB821" s="24">
        <v>0</v>
      </c>
    </row>
    <row r="822" spans="2:54" ht="13.8" x14ac:dyDescent="0.3">
      <c r="B822" s="24">
        <v>802</v>
      </c>
      <c r="C822" s="24">
        <v>18</v>
      </c>
      <c r="D822" s="24">
        <v>0</v>
      </c>
      <c r="E822" s="24">
        <v>0</v>
      </c>
      <c r="F822" s="24">
        <v>0</v>
      </c>
      <c r="G822" s="24">
        <v>1</v>
      </c>
      <c r="H822" s="24">
        <v>0</v>
      </c>
      <c r="I822" s="24">
        <v>0</v>
      </c>
      <c r="J822" s="24">
        <v>1795</v>
      </c>
      <c r="K822" s="24">
        <v>3</v>
      </c>
      <c r="L822" s="24">
        <v>0</v>
      </c>
      <c r="M822" s="24">
        <v>0</v>
      </c>
      <c r="N822" s="24">
        <v>0</v>
      </c>
      <c r="O822" s="24">
        <v>0</v>
      </c>
      <c r="P822" s="24">
        <v>1</v>
      </c>
      <c r="Q822" s="24">
        <v>1</v>
      </c>
      <c r="R822" s="24">
        <v>0</v>
      </c>
      <c r="S822" s="24">
        <v>48</v>
      </c>
      <c r="T822" s="24">
        <v>1</v>
      </c>
      <c r="U822" s="24">
        <v>1</v>
      </c>
      <c r="V822" s="24">
        <v>0</v>
      </c>
      <c r="W822" s="24">
        <v>2</v>
      </c>
      <c r="X822" s="24">
        <v>1</v>
      </c>
      <c r="Y822" s="24">
        <v>1</v>
      </c>
      <c r="Z822" s="24">
        <v>0</v>
      </c>
      <c r="AA822" s="24">
        <v>1</v>
      </c>
      <c r="AB822" s="24">
        <v>0</v>
      </c>
      <c r="AC822" s="24">
        <v>1</v>
      </c>
      <c r="AD822" s="24">
        <v>0</v>
      </c>
      <c r="AE822" s="24">
        <v>0</v>
      </c>
      <c r="AF822" s="24">
        <v>0</v>
      </c>
      <c r="AG822" s="24">
        <v>0</v>
      </c>
      <c r="AH822" s="24">
        <v>0</v>
      </c>
      <c r="AI822" s="24">
        <v>0</v>
      </c>
      <c r="AJ822" s="24">
        <v>1</v>
      </c>
      <c r="AK822" s="24">
        <v>1</v>
      </c>
      <c r="AL822" s="24">
        <v>0</v>
      </c>
      <c r="AM822" s="24">
        <v>0</v>
      </c>
      <c r="AN822" s="24">
        <v>0</v>
      </c>
      <c r="AO822" s="24">
        <v>0</v>
      </c>
      <c r="AP822" s="24">
        <v>0</v>
      </c>
      <c r="AQ822" s="24">
        <v>0</v>
      </c>
      <c r="AR822" s="24">
        <v>0</v>
      </c>
      <c r="AS822" s="24">
        <v>0</v>
      </c>
      <c r="AT822" s="24">
        <v>1</v>
      </c>
      <c r="AU822" s="24">
        <v>0</v>
      </c>
      <c r="AV822" s="24">
        <v>0</v>
      </c>
      <c r="AW822" s="24">
        <v>0</v>
      </c>
      <c r="AX822" s="24">
        <v>1</v>
      </c>
      <c r="AY822" s="24">
        <v>0</v>
      </c>
      <c r="AZ822" s="24">
        <v>1</v>
      </c>
      <c r="BA822" s="24">
        <v>0</v>
      </c>
      <c r="BB822" s="24">
        <v>0</v>
      </c>
    </row>
    <row r="823" spans="2:54" ht="13.8" x14ac:dyDescent="0.3">
      <c r="B823" s="24">
        <v>803</v>
      </c>
      <c r="C823" s="24">
        <v>20</v>
      </c>
      <c r="D823" s="24">
        <v>0</v>
      </c>
      <c r="E823" s="24">
        <v>0</v>
      </c>
      <c r="F823" s="24">
        <v>1</v>
      </c>
      <c r="G823" s="24">
        <v>0</v>
      </c>
      <c r="H823" s="24">
        <v>0</v>
      </c>
      <c r="I823" s="24">
        <v>0</v>
      </c>
      <c r="J823" s="24">
        <v>4272</v>
      </c>
      <c r="K823" s="24">
        <v>1</v>
      </c>
      <c r="L823" s="24">
        <v>0</v>
      </c>
      <c r="M823" s="24">
        <v>0</v>
      </c>
      <c r="N823" s="24">
        <v>0</v>
      </c>
      <c r="O823" s="24">
        <v>0</v>
      </c>
      <c r="P823" s="24">
        <v>0</v>
      </c>
      <c r="Q823" s="24">
        <v>0</v>
      </c>
      <c r="R823" s="24">
        <v>0</v>
      </c>
      <c r="S823" s="24">
        <v>24</v>
      </c>
      <c r="T823" s="24">
        <v>0</v>
      </c>
      <c r="U823" s="24">
        <v>0</v>
      </c>
      <c r="V823" s="24">
        <v>1</v>
      </c>
      <c r="W823" s="24">
        <v>2</v>
      </c>
      <c r="X823" s="24">
        <v>1</v>
      </c>
      <c r="Y823" s="24">
        <v>0</v>
      </c>
      <c r="Z823" s="24">
        <v>0</v>
      </c>
      <c r="AA823" s="24">
        <v>1</v>
      </c>
      <c r="AB823" s="24">
        <v>1</v>
      </c>
      <c r="AC823" s="24">
        <v>0</v>
      </c>
      <c r="AD823" s="24">
        <v>0</v>
      </c>
      <c r="AE823" s="24">
        <v>0</v>
      </c>
      <c r="AF823" s="24">
        <v>0</v>
      </c>
      <c r="AG823" s="24">
        <v>0</v>
      </c>
      <c r="AH823" s="24">
        <v>0</v>
      </c>
      <c r="AI823" s="24">
        <v>0</v>
      </c>
      <c r="AJ823" s="24">
        <v>1</v>
      </c>
      <c r="AK823" s="24">
        <v>1</v>
      </c>
      <c r="AL823" s="24">
        <v>0</v>
      </c>
      <c r="AM823" s="24">
        <v>0</v>
      </c>
      <c r="AN823" s="24">
        <v>0</v>
      </c>
      <c r="AO823" s="24">
        <v>0</v>
      </c>
      <c r="AP823" s="24">
        <v>0</v>
      </c>
      <c r="AQ823" s="24">
        <v>0</v>
      </c>
      <c r="AR823" s="24">
        <v>0</v>
      </c>
      <c r="AS823" s="24">
        <v>0</v>
      </c>
      <c r="AT823" s="24">
        <v>1</v>
      </c>
      <c r="AU823" s="24">
        <v>0</v>
      </c>
      <c r="AV823" s="24">
        <v>0</v>
      </c>
      <c r="AW823" s="24">
        <v>0</v>
      </c>
      <c r="AX823" s="24">
        <v>1</v>
      </c>
      <c r="AY823" s="24">
        <v>0</v>
      </c>
      <c r="AZ823" s="24">
        <v>0</v>
      </c>
      <c r="BA823" s="24">
        <v>1</v>
      </c>
      <c r="BB823" s="24">
        <v>0</v>
      </c>
    </row>
    <row r="824" spans="2:54" ht="13.8" x14ac:dyDescent="0.3">
      <c r="B824" s="24">
        <v>804</v>
      </c>
      <c r="C824" s="24">
        <v>12</v>
      </c>
      <c r="D824" s="24">
        <v>0</v>
      </c>
      <c r="E824" s="24">
        <v>0</v>
      </c>
      <c r="F824" s="24">
        <v>0</v>
      </c>
      <c r="G824" s="24">
        <v>1</v>
      </c>
      <c r="H824" s="24">
        <v>0</v>
      </c>
      <c r="I824" s="24">
        <v>0</v>
      </c>
      <c r="J824" s="24">
        <v>976</v>
      </c>
      <c r="K824" s="24">
        <v>4</v>
      </c>
      <c r="L824" s="24">
        <v>0</v>
      </c>
      <c r="M824" s="24">
        <v>1</v>
      </c>
      <c r="N824" s="24">
        <v>0</v>
      </c>
      <c r="O824" s="24">
        <v>0</v>
      </c>
      <c r="P824" s="24">
        <v>0</v>
      </c>
      <c r="Q824" s="24">
        <v>0</v>
      </c>
      <c r="R824" s="24">
        <v>0</v>
      </c>
      <c r="S824" s="24">
        <v>35</v>
      </c>
      <c r="T824" s="24">
        <v>0</v>
      </c>
      <c r="U824" s="24">
        <v>0</v>
      </c>
      <c r="V824" s="24">
        <v>1</v>
      </c>
      <c r="W824" s="24">
        <v>2</v>
      </c>
      <c r="X824" s="24">
        <v>1</v>
      </c>
      <c r="Y824" s="24">
        <v>0</v>
      </c>
      <c r="Z824" s="24">
        <v>0</v>
      </c>
      <c r="AA824" s="24">
        <v>1</v>
      </c>
      <c r="AB824" s="24">
        <v>0</v>
      </c>
      <c r="AC824" s="24">
        <v>0</v>
      </c>
      <c r="AD824" s="24">
        <v>0</v>
      </c>
      <c r="AE824" s="24">
        <v>1</v>
      </c>
      <c r="AF824" s="24">
        <v>0</v>
      </c>
      <c r="AG824" s="24">
        <v>0</v>
      </c>
      <c r="AH824" s="24">
        <v>0</v>
      </c>
      <c r="AI824" s="24">
        <v>0</v>
      </c>
      <c r="AJ824" s="24">
        <v>1</v>
      </c>
      <c r="AK824" s="24">
        <v>0</v>
      </c>
      <c r="AL824" s="24">
        <v>0</v>
      </c>
      <c r="AM824" s="24">
        <v>0</v>
      </c>
      <c r="AN824" s="24">
        <v>0</v>
      </c>
      <c r="AO824" s="24">
        <v>1</v>
      </c>
      <c r="AP824" s="24">
        <v>0</v>
      </c>
      <c r="AQ824" s="24">
        <v>0</v>
      </c>
      <c r="AR824" s="24">
        <v>0</v>
      </c>
      <c r="AS824" s="24">
        <v>0</v>
      </c>
      <c r="AT824" s="24">
        <v>1</v>
      </c>
      <c r="AU824" s="24">
        <v>0</v>
      </c>
      <c r="AV824" s="24">
        <v>0</v>
      </c>
      <c r="AW824" s="24">
        <v>0</v>
      </c>
      <c r="AX824" s="24">
        <v>1</v>
      </c>
      <c r="AY824" s="24">
        <v>0</v>
      </c>
      <c r="AZ824" s="24">
        <v>0</v>
      </c>
      <c r="BA824" s="24">
        <v>1</v>
      </c>
      <c r="BB824" s="24">
        <v>0</v>
      </c>
    </row>
    <row r="825" spans="2:54" ht="13.8" x14ac:dyDescent="0.3">
      <c r="B825" s="24">
        <v>805</v>
      </c>
      <c r="C825" s="24">
        <v>12</v>
      </c>
      <c r="D825" s="24">
        <v>1</v>
      </c>
      <c r="E825" s="24">
        <v>0</v>
      </c>
      <c r="F825" s="24">
        <v>0</v>
      </c>
      <c r="G825" s="24">
        <v>0</v>
      </c>
      <c r="H825" s="24">
        <v>0</v>
      </c>
      <c r="I825" s="24">
        <v>0</v>
      </c>
      <c r="J825" s="24">
        <v>7472</v>
      </c>
      <c r="K825" s="24">
        <v>1</v>
      </c>
      <c r="L825" s="24">
        <v>0</v>
      </c>
      <c r="M825" s="24">
        <v>0</v>
      </c>
      <c r="N825" s="24">
        <v>0</v>
      </c>
      <c r="O825" s="24">
        <v>0</v>
      </c>
      <c r="P825" s="24">
        <v>0</v>
      </c>
      <c r="Q825" s="24">
        <v>1</v>
      </c>
      <c r="R825" s="24">
        <v>0</v>
      </c>
      <c r="S825" s="24">
        <v>24</v>
      </c>
      <c r="T825" s="24">
        <v>0</v>
      </c>
      <c r="U825" s="24">
        <v>1</v>
      </c>
      <c r="V825" s="24">
        <v>0</v>
      </c>
      <c r="W825" s="24">
        <v>1</v>
      </c>
      <c r="X825" s="24">
        <v>1</v>
      </c>
      <c r="Y825" s="24">
        <v>0</v>
      </c>
      <c r="Z825" s="24">
        <v>0</v>
      </c>
      <c r="AA825" s="24">
        <v>1</v>
      </c>
      <c r="AB825" s="24">
        <v>0</v>
      </c>
      <c r="AC825" s="24">
        <v>1</v>
      </c>
      <c r="AD825" s="24">
        <v>0</v>
      </c>
      <c r="AE825" s="24">
        <v>0</v>
      </c>
      <c r="AF825" s="24">
        <v>0</v>
      </c>
      <c r="AG825" s="24">
        <v>0</v>
      </c>
      <c r="AH825" s="24">
        <v>1</v>
      </c>
      <c r="AI825" s="24">
        <v>0</v>
      </c>
      <c r="AJ825" s="24">
        <v>0</v>
      </c>
      <c r="AK825" s="24">
        <v>0</v>
      </c>
      <c r="AL825" s="24">
        <v>0</v>
      </c>
      <c r="AM825" s="24">
        <v>0</v>
      </c>
      <c r="AN825" s="24">
        <v>0</v>
      </c>
      <c r="AO825" s="24">
        <v>1</v>
      </c>
      <c r="AP825" s="24">
        <v>1</v>
      </c>
      <c r="AQ825" s="24">
        <v>0</v>
      </c>
      <c r="AR825" s="24">
        <v>0</v>
      </c>
      <c r="AS825" s="24">
        <v>0</v>
      </c>
      <c r="AT825" s="24">
        <v>0</v>
      </c>
      <c r="AU825" s="24">
        <v>0</v>
      </c>
      <c r="AV825" s="24">
        <v>1</v>
      </c>
      <c r="AW825" s="24">
        <v>0</v>
      </c>
      <c r="AX825" s="24">
        <v>0</v>
      </c>
      <c r="AY825" s="24">
        <v>1</v>
      </c>
      <c r="AZ825" s="24">
        <v>0</v>
      </c>
      <c r="BA825" s="24">
        <v>0</v>
      </c>
      <c r="BB825" s="24">
        <v>0</v>
      </c>
    </row>
    <row r="826" spans="2:54" ht="13.8" x14ac:dyDescent="0.3">
      <c r="B826" s="24">
        <v>806</v>
      </c>
      <c r="C826" s="24">
        <v>36</v>
      </c>
      <c r="D826" s="24">
        <v>1</v>
      </c>
      <c r="E826" s="24">
        <v>0</v>
      </c>
      <c r="F826" s="24">
        <v>0</v>
      </c>
      <c r="G826" s="24">
        <v>0</v>
      </c>
      <c r="H826" s="24">
        <v>0</v>
      </c>
      <c r="I826" s="24">
        <v>0</v>
      </c>
      <c r="J826" s="24">
        <v>9271</v>
      </c>
      <c r="K826" s="24">
        <v>2</v>
      </c>
      <c r="L826" s="24">
        <v>0</v>
      </c>
      <c r="M826" s="24">
        <v>1</v>
      </c>
      <c r="N826" s="24">
        <v>0</v>
      </c>
      <c r="O826" s="24">
        <v>0</v>
      </c>
      <c r="P826" s="24">
        <v>0</v>
      </c>
      <c r="Q826" s="24">
        <v>0</v>
      </c>
      <c r="R826" s="24">
        <v>0</v>
      </c>
      <c r="S826" s="24">
        <v>24</v>
      </c>
      <c r="T826" s="24">
        <v>0</v>
      </c>
      <c r="U826" s="24">
        <v>0</v>
      </c>
      <c r="V826" s="24">
        <v>1</v>
      </c>
      <c r="W826" s="24">
        <v>1</v>
      </c>
      <c r="X826" s="24">
        <v>1</v>
      </c>
      <c r="Y826" s="24">
        <v>1</v>
      </c>
      <c r="Z826" s="24">
        <v>0</v>
      </c>
      <c r="AA826" s="24">
        <v>0</v>
      </c>
      <c r="AB826" s="24">
        <v>1</v>
      </c>
      <c r="AC826" s="24">
        <v>0</v>
      </c>
      <c r="AD826" s="24">
        <v>0</v>
      </c>
      <c r="AE826" s="24">
        <v>0</v>
      </c>
      <c r="AF826" s="24">
        <v>0</v>
      </c>
      <c r="AG826" s="24">
        <v>0</v>
      </c>
      <c r="AH826" s="24">
        <v>1</v>
      </c>
      <c r="AI826" s="24">
        <v>0</v>
      </c>
      <c r="AJ826" s="24">
        <v>0</v>
      </c>
      <c r="AK826" s="24">
        <v>1</v>
      </c>
      <c r="AL826" s="24">
        <v>0</v>
      </c>
      <c r="AM826" s="24">
        <v>0</v>
      </c>
      <c r="AN826" s="24">
        <v>0</v>
      </c>
      <c r="AO826" s="24">
        <v>0</v>
      </c>
      <c r="AP826" s="24">
        <v>0</v>
      </c>
      <c r="AQ826" s="24">
        <v>0</v>
      </c>
      <c r="AR826" s="24">
        <v>0</v>
      </c>
      <c r="AS826" s="24">
        <v>1</v>
      </c>
      <c r="AT826" s="24">
        <v>0</v>
      </c>
      <c r="AU826" s="24">
        <v>1</v>
      </c>
      <c r="AV826" s="24">
        <v>0</v>
      </c>
      <c r="AW826" s="24">
        <v>0</v>
      </c>
      <c r="AX826" s="24">
        <v>0</v>
      </c>
      <c r="AY826" s="24">
        <v>0</v>
      </c>
      <c r="AZ826" s="24">
        <v>0</v>
      </c>
      <c r="BA826" s="24">
        <v>1</v>
      </c>
      <c r="BB826" s="24">
        <v>0</v>
      </c>
    </row>
    <row r="827" spans="2:54" ht="13.8" x14ac:dyDescent="0.3">
      <c r="B827" s="24">
        <v>807</v>
      </c>
      <c r="C827" s="24">
        <v>6</v>
      </c>
      <c r="D827" s="24">
        <v>0</v>
      </c>
      <c r="E827" s="24">
        <v>0</v>
      </c>
      <c r="F827" s="24">
        <v>0</v>
      </c>
      <c r="G827" s="24">
        <v>1</v>
      </c>
      <c r="H827" s="24">
        <v>0</v>
      </c>
      <c r="I827" s="24">
        <v>0</v>
      </c>
      <c r="J827" s="24">
        <v>590</v>
      </c>
      <c r="K827" s="24">
        <v>3</v>
      </c>
      <c r="L827" s="24">
        <v>0</v>
      </c>
      <c r="M827" s="24">
        <v>0</v>
      </c>
      <c r="N827" s="24">
        <v>1</v>
      </c>
      <c r="O827" s="24">
        <v>0</v>
      </c>
      <c r="P827" s="24">
        <v>0</v>
      </c>
      <c r="Q827" s="24">
        <v>1</v>
      </c>
      <c r="R827" s="24">
        <v>0</v>
      </c>
      <c r="S827" s="24">
        <v>26</v>
      </c>
      <c r="T827" s="24">
        <v>0</v>
      </c>
      <c r="U827" s="24">
        <v>0</v>
      </c>
      <c r="V827" s="24">
        <v>1</v>
      </c>
      <c r="W827" s="24">
        <v>1</v>
      </c>
      <c r="X827" s="24">
        <v>1</v>
      </c>
      <c r="Y827" s="24">
        <v>0</v>
      </c>
      <c r="Z827" s="24">
        <v>1</v>
      </c>
      <c r="AA827" s="24">
        <v>1</v>
      </c>
      <c r="AB827" s="24">
        <v>0</v>
      </c>
      <c r="AC827" s="24">
        <v>1</v>
      </c>
      <c r="AD827" s="24">
        <v>0</v>
      </c>
      <c r="AE827" s="24">
        <v>0</v>
      </c>
      <c r="AF827" s="24">
        <v>0</v>
      </c>
      <c r="AG827" s="24">
        <v>0</v>
      </c>
      <c r="AH827" s="24">
        <v>1</v>
      </c>
      <c r="AI827" s="24">
        <v>0</v>
      </c>
      <c r="AJ827" s="24">
        <v>0</v>
      </c>
      <c r="AK827" s="24">
        <v>1</v>
      </c>
      <c r="AL827" s="24">
        <v>0</v>
      </c>
      <c r="AM827" s="24">
        <v>0</v>
      </c>
      <c r="AN827" s="24">
        <v>0</v>
      </c>
      <c r="AO827" s="24">
        <v>0</v>
      </c>
      <c r="AP827" s="24">
        <v>0</v>
      </c>
      <c r="AQ827" s="24">
        <v>1</v>
      </c>
      <c r="AR827" s="24">
        <v>0</v>
      </c>
      <c r="AS827" s="24">
        <v>0</v>
      </c>
      <c r="AT827" s="24">
        <v>0</v>
      </c>
      <c r="AU827" s="24">
        <v>0</v>
      </c>
      <c r="AV827" s="24">
        <v>0</v>
      </c>
      <c r="AW827" s="24">
        <v>1</v>
      </c>
      <c r="AX827" s="24">
        <v>0</v>
      </c>
      <c r="AY827" s="24">
        <v>0</v>
      </c>
      <c r="AZ827" s="24">
        <v>1</v>
      </c>
      <c r="BA827" s="24">
        <v>0</v>
      </c>
      <c r="BB827" s="24">
        <v>0</v>
      </c>
    </row>
    <row r="828" spans="2:54" ht="13.8" x14ac:dyDescent="0.3">
      <c r="B828" s="24">
        <v>808</v>
      </c>
      <c r="C828" s="24">
        <v>12</v>
      </c>
      <c r="D828" s="24">
        <v>0</v>
      </c>
      <c r="E828" s="24">
        <v>0</v>
      </c>
      <c r="F828" s="24">
        <v>0</v>
      </c>
      <c r="G828" s="24">
        <v>1</v>
      </c>
      <c r="H828" s="24">
        <v>0</v>
      </c>
      <c r="I828" s="24">
        <v>0</v>
      </c>
      <c r="J828" s="24">
        <v>930</v>
      </c>
      <c r="K828" s="24">
        <v>4</v>
      </c>
      <c r="L828" s="24">
        <v>0</v>
      </c>
      <c r="M828" s="24">
        <v>1</v>
      </c>
      <c r="N828" s="24">
        <v>0</v>
      </c>
      <c r="O828" s="24">
        <v>0</v>
      </c>
      <c r="P828" s="24">
        <v>0</v>
      </c>
      <c r="Q828" s="24">
        <v>1</v>
      </c>
      <c r="R828" s="24">
        <v>0</v>
      </c>
      <c r="S828" s="24">
        <v>65</v>
      </c>
      <c r="T828" s="24">
        <v>0</v>
      </c>
      <c r="U828" s="24">
        <v>0</v>
      </c>
      <c r="V828" s="24">
        <v>1</v>
      </c>
      <c r="W828" s="24">
        <v>4</v>
      </c>
      <c r="X828" s="24">
        <v>1</v>
      </c>
      <c r="Y828" s="24">
        <v>0</v>
      </c>
      <c r="Z828" s="24">
        <v>0</v>
      </c>
      <c r="AA828" s="24">
        <v>1</v>
      </c>
      <c r="AB828" s="24">
        <v>0</v>
      </c>
      <c r="AC828" s="24">
        <v>0</v>
      </c>
      <c r="AD828" s="24">
        <v>0</v>
      </c>
      <c r="AE828" s="24">
        <v>1</v>
      </c>
      <c r="AF828" s="24">
        <v>0</v>
      </c>
      <c r="AG828" s="24">
        <v>0</v>
      </c>
      <c r="AH828" s="24">
        <v>0</v>
      </c>
      <c r="AI828" s="24">
        <v>0</v>
      </c>
      <c r="AJ828" s="24">
        <v>1</v>
      </c>
      <c r="AK828" s="24">
        <v>0</v>
      </c>
      <c r="AL828" s="24">
        <v>0</v>
      </c>
      <c r="AM828" s="24">
        <v>0</v>
      </c>
      <c r="AN828" s="24">
        <v>0</v>
      </c>
      <c r="AO828" s="24">
        <v>1</v>
      </c>
      <c r="AP828" s="24">
        <v>0</v>
      </c>
      <c r="AQ828" s="24">
        <v>0</v>
      </c>
      <c r="AR828" s="24">
        <v>0</v>
      </c>
      <c r="AS828" s="24">
        <v>0</v>
      </c>
      <c r="AT828" s="24">
        <v>1</v>
      </c>
      <c r="AU828" s="24">
        <v>0</v>
      </c>
      <c r="AV828" s="24">
        <v>0</v>
      </c>
      <c r="AW828" s="24">
        <v>0</v>
      </c>
      <c r="AX828" s="24">
        <v>1</v>
      </c>
      <c r="AY828" s="24">
        <v>0</v>
      </c>
      <c r="AZ828" s="24">
        <v>0</v>
      </c>
      <c r="BA828" s="24">
        <v>1</v>
      </c>
      <c r="BB828" s="24">
        <v>0</v>
      </c>
    </row>
    <row r="829" spans="2:54" ht="13.8" x14ac:dyDescent="0.3">
      <c r="B829" s="24">
        <v>809</v>
      </c>
      <c r="C829" s="24">
        <v>42</v>
      </c>
      <c r="D829" s="24">
        <v>0</v>
      </c>
      <c r="E829" s="24">
        <v>1</v>
      </c>
      <c r="F829" s="24">
        <v>0</v>
      </c>
      <c r="G829" s="24">
        <v>0</v>
      </c>
      <c r="H829" s="24">
        <v>0</v>
      </c>
      <c r="I829" s="24">
        <v>0</v>
      </c>
      <c r="J829" s="24">
        <v>9283</v>
      </c>
      <c r="K829" s="24">
        <v>1</v>
      </c>
      <c r="L829" s="24">
        <v>0</v>
      </c>
      <c r="M829" s="24">
        <v>1</v>
      </c>
      <c r="N829" s="24">
        <v>0</v>
      </c>
      <c r="O829" s="24">
        <v>0</v>
      </c>
      <c r="P829" s="24">
        <v>0</v>
      </c>
      <c r="Q829" s="24">
        <v>0</v>
      </c>
      <c r="R829" s="24">
        <v>1</v>
      </c>
      <c r="S829" s="24">
        <v>55</v>
      </c>
      <c r="T829" s="24">
        <v>1</v>
      </c>
      <c r="U829" s="24">
        <v>0</v>
      </c>
      <c r="V829" s="24">
        <v>0</v>
      </c>
      <c r="W829" s="24">
        <v>1</v>
      </c>
      <c r="X829" s="24">
        <v>1</v>
      </c>
      <c r="Y829" s="24">
        <v>1</v>
      </c>
      <c r="Z829" s="24">
        <v>0</v>
      </c>
      <c r="AA829" s="24">
        <v>1</v>
      </c>
      <c r="AB829" s="24">
        <v>0</v>
      </c>
      <c r="AC829" s="24">
        <v>1</v>
      </c>
      <c r="AD829" s="24">
        <v>0</v>
      </c>
      <c r="AE829" s="24">
        <v>0</v>
      </c>
      <c r="AF829" s="24">
        <v>0</v>
      </c>
      <c r="AG829" s="24">
        <v>1</v>
      </c>
      <c r="AH829" s="24">
        <v>0</v>
      </c>
      <c r="AI829" s="24">
        <v>0</v>
      </c>
      <c r="AJ829" s="24">
        <v>0</v>
      </c>
      <c r="AK829" s="24">
        <v>1</v>
      </c>
      <c r="AL829" s="24">
        <v>0</v>
      </c>
      <c r="AM829" s="24">
        <v>0</v>
      </c>
      <c r="AN829" s="24">
        <v>0</v>
      </c>
      <c r="AO829" s="24">
        <v>0</v>
      </c>
      <c r="AP829" s="24">
        <v>1</v>
      </c>
      <c r="AQ829" s="24">
        <v>0</v>
      </c>
      <c r="AR829" s="24">
        <v>0</v>
      </c>
      <c r="AS829" s="24">
        <v>0</v>
      </c>
      <c r="AT829" s="24">
        <v>0</v>
      </c>
      <c r="AU829" s="24">
        <v>0</v>
      </c>
      <c r="AV829" s="24">
        <v>1</v>
      </c>
      <c r="AW829" s="24">
        <v>0</v>
      </c>
      <c r="AX829" s="24">
        <v>0</v>
      </c>
      <c r="AY829" s="24">
        <v>0</v>
      </c>
      <c r="AZ829" s="24">
        <v>0</v>
      </c>
      <c r="BA829" s="24">
        <v>0</v>
      </c>
      <c r="BB829" s="24">
        <v>1</v>
      </c>
    </row>
    <row r="830" spans="2:54" ht="13.8" x14ac:dyDescent="0.3">
      <c r="B830" s="24">
        <v>810</v>
      </c>
      <c r="C830" s="24">
        <v>15</v>
      </c>
      <c r="D830" s="24">
        <v>1</v>
      </c>
      <c r="E830" s="24">
        <v>0</v>
      </c>
      <c r="F830" s="24">
        <v>0</v>
      </c>
      <c r="G830" s="24">
        <v>0</v>
      </c>
      <c r="H830" s="24">
        <v>0</v>
      </c>
      <c r="I830" s="24">
        <v>0</v>
      </c>
      <c r="J830" s="24">
        <v>1778</v>
      </c>
      <c r="K830" s="24">
        <v>2</v>
      </c>
      <c r="L830" s="24">
        <v>0</v>
      </c>
      <c r="M830" s="24">
        <v>0</v>
      </c>
      <c r="N830" s="24">
        <v>0</v>
      </c>
      <c r="O830" s="24">
        <v>0</v>
      </c>
      <c r="P830" s="24">
        <v>0</v>
      </c>
      <c r="Q830" s="24">
        <v>1</v>
      </c>
      <c r="R830" s="24">
        <v>0</v>
      </c>
      <c r="S830" s="24">
        <v>26</v>
      </c>
      <c r="T830" s="24">
        <v>0</v>
      </c>
      <c r="U830" s="24">
        <v>1</v>
      </c>
      <c r="V830" s="24">
        <v>0</v>
      </c>
      <c r="W830" s="24">
        <v>2</v>
      </c>
      <c r="X830" s="24">
        <v>1</v>
      </c>
      <c r="Y830" s="24">
        <v>0</v>
      </c>
      <c r="Z830" s="24">
        <v>0</v>
      </c>
      <c r="AA830" s="24">
        <v>0</v>
      </c>
      <c r="AB830" s="24">
        <v>0</v>
      </c>
      <c r="AC830" s="24">
        <v>1</v>
      </c>
      <c r="AD830" s="24">
        <v>0</v>
      </c>
      <c r="AE830" s="24">
        <v>0</v>
      </c>
      <c r="AF830" s="24">
        <v>1</v>
      </c>
      <c r="AG830" s="24">
        <v>0</v>
      </c>
      <c r="AH830" s="24">
        <v>0</v>
      </c>
      <c r="AI830" s="24">
        <v>0</v>
      </c>
      <c r="AJ830" s="24">
        <v>0</v>
      </c>
      <c r="AK830" s="24">
        <v>1</v>
      </c>
      <c r="AL830" s="24">
        <v>0</v>
      </c>
      <c r="AM830" s="24">
        <v>0</v>
      </c>
      <c r="AN830" s="24">
        <v>0</v>
      </c>
      <c r="AO830" s="24">
        <v>0</v>
      </c>
      <c r="AP830" s="24">
        <v>0</v>
      </c>
      <c r="AQ830" s="24">
        <v>1</v>
      </c>
      <c r="AR830" s="24">
        <v>0</v>
      </c>
      <c r="AS830" s="24">
        <v>0</v>
      </c>
      <c r="AT830" s="24">
        <v>0</v>
      </c>
      <c r="AU830" s="24">
        <v>1</v>
      </c>
      <c r="AV830" s="24">
        <v>0</v>
      </c>
      <c r="AW830" s="24">
        <v>0</v>
      </c>
      <c r="AX830" s="24">
        <v>0</v>
      </c>
      <c r="AY830" s="24">
        <v>1</v>
      </c>
      <c r="AZ830" s="24">
        <v>0</v>
      </c>
      <c r="BA830" s="24">
        <v>0</v>
      </c>
      <c r="BB830" s="24">
        <v>0</v>
      </c>
    </row>
    <row r="831" spans="2:54" ht="13.8" x14ac:dyDescent="0.3">
      <c r="B831" s="24">
        <v>811</v>
      </c>
      <c r="C831" s="24">
        <v>8</v>
      </c>
      <c r="D831" s="24">
        <v>0</v>
      </c>
      <c r="E831" s="24">
        <v>0</v>
      </c>
      <c r="F831" s="24">
        <v>0</v>
      </c>
      <c r="G831" s="24">
        <v>0</v>
      </c>
      <c r="H831" s="24">
        <v>0</v>
      </c>
      <c r="I831" s="24">
        <v>1</v>
      </c>
      <c r="J831" s="24">
        <v>907</v>
      </c>
      <c r="K831" s="24">
        <v>3</v>
      </c>
      <c r="L831" s="24">
        <v>0</v>
      </c>
      <c r="M831" s="24">
        <v>0</v>
      </c>
      <c r="N831" s="24">
        <v>1</v>
      </c>
      <c r="O831" s="24">
        <v>0</v>
      </c>
      <c r="P831" s="24">
        <v>0</v>
      </c>
      <c r="Q831" s="24">
        <v>1</v>
      </c>
      <c r="R831" s="24">
        <v>0</v>
      </c>
      <c r="S831" s="24">
        <v>26</v>
      </c>
      <c r="T831" s="24">
        <v>0</v>
      </c>
      <c r="U831" s="24">
        <v>0</v>
      </c>
      <c r="V831" s="24">
        <v>1</v>
      </c>
      <c r="W831" s="24">
        <v>1</v>
      </c>
      <c r="X831" s="24">
        <v>1</v>
      </c>
      <c r="Y831" s="24">
        <v>1</v>
      </c>
      <c r="Z831" s="24">
        <v>0</v>
      </c>
      <c r="AA831" s="24">
        <v>1</v>
      </c>
      <c r="AB831" s="24">
        <v>0</v>
      </c>
      <c r="AC831" s="24">
        <v>1</v>
      </c>
      <c r="AD831" s="24">
        <v>0</v>
      </c>
      <c r="AE831" s="24">
        <v>0</v>
      </c>
      <c r="AF831" s="24">
        <v>0</v>
      </c>
      <c r="AG831" s="24">
        <v>0</v>
      </c>
      <c r="AH831" s="24">
        <v>1</v>
      </c>
      <c r="AI831" s="24">
        <v>0</v>
      </c>
      <c r="AJ831" s="24">
        <v>0</v>
      </c>
      <c r="AK831" s="24">
        <v>1</v>
      </c>
      <c r="AL831" s="24">
        <v>0</v>
      </c>
      <c r="AM831" s="24">
        <v>0</v>
      </c>
      <c r="AN831" s="24">
        <v>0</v>
      </c>
      <c r="AO831" s="24">
        <v>0</v>
      </c>
      <c r="AP831" s="24">
        <v>0</v>
      </c>
      <c r="AQ831" s="24">
        <v>1</v>
      </c>
      <c r="AR831" s="24">
        <v>0</v>
      </c>
      <c r="AS831" s="24">
        <v>0</v>
      </c>
      <c r="AT831" s="24">
        <v>0</v>
      </c>
      <c r="AU831" s="24">
        <v>0</v>
      </c>
      <c r="AV831" s="24">
        <v>1</v>
      </c>
      <c r="AW831" s="24">
        <v>0</v>
      </c>
      <c r="AX831" s="24">
        <v>0</v>
      </c>
      <c r="AY831" s="24">
        <v>0</v>
      </c>
      <c r="AZ831" s="24">
        <v>0</v>
      </c>
      <c r="BA831" s="24">
        <v>1</v>
      </c>
      <c r="BB831" s="24">
        <v>0</v>
      </c>
    </row>
    <row r="832" spans="2:54" ht="13.8" x14ac:dyDescent="0.3">
      <c r="B832" s="24">
        <v>812</v>
      </c>
      <c r="C832" s="24">
        <v>6</v>
      </c>
      <c r="D832" s="24">
        <v>0</v>
      </c>
      <c r="E832" s="24">
        <v>0</v>
      </c>
      <c r="F832" s="24">
        <v>0</v>
      </c>
      <c r="G832" s="24">
        <v>1</v>
      </c>
      <c r="H832" s="24">
        <v>0</v>
      </c>
      <c r="I832" s="24">
        <v>0</v>
      </c>
      <c r="J832" s="24">
        <v>484</v>
      </c>
      <c r="K832" s="24">
        <v>3</v>
      </c>
      <c r="L832" s="24">
        <v>0</v>
      </c>
      <c r="M832" s="24">
        <v>0</v>
      </c>
      <c r="N832" s="24">
        <v>1</v>
      </c>
      <c r="O832" s="24">
        <v>0</v>
      </c>
      <c r="P832" s="24">
        <v>1</v>
      </c>
      <c r="Q832" s="24">
        <v>1</v>
      </c>
      <c r="R832" s="24">
        <v>0</v>
      </c>
      <c r="S832" s="24">
        <v>28</v>
      </c>
      <c r="T832" s="24">
        <v>1</v>
      </c>
      <c r="U832" s="24">
        <v>0</v>
      </c>
      <c r="V832" s="24">
        <v>1</v>
      </c>
      <c r="W832" s="24">
        <v>1</v>
      </c>
      <c r="X832" s="24">
        <v>1</v>
      </c>
      <c r="Y832" s="24">
        <v>0</v>
      </c>
      <c r="Z832" s="24">
        <v>0</v>
      </c>
      <c r="AA832" s="24">
        <v>1</v>
      </c>
      <c r="AB832" s="24">
        <v>0</v>
      </c>
      <c r="AC832" s="24">
        <v>1</v>
      </c>
      <c r="AD832" s="24">
        <v>0</v>
      </c>
      <c r="AE832" s="24">
        <v>0</v>
      </c>
      <c r="AF832" s="24">
        <v>0</v>
      </c>
      <c r="AG832" s="24">
        <v>0</v>
      </c>
      <c r="AH832" s="24">
        <v>1</v>
      </c>
      <c r="AI832" s="24">
        <v>0</v>
      </c>
      <c r="AJ832" s="24">
        <v>0</v>
      </c>
      <c r="AK832" s="24">
        <v>1</v>
      </c>
      <c r="AL832" s="24">
        <v>0</v>
      </c>
      <c r="AM832" s="24">
        <v>0</v>
      </c>
      <c r="AN832" s="24">
        <v>0</v>
      </c>
      <c r="AO832" s="24">
        <v>0</v>
      </c>
      <c r="AP832" s="24">
        <v>0</v>
      </c>
      <c r="AQ832" s="24">
        <v>0</v>
      </c>
      <c r="AR832" s="24">
        <v>0</v>
      </c>
      <c r="AS832" s="24">
        <v>1</v>
      </c>
      <c r="AT832" s="24">
        <v>0</v>
      </c>
      <c r="AU832" s="24">
        <v>0</v>
      </c>
      <c r="AV832" s="24">
        <v>0</v>
      </c>
      <c r="AW832" s="24">
        <v>1</v>
      </c>
      <c r="AX832" s="24">
        <v>0</v>
      </c>
      <c r="AY832" s="24">
        <v>0</v>
      </c>
      <c r="AZ832" s="24">
        <v>1</v>
      </c>
      <c r="BA832" s="24">
        <v>0</v>
      </c>
      <c r="BB832" s="24">
        <v>0</v>
      </c>
    </row>
    <row r="833" spans="2:54" ht="13.8" x14ac:dyDescent="0.3">
      <c r="B833" s="24">
        <v>813</v>
      </c>
      <c r="C833" s="24">
        <v>36</v>
      </c>
      <c r="D833" s="24">
        <v>0</v>
      </c>
      <c r="E833" s="24">
        <v>1</v>
      </c>
      <c r="F833" s="24">
        <v>0</v>
      </c>
      <c r="G833" s="24">
        <v>0</v>
      </c>
      <c r="H833" s="24">
        <v>0</v>
      </c>
      <c r="I833" s="24">
        <v>0</v>
      </c>
      <c r="J833" s="24">
        <v>9629</v>
      </c>
      <c r="K833" s="24">
        <v>4</v>
      </c>
      <c r="L833" s="24">
        <v>0</v>
      </c>
      <c r="M833" s="24">
        <v>1</v>
      </c>
      <c r="N833" s="24">
        <v>0</v>
      </c>
      <c r="O833" s="24">
        <v>0</v>
      </c>
      <c r="P833" s="24">
        <v>0</v>
      </c>
      <c r="Q833" s="24">
        <v>0</v>
      </c>
      <c r="R833" s="24">
        <v>0</v>
      </c>
      <c r="S833" s="24">
        <v>24</v>
      </c>
      <c r="T833" s="24">
        <v>0</v>
      </c>
      <c r="U833" s="24">
        <v>0</v>
      </c>
      <c r="V833" s="24">
        <v>1</v>
      </c>
      <c r="W833" s="24">
        <v>2</v>
      </c>
      <c r="X833" s="24">
        <v>1</v>
      </c>
      <c r="Y833" s="24">
        <v>1</v>
      </c>
      <c r="Z833" s="24">
        <v>0</v>
      </c>
      <c r="AA833" s="24">
        <v>0</v>
      </c>
      <c r="AB833" s="24">
        <v>1</v>
      </c>
      <c r="AC833" s="24">
        <v>0</v>
      </c>
      <c r="AD833" s="24">
        <v>0</v>
      </c>
      <c r="AE833" s="24">
        <v>0</v>
      </c>
      <c r="AF833" s="24">
        <v>0</v>
      </c>
      <c r="AG833" s="24">
        <v>0</v>
      </c>
      <c r="AH833" s="24">
        <v>0</v>
      </c>
      <c r="AI833" s="24">
        <v>0</v>
      </c>
      <c r="AJ833" s="24">
        <v>1</v>
      </c>
      <c r="AK833" s="24">
        <v>1</v>
      </c>
      <c r="AL833" s="24">
        <v>0</v>
      </c>
      <c r="AM833" s="24">
        <v>0</v>
      </c>
      <c r="AN833" s="24">
        <v>0</v>
      </c>
      <c r="AO833" s="24">
        <v>0</v>
      </c>
      <c r="AP833" s="24">
        <v>0</v>
      </c>
      <c r="AQ833" s="24">
        <v>0</v>
      </c>
      <c r="AR833" s="24">
        <v>0</v>
      </c>
      <c r="AS833" s="24">
        <v>1</v>
      </c>
      <c r="AT833" s="24">
        <v>0</v>
      </c>
      <c r="AU833" s="24">
        <v>0</v>
      </c>
      <c r="AV833" s="24">
        <v>0</v>
      </c>
      <c r="AW833" s="24">
        <v>0</v>
      </c>
      <c r="AX833" s="24">
        <v>1</v>
      </c>
      <c r="AY833" s="24">
        <v>0</v>
      </c>
      <c r="AZ833" s="24">
        <v>0</v>
      </c>
      <c r="BA833" s="24">
        <v>1</v>
      </c>
      <c r="BB833" s="24">
        <v>0</v>
      </c>
    </row>
    <row r="834" spans="2:54" ht="13.8" x14ac:dyDescent="0.3">
      <c r="B834" s="24">
        <v>814</v>
      </c>
      <c r="C834" s="24">
        <v>48</v>
      </c>
      <c r="D834" s="24">
        <v>0</v>
      </c>
      <c r="E834" s="24">
        <v>0</v>
      </c>
      <c r="F834" s="24">
        <v>0</v>
      </c>
      <c r="G834" s="24">
        <v>0</v>
      </c>
      <c r="H834" s="24">
        <v>0</v>
      </c>
      <c r="I834" s="24">
        <v>0</v>
      </c>
      <c r="J834" s="24">
        <v>3051</v>
      </c>
      <c r="K834" s="24">
        <v>3</v>
      </c>
      <c r="L834" s="24">
        <v>0</v>
      </c>
      <c r="M834" s="24">
        <v>1</v>
      </c>
      <c r="N834" s="24">
        <v>0</v>
      </c>
      <c r="O834" s="24">
        <v>0</v>
      </c>
      <c r="P834" s="24">
        <v>0</v>
      </c>
      <c r="Q834" s="24">
        <v>0</v>
      </c>
      <c r="R834" s="24">
        <v>0</v>
      </c>
      <c r="S834" s="24">
        <v>54</v>
      </c>
      <c r="T834" s="24">
        <v>0</v>
      </c>
      <c r="U834" s="24">
        <v>0</v>
      </c>
      <c r="V834" s="24">
        <v>1</v>
      </c>
      <c r="W834" s="24">
        <v>1</v>
      </c>
      <c r="X834" s="24">
        <v>1</v>
      </c>
      <c r="Y834" s="24">
        <v>0</v>
      </c>
      <c r="Z834" s="24">
        <v>0</v>
      </c>
      <c r="AA834" s="24">
        <v>0</v>
      </c>
      <c r="AB834" s="24">
        <v>1</v>
      </c>
      <c r="AC834" s="24">
        <v>0</v>
      </c>
      <c r="AD834" s="24">
        <v>0</v>
      </c>
      <c r="AE834" s="24">
        <v>0</v>
      </c>
      <c r="AF834" s="24">
        <v>0</v>
      </c>
      <c r="AG834" s="24">
        <v>0</v>
      </c>
      <c r="AH834" s="24">
        <v>1</v>
      </c>
      <c r="AI834" s="24">
        <v>0</v>
      </c>
      <c r="AJ834" s="24">
        <v>0</v>
      </c>
      <c r="AK834" s="24">
        <v>1</v>
      </c>
      <c r="AL834" s="24">
        <v>0</v>
      </c>
      <c r="AM834" s="24">
        <v>0</v>
      </c>
      <c r="AN834" s="24">
        <v>0</v>
      </c>
      <c r="AO834" s="24">
        <v>0</v>
      </c>
      <c r="AP834" s="24">
        <v>0</v>
      </c>
      <c r="AQ834" s="24">
        <v>0</v>
      </c>
      <c r="AR834" s="24">
        <v>1</v>
      </c>
      <c r="AS834" s="24">
        <v>0</v>
      </c>
      <c r="AT834" s="24">
        <v>0</v>
      </c>
      <c r="AU834" s="24">
        <v>0</v>
      </c>
      <c r="AV834" s="24">
        <v>0</v>
      </c>
      <c r="AW834" s="24">
        <v>0</v>
      </c>
      <c r="AX834" s="24">
        <v>1</v>
      </c>
      <c r="AY834" s="24">
        <v>0</v>
      </c>
      <c r="AZ834" s="24">
        <v>0</v>
      </c>
      <c r="BA834" s="24">
        <v>1</v>
      </c>
      <c r="BB834" s="24">
        <v>0</v>
      </c>
    </row>
    <row r="835" spans="2:54" ht="13.8" x14ac:dyDescent="0.3">
      <c r="B835" s="24">
        <v>815</v>
      </c>
      <c r="C835" s="24">
        <v>48</v>
      </c>
      <c r="D835" s="24">
        <v>1</v>
      </c>
      <c r="E835" s="24">
        <v>0</v>
      </c>
      <c r="F835" s="24">
        <v>0</v>
      </c>
      <c r="G835" s="24">
        <v>0</v>
      </c>
      <c r="H835" s="24">
        <v>0</v>
      </c>
      <c r="I835" s="24">
        <v>0</v>
      </c>
      <c r="J835" s="24">
        <v>3931</v>
      </c>
      <c r="K835" s="24">
        <v>4</v>
      </c>
      <c r="L835" s="24">
        <v>0</v>
      </c>
      <c r="M835" s="24">
        <v>1</v>
      </c>
      <c r="N835" s="24">
        <v>0</v>
      </c>
      <c r="O835" s="24">
        <v>0</v>
      </c>
      <c r="P835" s="24">
        <v>0</v>
      </c>
      <c r="Q835" s="24">
        <v>0</v>
      </c>
      <c r="R835" s="24">
        <v>1</v>
      </c>
      <c r="S835" s="24">
        <v>46</v>
      </c>
      <c r="T835" s="24">
        <v>0</v>
      </c>
      <c r="U835" s="24">
        <v>0</v>
      </c>
      <c r="V835" s="24">
        <v>0</v>
      </c>
      <c r="W835" s="24">
        <v>1</v>
      </c>
      <c r="X835" s="24">
        <v>2</v>
      </c>
      <c r="Y835" s="24">
        <v>0</v>
      </c>
      <c r="Z835" s="24">
        <v>0</v>
      </c>
      <c r="AA835" s="24">
        <v>0</v>
      </c>
      <c r="AB835" s="24">
        <v>1</v>
      </c>
      <c r="AC835" s="24">
        <v>0</v>
      </c>
      <c r="AD835" s="24">
        <v>0</v>
      </c>
      <c r="AE835" s="24">
        <v>0</v>
      </c>
      <c r="AF835" s="24">
        <v>0</v>
      </c>
      <c r="AG835" s="24">
        <v>0</v>
      </c>
      <c r="AH835" s="24">
        <v>1</v>
      </c>
      <c r="AI835" s="24">
        <v>0</v>
      </c>
      <c r="AJ835" s="24">
        <v>0</v>
      </c>
      <c r="AK835" s="24">
        <v>1</v>
      </c>
      <c r="AL835" s="24">
        <v>0</v>
      </c>
      <c r="AM835" s="24">
        <v>0</v>
      </c>
      <c r="AN835" s="24">
        <v>0</v>
      </c>
      <c r="AO835" s="24">
        <v>0</v>
      </c>
      <c r="AP835" s="24">
        <v>0</v>
      </c>
      <c r="AQ835" s="24">
        <v>0</v>
      </c>
      <c r="AR835" s="24">
        <v>0</v>
      </c>
      <c r="AS835" s="24">
        <v>1</v>
      </c>
      <c r="AT835" s="24">
        <v>0</v>
      </c>
      <c r="AU835" s="24">
        <v>0</v>
      </c>
      <c r="AV835" s="24">
        <v>0</v>
      </c>
      <c r="AW835" s="24">
        <v>0</v>
      </c>
      <c r="AX835" s="24">
        <v>1</v>
      </c>
      <c r="AY835" s="24">
        <v>0</v>
      </c>
      <c r="AZ835" s="24">
        <v>0</v>
      </c>
      <c r="BA835" s="24">
        <v>1</v>
      </c>
      <c r="BB835" s="24">
        <v>0</v>
      </c>
    </row>
    <row r="836" spans="2:54" ht="13.8" x14ac:dyDescent="0.3">
      <c r="B836" s="24">
        <v>816</v>
      </c>
      <c r="C836" s="24">
        <v>36</v>
      </c>
      <c r="D836" s="24">
        <v>1</v>
      </c>
      <c r="E836" s="24">
        <v>0</v>
      </c>
      <c r="F836" s="24">
        <v>0</v>
      </c>
      <c r="G836" s="24">
        <v>0</v>
      </c>
      <c r="H836" s="24">
        <v>0</v>
      </c>
      <c r="I836" s="24">
        <v>0</v>
      </c>
      <c r="J836" s="24">
        <v>7432</v>
      </c>
      <c r="K836" s="24">
        <v>2</v>
      </c>
      <c r="L836" s="24">
        <v>0</v>
      </c>
      <c r="M836" s="24">
        <v>0</v>
      </c>
      <c r="N836" s="24">
        <v>0</v>
      </c>
      <c r="O836" s="24">
        <v>0</v>
      </c>
      <c r="P836" s="24">
        <v>0</v>
      </c>
      <c r="Q836" s="24">
        <v>0</v>
      </c>
      <c r="R836" s="24">
        <v>0</v>
      </c>
      <c r="S836" s="24">
        <v>54</v>
      </c>
      <c r="T836" s="24">
        <v>0</v>
      </c>
      <c r="U836" s="24">
        <v>1</v>
      </c>
      <c r="V836" s="24">
        <v>0</v>
      </c>
      <c r="W836" s="24">
        <v>1</v>
      </c>
      <c r="X836" s="24">
        <v>1</v>
      </c>
      <c r="Y836" s="24">
        <v>0</v>
      </c>
      <c r="Z836" s="24">
        <v>0</v>
      </c>
      <c r="AA836" s="24">
        <v>1</v>
      </c>
      <c r="AB836" s="24">
        <v>0</v>
      </c>
      <c r="AC836" s="24">
        <v>1</v>
      </c>
      <c r="AD836" s="24">
        <v>0</v>
      </c>
      <c r="AE836" s="24">
        <v>0</v>
      </c>
      <c r="AF836" s="24">
        <v>0</v>
      </c>
      <c r="AG836" s="24">
        <v>0</v>
      </c>
      <c r="AH836" s="24">
        <v>0</v>
      </c>
      <c r="AI836" s="24">
        <v>1</v>
      </c>
      <c r="AJ836" s="24">
        <v>0</v>
      </c>
      <c r="AK836" s="24">
        <v>1</v>
      </c>
      <c r="AL836" s="24">
        <v>0</v>
      </c>
      <c r="AM836" s="24">
        <v>0</v>
      </c>
      <c r="AN836" s="24">
        <v>0</v>
      </c>
      <c r="AO836" s="24">
        <v>0</v>
      </c>
      <c r="AP836" s="24">
        <v>0</v>
      </c>
      <c r="AQ836" s="24">
        <v>0</v>
      </c>
      <c r="AR836" s="24">
        <v>1</v>
      </c>
      <c r="AS836" s="24">
        <v>0</v>
      </c>
      <c r="AT836" s="24">
        <v>0</v>
      </c>
      <c r="AU836" s="24">
        <v>0</v>
      </c>
      <c r="AV836" s="24">
        <v>1</v>
      </c>
      <c r="AW836" s="24">
        <v>0</v>
      </c>
      <c r="AX836" s="24">
        <v>0</v>
      </c>
      <c r="AY836" s="24">
        <v>0</v>
      </c>
      <c r="AZ836" s="24">
        <v>0</v>
      </c>
      <c r="BA836" s="24">
        <v>1</v>
      </c>
      <c r="BB836" s="24">
        <v>0</v>
      </c>
    </row>
    <row r="837" spans="2:54" ht="13.8" x14ac:dyDescent="0.3">
      <c r="B837" s="24">
        <v>817</v>
      </c>
      <c r="C837" s="24">
        <v>6</v>
      </c>
      <c r="D837" s="24">
        <v>0</v>
      </c>
      <c r="E837" s="24">
        <v>0</v>
      </c>
      <c r="F837" s="24">
        <v>0</v>
      </c>
      <c r="G837" s="24">
        <v>0</v>
      </c>
      <c r="H837" s="24">
        <v>0</v>
      </c>
      <c r="I837" s="24">
        <v>0</v>
      </c>
      <c r="J837" s="24">
        <v>1338</v>
      </c>
      <c r="K837" s="24">
        <v>1</v>
      </c>
      <c r="L837" s="24">
        <v>1</v>
      </c>
      <c r="M837" s="24">
        <v>0</v>
      </c>
      <c r="N837" s="24">
        <v>0</v>
      </c>
      <c r="O837" s="24">
        <v>0</v>
      </c>
      <c r="P837" s="24">
        <v>0</v>
      </c>
      <c r="Q837" s="24">
        <v>1</v>
      </c>
      <c r="R837" s="24">
        <v>0</v>
      </c>
      <c r="S837" s="24">
        <v>62</v>
      </c>
      <c r="T837" s="24">
        <v>0</v>
      </c>
      <c r="U837" s="24">
        <v>0</v>
      </c>
      <c r="V837" s="24">
        <v>1</v>
      </c>
      <c r="W837" s="24">
        <v>1</v>
      </c>
      <c r="X837" s="24">
        <v>1</v>
      </c>
      <c r="Y837" s="24">
        <v>0</v>
      </c>
      <c r="Z837" s="24">
        <v>0</v>
      </c>
      <c r="AA837" s="24">
        <v>1</v>
      </c>
      <c r="AB837" s="24">
        <v>0</v>
      </c>
      <c r="AC837" s="24">
        <v>0</v>
      </c>
      <c r="AD837" s="24">
        <v>0</v>
      </c>
      <c r="AE837" s="24">
        <v>1</v>
      </c>
      <c r="AF837" s="24">
        <v>0</v>
      </c>
      <c r="AG837" s="24">
        <v>0</v>
      </c>
      <c r="AH837" s="24">
        <v>1</v>
      </c>
      <c r="AI837" s="24">
        <v>0</v>
      </c>
      <c r="AJ837" s="24">
        <v>0</v>
      </c>
      <c r="AK837" s="24">
        <v>0</v>
      </c>
      <c r="AL837" s="24">
        <v>0</v>
      </c>
      <c r="AM837" s="24">
        <v>1</v>
      </c>
      <c r="AN837" s="24">
        <v>0</v>
      </c>
      <c r="AO837" s="24">
        <v>0</v>
      </c>
      <c r="AP837" s="24">
        <v>0</v>
      </c>
      <c r="AQ837" s="24">
        <v>0</v>
      </c>
      <c r="AR837" s="24">
        <v>1</v>
      </c>
      <c r="AS837" s="24">
        <v>0</v>
      </c>
      <c r="AT837" s="24">
        <v>0</v>
      </c>
      <c r="AU837" s="24">
        <v>0</v>
      </c>
      <c r="AV837" s="24">
        <v>0</v>
      </c>
      <c r="AW837" s="24">
        <v>0</v>
      </c>
      <c r="AX837" s="24">
        <v>1</v>
      </c>
      <c r="AY837" s="24">
        <v>0</v>
      </c>
      <c r="AZ837" s="24">
        <v>0</v>
      </c>
      <c r="BA837" s="24">
        <v>1</v>
      </c>
      <c r="BB837" s="24">
        <v>0</v>
      </c>
    </row>
    <row r="838" spans="2:54" ht="13.8" x14ac:dyDescent="0.3">
      <c r="B838" s="24">
        <v>818</v>
      </c>
      <c r="C838" s="24">
        <v>6</v>
      </c>
      <c r="D838" s="24">
        <v>0</v>
      </c>
      <c r="E838" s="24">
        <v>0</v>
      </c>
      <c r="F838" s="24">
        <v>0</v>
      </c>
      <c r="G838" s="24">
        <v>1</v>
      </c>
      <c r="H838" s="24">
        <v>0</v>
      </c>
      <c r="I838" s="24">
        <v>0</v>
      </c>
      <c r="J838" s="24">
        <v>1554</v>
      </c>
      <c r="K838" s="24">
        <v>1</v>
      </c>
      <c r="L838" s="24">
        <v>0</v>
      </c>
      <c r="M838" s="24">
        <v>0</v>
      </c>
      <c r="N838" s="24">
        <v>0</v>
      </c>
      <c r="O838" s="24">
        <v>0</v>
      </c>
      <c r="P838" s="24">
        <v>0</v>
      </c>
      <c r="Q838" s="24">
        <v>0</v>
      </c>
      <c r="R838" s="24">
        <v>0</v>
      </c>
      <c r="S838" s="24">
        <v>24</v>
      </c>
      <c r="T838" s="24">
        <v>0</v>
      </c>
      <c r="U838" s="24">
        <v>1</v>
      </c>
      <c r="V838" s="24">
        <v>0</v>
      </c>
      <c r="W838" s="24">
        <v>2</v>
      </c>
      <c r="X838" s="24">
        <v>1</v>
      </c>
      <c r="Y838" s="24">
        <v>1</v>
      </c>
      <c r="Z838" s="24">
        <v>0</v>
      </c>
      <c r="AA838" s="24">
        <v>1</v>
      </c>
      <c r="AB838" s="24">
        <v>0</v>
      </c>
      <c r="AC838" s="24">
        <v>0</v>
      </c>
      <c r="AD838" s="24">
        <v>0</v>
      </c>
      <c r="AE838" s="24">
        <v>1</v>
      </c>
      <c r="AF838" s="24">
        <v>0</v>
      </c>
      <c r="AG838" s="24">
        <v>0</v>
      </c>
      <c r="AH838" s="24">
        <v>0</v>
      </c>
      <c r="AI838" s="24">
        <v>0</v>
      </c>
      <c r="AJ838" s="24">
        <v>1</v>
      </c>
      <c r="AK838" s="24">
        <v>1</v>
      </c>
      <c r="AL838" s="24">
        <v>0</v>
      </c>
      <c r="AM838" s="24">
        <v>0</v>
      </c>
      <c r="AN838" s="24">
        <v>0</v>
      </c>
      <c r="AO838" s="24">
        <v>0</v>
      </c>
      <c r="AP838" s="24">
        <v>0</v>
      </c>
      <c r="AQ838" s="24">
        <v>0</v>
      </c>
      <c r="AR838" s="24">
        <v>0</v>
      </c>
      <c r="AS838" s="24">
        <v>1</v>
      </c>
      <c r="AT838" s="24">
        <v>0</v>
      </c>
      <c r="AU838" s="24">
        <v>0</v>
      </c>
      <c r="AV838" s="24">
        <v>1</v>
      </c>
      <c r="AW838" s="24">
        <v>0</v>
      </c>
      <c r="AX838" s="24">
        <v>0</v>
      </c>
      <c r="AY838" s="24">
        <v>0</v>
      </c>
      <c r="AZ838" s="24">
        <v>0</v>
      </c>
      <c r="BA838" s="24">
        <v>1</v>
      </c>
      <c r="BB838" s="24">
        <v>0</v>
      </c>
    </row>
    <row r="839" spans="2:54" ht="13.8" x14ac:dyDescent="0.3">
      <c r="B839" s="24">
        <v>819</v>
      </c>
      <c r="C839" s="24">
        <v>36</v>
      </c>
      <c r="D839" s="24">
        <v>0</v>
      </c>
      <c r="E839" s="24">
        <v>0</v>
      </c>
      <c r="F839" s="24">
        <v>0</v>
      </c>
      <c r="G839" s="24">
        <v>0</v>
      </c>
      <c r="H839" s="24">
        <v>0</v>
      </c>
      <c r="I839" s="24">
        <v>0</v>
      </c>
      <c r="J839" s="24">
        <v>15857</v>
      </c>
      <c r="K839" s="24">
        <v>2</v>
      </c>
      <c r="L839" s="24">
        <v>1</v>
      </c>
      <c r="M839" s="24">
        <v>0</v>
      </c>
      <c r="N839" s="24">
        <v>0</v>
      </c>
      <c r="O839" s="24">
        <v>1</v>
      </c>
      <c r="P839" s="24">
        <v>0</v>
      </c>
      <c r="Q839" s="24">
        <v>0</v>
      </c>
      <c r="R839" s="24">
        <v>0</v>
      </c>
      <c r="S839" s="24">
        <v>43</v>
      </c>
      <c r="T839" s="24">
        <v>0</v>
      </c>
      <c r="U839" s="24">
        <v>0</v>
      </c>
      <c r="V839" s="24">
        <v>1</v>
      </c>
      <c r="W839" s="24">
        <v>1</v>
      </c>
      <c r="X839" s="24">
        <v>1</v>
      </c>
      <c r="Y839" s="24">
        <v>0</v>
      </c>
      <c r="Z839" s="24">
        <v>0</v>
      </c>
      <c r="AA839" s="24">
        <v>1</v>
      </c>
      <c r="AB839" s="24">
        <v>1</v>
      </c>
      <c r="AC839" s="24">
        <v>0</v>
      </c>
      <c r="AD839" s="24">
        <v>0</v>
      </c>
      <c r="AE839" s="24">
        <v>0</v>
      </c>
      <c r="AF839" s="24">
        <v>0</v>
      </c>
      <c r="AG839" s="24">
        <v>0</v>
      </c>
      <c r="AH839" s="24">
        <v>1</v>
      </c>
      <c r="AI839" s="24">
        <v>0</v>
      </c>
      <c r="AJ839" s="24">
        <v>0</v>
      </c>
      <c r="AK839" s="24">
        <v>1</v>
      </c>
      <c r="AL839" s="24">
        <v>0</v>
      </c>
      <c r="AM839" s="24">
        <v>0</v>
      </c>
      <c r="AN839" s="24">
        <v>0</v>
      </c>
      <c r="AO839" s="24">
        <v>0</v>
      </c>
      <c r="AP839" s="24">
        <v>1</v>
      </c>
      <c r="AQ839" s="24">
        <v>0</v>
      </c>
      <c r="AR839" s="24">
        <v>0</v>
      </c>
      <c r="AS839" s="24">
        <v>0</v>
      </c>
      <c r="AT839" s="24">
        <v>0</v>
      </c>
      <c r="AU839" s="24">
        <v>0</v>
      </c>
      <c r="AV839" s="24">
        <v>0</v>
      </c>
      <c r="AW839" s="24">
        <v>1</v>
      </c>
      <c r="AX839" s="24">
        <v>0</v>
      </c>
      <c r="AY839" s="24">
        <v>0</v>
      </c>
      <c r="AZ839" s="24">
        <v>0</v>
      </c>
      <c r="BA839" s="24">
        <v>0</v>
      </c>
      <c r="BB839" s="24">
        <v>1</v>
      </c>
    </row>
    <row r="840" spans="2:54" ht="13.8" x14ac:dyDescent="0.3">
      <c r="B840" s="24">
        <v>820</v>
      </c>
      <c r="C840" s="24">
        <v>18</v>
      </c>
      <c r="D840" s="24">
        <v>0</v>
      </c>
      <c r="E840" s="24">
        <v>0</v>
      </c>
      <c r="F840" s="24">
        <v>0</v>
      </c>
      <c r="G840" s="24">
        <v>1</v>
      </c>
      <c r="H840" s="24">
        <v>0</v>
      </c>
      <c r="I840" s="24">
        <v>0</v>
      </c>
      <c r="J840" s="24">
        <v>1345</v>
      </c>
      <c r="K840" s="24">
        <v>4</v>
      </c>
      <c r="L840" s="24">
        <v>0</v>
      </c>
      <c r="M840" s="24">
        <v>0</v>
      </c>
      <c r="N840" s="24">
        <v>1</v>
      </c>
      <c r="O840" s="24">
        <v>0</v>
      </c>
      <c r="P840" s="24">
        <v>0</v>
      </c>
      <c r="Q840" s="24">
        <v>1</v>
      </c>
      <c r="R840" s="24">
        <v>0</v>
      </c>
      <c r="S840" s="24">
        <v>26</v>
      </c>
      <c r="T840" s="24">
        <v>1</v>
      </c>
      <c r="U840" s="24">
        <v>0</v>
      </c>
      <c r="V840" s="24">
        <v>1</v>
      </c>
      <c r="W840" s="24">
        <v>1</v>
      </c>
      <c r="X840" s="24">
        <v>1</v>
      </c>
      <c r="Y840" s="24">
        <v>0</v>
      </c>
      <c r="Z840" s="24">
        <v>0</v>
      </c>
      <c r="AA840" s="24">
        <v>0</v>
      </c>
      <c r="AB840" s="24">
        <v>1</v>
      </c>
      <c r="AC840" s="24">
        <v>0</v>
      </c>
      <c r="AD840" s="24">
        <v>0</v>
      </c>
      <c r="AE840" s="24">
        <v>0</v>
      </c>
      <c r="AF840" s="24">
        <v>0</v>
      </c>
      <c r="AG840" s="24">
        <v>0</v>
      </c>
      <c r="AH840" s="24">
        <v>1</v>
      </c>
      <c r="AI840" s="24">
        <v>0</v>
      </c>
      <c r="AJ840" s="24">
        <v>0</v>
      </c>
      <c r="AK840" s="24">
        <v>1</v>
      </c>
      <c r="AL840" s="24">
        <v>0</v>
      </c>
      <c r="AM840" s="24">
        <v>0</v>
      </c>
      <c r="AN840" s="24">
        <v>0</v>
      </c>
      <c r="AO840" s="24">
        <v>0</v>
      </c>
      <c r="AP840" s="24">
        <v>0</v>
      </c>
      <c r="AQ840" s="24">
        <v>0</v>
      </c>
      <c r="AR840" s="24">
        <v>1</v>
      </c>
      <c r="AS840" s="24">
        <v>0</v>
      </c>
      <c r="AT840" s="24">
        <v>0</v>
      </c>
      <c r="AU840" s="24">
        <v>0</v>
      </c>
      <c r="AV840" s="24">
        <v>0</v>
      </c>
      <c r="AW840" s="24">
        <v>1</v>
      </c>
      <c r="AX840" s="24">
        <v>0</v>
      </c>
      <c r="AY840" s="24">
        <v>0</v>
      </c>
      <c r="AZ840" s="24">
        <v>0</v>
      </c>
      <c r="BA840" s="24">
        <v>1</v>
      </c>
      <c r="BB840" s="24">
        <v>0</v>
      </c>
    </row>
    <row r="841" spans="2:54" ht="13.8" x14ac:dyDescent="0.3">
      <c r="B841" s="24">
        <v>821</v>
      </c>
      <c r="C841" s="24">
        <v>12</v>
      </c>
      <c r="D841" s="24">
        <v>1</v>
      </c>
      <c r="E841" s="24">
        <v>0</v>
      </c>
      <c r="F841" s="24">
        <v>0</v>
      </c>
      <c r="G841" s="24">
        <v>0</v>
      </c>
      <c r="H841" s="24">
        <v>0</v>
      </c>
      <c r="I841" s="24">
        <v>0</v>
      </c>
      <c r="J841" s="24">
        <v>1101</v>
      </c>
      <c r="K841" s="24">
        <v>3</v>
      </c>
      <c r="L841" s="24">
        <v>0</v>
      </c>
      <c r="M841" s="24">
        <v>0</v>
      </c>
      <c r="N841" s="24">
        <v>1</v>
      </c>
      <c r="O841" s="24">
        <v>0</v>
      </c>
      <c r="P841" s="24">
        <v>0</v>
      </c>
      <c r="Q841" s="24">
        <v>1</v>
      </c>
      <c r="R841" s="24">
        <v>0</v>
      </c>
      <c r="S841" s="24">
        <v>27</v>
      </c>
      <c r="T841" s="24">
        <v>0</v>
      </c>
      <c r="U841" s="24">
        <v>0</v>
      </c>
      <c r="V841" s="24">
        <v>1</v>
      </c>
      <c r="W841" s="24">
        <v>2</v>
      </c>
      <c r="X841" s="24">
        <v>1</v>
      </c>
      <c r="Y841" s="24">
        <v>1</v>
      </c>
      <c r="Z841" s="24">
        <v>0</v>
      </c>
      <c r="AA841" s="24">
        <v>1</v>
      </c>
      <c r="AB841" s="24">
        <v>0</v>
      </c>
      <c r="AC841" s="24">
        <v>0</v>
      </c>
      <c r="AD841" s="24">
        <v>0</v>
      </c>
      <c r="AE841" s="24">
        <v>1</v>
      </c>
      <c r="AF841" s="24">
        <v>0</v>
      </c>
      <c r="AG841" s="24">
        <v>0</v>
      </c>
      <c r="AH841" s="24">
        <v>1</v>
      </c>
      <c r="AI841" s="24">
        <v>0</v>
      </c>
      <c r="AJ841" s="24">
        <v>0</v>
      </c>
      <c r="AK841" s="24">
        <v>1</v>
      </c>
      <c r="AL841" s="24">
        <v>0</v>
      </c>
      <c r="AM841" s="24">
        <v>0</v>
      </c>
      <c r="AN841" s="24">
        <v>0</v>
      </c>
      <c r="AO841" s="24">
        <v>0</v>
      </c>
      <c r="AP841" s="24">
        <v>0</v>
      </c>
      <c r="AQ841" s="24">
        <v>0</v>
      </c>
      <c r="AR841" s="24">
        <v>1</v>
      </c>
      <c r="AS841" s="24">
        <v>0</v>
      </c>
      <c r="AT841" s="24">
        <v>0</v>
      </c>
      <c r="AU841" s="24">
        <v>0</v>
      </c>
      <c r="AV841" s="24">
        <v>1</v>
      </c>
      <c r="AW841" s="24">
        <v>0</v>
      </c>
      <c r="AX841" s="24">
        <v>0</v>
      </c>
      <c r="AY841" s="24">
        <v>0</v>
      </c>
      <c r="AZ841" s="24">
        <v>0</v>
      </c>
      <c r="BA841" s="24">
        <v>1</v>
      </c>
      <c r="BB841" s="24">
        <v>0</v>
      </c>
    </row>
    <row r="842" spans="2:54" ht="13.8" x14ac:dyDescent="0.3">
      <c r="B842" s="24">
        <v>822</v>
      </c>
      <c r="C842" s="24">
        <v>12</v>
      </c>
      <c r="D842" s="24">
        <v>0</v>
      </c>
      <c r="E842" s="24">
        <v>0</v>
      </c>
      <c r="F842" s="24">
        <v>0</v>
      </c>
      <c r="G842" s="24">
        <v>1</v>
      </c>
      <c r="H842" s="24">
        <v>0</v>
      </c>
      <c r="I842" s="24">
        <v>0</v>
      </c>
      <c r="J842" s="24">
        <v>3016</v>
      </c>
      <c r="K842" s="24">
        <v>3</v>
      </c>
      <c r="L842" s="24">
        <v>0</v>
      </c>
      <c r="M842" s="24">
        <v>0</v>
      </c>
      <c r="N842" s="24">
        <v>1</v>
      </c>
      <c r="O842" s="24">
        <v>0</v>
      </c>
      <c r="P842" s="24">
        <v>0</v>
      </c>
      <c r="Q842" s="24">
        <v>0</v>
      </c>
      <c r="R842" s="24">
        <v>0</v>
      </c>
      <c r="S842" s="24">
        <v>24</v>
      </c>
      <c r="T842" s="24">
        <v>0</v>
      </c>
      <c r="U842" s="24">
        <v>0</v>
      </c>
      <c r="V842" s="24">
        <v>1</v>
      </c>
      <c r="W842" s="24">
        <v>1</v>
      </c>
      <c r="X842" s="24">
        <v>1</v>
      </c>
      <c r="Y842" s="24">
        <v>0</v>
      </c>
      <c r="Z842" s="24">
        <v>0</v>
      </c>
      <c r="AA842" s="24">
        <v>1</v>
      </c>
      <c r="AB842" s="24">
        <v>0</v>
      </c>
      <c r="AC842" s="24">
        <v>0</v>
      </c>
      <c r="AD842" s="24">
        <v>1</v>
      </c>
      <c r="AE842" s="24">
        <v>0</v>
      </c>
      <c r="AF842" s="24">
        <v>0</v>
      </c>
      <c r="AG842" s="24">
        <v>0</v>
      </c>
      <c r="AH842" s="24">
        <v>1</v>
      </c>
      <c r="AI842" s="24">
        <v>0</v>
      </c>
      <c r="AJ842" s="24">
        <v>0</v>
      </c>
      <c r="AK842" s="24">
        <v>1</v>
      </c>
      <c r="AL842" s="24">
        <v>0</v>
      </c>
      <c r="AM842" s="24">
        <v>0</v>
      </c>
      <c r="AN842" s="24">
        <v>0</v>
      </c>
      <c r="AO842" s="24">
        <v>0</v>
      </c>
      <c r="AP842" s="24">
        <v>0</v>
      </c>
      <c r="AQ842" s="24">
        <v>0</v>
      </c>
      <c r="AR842" s="24">
        <v>1</v>
      </c>
      <c r="AS842" s="24">
        <v>0</v>
      </c>
      <c r="AT842" s="24">
        <v>0</v>
      </c>
      <c r="AU842" s="24">
        <v>1</v>
      </c>
      <c r="AV842" s="24">
        <v>0</v>
      </c>
      <c r="AW842" s="24">
        <v>0</v>
      </c>
      <c r="AX842" s="24">
        <v>0</v>
      </c>
      <c r="AY842" s="24">
        <v>0</v>
      </c>
      <c r="AZ842" s="24">
        <v>0</v>
      </c>
      <c r="BA842" s="24">
        <v>1</v>
      </c>
      <c r="BB842" s="24">
        <v>0</v>
      </c>
    </row>
    <row r="843" spans="2:54" ht="13.8" x14ac:dyDescent="0.3">
      <c r="B843" s="24">
        <v>823</v>
      </c>
      <c r="C843" s="24">
        <v>36</v>
      </c>
      <c r="D843" s="24">
        <v>0</v>
      </c>
      <c r="E843" s="24">
        <v>0</v>
      </c>
      <c r="F843" s="24">
        <v>1</v>
      </c>
      <c r="G843" s="24">
        <v>0</v>
      </c>
      <c r="H843" s="24">
        <v>0</v>
      </c>
      <c r="I843" s="24">
        <v>0</v>
      </c>
      <c r="J843" s="24">
        <v>2712</v>
      </c>
      <c r="K843" s="24">
        <v>2</v>
      </c>
      <c r="L843" s="24">
        <v>0</v>
      </c>
      <c r="M843" s="24">
        <v>1</v>
      </c>
      <c r="N843" s="24">
        <v>0</v>
      </c>
      <c r="O843" s="24">
        <v>0</v>
      </c>
      <c r="P843" s="24">
        <v>0</v>
      </c>
      <c r="Q843" s="24">
        <v>0</v>
      </c>
      <c r="R843" s="24">
        <v>0</v>
      </c>
      <c r="S843" s="24">
        <v>41</v>
      </c>
      <c r="T843" s="24">
        <v>1</v>
      </c>
      <c r="U843" s="24">
        <v>0</v>
      </c>
      <c r="V843" s="24">
        <v>1</v>
      </c>
      <c r="W843" s="24">
        <v>1</v>
      </c>
      <c r="X843" s="24">
        <v>2</v>
      </c>
      <c r="Y843" s="24">
        <v>0</v>
      </c>
      <c r="Z843" s="24">
        <v>0</v>
      </c>
      <c r="AA843" s="24">
        <v>0</v>
      </c>
      <c r="AB843" s="24">
        <v>1</v>
      </c>
      <c r="AC843" s="24">
        <v>0</v>
      </c>
      <c r="AD843" s="24">
        <v>0</v>
      </c>
      <c r="AE843" s="24">
        <v>0</v>
      </c>
      <c r="AF843" s="24">
        <v>0</v>
      </c>
      <c r="AG843" s="24">
        <v>0</v>
      </c>
      <c r="AH843" s="24">
        <v>1</v>
      </c>
      <c r="AI843" s="24">
        <v>0</v>
      </c>
      <c r="AJ843" s="24">
        <v>0</v>
      </c>
      <c r="AK843" s="24">
        <v>1</v>
      </c>
      <c r="AL843" s="24">
        <v>0</v>
      </c>
      <c r="AM843" s="24">
        <v>0</v>
      </c>
      <c r="AN843" s="24">
        <v>0</v>
      </c>
      <c r="AO843" s="24">
        <v>0</v>
      </c>
      <c r="AP843" s="24">
        <v>0</v>
      </c>
      <c r="AQ843" s="24">
        <v>0</v>
      </c>
      <c r="AR843" s="24">
        <v>0</v>
      </c>
      <c r="AS843" s="24">
        <v>0</v>
      </c>
      <c r="AT843" s="24">
        <v>1</v>
      </c>
      <c r="AU843" s="24">
        <v>0</v>
      </c>
      <c r="AV843" s="24">
        <v>1</v>
      </c>
      <c r="AW843" s="24">
        <v>0</v>
      </c>
      <c r="AX843" s="24">
        <v>0</v>
      </c>
      <c r="AY843" s="24">
        <v>0</v>
      </c>
      <c r="AZ843" s="24">
        <v>0</v>
      </c>
      <c r="BA843" s="24">
        <v>1</v>
      </c>
      <c r="BB843" s="24">
        <v>0</v>
      </c>
    </row>
    <row r="844" spans="2:54" ht="13.8" x14ac:dyDescent="0.3">
      <c r="B844" s="24">
        <v>824</v>
      </c>
      <c r="C844" s="24">
        <v>8</v>
      </c>
      <c r="D844" s="24">
        <v>1</v>
      </c>
      <c r="E844" s="24">
        <v>0</v>
      </c>
      <c r="F844" s="24">
        <v>0</v>
      </c>
      <c r="G844" s="24">
        <v>0</v>
      </c>
      <c r="H844" s="24">
        <v>0</v>
      </c>
      <c r="I844" s="24">
        <v>0</v>
      </c>
      <c r="J844" s="24">
        <v>731</v>
      </c>
      <c r="K844" s="24">
        <v>4</v>
      </c>
      <c r="L844" s="24">
        <v>0</v>
      </c>
      <c r="M844" s="24">
        <v>1</v>
      </c>
      <c r="N844" s="24">
        <v>0</v>
      </c>
      <c r="O844" s="24">
        <v>0</v>
      </c>
      <c r="P844" s="24">
        <v>0</v>
      </c>
      <c r="Q844" s="24">
        <v>1</v>
      </c>
      <c r="R844" s="24">
        <v>0</v>
      </c>
      <c r="S844" s="24">
        <v>47</v>
      </c>
      <c r="T844" s="24">
        <v>0</v>
      </c>
      <c r="U844" s="24">
        <v>0</v>
      </c>
      <c r="V844" s="24">
        <v>1</v>
      </c>
      <c r="W844" s="24">
        <v>2</v>
      </c>
      <c r="X844" s="24">
        <v>1</v>
      </c>
      <c r="Y844" s="24">
        <v>0</v>
      </c>
      <c r="Z844" s="24">
        <v>0</v>
      </c>
      <c r="AA844" s="24">
        <v>1</v>
      </c>
      <c r="AB844" s="24">
        <v>1</v>
      </c>
      <c r="AC844" s="24">
        <v>0</v>
      </c>
      <c r="AD844" s="24">
        <v>0</v>
      </c>
      <c r="AE844" s="24">
        <v>0</v>
      </c>
      <c r="AF844" s="24">
        <v>0</v>
      </c>
      <c r="AG844" s="24">
        <v>0</v>
      </c>
      <c r="AH844" s="24">
        <v>0</v>
      </c>
      <c r="AI844" s="24">
        <v>0</v>
      </c>
      <c r="AJ844" s="24">
        <v>1</v>
      </c>
      <c r="AK844" s="24">
        <v>1</v>
      </c>
      <c r="AL844" s="24">
        <v>0</v>
      </c>
      <c r="AM844" s="24">
        <v>0</v>
      </c>
      <c r="AN844" s="24">
        <v>0</v>
      </c>
      <c r="AO844" s="24">
        <v>0</v>
      </c>
      <c r="AP844" s="24">
        <v>0</v>
      </c>
      <c r="AQ844" s="24">
        <v>0</v>
      </c>
      <c r="AR844" s="24">
        <v>0</v>
      </c>
      <c r="AS844" s="24">
        <v>0</v>
      </c>
      <c r="AT844" s="24">
        <v>1</v>
      </c>
      <c r="AU844" s="24">
        <v>0</v>
      </c>
      <c r="AV844" s="24">
        <v>0</v>
      </c>
      <c r="AW844" s="24">
        <v>0</v>
      </c>
      <c r="AX844" s="24">
        <v>1</v>
      </c>
      <c r="AY844" s="24">
        <v>0</v>
      </c>
      <c r="AZ844" s="24">
        <v>1</v>
      </c>
      <c r="BA844" s="24">
        <v>0</v>
      </c>
      <c r="BB844" s="24">
        <v>0</v>
      </c>
    </row>
    <row r="845" spans="2:54" ht="13.8" x14ac:dyDescent="0.3">
      <c r="B845" s="24">
        <v>825</v>
      </c>
      <c r="C845" s="24">
        <v>18</v>
      </c>
      <c r="D845" s="24">
        <v>0</v>
      </c>
      <c r="E845" s="24">
        <v>0</v>
      </c>
      <c r="F845" s="24">
        <v>1</v>
      </c>
      <c r="G845" s="24">
        <v>0</v>
      </c>
      <c r="H845" s="24">
        <v>0</v>
      </c>
      <c r="I845" s="24">
        <v>0</v>
      </c>
      <c r="J845" s="24">
        <v>3780</v>
      </c>
      <c r="K845" s="24">
        <v>3</v>
      </c>
      <c r="L845" s="24">
        <v>1</v>
      </c>
      <c r="M845" s="24">
        <v>0</v>
      </c>
      <c r="N845" s="24">
        <v>0</v>
      </c>
      <c r="O845" s="24">
        <v>0</v>
      </c>
      <c r="P845" s="24">
        <v>0</v>
      </c>
      <c r="Q845" s="24">
        <v>0</v>
      </c>
      <c r="R845" s="24">
        <v>0</v>
      </c>
      <c r="S845" s="24">
        <v>35</v>
      </c>
      <c r="T845" s="24">
        <v>0</v>
      </c>
      <c r="U845" s="24">
        <v>0</v>
      </c>
      <c r="V845" s="24">
        <v>1</v>
      </c>
      <c r="W845" s="24">
        <v>2</v>
      </c>
      <c r="X845" s="24">
        <v>1</v>
      </c>
      <c r="Y845" s="24">
        <v>1</v>
      </c>
      <c r="Z845" s="24">
        <v>0</v>
      </c>
      <c r="AA845" s="24">
        <v>1</v>
      </c>
      <c r="AB845" s="24">
        <v>0</v>
      </c>
      <c r="AC845" s="24">
        <v>0</v>
      </c>
      <c r="AD845" s="24">
        <v>0</v>
      </c>
      <c r="AE845" s="24">
        <v>1</v>
      </c>
      <c r="AF845" s="24">
        <v>0</v>
      </c>
      <c r="AG845" s="24">
        <v>0</v>
      </c>
      <c r="AH845" s="24">
        <v>0</v>
      </c>
      <c r="AI845" s="24">
        <v>0</v>
      </c>
      <c r="AJ845" s="24">
        <v>1</v>
      </c>
      <c r="AK845" s="24">
        <v>1</v>
      </c>
      <c r="AL845" s="24">
        <v>0</v>
      </c>
      <c r="AM845" s="24">
        <v>0</v>
      </c>
      <c r="AN845" s="24">
        <v>0</v>
      </c>
      <c r="AO845" s="24">
        <v>0</v>
      </c>
      <c r="AP845" s="24">
        <v>0</v>
      </c>
      <c r="AQ845" s="24">
        <v>1</v>
      </c>
      <c r="AR845" s="24">
        <v>0</v>
      </c>
      <c r="AS845" s="24">
        <v>0</v>
      </c>
      <c r="AT845" s="24">
        <v>0</v>
      </c>
      <c r="AU845" s="24">
        <v>0</v>
      </c>
      <c r="AV845" s="24">
        <v>1</v>
      </c>
      <c r="AW845" s="24">
        <v>0</v>
      </c>
      <c r="AX845" s="24">
        <v>0</v>
      </c>
      <c r="AY845" s="24">
        <v>0</v>
      </c>
      <c r="AZ845" s="24">
        <v>0</v>
      </c>
      <c r="BA845" s="24">
        <v>0</v>
      </c>
      <c r="BB845" s="24">
        <v>1</v>
      </c>
    </row>
    <row r="846" spans="2:54" ht="13.8" x14ac:dyDescent="0.3">
      <c r="B846" s="24">
        <v>826</v>
      </c>
      <c r="C846" s="24">
        <v>21</v>
      </c>
      <c r="D846" s="24">
        <v>1</v>
      </c>
      <c r="E846" s="24">
        <v>0</v>
      </c>
      <c r="F846" s="24">
        <v>0</v>
      </c>
      <c r="G846" s="24">
        <v>0</v>
      </c>
      <c r="H846" s="24">
        <v>0</v>
      </c>
      <c r="I846" s="24">
        <v>0</v>
      </c>
      <c r="J846" s="24">
        <v>1602</v>
      </c>
      <c r="K846" s="24">
        <v>4</v>
      </c>
      <c r="L846" s="24">
        <v>0</v>
      </c>
      <c r="M846" s="24">
        <v>0</v>
      </c>
      <c r="N846" s="24">
        <v>1</v>
      </c>
      <c r="O846" s="24">
        <v>0</v>
      </c>
      <c r="P846" s="24">
        <v>0</v>
      </c>
      <c r="Q846" s="24">
        <v>0</v>
      </c>
      <c r="R846" s="24">
        <v>0</v>
      </c>
      <c r="S846" s="24">
        <v>30</v>
      </c>
      <c r="T846" s="24">
        <v>0</v>
      </c>
      <c r="U846" s="24">
        <v>0</v>
      </c>
      <c r="V846" s="24">
        <v>1</v>
      </c>
      <c r="W846" s="24">
        <v>2</v>
      </c>
      <c r="X846" s="24">
        <v>1</v>
      </c>
      <c r="Y846" s="24">
        <v>1</v>
      </c>
      <c r="Z846" s="24">
        <v>0</v>
      </c>
      <c r="AA846" s="24">
        <v>1</v>
      </c>
      <c r="AB846" s="24">
        <v>1</v>
      </c>
      <c r="AC846" s="24">
        <v>0</v>
      </c>
      <c r="AD846" s="24">
        <v>0</v>
      </c>
      <c r="AE846" s="24">
        <v>0</v>
      </c>
      <c r="AF846" s="24">
        <v>0</v>
      </c>
      <c r="AG846" s="24">
        <v>0</v>
      </c>
      <c r="AH846" s="24">
        <v>0</v>
      </c>
      <c r="AI846" s="24">
        <v>0</v>
      </c>
      <c r="AJ846" s="24">
        <v>1</v>
      </c>
      <c r="AK846" s="24">
        <v>1</v>
      </c>
      <c r="AL846" s="24">
        <v>0</v>
      </c>
      <c r="AM846" s="24">
        <v>0</v>
      </c>
      <c r="AN846" s="24">
        <v>0</v>
      </c>
      <c r="AO846" s="24">
        <v>0</v>
      </c>
      <c r="AP846" s="24">
        <v>0</v>
      </c>
      <c r="AQ846" s="24">
        <v>0</v>
      </c>
      <c r="AR846" s="24">
        <v>0</v>
      </c>
      <c r="AS846" s="24">
        <v>0</v>
      </c>
      <c r="AT846" s="24">
        <v>1</v>
      </c>
      <c r="AU846" s="24">
        <v>0</v>
      </c>
      <c r="AV846" s="24">
        <v>0</v>
      </c>
      <c r="AW846" s="24">
        <v>1</v>
      </c>
      <c r="AX846" s="24">
        <v>0</v>
      </c>
      <c r="AY846" s="24">
        <v>0</v>
      </c>
      <c r="AZ846" s="24">
        <v>0</v>
      </c>
      <c r="BA846" s="24">
        <v>1</v>
      </c>
      <c r="BB846" s="24">
        <v>0</v>
      </c>
    </row>
    <row r="847" spans="2:54" ht="13.8" x14ac:dyDescent="0.3">
      <c r="B847" s="24">
        <v>827</v>
      </c>
      <c r="C847" s="24">
        <v>18</v>
      </c>
      <c r="D847" s="24">
        <v>1</v>
      </c>
      <c r="E847" s="24">
        <v>0</v>
      </c>
      <c r="F847" s="24">
        <v>0</v>
      </c>
      <c r="G847" s="24">
        <v>0</v>
      </c>
      <c r="H847" s="24">
        <v>0</v>
      </c>
      <c r="I847" s="24">
        <v>0</v>
      </c>
      <c r="J847" s="24">
        <v>3966</v>
      </c>
      <c r="K847" s="24">
        <v>1</v>
      </c>
      <c r="L847" s="24">
        <v>0</v>
      </c>
      <c r="M847" s="24">
        <v>0</v>
      </c>
      <c r="N847" s="24">
        <v>0</v>
      </c>
      <c r="O847" s="24">
        <v>0</v>
      </c>
      <c r="P847" s="24">
        <v>0</v>
      </c>
      <c r="Q847" s="24">
        <v>1</v>
      </c>
      <c r="R847" s="24">
        <v>0</v>
      </c>
      <c r="S847" s="24">
        <v>33</v>
      </c>
      <c r="T847" s="24">
        <v>1</v>
      </c>
      <c r="U847" s="24">
        <v>1</v>
      </c>
      <c r="V847" s="24">
        <v>0</v>
      </c>
      <c r="W847" s="24">
        <v>3</v>
      </c>
      <c r="X847" s="24">
        <v>1</v>
      </c>
      <c r="Y847" s="24">
        <v>1</v>
      </c>
      <c r="Z847" s="24">
        <v>0</v>
      </c>
      <c r="AA847" s="24">
        <v>0</v>
      </c>
      <c r="AB847" s="24">
        <v>1</v>
      </c>
      <c r="AC847" s="24">
        <v>0</v>
      </c>
      <c r="AD847" s="24">
        <v>0</v>
      </c>
      <c r="AE847" s="24">
        <v>0</v>
      </c>
      <c r="AF847" s="24">
        <v>0</v>
      </c>
      <c r="AG847" s="24">
        <v>0</v>
      </c>
      <c r="AH847" s="24">
        <v>0</v>
      </c>
      <c r="AI847" s="24">
        <v>0</v>
      </c>
      <c r="AJ847" s="24">
        <v>1</v>
      </c>
      <c r="AK847" s="24">
        <v>1</v>
      </c>
      <c r="AL847" s="24">
        <v>0</v>
      </c>
      <c r="AM847" s="24">
        <v>0</v>
      </c>
      <c r="AN847" s="24">
        <v>0</v>
      </c>
      <c r="AO847" s="24">
        <v>0</v>
      </c>
      <c r="AP847" s="24">
        <v>0</v>
      </c>
      <c r="AQ847" s="24">
        <v>0</v>
      </c>
      <c r="AR847" s="24">
        <v>0</v>
      </c>
      <c r="AS847" s="24">
        <v>0</v>
      </c>
      <c r="AT847" s="24">
        <v>1</v>
      </c>
      <c r="AU847" s="24">
        <v>0</v>
      </c>
      <c r="AV847" s="24">
        <v>0</v>
      </c>
      <c r="AW847" s="24">
        <v>0</v>
      </c>
      <c r="AX847" s="24">
        <v>1</v>
      </c>
      <c r="AY847" s="24">
        <v>0</v>
      </c>
      <c r="AZ847" s="24">
        <v>0</v>
      </c>
      <c r="BA847" s="24">
        <v>1</v>
      </c>
      <c r="BB847" s="24">
        <v>0</v>
      </c>
    </row>
    <row r="848" spans="2:54" ht="13.8" x14ac:dyDescent="0.3">
      <c r="B848" s="24">
        <v>828</v>
      </c>
      <c r="C848" s="24">
        <v>18</v>
      </c>
      <c r="D848" s="24">
        <v>0</v>
      </c>
      <c r="E848" s="24">
        <v>0</v>
      </c>
      <c r="F848" s="24">
        <v>0</v>
      </c>
      <c r="G848" s="24">
        <v>0</v>
      </c>
      <c r="H848" s="24">
        <v>0</v>
      </c>
      <c r="I848" s="24">
        <v>1</v>
      </c>
      <c r="J848" s="24">
        <v>4165</v>
      </c>
      <c r="K848" s="24">
        <v>2</v>
      </c>
      <c r="L848" s="24">
        <v>0</v>
      </c>
      <c r="M848" s="24">
        <v>1</v>
      </c>
      <c r="N848" s="24">
        <v>0</v>
      </c>
      <c r="O848" s="24">
        <v>0</v>
      </c>
      <c r="P848" s="24">
        <v>0</v>
      </c>
      <c r="Q848" s="24">
        <v>0</v>
      </c>
      <c r="R848" s="24">
        <v>0</v>
      </c>
      <c r="S848" s="24">
        <v>36</v>
      </c>
      <c r="T848" s="24">
        <v>1</v>
      </c>
      <c r="U848" s="24">
        <v>0</v>
      </c>
      <c r="V848" s="24">
        <v>1</v>
      </c>
      <c r="W848" s="24">
        <v>2</v>
      </c>
      <c r="X848" s="24">
        <v>2</v>
      </c>
      <c r="Y848" s="24">
        <v>0</v>
      </c>
      <c r="Z848" s="24">
        <v>0</v>
      </c>
      <c r="AA848" s="24">
        <v>0</v>
      </c>
      <c r="AB848" s="24">
        <v>0</v>
      </c>
      <c r="AC848" s="24">
        <v>0</v>
      </c>
      <c r="AD848" s="24">
        <v>0</v>
      </c>
      <c r="AE848" s="24">
        <v>1</v>
      </c>
      <c r="AF848" s="24">
        <v>1</v>
      </c>
      <c r="AG848" s="24">
        <v>0</v>
      </c>
      <c r="AH848" s="24">
        <v>0</v>
      </c>
      <c r="AI848" s="24">
        <v>0</v>
      </c>
      <c r="AJ848" s="24">
        <v>0</v>
      </c>
      <c r="AK848" s="24">
        <v>1</v>
      </c>
      <c r="AL848" s="24">
        <v>0</v>
      </c>
      <c r="AM848" s="24">
        <v>0</v>
      </c>
      <c r="AN848" s="24">
        <v>0</v>
      </c>
      <c r="AO848" s="24">
        <v>0</v>
      </c>
      <c r="AP848" s="24">
        <v>0</v>
      </c>
      <c r="AQ848" s="24">
        <v>0</v>
      </c>
      <c r="AR848" s="24">
        <v>1</v>
      </c>
      <c r="AS848" s="24">
        <v>0</v>
      </c>
      <c r="AT848" s="24">
        <v>0</v>
      </c>
      <c r="AU848" s="24">
        <v>0</v>
      </c>
      <c r="AV848" s="24">
        <v>1</v>
      </c>
      <c r="AW848" s="24">
        <v>0</v>
      </c>
      <c r="AX848" s="24">
        <v>0</v>
      </c>
      <c r="AY848" s="24">
        <v>0</v>
      </c>
      <c r="AZ848" s="24">
        <v>0</v>
      </c>
      <c r="BA848" s="24">
        <v>1</v>
      </c>
      <c r="BB848" s="24">
        <v>0</v>
      </c>
    </row>
    <row r="849" spans="2:54" ht="13.8" x14ac:dyDescent="0.3">
      <c r="B849" s="24">
        <v>829</v>
      </c>
      <c r="C849" s="24">
        <v>36</v>
      </c>
      <c r="D849" s="24">
        <v>0</v>
      </c>
      <c r="E849" s="24">
        <v>1</v>
      </c>
      <c r="F849" s="24">
        <v>0</v>
      </c>
      <c r="G849" s="24">
        <v>0</v>
      </c>
      <c r="H849" s="24">
        <v>0</v>
      </c>
      <c r="I849" s="24">
        <v>0</v>
      </c>
      <c r="J849" s="24">
        <v>8335</v>
      </c>
      <c r="K849" s="24">
        <v>3</v>
      </c>
      <c r="L849" s="24">
        <v>0</v>
      </c>
      <c r="M849" s="24">
        <v>1</v>
      </c>
      <c r="N849" s="24">
        <v>0</v>
      </c>
      <c r="O849" s="24">
        <v>0</v>
      </c>
      <c r="P849" s="24">
        <v>0</v>
      </c>
      <c r="Q849" s="24">
        <v>0</v>
      </c>
      <c r="R849" s="24">
        <v>1</v>
      </c>
      <c r="S849" s="24">
        <v>47</v>
      </c>
      <c r="T849" s="24">
        <v>0</v>
      </c>
      <c r="U849" s="24">
        <v>0</v>
      </c>
      <c r="V849" s="24">
        <v>0</v>
      </c>
      <c r="W849" s="24">
        <v>1</v>
      </c>
      <c r="X849" s="24">
        <v>1</v>
      </c>
      <c r="Y849" s="24">
        <v>0</v>
      </c>
      <c r="Z849" s="24">
        <v>0</v>
      </c>
      <c r="AA849" s="24">
        <v>0</v>
      </c>
      <c r="AB849" s="24">
        <v>1</v>
      </c>
      <c r="AC849" s="24">
        <v>0</v>
      </c>
      <c r="AD849" s="24">
        <v>0</v>
      </c>
      <c r="AE849" s="24">
        <v>0</v>
      </c>
      <c r="AF849" s="24">
        <v>0</v>
      </c>
      <c r="AG849" s="24">
        <v>0</v>
      </c>
      <c r="AH849" s="24">
        <v>1</v>
      </c>
      <c r="AI849" s="24">
        <v>0</v>
      </c>
      <c r="AJ849" s="24">
        <v>0</v>
      </c>
      <c r="AK849" s="24">
        <v>0</v>
      </c>
      <c r="AL849" s="24">
        <v>0</v>
      </c>
      <c r="AM849" s="24">
        <v>0</v>
      </c>
      <c r="AN849" s="24">
        <v>0</v>
      </c>
      <c r="AO849" s="24">
        <v>1</v>
      </c>
      <c r="AP849" s="24">
        <v>0</v>
      </c>
      <c r="AQ849" s="24">
        <v>0</v>
      </c>
      <c r="AR849" s="24">
        <v>0</v>
      </c>
      <c r="AS849" s="24">
        <v>0</v>
      </c>
      <c r="AT849" s="24">
        <v>1</v>
      </c>
      <c r="AU849" s="24">
        <v>0</v>
      </c>
      <c r="AV849" s="24">
        <v>0</v>
      </c>
      <c r="AW849" s="24">
        <v>0</v>
      </c>
      <c r="AX849" s="24">
        <v>1</v>
      </c>
      <c r="AY849" s="24">
        <v>0</v>
      </c>
      <c r="AZ849" s="24">
        <v>0</v>
      </c>
      <c r="BA849" s="24">
        <v>1</v>
      </c>
      <c r="BB849" s="24">
        <v>0</v>
      </c>
    </row>
    <row r="850" spans="2:54" ht="13.8" x14ac:dyDescent="0.3">
      <c r="B850" s="24">
        <v>830</v>
      </c>
      <c r="C850" s="24">
        <v>48</v>
      </c>
      <c r="D850" s="24">
        <v>0</v>
      </c>
      <c r="E850" s="24">
        <v>0</v>
      </c>
      <c r="F850" s="24">
        <v>0</v>
      </c>
      <c r="G850" s="24">
        <v>0</v>
      </c>
      <c r="H850" s="24">
        <v>0</v>
      </c>
      <c r="I850" s="24">
        <v>1</v>
      </c>
      <c r="J850" s="24">
        <v>6681</v>
      </c>
      <c r="K850" s="24">
        <v>4</v>
      </c>
      <c r="L850" s="24">
        <v>0</v>
      </c>
      <c r="M850" s="24">
        <v>1</v>
      </c>
      <c r="N850" s="24">
        <v>0</v>
      </c>
      <c r="O850" s="24">
        <v>0</v>
      </c>
      <c r="P850" s="24">
        <v>0</v>
      </c>
      <c r="Q850" s="24">
        <v>0</v>
      </c>
      <c r="R850" s="24">
        <v>1</v>
      </c>
      <c r="S850" s="24">
        <v>38</v>
      </c>
      <c r="T850" s="24">
        <v>0</v>
      </c>
      <c r="U850" s="24">
        <v>0</v>
      </c>
      <c r="V850" s="24">
        <v>0</v>
      </c>
      <c r="W850" s="24">
        <v>1</v>
      </c>
      <c r="X850" s="24">
        <v>2</v>
      </c>
      <c r="Y850" s="24">
        <v>1</v>
      </c>
      <c r="Z850" s="24">
        <v>0</v>
      </c>
      <c r="AA850" s="24">
        <v>1</v>
      </c>
      <c r="AB850" s="24">
        <v>0</v>
      </c>
      <c r="AC850" s="24">
        <v>1</v>
      </c>
      <c r="AD850" s="24">
        <v>0</v>
      </c>
      <c r="AE850" s="24">
        <v>0</v>
      </c>
      <c r="AF850" s="24">
        <v>0</v>
      </c>
      <c r="AG850" s="24">
        <v>0</v>
      </c>
      <c r="AH850" s="24">
        <v>0</v>
      </c>
      <c r="AI850" s="24">
        <v>1</v>
      </c>
      <c r="AJ850" s="24">
        <v>0</v>
      </c>
      <c r="AK850" s="24">
        <v>0</v>
      </c>
      <c r="AL850" s="24">
        <v>0</v>
      </c>
      <c r="AM850" s="24">
        <v>0</v>
      </c>
      <c r="AN850" s="24">
        <v>0</v>
      </c>
      <c r="AO850" s="24">
        <v>1</v>
      </c>
      <c r="AP850" s="24">
        <v>0</v>
      </c>
      <c r="AQ850" s="24">
        <v>0</v>
      </c>
      <c r="AR850" s="24">
        <v>1</v>
      </c>
      <c r="AS850" s="24">
        <v>0</v>
      </c>
      <c r="AT850" s="24">
        <v>0</v>
      </c>
      <c r="AU850" s="24">
        <v>0</v>
      </c>
      <c r="AV850" s="24">
        <v>0</v>
      </c>
      <c r="AW850" s="24">
        <v>0</v>
      </c>
      <c r="AX850" s="24">
        <v>1</v>
      </c>
      <c r="AY850" s="24">
        <v>0</v>
      </c>
      <c r="AZ850" s="24">
        <v>0</v>
      </c>
      <c r="BA850" s="24">
        <v>1</v>
      </c>
      <c r="BB850" s="24">
        <v>0</v>
      </c>
    </row>
    <row r="851" spans="2:54" ht="13.8" x14ac:dyDescent="0.3">
      <c r="B851" s="24">
        <v>831</v>
      </c>
      <c r="C851" s="24">
        <v>24</v>
      </c>
      <c r="D851" s="24">
        <v>0</v>
      </c>
      <c r="E851" s="24">
        <v>0</v>
      </c>
      <c r="F851" s="24">
        <v>0</v>
      </c>
      <c r="G851" s="24">
        <v>0</v>
      </c>
      <c r="H851" s="24">
        <v>0</v>
      </c>
      <c r="I851" s="24">
        <v>1</v>
      </c>
      <c r="J851" s="24">
        <v>2375</v>
      </c>
      <c r="K851" s="24">
        <v>4</v>
      </c>
      <c r="L851" s="24">
        <v>0</v>
      </c>
      <c r="M851" s="24">
        <v>1</v>
      </c>
      <c r="N851" s="24">
        <v>0</v>
      </c>
      <c r="O851" s="24">
        <v>0</v>
      </c>
      <c r="P851" s="24">
        <v>0</v>
      </c>
      <c r="Q851" s="24">
        <v>0</v>
      </c>
      <c r="R851" s="24">
        <v>0</v>
      </c>
      <c r="S851" s="24">
        <v>44</v>
      </c>
      <c r="T851" s="24">
        <v>0</v>
      </c>
      <c r="U851" s="24">
        <v>0</v>
      </c>
      <c r="V851" s="24">
        <v>1</v>
      </c>
      <c r="W851" s="24">
        <v>2</v>
      </c>
      <c r="X851" s="24">
        <v>2</v>
      </c>
      <c r="Y851" s="24">
        <v>1</v>
      </c>
      <c r="Z851" s="24">
        <v>0</v>
      </c>
      <c r="AA851" s="24">
        <v>1</v>
      </c>
      <c r="AB851" s="24">
        <v>0</v>
      </c>
      <c r="AC851" s="24">
        <v>0</v>
      </c>
      <c r="AD851" s="24">
        <v>0</v>
      </c>
      <c r="AE851" s="24">
        <v>1</v>
      </c>
      <c r="AF851" s="24">
        <v>0</v>
      </c>
      <c r="AG851" s="24">
        <v>0</v>
      </c>
      <c r="AH851" s="24">
        <v>0</v>
      </c>
      <c r="AI851" s="24">
        <v>1</v>
      </c>
      <c r="AJ851" s="24">
        <v>0</v>
      </c>
      <c r="AK851" s="24">
        <v>0</v>
      </c>
      <c r="AL851" s="24">
        <v>0</v>
      </c>
      <c r="AM851" s="24">
        <v>1</v>
      </c>
      <c r="AN851" s="24">
        <v>0</v>
      </c>
      <c r="AO851" s="24">
        <v>0</v>
      </c>
      <c r="AP851" s="24">
        <v>0</v>
      </c>
      <c r="AQ851" s="24">
        <v>0</v>
      </c>
      <c r="AR851" s="24">
        <v>1</v>
      </c>
      <c r="AS851" s="24">
        <v>0</v>
      </c>
      <c r="AT851" s="24">
        <v>0</v>
      </c>
      <c r="AU851" s="24">
        <v>0</v>
      </c>
      <c r="AV851" s="24">
        <v>1</v>
      </c>
      <c r="AW851" s="24">
        <v>0</v>
      </c>
      <c r="AX851" s="24">
        <v>0</v>
      </c>
      <c r="AY851" s="24">
        <v>0</v>
      </c>
      <c r="AZ851" s="24">
        <v>0</v>
      </c>
      <c r="BA851" s="24">
        <v>1</v>
      </c>
      <c r="BB851" s="24">
        <v>0</v>
      </c>
    </row>
    <row r="852" spans="2:54" ht="13.8" x14ac:dyDescent="0.3">
      <c r="B852" s="24">
        <v>832</v>
      </c>
      <c r="C852" s="24">
        <v>18</v>
      </c>
      <c r="D852" s="24">
        <v>1</v>
      </c>
      <c r="E852" s="24">
        <v>0</v>
      </c>
      <c r="F852" s="24">
        <v>0</v>
      </c>
      <c r="G852" s="24">
        <v>0</v>
      </c>
      <c r="H852" s="24">
        <v>0</v>
      </c>
      <c r="I852" s="24">
        <v>0</v>
      </c>
      <c r="J852" s="24">
        <v>1216</v>
      </c>
      <c r="K852" s="24">
        <v>4</v>
      </c>
      <c r="L852" s="24">
        <v>0</v>
      </c>
      <c r="M852" s="24">
        <v>0</v>
      </c>
      <c r="N852" s="24">
        <v>0</v>
      </c>
      <c r="O852" s="24">
        <v>0</v>
      </c>
      <c r="P852" s="24">
        <v>0</v>
      </c>
      <c r="Q852" s="24">
        <v>0</v>
      </c>
      <c r="R852" s="24">
        <v>0</v>
      </c>
      <c r="S852" s="24">
        <v>23</v>
      </c>
      <c r="T852" s="24">
        <v>0</v>
      </c>
      <c r="U852" s="24">
        <v>1</v>
      </c>
      <c r="V852" s="24">
        <v>0</v>
      </c>
      <c r="W852" s="24">
        <v>1</v>
      </c>
      <c r="X852" s="24">
        <v>1</v>
      </c>
      <c r="Y852" s="24">
        <v>1</v>
      </c>
      <c r="Z852" s="24">
        <v>0</v>
      </c>
      <c r="AA852" s="24">
        <v>0</v>
      </c>
      <c r="AB852" s="24">
        <v>1</v>
      </c>
      <c r="AC852" s="24">
        <v>0</v>
      </c>
      <c r="AD852" s="24">
        <v>0</v>
      </c>
      <c r="AE852" s="24">
        <v>0</v>
      </c>
      <c r="AF852" s="24">
        <v>0</v>
      </c>
      <c r="AG852" s="24">
        <v>0</v>
      </c>
      <c r="AH852" s="24">
        <v>1</v>
      </c>
      <c r="AI852" s="24">
        <v>0</v>
      </c>
      <c r="AJ852" s="24">
        <v>0</v>
      </c>
      <c r="AK852" s="24">
        <v>1</v>
      </c>
      <c r="AL852" s="24">
        <v>0</v>
      </c>
      <c r="AM852" s="24">
        <v>0</v>
      </c>
      <c r="AN852" s="24">
        <v>0</v>
      </c>
      <c r="AO852" s="24">
        <v>0</v>
      </c>
      <c r="AP852" s="24">
        <v>0</v>
      </c>
      <c r="AQ852" s="24">
        <v>1</v>
      </c>
      <c r="AR852" s="24">
        <v>0</v>
      </c>
      <c r="AS852" s="24">
        <v>0</v>
      </c>
      <c r="AT852" s="24">
        <v>0</v>
      </c>
      <c r="AU852" s="24">
        <v>0</v>
      </c>
      <c r="AV852" s="24">
        <v>0</v>
      </c>
      <c r="AW852" s="24">
        <v>1</v>
      </c>
      <c r="AX852" s="24">
        <v>0</v>
      </c>
      <c r="AY852" s="24">
        <v>0</v>
      </c>
      <c r="AZ852" s="24">
        <v>0</v>
      </c>
      <c r="BA852" s="24">
        <v>1</v>
      </c>
      <c r="BB852" s="24">
        <v>0</v>
      </c>
    </row>
    <row r="853" spans="2:54" ht="13.8" x14ac:dyDescent="0.3">
      <c r="B853" s="24">
        <v>833</v>
      </c>
      <c r="C853" s="24">
        <v>45</v>
      </c>
      <c r="D853" s="24">
        <v>0</v>
      </c>
      <c r="E853" s="24">
        <v>0</v>
      </c>
      <c r="F853" s="24">
        <v>0</v>
      </c>
      <c r="G853" s="24">
        <v>0</v>
      </c>
      <c r="H853" s="24">
        <v>0</v>
      </c>
      <c r="I853" s="24">
        <v>1</v>
      </c>
      <c r="J853" s="24">
        <v>11816</v>
      </c>
      <c r="K853" s="24">
        <v>2</v>
      </c>
      <c r="L853" s="24">
        <v>0</v>
      </c>
      <c r="M853" s="24">
        <v>1</v>
      </c>
      <c r="N853" s="24">
        <v>0</v>
      </c>
      <c r="O853" s="24">
        <v>0</v>
      </c>
      <c r="P853" s="24">
        <v>0</v>
      </c>
      <c r="Q853" s="24">
        <v>0</v>
      </c>
      <c r="R853" s="24">
        <v>0</v>
      </c>
      <c r="S853" s="24">
        <v>29</v>
      </c>
      <c r="T853" s="24">
        <v>0</v>
      </c>
      <c r="U853" s="24">
        <v>1</v>
      </c>
      <c r="V853" s="24">
        <v>0</v>
      </c>
      <c r="W853" s="24">
        <v>2</v>
      </c>
      <c r="X853" s="24">
        <v>1</v>
      </c>
      <c r="Y853" s="24">
        <v>0</v>
      </c>
      <c r="Z853" s="24">
        <v>0</v>
      </c>
      <c r="AA853" s="24">
        <v>0</v>
      </c>
      <c r="AB853" s="24">
        <v>1</v>
      </c>
      <c r="AC853" s="24">
        <v>0</v>
      </c>
      <c r="AD853" s="24">
        <v>0</v>
      </c>
      <c r="AE853" s="24">
        <v>0</v>
      </c>
      <c r="AF853" s="24">
        <v>1</v>
      </c>
      <c r="AG853" s="24">
        <v>0</v>
      </c>
      <c r="AH853" s="24">
        <v>0</v>
      </c>
      <c r="AI853" s="24">
        <v>0</v>
      </c>
      <c r="AJ853" s="24">
        <v>0</v>
      </c>
      <c r="AK853" s="24">
        <v>1</v>
      </c>
      <c r="AL853" s="24">
        <v>0</v>
      </c>
      <c r="AM853" s="24">
        <v>0</v>
      </c>
      <c r="AN853" s="24">
        <v>0</v>
      </c>
      <c r="AO853" s="24">
        <v>0</v>
      </c>
      <c r="AP853" s="24">
        <v>0</v>
      </c>
      <c r="AQ853" s="24">
        <v>0</v>
      </c>
      <c r="AR853" s="24">
        <v>0</v>
      </c>
      <c r="AS853" s="24">
        <v>0</v>
      </c>
      <c r="AT853" s="24">
        <v>1</v>
      </c>
      <c r="AU853" s="24">
        <v>0</v>
      </c>
      <c r="AV853" s="24">
        <v>0</v>
      </c>
      <c r="AW853" s="24">
        <v>0</v>
      </c>
      <c r="AX853" s="24">
        <v>1</v>
      </c>
      <c r="AY853" s="24">
        <v>0</v>
      </c>
      <c r="AZ853" s="24">
        <v>0</v>
      </c>
      <c r="BA853" s="24">
        <v>1</v>
      </c>
      <c r="BB853" s="24">
        <v>0</v>
      </c>
    </row>
    <row r="854" spans="2:54" ht="13.8" x14ac:dyDescent="0.3">
      <c r="B854" s="24">
        <v>834</v>
      </c>
      <c r="C854" s="24">
        <v>24</v>
      </c>
      <c r="D854" s="24">
        <v>0</v>
      </c>
      <c r="E854" s="24">
        <v>0</v>
      </c>
      <c r="F854" s="24">
        <v>0</v>
      </c>
      <c r="G854" s="24">
        <v>1</v>
      </c>
      <c r="H854" s="24">
        <v>0</v>
      </c>
      <c r="I854" s="24">
        <v>0</v>
      </c>
      <c r="J854" s="24">
        <v>5084</v>
      </c>
      <c r="K854" s="24">
        <v>2</v>
      </c>
      <c r="L854" s="24">
        <v>0</v>
      </c>
      <c r="M854" s="24">
        <v>0</v>
      </c>
      <c r="N854" s="24">
        <v>0</v>
      </c>
      <c r="O854" s="24">
        <v>0</v>
      </c>
      <c r="P854" s="24">
        <v>0</v>
      </c>
      <c r="Q854" s="24">
        <v>0</v>
      </c>
      <c r="R854" s="24">
        <v>0</v>
      </c>
      <c r="S854" s="24">
        <v>42</v>
      </c>
      <c r="T854" s="24">
        <v>0</v>
      </c>
      <c r="U854" s="24">
        <v>0</v>
      </c>
      <c r="V854" s="24">
        <v>1</v>
      </c>
      <c r="W854" s="24">
        <v>1</v>
      </c>
      <c r="X854" s="24">
        <v>1</v>
      </c>
      <c r="Y854" s="24">
        <v>1</v>
      </c>
      <c r="Z854" s="24">
        <v>0</v>
      </c>
      <c r="AA854" s="24">
        <v>1</v>
      </c>
      <c r="AB854" s="24">
        <v>0</v>
      </c>
      <c r="AC854" s="24">
        <v>1</v>
      </c>
      <c r="AD854" s="24">
        <v>0</v>
      </c>
      <c r="AE854" s="24">
        <v>0</v>
      </c>
      <c r="AF854" s="24">
        <v>0</v>
      </c>
      <c r="AG854" s="24">
        <v>0</v>
      </c>
      <c r="AH854" s="24">
        <v>1</v>
      </c>
      <c r="AI854" s="24">
        <v>0</v>
      </c>
      <c r="AJ854" s="24">
        <v>0</v>
      </c>
      <c r="AK854" s="24">
        <v>0</v>
      </c>
      <c r="AL854" s="24">
        <v>0</v>
      </c>
      <c r="AM854" s="24">
        <v>0</v>
      </c>
      <c r="AN854" s="24">
        <v>0</v>
      </c>
      <c r="AO854" s="24">
        <v>1</v>
      </c>
      <c r="AP854" s="24">
        <v>0</v>
      </c>
      <c r="AQ854" s="24">
        <v>0</v>
      </c>
      <c r="AR854" s="24">
        <v>0</v>
      </c>
      <c r="AS854" s="24">
        <v>0</v>
      </c>
      <c r="AT854" s="24">
        <v>1</v>
      </c>
      <c r="AU854" s="24">
        <v>0</v>
      </c>
      <c r="AV854" s="24">
        <v>0</v>
      </c>
      <c r="AW854" s="24">
        <v>0</v>
      </c>
      <c r="AX854" s="24">
        <v>1</v>
      </c>
      <c r="AY854" s="24">
        <v>0</v>
      </c>
      <c r="AZ854" s="24">
        <v>0</v>
      </c>
      <c r="BA854" s="24">
        <v>1</v>
      </c>
      <c r="BB854" s="24">
        <v>0</v>
      </c>
    </row>
    <row r="855" spans="2:54" ht="13.8" x14ac:dyDescent="0.3">
      <c r="B855" s="24">
        <v>835</v>
      </c>
      <c r="C855" s="24">
        <v>15</v>
      </c>
      <c r="D855" s="24">
        <v>0</v>
      </c>
      <c r="E855" s="24">
        <v>0</v>
      </c>
      <c r="F855" s="24">
        <v>0</v>
      </c>
      <c r="G855" s="24">
        <v>1</v>
      </c>
      <c r="H855" s="24">
        <v>0</v>
      </c>
      <c r="I855" s="24">
        <v>0</v>
      </c>
      <c r="J855" s="24">
        <v>2327</v>
      </c>
      <c r="K855" s="24">
        <v>2</v>
      </c>
      <c r="L855" s="24">
        <v>0</v>
      </c>
      <c r="M855" s="24">
        <v>0</v>
      </c>
      <c r="N855" s="24">
        <v>0</v>
      </c>
      <c r="O855" s="24">
        <v>0</v>
      </c>
      <c r="P855" s="24">
        <v>0</v>
      </c>
      <c r="Q855" s="24">
        <v>1</v>
      </c>
      <c r="R855" s="24">
        <v>0</v>
      </c>
      <c r="S855" s="24">
        <v>25</v>
      </c>
      <c r="T855" s="24">
        <v>0</v>
      </c>
      <c r="U855" s="24">
        <v>0</v>
      </c>
      <c r="V855" s="24">
        <v>1</v>
      </c>
      <c r="W855" s="24">
        <v>1</v>
      </c>
      <c r="X855" s="24">
        <v>1</v>
      </c>
      <c r="Y855" s="24">
        <v>0</v>
      </c>
      <c r="Z855" s="24">
        <v>0</v>
      </c>
      <c r="AA855" s="24">
        <v>0</v>
      </c>
      <c r="AB855" s="24">
        <v>0</v>
      </c>
      <c r="AC855" s="24">
        <v>0</v>
      </c>
      <c r="AD855" s="24">
        <v>1</v>
      </c>
      <c r="AE855" s="24">
        <v>0</v>
      </c>
      <c r="AF855" s="24">
        <v>0</v>
      </c>
      <c r="AG855" s="24">
        <v>0</v>
      </c>
      <c r="AH855" s="24">
        <v>1</v>
      </c>
      <c r="AI855" s="24">
        <v>0</v>
      </c>
      <c r="AJ855" s="24">
        <v>0</v>
      </c>
      <c r="AK855" s="24">
        <v>1</v>
      </c>
      <c r="AL855" s="24">
        <v>0</v>
      </c>
      <c r="AM855" s="24">
        <v>0</v>
      </c>
      <c r="AN855" s="24">
        <v>0</v>
      </c>
      <c r="AO855" s="24">
        <v>0</v>
      </c>
      <c r="AP855" s="24">
        <v>0</v>
      </c>
      <c r="AQ855" s="24">
        <v>1</v>
      </c>
      <c r="AR855" s="24">
        <v>0</v>
      </c>
      <c r="AS855" s="24">
        <v>0</v>
      </c>
      <c r="AT855" s="24">
        <v>0</v>
      </c>
      <c r="AU855" s="24">
        <v>0</v>
      </c>
      <c r="AV855" s="24">
        <v>0</v>
      </c>
      <c r="AW855" s="24">
        <v>1</v>
      </c>
      <c r="AX855" s="24">
        <v>0</v>
      </c>
      <c r="AY855" s="24">
        <v>0</v>
      </c>
      <c r="AZ855" s="24">
        <v>1</v>
      </c>
      <c r="BA855" s="24">
        <v>0</v>
      </c>
      <c r="BB855" s="24">
        <v>0</v>
      </c>
    </row>
    <row r="856" spans="2:54" ht="13.8" x14ac:dyDescent="0.3">
      <c r="B856" s="24">
        <v>836</v>
      </c>
      <c r="C856" s="24">
        <v>12</v>
      </c>
      <c r="D856" s="24">
        <v>1</v>
      </c>
      <c r="E856" s="24">
        <v>0</v>
      </c>
      <c r="F856" s="24">
        <v>0</v>
      </c>
      <c r="G856" s="24">
        <v>0</v>
      </c>
      <c r="H856" s="24">
        <v>0</v>
      </c>
      <c r="I856" s="24">
        <v>0</v>
      </c>
      <c r="J856" s="24">
        <v>1082</v>
      </c>
      <c r="K856" s="24">
        <v>4</v>
      </c>
      <c r="L856" s="24">
        <v>0</v>
      </c>
      <c r="M856" s="24">
        <v>1</v>
      </c>
      <c r="N856" s="24">
        <v>0</v>
      </c>
      <c r="O856" s="24">
        <v>0</v>
      </c>
      <c r="P856" s="24">
        <v>0</v>
      </c>
      <c r="Q856" s="24">
        <v>0</v>
      </c>
      <c r="R856" s="24">
        <v>0</v>
      </c>
      <c r="S856" s="24">
        <v>48</v>
      </c>
      <c r="T856" s="24">
        <v>1</v>
      </c>
      <c r="U856" s="24">
        <v>0</v>
      </c>
      <c r="V856" s="24">
        <v>1</v>
      </c>
      <c r="W856" s="24">
        <v>2</v>
      </c>
      <c r="X856" s="24">
        <v>1</v>
      </c>
      <c r="Y856" s="24">
        <v>0</v>
      </c>
      <c r="Z856" s="24">
        <v>0</v>
      </c>
      <c r="AA856" s="24">
        <v>0</v>
      </c>
      <c r="AB856" s="24">
        <v>1</v>
      </c>
      <c r="AC856" s="24">
        <v>0</v>
      </c>
      <c r="AD856" s="24">
        <v>0</v>
      </c>
      <c r="AE856" s="24">
        <v>0</v>
      </c>
      <c r="AF856" s="24">
        <v>1</v>
      </c>
      <c r="AG856" s="24">
        <v>0</v>
      </c>
      <c r="AH856" s="24">
        <v>0</v>
      </c>
      <c r="AI856" s="24">
        <v>0</v>
      </c>
      <c r="AJ856" s="24">
        <v>0</v>
      </c>
      <c r="AK856" s="24">
        <v>1</v>
      </c>
      <c r="AL856" s="24">
        <v>0</v>
      </c>
      <c r="AM856" s="24">
        <v>0</v>
      </c>
      <c r="AN856" s="24">
        <v>0</v>
      </c>
      <c r="AO856" s="24">
        <v>0</v>
      </c>
      <c r="AP856" s="24">
        <v>0</v>
      </c>
      <c r="AQ856" s="24">
        <v>0</v>
      </c>
      <c r="AR856" s="24">
        <v>1</v>
      </c>
      <c r="AS856" s="24">
        <v>0</v>
      </c>
      <c r="AT856" s="24">
        <v>0</v>
      </c>
      <c r="AU856" s="24">
        <v>0</v>
      </c>
      <c r="AV856" s="24">
        <v>0</v>
      </c>
      <c r="AW856" s="24">
        <v>0</v>
      </c>
      <c r="AX856" s="24">
        <v>1</v>
      </c>
      <c r="AY856" s="24">
        <v>0</v>
      </c>
      <c r="AZ856" s="24">
        <v>0</v>
      </c>
      <c r="BA856" s="24">
        <v>1</v>
      </c>
      <c r="BB856" s="24">
        <v>0</v>
      </c>
    </row>
    <row r="857" spans="2:54" ht="13.8" x14ac:dyDescent="0.3">
      <c r="B857" s="24">
        <v>837</v>
      </c>
      <c r="C857" s="24">
        <v>12</v>
      </c>
      <c r="D857" s="24">
        <v>0</v>
      </c>
      <c r="E857" s="24">
        <v>0</v>
      </c>
      <c r="F857" s="24">
        <v>0</v>
      </c>
      <c r="G857" s="24">
        <v>1</v>
      </c>
      <c r="H857" s="24">
        <v>0</v>
      </c>
      <c r="I857" s="24">
        <v>0</v>
      </c>
      <c r="J857" s="24">
        <v>886</v>
      </c>
      <c r="K857" s="24">
        <v>4</v>
      </c>
      <c r="L857" s="24">
        <v>0</v>
      </c>
      <c r="M857" s="24">
        <v>0</v>
      </c>
      <c r="N857" s="24">
        <v>0</v>
      </c>
      <c r="O857" s="24">
        <v>0</v>
      </c>
      <c r="P857" s="24">
        <v>0</v>
      </c>
      <c r="Q857" s="24">
        <v>0</v>
      </c>
      <c r="R857" s="24">
        <v>0</v>
      </c>
      <c r="S857" s="24">
        <v>21</v>
      </c>
      <c r="T857" s="24">
        <v>0</v>
      </c>
      <c r="U857" s="24">
        <v>0</v>
      </c>
      <c r="V857" s="24">
        <v>1</v>
      </c>
      <c r="W857" s="24">
        <v>1</v>
      </c>
      <c r="X857" s="24">
        <v>1</v>
      </c>
      <c r="Y857" s="24">
        <v>0</v>
      </c>
      <c r="Z857" s="24">
        <v>0</v>
      </c>
      <c r="AA857" s="24">
        <v>1</v>
      </c>
      <c r="AB857" s="24">
        <v>0</v>
      </c>
      <c r="AC857" s="24">
        <v>0</v>
      </c>
      <c r="AD857" s="24">
        <v>0</v>
      </c>
      <c r="AE857" s="24">
        <v>1</v>
      </c>
      <c r="AF857" s="24">
        <v>0</v>
      </c>
      <c r="AG857" s="24">
        <v>0</v>
      </c>
      <c r="AH857" s="24">
        <v>1</v>
      </c>
      <c r="AI857" s="24">
        <v>0</v>
      </c>
      <c r="AJ857" s="24">
        <v>0</v>
      </c>
      <c r="AK857" s="24">
        <v>0</v>
      </c>
      <c r="AL857" s="24">
        <v>0</v>
      </c>
      <c r="AM857" s="24">
        <v>0</v>
      </c>
      <c r="AN857" s="24">
        <v>0</v>
      </c>
      <c r="AO857" s="24">
        <v>1</v>
      </c>
      <c r="AP857" s="24">
        <v>0</v>
      </c>
      <c r="AQ857" s="24">
        <v>0</v>
      </c>
      <c r="AR857" s="24">
        <v>1</v>
      </c>
      <c r="AS857" s="24">
        <v>0</v>
      </c>
      <c r="AT857" s="24">
        <v>0</v>
      </c>
      <c r="AU857" s="24">
        <v>0</v>
      </c>
      <c r="AV857" s="24">
        <v>1</v>
      </c>
      <c r="AW857" s="24">
        <v>0</v>
      </c>
      <c r="AX857" s="24">
        <v>0</v>
      </c>
      <c r="AY857" s="24">
        <v>0</v>
      </c>
      <c r="AZ857" s="24">
        <v>0</v>
      </c>
      <c r="BA857" s="24">
        <v>1</v>
      </c>
      <c r="BB857" s="24">
        <v>0</v>
      </c>
    </row>
    <row r="858" spans="2:54" ht="13.8" x14ac:dyDescent="0.3">
      <c r="B858" s="24">
        <v>838</v>
      </c>
      <c r="C858" s="24">
        <v>4</v>
      </c>
      <c r="D858" s="24">
        <v>0</v>
      </c>
      <c r="E858" s="24">
        <v>0</v>
      </c>
      <c r="F858" s="24">
        <v>1</v>
      </c>
      <c r="G858" s="24">
        <v>0</v>
      </c>
      <c r="H858" s="24">
        <v>0</v>
      </c>
      <c r="I858" s="24">
        <v>0</v>
      </c>
      <c r="J858" s="24">
        <v>601</v>
      </c>
      <c r="K858" s="24">
        <v>1</v>
      </c>
      <c r="L858" s="24">
        <v>0</v>
      </c>
      <c r="M858" s="24">
        <v>0</v>
      </c>
      <c r="N858" s="24">
        <v>0</v>
      </c>
      <c r="O858" s="24">
        <v>0</v>
      </c>
      <c r="P858" s="24">
        <v>0</v>
      </c>
      <c r="Q858" s="24">
        <v>1</v>
      </c>
      <c r="R858" s="24">
        <v>0</v>
      </c>
      <c r="S858" s="24">
        <v>23</v>
      </c>
      <c r="T858" s="24">
        <v>0</v>
      </c>
      <c r="U858" s="24">
        <v>1</v>
      </c>
      <c r="V858" s="24">
        <v>0</v>
      </c>
      <c r="W858" s="24">
        <v>1</v>
      </c>
      <c r="X858" s="24">
        <v>2</v>
      </c>
      <c r="Y858" s="24">
        <v>0</v>
      </c>
      <c r="Z858" s="24">
        <v>0</v>
      </c>
      <c r="AA858" s="24">
        <v>1</v>
      </c>
      <c r="AB858" s="24">
        <v>0</v>
      </c>
      <c r="AC858" s="24">
        <v>0</v>
      </c>
      <c r="AD858" s="24">
        <v>0</v>
      </c>
      <c r="AE858" s="24">
        <v>1</v>
      </c>
      <c r="AF858" s="24">
        <v>0</v>
      </c>
      <c r="AG858" s="24">
        <v>0</v>
      </c>
      <c r="AH858" s="24">
        <v>1</v>
      </c>
      <c r="AI858" s="24">
        <v>0</v>
      </c>
      <c r="AJ858" s="24">
        <v>0</v>
      </c>
      <c r="AK858" s="24">
        <v>1</v>
      </c>
      <c r="AL858" s="24">
        <v>0</v>
      </c>
      <c r="AM858" s="24">
        <v>0</v>
      </c>
      <c r="AN858" s="24">
        <v>0</v>
      </c>
      <c r="AO858" s="24">
        <v>0</v>
      </c>
      <c r="AP858" s="24">
        <v>0</v>
      </c>
      <c r="AQ858" s="24">
        <v>1</v>
      </c>
      <c r="AR858" s="24">
        <v>0</v>
      </c>
      <c r="AS858" s="24">
        <v>0</v>
      </c>
      <c r="AT858" s="24">
        <v>0</v>
      </c>
      <c r="AU858" s="24">
        <v>0</v>
      </c>
      <c r="AV858" s="24">
        <v>0</v>
      </c>
      <c r="AW858" s="24">
        <v>1</v>
      </c>
      <c r="AX858" s="24">
        <v>0</v>
      </c>
      <c r="AY858" s="24">
        <v>0</v>
      </c>
      <c r="AZ858" s="24">
        <v>1</v>
      </c>
      <c r="BA858" s="24">
        <v>0</v>
      </c>
      <c r="BB858" s="24">
        <v>0</v>
      </c>
    </row>
    <row r="859" spans="2:54" ht="13.8" x14ac:dyDescent="0.3">
      <c r="B859" s="24">
        <v>839</v>
      </c>
      <c r="C859" s="24">
        <v>24</v>
      </c>
      <c r="D859" s="24">
        <v>0</v>
      </c>
      <c r="E859" s="24">
        <v>1</v>
      </c>
      <c r="F859" s="24">
        <v>0</v>
      </c>
      <c r="G859" s="24">
        <v>0</v>
      </c>
      <c r="H859" s="24">
        <v>0</v>
      </c>
      <c r="I859" s="24">
        <v>0</v>
      </c>
      <c r="J859" s="24">
        <v>2957</v>
      </c>
      <c r="K859" s="24">
        <v>4</v>
      </c>
      <c r="L859" s="24">
        <v>0</v>
      </c>
      <c r="M859" s="24">
        <v>1</v>
      </c>
      <c r="N859" s="24">
        <v>0</v>
      </c>
      <c r="O859" s="24">
        <v>0</v>
      </c>
      <c r="P859" s="24">
        <v>0</v>
      </c>
      <c r="Q859" s="24">
        <v>0</v>
      </c>
      <c r="R859" s="24">
        <v>0</v>
      </c>
      <c r="S859" s="24">
        <v>63</v>
      </c>
      <c r="T859" s="24">
        <v>0</v>
      </c>
      <c r="U859" s="24">
        <v>0</v>
      </c>
      <c r="V859" s="24">
        <v>1</v>
      </c>
      <c r="W859" s="24">
        <v>2</v>
      </c>
      <c r="X859" s="24">
        <v>1</v>
      </c>
      <c r="Y859" s="24">
        <v>1</v>
      </c>
      <c r="Z859" s="24">
        <v>0</v>
      </c>
      <c r="AA859" s="24">
        <v>1</v>
      </c>
      <c r="AB859" s="24">
        <v>1</v>
      </c>
      <c r="AC859" s="24">
        <v>0</v>
      </c>
      <c r="AD859" s="24">
        <v>0</v>
      </c>
      <c r="AE859" s="24">
        <v>0</v>
      </c>
      <c r="AF859" s="24">
        <v>0</v>
      </c>
      <c r="AG859" s="24">
        <v>0</v>
      </c>
      <c r="AH859" s="24">
        <v>0</v>
      </c>
      <c r="AI859" s="24">
        <v>0</v>
      </c>
      <c r="AJ859" s="24">
        <v>1</v>
      </c>
      <c r="AK859" s="24">
        <v>1</v>
      </c>
      <c r="AL859" s="24">
        <v>0</v>
      </c>
      <c r="AM859" s="24">
        <v>0</v>
      </c>
      <c r="AN859" s="24">
        <v>0</v>
      </c>
      <c r="AO859" s="24">
        <v>0</v>
      </c>
      <c r="AP859" s="24">
        <v>0</v>
      </c>
      <c r="AQ859" s="24">
        <v>0</v>
      </c>
      <c r="AR859" s="24">
        <v>0</v>
      </c>
      <c r="AS859" s="24">
        <v>0</v>
      </c>
      <c r="AT859" s="24">
        <v>1</v>
      </c>
      <c r="AU859" s="24">
        <v>0</v>
      </c>
      <c r="AV859" s="24">
        <v>0</v>
      </c>
      <c r="AW859" s="24">
        <v>0</v>
      </c>
      <c r="AX859" s="24">
        <v>1</v>
      </c>
      <c r="AY859" s="24">
        <v>0</v>
      </c>
      <c r="AZ859" s="24">
        <v>0</v>
      </c>
      <c r="BA859" s="24">
        <v>1</v>
      </c>
      <c r="BB859" s="24">
        <v>0</v>
      </c>
    </row>
    <row r="860" spans="2:54" ht="13.8" x14ac:dyDescent="0.3">
      <c r="B860" s="24">
        <v>840</v>
      </c>
      <c r="C860" s="24">
        <v>24</v>
      </c>
      <c r="D860" s="24">
        <v>0</v>
      </c>
      <c r="E860" s="24">
        <v>0</v>
      </c>
      <c r="F860" s="24">
        <v>0</v>
      </c>
      <c r="G860" s="24">
        <v>1</v>
      </c>
      <c r="H860" s="24">
        <v>0</v>
      </c>
      <c r="I860" s="24">
        <v>0</v>
      </c>
      <c r="J860" s="24">
        <v>2611</v>
      </c>
      <c r="K860" s="24">
        <v>4</v>
      </c>
      <c r="L860" s="24">
        <v>0</v>
      </c>
      <c r="M860" s="24">
        <v>0</v>
      </c>
      <c r="N860" s="24">
        <v>1</v>
      </c>
      <c r="O860" s="24">
        <v>1</v>
      </c>
      <c r="P860" s="24">
        <v>0</v>
      </c>
      <c r="Q860" s="24">
        <v>1</v>
      </c>
      <c r="R860" s="24">
        <v>0</v>
      </c>
      <c r="S860" s="24">
        <v>46</v>
      </c>
      <c r="T860" s="24">
        <v>0</v>
      </c>
      <c r="U860" s="24">
        <v>0</v>
      </c>
      <c r="V860" s="24">
        <v>1</v>
      </c>
      <c r="W860" s="24">
        <v>2</v>
      </c>
      <c r="X860" s="24">
        <v>1</v>
      </c>
      <c r="Y860" s="24">
        <v>0</v>
      </c>
      <c r="Z860" s="24">
        <v>0</v>
      </c>
      <c r="AA860" s="24">
        <v>1</v>
      </c>
      <c r="AB860" s="24">
        <v>0</v>
      </c>
      <c r="AC860" s="24">
        <v>0</v>
      </c>
      <c r="AD860" s="24">
        <v>0</v>
      </c>
      <c r="AE860" s="24">
        <v>1</v>
      </c>
      <c r="AF860" s="24">
        <v>0</v>
      </c>
      <c r="AG860" s="24">
        <v>0</v>
      </c>
      <c r="AH860" s="24">
        <v>0</v>
      </c>
      <c r="AI860" s="24">
        <v>0</v>
      </c>
      <c r="AJ860" s="24">
        <v>1</v>
      </c>
      <c r="AK860" s="24">
        <v>1</v>
      </c>
      <c r="AL860" s="24">
        <v>0</v>
      </c>
      <c r="AM860" s="24">
        <v>0</v>
      </c>
      <c r="AN860" s="24">
        <v>0</v>
      </c>
      <c r="AO860" s="24">
        <v>0</v>
      </c>
      <c r="AP860" s="24">
        <v>0</v>
      </c>
      <c r="AQ860" s="24">
        <v>0</v>
      </c>
      <c r="AR860" s="24">
        <v>0</v>
      </c>
      <c r="AS860" s="24">
        <v>0</v>
      </c>
      <c r="AT860" s="24">
        <v>1</v>
      </c>
      <c r="AU860" s="24">
        <v>0</v>
      </c>
      <c r="AV860" s="24">
        <v>0</v>
      </c>
      <c r="AW860" s="24">
        <v>1</v>
      </c>
      <c r="AX860" s="24">
        <v>0</v>
      </c>
      <c r="AY860" s="24">
        <v>0</v>
      </c>
      <c r="AZ860" s="24">
        <v>0</v>
      </c>
      <c r="BA860" s="24">
        <v>1</v>
      </c>
      <c r="BB860" s="24">
        <v>0</v>
      </c>
    </row>
    <row r="861" spans="2:54" ht="13.8" x14ac:dyDescent="0.3">
      <c r="B861" s="24">
        <v>841</v>
      </c>
      <c r="C861" s="24">
        <v>36</v>
      </c>
      <c r="D861" s="24">
        <v>0</v>
      </c>
      <c r="E861" s="24">
        <v>0</v>
      </c>
      <c r="F861" s="24">
        <v>1</v>
      </c>
      <c r="G861" s="24">
        <v>0</v>
      </c>
      <c r="H861" s="24">
        <v>0</v>
      </c>
      <c r="I861" s="24">
        <v>0</v>
      </c>
      <c r="J861" s="24">
        <v>5179</v>
      </c>
      <c r="K861" s="24">
        <v>4</v>
      </c>
      <c r="L861" s="24">
        <v>0</v>
      </c>
      <c r="M861" s="24">
        <v>1</v>
      </c>
      <c r="N861" s="24">
        <v>0</v>
      </c>
      <c r="O861" s="24">
        <v>0</v>
      </c>
      <c r="P861" s="24">
        <v>0</v>
      </c>
      <c r="Q861" s="24">
        <v>0</v>
      </c>
      <c r="R861" s="24">
        <v>0</v>
      </c>
      <c r="S861" s="24">
        <v>29</v>
      </c>
      <c r="T861" s="24">
        <v>0</v>
      </c>
      <c r="U861" s="24">
        <v>0</v>
      </c>
      <c r="V861" s="24">
        <v>1</v>
      </c>
      <c r="W861" s="24">
        <v>1</v>
      </c>
      <c r="X861" s="24">
        <v>1</v>
      </c>
      <c r="Y861" s="24">
        <v>0</v>
      </c>
      <c r="Z861" s="24">
        <v>0</v>
      </c>
      <c r="AA861" s="24">
        <v>0</v>
      </c>
      <c r="AB861" s="24">
        <v>1</v>
      </c>
      <c r="AC861" s="24">
        <v>0</v>
      </c>
      <c r="AD861" s="24">
        <v>0</v>
      </c>
      <c r="AE861" s="24">
        <v>0</v>
      </c>
      <c r="AF861" s="24">
        <v>0</v>
      </c>
      <c r="AG861" s="24">
        <v>0</v>
      </c>
      <c r="AH861" s="24">
        <v>1</v>
      </c>
      <c r="AI861" s="24">
        <v>0</v>
      </c>
      <c r="AJ861" s="24">
        <v>0</v>
      </c>
      <c r="AK861" s="24">
        <v>1</v>
      </c>
      <c r="AL861" s="24">
        <v>0</v>
      </c>
      <c r="AM861" s="24">
        <v>0</v>
      </c>
      <c r="AN861" s="24">
        <v>0</v>
      </c>
      <c r="AO861" s="24">
        <v>0</v>
      </c>
      <c r="AP861" s="24">
        <v>0</v>
      </c>
      <c r="AQ861" s="24">
        <v>0</v>
      </c>
      <c r="AR861" s="24">
        <v>0</v>
      </c>
      <c r="AS861" s="24">
        <v>1</v>
      </c>
      <c r="AT861" s="24">
        <v>0</v>
      </c>
      <c r="AU861" s="24">
        <v>0</v>
      </c>
      <c r="AV861" s="24">
        <v>1</v>
      </c>
      <c r="AW861" s="24">
        <v>0</v>
      </c>
      <c r="AX861" s="24">
        <v>0</v>
      </c>
      <c r="AY861" s="24">
        <v>0</v>
      </c>
      <c r="AZ861" s="24">
        <v>0</v>
      </c>
      <c r="BA861" s="24">
        <v>1</v>
      </c>
      <c r="BB861" s="24">
        <v>0</v>
      </c>
    </row>
    <row r="862" spans="2:54" ht="13.8" x14ac:dyDescent="0.3">
      <c r="B862" s="24">
        <v>842</v>
      </c>
      <c r="C862" s="24">
        <v>21</v>
      </c>
      <c r="D862" s="24">
        <v>0</v>
      </c>
      <c r="E862" s="24">
        <v>1</v>
      </c>
      <c r="F862" s="24">
        <v>0</v>
      </c>
      <c r="G862" s="24">
        <v>0</v>
      </c>
      <c r="H862" s="24">
        <v>0</v>
      </c>
      <c r="I862" s="24">
        <v>0</v>
      </c>
      <c r="J862" s="24">
        <v>2993</v>
      </c>
      <c r="K862" s="24">
        <v>3</v>
      </c>
      <c r="L862" s="24">
        <v>0</v>
      </c>
      <c r="M862" s="24">
        <v>1</v>
      </c>
      <c r="N862" s="24">
        <v>0</v>
      </c>
      <c r="O862" s="24">
        <v>0</v>
      </c>
      <c r="P862" s="24">
        <v>0</v>
      </c>
      <c r="Q862" s="24">
        <v>1</v>
      </c>
      <c r="R862" s="24">
        <v>0</v>
      </c>
      <c r="S862" s="24">
        <v>28</v>
      </c>
      <c r="T862" s="24">
        <v>1</v>
      </c>
      <c r="U862" s="24">
        <v>0</v>
      </c>
      <c r="V862" s="24">
        <v>1</v>
      </c>
      <c r="W862" s="24">
        <v>2</v>
      </c>
      <c r="X862" s="24">
        <v>1</v>
      </c>
      <c r="Y862" s="24">
        <v>0</v>
      </c>
      <c r="Z862" s="24">
        <v>0</v>
      </c>
      <c r="AA862" s="24">
        <v>1</v>
      </c>
      <c r="AB862" s="24">
        <v>0</v>
      </c>
      <c r="AC862" s="24">
        <v>0</v>
      </c>
      <c r="AD862" s="24">
        <v>0</v>
      </c>
      <c r="AE862" s="24">
        <v>1</v>
      </c>
      <c r="AF862" s="24">
        <v>0</v>
      </c>
      <c r="AG862" s="24">
        <v>0</v>
      </c>
      <c r="AH862" s="24">
        <v>0</v>
      </c>
      <c r="AI862" s="24">
        <v>1</v>
      </c>
      <c r="AJ862" s="24">
        <v>0</v>
      </c>
      <c r="AK862" s="24">
        <v>1</v>
      </c>
      <c r="AL862" s="24">
        <v>0</v>
      </c>
      <c r="AM862" s="24">
        <v>0</v>
      </c>
      <c r="AN862" s="24">
        <v>0</v>
      </c>
      <c r="AO862" s="24">
        <v>0</v>
      </c>
      <c r="AP862" s="24">
        <v>0</v>
      </c>
      <c r="AQ862" s="24">
        <v>0</v>
      </c>
      <c r="AR862" s="24">
        <v>1</v>
      </c>
      <c r="AS862" s="24">
        <v>0</v>
      </c>
      <c r="AT862" s="24">
        <v>0</v>
      </c>
      <c r="AU862" s="24">
        <v>0</v>
      </c>
      <c r="AV862" s="24">
        <v>1</v>
      </c>
      <c r="AW862" s="24">
        <v>0</v>
      </c>
      <c r="AX862" s="24">
        <v>0</v>
      </c>
      <c r="AY862" s="24">
        <v>0</v>
      </c>
      <c r="AZ862" s="24">
        <v>1</v>
      </c>
      <c r="BA862" s="24">
        <v>0</v>
      </c>
      <c r="BB862" s="24">
        <v>0</v>
      </c>
    </row>
    <row r="863" spans="2:54" ht="13.8" x14ac:dyDescent="0.3">
      <c r="B863" s="24">
        <v>843</v>
      </c>
      <c r="C863" s="24">
        <v>18</v>
      </c>
      <c r="D863" s="24">
        <v>0</v>
      </c>
      <c r="E863" s="24">
        <v>0</v>
      </c>
      <c r="F863" s="24">
        <v>0</v>
      </c>
      <c r="G863" s="24">
        <v>0</v>
      </c>
      <c r="H863" s="24">
        <v>0</v>
      </c>
      <c r="I863" s="24">
        <v>0</v>
      </c>
      <c r="J863" s="24">
        <v>1943</v>
      </c>
      <c r="K863" s="24">
        <v>4</v>
      </c>
      <c r="L863" s="24">
        <v>0</v>
      </c>
      <c r="M863" s="24">
        <v>0</v>
      </c>
      <c r="N863" s="24">
        <v>0</v>
      </c>
      <c r="O863" s="24">
        <v>0</v>
      </c>
      <c r="P863" s="24">
        <v>0</v>
      </c>
      <c r="Q863" s="24">
        <v>1</v>
      </c>
      <c r="R863" s="24">
        <v>0</v>
      </c>
      <c r="S863" s="24">
        <v>23</v>
      </c>
      <c r="T863" s="24">
        <v>0</v>
      </c>
      <c r="U863" s="24">
        <v>0</v>
      </c>
      <c r="V863" s="24">
        <v>1</v>
      </c>
      <c r="W863" s="24">
        <v>1</v>
      </c>
      <c r="X863" s="24">
        <v>1</v>
      </c>
      <c r="Y863" s="24">
        <v>0</v>
      </c>
      <c r="Z863" s="24">
        <v>0</v>
      </c>
      <c r="AA863" s="24">
        <v>0</v>
      </c>
      <c r="AB863" s="24">
        <v>0</v>
      </c>
      <c r="AC863" s="24">
        <v>0</v>
      </c>
      <c r="AD863" s="24">
        <v>0</v>
      </c>
      <c r="AE863" s="24">
        <v>1</v>
      </c>
      <c r="AF863" s="24">
        <v>0</v>
      </c>
      <c r="AG863" s="24">
        <v>0</v>
      </c>
      <c r="AH863" s="24">
        <v>1</v>
      </c>
      <c r="AI863" s="24">
        <v>0</v>
      </c>
      <c r="AJ863" s="24">
        <v>0</v>
      </c>
      <c r="AK863" s="24">
        <v>1</v>
      </c>
      <c r="AL863" s="24">
        <v>0</v>
      </c>
      <c r="AM863" s="24">
        <v>0</v>
      </c>
      <c r="AN863" s="24">
        <v>0</v>
      </c>
      <c r="AO863" s="24">
        <v>0</v>
      </c>
      <c r="AP863" s="24">
        <v>0</v>
      </c>
      <c r="AQ863" s="24">
        <v>1</v>
      </c>
      <c r="AR863" s="24">
        <v>0</v>
      </c>
      <c r="AS863" s="24">
        <v>0</v>
      </c>
      <c r="AT863" s="24">
        <v>0</v>
      </c>
      <c r="AU863" s="24">
        <v>0</v>
      </c>
      <c r="AV863" s="24">
        <v>0</v>
      </c>
      <c r="AW863" s="24">
        <v>0</v>
      </c>
      <c r="AX863" s="24">
        <v>1</v>
      </c>
      <c r="AY863" s="24">
        <v>0</v>
      </c>
      <c r="AZ863" s="24">
        <v>0</v>
      </c>
      <c r="BA863" s="24">
        <v>1</v>
      </c>
      <c r="BB863" s="24">
        <v>0</v>
      </c>
    </row>
    <row r="864" spans="2:54" ht="13.8" x14ac:dyDescent="0.3">
      <c r="B864" s="24">
        <v>844</v>
      </c>
      <c r="C864" s="24">
        <v>24</v>
      </c>
      <c r="D864" s="24">
        <v>0</v>
      </c>
      <c r="E864" s="24">
        <v>0</v>
      </c>
      <c r="F864" s="24">
        <v>0</v>
      </c>
      <c r="G864" s="24">
        <v>0</v>
      </c>
      <c r="H864" s="24">
        <v>0</v>
      </c>
      <c r="I864" s="24">
        <v>1</v>
      </c>
      <c r="J864" s="24">
        <v>1559</v>
      </c>
      <c r="K864" s="24">
        <v>4</v>
      </c>
      <c r="L864" s="24">
        <v>0</v>
      </c>
      <c r="M864" s="24">
        <v>1</v>
      </c>
      <c r="N864" s="24">
        <v>0</v>
      </c>
      <c r="O864" s="24">
        <v>0</v>
      </c>
      <c r="P864" s="24">
        <v>0</v>
      </c>
      <c r="Q864" s="24">
        <v>0</v>
      </c>
      <c r="R864" s="24">
        <v>0</v>
      </c>
      <c r="S864" s="24">
        <v>50</v>
      </c>
      <c r="T864" s="24">
        <v>1</v>
      </c>
      <c r="U864" s="24">
        <v>0</v>
      </c>
      <c r="V864" s="24">
        <v>1</v>
      </c>
      <c r="W864" s="24">
        <v>1</v>
      </c>
      <c r="X864" s="24">
        <v>1</v>
      </c>
      <c r="Y864" s="24">
        <v>1</v>
      </c>
      <c r="Z864" s="24">
        <v>0</v>
      </c>
      <c r="AA864" s="24">
        <v>1</v>
      </c>
      <c r="AB864" s="24">
        <v>0</v>
      </c>
      <c r="AC864" s="24">
        <v>0</v>
      </c>
      <c r="AD864" s="24">
        <v>0</v>
      </c>
      <c r="AE864" s="24">
        <v>1</v>
      </c>
      <c r="AF864" s="24">
        <v>0</v>
      </c>
      <c r="AG864" s="24">
        <v>1</v>
      </c>
      <c r="AH864" s="24">
        <v>0</v>
      </c>
      <c r="AI864" s="24">
        <v>0</v>
      </c>
      <c r="AJ864" s="24">
        <v>0</v>
      </c>
      <c r="AK864" s="24">
        <v>1</v>
      </c>
      <c r="AL864" s="24">
        <v>0</v>
      </c>
      <c r="AM864" s="24">
        <v>0</v>
      </c>
      <c r="AN864" s="24">
        <v>0</v>
      </c>
      <c r="AO864" s="24">
        <v>0</v>
      </c>
      <c r="AP864" s="24">
        <v>0</v>
      </c>
      <c r="AQ864" s="24">
        <v>0</v>
      </c>
      <c r="AR864" s="24">
        <v>0</v>
      </c>
      <c r="AS864" s="24">
        <v>1</v>
      </c>
      <c r="AT864" s="24">
        <v>0</v>
      </c>
      <c r="AU864" s="24">
        <v>0</v>
      </c>
      <c r="AV864" s="24">
        <v>0</v>
      </c>
      <c r="AW864" s="24">
        <v>0</v>
      </c>
      <c r="AX864" s="24">
        <v>1</v>
      </c>
      <c r="AY864" s="24">
        <v>0</v>
      </c>
      <c r="AZ864" s="24">
        <v>0</v>
      </c>
      <c r="BA864" s="24">
        <v>1</v>
      </c>
      <c r="BB864" s="24">
        <v>0</v>
      </c>
    </row>
    <row r="865" spans="2:54" ht="13.8" x14ac:dyDescent="0.3">
      <c r="B865" s="24">
        <v>845</v>
      </c>
      <c r="C865" s="24">
        <v>18</v>
      </c>
      <c r="D865" s="24">
        <v>0</v>
      </c>
      <c r="E865" s="24">
        <v>0</v>
      </c>
      <c r="F865" s="24">
        <v>1</v>
      </c>
      <c r="G865" s="24">
        <v>0</v>
      </c>
      <c r="H865" s="24">
        <v>0</v>
      </c>
      <c r="I865" s="24">
        <v>0</v>
      </c>
      <c r="J865" s="24">
        <v>3422</v>
      </c>
      <c r="K865" s="24">
        <v>4</v>
      </c>
      <c r="L865" s="24">
        <v>0</v>
      </c>
      <c r="M865" s="24">
        <v>1</v>
      </c>
      <c r="N865" s="24">
        <v>0</v>
      </c>
      <c r="O865" s="24">
        <v>0</v>
      </c>
      <c r="P865" s="24">
        <v>0</v>
      </c>
      <c r="Q865" s="24">
        <v>0</v>
      </c>
      <c r="R865" s="24">
        <v>0</v>
      </c>
      <c r="S865" s="24">
        <v>47</v>
      </c>
      <c r="T865" s="24">
        <v>1</v>
      </c>
      <c r="U865" s="24">
        <v>0</v>
      </c>
      <c r="V865" s="24">
        <v>1</v>
      </c>
      <c r="W865" s="24">
        <v>3</v>
      </c>
      <c r="X865" s="24">
        <v>2</v>
      </c>
      <c r="Y865" s="24">
        <v>1</v>
      </c>
      <c r="Z865" s="24">
        <v>0</v>
      </c>
      <c r="AA865" s="24">
        <v>1</v>
      </c>
      <c r="AB865" s="24">
        <v>0</v>
      </c>
      <c r="AC865" s="24">
        <v>0</v>
      </c>
      <c r="AD865" s="24">
        <v>0</v>
      </c>
      <c r="AE865" s="24">
        <v>1</v>
      </c>
      <c r="AF865" s="24">
        <v>0</v>
      </c>
      <c r="AG865" s="24">
        <v>0</v>
      </c>
      <c r="AH865" s="24">
        <v>1</v>
      </c>
      <c r="AI865" s="24">
        <v>0</v>
      </c>
      <c r="AJ865" s="24">
        <v>0</v>
      </c>
      <c r="AK865" s="24">
        <v>1</v>
      </c>
      <c r="AL865" s="24">
        <v>0</v>
      </c>
      <c r="AM865" s="24">
        <v>0</v>
      </c>
      <c r="AN865" s="24">
        <v>0</v>
      </c>
      <c r="AO865" s="24">
        <v>0</v>
      </c>
      <c r="AP865" s="24">
        <v>0</v>
      </c>
      <c r="AQ865" s="24">
        <v>0</v>
      </c>
      <c r="AR865" s="24">
        <v>0</v>
      </c>
      <c r="AS865" s="24">
        <v>0</v>
      </c>
      <c r="AT865" s="24">
        <v>1</v>
      </c>
      <c r="AU865" s="24">
        <v>0</v>
      </c>
      <c r="AV865" s="24">
        <v>0</v>
      </c>
      <c r="AW865" s="24">
        <v>0</v>
      </c>
      <c r="AX865" s="24">
        <v>1</v>
      </c>
      <c r="AY865" s="24">
        <v>0</v>
      </c>
      <c r="AZ865" s="24">
        <v>0</v>
      </c>
      <c r="BA865" s="24">
        <v>1</v>
      </c>
      <c r="BB865" s="24">
        <v>0</v>
      </c>
    </row>
    <row r="866" spans="2:54" ht="13.8" x14ac:dyDescent="0.3">
      <c r="B866" s="24">
        <v>846</v>
      </c>
      <c r="C866" s="24">
        <v>21</v>
      </c>
      <c r="D866" s="24">
        <v>0</v>
      </c>
      <c r="E866" s="24">
        <v>0</v>
      </c>
      <c r="F866" s="24">
        <v>1</v>
      </c>
      <c r="G866" s="24">
        <v>0</v>
      </c>
      <c r="H866" s="24">
        <v>0</v>
      </c>
      <c r="I866" s="24">
        <v>0</v>
      </c>
      <c r="J866" s="24">
        <v>3976</v>
      </c>
      <c r="K866" s="24">
        <v>2</v>
      </c>
      <c r="L866" s="24">
        <v>0</v>
      </c>
      <c r="M866" s="24">
        <v>1</v>
      </c>
      <c r="N866" s="24">
        <v>0</v>
      </c>
      <c r="O866" s="24">
        <v>0</v>
      </c>
      <c r="P866" s="24">
        <v>0</v>
      </c>
      <c r="Q866" s="24">
        <v>0</v>
      </c>
      <c r="R866" s="24">
        <v>0</v>
      </c>
      <c r="S866" s="24">
        <v>35</v>
      </c>
      <c r="T866" s="24">
        <v>0</v>
      </c>
      <c r="U866" s="24">
        <v>0</v>
      </c>
      <c r="V866" s="24">
        <v>1</v>
      </c>
      <c r="W866" s="24">
        <v>1</v>
      </c>
      <c r="X866" s="24">
        <v>1</v>
      </c>
      <c r="Y866" s="24">
        <v>1</v>
      </c>
      <c r="Z866" s="24">
        <v>0</v>
      </c>
      <c r="AA866" s="24">
        <v>1</v>
      </c>
      <c r="AB866" s="24">
        <v>0</v>
      </c>
      <c r="AC866" s="24">
        <v>1</v>
      </c>
      <c r="AD866" s="24">
        <v>0</v>
      </c>
      <c r="AE866" s="24">
        <v>0</v>
      </c>
      <c r="AF866" s="24">
        <v>0</v>
      </c>
      <c r="AG866" s="24">
        <v>0</v>
      </c>
      <c r="AH866" s="24">
        <v>1</v>
      </c>
      <c r="AI866" s="24">
        <v>0</v>
      </c>
      <c r="AJ866" s="24">
        <v>0</v>
      </c>
      <c r="AK866" s="24">
        <v>0</v>
      </c>
      <c r="AL866" s="24">
        <v>0</v>
      </c>
      <c r="AM866" s="24">
        <v>0</v>
      </c>
      <c r="AN866" s="24">
        <v>0</v>
      </c>
      <c r="AO866" s="24">
        <v>1</v>
      </c>
      <c r="AP866" s="24">
        <v>0</v>
      </c>
      <c r="AQ866" s="24">
        <v>0</v>
      </c>
      <c r="AR866" s="24">
        <v>0</v>
      </c>
      <c r="AS866" s="24">
        <v>1</v>
      </c>
      <c r="AT866" s="24">
        <v>0</v>
      </c>
      <c r="AU866" s="24">
        <v>0</v>
      </c>
      <c r="AV866" s="24">
        <v>0</v>
      </c>
      <c r="AW866" s="24">
        <v>1</v>
      </c>
      <c r="AX866" s="24">
        <v>0</v>
      </c>
      <c r="AY866" s="24">
        <v>0</v>
      </c>
      <c r="AZ866" s="24">
        <v>0</v>
      </c>
      <c r="BA866" s="24">
        <v>1</v>
      </c>
      <c r="BB866" s="24">
        <v>0</v>
      </c>
    </row>
    <row r="867" spans="2:54" ht="13.8" x14ac:dyDescent="0.3">
      <c r="B867" s="24">
        <v>847</v>
      </c>
      <c r="C867" s="24">
        <v>18</v>
      </c>
      <c r="D867" s="24">
        <v>1</v>
      </c>
      <c r="E867" s="24">
        <v>0</v>
      </c>
      <c r="F867" s="24">
        <v>0</v>
      </c>
      <c r="G867" s="24">
        <v>0</v>
      </c>
      <c r="H867" s="24">
        <v>0</v>
      </c>
      <c r="I867" s="24">
        <v>0</v>
      </c>
      <c r="J867" s="24">
        <v>6761</v>
      </c>
      <c r="K867" s="24">
        <v>2</v>
      </c>
      <c r="L867" s="24">
        <v>0</v>
      </c>
      <c r="M867" s="24">
        <v>1</v>
      </c>
      <c r="N867" s="24">
        <v>0</v>
      </c>
      <c r="O867" s="24">
        <v>0</v>
      </c>
      <c r="P867" s="24">
        <v>0</v>
      </c>
      <c r="Q867" s="24">
        <v>0</v>
      </c>
      <c r="R867" s="24">
        <v>0</v>
      </c>
      <c r="S867" s="24">
        <v>68</v>
      </c>
      <c r="T867" s="24">
        <v>0</v>
      </c>
      <c r="U867" s="24">
        <v>1</v>
      </c>
      <c r="V867" s="24">
        <v>0</v>
      </c>
      <c r="W867" s="24">
        <v>2</v>
      </c>
      <c r="X867" s="24">
        <v>1</v>
      </c>
      <c r="Y867" s="24">
        <v>0</v>
      </c>
      <c r="Z867" s="24">
        <v>0</v>
      </c>
      <c r="AA867" s="24">
        <v>0</v>
      </c>
      <c r="AB867" s="24">
        <v>0</v>
      </c>
      <c r="AC867" s="24">
        <v>0</v>
      </c>
      <c r="AD867" s="24">
        <v>0</v>
      </c>
      <c r="AE867" s="24">
        <v>1</v>
      </c>
      <c r="AF867" s="24">
        <v>0</v>
      </c>
      <c r="AG867" s="24">
        <v>0</v>
      </c>
      <c r="AH867" s="24">
        <v>1</v>
      </c>
      <c r="AI867" s="24">
        <v>0</v>
      </c>
      <c r="AJ867" s="24">
        <v>0</v>
      </c>
      <c r="AK867" s="24">
        <v>0</v>
      </c>
      <c r="AL867" s="24">
        <v>0</v>
      </c>
      <c r="AM867" s="24">
        <v>0</v>
      </c>
      <c r="AN867" s="24">
        <v>0</v>
      </c>
      <c r="AO867" s="24">
        <v>1</v>
      </c>
      <c r="AP867" s="24">
        <v>0</v>
      </c>
      <c r="AQ867" s="24">
        <v>0</v>
      </c>
      <c r="AR867" s="24">
        <v>1</v>
      </c>
      <c r="AS867" s="24">
        <v>0</v>
      </c>
      <c r="AT867" s="24">
        <v>0</v>
      </c>
      <c r="AU867" s="24">
        <v>0</v>
      </c>
      <c r="AV867" s="24">
        <v>0</v>
      </c>
      <c r="AW867" s="24">
        <v>0</v>
      </c>
      <c r="AX867" s="24">
        <v>1</v>
      </c>
      <c r="AY867" s="24">
        <v>0</v>
      </c>
      <c r="AZ867" s="24">
        <v>0</v>
      </c>
      <c r="BA867" s="24">
        <v>1</v>
      </c>
      <c r="BB867" s="24">
        <v>0</v>
      </c>
    </row>
    <row r="868" spans="2:54" ht="13.8" x14ac:dyDescent="0.3">
      <c r="B868" s="24">
        <v>848</v>
      </c>
      <c r="C868" s="24">
        <v>24</v>
      </c>
      <c r="D868" s="24">
        <v>1</v>
      </c>
      <c r="E868" s="24">
        <v>0</v>
      </c>
      <c r="F868" s="24">
        <v>0</v>
      </c>
      <c r="G868" s="24">
        <v>0</v>
      </c>
      <c r="H868" s="24">
        <v>0</v>
      </c>
      <c r="I868" s="24">
        <v>0</v>
      </c>
      <c r="J868" s="24">
        <v>1249</v>
      </c>
      <c r="K868" s="24">
        <v>4</v>
      </c>
      <c r="L868" s="24">
        <v>0</v>
      </c>
      <c r="M868" s="24">
        <v>0</v>
      </c>
      <c r="N868" s="24">
        <v>1</v>
      </c>
      <c r="O868" s="24">
        <v>0</v>
      </c>
      <c r="P868" s="24">
        <v>0</v>
      </c>
      <c r="Q868" s="24">
        <v>1</v>
      </c>
      <c r="R868" s="24">
        <v>0</v>
      </c>
      <c r="S868" s="24">
        <v>28</v>
      </c>
      <c r="T868" s="24">
        <v>0</v>
      </c>
      <c r="U868" s="24">
        <v>0</v>
      </c>
      <c r="V868" s="24">
        <v>1</v>
      </c>
      <c r="W868" s="24">
        <v>1</v>
      </c>
      <c r="X868" s="24">
        <v>1</v>
      </c>
      <c r="Y868" s="24">
        <v>0</v>
      </c>
      <c r="Z868" s="24">
        <v>0</v>
      </c>
      <c r="AA868" s="24">
        <v>1</v>
      </c>
      <c r="AB868" s="24">
        <v>0</v>
      </c>
      <c r="AC868" s="24">
        <v>0</v>
      </c>
      <c r="AD868" s="24">
        <v>0</v>
      </c>
      <c r="AE868" s="24">
        <v>1</v>
      </c>
      <c r="AF868" s="24">
        <v>0</v>
      </c>
      <c r="AG868" s="24">
        <v>0</v>
      </c>
      <c r="AH868" s="24">
        <v>1</v>
      </c>
      <c r="AI868" s="24">
        <v>0</v>
      </c>
      <c r="AJ868" s="24">
        <v>0</v>
      </c>
      <c r="AK868" s="24">
        <v>1</v>
      </c>
      <c r="AL868" s="24">
        <v>0</v>
      </c>
      <c r="AM868" s="24">
        <v>0</v>
      </c>
      <c r="AN868" s="24">
        <v>0</v>
      </c>
      <c r="AO868" s="24">
        <v>0</v>
      </c>
      <c r="AP868" s="24">
        <v>0</v>
      </c>
      <c r="AQ868" s="24">
        <v>1</v>
      </c>
      <c r="AR868" s="24">
        <v>0</v>
      </c>
      <c r="AS868" s="24">
        <v>0</v>
      </c>
      <c r="AT868" s="24">
        <v>0</v>
      </c>
      <c r="AU868" s="24">
        <v>0</v>
      </c>
      <c r="AV868" s="24">
        <v>1</v>
      </c>
      <c r="AW868" s="24">
        <v>0</v>
      </c>
      <c r="AX868" s="24">
        <v>0</v>
      </c>
      <c r="AY868" s="24">
        <v>0</v>
      </c>
      <c r="AZ868" s="24">
        <v>0</v>
      </c>
      <c r="BA868" s="24">
        <v>1</v>
      </c>
      <c r="BB868" s="24">
        <v>0</v>
      </c>
    </row>
    <row r="869" spans="2:54" ht="13.8" x14ac:dyDescent="0.3">
      <c r="B869" s="24">
        <v>849</v>
      </c>
      <c r="C869" s="24">
        <v>9</v>
      </c>
      <c r="D869" s="24">
        <v>0</v>
      </c>
      <c r="E869" s="24">
        <v>0</v>
      </c>
      <c r="F869" s="24">
        <v>0</v>
      </c>
      <c r="G869" s="24">
        <v>1</v>
      </c>
      <c r="H869" s="24">
        <v>0</v>
      </c>
      <c r="I869" s="24">
        <v>0</v>
      </c>
      <c r="J869" s="24">
        <v>1364</v>
      </c>
      <c r="K869" s="24">
        <v>3</v>
      </c>
      <c r="L869" s="24">
        <v>0</v>
      </c>
      <c r="M869" s="24">
        <v>1</v>
      </c>
      <c r="N869" s="24">
        <v>0</v>
      </c>
      <c r="O869" s="24">
        <v>0</v>
      </c>
      <c r="P869" s="24">
        <v>0</v>
      </c>
      <c r="Q869" s="24">
        <v>1</v>
      </c>
      <c r="R869" s="24">
        <v>0</v>
      </c>
      <c r="S869" s="24">
        <v>59</v>
      </c>
      <c r="T869" s="24">
        <v>0</v>
      </c>
      <c r="U869" s="24">
        <v>0</v>
      </c>
      <c r="V869" s="24">
        <v>1</v>
      </c>
      <c r="W869" s="24">
        <v>1</v>
      </c>
      <c r="X869" s="24">
        <v>1</v>
      </c>
      <c r="Y869" s="24">
        <v>0</v>
      </c>
      <c r="Z869" s="24">
        <v>0</v>
      </c>
      <c r="AA869" s="24">
        <v>1</v>
      </c>
      <c r="AB869" s="24">
        <v>1</v>
      </c>
      <c r="AC869" s="24">
        <v>0</v>
      </c>
      <c r="AD869" s="24">
        <v>0</v>
      </c>
      <c r="AE869" s="24">
        <v>0</v>
      </c>
      <c r="AF869" s="24">
        <v>0</v>
      </c>
      <c r="AG869" s="24">
        <v>0</v>
      </c>
      <c r="AH869" s="24">
        <v>1</v>
      </c>
      <c r="AI869" s="24">
        <v>0</v>
      </c>
      <c r="AJ869" s="24">
        <v>0</v>
      </c>
      <c r="AK869" s="24">
        <v>1</v>
      </c>
      <c r="AL869" s="24">
        <v>0</v>
      </c>
      <c r="AM869" s="24">
        <v>0</v>
      </c>
      <c r="AN869" s="24">
        <v>0</v>
      </c>
      <c r="AO869" s="24">
        <v>0</v>
      </c>
      <c r="AP869" s="24">
        <v>0</v>
      </c>
      <c r="AQ869" s="24">
        <v>0</v>
      </c>
      <c r="AR869" s="24">
        <v>0</v>
      </c>
      <c r="AS869" s="24">
        <v>1</v>
      </c>
      <c r="AT869" s="24">
        <v>0</v>
      </c>
      <c r="AU869" s="24">
        <v>0</v>
      </c>
      <c r="AV869" s="24">
        <v>0</v>
      </c>
      <c r="AW869" s="24">
        <v>0</v>
      </c>
      <c r="AX869" s="24">
        <v>1</v>
      </c>
      <c r="AY869" s="24">
        <v>0</v>
      </c>
      <c r="AZ869" s="24">
        <v>0</v>
      </c>
      <c r="BA869" s="24">
        <v>1</v>
      </c>
      <c r="BB869" s="24">
        <v>0</v>
      </c>
    </row>
    <row r="870" spans="2:54" ht="13.8" x14ac:dyDescent="0.3">
      <c r="B870" s="24">
        <v>850</v>
      </c>
      <c r="C870" s="24">
        <v>12</v>
      </c>
      <c r="D870" s="24">
        <v>0</v>
      </c>
      <c r="E870" s="24">
        <v>0</v>
      </c>
      <c r="F870" s="24">
        <v>0</v>
      </c>
      <c r="G870" s="24">
        <v>1</v>
      </c>
      <c r="H870" s="24">
        <v>0</v>
      </c>
      <c r="I870" s="24">
        <v>0</v>
      </c>
      <c r="J870" s="24">
        <v>709</v>
      </c>
      <c r="K870" s="24">
        <v>4</v>
      </c>
      <c r="L870" s="24">
        <v>0</v>
      </c>
      <c r="M870" s="24">
        <v>1</v>
      </c>
      <c r="N870" s="24">
        <v>0</v>
      </c>
      <c r="O870" s="24">
        <v>0</v>
      </c>
      <c r="P870" s="24">
        <v>0</v>
      </c>
      <c r="Q870" s="24">
        <v>1</v>
      </c>
      <c r="R870" s="24">
        <v>0</v>
      </c>
      <c r="S870" s="24">
        <v>57</v>
      </c>
      <c r="T870" s="24">
        <v>1</v>
      </c>
      <c r="U870" s="24">
        <v>0</v>
      </c>
      <c r="V870" s="24">
        <v>1</v>
      </c>
      <c r="W870" s="24">
        <v>1</v>
      </c>
      <c r="X870" s="24">
        <v>1</v>
      </c>
      <c r="Y870" s="24">
        <v>0</v>
      </c>
      <c r="Z870" s="24">
        <v>0</v>
      </c>
      <c r="AA870" s="24">
        <v>0</v>
      </c>
      <c r="AB870" s="24">
        <v>1</v>
      </c>
      <c r="AC870" s="24">
        <v>0</v>
      </c>
      <c r="AD870" s="24">
        <v>0</v>
      </c>
      <c r="AE870" s="24">
        <v>0</v>
      </c>
      <c r="AF870" s="24">
        <v>0</v>
      </c>
      <c r="AG870" s="24">
        <v>0</v>
      </c>
      <c r="AH870" s="24">
        <v>1</v>
      </c>
      <c r="AI870" s="24">
        <v>0</v>
      </c>
      <c r="AJ870" s="24">
        <v>0</v>
      </c>
      <c r="AK870" s="24">
        <v>1</v>
      </c>
      <c r="AL870" s="24">
        <v>0</v>
      </c>
      <c r="AM870" s="24">
        <v>0</v>
      </c>
      <c r="AN870" s="24">
        <v>0</v>
      </c>
      <c r="AO870" s="24">
        <v>0</v>
      </c>
      <c r="AP870" s="24">
        <v>0</v>
      </c>
      <c r="AQ870" s="24">
        <v>0</v>
      </c>
      <c r="AR870" s="24">
        <v>0</v>
      </c>
      <c r="AS870" s="24">
        <v>0</v>
      </c>
      <c r="AT870" s="24">
        <v>1</v>
      </c>
      <c r="AU870" s="24">
        <v>0</v>
      </c>
      <c r="AV870" s="24">
        <v>0</v>
      </c>
      <c r="AW870" s="24">
        <v>0</v>
      </c>
      <c r="AX870" s="24">
        <v>1</v>
      </c>
      <c r="AY870" s="24">
        <v>0</v>
      </c>
      <c r="AZ870" s="24">
        <v>1</v>
      </c>
      <c r="BA870" s="24">
        <v>0</v>
      </c>
      <c r="BB870" s="24">
        <v>0</v>
      </c>
    </row>
    <row r="871" spans="2:54" ht="13.8" x14ac:dyDescent="0.3">
      <c r="B871" s="24">
        <v>851</v>
      </c>
      <c r="C871" s="24">
        <v>20</v>
      </c>
      <c r="D871" s="24">
        <v>1</v>
      </c>
      <c r="E871" s="24">
        <v>0</v>
      </c>
      <c r="F871" s="24">
        <v>0</v>
      </c>
      <c r="G871" s="24">
        <v>0</v>
      </c>
      <c r="H871" s="24">
        <v>0</v>
      </c>
      <c r="I871" s="24">
        <v>0</v>
      </c>
      <c r="J871" s="24">
        <v>2235</v>
      </c>
      <c r="K871" s="24">
        <v>4</v>
      </c>
      <c r="L871" s="24">
        <v>0</v>
      </c>
      <c r="M871" s="24">
        <v>0</v>
      </c>
      <c r="N871" s="24">
        <v>1</v>
      </c>
      <c r="O871" s="24">
        <v>0</v>
      </c>
      <c r="P871" s="24">
        <v>1</v>
      </c>
      <c r="Q871" s="24">
        <v>0</v>
      </c>
      <c r="R871" s="24">
        <v>0</v>
      </c>
      <c r="S871" s="24">
        <v>33</v>
      </c>
      <c r="T871" s="24">
        <v>1</v>
      </c>
      <c r="U871" s="24">
        <v>1</v>
      </c>
      <c r="V871" s="24">
        <v>0</v>
      </c>
      <c r="W871" s="24">
        <v>2</v>
      </c>
      <c r="X871" s="24">
        <v>1</v>
      </c>
      <c r="Y871" s="24">
        <v>0</v>
      </c>
      <c r="Z871" s="24">
        <v>1</v>
      </c>
      <c r="AA871" s="24">
        <v>0</v>
      </c>
      <c r="AB871" s="24">
        <v>1</v>
      </c>
      <c r="AC871" s="24">
        <v>0</v>
      </c>
      <c r="AD871" s="24">
        <v>0</v>
      </c>
      <c r="AE871" s="24">
        <v>0</v>
      </c>
      <c r="AF871" s="24">
        <v>0</v>
      </c>
      <c r="AG871" s="24">
        <v>0</v>
      </c>
      <c r="AH871" s="24">
        <v>0</v>
      </c>
      <c r="AI871" s="24">
        <v>0</v>
      </c>
      <c r="AJ871" s="24">
        <v>1</v>
      </c>
      <c r="AK871" s="24">
        <v>1</v>
      </c>
      <c r="AL871" s="24">
        <v>0</v>
      </c>
      <c r="AM871" s="24">
        <v>0</v>
      </c>
      <c r="AN871" s="24">
        <v>0</v>
      </c>
      <c r="AO871" s="24">
        <v>0</v>
      </c>
      <c r="AP871" s="24">
        <v>0</v>
      </c>
      <c r="AQ871" s="24">
        <v>0</v>
      </c>
      <c r="AR871" s="24">
        <v>1</v>
      </c>
      <c r="AS871" s="24">
        <v>0</v>
      </c>
      <c r="AT871" s="24">
        <v>0</v>
      </c>
      <c r="AU871" s="24">
        <v>0</v>
      </c>
      <c r="AV871" s="24">
        <v>1</v>
      </c>
      <c r="AW871" s="24">
        <v>0</v>
      </c>
      <c r="AX871" s="24">
        <v>0</v>
      </c>
      <c r="AY871" s="24">
        <v>0</v>
      </c>
      <c r="AZ871" s="24">
        <v>0</v>
      </c>
      <c r="BA871" s="24">
        <v>1</v>
      </c>
      <c r="BB871" s="24">
        <v>0</v>
      </c>
    </row>
    <row r="872" spans="2:54" ht="13.8" x14ac:dyDescent="0.3">
      <c r="B872" s="24">
        <v>852</v>
      </c>
      <c r="C872" s="24">
        <v>24</v>
      </c>
      <c r="D872" s="24">
        <v>0</v>
      </c>
      <c r="E872" s="24">
        <v>1</v>
      </c>
      <c r="F872" s="24">
        <v>0</v>
      </c>
      <c r="G872" s="24">
        <v>0</v>
      </c>
      <c r="H872" s="24">
        <v>0</v>
      </c>
      <c r="I872" s="24">
        <v>0</v>
      </c>
      <c r="J872" s="24">
        <v>4042</v>
      </c>
      <c r="K872" s="24">
        <v>3</v>
      </c>
      <c r="L872" s="24">
        <v>0</v>
      </c>
      <c r="M872" s="24">
        <v>1</v>
      </c>
      <c r="N872" s="24">
        <v>0</v>
      </c>
      <c r="O872" s="24">
        <v>0</v>
      </c>
      <c r="P872" s="24">
        <v>0</v>
      </c>
      <c r="Q872" s="24">
        <v>0</v>
      </c>
      <c r="R872" s="24">
        <v>0</v>
      </c>
      <c r="S872" s="24">
        <v>43</v>
      </c>
      <c r="T872" s="24">
        <v>0</v>
      </c>
      <c r="U872" s="24">
        <v>0</v>
      </c>
      <c r="V872" s="24">
        <v>1</v>
      </c>
      <c r="W872" s="24">
        <v>2</v>
      </c>
      <c r="X872" s="24">
        <v>1</v>
      </c>
      <c r="Y872" s="24">
        <v>1</v>
      </c>
      <c r="Z872" s="24">
        <v>0</v>
      </c>
      <c r="AA872" s="24">
        <v>1</v>
      </c>
      <c r="AB872" s="24">
        <v>0</v>
      </c>
      <c r="AC872" s="24">
        <v>0</v>
      </c>
      <c r="AD872" s="24">
        <v>0</v>
      </c>
      <c r="AE872" s="24">
        <v>1</v>
      </c>
      <c r="AF872" s="24">
        <v>0</v>
      </c>
      <c r="AG872" s="24">
        <v>0</v>
      </c>
      <c r="AH872" s="24">
        <v>0</v>
      </c>
      <c r="AI872" s="24">
        <v>0</v>
      </c>
      <c r="AJ872" s="24">
        <v>1</v>
      </c>
      <c r="AK872" s="24">
        <v>0</v>
      </c>
      <c r="AL872" s="24">
        <v>0</v>
      </c>
      <c r="AM872" s="24">
        <v>0</v>
      </c>
      <c r="AN872" s="24">
        <v>0</v>
      </c>
      <c r="AO872" s="24">
        <v>1</v>
      </c>
      <c r="AP872" s="24">
        <v>0</v>
      </c>
      <c r="AQ872" s="24">
        <v>0</v>
      </c>
      <c r="AR872" s="24">
        <v>0</v>
      </c>
      <c r="AS872" s="24">
        <v>1</v>
      </c>
      <c r="AT872" s="24">
        <v>0</v>
      </c>
      <c r="AU872" s="24">
        <v>0</v>
      </c>
      <c r="AV872" s="24">
        <v>0</v>
      </c>
      <c r="AW872" s="24">
        <v>0</v>
      </c>
      <c r="AX872" s="24">
        <v>1</v>
      </c>
      <c r="AY872" s="24">
        <v>0</v>
      </c>
      <c r="AZ872" s="24">
        <v>0</v>
      </c>
      <c r="BA872" s="24">
        <v>1</v>
      </c>
      <c r="BB872" s="24">
        <v>0</v>
      </c>
    </row>
    <row r="873" spans="2:54" ht="13.8" x14ac:dyDescent="0.3">
      <c r="B873" s="24">
        <v>853</v>
      </c>
      <c r="C873" s="24">
        <v>15</v>
      </c>
      <c r="D873" s="24">
        <v>0</v>
      </c>
      <c r="E873" s="24">
        <v>0</v>
      </c>
      <c r="F873" s="24">
        <v>0</v>
      </c>
      <c r="G873" s="24">
        <v>1</v>
      </c>
      <c r="H873" s="24">
        <v>0</v>
      </c>
      <c r="I873" s="24">
        <v>0</v>
      </c>
      <c r="J873" s="24">
        <v>1471</v>
      </c>
      <c r="K873" s="24">
        <v>4</v>
      </c>
      <c r="L873" s="24">
        <v>0</v>
      </c>
      <c r="M873" s="24">
        <v>1</v>
      </c>
      <c r="N873" s="24">
        <v>0</v>
      </c>
      <c r="O873" s="24">
        <v>0</v>
      </c>
      <c r="P873" s="24">
        <v>0</v>
      </c>
      <c r="Q873" s="24">
        <v>0</v>
      </c>
      <c r="R873" s="24">
        <v>1</v>
      </c>
      <c r="S873" s="24">
        <v>35</v>
      </c>
      <c r="T873" s="24">
        <v>0</v>
      </c>
      <c r="U873" s="24">
        <v>0</v>
      </c>
      <c r="V873" s="24">
        <v>0</v>
      </c>
      <c r="W873" s="24">
        <v>2</v>
      </c>
      <c r="X873" s="24">
        <v>1</v>
      </c>
      <c r="Y873" s="24">
        <v>1</v>
      </c>
      <c r="Z873" s="24">
        <v>0</v>
      </c>
      <c r="AA873" s="24">
        <v>1</v>
      </c>
      <c r="AB873" s="24">
        <v>0</v>
      </c>
      <c r="AC873" s="24">
        <v>0</v>
      </c>
      <c r="AD873" s="24">
        <v>0</v>
      </c>
      <c r="AE873" s="24">
        <v>1</v>
      </c>
      <c r="AF873" s="24">
        <v>0</v>
      </c>
      <c r="AG873" s="24">
        <v>0</v>
      </c>
      <c r="AH873" s="24">
        <v>0</v>
      </c>
      <c r="AI873" s="24">
        <v>0</v>
      </c>
      <c r="AJ873" s="24">
        <v>1</v>
      </c>
      <c r="AK873" s="24">
        <v>1</v>
      </c>
      <c r="AL873" s="24">
        <v>0</v>
      </c>
      <c r="AM873" s="24">
        <v>0</v>
      </c>
      <c r="AN873" s="24">
        <v>0</v>
      </c>
      <c r="AO873" s="24">
        <v>0</v>
      </c>
      <c r="AP873" s="24">
        <v>0</v>
      </c>
      <c r="AQ873" s="24">
        <v>0</v>
      </c>
      <c r="AR873" s="24">
        <v>1</v>
      </c>
      <c r="AS873" s="24">
        <v>0</v>
      </c>
      <c r="AT873" s="24">
        <v>0</v>
      </c>
      <c r="AU873" s="24">
        <v>0</v>
      </c>
      <c r="AV873" s="24">
        <v>0</v>
      </c>
      <c r="AW873" s="24">
        <v>0</v>
      </c>
      <c r="AX873" s="24">
        <v>1</v>
      </c>
      <c r="AY873" s="24">
        <v>0</v>
      </c>
      <c r="AZ873" s="24">
        <v>0</v>
      </c>
      <c r="BA873" s="24">
        <v>1</v>
      </c>
      <c r="BB873" s="24">
        <v>0</v>
      </c>
    </row>
    <row r="874" spans="2:54" ht="13.8" x14ac:dyDescent="0.3">
      <c r="B874" s="24">
        <v>854</v>
      </c>
      <c r="C874" s="24">
        <v>18</v>
      </c>
      <c r="D874" s="24">
        <v>1</v>
      </c>
      <c r="E874" s="24">
        <v>0</v>
      </c>
      <c r="F874" s="24">
        <v>0</v>
      </c>
      <c r="G874" s="24">
        <v>0</v>
      </c>
      <c r="H874" s="24">
        <v>0</v>
      </c>
      <c r="I874" s="24">
        <v>0</v>
      </c>
      <c r="J874" s="24">
        <v>1442</v>
      </c>
      <c r="K874" s="24">
        <v>4</v>
      </c>
      <c r="L874" s="24">
        <v>0</v>
      </c>
      <c r="M874" s="24">
        <v>1</v>
      </c>
      <c r="N874" s="24">
        <v>0</v>
      </c>
      <c r="O874" s="24">
        <v>0</v>
      </c>
      <c r="P874" s="24">
        <v>0</v>
      </c>
      <c r="Q874" s="24">
        <v>0</v>
      </c>
      <c r="R874" s="24">
        <v>1</v>
      </c>
      <c r="S874" s="24">
        <v>32</v>
      </c>
      <c r="T874" s="24">
        <v>0</v>
      </c>
      <c r="U874" s="24">
        <v>0</v>
      </c>
      <c r="V874" s="24">
        <v>0</v>
      </c>
      <c r="W874" s="24">
        <v>2</v>
      </c>
      <c r="X874" s="24">
        <v>2</v>
      </c>
      <c r="Y874" s="24">
        <v>0</v>
      </c>
      <c r="Z874" s="24">
        <v>0</v>
      </c>
      <c r="AA874" s="24">
        <v>0</v>
      </c>
      <c r="AB874" s="24">
        <v>1</v>
      </c>
      <c r="AC874" s="24">
        <v>0</v>
      </c>
      <c r="AD874" s="24">
        <v>0</v>
      </c>
      <c r="AE874" s="24">
        <v>0</v>
      </c>
      <c r="AF874" s="24">
        <v>0</v>
      </c>
      <c r="AG874" s="24">
        <v>1</v>
      </c>
      <c r="AH874" s="24">
        <v>0</v>
      </c>
      <c r="AI874" s="24">
        <v>0</v>
      </c>
      <c r="AJ874" s="24">
        <v>0</v>
      </c>
      <c r="AK874" s="24">
        <v>1</v>
      </c>
      <c r="AL874" s="24">
        <v>0</v>
      </c>
      <c r="AM874" s="24">
        <v>0</v>
      </c>
      <c r="AN874" s="24">
        <v>0</v>
      </c>
      <c r="AO874" s="24">
        <v>0</v>
      </c>
      <c r="AP874" s="24">
        <v>0</v>
      </c>
      <c r="AQ874" s="24">
        <v>0</v>
      </c>
      <c r="AR874" s="24">
        <v>0</v>
      </c>
      <c r="AS874" s="24">
        <v>1</v>
      </c>
      <c r="AT874" s="24">
        <v>0</v>
      </c>
      <c r="AU874" s="24">
        <v>0</v>
      </c>
      <c r="AV874" s="24">
        <v>0</v>
      </c>
      <c r="AW874" s="24">
        <v>0</v>
      </c>
      <c r="AX874" s="24">
        <v>1</v>
      </c>
      <c r="AY874" s="24">
        <v>0</v>
      </c>
      <c r="AZ874" s="24">
        <v>1</v>
      </c>
      <c r="BA874" s="24">
        <v>0</v>
      </c>
      <c r="BB874" s="24">
        <v>0</v>
      </c>
    </row>
    <row r="875" spans="2:54" ht="13.8" x14ac:dyDescent="0.3">
      <c r="B875" s="24">
        <v>855</v>
      </c>
      <c r="C875" s="24">
        <v>36</v>
      </c>
      <c r="D875" s="24">
        <v>1</v>
      </c>
      <c r="E875" s="24">
        <v>0</v>
      </c>
      <c r="F875" s="24">
        <v>0</v>
      </c>
      <c r="G875" s="24">
        <v>0</v>
      </c>
      <c r="H875" s="24">
        <v>0</v>
      </c>
      <c r="I875" s="24">
        <v>0</v>
      </c>
      <c r="J875" s="24">
        <v>10875</v>
      </c>
      <c r="K875" s="24">
        <v>2</v>
      </c>
      <c r="L875" s="24">
        <v>0</v>
      </c>
      <c r="M875" s="24">
        <v>1</v>
      </c>
      <c r="N875" s="24">
        <v>0</v>
      </c>
      <c r="O875" s="24">
        <v>0</v>
      </c>
      <c r="P875" s="24">
        <v>0</v>
      </c>
      <c r="Q875" s="24">
        <v>0</v>
      </c>
      <c r="R875" s="24">
        <v>0</v>
      </c>
      <c r="S875" s="24">
        <v>45</v>
      </c>
      <c r="T875" s="24">
        <v>0</v>
      </c>
      <c r="U875" s="24">
        <v>0</v>
      </c>
      <c r="V875" s="24">
        <v>1</v>
      </c>
      <c r="W875" s="24">
        <v>2</v>
      </c>
      <c r="X875" s="24">
        <v>2</v>
      </c>
      <c r="Y875" s="24">
        <v>1</v>
      </c>
      <c r="Z875" s="24">
        <v>0</v>
      </c>
      <c r="AA875" s="24">
        <v>1</v>
      </c>
      <c r="AB875" s="24">
        <v>0</v>
      </c>
      <c r="AC875" s="24">
        <v>0</v>
      </c>
      <c r="AD875" s="24">
        <v>0</v>
      </c>
      <c r="AE875" s="24">
        <v>1</v>
      </c>
      <c r="AF875" s="24">
        <v>0</v>
      </c>
      <c r="AG875" s="24">
        <v>0</v>
      </c>
      <c r="AH875" s="24">
        <v>0</v>
      </c>
      <c r="AI875" s="24">
        <v>1</v>
      </c>
      <c r="AJ875" s="24">
        <v>0</v>
      </c>
      <c r="AK875" s="24">
        <v>1</v>
      </c>
      <c r="AL875" s="24">
        <v>0</v>
      </c>
      <c r="AM875" s="24">
        <v>0</v>
      </c>
      <c r="AN875" s="24">
        <v>0</v>
      </c>
      <c r="AO875" s="24">
        <v>0</v>
      </c>
      <c r="AP875" s="24">
        <v>0</v>
      </c>
      <c r="AQ875" s="24">
        <v>0</v>
      </c>
      <c r="AR875" s="24">
        <v>0</v>
      </c>
      <c r="AS875" s="24">
        <v>0</v>
      </c>
      <c r="AT875" s="24">
        <v>1</v>
      </c>
      <c r="AU875" s="24">
        <v>0</v>
      </c>
      <c r="AV875" s="24">
        <v>1</v>
      </c>
      <c r="AW875" s="24">
        <v>0</v>
      </c>
      <c r="AX875" s="24">
        <v>0</v>
      </c>
      <c r="AY875" s="24">
        <v>0</v>
      </c>
      <c r="AZ875" s="24">
        <v>0</v>
      </c>
      <c r="BA875" s="24">
        <v>1</v>
      </c>
      <c r="BB875" s="24">
        <v>0</v>
      </c>
    </row>
    <row r="876" spans="2:54" ht="13.8" x14ac:dyDescent="0.3">
      <c r="B876" s="24">
        <v>856</v>
      </c>
      <c r="C876" s="24">
        <v>24</v>
      </c>
      <c r="D876" s="24">
        <v>1</v>
      </c>
      <c r="E876" s="24">
        <v>0</v>
      </c>
      <c r="F876" s="24">
        <v>0</v>
      </c>
      <c r="G876" s="24">
        <v>0</v>
      </c>
      <c r="H876" s="24">
        <v>0</v>
      </c>
      <c r="I876" s="24">
        <v>0</v>
      </c>
      <c r="J876" s="24">
        <v>1474</v>
      </c>
      <c r="K876" s="24">
        <v>4</v>
      </c>
      <c r="L876" s="24">
        <v>0</v>
      </c>
      <c r="M876" s="24">
        <v>0</v>
      </c>
      <c r="N876" s="24">
        <v>1</v>
      </c>
      <c r="O876" s="24">
        <v>0</v>
      </c>
      <c r="P876" s="24">
        <v>0</v>
      </c>
      <c r="Q876" s="24">
        <v>1</v>
      </c>
      <c r="R876" s="24">
        <v>0</v>
      </c>
      <c r="S876" s="24">
        <v>33</v>
      </c>
      <c r="T876" s="24">
        <v>0</v>
      </c>
      <c r="U876" s="24">
        <v>0</v>
      </c>
      <c r="V876" s="24">
        <v>1</v>
      </c>
      <c r="W876" s="24">
        <v>1</v>
      </c>
      <c r="X876" s="24">
        <v>1</v>
      </c>
      <c r="Y876" s="24">
        <v>1</v>
      </c>
      <c r="Z876" s="24">
        <v>0</v>
      </c>
      <c r="AA876" s="24">
        <v>1</v>
      </c>
      <c r="AB876" s="24">
        <v>0</v>
      </c>
      <c r="AC876" s="24">
        <v>0</v>
      </c>
      <c r="AD876" s="24">
        <v>0</v>
      </c>
      <c r="AE876" s="24">
        <v>1</v>
      </c>
      <c r="AF876" s="24">
        <v>0</v>
      </c>
      <c r="AG876" s="24">
        <v>0</v>
      </c>
      <c r="AH876" s="24">
        <v>1</v>
      </c>
      <c r="AI876" s="24">
        <v>0</v>
      </c>
      <c r="AJ876" s="24">
        <v>0</v>
      </c>
      <c r="AK876" s="24">
        <v>0</v>
      </c>
      <c r="AL876" s="24">
        <v>1</v>
      </c>
      <c r="AM876" s="24">
        <v>0</v>
      </c>
      <c r="AN876" s="24">
        <v>0</v>
      </c>
      <c r="AO876" s="24">
        <v>0</v>
      </c>
      <c r="AP876" s="24">
        <v>0</v>
      </c>
      <c r="AQ876" s="24">
        <v>1</v>
      </c>
      <c r="AR876" s="24">
        <v>0</v>
      </c>
      <c r="AS876" s="24">
        <v>0</v>
      </c>
      <c r="AT876" s="24">
        <v>0</v>
      </c>
      <c r="AU876" s="24">
        <v>0</v>
      </c>
      <c r="AV876" s="24">
        <v>0</v>
      </c>
      <c r="AW876" s="24">
        <v>1</v>
      </c>
      <c r="AX876" s="24">
        <v>0</v>
      </c>
      <c r="AY876" s="24">
        <v>0</v>
      </c>
      <c r="AZ876" s="24">
        <v>0</v>
      </c>
      <c r="BA876" s="24">
        <v>1</v>
      </c>
      <c r="BB876" s="24">
        <v>0</v>
      </c>
    </row>
    <row r="877" spans="2:54" ht="13.8" x14ac:dyDescent="0.3">
      <c r="B877" s="24">
        <v>857</v>
      </c>
      <c r="C877" s="24">
        <v>10</v>
      </c>
      <c r="D877" s="24">
        <v>0</v>
      </c>
      <c r="E877" s="24">
        <v>0</v>
      </c>
      <c r="F877" s="24">
        <v>0</v>
      </c>
      <c r="G877" s="24">
        <v>0</v>
      </c>
      <c r="H877" s="24">
        <v>0</v>
      </c>
      <c r="I877" s="24">
        <v>0</v>
      </c>
      <c r="J877" s="24">
        <v>894</v>
      </c>
      <c r="K877" s="24">
        <v>4</v>
      </c>
      <c r="L877" s="24">
        <v>0</v>
      </c>
      <c r="M877" s="24">
        <v>0</v>
      </c>
      <c r="N877" s="24">
        <v>0</v>
      </c>
      <c r="O877" s="24">
        <v>0</v>
      </c>
      <c r="P877" s="24">
        <v>0</v>
      </c>
      <c r="Q877" s="24">
        <v>0</v>
      </c>
      <c r="R877" s="24">
        <v>0</v>
      </c>
      <c r="S877" s="24">
        <v>40</v>
      </c>
      <c r="T877" s="24">
        <v>0</v>
      </c>
      <c r="U877" s="24">
        <v>0</v>
      </c>
      <c r="V877" s="24">
        <v>1</v>
      </c>
      <c r="W877" s="24">
        <v>1</v>
      </c>
      <c r="X877" s="24">
        <v>1</v>
      </c>
      <c r="Y877" s="24">
        <v>1</v>
      </c>
      <c r="Z877" s="24">
        <v>0</v>
      </c>
      <c r="AA877" s="24">
        <v>1</v>
      </c>
      <c r="AB877" s="24">
        <v>0</v>
      </c>
      <c r="AC877" s="24">
        <v>0</v>
      </c>
      <c r="AD877" s="24">
        <v>0</v>
      </c>
      <c r="AE877" s="24">
        <v>1</v>
      </c>
      <c r="AF877" s="24">
        <v>0</v>
      </c>
      <c r="AG877" s="24">
        <v>0</v>
      </c>
      <c r="AH877" s="24">
        <v>1</v>
      </c>
      <c r="AI877" s="24">
        <v>0</v>
      </c>
      <c r="AJ877" s="24">
        <v>0</v>
      </c>
      <c r="AK877" s="24">
        <v>0</v>
      </c>
      <c r="AL877" s="24">
        <v>0</v>
      </c>
      <c r="AM877" s="24">
        <v>0</v>
      </c>
      <c r="AN877" s="24">
        <v>0</v>
      </c>
      <c r="AO877" s="24">
        <v>1</v>
      </c>
      <c r="AP877" s="24">
        <v>0</v>
      </c>
      <c r="AQ877" s="24">
        <v>0</v>
      </c>
      <c r="AR877" s="24">
        <v>0</v>
      </c>
      <c r="AS877" s="24">
        <v>1</v>
      </c>
      <c r="AT877" s="24">
        <v>0</v>
      </c>
      <c r="AU877" s="24">
        <v>0</v>
      </c>
      <c r="AV877" s="24">
        <v>0</v>
      </c>
      <c r="AW877" s="24">
        <v>1</v>
      </c>
      <c r="AX877" s="24">
        <v>0</v>
      </c>
      <c r="AY877" s="24">
        <v>0</v>
      </c>
      <c r="AZ877" s="24">
        <v>0</v>
      </c>
      <c r="BA877" s="24">
        <v>1</v>
      </c>
      <c r="BB877" s="24">
        <v>0</v>
      </c>
    </row>
    <row r="878" spans="2:54" ht="13.8" x14ac:dyDescent="0.3">
      <c r="B878" s="24">
        <v>858</v>
      </c>
      <c r="C878" s="24">
        <v>15</v>
      </c>
      <c r="D878" s="24">
        <v>0</v>
      </c>
      <c r="E878" s="24">
        <v>0</v>
      </c>
      <c r="F878" s="24">
        <v>1</v>
      </c>
      <c r="G878" s="24">
        <v>0</v>
      </c>
      <c r="H878" s="24">
        <v>0</v>
      </c>
      <c r="I878" s="24">
        <v>0</v>
      </c>
      <c r="J878" s="24">
        <v>3343</v>
      </c>
      <c r="K878" s="24">
        <v>4</v>
      </c>
      <c r="L878" s="24">
        <v>0</v>
      </c>
      <c r="M878" s="24">
        <v>1</v>
      </c>
      <c r="N878" s="24">
        <v>0</v>
      </c>
      <c r="O878" s="24">
        <v>0</v>
      </c>
      <c r="P878" s="24">
        <v>0</v>
      </c>
      <c r="Q878" s="24">
        <v>0</v>
      </c>
      <c r="R878" s="24">
        <v>1</v>
      </c>
      <c r="S878" s="24">
        <v>28</v>
      </c>
      <c r="T878" s="24">
        <v>0</v>
      </c>
      <c r="U878" s="24">
        <v>0</v>
      </c>
      <c r="V878" s="24">
        <v>0</v>
      </c>
      <c r="W878" s="24">
        <v>1</v>
      </c>
      <c r="X878" s="24">
        <v>1</v>
      </c>
      <c r="Y878" s="24">
        <v>1</v>
      </c>
      <c r="Z878" s="24">
        <v>0</v>
      </c>
      <c r="AA878" s="24">
        <v>1</v>
      </c>
      <c r="AB878" s="24">
        <v>0</v>
      </c>
      <c r="AC878" s="24">
        <v>0</v>
      </c>
      <c r="AD878" s="24">
        <v>0</v>
      </c>
      <c r="AE878" s="24">
        <v>1</v>
      </c>
      <c r="AF878" s="24">
        <v>0</v>
      </c>
      <c r="AG878" s="24">
        <v>0</v>
      </c>
      <c r="AH878" s="24">
        <v>0</v>
      </c>
      <c r="AI878" s="24">
        <v>0</v>
      </c>
      <c r="AJ878" s="24">
        <v>1</v>
      </c>
      <c r="AK878" s="24">
        <v>1</v>
      </c>
      <c r="AL878" s="24">
        <v>0</v>
      </c>
      <c r="AM878" s="24">
        <v>0</v>
      </c>
      <c r="AN878" s="24">
        <v>0</v>
      </c>
      <c r="AO878" s="24">
        <v>0</v>
      </c>
      <c r="AP878" s="24">
        <v>0</v>
      </c>
      <c r="AQ878" s="24">
        <v>0</v>
      </c>
      <c r="AR878" s="24">
        <v>1</v>
      </c>
      <c r="AS878" s="24">
        <v>0</v>
      </c>
      <c r="AT878" s="24">
        <v>0</v>
      </c>
      <c r="AU878" s="24">
        <v>0</v>
      </c>
      <c r="AV878" s="24">
        <v>1</v>
      </c>
      <c r="AW878" s="24">
        <v>0</v>
      </c>
      <c r="AX878" s="24">
        <v>0</v>
      </c>
      <c r="AY878" s="24">
        <v>0</v>
      </c>
      <c r="AZ878" s="24">
        <v>0</v>
      </c>
      <c r="BA878" s="24">
        <v>1</v>
      </c>
      <c r="BB878" s="24">
        <v>0</v>
      </c>
    </row>
    <row r="879" spans="2:54" ht="13.8" x14ac:dyDescent="0.3">
      <c r="B879" s="24">
        <v>859</v>
      </c>
      <c r="C879" s="24">
        <v>15</v>
      </c>
      <c r="D879" s="24">
        <v>1</v>
      </c>
      <c r="E879" s="24">
        <v>0</v>
      </c>
      <c r="F879" s="24">
        <v>0</v>
      </c>
      <c r="G879" s="24">
        <v>0</v>
      </c>
      <c r="H879" s="24">
        <v>0</v>
      </c>
      <c r="I879" s="24">
        <v>0</v>
      </c>
      <c r="J879" s="24">
        <v>3959</v>
      </c>
      <c r="K879" s="24">
        <v>3</v>
      </c>
      <c r="L879" s="24">
        <v>0</v>
      </c>
      <c r="M879" s="24">
        <v>0</v>
      </c>
      <c r="N879" s="24">
        <v>0</v>
      </c>
      <c r="O879" s="24">
        <v>0</v>
      </c>
      <c r="P879" s="24">
        <v>0</v>
      </c>
      <c r="Q879" s="24">
        <v>0</v>
      </c>
      <c r="R879" s="24">
        <v>0</v>
      </c>
      <c r="S879" s="24">
        <v>29</v>
      </c>
      <c r="T879" s="24">
        <v>0</v>
      </c>
      <c r="U879" s="24">
        <v>0</v>
      </c>
      <c r="V879" s="24">
        <v>1</v>
      </c>
      <c r="W879" s="24">
        <v>1</v>
      </c>
      <c r="X879" s="24">
        <v>1</v>
      </c>
      <c r="Y879" s="24">
        <v>1</v>
      </c>
      <c r="Z879" s="24">
        <v>0</v>
      </c>
      <c r="AA879" s="24">
        <v>0</v>
      </c>
      <c r="AB879" s="24">
        <v>1</v>
      </c>
      <c r="AC879" s="24">
        <v>0</v>
      </c>
      <c r="AD879" s="24">
        <v>0</v>
      </c>
      <c r="AE879" s="24">
        <v>0</v>
      </c>
      <c r="AF879" s="24">
        <v>0</v>
      </c>
      <c r="AG879" s="24">
        <v>0</v>
      </c>
      <c r="AH879" s="24">
        <v>1</v>
      </c>
      <c r="AI879" s="24">
        <v>0</v>
      </c>
      <c r="AJ879" s="24">
        <v>0</v>
      </c>
      <c r="AK879" s="24">
        <v>1</v>
      </c>
      <c r="AL879" s="24">
        <v>0</v>
      </c>
      <c r="AM879" s="24">
        <v>0</v>
      </c>
      <c r="AN879" s="24">
        <v>0</v>
      </c>
      <c r="AO879" s="24">
        <v>0</v>
      </c>
      <c r="AP879" s="24">
        <v>0</v>
      </c>
      <c r="AQ879" s="24">
        <v>0</v>
      </c>
      <c r="AR879" s="24">
        <v>1</v>
      </c>
      <c r="AS879" s="24">
        <v>0</v>
      </c>
      <c r="AT879" s="24">
        <v>0</v>
      </c>
      <c r="AU879" s="24">
        <v>0</v>
      </c>
      <c r="AV879" s="24">
        <v>1</v>
      </c>
      <c r="AW879" s="24">
        <v>0</v>
      </c>
      <c r="AX879" s="24">
        <v>0</v>
      </c>
      <c r="AY879" s="24">
        <v>0</v>
      </c>
      <c r="AZ879" s="24">
        <v>0</v>
      </c>
      <c r="BA879" s="24">
        <v>1</v>
      </c>
      <c r="BB879" s="24">
        <v>0</v>
      </c>
    </row>
    <row r="880" spans="2:54" ht="13.8" x14ac:dyDescent="0.3">
      <c r="B880" s="24">
        <v>860</v>
      </c>
      <c r="C880" s="24">
        <v>9</v>
      </c>
      <c r="D880" s="24">
        <v>1</v>
      </c>
      <c r="E880" s="24">
        <v>0</v>
      </c>
      <c r="F880" s="24">
        <v>0</v>
      </c>
      <c r="G880" s="24">
        <v>0</v>
      </c>
      <c r="H880" s="24">
        <v>0</v>
      </c>
      <c r="I880" s="24">
        <v>0</v>
      </c>
      <c r="J880" s="24">
        <v>3577</v>
      </c>
      <c r="K880" s="24">
        <v>1</v>
      </c>
      <c r="L880" s="24">
        <v>0</v>
      </c>
      <c r="M880" s="24">
        <v>1</v>
      </c>
      <c r="N880" s="24">
        <v>0</v>
      </c>
      <c r="O880" s="24">
        <v>0</v>
      </c>
      <c r="P880" s="24">
        <v>1</v>
      </c>
      <c r="Q880" s="24">
        <v>1</v>
      </c>
      <c r="R880" s="24">
        <v>0</v>
      </c>
      <c r="S880" s="24">
        <v>26</v>
      </c>
      <c r="T880" s="24">
        <v>0</v>
      </c>
      <c r="U880" s="24">
        <v>1</v>
      </c>
      <c r="V880" s="24">
        <v>0</v>
      </c>
      <c r="W880" s="24">
        <v>1</v>
      </c>
      <c r="X880" s="24">
        <v>2</v>
      </c>
      <c r="Y880" s="24">
        <v>0</v>
      </c>
      <c r="Z880" s="24">
        <v>1</v>
      </c>
      <c r="AA880" s="24">
        <v>1</v>
      </c>
      <c r="AB880" s="24">
        <v>0</v>
      </c>
      <c r="AC880" s="24">
        <v>0</v>
      </c>
      <c r="AD880" s="24">
        <v>0</v>
      </c>
      <c r="AE880" s="24">
        <v>1</v>
      </c>
      <c r="AF880" s="24">
        <v>0</v>
      </c>
      <c r="AG880" s="24">
        <v>0</v>
      </c>
      <c r="AH880" s="24">
        <v>1</v>
      </c>
      <c r="AI880" s="24">
        <v>0</v>
      </c>
      <c r="AJ880" s="24">
        <v>0</v>
      </c>
      <c r="AK880" s="24">
        <v>0</v>
      </c>
      <c r="AL880" s="24">
        <v>1</v>
      </c>
      <c r="AM880" s="24">
        <v>0</v>
      </c>
      <c r="AN880" s="24">
        <v>0</v>
      </c>
      <c r="AO880" s="24">
        <v>0</v>
      </c>
      <c r="AP880" s="24">
        <v>0</v>
      </c>
      <c r="AQ880" s="24">
        <v>0</v>
      </c>
      <c r="AR880" s="24">
        <v>1</v>
      </c>
      <c r="AS880" s="24">
        <v>0</v>
      </c>
      <c r="AT880" s="24">
        <v>0</v>
      </c>
      <c r="AU880" s="24">
        <v>0</v>
      </c>
      <c r="AV880" s="24">
        <v>1</v>
      </c>
      <c r="AW880" s="24">
        <v>0</v>
      </c>
      <c r="AX880" s="24">
        <v>0</v>
      </c>
      <c r="AY880" s="24">
        <v>0</v>
      </c>
      <c r="AZ880" s="24">
        <v>0</v>
      </c>
      <c r="BA880" s="24">
        <v>1</v>
      </c>
      <c r="BB880" s="24">
        <v>0</v>
      </c>
    </row>
    <row r="881" spans="2:54" ht="13.8" x14ac:dyDescent="0.3">
      <c r="B881" s="24">
        <v>861</v>
      </c>
      <c r="C881" s="24">
        <v>24</v>
      </c>
      <c r="D881" s="24">
        <v>0</v>
      </c>
      <c r="E881" s="24">
        <v>1</v>
      </c>
      <c r="F881" s="24">
        <v>0</v>
      </c>
      <c r="G881" s="24">
        <v>0</v>
      </c>
      <c r="H881" s="24">
        <v>0</v>
      </c>
      <c r="I881" s="24">
        <v>0</v>
      </c>
      <c r="J881" s="24">
        <v>5804</v>
      </c>
      <c r="K881" s="24">
        <v>4</v>
      </c>
      <c r="L881" s="24">
        <v>0</v>
      </c>
      <c r="M881" s="24">
        <v>1</v>
      </c>
      <c r="N881" s="24">
        <v>0</v>
      </c>
      <c r="O881" s="24">
        <v>0</v>
      </c>
      <c r="P881" s="24">
        <v>0</v>
      </c>
      <c r="Q881" s="24">
        <v>1</v>
      </c>
      <c r="R881" s="24">
        <v>0</v>
      </c>
      <c r="S881" s="24">
        <v>27</v>
      </c>
      <c r="T881" s="24">
        <v>0</v>
      </c>
      <c r="U881" s="24">
        <v>0</v>
      </c>
      <c r="V881" s="24">
        <v>1</v>
      </c>
      <c r="W881" s="24">
        <v>2</v>
      </c>
      <c r="X881" s="24">
        <v>1</v>
      </c>
      <c r="Y881" s="24">
        <v>0</v>
      </c>
      <c r="Z881" s="24">
        <v>0</v>
      </c>
      <c r="AA881" s="24">
        <v>1</v>
      </c>
      <c r="AB881" s="24">
        <v>0</v>
      </c>
      <c r="AC881" s="24">
        <v>0</v>
      </c>
      <c r="AD881" s="24">
        <v>0</v>
      </c>
      <c r="AE881" s="24">
        <v>1</v>
      </c>
      <c r="AF881" s="24">
        <v>0</v>
      </c>
      <c r="AG881" s="24">
        <v>0</v>
      </c>
      <c r="AH881" s="24">
        <v>0</v>
      </c>
      <c r="AI881" s="24">
        <v>0</v>
      </c>
      <c r="AJ881" s="24">
        <v>1</v>
      </c>
      <c r="AK881" s="24">
        <v>0</v>
      </c>
      <c r="AL881" s="24">
        <v>0</v>
      </c>
      <c r="AM881" s="24">
        <v>0</v>
      </c>
      <c r="AN881" s="24">
        <v>1</v>
      </c>
      <c r="AO881" s="24">
        <v>0</v>
      </c>
      <c r="AP881" s="24">
        <v>0</v>
      </c>
      <c r="AQ881" s="24">
        <v>0</v>
      </c>
      <c r="AR881" s="24">
        <v>1</v>
      </c>
      <c r="AS881" s="24">
        <v>0</v>
      </c>
      <c r="AT881" s="24">
        <v>0</v>
      </c>
      <c r="AU881" s="24">
        <v>0</v>
      </c>
      <c r="AV881" s="24">
        <v>1</v>
      </c>
      <c r="AW881" s="24">
        <v>0</v>
      </c>
      <c r="AX881" s="24">
        <v>0</v>
      </c>
      <c r="AY881" s="24">
        <v>0</v>
      </c>
      <c r="AZ881" s="24">
        <v>0</v>
      </c>
      <c r="BA881" s="24">
        <v>1</v>
      </c>
      <c r="BB881" s="24">
        <v>0</v>
      </c>
    </row>
    <row r="882" spans="2:54" ht="13.8" x14ac:dyDescent="0.3">
      <c r="B882" s="24">
        <v>862</v>
      </c>
      <c r="C882" s="24">
        <v>18</v>
      </c>
      <c r="D882" s="24">
        <v>0</v>
      </c>
      <c r="E882" s="24">
        <v>0</v>
      </c>
      <c r="F882" s="24">
        <v>0</v>
      </c>
      <c r="G882" s="24">
        <v>0</v>
      </c>
      <c r="H882" s="24">
        <v>0</v>
      </c>
      <c r="I882" s="24">
        <v>1</v>
      </c>
      <c r="J882" s="24">
        <v>2169</v>
      </c>
      <c r="K882" s="24">
        <v>4</v>
      </c>
      <c r="L882" s="24">
        <v>0</v>
      </c>
      <c r="M882" s="24">
        <v>0</v>
      </c>
      <c r="N882" s="24">
        <v>1</v>
      </c>
      <c r="O882" s="24">
        <v>0</v>
      </c>
      <c r="P882" s="24">
        <v>0</v>
      </c>
      <c r="Q882" s="24">
        <v>0</v>
      </c>
      <c r="R882" s="24">
        <v>0</v>
      </c>
      <c r="S882" s="24">
        <v>28</v>
      </c>
      <c r="T882" s="24">
        <v>0</v>
      </c>
      <c r="U882" s="24">
        <v>0</v>
      </c>
      <c r="V882" s="24">
        <v>1</v>
      </c>
      <c r="W882" s="24">
        <v>1</v>
      </c>
      <c r="X882" s="24">
        <v>1</v>
      </c>
      <c r="Y882" s="24">
        <v>1</v>
      </c>
      <c r="Z882" s="24">
        <v>0</v>
      </c>
      <c r="AA882" s="24">
        <v>0</v>
      </c>
      <c r="AB882" s="24">
        <v>0</v>
      </c>
      <c r="AC882" s="24">
        <v>0</v>
      </c>
      <c r="AD882" s="24">
        <v>0</v>
      </c>
      <c r="AE882" s="24">
        <v>1</v>
      </c>
      <c r="AF882" s="24">
        <v>0</v>
      </c>
      <c r="AG882" s="24">
        <v>0</v>
      </c>
      <c r="AH882" s="24">
        <v>0</v>
      </c>
      <c r="AI882" s="24">
        <v>1</v>
      </c>
      <c r="AJ882" s="24">
        <v>0</v>
      </c>
      <c r="AK882" s="24">
        <v>1</v>
      </c>
      <c r="AL882" s="24">
        <v>0</v>
      </c>
      <c r="AM882" s="24">
        <v>0</v>
      </c>
      <c r="AN882" s="24">
        <v>0</v>
      </c>
      <c r="AO882" s="24">
        <v>0</v>
      </c>
      <c r="AP882" s="24">
        <v>0</v>
      </c>
      <c r="AQ882" s="24">
        <v>0</v>
      </c>
      <c r="AR882" s="24">
        <v>1</v>
      </c>
      <c r="AS882" s="24">
        <v>0</v>
      </c>
      <c r="AT882" s="24">
        <v>0</v>
      </c>
      <c r="AU882" s="24">
        <v>0</v>
      </c>
      <c r="AV882" s="24">
        <v>1</v>
      </c>
      <c r="AW882" s="24">
        <v>0</v>
      </c>
      <c r="AX882" s="24">
        <v>0</v>
      </c>
      <c r="AY882" s="24">
        <v>0</v>
      </c>
      <c r="AZ882" s="24">
        <v>0</v>
      </c>
      <c r="BA882" s="24">
        <v>1</v>
      </c>
      <c r="BB882" s="24">
        <v>0</v>
      </c>
    </row>
    <row r="883" spans="2:54" ht="13.8" x14ac:dyDescent="0.3">
      <c r="B883" s="24">
        <v>863</v>
      </c>
      <c r="C883" s="24">
        <v>24</v>
      </c>
      <c r="D883" s="24">
        <v>0</v>
      </c>
      <c r="E883" s="24">
        <v>0</v>
      </c>
      <c r="F883" s="24">
        <v>0</v>
      </c>
      <c r="G883" s="24">
        <v>1</v>
      </c>
      <c r="H883" s="24">
        <v>0</v>
      </c>
      <c r="I883" s="24">
        <v>0</v>
      </c>
      <c r="J883" s="24">
        <v>2439</v>
      </c>
      <c r="K883" s="24">
        <v>4</v>
      </c>
      <c r="L883" s="24">
        <v>0</v>
      </c>
      <c r="M883" s="24">
        <v>0</v>
      </c>
      <c r="N883" s="24">
        <v>0</v>
      </c>
      <c r="O883" s="24">
        <v>0</v>
      </c>
      <c r="P883" s="24">
        <v>0</v>
      </c>
      <c r="Q883" s="24">
        <v>1</v>
      </c>
      <c r="R883" s="24">
        <v>0</v>
      </c>
      <c r="S883" s="24">
        <v>35</v>
      </c>
      <c r="T883" s="24">
        <v>0</v>
      </c>
      <c r="U883" s="24">
        <v>0</v>
      </c>
      <c r="V883" s="24">
        <v>1</v>
      </c>
      <c r="W883" s="24">
        <v>1</v>
      </c>
      <c r="X883" s="24">
        <v>1</v>
      </c>
      <c r="Y883" s="24">
        <v>1</v>
      </c>
      <c r="Z883" s="24">
        <v>0</v>
      </c>
      <c r="AA883" s="24">
        <v>0</v>
      </c>
      <c r="AB883" s="24">
        <v>1</v>
      </c>
      <c r="AC883" s="24">
        <v>0</v>
      </c>
      <c r="AD883" s="24">
        <v>0</v>
      </c>
      <c r="AE883" s="24">
        <v>0</v>
      </c>
      <c r="AF883" s="24">
        <v>0</v>
      </c>
      <c r="AG883" s="24">
        <v>0</v>
      </c>
      <c r="AH883" s="24">
        <v>1</v>
      </c>
      <c r="AI883" s="24">
        <v>0</v>
      </c>
      <c r="AJ883" s="24">
        <v>0</v>
      </c>
      <c r="AK883" s="24">
        <v>1</v>
      </c>
      <c r="AL883" s="24">
        <v>0</v>
      </c>
      <c r="AM883" s="24">
        <v>0</v>
      </c>
      <c r="AN883" s="24">
        <v>0</v>
      </c>
      <c r="AO883" s="24">
        <v>0</v>
      </c>
      <c r="AP883" s="24">
        <v>0</v>
      </c>
      <c r="AQ883" s="24">
        <v>1</v>
      </c>
      <c r="AR883" s="24">
        <v>0</v>
      </c>
      <c r="AS883" s="24">
        <v>0</v>
      </c>
      <c r="AT883" s="24">
        <v>0</v>
      </c>
      <c r="AU883" s="24">
        <v>0</v>
      </c>
      <c r="AV883" s="24">
        <v>0</v>
      </c>
      <c r="AW883" s="24">
        <v>0</v>
      </c>
      <c r="AX883" s="24">
        <v>1</v>
      </c>
      <c r="AY883" s="24">
        <v>0</v>
      </c>
      <c r="AZ883" s="24">
        <v>0</v>
      </c>
      <c r="BA883" s="24">
        <v>1</v>
      </c>
      <c r="BB883" s="24">
        <v>0</v>
      </c>
    </row>
    <row r="884" spans="2:54" ht="13.8" x14ac:dyDescent="0.3">
      <c r="B884" s="24">
        <v>864</v>
      </c>
      <c r="C884" s="24">
        <v>27</v>
      </c>
      <c r="D884" s="24">
        <v>0</v>
      </c>
      <c r="E884" s="24">
        <v>0</v>
      </c>
      <c r="F884" s="24">
        <v>1</v>
      </c>
      <c r="G884" s="24">
        <v>0</v>
      </c>
      <c r="H884" s="24">
        <v>0</v>
      </c>
      <c r="I884" s="24">
        <v>0</v>
      </c>
      <c r="J884" s="24">
        <v>4526</v>
      </c>
      <c r="K884" s="24">
        <v>4</v>
      </c>
      <c r="L884" s="24">
        <v>0</v>
      </c>
      <c r="M884" s="24">
        <v>1</v>
      </c>
      <c r="N884" s="24">
        <v>0</v>
      </c>
      <c r="O884" s="24">
        <v>0</v>
      </c>
      <c r="P884" s="24">
        <v>0</v>
      </c>
      <c r="Q884" s="24">
        <v>1</v>
      </c>
      <c r="R884" s="24">
        <v>0</v>
      </c>
      <c r="S884" s="24">
        <v>32</v>
      </c>
      <c r="T884" s="24">
        <v>1</v>
      </c>
      <c r="U884" s="24">
        <v>0</v>
      </c>
      <c r="V884" s="24">
        <v>1</v>
      </c>
      <c r="W884" s="24">
        <v>2</v>
      </c>
      <c r="X884" s="24">
        <v>2</v>
      </c>
      <c r="Y884" s="24">
        <v>1</v>
      </c>
      <c r="Z884" s="24">
        <v>0</v>
      </c>
      <c r="AA884" s="24">
        <v>1</v>
      </c>
      <c r="AB884" s="24">
        <v>0</v>
      </c>
      <c r="AC884" s="24">
        <v>0</v>
      </c>
      <c r="AD884" s="24">
        <v>0</v>
      </c>
      <c r="AE884" s="24">
        <v>1</v>
      </c>
      <c r="AF884" s="24">
        <v>0</v>
      </c>
      <c r="AG884" s="24">
        <v>0</v>
      </c>
      <c r="AH884" s="24">
        <v>0</v>
      </c>
      <c r="AI884" s="24">
        <v>0</v>
      </c>
      <c r="AJ884" s="24">
        <v>1</v>
      </c>
      <c r="AK884" s="24">
        <v>0</v>
      </c>
      <c r="AL884" s="24">
        <v>0</v>
      </c>
      <c r="AM884" s="24">
        <v>0</v>
      </c>
      <c r="AN884" s="24">
        <v>1</v>
      </c>
      <c r="AO884" s="24">
        <v>0</v>
      </c>
      <c r="AP884" s="24">
        <v>0</v>
      </c>
      <c r="AQ884" s="24">
        <v>1</v>
      </c>
      <c r="AR884" s="24">
        <v>0</v>
      </c>
      <c r="AS884" s="24">
        <v>0</v>
      </c>
      <c r="AT884" s="24">
        <v>0</v>
      </c>
      <c r="AU884" s="24">
        <v>0</v>
      </c>
      <c r="AV884" s="24">
        <v>1</v>
      </c>
      <c r="AW884" s="24">
        <v>0</v>
      </c>
      <c r="AX884" s="24">
        <v>0</v>
      </c>
      <c r="AY884" s="24">
        <v>0</v>
      </c>
      <c r="AZ884" s="24">
        <v>1</v>
      </c>
      <c r="BA884" s="24">
        <v>0</v>
      </c>
      <c r="BB884" s="24">
        <v>0</v>
      </c>
    </row>
    <row r="885" spans="2:54" ht="13.8" x14ac:dyDescent="0.3">
      <c r="B885" s="24">
        <v>865</v>
      </c>
      <c r="C885" s="24">
        <v>10</v>
      </c>
      <c r="D885" s="24">
        <v>0</v>
      </c>
      <c r="E885" s="24">
        <v>0</v>
      </c>
      <c r="F885" s="24">
        <v>1</v>
      </c>
      <c r="G885" s="24">
        <v>0</v>
      </c>
      <c r="H885" s="24">
        <v>0</v>
      </c>
      <c r="I885" s="24">
        <v>0</v>
      </c>
      <c r="J885" s="24">
        <v>2210</v>
      </c>
      <c r="K885" s="24">
        <v>2</v>
      </c>
      <c r="L885" s="24">
        <v>0</v>
      </c>
      <c r="M885" s="24">
        <v>1</v>
      </c>
      <c r="N885" s="24">
        <v>0</v>
      </c>
      <c r="O885" s="24">
        <v>0</v>
      </c>
      <c r="P885" s="24">
        <v>0</v>
      </c>
      <c r="Q885" s="24">
        <v>1</v>
      </c>
      <c r="R885" s="24">
        <v>0</v>
      </c>
      <c r="S885" s="24">
        <v>25</v>
      </c>
      <c r="T885" s="24">
        <v>1</v>
      </c>
      <c r="U885" s="24">
        <v>1</v>
      </c>
      <c r="V885" s="24">
        <v>0</v>
      </c>
      <c r="W885" s="24">
        <v>1</v>
      </c>
      <c r="X885" s="24">
        <v>1</v>
      </c>
      <c r="Y885" s="24">
        <v>0</v>
      </c>
      <c r="Z885" s="24">
        <v>0</v>
      </c>
      <c r="AA885" s="24">
        <v>0</v>
      </c>
      <c r="AB885" s="24">
        <v>0</v>
      </c>
      <c r="AC885" s="24">
        <v>0</v>
      </c>
      <c r="AD885" s="24">
        <v>0</v>
      </c>
      <c r="AE885" s="24">
        <v>1</v>
      </c>
      <c r="AF885" s="24">
        <v>0</v>
      </c>
      <c r="AG885" s="24">
        <v>0</v>
      </c>
      <c r="AH885" s="24">
        <v>1</v>
      </c>
      <c r="AI885" s="24">
        <v>0</v>
      </c>
      <c r="AJ885" s="24">
        <v>0</v>
      </c>
      <c r="AK885" s="24">
        <v>1</v>
      </c>
      <c r="AL885" s="24">
        <v>0</v>
      </c>
      <c r="AM885" s="24">
        <v>0</v>
      </c>
      <c r="AN885" s="24">
        <v>0</v>
      </c>
      <c r="AO885" s="24">
        <v>0</v>
      </c>
      <c r="AP885" s="24">
        <v>0</v>
      </c>
      <c r="AQ885" s="24">
        <v>0</v>
      </c>
      <c r="AR885" s="24">
        <v>1</v>
      </c>
      <c r="AS885" s="24">
        <v>0</v>
      </c>
      <c r="AT885" s="24">
        <v>0</v>
      </c>
      <c r="AU885" s="24">
        <v>0</v>
      </c>
      <c r="AV885" s="24">
        <v>1</v>
      </c>
      <c r="AW885" s="24">
        <v>0</v>
      </c>
      <c r="AX885" s="24">
        <v>0</v>
      </c>
      <c r="AY885" s="24">
        <v>0</v>
      </c>
      <c r="AZ885" s="24">
        <v>1</v>
      </c>
      <c r="BA885" s="24">
        <v>0</v>
      </c>
      <c r="BB885" s="24">
        <v>0</v>
      </c>
    </row>
    <row r="886" spans="2:54" ht="13.8" x14ac:dyDescent="0.3">
      <c r="B886" s="24">
        <v>866</v>
      </c>
      <c r="C886" s="24">
        <v>15</v>
      </c>
      <c r="D886" s="24">
        <v>0</v>
      </c>
      <c r="E886" s="24">
        <v>0</v>
      </c>
      <c r="F886" s="24">
        <v>1</v>
      </c>
      <c r="G886" s="24">
        <v>0</v>
      </c>
      <c r="H886" s="24">
        <v>0</v>
      </c>
      <c r="I886" s="24">
        <v>0</v>
      </c>
      <c r="J886" s="24">
        <v>2221</v>
      </c>
      <c r="K886" s="24">
        <v>2</v>
      </c>
      <c r="L886" s="24">
        <v>0</v>
      </c>
      <c r="M886" s="24">
        <v>0</v>
      </c>
      <c r="N886" s="24">
        <v>0</v>
      </c>
      <c r="O886" s="24">
        <v>0</v>
      </c>
      <c r="P886" s="24">
        <v>0</v>
      </c>
      <c r="Q886" s="24">
        <v>0</v>
      </c>
      <c r="R886" s="24">
        <v>0</v>
      </c>
      <c r="S886" s="24">
        <v>20</v>
      </c>
      <c r="T886" s="24">
        <v>0</v>
      </c>
      <c r="U886" s="24">
        <v>1</v>
      </c>
      <c r="V886" s="24">
        <v>0</v>
      </c>
      <c r="W886" s="24">
        <v>1</v>
      </c>
      <c r="X886" s="24">
        <v>1</v>
      </c>
      <c r="Y886" s="24">
        <v>0</v>
      </c>
      <c r="Z886" s="24">
        <v>0</v>
      </c>
      <c r="AA886" s="24">
        <v>1</v>
      </c>
      <c r="AB886" s="24">
        <v>0</v>
      </c>
      <c r="AC886" s="24">
        <v>0</v>
      </c>
      <c r="AD886" s="24">
        <v>0</v>
      </c>
      <c r="AE886" s="24">
        <v>1</v>
      </c>
      <c r="AF886" s="24">
        <v>0</v>
      </c>
      <c r="AG886" s="24">
        <v>0</v>
      </c>
      <c r="AH886" s="24">
        <v>1</v>
      </c>
      <c r="AI886" s="24">
        <v>0</v>
      </c>
      <c r="AJ886" s="24">
        <v>0</v>
      </c>
      <c r="AK886" s="24">
        <v>0</v>
      </c>
      <c r="AL886" s="24">
        <v>0</v>
      </c>
      <c r="AM886" s="24">
        <v>1</v>
      </c>
      <c r="AN886" s="24">
        <v>0</v>
      </c>
      <c r="AO886" s="24">
        <v>0</v>
      </c>
      <c r="AP886" s="24">
        <v>0</v>
      </c>
      <c r="AQ886" s="24">
        <v>0</v>
      </c>
      <c r="AR886" s="24">
        <v>1</v>
      </c>
      <c r="AS886" s="24">
        <v>0</v>
      </c>
      <c r="AT886" s="24">
        <v>0</v>
      </c>
      <c r="AU886" s="24">
        <v>0</v>
      </c>
      <c r="AV886" s="24">
        <v>0</v>
      </c>
      <c r="AW886" s="24">
        <v>0</v>
      </c>
      <c r="AX886" s="24">
        <v>1</v>
      </c>
      <c r="AY886" s="24">
        <v>0</v>
      </c>
      <c r="AZ886" s="24">
        <v>0</v>
      </c>
      <c r="BA886" s="24">
        <v>1</v>
      </c>
      <c r="BB886" s="24">
        <v>0</v>
      </c>
    </row>
    <row r="887" spans="2:54" ht="13.8" x14ac:dyDescent="0.3">
      <c r="B887" s="24">
        <v>867</v>
      </c>
      <c r="C887" s="24">
        <v>18</v>
      </c>
      <c r="D887" s="24">
        <v>0</v>
      </c>
      <c r="E887" s="24">
        <v>0</v>
      </c>
      <c r="F887" s="24">
        <v>0</v>
      </c>
      <c r="G887" s="24">
        <v>1</v>
      </c>
      <c r="H887" s="24">
        <v>0</v>
      </c>
      <c r="I887" s="24">
        <v>0</v>
      </c>
      <c r="J887" s="24">
        <v>2389</v>
      </c>
      <c r="K887" s="24">
        <v>4</v>
      </c>
      <c r="L887" s="24">
        <v>0</v>
      </c>
      <c r="M887" s="24">
        <v>0</v>
      </c>
      <c r="N887" s="24">
        <v>0</v>
      </c>
      <c r="O887" s="24">
        <v>0</v>
      </c>
      <c r="P887" s="24">
        <v>0</v>
      </c>
      <c r="Q887" s="24">
        <v>0</v>
      </c>
      <c r="R887" s="24">
        <v>0</v>
      </c>
      <c r="S887" s="24">
        <v>27</v>
      </c>
      <c r="T887" s="24">
        <v>1</v>
      </c>
      <c r="U887" s="24">
        <v>0</v>
      </c>
      <c r="V887" s="24">
        <v>1</v>
      </c>
      <c r="W887" s="24">
        <v>1</v>
      </c>
      <c r="X887" s="24">
        <v>1</v>
      </c>
      <c r="Y887" s="24">
        <v>0</v>
      </c>
      <c r="Z887" s="24">
        <v>0</v>
      </c>
      <c r="AA887" s="24">
        <v>1</v>
      </c>
      <c r="AB887" s="24">
        <v>1</v>
      </c>
      <c r="AC887" s="24">
        <v>0</v>
      </c>
      <c r="AD887" s="24">
        <v>0</v>
      </c>
      <c r="AE887" s="24">
        <v>0</v>
      </c>
      <c r="AF887" s="24">
        <v>0</v>
      </c>
      <c r="AG887" s="24">
        <v>0</v>
      </c>
      <c r="AH887" s="24">
        <v>1</v>
      </c>
      <c r="AI887" s="24">
        <v>0</v>
      </c>
      <c r="AJ887" s="24">
        <v>0</v>
      </c>
      <c r="AK887" s="24">
        <v>1</v>
      </c>
      <c r="AL887" s="24">
        <v>0</v>
      </c>
      <c r="AM887" s="24">
        <v>0</v>
      </c>
      <c r="AN887" s="24">
        <v>0</v>
      </c>
      <c r="AO887" s="24">
        <v>0</v>
      </c>
      <c r="AP887" s="24">
        <v>0</v>
      </c>
      <c r="AQ887" s="24">
        <v>1</v>
      </c>
      <c r="AR887" s="24">
        <v>0</v>
      </c>
      <c r="AS887" s="24">
        <v>0</v>
      </c>
      <c r="AT887" s="24">
        <v>0</v>
      </c>
      <c r="AU887" s="24">
        <v>1</v>
      </c>
      <c r="AV887" s="24">
        <v>0</v>
      </c>
      <c r="AW887" s="24">
        <v>0</v>
      </c>
      <c r="AX887" s="24">
        <v>0</v>
      </c>
      <c r="AY887" s="24">
        <v>0</v>
      </c>
      <c r="AZ887" s="24">
        <v>0</v>
      </c>
      <c r="BA887" s="24">
        <v>1</v>
      </c>
      <c r="BB887" s="24">
        <v>0</v>
      </c>
    </row>
    <row r="888" spans="2:54" ht="13.8" x14ac:dyDescent="0.3">
      <c r="B888" s="24">
        <v>868</v>
      </c>
      <c r="C888" s="24">
        <v>12</v>
      </c>
      <c r="D888" s="24">
        <v>0</v>
      </c>
      <c r="E888" s="24">
        <v>0</v>
      </c>
      <c r="F888" s="24">
        <v>1</v>
      </c>
      <c r="G888" s="24">
        <v>0</v>
      </c>
      <c r="H888" s="24">
        <v>0</v>
      </c>
      <c r="I888" s="24">
        <v>0</v>
      </c>
      <c r="J888" s="24">
        <v>3331</v>
      </c>
      <c r="K888" s="24">
        <v>2</v>
      </c>
      <c r="L888" s="24">
        <v>0</v>
      </c>
      <c r="M888" s="24">
        <v>1</v>
      </c>
      <c r="N888" s="24">
        <v>0</v>
      </c>
      <c r="O888" s="24">
        <v>0</v>
      </c>
      <c r="P888" s="24">
        <v>0</v>
      </c>
      <c r="Q888" s="24">
        <v>0</v>
      </c>
      <c r="R888" s="24">
        <v>0</v>
      </c>
      <c r="S888" s="24">
        <v>42</v>
      </c>
      <c r="T888" s="24">
        <v>1</v>
      </c>
      <c r="U888" s="24">
        <v>0</v>
      </c>
      <c r="V888" s="24">
        <v>1</v>
      </c>
      <c r="W888" s="24">
        <v>1</v>
      </c>
      <c r="X888" s="24">
        <v>1</v>
      </c>
      <c r="Y888" s="24">
        <v>0</v>
      </c>
      <c r="Z888" s="24">
        <v>0</v>
      </c>
      <c r="AA888" s="24">
        <v>1</v>
      </c>
      <c r="AB888" s="24">
        <v>0</v>
      </c>
      <c r="AC888" s="24">
        <v>0</v>
      </c>
      <c r="AD888" s="24">
        <v>0</v>
      </c>
      <c r="AE888" s="24">
        <v>1</v>
      </c>
      <c r="AF888" s="24">
        <v>0</v>
      </c>
      <c r="AG888" s="24">
        <v>0</v>
      </c>
      <c r="AH888" s="24">
        <v>0</v>
      </c>
      <c r="AI888" s="24">
        <v>0</v>
      </c>
      <c r="AJ888" s="24">
        <v>1</v>
      </c>
      <c r="AK888" s="24">
        <v>1</v>
      </c>
      <c r="AL888" s="24">
        <v>0</v>
      </c>
      <c r="AM888" s="24">
        <v>0</v>
      </c>
      <c r="AN888" s="24">
        <v>0</v>
      </c>
      <c r="AO888" s="24">
        <v>0</v>
      </c>
      <c r="AP888" s="24">
        <v>0</v>
      </c>
      <c r="AQ888" s="24">
        <v>0</v>
      </c>
      <c r="AR888" s="24">
        <v>0</v>
      </c>
      <c r="AS888" s="24">
        <v>0</v>
      </c>
      <c r="AT888" s="24">
        <v>1</v>
      </c>
      <c r="AU888" s="24">
        <v>0</v>
      </c>
      <c r="AV888" s="24">
        <v>0</v>
      </c>
      <c r="AW888" s="24">
        <v>0</v>
      </c>
      <c r="AX888" s="24">
        <v>1</v>
      </c>
      <c r="AY888" s="24">
        <v>0</v>
      </c>
      <c r="AZ888" s="24">
        <v>0</v>
      </c>
      <c r="BA888" s="24">
        <v>1</v>
      </c>
      <c r="BB888" s="24">
        <v>0</v>
      </c>
    </row>
    <row r="889" spans="2:54" ht="13.8" x14ac:dyDescent="0.3">
      <c r="B889" s="24">
        <v>869</v>
      </c>
      <c r="C889" s="24">
        <v>36</v>
      </c>
      <c r="D889" s="24">
        <v>0</v>
      </c>
      <c r="E889" s="24">
        <v>0</v>
      </c>
      <c r="F889" s="24">
        <v>0</v>
      </c>
      <c r="G889" s="24">
        <v>0</v>
      </c>
      <c r="H889" s="24">
        <v>0</v>
      </c>
      <c r="I889" s="24">
        <v>1</v>
      </c>
      <c r="J889" s="24">
        <v>7409</v>
      </c>
      <c r="K889" s="24">
        <v>3</v>
      </c>
      <c r="L889" s="24">
        <v>0</v>
      </c>
      <c r="M889" s="24">
        <v>1</v>
      </c>
      <c r="N889" s="24">
        <v>0</v>
      </c>
      <c r="O889" s="24">
        <v>0</v>
      </c>
      <c r="P889" s="24">
        <v>0</v>
      </c>
      <c r="Q889" s="24">
        <v>0</v>
      </c>
      <c r="R889" s="24">
        <v>0</v>
      </c>
      <c r="S889" s="24">
        <v>37</v>
      </c>
      <c r="T889" s="24">
        <v>0</v>
      </c>
      <c r="U889" s="24">
        <v>0</v>
      </c>
      <c r="V889" s="24">
        <v>1</v>
      </c>
      <c r="W889" s="24">
        <v>2</v>
      </c>
      <c r="X889" s="24">
        <v>1</v>
      </c>
      <c r="Y889" s="24">
        <v>0</v>
      </c>
      <c r="Z889" s="24">
        <v>0</v>
      </c>
      <c r="AA889" s="24">
        <v>1</v>
      </c>
      <c r="AB889" s="24">
        <v>0</v>
      </c>
      <c r="AC889" s="24">
        <v>0</v>
      </c>
      <c r="AD889" s="24">
        <v>0</v>
      </c>
      <c r="AE889" s="24">
        <v>1</v>
      </c>
      <c r="AF889" s="24">
        <v>0</v>
      </c>
      <c r="AG889" s="24">
        <v>0</v>
      </c>
      <c r="AH889" s="24">
        <v>1</v>
      </c>
      <c r="AI889" s="24">
        <v>0</v>
      </c>
      <c r="AJ889" s="24">
        <v>0</v>
      </c>
      <c r="AK889" s="24">
        <v>0</v>
      </c>
      <c r="AL889" s="24">
        <v>0</v>
      </c>
      <c r="AM889" s="24">
        <v>0</v>
      </c>
      <c r="AN889" s="24">
        <v>0</v>
      </c>
      <c r="AO889" s="24">
        <v>1</v>
      </c>
      <c r="AP889" s="24">
        <v>0</v>
      </c>
      <c r="AQ889" s="24">
        <v>0</v>
      </c>
      <c r="AR889" s="24">
        <v>0</v>
      </c>
      <c r="AS889" s="24">
        <v>0</v>
      </c>
      <c r="AT889" s="24">
        <v>1</v>
      </c>
      <c r="AU889" s="24">
        <v>0</v>
      </c>
      <c r="AV889" s="24">
        <v>1</v>
      </c>
      <c r="AW889" s="24">
        <v>0</v>
      </c>
      <c r="AX889" s="24">
        <v>0</v>
      </c>
      <c r="AY889" s="24">
        <v>0</v>
      </c>
      <c r="AZ889" s="24">
        <v>0</v>
      </c>
      <c r="BA889" s="24">
        <v>1</v>
      </c>
      <c r="BB889" s="24">
        <v>0</v>
      </c>
    </row>
    <row r="890" spans="2:54" ht="13.8" x14ac:dyDescent="0.3">
      <c r="B890" s="24">
        <v>870</v>
      </c>
      <c r="C890" s="24">
        <v>12</v>
      </c>
      <c r="D890" s="24">
        <v>0</v>
      </c>
      <c r="E890" s="24">
        <v>0</v>
      </c>
      <c r="F890" s="24">
        <v>1</v>
      </c>
      <c r="G890" s="24">
        <v>0</v>
      </c>
      <c r="H890" s="24">
        <v>0</v>
      </c>
      <c r="I890" s="24">
        <v>0</v>
      </c>
      <c r="J890" s="24">
        <v>652</v>
      </c>
      <c r="K890" s="24">
        <v>4</v>
      </c>
      <c r="L890" s="24">
        <v>0</v>
      </c>
      <c r="M890" s="24">
        <v>0</v>
      </c>
      <c r="N890" s="24">
        <v>0</v>
      </c>
      <c r="O890" s="24">
        <v>0</v>
      </c>
      <c r="P890" s="24">
        <v>0</v>
      </c>
      <c r="Q890" s="24">
        <v>0</v>
      </c>
      <c r="R890" s="24">
        <v>0</v>
      </c>
      <c r="S890" s="24">
        <v>24</v>
      </c>
      <c r="T890" s="24">
        <v>0</v>
      </c>
      <c r="U890" s="24">
        <v>1</v>
      </c>
      <c r="V890" s="24">
        <v>0</v>
      </c>
      <c r="W890" s="24">
        <v>1</v>
      </c>
      <c r="X890" s="24">
        <v>1</v>
      </c>
      <c r="Y890" s="24">
        <v>0</v>
      </c>
      <c r="Z890" s="24">
        <v>0</v>
      </c>
      <c r="AA890" s="24">
        <v>1</v>
      </c>
      <c r="AB890" s="24">
        <v>1</v>
      </c>
      <c r="AC890" s="24">
        <v>0</v>
      </c>
      <c r="AD890" s="24">
        <v>0</v>
      </c>
      <c r="AE890" s="24">
        <v>0</v>
      </c>
      <c r="AF890" s="24">
        <v>0</v>
      </c>
      <c r="AG890" s="24">
        <v>0</v>
      </c>
      <c r="AH890" s="24">
        <v>1</v>
      </c>
      <c r="AI890" s="24">
        <v>0</v>
      </c>
      <c r="AJ890" s="24">
        <v>0</v>
      </c>
      <c r="AK890" s="24">
        <v>1</v>
      </c>
      <c r="AL890" s="24">
        <v>0</v>
      </c>
      <c r="AM890" s="24">
        <v>0</v>
      </c>
      <c r="AN890" s="24">
        <v>0</v>
      </c>
      <c r="AO890" s="24">
        <v>0</v>
      </c>
      <c r="AP890" s="24">
        <v>0</v>
      </c>
      <c r="AQ890" s="24">
        <v>0</v>
      </c>
      <c r="AR890" s="24">
        <v>0</v>
      </c>
      <c r="AS890" s="24">
        <v>0</v>
      </c>
      <c r="AT890" s="24">
        <v>1</v>
      </c>
      <c r="AU890" s="24">
        <v>0</v>
      </c>
      <c r="AV890" s="24">
        <v>0</v>
      </c>
      <c r="AW890" s="24">
        <v>0</v>
      </c>
      <c r="AX890" s="24">
        <v>1</v>
      </c>
      <c r="AY890" s="24">
        <v>0</v>
      </c>
      <c r="AZ890" s="24">
        <v>0</v>
      </c>
      <c r="BA890" s="24">
        <v>1</v>
      </c>
      <c r="BB890" s="24">
        <v>0</v>
      </c>
    </row>
    <row r="891" spans="2:54" ht="13.8" x14ac:dyDescent="0.3">
      <c r="B891" s="24">
        <v>871</v>
      </c>
      <c r="C891" s="24">
        <v>36</v>
      </c>
      <c r="D891" s="24">
        <v>0</v>
      </c>
      <c r="E891" s="24">
        <v>0</v>
      </c>
      <c r="F891" s="24">
        <v>1</v>
      </c>
      <c r="G891" s="24">
        <v>0</v>
      </c>
      <c r="H891" s="24">
        <v>0</v>
      </c>
      <c r="I891" s="24">
        <v>0</v>
      </c>
      <c r="J891" s="24">
        <v>7678</v>
      </c>
      <c r="K891" s="24">
        <v>2</v>
      </c>
      <c r="L891" s="24">
        <v>0</v>
      </c>
      <c r="M891" s="24">
        <v>0</v>
      </c>
      <c r="N891" s="24">
        <v>0</v>
      </c>
      <c r="O891" s="24">
        <v>0</v>
      </c>
      <c r="P891" s="24">
        <v>0</v>
      </c>
      <c r="Q891" s="24">
        <v>0</v>
      </c>
      <c r="R891" s="24">
        <v>0</v>
      </c>
      <c r="S891" s="24">
        <v>40</v>
      </c>
      <c r="T891" s="24">
        <v>0</v>
      </c>
      <c r="U891" s="24">
        <v>0</v>
      </c>
      <c r="V891" s="24">
        <v>1</v>
      </c>
      <c r="W891" s="24">
        <v>2</v>
      </c>
      <c r="X891" s="24">
        <v>1</v>
      </c>
      <c r="Y891" s="24">
        <v>1</v>
      </c>
      <c r="Z891" s="24">
        <v>0</v>
      </c>
      <c r="AA891" s="24">
        <v>1</v>
      </c>
      <c r="AB891" s="24">
        <v>0</v>
      </c>
      <c r="AC891" s="24">
        <v>0</v>
      </c>
      <c r="AD891" s="24">
        <v>0</v>
      </c>
      <c r="AE891" s="24">
        <v>1</v>
      </c>
      <c r="AF891" s="24">
        <v>0</v>
      </c>
      <c r="AG891" s="24">
        <v>0</v>
      </c>
      <c r="AH891" s="24">
        <v>0</v>
      </c>
      <c r="AI891" s="24">
        <v>1</v>
      </c>
      <c r="AJ891" s="24">
        <v>0</v>
      </c>
      <c r="AK891" s="24">
        <v>0</v>
      </c>
      <c r="AL891" s="24">
        <v>0</v>
      </c>
      <c r="AM891" s="24">
        <v>1</v>
      </c>
      <c r="AN891" s="24">
        <v>0</v>
      </c>
      <c r="AO891" s="24">
        <v>0</v>
      </c>
      <c r="AP891" s="24">
        <v>0</v>
      </c>
      <c r="AQ891" s="24">
        <v>0</v>
      </c>
      <c r="AR891" s="24">
        <v>0</v>
      </c>
      <c r="AS891" s="24">
        <v>1</v>
      </c>
      <c r="AT891" s="24">
        <v>0</v>
      </c>
      <c r="AU891" s="24">
        <v>0</v>
      </c>
      <c r="AV891" s="24">
        <v>0</v>
      </c>
      <c r="AW891" s="24">
        <v>0</v>
      </c>
      <c r="AX891" s="24">
        <v>1</v>
      </c>
      <c r="AY891" s="24">
        <v>0</v>
      </c>
      <c r="AZ891" s="24">
        <v>0</v>
      </c>
      <c r="BA891" s="24">
        <v>1</v>
      </c>
      <c r="BB891" s="24">
        <v>0</v>
      </c>
    </row>
    <row r="892" spans="2:54" ht="13.8" x14ac:dyDescent="0.3">
      <c r="B892" s="24">
        <v>872</v>
      </c>
      <c r="C892" s="24">
        <v>6</v>
      </c>
      <c r="D892" s="24">
        <v>1</v>
      </c>
      <c r="E892" s="24">
        <v>0</v>
      </c>
      <c r="F892" s="24">
        <v>0</v>
      </c>
      <c r="G892" s="24">
        <v>0</v>
      </c>
      <c r="H892" s="24">
        <v>0</v>
      </c>
      <c r="I892" s="24">
        <v>0</v>
      </c>
      <c r="J892" s="24">
        <v>1343</v>
      </c>
      <c r="K892" s="24">
        <v>1</v>
      </c>
      <c r="L892" s="24">
        <v>0</v>
      </c>
      <c r="M892" s="24">
        <v>1</v>
      </c>
      <c r="N892" s="24">
        <v>0</v>
      </c>
      <c r="O892" s="24">
        <v>0</v>
      </c>
      <c r="P892" s="24">
        <v>0</v>
      </c>
      <c r="Q892" s="24">
        <v>1</v>
      </c>
      <c r="R892" s="24">
        <v>0</v>
      </c>
      <c r="S892" s="24">
        <v>46</v>
      </c>
      <c r="T892" s="24">
        <v>0</v>
      </c>
      <c r="U892" s="24">
        <v>0</v>
      </c>
      <c r="V892" s="24">
        <v>1</v>
      </c>
      <c r="W892" s="24">
        <v>2</v>
      </c>
      <c r="X892" s="24">
        <v>2</v>
      </c>
      <c r="Y892" s="24">
        <v>0</v>
      </c>
      <c r="Z892" s="24">
        <v>1</v>
      </c>
      <c r="AA892" s="24">
        <v>1</v>
      </c>
      <c r="AB892" s="24">
        <v>0</v>
      </c>
      <c r="AC892" s="24">
        <v>0</v>
      </c>
      <c r="AD892" s="24">
        <v>1</v>
      </c>
      <c r="AE892" s="24">
        <v>0</v>
      </c>
      <c r="AF892" s="24">
        <v>0</v>
      </c>
      <c r="AG892" s="24">
        <v>0</v>
      </c>
      <c r="AH892" s="24">
        <v>0</v>
      </c>
      <c r="AI892" s="24">
        <v>0</v>
      </c>
      <c r="AJ892" s="24">
        <v>1</v>
      </c>
      <c r="AK892" s="24">
        <v>1</v>
      </c>
      <c r="AL892" s="24">
        <v>0</v>
      </c>
      <c r="AM892" s="24">
        <v>0</v>
      </c>
      <c r="AN892" s="24">
        <v>0</v>
      </c>
      <c r="AO892" s="24">
        <v>0</v>
      </c>
      <c r="AP892" s="24">
        <v>0</v>
      </c>
      <c r="AQ892" s="24">
        <v>0</v>
      </c>
      <c r="AR892" s="24">
        <v>0</v>
      </c>
      <c r="AS892" s="24">
        <v>0</v>
      </c>
      <c r="AT892" s="24">
        <v>1</v>
      </c>
      <c r="AU892" s="24">
        <v>0</v>
      </c>
      <c r="AV892" s="24">
        <v>0</v>
      </c>
      <c r="AW892" s="24">
        <v>0</v>
      </c>
      <c r="AX892" s="24">
        <v>1</v>
      </c>
      <c r="AY892" s="24">
        <v>0</v>
      </c>
      <c r="AZ892" s="24">
        <v>0</v>
      </c>
      <c r="BA892" s="24">
        <v>1</v>
      </c>
      <c r="BB892" s="24">
        <v>0</v>
      </c>
    </row>
    <row r="893" spans="2:54" ht="13.8" x14ac:dyDescent="0.3">
      <c r="B893" s="24">
        <v>873</v>
      </c>
      <c r="C893" s="24">
        <v>24</v>
      </c>
      <c r="D893" s="24">
        <v>0</v>
      </c>
      <c r="E893" s="24">
        <v>0</v>
      </c>
      <c r="F893" s="24">
        <v>0</v>
      </c>
      <c r="G893" s="24">
        <v>0</v>
      </c>
      <c r="H893" s="24">
        <v>0</v>
      </c>
      <c r="I893" s="24">
        <v>1</v>
      </c>
      <c r="J893" s="24">
        <v>1382</v>
      </c>
      <c r="K893" s="24">
        <v>4</v>
      </c>
      <c r="L893" s="24">
        <v>0</v>
      </c>
      <c r="M893" s="24">
        <v>1</v>
      </c>
      <c r="N893" s="24">
        <v>0</v>
      </c>
      <c r="O893" s="24">
        <v>0</v>
      </c>
      <c r="P893" s="24">
        <v>0</v>
      </c>
      <c r="Q893" s="24">
        <v>1</v>
      </c>
      <c r="R893" s="24">
        <v>0</v>
      </c>
      <c r="S893" s="24">
        <v>26</v>
      </c>
      <c r="T893" s="24">
        <v>0</v>
      </c>
      <c r="U893" s="24">
        <v>0</v>
      </c>
      <c r="V893" s="24">
        <v>1</v>
      </c>
      <c r="W893" s="24">
        <v>2</v>
      </c>
      <c r="X893" s="24">
        <v>1</v>
      </c>
      <c r="Y893" s="24">
        <v>1</v>
      </c>
      <c r="Z893" s="24">
        <v>0</v>
      </c>
      <c r="AA893" s="24">
        <v>1</v>
      </c>
      <c r="AB893" s="24">
        <v>1</v>
      </c>
      <c r="AC893" s="24">
        <v>0</v>
      </c>
      <c r="AD893" s="24">
        <v>0</v>
      </c>
      <c r="AE893" s="24">
        <v>0</v>
      </c>
      <c r="AF893" s="24">
        <v>0</v>
      </c>
      <c r="AG893" s="24">
        <v>0</v>
      </c>
      <c r="AH893" s="24">
        <v>0</v>
      </c>
      <c r="AI893" s="24">
        <v>0</v>
      </c>
      <c r="AJ893" s="24">
        <v>1</v>
      </c>
      <c r="AK893" s="24">
        <v>0</v>
      </c>
      <c r="AL893" s="24">
        <v>1</v>
      </c>
      <c r="AM893" s="24">
        <v>0</v>
      </c>
      <c r="AN893" s="24">
        <v>0</v>
      </c>
      <c r="AO893" s="24">
        <v>0</v>
      </c>
      <c r="AP893" s="24">
        <v>0</v>
      </c>
      <c r="AQ893" s="24">
        <v>0</v>
      </c>
      <c r="AR893" s="24">
        <v>0</v>
      </c>
      <c r="AS893" s="24">
        <v>1</v>
      </c>
      <c r="AT893" s="24">
        <v>0</v>
      </c>
      <c r="AU893" s="24">
        <v>1</v>
      </c>
      <c r="AV893" s="24">
        <v>0</v>
      </c>
      <c r="AW893" s="24">
        <v>0</v>
      </c>
      <c r="AX893" s="24">
        <v>0</v>
      </c>
      <c r="AY893" s="24">
        <v>0</v>
      </c>
      <c r="AZ893" s="24">
        <v>0</v>
      </c>
      <c r="BA893" s="24">
        <v>1</v>
      </c>
      <c r="BB893" s="24">
        <v>0</v>
      </c>
    </row>
    <row r="894" spans="2:54" ht="13.8" x14ac:dyDescent="0.3">
      <c r="B894" s="24">
        <v>874</v>
      </c>
      <c r="C894" s="24">
        <v>15</v>
      </c>
      <c r="D894" s="24">
        <v>0</v>
      </c>
      <c r="E894" s="24">
        <v>0</v>
      </c>
      <c r="F894" s="24">
        <v>0</v>
      </c>
      <c r="G894" s="24">
        <v>0</v>
      </c>
      <c r="H894" s="24">
        <v>0</v>
      </c>
      <c r="I894" s="24">
        <v>0</v>
      </c>
      <c r="J894" s="24">
        <v>874</v>
      </c>
      <c r="K894" s="24">
        <v>4</v>
      </c>
      <c r="L894" s="24">
        <v>0</v>
      </c>
      <c r="M894" s="24">
        <v>0</v>
      </c>
      <c r="N894" s="24">
        <v>0</v>
      </c>
      <c r="O894" s="24">
        <v>0</v>
      </c>
      <c r="P894" s="24">
        <v>0</v>
      </c>
      <c r="Q894" s="24">
        <v>1</v>
      </c>
      <c r="R894" s="24">
        <v>0</v>
      </c>
      <c r="S894" s="24">
        <v>24</v>
      </c>
      <c r="T894" s="24">
        <v>0</v>
      </c>
      <c r="U894" s="24">
        <v>0</v>
      </c>
      <c r="V894" s="24">
        <v>1</v>
      </c>
      <c r="W894" s="24">
        <v>1</v>
      </c>
      <c r="X894" s="24">
        <v>1</v>
      </c>
      <c r="Y894" s="24">
        <v>0</v>
      </c>
      <c r="Z894" s="24">
        <v>0</v>
      </c>
      <c r="AA894" s="24">
        <v>1</v>
      </c>
      <c r="AB894" s="24">
        <v>0</v>
      </c>
      <c r="AC894" s="24">
        <v>0</v>
      </c>
      <c r="AD894" s="24">
        <v>0</v>
      </c>
      <c r="AE894" s="24">
        <v>1</v>
      </c>
      <c r="AF894" s="24">
        <v>0</v>
      </c>
      <c r="AG894" s="24">
        <v>0</v>
      </c>
      <c r="AH894" s="24">
        <v>1</v>
      </c>
      <c r="AI894" s="24">
        <v>0</v>
      </c>
      <c r="AJ894" s="24">
        <v>0</v>
      </c>
      <c r="AK894" s="24">
        <v>0</v>
      </c>
      <c r="AL894" s="24">
        <v>0</v>
      </c>
      <c r="AM894" s="24">
        <v>0</v>
      </c>
      <c r="AN894" s="24">
        <v>0</v>
      </c>
      <c r="AO894" s="24">
        <v>1</v>
      </c>
      <c r="AP894" s="24">
        <v>0</v>
      </c>
      <c r="AQ894" s="24">
        <v>1</v>
      </c>
      <c r="AR894" s="24">
        <v>0</v>
      </c>
      <c r="AS894" s="24">
        <v>0</v>
      </c>
      <c r="AT894" s="24">
        <v>0</v>
      </c>
      <c r="AU894" s="24">
        <v>1</v>
      </c>
      <c r="AV894" s="24">
        <v>0</v>
      </c>
      <c r="AW894" s="24">
        <v>0</v>
      </c>
      <c r="AX894" s="24">
        <v>0</v>
      </c>
      <c r="AY894" s="24">
        <v>0</v>
      </c>
      <c r="AZ894" s="24">
        <v>0</v>
      </c>
      <c r="BA894" s="24">
        <v>1</v>
      </c>
      <c r="BB894" s="24">
        <v>0</v>
      </c>
    </row>
    <row r="895" spans="2:54" ht="13.8" x14ac:dyDescent="0.3">
      <c r="B895" s="24">
        <v>875</v>
      </c>
      <c r="C895" s="24">
        <v>12</v>
      </c>
      <c r="D895" s="24">
        <v>0</v>
      </c>
      <c r="E895" s="24">
        <v>0</v>
      </c>
      <c r="F895" s="24">
        <v>1</v>
      </c>
      <c r="G895" s="24">
        <v>0</v>
      </c>
      <c r="H895" s="24">
        <v>0</v>
      </c>
      <c r="I895" s="24">
        <v>0</v>
      </c>
      <c r="J895" s="24">
        <v>3590</v>
      </c>
      <c r="K895" s="24">
        <v>2</v>
      </c>
      <c r="L895" s="24">
        <v>0</v>
      </c>
      <c r="M895" s="24">
        <v>1</v>
      </c>
      <c r="N895" s="24">
        <v>0</v>
      </c>
      <c r="O895" s="24">
        <v>1</v>
      </c>
      <c r="P895" s="24">
        <v>0</v>
      </c>
      <c r="Q895" s="24">
        <v>0</v>
      </c>
      <c r="R895" s="24">
        <v>0</v>
      </c>
      <c r="S895" s="24">
        <v>29</v>
      </c>
      <c r="T895" s="24">
        <v>0</v>
      </c>
      <c r="U895" s="24">
        <v>0</v>
      </c>
      <c r="V895" s="24">
        <v>1</v>
      </c>
      <c r="W895" s="24">
        <v>1</v>
      </c>
      <c r="X895" s="24">
        <v>2</v>
      </c>
      <c r="Y895" s="24">
        <v>0</v>
      </c>
      <c r="Z895" s="24">
        <v>0</v>
      </c>
      <c r="AA895" s="24">
        <v>1</v>
      </c>
      <c r="AB895" s="24">
        <v>1</v>
      </c>
      <c r="AC895" s="24">
        <v>0</v>
      </c>
      <c r="AD895" s="24">
        <v>0</v>
      </c>
      <c r="AE895" s="24">
        <v>0</v>
      </c>
      <c r="AF895" s="24">
        <v>0</v>
      </c>
      <c r="AG895" s="24">
        <v>0</v>
      </c>
      <c r="AH895" s="24">
        <v>1</v>
      </c>
      <c r="AI895" s="24">
        <v>0</v>
      </c>
      <c r="AJ895" s="24">
        <v>0</v>
      </c>
      <c r="AK895" s="24">
        <v>1</v>
      </c>
      <c r="AL895" s="24">
        <v>0</v>
      </c>
      <c r="AM895" s="24">
        <v>0</v>
      </c>
      <c r="AN895" s="24">
        <v>0</v>
      </c>
      <c r="AO895" s="24">
        <v>0</v>
      </c>
      <c r="AP895" s="24">
        <v>0</v>
      </c>
      <c r="AQ895" s="24">
        <v>0</v>
      </c>
      <c r="AR895" s="24">
        <v>1</v>
      </c>
      <c r="AS895" s="24">
        <v>0</v>
      </c>
      <c r="AT895" s="24">
        <v>0</v>
      </c>
      <c r="AU895" s="24">
        <v>0</v>
      </c>
      <c r="AV895" s="24">
        <v>1</v>
      </c>
      <c r="AW895" s="24">
        <v>0</v>
      </c>
      <c r="AX895" s="24">
        <v>0</v>
      </c>
      <c r="AY895" s="24">
        <v>0</v>
      </c>
      <c r="AZ895" s="24">
        <v>1</v>
      </c>
      <c r="BA895" s="24">
        <v>0</v>
      </c>
      <c r="BB895" s="24">
        <v>0</v>
      </c>
    </row>
    <row r="896" spans="2:54" ht="13.8" x14ac:dyDescent="0.3">
      <c r="B896" s="24">
        <v>876</v>
      </c>
      <c r="C896" s="24">
        <v>11</v>
      </c>
      <c r="D896" s="24">
        <v>1</v>
      </c>
      <c r="E896" s="24">
        <v>0</v>
      </c>
      <c r="F896" s="24">
        <v>0</v>
      </c>
      <c r="G896" s="24">
        <v>0</v>
      </c>
      <c r="H896" s="24">
        <v>0</v>
      </c>
      <c r="I896" s="24">
        <v>0</v>
      </c>
      <c r="J896" s="24">
        <v>1322</v>
      </c>
      <c r="K896" s="24">
        <v>4</v>
      </c>
      <c r="L896" s="24">
        <v>0</v>
      </c>
      <c r="M896" s="24">
        <v>0</v>
      </c>
      <c r="N896" s="24">
        <v>0</v>
      </c>
      <c r="O896" s="24">
        <v>0</v>
      </c>
      <c r="P896" s="24">
        <v>0</v>
      </c>
      <c r="Q896" s="24">
        <v>0</v>
      </c>
      <c r="R896" s="24">
        <v>0</v>
      </c>
      <c r="S896" s="24">
        <v>40</v>
      </c>
      <c r="T896" s="24">
        <v>0</v>
      </c>
      <c r="U896" s="24">
        <v>0</v>
      </c>
      <c r="V896" s="24">
        <v>1</v>
      </c>
      <c r="W896" s="24">
        <v>2</v>
      </c>
      <c r="X896" s="24">
        <v>1</v>
      </c>
      <c r="Y896" s="24">
        <v>0</v>
      </c>
      <c r="Z896" s="24">
        <v>0</v>
      </c>
      <c r="AA896" s="24">
        <v>1</v>
      </c>
      <c r="AB896" s="24">
        <v>0</v>
      </c>
      <c r="AC896" s="24">
        <v>1</v>
      </c>
      <c r="AD896" s="24">
        <v>0</v>
      </c>
      <c r="AE896" s="24">
        <v>0</v>
      </c>
      <c r="AF896" s="24">
        <v>0</v>
      </c>
      <c r="AG896" s="24">
        <v>0</v>
      </c>
      <c r="AH896" s="24">
        <v>0</v>
      </c>
      <c r="AI896" s="24">
        <v>0</v>
      </c>
      <c r="AJ896" s="24">
        <v>1</v>
      </c>
      <c r="AK896" s="24">
        <v>0</v>
      </c>
      <c r="AL896" s="24">
        <v>0</v>
      </c>
      <c r="AM896" s="24">
        <v>0</v>
      </c>
      <c r="AN896" s="24">
        <v>1</v>
      </c>
      <c r="AO896" s="24">
        <v>0</v>
      </c>
      <c r="AP896" s="24">
        <v>0</v>
      </c>
      <c r="AQ896" s="24">
        <v>0</v>
      </c>
      <c r="AR896" s="24">
        <v>1</v>
      </c>
      <c r="AS896" s="24">
        <v>0</v>
      </c>
      <c r="AT896" s="24">
        <v>0</v>
      </c>
      <c r="AU896" s="24">
        <v>0</v>
      </c>
      <c r="AV896" s="24">
        <v>0</v>
      </c>
      <c r="AW896" s="24">
        <v>0</v>
      </c>
      <c r="AX896" s="24">
        <v>1</v>
      </c>
      <c r="AY896" s="24">
        <v>0</v>
      </c>
      <c r="AZ896" s="24">
        <v>0</v>
      </c>
      <c r="BA896" s="24">
        <v>1</v>
      </c>
      <c r="BB896" s="24">
        <v>0</v>
      </c>
    </row>
    <row r="897" spans="2:54" ht="13.8" x14ac:dyDescent="0.3">
      <c r="B897" s="24">
        <v>877</v>
      </c>
      <c r="C897" s="24">
        <v>18</v>
      </c>
      <c r="D897" s="24">
        <v>0</v>
      </c>
      <c r="E897" s="24">
        <v>0</v>
      </c>
      <c r="F897" s="24">
        <v>0</v>
      </c>
      <c r="G897" s="24">
        <v>1</v>
      </c>
      <c r="H897" s="24">
        <v>0</v>
      </c>
      <c r="I897" s="24">
        <v>0</v>
      </c>
      <c r="J897" s="24">
        <v>1940</v>
      </c>
      <c r="K897" s="24">
        <v>3</v>
      </c>
      <c r="L897" s="24">
        <v>0</v>
      </c>
      <c r="M897" s="24">
        <v>1</v>
      </c>
      <c r="N897" s="24">
        <v>0</v>
      </c>
      <c r="O897" s="24">
        <v>1</v>
      </c>
      <c r="P897" s="24">
        <v>0</v>
      </c>
      <c r="Q897" s="24">
        <v>0</v>
      </c>
      <c r="R897" s="24">
        <v>1</v>
      </c>
      <c r="S897" s="24">
        <v>36</v>
      </c>
      <c r="T897" s="24">
        <v>1</v>
      </c>
      <c r="U897" s="24">
        <v>0</v>
      </c>
      <c r="V897" s="24">
        <v>0</v>
      </c>
      <c r="W897" s="24">
        <v>1</v>
      </c>
      <c r="X897" s="24">
        <v>1</v>
      </c>
      <c r="Y897" s="24">
        <v>1</v>
      </c>
      <c r="Z897" s="24">
        <v>0</v>
      </c>
      <c r="AA897" s="24">
        <v>1</v>
      </c>
      <c r="AB897" s="24">
        <v>1</v>
      </c>
      <c r="AC897" s="24">
        <v>0</v>
      </c>
      <c r="AD897" s="24">
        <v>0</v>
      </c>
      <c r="AE897" s="24">
        <v>0</v>
      </c>
      <c r="AF897" s="24">
        <v>0</v>
      </c>
      <c r="AG897" s="24">
        <v>1</v>
      </c>
      <c r="AH897" s="24">
        <v>0</v>
      </c>
      <c r="AI897" s="24">
        <v>0</v>
      </c>
      <c r="AJ897" s="24">
        <v>0</v>
      </c>
      <c r="AK897" s="24">
        <v>1</v>
      </c>
      <c r="AL897" s="24">
        <v>0</v>
      </c>
      <c r="AM897" s="24">
        <v>0</v>
      </c>
      <c r="AN897" s="24">
        <v>0</v>
      </c>
      <c r="AO897" s="24">
        <v>0</v>
      </c>
      <c r="AP897" s="24">
        <v>0</v>
      </c>
      <c r="AQ897" s="24">
        <v>1</v>
      </c>
      <c r="AR897" s="24">
        <v>0</v>
      </c>
      <c r="AS897" s="24">
        <v>0</v>
      </c>
      <c r="AT897" s="24">
        <v>0</v>
      </c>
      <c r="AU897" s="24">
        <v>0</v>
      </c>
      <c r="AV897" s="24">
        <v>0</v>
      </c>
      <c r="AW897" s="24">
        <v>0</v>
      </c>
      <c r="AX897" s="24">
        <v>1</v>
      </c>
      <c r="AY897" s="24">
        <v>0</v>
      </c>
      <c r="AZ897" s="24">
        <v>0</v>
      </c>
      <c r="BA897" s="24">
        <v>0</v>
      </c>
      <c r="BB897" s="24">
        <v>1</v>
      </c>
    </row>
    <row r="898" spans="2:54" ht="13.8" x14ac:dyDescent="0.3">
      <c r="B898" s="24">
        <v>878</v>
      </c>
      <c r="C898" s="24">
        <v>36</v>
      </c>
      <c r="D898" s="24">
        <v>0</v>
      </c>
      <c r="E898" s="24">
        <v>0</v>
      </c>
      <c r="F898" s="24">
        <v>0</v>
      </c>
      <c r="G898" s="24">
        <v>1</v>
      </c>
      <c r="H898" s="24">
        <v>0</v>
      </c>
      <c r="I898" s="24">
        <v>0</v>
      </c>
      <c r="J898" s="24">
        <v>3595</v>
      </c>
      <c r="K898" s="24">
        <v>4</v>
      </c>
      <c r="L898" s="24">
        <v>0</v>
      </c>
      <c r="M898" s="24">
        <v>1</v>
      </c>
      <c r="N898" s="24">
        <v>0</v>
      </c>
      <c r="O898" s="24">
        <v>0</v>
      </c>
      <c r="P898" s="24">
        <v>0</v>
      </c>
      <c r="Q898" s="24">
        <v>0</v>
      </c>
      <c r="R898" s="24">
        <v>0</v>
      </c>
      <c r="S898" s="24">
        <v>28</v>
      </c>
      <c r="T898" s="24">
        <v>0</v>
      </c>
      <c r="U898" s="24">
        <v>0</v>
      </c>
      <c r="V898" s="24">
        <v>1</v>
      </c>
      <c r="W898" s="24">
        <v>1</v>
      </c>
      <c r="X898" s="24">
        <v>1</v>
      </c>
      <c r="Y898" s="24">
        <v>0</v>
      </c>
      <c r="Z898" s="24">
        <v>0</v>
      </c>
      <c r="AA898" s="24">
        <v>1</v>
      </c>
      <c r="AB898" s="24">
        <v>0</v>
      </c>
      <c r="AC898" s="24">
        <v>0</v>
      </c>
      <c r="AD898" s="24">
        <v>0</v>
      </c>
      <c r="AE898" s="24">
        <v>1</v>
      </c>
      <c r="AF898" s="24">
        <v>0</v>
      </c>
      <c r="AG898" s="24">
        <v>0</v>
      </c>
      <c r="AH898" s="24">
        <v>1</v>
      </c>
      <c r="AI898" s="24">
        <v>0</v>
      </c>
      <c r="AJ898" s="24">
        <v>0</v>
      </c>
      <c r="AK898" s="24">
        <v>1</v>
      </c>
      <c r="AL898" s="24">
        <v>0</v>
      </c>
      <c r="AM898" s="24">
        <v>0</v>
      </c>
      <c r="AN898" s="24">
        <v>0</v>
      </c>
      <c r="AO898" s="24">
        <v>0</v>
      </c>
      <c r="AP898" s="24">
        <v>0</v>
      </c>
      <c r="AQ898" s="24">
        <v>0</v>
      </c>
      <c r="AR898" s="24">
        <v>0</v>
      </c>
      <c r="AS898" s="24">
        <v>0</v>
      </c>
      <c r="AT898" s="24">
        <v>1</v>
      </c>
      <c r="AU898" s="24">
        <v>0</v>
      </c>
      <c r="AV898" s="24">
        <v>1</v>
      </c>
      <c r="AW898" s="24">
        <v>0</v>
      </c>
      <c r="AX898" s="24">
        <v>0</v>
      </c>
      <c r="AY898" s="24">
        <v>0</v>
      </c>
      <c r="AZ898" s="24">
        <v>0</v>
      </c>
      <c r="BA898" s="24">
        <v>1</v>
      </c>
      <c r="BB898" s="24">
        <v>0</v>
      </c>
    </row>
    <row r="899" spans="2:54" ht="13.8" x14ac:dyDescent="0.3">
      <c r="B899" s="24">
        <v>879</v>
      </c>
      <c r="C899" s="24">
        <v>9</v>
      </c>
      <c r="D899" s="24">
        <v>1</v>
      </c>
      <c r="E899" s="24">
        <v>0</v>
      </c>
      <c r="F899" s="24">
        <v>0</v>
      </c>
      <c r="G899" s="24">
        <v>0</v>
      </c>
      <c r="H899" s="24">
        <v>0</v>
      </c>
      <c r="I899" s="24">
        <v>0</v>
      </c>
      <c r="J899" s="24">
        <v>1422</v>
      </c>
      <c r="K899" s="24">
        <v>3</v>
      </c>
      <c r="L899" s="24">
        <v>0</v>
      </c>
      <c r="M899" s="24">
        <v>1</v>
      </c>
      <c r="N899" s="24">
        <v>0</v>
      </c>
      <c r="O899" s="24">
        <v>0</v>
      </c>
      <c r="P899" s="24">
        <v>0</v>
      </c>
      <c r="Q899" s="24">
        <v>0</v>
      </c>
      <c r="R899" s="24">
        <v>1</v>
      </c>
      <c r="S899" s="24">
        <v>27</v>
      </c>
      <c r="T899" s="24">
        <v>0</v>
      </c>
      <c r="U899" s="24">
        <v>0</v>
      </c>
      <c r="V899" s="24">
        <v>0</v>
      </c>
      <c r="W899" s="24">
        <v>1</v>
      </c>
      <c r="X899" s="24">
        <v>1</v>
      </c>
      <c r="Y899" s="24">
        <v>1</v>
      </c>
      <c r="Z899" s="24">
        <v>0</v>
      </c>
      <c r="AA899" s="24">
        <v>0</v>
      </c>
      <c r="AB899" s="24">
        <v>1</v>
      </c>
      <c r="AC899" s="24">
        <v>0</v>
      </c>
      <c r="AD899" s="24">
        <v>0</v>
      </c>
      <c r="AE899" s="24">
        <v>0</v>
      </c>
      <c r="AF899" s="24">
        <v>0</v>
      </c>
      <c r="AG899" s="24">
        <v>0</v>
      </c>
      <c r="AH899" s="24">
        <v>1</v>
      </c>
      <c r="AI899" s="24">
        <v>0</v>
      </c>
      <c r="AJ899" s="24">
        <v>0</v>
      </c>
      <c r="AK899" s="24">
        <v>1</v>
      </c>
      <c r="AL899" s="24">
        <v>0</v>
      </c>
      <c r="AM899" s="24">
        <v>0</v>
      </c>
      <c r="AN899" s="24">
        <v>0</v>
      </c>
      <c r="AO899" s="24">
        <v>0</v>
      </c>
      <c r="AP899" s="24">
        <v>0</v>
      </c>
      <c r="AQ899" s="24">
        <v>1</v>
      </c>
      <c r="AR899" s="24">
        <v>0</v>
      </c>
      <c r="AS899" s="24">
        <v>0</v>
      </c>
      <c r="AT899" s="24">
        <v>0</v>
      </c>
      <c r="AU899" s="24">
        <v>0</v>
      </c>
      <c r="AV899" s="24">
        <v>1</v>
      </c>
      <c r="AW899" s="24">
        <v>0</v>
      </c>
      <c r="AX899" s="24">
        <v>0</v>
      </c>
      <c r="AY899" s="24">
        <v>0</v>
      </c>
      <c r="AZ899" s="24">
        <v>0</v>
      </c>
      <c r="BA899" s="24">
        <v>0</v>
      </c>
      <c r="BB899" s="24">
        <v>1</v>
      </c>
    </row>
    <row r="900" spans="2:54" ht="13.8" x14ac:dyDescent="0.3">
      <c r="B900" s="24">
        <v>880</v>
      </c>
      <c r="C900" s="24">
        <v>30</v>
      </c>
      <c r="D900" s="24">
        <v>0</v>
      </c>
      <c r="E900" s="24">
        <v>0</v>
      </c>
      <c r="F900" s="24">
        <v>0</v>
      </c>
      <c r="G900" s="24">
        <v>1</v>
      </c>
      <c r="H900" s="24">
        <v>0</v>
      </c>
      <c r="I900" s="24">
        <v>0</v>
      </c>
      <c r="J900" s="24">
        <v>6742</v>
      </c>
      <c r="K900" s="24">
        <v>2</v>
      </c>
      <c r="L900" s="24">
        <v>0</v>
      </c>
      <c r="M900" s="24">
        <v>1</v>
      </c>
      <c r="N900" s="24">
        <v>0</v>
      </c>
      <c r="O900" s="24">
        <v>0</v>
      </c>
      <c r="P900" s="24">
        <v>0</v>
      </c>
      <c r="Q900" s="24">
        <v>0</v>
      </c>
      <c r="R900" s="24">
        <v>0</v>
      </c>
      <c r="S900" s="24">
        <v>36</v>
      </c>
      <c r="T900" s="24">
        <v>0</v>
      </c>
      <c r="U900" s="24">
        <v>0</v>
      </c>
      <c r="V900" s="24">
        <v>1</v>
      </c>
      <c r="W900" s="24">
        <v>2</v>
      </c>
      <c r="X900" s="24">
        <v>1</v>
      </c>
      <c r="Y900" s="24">
        <v>0</v>
      </c>
      <c r="Z900" s="24">
        <v>0</v>
      </c>
      <c r="AA900" s="24">
        <v>1</v>
      </c>
      <c r="AB900" s="24">
        <v>0</v>
      </c>
      <c r="AC900" s="24">
        <v>0</v>
      </c>
      <c r="AD900" s="24">
        <v>0</v>
      </c>
      <c r="AE900" s="24">
        <v>1</v>
      </c>
      <c r="AF900" s="24">
        <v>0</v>
      </c>
      <c r="AG900" s="24">
        <v>0</v>
      </c>
      <c r="AH900" s="24">
        <v>0</v>
      </c>
      <c r="AI900" s="24">
        <v>0</v>
      </c>
      <c r="AJ900" s="24">
        <v>1</v>
      </c>
      <c r="AK900" s="24">
        <v>0</v>
      </c>
      <c r="AL900" s="24">
        <v>0</v>
      </c>
      <c r="AM900" s="24">
        <v>0</v>
      </c>
      <c r="AN900" s="24">
        <v>0</v>
      </c>
      <c r="AO900" s="24">
        <v>1</v>
      </c>
      <c r="AP900" s="24">
        <v>0</v>
      </c>
      <c r="AQ900" s="24">
        <v>0</v>
      </c>
      <c r="AR900" s="24">
        <v>0</v>
      </c>
      <c r="AS900" s="24">
        <v>1</v>
      </c>
      <c r="AT900" s="24">
        <v>0</v>
      </c>
      <c r="AU900" s="24">
        <v>0</v>
      </c>
      <c r="AV900" s="24">
        <v>0</v>
      </c>
      <c r="AW900" s="24">
        <v>1</v>
      </c>
      <c r="AX900" s="24">
        <v>0</v>
      </c>
      <c r="AY900" s="24">
        <v>0</v>
      </c>
      <c r="AZ900" s="24">
        <v>0</v>
      </c>
      <c r="BA900" s="24">
        <v>1</v>
      </c>
      <c r="BB900" s="24">
        <v>0</v>
      </c>
    </row>
    <row r="901" spans="2:54" ht="13.8" x14ac:dyDescent="0.3">
      <c r="B901" s="24">
        <v>881</v>
      </c>
      <c r="C901" s="24">
        <v>24</v>
      </c>
      <c r="D901" s="24">
        <v>0</v>
      </c>
      <c r="E901" s="24">
        <v>1</v>
      </c>
      <c r="F901" s="24">
        <v>0</v>
      </c>
      <c r="G901" s="24">
        <v>0</v>
      </c>
      <c r="H901" s="24">
        <v>0</v>
      </c>
      <c r="I901" s="24">
        <v>0</v>
      </c>
      <c r="J901" s="24">
        <v>7814</v>
      </c>
      <c r="K901" s="24">
        <v>3</v>
      </c>
      <c r="L901" s="24">
        <v>0</v>
      </c>
      <c r="M901" s="24">
        <v>1</v>
      </c>
      <c r="N901" s="24">
        <v>0</v>
      </c>
      <c r="O901" s="24">
        <v>0</v>
      </c>
      <c r="P901" s="24">
        <v>0</v>
      </c>
      <c r="Q901" s="24">
        <v>0</v>
      </c>
      <c r="R901" s="24">
        <v>0</v>
      </c>
      <c r="S901" s="24">
        <v>38</v>
      </c>
      <c r="T901" s="24">
        <v>0</v>
      </c>
      <c r="U901" s="24">
        <v>0</v>
      </c>
      <c r="V901" s="24">
        <v>1</v>
      </c>
      <c r="W901" s="24">
        <v>1</v>
      </c>
      <c r="X901" s="24">
        <v>1</v>
      </c>
      <c r="Y901" s="24">
        <v>1</v>
      </c>
      <c r="Z901" s="24">
        <v>0</v>
      </c>
      <c r="AA901" s="24">
        <v>1</v>
      </c>
      <c r="AB901" s="24">
        <v>0</v>
      </c>
      <c r="AC901" s="24">
        <v>0</v>
      </c>
      <c r="AD901" s="24">
        <v>0</v>
      </c>
      <c r="AE901" s="24">
        <v>1</v>
      </c>
      <c r="AF901" s="24">
        <v>0</v>
      </c>
      <c r="AG901" s="24">
        <v>0</v>
      </c>
      <c r="AH901" s="24">
        <v>1</v>
      </c>
      <c r="AI901" s="24">
        <v>0</v>
      </c>
      <c r="AJ901" s="24">
        <v>0</v>
      </c>
      <c r="AK901" s="24">
        <v>1</v>
      </c>
      <c r="AL901" s="24">
        <v>0</v>
      </c>
      <c r="AM901" s="24">
        <v>0</v>
      </c>
      <c r="AN901" s="24">
        <v>0</v>
      </c>
      <c r="AO901" s="24">
        <v>0</v>
      </c>
      <c r="AP901" s="24">
        <v>0</v>
      </c>
      <c r="AQ901" s="24">
        <v>0</v>
      </c>
      <c r="AR901" s="24">
        <v>0</v>
      </c>
      <c r="AS901" s="24">
        <v>1</v>
      </c>
      <c r="AT901" s="24">
        <v>0</v>
      </c>
      <c r="AU901" s="24">
        <v>0</v>
      </c>
      <c r="AV901" s="24">
        <v>0</v>
      </c>
      <c r="AW901" s="24">
        <v>1</v>
      </c>
      <c r="AX901" s="24">
        <v>0</v>
      </c>
      <c r="AY901" s="24">
        <v>0</v>
      </c>
      <c r="AZ901" s="24">
        <v>0</v>
      </c>
      <c r="BA901" s="24">
        <v>0</v>
      </c>
      <c r="BB901" s="24">
        <v>1</v>
      </c>
    </row>
    <row r="902" spans="2:54" ht="13.8" x14ac:dyDescent="0.3">
      <c r="B902" s="24">
        <v>882</v>
      </c>
      <c r="C902" s="24">
        <v>24</v>
      </c>
      <c r="D902" s="24">
        <v>0</v>
      </c>
      <c r="E902" s="24">
        <v>1</v>
      </c>
      <c r="F902" s="24">
        <v>0</v>
      </c>
      <c r="G902" s="24">
        <v>0</v>
      </c>
      <c r="H902" s="24">
        <v>0</v>
      </c>
      <c r="I902" s="24">
        <v>0</v>
      </c>
      <c r="J902" s="24">
        <v>9277</v>
      </c>
      <c r="K902" s="24">
        <v>2</v>
      </c>
      <c r="L902" s="24">
        <v>1</v>
      </c>
      <c r="M902" s="24">
        <v>0</v>
      </c>
      <c r="N902" s="24">
        <v>0</v>
      </c>
      <c r="O902" s="24">
        <v>0</v>
      </c>
      <c r="P902" s="24">
        <v>0</v>
      </c>
      <c r="Q902" s="24">
        <v>0</v>
      </c>
      <c r="R902" s="24">
        <v>1</v>
      </c>
      <c r="S902" s="24">
        <v>48</v>
      </c>
      <c r="T902" s="24">
        <v>0</v>
      </c>
      <c r="U902" s="24">
        <v>0</v>
      </c>
      <c r="V902" s="24">
        <v>0</v>
      </c>
      <c r="W902" s="24">
        <v>1</v>
      </c>
      <c r="X902" s="24">
        <v>1</v>
      </c>
      <c r="Y902" s="24">
        <v>1</v>
      </c>
      <c r="Z902" s="24">
        <v>0</v>
      </c>
      <c r="AA902" s="24">
        <v>1</v>
      </c>
      <c r="AB902" s="24">
        <v>0</v>
      </c>
      <c r="AC902" s="24">
        <v>0</v>
      </c>
      <c r="AD902" s="24">
        <v>0</v>
      </c>
      <c r="AE902" s="24">
        <v>1</v>
      </c>
      <c r="AF902" s="24">
        <v>0</v>
      </c>
      <c r="AG902" s="24">
        <v>0</v>
      </c>
      <c r="AH902" s="24">
        <v>1</v>
      </c>
      <c r="AI902" s="24">
        <v>0</v>
      </c>
      <c r="AJ902" s="24">
        <v>0</v>
      </c>
      <c r="AK902" s="24">
        <v>0</v>
      </c>
      <c r="AL902" s="24">
        <v>0</v>
      </c>
      <c r="AM902" s="24">
        <v>0</v>
      </c>
      <c r="AN902" s="24">
        <v>0</v>
      </c>
      <c r="AO902" s="24">
        <v>1</v>
      </c>
      <c r="AP902" s="24">
        <v>0</v>
      </c>
      <c r="AQ902" s="24">
        <v>0</v>
      </c>
      <c r="AR902" s="24">
        <v>1</v>
      </c>
      <c r="AS902" s="24">
        <v>0</v>
      </c>
      <c r="AT902" s="24">
        <v>0</v>
      </c>
      <c r="AU902" s="24">
        <v>0</v>
      </c>
      <c r="AV902" s="24">
        <v>0</v>
      </c>
      <c r="AW902" s="24">
        <v>0</v>
      </c>
      <c r="AX902" s="24">
        <v>1</v>
      </c>
      <c r="AY902" s="24">
        <v>0</v>
      </c>
      <c r="AZ902" s="24">
        <v>0</v>
      </c>
      <c r="BA902" s="24">
        <v>1</v>
      </c>
      <c r="BB902" s="24">
        <v>0</v>
      </c>
    </row>
    <row r="903" spans="2:54" ht="13.8" x14ac:dyDescent="0.3">
      <c r="B903" s="24">
        <v>883</v>
      </c>
      <c r="C903" s="24">
        <v>30</v>
      </c>
      <c r="D903" s="24">
        <v>1</v>
      </c>
      <c r="E903" s="24">
        <v>0</v>
      </c>
      <c r="F903" s="24">
        <v>0</v>
      </c>
      <c r="G903" s="24">
        <v>0</v>
      </c>
      <c r="H903" s="24">
        <v>0</v>
      </c>
      <c r="I903" s="24">
        <v>0</v>
      </c>
      <c r="J903" s="24">
        <v>2181</v>
      </c>
      <c r="K903" s="24">
        <v>4</v>
      </c>
      <c r="L903" s="24">
        <v>0</v>
      </c>
      <c r="M903" s="24">
        <v>1</v>
      </c>
      <c r="N903" s="24">
        <v>0</v>
      </c>
      <c r="O903" s="24">
        <v>0</v>
      </c>
      <c r="P903" s="24">
        <v>0</v>
      </c>
      <c r="Q903" s="24">
        <v>1</v>
      </c>
      <c r="R903" s="24">
        <v>0</v>
      </c>
      <c r="S903" s="24">
        <v>36</v>
      </c>
      <c r="T903" s="24">
        <v>0</v>
      </c>
      <c r="U903" s="24">
        <v>0</v>
      </c>
      <c r="V903" s="24">
        <v>1</v>
      </c>
      <c r="W903" s="24">
        <v>2</v>
      </c>
      <c r="X903" s="24">
        <v>1</v>
      </c>
      <c r="Y903" s="24">
        <v>0</v>
      </c>
      <c r="Z903" s="24">
        <v>0</v>
      </c>
      <c r="AA903" s="24">
        <v>1</v>
      </c>
      <c r="AB903" s="24">
        <v>0</v>
      </c>
      <c r="AC903" s="24">
        <v>1</v>
      </c>
      <c r="AD903" s="24">
        <v>0</v>
      </c>
      <c r="AE903" s="24">
        <v>0</v>
      </c>
      <c r="AF903" s="24">
        <v>0</v>
      </c>
      <c r="AG903" s="24">
        <v>0</v>
      </c>
      <c r="AH903" s="24">
        <v>0</v>
      </c>
      <c r="AI903" s="24">
        <v>0</v>
      </c>
      <c r="AJ903" s="24">
        <v>1</v>
      </c>
      <c r="AK903" s="24">
        <v>0</v>
      </c>
      <c r="AL903" s="24">
        <v>0</v>
      </c>
      <c r="AM903" s="24">
        <v>0</v>
      </c>
      <c r="AN903" s="24">
        <v>0</v>
      </c>
      <c r="AO903" s="24">
        <v>1</v>
      </c>
      <c r="AP903" s="24">
        <v>0</v>
      </c>
      <c r="AQ903" s="24">
        <v>0</v>
      </c>
      <c r="AR903" s="24">
        <v>0</v>
      </c>
      <c r="AS903" s="24">
        <v>0</v>
      </c>
      <c r="AT903" s="24">
        <v>1</v>
      </c>
      <c r="AU903" s="24">
        <v>0</v>
      </c>
      <c r="AV903" s="24">
        <v>0</v>
      </c>
      <c r="AW903" s="24">
        <v>0</v>
      </c>
      <c r="AX903" s="24">
        <v>1</v>
      </c>
      <c r="AY903" s="24">
        <v>0</v>
      </c>
      <c r="AZ903" s="24">
        <v>0</v>
      </c>
      <c r="BA903" s="24">
        <v>1</v>
      </c>
      <c r="BB903" s="24">
        <v>0</v>
      </c>
    </row>
    <row r="904" spans="2:54" ht="13.8" x14ac:dyDescent="0.3">
      <c r="B904" s="24">
        <v>884</v>
      </c>
      <c r="C904" s="24">
        <v>18</v>
      </c>
      <c r="D904" s="24">
        <v>0</v>
      </c>
      <c r="E904" s="24">
        <v>0</v>
      </c>
      <c r="F904" s="24">
        <v>0</v>
      </c>
      <c r="G904" s="24">
        <v>1</v>
      </c>
      <c r="H904" s="24">
        <v>0</v>
      </c>
      <c r="I904" s="24">
        <v>0</v>
      </c>
      <c r="J904" s="24">
        <v>1098</v>
      </c>
      <c r="K904" s="24">
        <v>4</v>
      </c>
      <c r="L904" s="24">
        <v>0</v>
      </c>
      <c r="M904" s="24">
        <v>0</v>
      </c>
      <c r="N904" s="24">
        <v>0</v>
      </c>
      <c r="O904" s="24">
        <v>0</v>
      </c>
      <c r="P904" s="24">
        <v>0</v>
      </c>
      <c r="Q904" s="24">
        <v>0</v>
      </c>
      <c r="R904" s="24">
        <v>0</v>
      </c>
      <c r="S904" s="24">
        <v>65</v>
      </c>
      <c r="T904" s="24">
        <v>0</v>
      </c>
      <c r="U904" s="24">
        <v>0</v>
      </c>
      <c r="V904" s="24">
        <v>1</v>
      </c>
      <c r="W904" s="24">
        <v>2</v>
      </c>
      <c r="X904" s="24">
        <v>1</v>
      </c>
      <c r="Y904" s="24">
        <v>0</v>
      </c>
      <c r="Z904" s="24">
        <v>0</v>
      </c>
      <c r="AA904" s="24">
        <v>1</v>
      </c>
      <c r="AB904" s="24">
        <v>0</v>
      </c>
      <c r="AC904" s="24">
        <v>0</v>
      </c>
      <c r="AD904" s="24">
        <v>0</v>
      </c>
      <c r="AE904" s="24">
        <v>1</v>
      </c>
      <c r="AF904" s="24">
        <v>0</v>
      </c>
      <c r="AG904" s="24">
        <v>0</v>
      </c>
      <c r="AH904" s="24">
        <v>0</v>
      </c>
      <c r="AI904" s="24">
        <v>0</v>
      </c>
      <c r="AJ904" s="24">
        <v>1</v>
      </c>
      <c r="AK904" s="24">
        <v>1</v>
      </c>
      <c r="AL904" s="24">
        <v>0</v>
      </c>
      <c r="AM904" s="24">
        <v>0</v>
      </c>
      <c r="AN904" s="24">
        <v>0</v>
      </c>
      <c r="AO904" s="24">
        <v>0</v>
      </c>
      <c r="AP904" s="24">
        <v>1</v>
      </c>
      <c r="AQ904" s="24">
        <v>0</v>
      </c>
      <c r="AR904" s="24">
        <v>0</v>
      </c>
      <c r="AS904" s="24">
        <v>0</v>
      </c>
      <c r="AT904" s="24">
        <v>0</v>
      </c>
      <c r="AU904" s="24">
        <v>0</v>
      </c>
      <c r="AV904" s="24">
        <v>0</v>
      </c>
      <c r="AW904" s="24">
        <v>0</v>
      </c>
      <c r="AX904" s="24">
        <v>1</v>
      </c>
      <c r="AY904" s="24">
        <v>1</v>
      </c>
      <c r="AZ904" s="24">
        <v>0</v>
      </c>
      <c r="BA904" s="24">
        <v>0</v>
      </c>
      <c r="BB904" s="24">
        <v>0</v>
      </c>
    </row>
    <row r="905" spans="2:54" ht="13.8" x14ac:dyDescent="0.3">
      <c r="B905" s="24">
        <v>885</v>
      </c>
      <c r="C905" s="24">
        <v>24</v>
      </c>
      <c r="D905" s="24">
        <v>0</v>
      </c>
      <c r="E905" s="24">
        <v>0</v>
      </c>
      <c r="F905" s="24">
        <v>1</v>
      </c>
      <c r="G905" s="24">
        <v>0</v>
      </c>
      <c r="H905" s="24">
        <v>0</v>
      </c>
      <c r="I905" s="24">
        <v>0</v>
      </c>
      <c r="J905" s="24">
        <v>4057</v>
      </c>
      <c r="K905" s="24">
        <v>3</v>
      </c>
      <c r="L905" s="24">
        <v>1</v>
      </c>
      <c r="M905" s="24">
        <v>0</v>
      </c>
      <c r="N905" s="24">
        <v>0</v>
      </c>
      <c r="O905" s="24">
        <v>0</v>
      </c>
      <c r="P905" s="24">
        <v>0</v>
      </c>
      <c r="Q905" s="24">
        <v>0</v>
      </c>
      <c r="R905" s="24">
        <v>0</v>
      </c>
      <c r="S905" s="24">
        <v>43</v>
      </c>
      <c r="T905" s="24">
        <v>0</v>
      </c>
      <c r="U905" s="24">
        <v>0</v>
      </c>
      <c r="V905" s="24">
        <v>1</v>
      </c>
      <c r="W905" s="24">
        <v>1</v>
      </c>
      <c r="X905" s="24">
        <v>1</v>
      </c>
      <c r="Y905" s="24">
        <v>1</v>
      </c>
      <c r="Z905" s="24">
        <v>0</v>
      </c>
      <c r="AA905" s="24">
        <v>0</v>
      </c>
      <c r="AB905" s="24">
        <v>0</v>
      </c>
      <c r="AC905" s="24">
        <v>1</v>
      </c>
      <c r="AD905" s="24">
        <v>0</v>
      </c>
      <c r="AE905" s="24">
        <v>0</v>
      </c>
      <c r="AF905" s="24">
        <v>0</v>
      </c>
      <c r="AG905" s="24">
        <v>0</v>
      </c>
      <c r="AH905" s="24">
        <v>1</v>
      </c>
      <c r="AI905" s="24">
        <v>0</v>
      </c>
      <c r="AJ905" s="24">
        <v>0</v>
      </c>
      <c r="AK905" s="24">
        <v>1</v>
      </c>
      <c r="AL905" s="24">
        <v>0</v>
      </c>
      <c r="AM905" s="24">
        <v>0</v>
      </c>
      <c r="AN905" s="24">
        <v>0</v>
      </c>
      <c r="AO905" s="24">
        <v>0</v>
      </c>
      <c r="AP905" s="24">
        <v>0</v>
      </c>
      <c r="AQ905" s="24">
        <v>0</v>
      </c>
      <c r="AR905" s="24">
        <v>0</v>
      </c>
      <c r="AS905" s="24">
        <v>1</v>
      </c>
      <c r="AT905" s="24">
        <v>0</v>
      </c>
      <c r="AU905" s="24">
        <v>0</v>
      </c>
      <c r="AV905" s="24">
        <v>0</v>
      </c>
      <c r="AW905" s="24">
        <v>1</v>
      </c>
      <c r="AX905" s="24">
        <v>0</v>
      </c>
      <c r="AY905" s="24">
        <v>0</v>
      </c>
      <c r="AZ905" s="24">
        <v>0</v>
      </c>
      <c r="BA905" s="24">
        <v>1</v>
      </c>
      <c r="BB905" s="24">
        <v>0</v>
      </c>
    </row>
    <row r="906" spans="2:54" ht="13.8" x14ac:dyDescent="0.3">
      <c r="B906" s="24">
        <v>886</v>
      </c>
      <c r="C906" s="24">
        <v>12</v>
      </c>
      <c r="D906" s="24">
        <v>0</v>
      </c>
      <c r="E906" s="24">
        <v>0</v>
      </c>
      <c r="F906" s="24">
        <v>0</v>
      </c>
      <c r="G906" s="24">
        <v>0</v>
      </c>
      <c r="H906" s="24">
        <v>1</v>
      </c>
      <c r="I906" s="24">
        <v>0</v>
      </c>
      <c r="J906" s="24">
        <v>795</v>
      </c>
      <c r="K906" s="24">
        <v>4</v>
      </c>
      <c r="L906" s="24">
        <v>0</v>
      </c>
      <c r="M906" s="24">
        <v>0</v>
      </c>
      <c r="N906" s="24">
        <v>0</v>
      </c>
      <c r="O906" s="24">
        <v>0</v>
      </c>
      <c r="P906" s="24">
        <v>0</v>
      </c>
      <c r="Q906" s="24">
        <v>0</v>
      </c>
      <c r="R906" s="24">
        <v>0</v>
      </c>
      <c r="S906" s="24">
        <v>53</v>
      </c>
      <c r="T906" s="24">
        <v>0</v>
      </c>
      <c r="U906" s="24">
        <v>0</v>
      </c>
      <c r="V906" s="24">
        <v>1</v>
      </c>
      <c r="W906" s="24">
        <v>1</v>
      </c>
      <c r="X906" s="24">
        <v>1</v>
      </c>
      <c r="Y906" s="24">
        <v>0</v>
      </c>
      <c r="Z906" s="24">
        <v>0</v>
      </c>
      <c r="AA906" s="24">
        <v>0</v>
      </c>
      <c r="AB906" s="24">
        <v>1</v>
      </c>
      <c r="AC906" s="24">
        <v>0</v>
      </c>
      <c r="AD906" s="24">
        <v>0</v>
      </c>
      <c r="AE906" s="24">
        <v>0</v>
      </c>
      <c r="AF906" s="24">
        <v>0</v>
      </c>
      <c r="AG906" s="24">
        <v>0</v>
      </c>
      <c r="AH906" s="24">
        <v>1</v>
      </c>
      <c r="AI906" s="24">
        <v>0</v>
      </c>
      <c r="AJ906" s="24">
        <v>0</v>
      </c>
      <c r="AK906" s="24">
        <v>1</v>
      </c>
      <c r="AL906" s="24">
        <v>0</v>
      </c>
      <c r="AM906" s="24">
        <v>0</v>
      </c>
      <c r="AN906" s="24">
        <v>0</v>
      </c>
      <c r="AO906" s="24">
        <v>0</v>
      </c>
      <c r="AP906" s="24">
        <v>0</v>
      </c>
      <c r="AQ906" s="24">
        <v>1</v>
      </c>
      <c r="AR906" s="24">
        <v>0</v>
      </c>
      <c r="AS906" s="24">
        <v>0</v>
      </c>
      <c r="AT906" s="24">
        <v>0</v>
      </c>
      <c r="AU906" s="24">
        <v>0</v>
      </c>
      <c r="AV906" s="24">
        <v>0</v>
      </c>
      <c r="AW906" s="24">
        <v>0</v>
      </c>
      <c r="AX906" s="24">
        <v>1</v>
      </c>
      <c r="AY906" s="24">
        <v>0</v>
      </c>
      <c r="AZ906" s="24">
        <v>0</v>
      </c>
      <c r="BA906" s="24">
        <v>1</v>
      </c>
      <c r="BB906" s="24">
        <v>0</v>
      </c>
    </row>
    <row r="907" spans="2:54" ht="13.8" x14ac:dyDescent="0.3">
      <c r="B907" s="24">
        <v>887</v>
      </c>
      <c r="C907" s="24">
        <v>24</v>
      </c>
      <c r="D907" s="24">
        <v>0</v>
      </c>
      <c r="E907" s="24">
        <v>0</v>
      </c>
      <c r="F907" s="24">
        <v>0</v>
      </c>
      <c r="G907" s="24">
        <v>0</v>
      </c>
      <c r="H907" s="24">
        <v>0</v>
      </c>
      <c r="I907" s="24">
        <v>1</v>
      </c>
      <c r="J907" s="24">
        <v>2825</v>
      </c>
      <c r="K907" s="24">
        <v>4</v>
      </c>
      <c r="L907" s="24">
        <v>0</v>
      </c>
      <c r="M907" s="24">
        <v>1</v>
      </c>
      <c r="N907" s="24">
        <v>0</v>
      </c>
      <c r="O907" s="24">
        <v>0</v>
      </c>
      <c r="P907" s="24">
        <v>0</v>
      </c>
      <c r="Q907" s="24">
        <v>0</v>
      </c>
      <c r="R907" s="24">
        <v>1</v>
      </c>
      <c r="S907" s="24">
        <v>34</v>
      </c>
      <c r="T907" s="24">
        <v>0</v>
      </c>
      <c r="U907" s="24">
        <v>0</v>
      </c>
      <c r="V907" s="24">
        <v>1</v>
      </c>
      <c r="W907" s="24">
        <v>2</v>
      </c>
      <c r="X907" s="24">
        <v>2</v>
      </c>
      <c r="Y907" s="24">
        <v>1</v>
      </c>
      <c r="Z907" s="24">
        <v>0</v>
      </c>
      <c r="AA907" s="24">
        <v>1</v>
      </c>
      <c r="AB907" s="24">
        <v>0</v>
      </c>
      <c r="AC907" s="24">
        <v>1</v>
      </c>
      <c r="AD907" s="24">
        <v>0</v>
      </c>
      <c r="AE907" s="24">
        <v>0</v>
      </c>
      <c r="AF907" s="24">
        <v>0</v>
      </c>
      <c r="AG907" s="24">
        <v>0</v>
      </c>
      <c r="AH907" s="24">
        <v>0</v>
      </c>
      <c r="AI907" s="24">
        <v>0</v>
      </c>
      <c r="AJ907" s="24">
        <v>1</v>
      </c>
      <c r="AK907" s="24">
        <v>0</v>
      </c>
      <c r="AL907" s="24">
        <v>0</v>
      </c>
      <c r="AM907" s="24">
        <v>0</v>
      </c>
      <c r="AN907" s="24">
        <v>0</v>
      </c>
      <c r="AO907" s="24">
        <v>1</v>
      </c>
      <c r="AP907" s="24">
        <v>0</v>
      </c>
      <c r="AQ907" s="24">
        <v>0</v>
      </c>
      <c r="AR907" s="24">
        <v>0</v>
      </c>
      <c r="AS907" s="24">
        <v>1</v>
      </c>
      <c r="AT907" s="24">
        <v>0</v>
      </c>
      <c r="AU907" s="24">
        <v>0</v>
      </c>
      <c r="AV907" s="24">
        <v>0</v>
      </c>
      <c r="AW907" s="24">
        <v>1</v>
      </c>
      <c r="AX907" s="24">
        <v>0</v>
      </c>
      <c r="AY907" s="24">
        <v>0</v>
      </c>
      <c r="AZ907" s="24">
        <v>0</v>
      </c>
      <c r="BA907" s="24">
        <v>1</v>
      </c>
      <c r="BB907" s="24">
        <v>0</v>
      </c>
    </row>
    <row r="908" spans="2:54" ht="13.8" x14ac:dyDescent="0.3">
      <c r="B908" s="24">
        <v>888</v>
      </c>
      <c r="C908" s="24">
        <v>48</v>
      </c>
      <c r="D908" s="24">
        <v>0</v>
      </c>
      <c r="E908" s="24">
        <v>0</v>
      </c>
      <c r="F908" s="24">
        <v>0</v>
      </c>
      <c r="G908" s="24">
        <v>0</v>
      </c>
      <c r="H908" s="24">
        <v>0</v>
      </c>
      <c r="I908" s="24">
        <v>1</v>
      </c>
      <c r="J908" s="24">
        <v>15672</v>
      </c>
      <c r="K908" s="24">
        <v>2</v>
      </c>
      <c r="L908" s="24">
        <v>0</v>
      </c>
      <c r="M908" s="24">
        <v>1</v>
      </c>
      <c r="N908" s="24">
        <v>0</v>
      </c>
      <c r="O908" s="24">
        <v>0</v>
      </c>
      <c r="P908" s="24">
        <v>0</v>
      </c>
      <c r="Q908" s="24">
        <v>0</v>
      </c>
      <c r="R908" s="24">
        <v>0</v>
      </c>
      <c r="S908" s="24">
        <v>23</v>
      </c>
      <c r="T908" s="24">
        <v>0</v>
      </c>
      <c r="U908" s="24">
        <v>0</v>
      </c>
      <c r="V908" s="24">
        <v>1</v>
      </c>
      <c r="W908" s="24">
        <v>1</v>
      </c>
      <c r="X908" s="24">
        <v>1</v>
      </c>
      <c r="Y908" s="24">
        <v>1</v>
      </c>
      <c r="Z908" s="24">
        <v>0</v>
      </c>
      <c r="AA908" s="24">
        <v>0</v>
      </c>
      <c r="AB908" s="24">
        <v>0</v>
      </c>
      <c r="AC908" s="24">
        <v>1</v>
      </c>
      <c r="AD908" s="24">
        <v>0</v>
      </c>
      <c r="AE908" s="24">
        <v>0</v>
      </c>
      <c r="AF908" s="24">
        <v>0</v>
      </c>
      <c r="AG908" s="24">
        <v>0</v>
      </c>
      <c r="AH908" s="24">
        <v>1</v>
      </c>
      <c r="AI908" s="24">
        <v>0</v>
      </c>
      <c r="AJ908" s="24">
        <v>0</v>
      </c>
      <c r="AK908" s="24">
        <v>1</v>
      </c>
      <c r="AL908" s="24">
        <v>0</v>
      </c>
      <c r="AM908" s="24">
        <v>0</v>
      </c>
      <c r="AN908" s="24">
        <v>0</v>
      </c>
      <c r="AO908" s="24">
        <v>0</v>
      </c>
      <c r="AP908" s="24">
        <v>0</v>
      </c>
      <c r="AQ908" s="24">
        <v>0</v>
      </c>
      <c r="AR908" s="24">
        <v>1</v>
      </c>
      <c r="AS908" s="24">
        <v>0</v>
      </c>
      <c r="AT908" s="24">
        <v>0</v>
      </c>
      <c r="AU908" s="24">
        <v>0</v>
      </c>
      <c r="AV908" s="24">
        <v>1</v>
      </c>
      <c r="AW908" s="24">
        <v>0</v>
      </c>
      <c r="AX908" s="24">
        <v>0</v>
      </c>
      <c r="AY908" s="24">
        <v>0</v>
      </c>
      <c r="AZ908" s="24">
        <v>0</v>
      </c>
      <c r="BA908" s="24">
        <v>1</v>
      </c>
      <c r="BB908" s="24">
        <v>0</v>
      </c>
    </row>
    <row r="909" spans="2:54" ht="13.8" x14ac:dyDescent="0.3">
      <c r="B909" s="24">
        <v>889</v>
      </c>
      <c r="C909" s="24">
        <v>36</v>
      </c>
      <c r="D909" s="24">
        <v>1</v>
      </c>
      <c r="E909" s="24">
        <v>0</v>
      </c>
      <c r="F909" s="24">
        <v>0</v>
      </c>
      <c r="G909" s="24">
        <v>0</v>
      </c>
      <c r="H909" s="24">
        <v>0</v>
      </c>
      <c r="I909" s="24">
        <v>0</v>
      </c>
      <c r="J909" s="24">
        <v>6614</v>
      </c>
      <c r="K909" s="24">
        <v>4</v>
      </c>
      <c r="L909" s="24">
        <v>0</v>
      </c>
      <c r="M909" s="24">
        <v>1</v>
      </c>
      <c r="N909" s="24">
        <v>0</v>
      </c>
      <c r="O909" s="24">
        <v>0</v>
      </c>
      <c r="P909" s="24">
        <v>0</v>
      </c>
      <c r="Q909" s="24">
        <v>0</v>
      </c>
      <c r="R909" s="24">
        <v>0</v>
      </c>
      <c r="S909" s="24">
        <v>34</v>
      </c>
      <c r="T909" s="24">
        <v>0</v>
      </c>
      <c r="U909" s="24">
        <v>0</v>
      </c>
      <c r="V909" s="24">
        <v>1</v>
      </c>
      <c r="W909" s="24">
        <v>2</v>
      </c>
      <c r="X909" s="24">
        <v>1</v>
      </c>
      <c r="Y909" s="24">
        <v>1</v>
      </c>
      <c r="Z909" s="24">
        <v>0</v>
      </c>
      <c r="AA909" s="24">
        <v>1</v>
      </c>
      <c r="AB909" s="24">
        <v>0</v>
      </c>
      <c r="AC909" s="24">
        <v>0</v>
      </c>
      <c r="AD909" s="24">
        <v>0</v>
      </c>
      <c r="AE909" s="24">
        <v>1</v>
      </c>
      <c r="AF909" s="24">
        <v>0</v>
      </c>
      <c r="AG909" s="24">
        <v>0</v>
      </c>
      <c r="AH909" s="24">
        <v>0</v>
      </c>
      <c r="AI909" s="24">
        <v>0</v>
      </c>
      <c r="AJ909" s="24">
        <v>1</v>
      </c>
      <c r="AK909" s="24">
        <v>1</v>
      </c>
      <c r="AL909" s="24">
        <v>0</v>
      </c>
      <c r="AM909" s="24">
        <v>0</v>
      </c>
      <c r="AN909" s="24">
        <v>0</v>
      </c>
      <c r="AO909" s="24">
        <v>0</v>
      </c>
      <c r="AP909" s="24">
        <v>0</v>
      </c>
      <c r="AQ909" s="24">
        <v>0</v>
      </c>
      <c r="AR909" s="24">
        <v>0</v>
      </c>
      <c r="AS909" s="24">
        <v>0</v>
      </c>
      <c r="AT909" s="24">
        <v>1</v>
      </c>
      <c r="AU909" s="24">
        <v>0</v>
      </c>
      <c r="AV909" s="24">
        <v>0</v>
      </c>
      <c r="AW909" s="24">
        <v>0</v>
      </c>
      <c r="AX909" s="24">
        <v>1</v>
      </c>
      <c r="AY909" s="24">
        <v>0</v>
      </c>
      <c r="AZ909" s="24">
        <v>0</v>
      </c>
      <c r="BA909" s="24">
        <v>0</v>
      </c>
      <c r="BB909" s="24">
        <v>1</v>
      </c>
    </row>
    <row r="910" spans="2:54" ht="13.8" x14ac:dyDescent="0.3">
      <c r="B910" s="24">
        <v>890</v>
      </c>
      <c r="C910" s="24">
        <v>28</v>
      </c>
      <c r="D910" s="24">
        <v>0</v>
      </c>
      <c r="E910" s="24">
        <v>1</v>
      </c>
      <c r="F910" s="24">
        <v>0</v>
      </c>
      <c r="G910" s="24">
        <v>0</v>
      </c>
      <c r="H910" s="24">
        <v>0</v>
      </c>
      <c r="I910" s="24">
        <v>0</v>
      </c>
      <c r="J910" s="24">
        <v>7824</v>
      </c>
      <c r="K910" s="24">
        <v>3</v>
      </c>
      <c r="L910" s="24">
        <v>0</v>
      </c>
      <c r="M910" s="24">
        <v>1</v>
      </c>
      <c r="N910" s="24">
        <v>0</v>
      </c>
      <c r="O910" s="24">
        <v>0</v>
      </c>
      <c r="P910" s="24">
        <v>1</v>
      </c>
      <c r="Q910" s="24">
        <v>1</v>
      </c>
      <c r="R910" s="24">
        <v>0</v>
      </c>
      <c r="S910" s="24">
        <v>40</v>
      </c>
      <c r="T910" s="24">
        <v>1</v>
      </c>
      <c r="U910" s="24">
        <v>1</v>
      </c>
      <c r="V910" s="24">
        <v>0</v>
      </c>
      <c r="W910" s="24">
        <v>2</v>
      </c>
      <c r="X910" s="24">
        <v>2</v>
      </c>
      <c r="Y910" s="24">
        <v>1</v>
      </c>
      <c r="Z910" s="24">
        <v>0</v>
      </c>
      <c r="AA910" s="24">
        <v>1</v>
      </c>
      <c r="AB910" s="24">
        <v>0</v>
      </c>
      <c r="AC910" s="24">
        <v>0</v>
      </c>
      <c r="AD910" s="24">
        <v>0</v>
      </c>
      <c r="AE910" s="24">
        <v>1</v>
      </c>
      <c r="AF910" s="24">
        <v>0</v>
      </c>
      <c r="AG910" s="24">
        <v>1</v>
      </c>
      <c r="AH910" s="24">
        <v>0</v>
      </c>
      <c r="AI910" s="24">
        <v>0</v>
      </c>
      <c r="AJ910" s="24">
        <v>0</v>
      </c>
      <c r="AK910" s="24">
        <v>0</v>
      </c>
      <c r="AL910" s="24">
        <v>0</v>
      </c>
      <c r="AM910" s="24">
        <v>0</v>
      </c>
      <c r="AN910" s="24">
        <v>0</v>
      </c>
      <c r="AO910" s="24">
        <v>1</v>
      </c>
      <c r="AP910" s="24">
        <v>0</v>
      </c>
      <c r="AQ910" s="24">
        <v>1</v>
      </c>
      <c r="AR910" s="24">
        <v>0</v>
      </c>
      <c r="AS910" s="24">
        <v>0</v>
      </c>
      <c r="AT910" s="24">
        <v>0</v>
      </c>
      <c r="AU910" s="24">
        <v>0</v>
      </c>
      <c r="AV910" s="24">
        <v>0</v>
      </c>
      <c r="AW910" s="24">
        <v>0</v>
      </c>
      <c r="AX910" s="24">
        <v>1</v>
      </c>
      <c r="AY910" s="24">
        <v>0</v>
      </c>
      <c r="AZ910" s="24">
        <v>0</v>
      </c>
      <c r="BA910" s="24">
        <v>1</v>
      </c>
      <c r="BB910" s="24">
        <v>0</v>
      </c>
    </row>
    <row r="911" spans="2:54" ht="13.8" x14ac:dyDescent="0.3">
      <c r="B911" s="24">
        <v>891</v>
      </c>
      <c r="C911" s="24">
        <v>27</v>
      </c>
      <c r="D911" s="24">
        <v>0</v>
      </c>
      <c r="E911" s="24">
        <v>0</v>
      </c>
      <c r="F911" s="24">
        <v>0</v>
      </c>
      <c r="G911" s="24">
        <v>0</v>
      </c>
      <c r="H911" s="24">
        <v>0</v>
      </c>
      <c r="I911" s="24">
        <v>1</v>
      </c>
      <c r="J911" s="24">
        <v>2442</v>
      </c>
      <c r="K911" s="24">
        <v>4</v>
      </c>
      <c r="L911" s="24">
        <v>0</v>
      </c>
      <c r="M911" s="24">
        <v>1</v>
      </c>
      <c r="N911" s="24">
        <v>0</v>
      </c>
      <c r="O911" s="24">
        <v>0</v>
      </c>
      <c r="P911" s="24">
        <v>0</v>
      </c>
      <c r="Q911" s="24">
        <v>0</v>
      </c>
      <c r="R911" s="24">
        <v>0</v>
      </c>
      <c r="S911" s="24">
        <v>43</v>
      </c>
      <c r="T911" s="24">
        <v>1</v>
      </c>
      <c r="U911" s="24">
        <v>0</v>
      </c>
      <c r="V911" s="24">
        <v>1</v>
      </c>
      <c r="W911" s="24">
        <v>4</v>
      </c>
      <c r="X911" s="24">
        <v>2</v>
      </c>
      <c r="Y911" s="24">
        <v>1</v>
      </c>
      <c r="Z911" s="24">
        <v>0</v>
      </c>
      <c r="AA911" s="24">
        <v>1</v>
      </c>
      <c r="AB911" s="24">
        <v>1</v>
      </c>
      <c r="AC911" s="24">
        <v>0</v>
      </c>
      <c r="AD911" s="24">
        <v>0</v>
      </c>
      <c r="AE911" s="24">
        <v>0</v>
      </c>
      <c r="AF911" s="24">
        <v>0</v>
      </c>
      <c r="AG911" s="24">
        <v>0</v>
      </c>
      <c r="AH911" s="24">
        <v>0</v>
      </c>
      <c r="AI911" s="24">
        <v>0</v>
      </c>
      <c r="AJ911" s="24">
        <v>1</v>
      </c>
      <c r="AK911" s="24">
        <v>1</v>
      </c>
      <c r="AL911" s="24">
        <v>0</v>
      </c>
      <c r="AM911" s="24">
        <v>0</v>
      </c>
      <c r="AN911" s="24">
        <v>0</v>
      </c>
      <c r="AO911" s="24">
        <v>0</v>
      </c>
      <c r="AP911" s="24">
        <v>0</v>
      </c>
      <c r="AQ911" s="24">
        <v>0</v>
      </c>
      <c r="AR911" s="24">
        <v>0</v>
      </c>
      <c r="AS911" s="24">
        <v>0</v>
      </c>
      <c r="AT911" s="24">
        <v>1</v>
      </c>
      <c r="AU911" s="24">
        <v>0</v>
      </c>
      <c r="AV911" s="24">
        <v>0</v>
      </c>
      <c r="AW911" s="24">
        <v>0</v>
      </c>
      <c r="AX911" s="24">
        <v>1</v>
      </c>
      <c r="AY911" s="24">
        <v>0</v>
      </c>
      <c r="AZ911" s="24">
        <v>0</v>
      </c>
      <c r="BA911" s="24">
        <v>0</v>
      </c>
      <c r="BB911" s="24">
        <v>1</v>
      </c>
    </row>
    <row r="912" spans="2:54" ht="13.8" x14ac:dyDescent="0.3">
      <c r="B912" s="24">
        <v>892</v>
      </c>
      <c r="C912" s="24">
        <v>15</v>
      </c>
      <c r="D912" s="24">
        <v>0</v>
      </c>
      <c r="E912" s="24">
        <v>0</v>
      </c>
      <c r="F912" s="24">
        <v>0</v>
      </c>
      <c r="G912" s="24">
        <v>1</v>
      </c>
      <c r="H912" s="24">
        <v>0</v>
      </c>
      <c r="I912" s="24">
        <v>0</v>
      </c>
      <c r="J912" s="24">
        <v>1829</v>
      </c>
      <c r="K912" s="24">
        <v>4</v>
      </c>
      <c r="L912" s="24">
        <v>0</v>
      </c>
      <c r="M912" s="24">
        <v>1</v>
      </c>
      <c r="N912" s="24">
        <v>0</v>
      </c>
      <c r="O912" s="24">
        <v>0</v>
      </c>
      <c r="P912" s="24">
        <v>0</v>
      </c>
      <c r="Q912" s="24">
        <v>0</v>
      </c>
      <c r="R912" s="24">
        <v>0</v>
      </c>
      <c r="S912" s="24">
        <v>46</v>
      </c>
      <c r="T912" s="24">
        <v>0</v>
      </c>
      <c r="U912" s="24">
        <v>0</v>
      </c>
      <c r="V912" s="24">
        <v>1</v>
      </c>
      <c r="W912" s="24">
        <v>2</v>
      </c>
      <c r="X912" s="24">
        <v>1</v>
      </c>
      <c r="Y912" s="24">
        <v>1</v>
      </c>
      <c r="Z912" s="24">
        <v>0</v>
      </c>
      <c r="AA912" s="24">
        <v>1</v>
      </c>
      <c r="AB912" s="24">
        <v>0</v>
      </c>
      <c r="AC912" s="24">
        <v>0</v>
      </c>
      <c r="AD912" s="24">
        <v>0</v>
      </c>
      <c r="AE912" s="24">
        <v>1</v>
      </c>
      <c r="AF912" s="24">
        <v>0</v>
      </c>
      <c r="AG912" s="24">
        <v>0</v>
      </c>
      <c r="AH912" s="24">
        <v>0</v>
      </c>
      <c r="AI912" s="24">
        <v>0</v>
      </c>
      <c r="AJ912" s="24">
        <v>1</v>
      </c>
      <c r="AK912" s="24">
        <v>1</v>
      </c>
      <c r="AL912" s="24">
        <v>0</v>
      </c>
      <c r="AM912" s="24">
        <v>0</v>
      </c>
      <c r="AN912" s="24">
        <v>0</v>
      </c>
      <c r="AO912" s="24">
        <v>0</v>
      </c>
      <c r="AP912" s="24">
        <v>0</v>
      </c>
      <c r="AQ912" s="24">
        <v>0</v>
      </c>
      <c r="AR912" s="24">
        <v>0</v>
      </c>
      <c r="AS912" s="24">
        <v>0</v>
      </c>
      <c r="AT912" s="24">
        <v>1</v>
      </c>
      <c r="AU912" s="24">
        <v>0</v>
      </c>
      <c r="AV912" s="24">
        <v>0</v>
      </c>
      <c r="AW912" s="24">
        <v>0</v>
      </c>
      <c r="AX912" s="24">
        <v>1</v>
      </c>
      <c r="AY912" s="24">
        <v>0</v>
      </c>
      <c r="AZ912" s="24">
        <v>0</v>
      </c>
      <c r="BA912" s="24">
        <v>1</v>
      </c>
      <c r="BB912" s="24">
        <v>0</v>
      </c>
    </row>
    <row r="913" spans="2:54" ht="13.8" x14ac:dyDescent="0.3">
      <c r="B913" s="24">
        <v>893</v>
      </c>
      <c r="C913" s="24">
        <v>12</v>
      </c>
      <c r="D913" s="24">
        <v>1</v>
      </c>
      <c r="E913" s="24">
        <v>0</v>
      </c>
      <c r="F913" s="24">
        <v>0</v>
      </c>
      <c r="G913" s="24">
        <v>0</v>
      </c>
      <c r="H913" s="24">
        <v>0</v>
      </c>
      <c r="I913" s="24">
        <v>0</v>
      </c>
      <c r="J913" s="24">
        <v>2171</v>
      </c>
      <c r="K913" s="24">
        <v>4</v>
      </c>
      <c r="L913" s="24">
        <v>0</v>
      </c>
      <c r="M913" s="24">
        <v>1</v>
      </c>
      <c r="N913" s="24">
        <v>0</v>
      </c>
      <c r="O913" s="24">
        <v>0</v>
      </c>
      <c r="P913" s="24">
        <v>0</v>
      </c>
      <c r="Q913" s="24">
        <v>0</v>
      </c>
      <c r="R913" s="24">
        <v>0</v>
      </c>
      <c r="S913" s="24">
        <v>38</v>
      </c>
      <c r="T913" s="24">
        <v>1</v>
      </c>
      <c r="U913" s="24">
        <v>0</v>
      </c>
      <c r="V913" s="24">
        <v>1</v>
      </c>
      <c r="W913" s="24">
        <v>2</v>
      </c>
      <c r="X913" s="24">
        <v>1</v>
      </c>
      <c r="Y913" s="24">
        <v>0</v>
      </c>
      <c r="Z913" s="24">
        <v>1</v>
      </c>
      <c r="AA913" s="24">
        <v>1</v>
      </c>
      <c r="AB913" s="24">
        <v>1</v>
      </c>
      <c r="AC913" s="24">
        <v>0</v>
      </c>
      <c r="AD913" s="24">
        <v>0</v>
      </c>
      <c r="AE913" s="24">
        <v>0</v>
      </c>
      <c r="AF913" s="24">
        <v>0</v>
      </c>
      <c r="AG913" s="24">
        <v>0</v>
      </c>
      <c r="AH913" s="24">
        <v>0</v>
      </c>
      <c r="AI913" s="24">
        <v>0</v>
      </c>
      <c r="AJ913" s="24">
        <v>1</v>
      </c>
      <c r="AK913" s="24">
        <v>1</v>
      </c>
      <c r="AL913" s="24">
        <v>0</v>
      </c>
      <c r="AM913" s="24">
        <v>0</v>
      </c>
      <c r="AN913" s="24">
        <v>0</v>
      </c>
      <c r="AO913" s="24">
        <v>0</v>
      </c>
      <c r="AP913" s="24">
        <v>0</v>
      </c>
      <c r="AQ913" s="24">
        <v>0</v>
      </c>
      <c r="AR913" s="24">
        <v>1</v>
      </c>
      <c r="AS913" s="24">
        <v>0</v>
      </c>
      <c r="AT913" s="24">
        <v>0</v>
      </c>
      <c r="AU913" s="24">
        <v>0</v>
      </c>
      <c r="AV913" s="24">
        <v>0</v>
      </c>
      <c r="AW913" s="24">
        <v>0</v>
      </c>
      <c r="AX913" s="24">
        <v>1</v>
      </c>
      <c r="AY913" s="24">
        <v>0</v>
      </c>
      <c r="AZ913" s="24">
        <v>1</v>
      </c>
      <c r="BA913" s="24">
        <v>0</v>
      </c>
      <c r="BB913" s="24">
        <v>0</v>
      </c>
    </row>
    <row r="914" spans="2:54" ht="13.8" x14ac:dyDescent="0.3">
      <c r="B914" s="24">
        <v>894</v>
      </c>
      <c r="C914" s="24">
        <v>36</v>
      </c>
      <c r="D914" s="24">
        <v>0</v>
      </c>
      <c r="E914" s="24">
        <v>1</v>
      </c>
      <c r="F914" s="24">
        <v>0</v>
      </c>
      <c r="G914" s="24">
        <v>0</v>
      </c>
      <c r="H914" s="24">
        <v>0</v>
      </c>
      <c r="I914" s="24">
        <v>0</v>
      </c>
      <c r="J914" s="24">
        <v>5800</v>
      </c>
      <c r="K914" s="24">
        <v>3</v>
      </c>
      <c r="L914" s="24">
        <v>0</v>
      </c>
      <c r="M914" s="24">
        <v>1</v>
      </c>
      <c r="N914" s="24">
        <v>0</v>
      </c>
      <c r="O914" s="24">
        <v>0</v>
      </c>
      <c r="P914" s="24">
        <v>0</v>
      </c>
      <c r="Q914" s="24">
        <v>0</v>
      </c>
      <c r="R914" s="24">
        <v>0</v>
      </c>
      <c r="S914" s="24">
        <v>34</v>
      </c>
      <c r="T914" s="24">
        <v>0</v>
      </c>
      <c r="U914" s="24">
        <v>0</v>
      </c>
      <c r="V914" s="24">
        <v>1</v>
      </c>
      <c r="W914" s="24">
        <v>2</v>
      </c>
      <c r="X914" s="24">
        <v>1</v>
      </c>
      <c r="Y914" s="24">
        <v>1</v>
      </c>
      <c r="Z914" s="24">
        <v>0</v>
      </c>
      <c r="AA914" s="24">
        <v>1</v>
      </c>
      <c r="AB914" s="24">
        <v>0</v>
      </c>
      <c r="AC914" s="24">
        <v>1</v>
      </c>
      <c r="AD914" s="24">
        <v>0</v>
      </c>
      <c r="AE914" s="24">
        <v>0</v>
      </c>
      <c r="AF914" s="24">
        <v>0</v>
      </c>
      <c r="AG914" s="24">
        <v>0</v>
      </c>
      <c r="AH914" s="24">
        <v>0</v>
      </c>
      <c r="AI914" s="24">
        <v>0</v>
      </c>
      <c r="AJ914" s="24">
        <v>1</v>
      </c>
      <c r="AK914" s="24">
        <v>1</v>
      </c>
      <c r="AL914" s="24">
        <v>0</v>
      </c>
      <c r="AM914" s="24">
        <v>0</v>
      </c>
      <c r="AN914" s="24">
        <v>0</v>
      </c>
      <c r="AO914" s="24">
        <v>0</v>
      </c>
      <c r="AP914" s="24">
        <v>0</v>
      </c>
      <c r="AQ914" s="24">
        <v>0</v>
      </c>
      <c r="AR914" s="24">
        <v>1</v>
      </c>
      <c r="AS914" s="24">
        <v>0</v>
      </c>
      <c r="AT914" s="24">
        <v>0</v>
      </c>
      <c r="AU914" s="24">
        <v>0</v>
      </c>
      <c r="AV914" s="24">
        <v>0</v>
      </c>
      <c r="AW914" s="24">
        <v>0</v>
      </c>
      <c r="AX914" s="24">
        <v>1</v>
      </c>
      <c r="AY914" s="24">
        <v>0</v>
      </c>
      <c r="AZ914" s="24">
        <v>0</v>
      </c>
      <c r="BA914" s="24">
        <v>1</v>
      </c>
      <c r="BB914" s="24">
        <v>0</v>
      </c>
    </row>
    <row r="915" spans="2:54" ht="13.8" x14ac:dyDescent="0.3">
      <c r="B915" s="24">
        <v>895</v>
      </c>
      <c r="C915" s="24">
        <v>18</v>
      </c>
      <c r="D915" s="24">
        <v>0</v>
      </c>
      <c r="E915" s="24">
        <v>0</v>
      </c>
      <c r="F915" s="24">
        <v>0</v>
      </c>
      <c r="G915" s="24">
        <v>1</v>
      </c>
      <c r="H915" s="24">
        <v>0</v>
      </c>
      <c r="I915" s="24">
        <v>0</v>
      </c>
      <c r="J915" s="24">
        <v>1169</v>
      </c>
      <c r="K915" s="24">
        <v>4</v>
      </c>
      <c r="L915" s="24">
        <v>0</v>
      </c>
      <c r="M915" s="24">
        <v>1</v>
      </c>
      <c r="N915" s="24">
        <v>0</v>
      </c>
      <c r="O915" s="24">
        <v>0</v>
      </c>
      <c r="P915" s="24">
        <v>0</v>
      </c>
      <c r="Q915" s="24">
        <v>0</v>
      </c>
      <c r="R915" s="24">
        <v>0</v>
      </c>
      <c r="S915" s="24">
        <v>29</v>
      </c>
      <c r="T915" s="24">
        <v>0</v>
      </c>
      <c r="U915" s="24">
        <v>0</v>
      </c>
      <c r="V915" s="24">
        <v>1</v>
      </c>
      <c r="W915" s="24">
        <v>2</v>
      </c>
      <c r="X915" s="24">
        <v>1</v>
      </c>
      <c r="Y915" s="24">
        <v>1</v>
      </c>
      <c r="Z915" s="24">
        <v>0</v>
      </c>
      <c r="AA915" s="24">
        <v>1</v>
      </c>
      <c r="AB915" s="24">
        <v>0</v>
      </c>
      <c r="AC915" s="24">
        <v>0</v>
      </c>
      <c r="AD915" s="24">
        <v>0</v>
      </c>
      <c r="AE915" s="24">
        <v>1</v>
      </c>
      <c r="AF915" s="24">
        <v>0</v>
      </c>
      <c r="AG915" s="24">
        <v>0</v>
      </c>
      <c r="AH915" s="24">
        <v>0</v>
      </c>
      <c r="AI915" s="24">
        <v>0</v>
      </c>
      <c r="AJ915" s="24">
        <v>1</v>
      </c>
      <c r="AK915" s="24">
        <v>0</v>
      </c>
      <c r="AL915" s="24">
        <v>0</v>
      </c>
      <c r="AM915" s="24">
        <v>0</v>
      </c>
      <c r="AN915" s="24">
        <v>0</v>
      </c>
      <c r="AO915" s="24">
        <v>1</v>
      </c>
      <c r="AP915" s="24">
        <v>0</v>
      </c>
      <c r="AQ915" s="24">
        <v>0</v>
      </c>
      <c r="AR915" s="24">
        <v>1</v>
      </c>
      <c r="AS915" s="24">
        <v>0</v>
      </c>
      <c r="AT915" s="24">
        <v>0</v>
      </c>
      <c r="AU915" s="24">
        <v>0</v>
      </c>
      <c r="AV915" s="24">
        <v>0</v>
      </c>
      <c r="AW915" s="24">
        <v>1</v>
      </c>
      <c r="AX915" s="24">
        <v>0</v>
      </c>
      <c r="AY915" s="24">
        <v>0</v>
      </c>
      <c r="AZ915" s="24">
        <v>0</v>
      </c>
      <c r="BA915" s="24">
        <v>1</v>
      </c>
      <c r="BB915" s="24">
        <v>0</v>
      </c>
    </row>
    <row r="916" spans="2:54" ht="13.8" x14ac:dyDescent="0.3">
      <c r="B916" s="24">
        <v>896</v>
      </c>
      <c r="C916" s="24">
        <v>36</v>
      </c>
      <c r="D916" s="24">
        <v>0</v>
      </c>
      <c r="E916" s="24">
        <v>1</v>
      </c>
      <c r="F916" s="24">
        <v>0</v>
      </c>
      <c r="G916" s="24">
        <v>0</v>
      </c>
      <c r="H916" s="24">
        <v>0</v>
      </c>
      <c r="I916" s="24">
        <v>0</v>
      </c>
      <c r="J916" s="24">
        <v>8947</v>
      </c>
      <c r="K916" s="24">
        <v>3</v>
      </c>
      <c r="L916" s="24">
        <v>0</v>
      </c>
      <c r="M916" s="24">
        <v>1</v>
      </c>
      <c r="N916" s="24">
        <v>0</v>
      </c>
      <c r="O916" s="24">
        <v>0</v>
      </c>
      <c r="P916" s="24">
        <v>0</v>
      </c>
      <c r="Q916" s="24">
        <v>0</v>
      </c>
      <c r="R916" s="24">
        <v>0</v>
      </c>
      <c r="S916" s="24">
        <v>31</v>
      </c>
      <c r="T916" s="24">
        <v>1</v>
      </c>
      <c r="U916" s="24">
        <v>0</v>
      </c>
      <c r="V916" s="24">
        <v>1</v>
      </c>
      <c r="W916" s="24">
        <v>1</v>
      </c>
      <c r="X916" s="24">
        <v>2</v>
      </c>
      <c r="Y916" s="24">
        <v>1</v>
      </c>
      <c r="Z916" s="24">
        <v>0</v>
      </c>
      <c r="AA916" s="24">
        <v>1</v>
      </c>
      <c r="AB916" s="24">
        <v>0</v>
      </c>
      <c r="AC916" s="24">
        <v>0</v>
      </c>
      <c r="AD916" s="24">
        <v>0</v>
      </c>
      <c r="AE916" s="24">
        <v>1</v>
      </c>
      <c r="AF916" s="24">
        <v>0</v>
      </c>
      <c r="AG916" s="24">
        <v>0</v>
      </c>
      <c r="AH916" s="24">
        <v>0</v>
      </c>
      <c r="AI916" s="24">
        <v>1</v>
      </c>
      <c r="AJ916" s="24">
        <v>0</v>
      </c>
      <c r="AK916" s="24">
        <v>0</v>
      </c>
      <c r="AL916" s="24">
        <v>0</v>
      </c>
      <c r="AM916" s="24">
        <v>0</v>
      </c>
      <c r="AN916" s="24">
        <v>0</v>
      </c>
      <c r="AO916" s="24">
        <v>1</v>
      </c>
      <c r="AP916" s="24">
        <v>0</v>
      </c>
      <c r="AQ916" s="24">
        <v>0</v>
      </c>
      <c r="AR916" s="24">
        <v>0</v>
      </c>
      <c r="AS916" s="24">
        <v>1</v>
      </c>
      <c r="AT916" s="24">
        <v>0</v>
      </c>
      <c r="AU916" s="24">
        <v>0</v>
      </c>
      <c r="AV916" s="24">
        <v>1</v>
      </c>
      <c r="AW916" s="24">
        <v>0</v>
      </c>
      <c r="AX916" s="24">
        <v>0</v>
      </c>
      <c r="AY916" s="24">
        <v>0</v>
      </c>
      <c r="AZ916" s="24">
        <v>0</v>
      </c>
      <c r="BA916" s="24">
        <v>0</v>
      </c>
      <c r="BB916" s="24">
        <v>1</v>
      </c>
    </row>
    <row r="917" spans="2:54" ht="13.8" x14ac:dyDescent="0.3">
      <c r="B917" s="24">
        <v>897</v>
      </c>
      <c r="C917" s="24">
        <v>21</v>
      </c>
      <c r="D917" s="24">
        <v>0</v>
      </c>
      <c r="E917" s="24">
        <v>0</v>
      </c>
      <c r="F917" s="24">
        <v>0</v>
      </c>
      <c r="G917" s="24">
        <v>1</v>
      </c>
      <c r="H917" s="24">
        <v>0</v>
      </c>
      <c r="I917" s="24">
        <v>0</v>
      </c>
      <c r="J917" s="24">
        <v>2606</v>
      </c>
      <c r="K917" s="24">
        <v>4</v>
      </c>
      <c r="L917" s="24">
        <v>0</v>
      </c>
      <c r="M917" s="24">
        <v>0</v>
      </c>
      <c r="N917" s="24">
        <v>0</v>
      </c>
      <c r="O917" s="24">
        <v>0</v>
      </c>
      <c r="P917" s="24">
        <v>0</v>
      </c>
      <c r="Q917" s="24">
        <v>0</v>
      </c>
      <c r="R917" s="24">
        <v>0</v>
      </c>
      <c r="S917" s="24">
        <v>28</v>
      </c>
      <c r="T917" s="24">
        <v>0</v>
      </c>
      <c r="U917" s="24">
        <v>1</v>
      </c>
      <c r="V917" s="24">
        <v>0</v>
      </c>
      <c r="W917" s="24">
        <v>1</v>
      </c>
      <c r="X917" s="24">
        <v>1</v>
      </c>
      <c r="Y917" s="24">
        <v>1</v>
      </c>
      <c r="Z917" s="24">
        <v>0</v>
      </c>
      <c r="AA917" s="24">
        <v>1</v>
      </c>
      <c r="AB917" s="24">
        <v>1</v>
      </c>
      <c r="AC917" s="24">
        <v>0</v>
      </c>
      <c r="AD917" s="24">
        <v>0</v>
      </c>
      <c r="AE917" s="24">
        <v>0</v>
      </c>
      <c r="AF917" s="24">
        <v>0</v>
      </c>
      <c r="AG917" s="24">
        <v>0</v>
      </c>
      <c r="AH917" s="24">
        <v>1</v>
      </c>
      <c r="AI917" s="24">
        <v>0</v>
      </c>
      <c r="AJ917" s="24">
        <v>0</v>
      </c>
      <c r="AK917" s="24">
        <v>1</v>
      </c>
      <c r="AL917" s="24">
        <v>0</v>
      </c>
      <c r="AM917" s="24">
        <v>0</v>
      </c>
      <c r="AN917" s="24">
        <v>0</v>
      </c>
      <c r="AO917" s="24">
        <v>0</v>
      </c>
      <c r="AP917" s="24">
        <v>0</v>
      </c>
      <c r="AQ917" s="24">
        <v>1</v>
      </c>
      <c r="AR917" s="24">
        <v>0</v>
      </c>
      <c r="AS917" s="24">
        <v>0</v>
      </c>
      <c r="AT917" s="24">
        <v>0</v>
      </c>
      <c r="AU917" s="24">
        <v>0</v>
      </c>
      <c r="AV917" s="24">
        <v>0</v>
      </c>
      <c r="AW917" s="24">
        <v>0</v>
      </c>
      <c r="AX917" s="24">
        <v>1</v>
      </c>
      <c r="AY917" s="24">
        <v>0</v>
      </c>
      <c r="AZ917" s="24">
        <v>0</v>
      </c>
      <c r="BA917" s="24">
        <v>0</v>
      </c>
      <c r="BB917" s="24">
        <v>1</v>
      </c>
    </row>
    <row r="918" spans="2:54" ht="13.8" x14ac:dyDescent="0.3">
      <c r="B918" s="24">
        <v>898</v>
      </c>
      <c r="C918" s="24">
        <v>12</v>
      </c>
      <c r="D918" s="24">
        <v>0</v>
      </c>
      <c r="E918" s="24">
        <v>0</v>
      </c>
      <c r="F918" s="24">
        <v>1</v>
      </c>
      <c r="G918" s="24">
        <v>0</v>
      </c>
      <c r="H918" s="24">
        <v>0</v>
      </c>
      <c r="I918" s="24">
        <v>0</v>
      </c>
      <c r="J918" s="24">
        <v>1592</v>
      </c>
      <c r="K918" s="24">
        <v>3</v>
      </c>
      <c r="L918" s="24">
        <v>0</v>
      </c>
      <c r="M918" s="24">
        <v>0</v>
      </c>
      <c r="N918" s="24">
        <v>0</v>
      </c>
      <c r="O918" s="24">
        <v>0</v>
      </c>
      <c r="P918" s="24">
        <v>0</v>
      </c>
      <c r="Q918" s="24">
        <v>0</v>
      </c>
      <c r="R918" s="24">
        <v>0</v>
      </c>
      <c r="S918" s="24">
        <v>35</v>
      </c>
      <c r="T918" s="24">
        <v>0</v>
      </c>
      <c r="U918" s="24">
        <v>0</v>
      </c>
      <c r="V918" s="24">
        <v>1</v>
      </c>
      <c r="W918" s="24">
        <v>1</v>
      </c>
      <c r="X918" s="24">
        <v>1</v>
      </c>
      <c r="Y918" s="24">
        <v>0</v>
      </c>
      <c r="Z918" s="24">
        <v>1</v>
      </c>
      <c r="AA918" s="24">
        <v>1</v>
      </c>
      <c r="AB918" s="24">
        <v>0</v>
      </c>
      <c r="AC918" s="24">
        <v>0</v>
      </c>
      <c r="AD918" s="24">
        <v>0</v>
      </c>
      <c r="AE918" s="24">
        <v>1</v>
      </c>
      <c r="AF918" s="24">
        <v>0</v>
      </c>
      <c r="AG918" s="24">
        <v>0</v>
      </c>
      <c r="AH918" s="24">
        <v>0</v>
      </c>
      <c r="AI918" s="24">
        <v>0</v>
      </c>
      <c r="AJ918" s="24">
        <v>1</v>
      </c>
      <c r="AK918" s="24">
        <v>0</v>
      </c>
      <c r="AL918" s="24">
        <v>0</v>
      </c>
      <c r="AM918" s="24">
        <v>0</v>
      </c>
      <c r="AN918" s="24">
        <v>1</v>
      </c>
      <c r="AO918" s="24">
        <v>0</v>
      </c>
      <c r="AP918" s="24">
        <v>0</v>
      </c>
      <c r="AQ918" s="24">
        <v>0</v>
      </c>
      <c r="AR918" s="24">
        <v>0</v>
      </c>
      <c r="AS918" s="24">
        <v>1</v>
      </c>
      <c r="AT918" s="24">
        <v>0</v>
      </c>
      <c r="AU918" s="24">
        <v>0</v>
      </c>
      <c r="AV918" s="24">
        <v>1</v>
      </c>
      <c r="AW918" s="24">
        <v>0</v>
      </c>
      <c r="AX918" s="24">
        <v>0</v>
      </c>
      <c r="AY918" s="24">
        <v>0</v>
      </c>
      <c r="AZ918" s="24">
        <v>0</v>
      </c>
      <c r="BA918" s="24">
        <v>1</v>
      </c>
      <c r="BB918" s="24">
        <v>0</v>
      </c>
    </row>
    <row r="919" spans="2:54" ht="13.8" x14ac:dyDescent="0.3">
      <c r="B919" s="24">
        <v>899</v>
      </c>
      <c r="C919" s="24">
        <v>15</v>
      </c>
      <c r="D919" s="24">
        <v>0</v>
      </c>
      <c r="E919" s="24">
        <v>0</v>
      </c>
      <c r="F919" s="24">
        <v>1</v>
      </c>
      <c r="G919" s="24">
        <v>0</v>
      </c>
      <c r="H919" s="24">
        <v>0</v>
      </c>
      <c r="I919" s="24">
        <v>0</v>
      </c>
      <c r="J919" s="24">
        <v>2186</v>
      </c>
      <c r="K919" s="24">
        <v>1</v>
      </c>
      <c r="L919" s="24">
        <v>0</v>
      </c>
      <c r="M919" s="24">
        <v>0</v>
      </c>
      <c r="N919" s="24">
        <v>0</v>
      </c>
      <c r="O919" s="24">
        <v>0</v>
      </c>
      <c r="P919" s="24">
        <v>0</v>
      </c>
      <c r="Q919" s="24">
        <v>1</v>
      </c>
      <c r="R919" s="24">
        <v>0</v>
      </c>
      <c r="S919" s="24">
        <v>33</v>
      </c>
      <c r="T919" s="24">
        <v>1</v>
      </c>
      <c r="U919" s="24">
        <v>1</v>
      </c>
      <c r="V919" s="24">
        <v>0</v>
      </c>
      <c r="W919" s="24">
        <v>1</v>
      </c>
      <c r="X919" s="24">
        <v>1</v>
      </c>
      <c r="Y919" s="24">
        <v>0</v>
      </c>
      <c r="Z919" s="24">
        <v>0</v>
      </c>
      <c r="AA919" s="24">
        <v>1</v>
      </c>
      <c r="AB919" s="24">
        <v>0</v>
      </c>
      <c r="AC919" s="24">
        <v>0</v>
      </c>
      <c r="AD919" s="24">
        <v>0</v>
      </c>
      <c r="AE919" s="24">
        <v>1</v>
      </c>
      <c r="AF919" s="24">
        <v>0</v>
      </c>
      <c r="AG919" s="24">
        <v>0</v>
      </c>
      <c r="AH919" s="24">
        <v>1</v>
      </c>
      <c r="AI919" s="24">
        <v>0</v>
      </c>
      <c r="AJ919" s="24">
        <v>0</v>
      </c>
      <c r="AK919" s="24">
        <v>0</v>
      </c>
      <c r="AL919" s="24">
        <v>0</v>
      </c>
      <c r="AM919" s="24">
        <v>0</v>
      </c>
      <c r="AN919" s="24">
        <v>0</v>
      </c>
      <c r="AO919" s="24">
        <v>1</v>
      </c>
      <c r="AP919" s="24">
        <v>0</v>
      </c>
      <c r="AQ919" s="24">
        <v>0</v>
      </c>
      <c r="AR919" s="24">
        <v>0</v>
      </c>
      <c r="AS919" s="24">
        <v>1</v>
      </c>
      <c r="AT919" s="24">
        <v>0</v>
      </c>
      <c r="AU919" s="24">
        <v>0</v>
      </c>
      <c r="AV919" s="24">
        <v>0</v>
      </c>
      <c r="AW919" s="24">
        <v>0</v>
      </c>
      <c r="AX919" s="24">
        <v>1</v>
      </c>
      <c r="AY919" s="24">
        <v>0</v>
      </c>
      <c r="AZ919" s="24">
        <v>1</v>
      </c>
      <c r="BA919" s="24">
        <v>0</v>
      </c>
      <c r="BB919" s="24">
        <v>0</v>
      </c>
    </row>
    <row r="920" spans="2:54" ht="13.8" x14ac:dyDescent="0.3">
      <c r="B920" s="24">
        <v>900</v>
      </c>
      <c r="C920" s="24">
        <v>18</v>
      </c>
      <c r="D920" s="24">
        <v>0</v>
      </c>
      <c r="E920" s="24">
        <v>0</v>
      </c>
      <c r="F920" s="24">
        <v>1</v>
      </c>
      <c r="G920" s="24">
        <v>0</v>
      </c>
      <c r="H920" s="24">
        <v>0</v>
      </c>
      <c r="I920" s="24">
        <v>0</v>
      </c>
      <c r="J920" s="24">
        <v>4153</v>
      </c>
      <c r="K920" s="24">
        <v>2</v>
      </c>
      <c r="L920" s="24">
        <v>0</v>
      </c>
      <c r="M920" s="24">
        <v>1</v>
      </c>
      <c r="N920" s="24">
        <v>0</v>
      </c>
      <c r="O920" s="24">
        <v>1</v>
      </c>
      <c r="P920" s="24">
        <v>0</v>
      </c>
      <c r="Q920" s="24">
        <v>0</v>
      </c>
      <c r="R920" s="24">
        <v>0</v>
      </c>
      <c r="S920" s="24">
        <v>42</v>
      </c>
      <c r="T920" s="24">
        <v>0</v>
      </c>
      <c r="U920" s="24">
        <v>0</v>
      </c>
      <c r="V920" s="24">
        <v>1</v>
      </c>
      <c r="W920" s="24">
        <v>1</v>
      </c>
      <c r="X920" s="24">
        <v>1</v>
      </c>
      <c r="Y920" s="24">
        <v>0</v>
      </c>
      <c r="Z920" s="24">
        <v>0</v>
      </c>
      <c r="AA920" s="24">
        <v>0</v>
      </c>
      <c r="AB920" s="24">
        <v>1</v>
      </c>
      <c r="AC920" s="24">
        <v>0</v>
      </c>
      <c r="AD920" s="24">
        <v>0</v>
      </c>
      <c r="AE920" s="24">
        <v>0</v>
      </c>
      <c r="AF920" s="24">
        <v>0</v>
      </c>
      <c r="AG920" s="24">
        <v>0</v>
      </c>
      <c r="AH920" s="24">
        <v>1</v>
      </c>
      <c r="AI920" s="24">
        <v>0</v>
      </c>
      <c r="AJ920" s="24">
        <v>0</v>
      </c>
      <c r="AK920" s="24">
        <v>1</v>
      </c>
      <c r="AL920" s="24">
        <v>0</v>
      </c>
      <c r="AM920" s="24">
        <v>0</v>
      </c>
      <c r="AN920" s="24">
        <v>0</v>
      </c>
      <c r="AO920" s="24">
        <v>0</v>
      </c>
      <c r="AP920" s="24">
        <v>0</v>
      </c>
      <c r="AQ920" s="24">
        <v>0</v>
      </c>
      <c r="AR920" s="24">
        <v>1</v>
      </c>
      <c r="AS920" s="24">
        <v>0</v>
      </c>
      <c r="AT920" s="24">
        <v>0</v>
      </c>
      <c r="AU920" s="24">
        <v>0</v>
      </c>
      <c r="AV920" s="24">
        <v>0</v>
      </c>
      <c r="AW920" s="24">
        <v>1</v>
      </c>
      <c r="AX920" s="24">
        <v>0</v>
      </c>
      <c r="AY920" s="24">
        <v>0</v>
      </c>
      <c r="AZ920" s="24">
        <v>0</v>
      </c>
      <c r="BA920" s="24">
        <v>1</v>
      </c>
      <c r="BB920" s="24">
        <v>0</v>
      </c>
    </row>
    <row r="921" spans="2:54" ht="13.8" x14ac:dyDescent="0.3">
      <c r="B921" s="24">
        <v>901</v>
      </c>
      <c r="C921" s="24">
        <v>16</v>
      </c>
      <c r="D921" s="24">
        <v>1</v>
      </c>
      <c r="E921" s="24">
        <v>0</v>
      </c>
      <c r="F921" s="24">
        <v>0</v>
      </c>
      <c r="G921" s="24">
        <v>0</v>
      </c>
      <c r="H921" s="24">
        <v>0</v>
      </c>
      <c r="I921" s="24">
        <v>0</v>
      </c>
      <c r="J921" s="24">
        <v>2625</v>
      </c>
      <c r="K921" s="24">
        <v>2</v>
      </c>
      <c r="L921" s="24">
        <v>0</v>
      </c>
      <c r="M921" s="24">
        <v>1</v>
      </c>
      <c r="N921" s="24">
        <v>0</v>
      </c>
      <c r="O921" s="24">
        <v>0</v>
      </c>
      <c r="P921" s="24">
        <v>1</v>
      </c>
      <c r="Q921" s="24">
        <v>0</v>
      </c>
      <c r="R921" s="24">
        <v>0</v>
      </c>
      <c r="S921" s="24">
        <v>43</v>
      </c>
      <c r="T921" s="24">
        <v>1</v>
      </c>
      <c r="U921" s="24">
        <v>1</v>
      </c>
      <c r="V921" s="24">
        <v>0</v>
      </c>
      <c r="W921" s="24">
        <v>1</v>
      </c>
      <c r="X921" s="24">
        <v>1</v>
      </c>
      <c r="Y921" s="24">
        <v>1</v>
      </c>
      <c r="Z921" s="24">
        <v>0</v>
      </c>
      <c r="AA921" s="24">
        <v>0</v>
      </c>
      <c r="AB921" s="24">
        <v>1</v>
      </c>
      <c r="AC921" s="24">
        <v>0</v>
      </c>
      <c r="AD921" s="24">
        <v>0</v>
      </c>
      <c r="AE921" s="24">
        <v>0</v>
      </c>
      <c r="AF921" s="24">
        <v>0</v>
      </c>
      <c r="AG921" s="24">
        <v>0</v>
      </c>
      <c r="AH921" s="24">
        <v>0</v>
      </c>
      <c r="AI921" s="24">
        <v>0</v>
      </c>
      <c r="AJ921" s="24">
        <v>1</v>
      </c>
      <c r="AK921" s="24">
        <v>1</v>
      </c>
      <c r="AL921" s="24">
        <v>0</v>
      </c>
      <c r="AM921" s="24">
        <v>0</v>
      </c>
      <c r="AN921" s="24">
        <v>0</v>
      </c>
      <c r="AO921" s="24">
        <v>0</v>
      </c>
      <c r="AP921" s="24">
        <v>0</v>
      </c>
      <c r="AQ921" s="24">
        <v>0</v>
      </c>
      <c r="AR921" s="24">
        <v>0</v>
      </c>
      <c r="AS921" s="24">
        <v>0</v>
      </c>
      <c r="AT921" s="24">
        <v>1</v>
      </c>
      <c r="AU921" s="24">
        <v>0</v>
      </c>
      <c r="AV921" s="24">
        <v>0</v>
      </c>
      <c r="AW921" s="24">
        <v>0</v>
      </c>
      <c r="AX921" s="24">
        <v>1</v>
      </c>
      <c r="AY921" s="24">
        <v>0</v>
      </c>
      <c r="AZ921" s="24">
        <v>0</v>
      </c>
      <c r="BA921" s="24">
        <v>1</v>
      </c>
      <c r="BB921" s="24">
        <v>0</v>
      </c>
    </row>
    <row r="922" spans="2:54" ht="13.8" x14ac:dyDescent="0.3">
      <c r="B922" s="24">
        <v>902</v>
      </c>
      <c r="C922" s="24">
        <v>20</v>
      </c>
      <c r="D922" s="24">
        <v>1</v>
      </c>
      <c r="E922" s="24">
        <v>0</v>
      </c>
      <c r="F922" s="24">
        <v>0</v>
      </c>
      <c r="G922" s="24">
        <v>0</v>
      </c>
      <c r="H922" s="24">
        <v>0</v>
      </c>
      <c r="I922" s="24">
        <v>0</v>
      </c>
      <c r="J922" s="24">
        <v>3485</v>
      </c>
      <c r="K922" s="24">
        <v>2</v>
      </c>
      <c r="L922" s="24">
        <v>1</v>
      </c>
      <c r="M922" s="24">
        <v>0</v>
      </c>
      <c r="N922" s="24">
        <v>0</v>
      </c>
      <c r="O922" s="24">
        <v>0</v>
      </c>
      <c r="P922" s="24">
        <v>0</v>
      </c>
      <c r="Q922" s="24">
        <v>1</v>
      </c>
      <c r="R922" s="24">
        <v>0</v>
      </c>
      <c r="S922" s="24">
        <v>44</v>
      </c>
      <c r="T922" s="24">
        <v>0</v>
      </c>
      <c r="U922" s="24">
        <v>0</v>
      </c>
      <c r="V922" s="24">
        <v>1</v>
      </c>
      <c r="W922" s="24">
        <v>2</v>
      </c>
      <c r="X922" s="24">
        <v>1</v>
      </c>
      <c r="Y922" s="24">
        <v>1</v>
      </c>
      <c r="Z922" s="24">
        <v>0</v>
      </c>
      <c r="AA922" s="24">
        <v>1</v>
      </c>
      <c r="AB922" s="24">
        <v>0</v>
      </c>
      <c r="AC922" s="24">
        <v>0</v>
      </c>
      <c r="AD922" s="24">
        <v>0</v>
      </c>
      <c r="AE922" s="24">
        <v>1</v>
      </c>
      <c r="AF922" s="24">
        <v>0</v>
      </c>
      <c r="AG922" s="24">
        <v>0</v>
      </c>
      <c r="AH922" s="24">
        <v>0</v>
      </c>
      <c r="AI922" s="24">
        <v>0</v>
      </c>
      <c r="AJ922" s="24">
        <v>1</v>
      </c>
      <c r="AK922" s="24">
        <v>0</v>
      </c>
      <c r="AL922" s="24">
        <v>0</v>
      </c>
      <c r="AM922" s="24">
        <v>0</v>
      </c>
      <c r="AN922" s="24">
        <v>0</v>
      </c>
      <c r="AO922" s="24">
        <v>1</v>
      </c>
      <c r="AP922" s="24">
        <v>0</v>
      </c>
      <c r="AQ922" s="24">
        <v>1</v>
      </c>
      <c r="AR922" s="24">
        <v>0</v>
      </c>
      <c r="AS922" s="24">
        <v>0</v>
      </c>
      <c r="AT922" s="24">
        <v>0</v>
      </c>
      <c r="AU922" s="24">
        <v>0</v>
      </c>
      <c r="AV922" s="24">
        <v>0</v>
      </c>
      <c r="AW922" s="24">
        <v>0</v>
      </c>
      <c r="AX922" s="24">
        <v>1</v>
      </c>
      <c r="AY922" s="24">
        <v>0</v>
      </c>
      <c r="AZ922" s="24">
        <v>0</v>
      </c>
      <c r="BA922" s="24">
        <v>1</v>
      </c>
      <c r="BB922" s="24">
        <v>0</v>
      </c>
    </row>
    <row r="923" spans="2:54" ht="13.8" x14ac:dyDescent="0.3">
      <c r="B923" s="24">
        <v>903</v>
      </c>
      <c r="C923" s="24">
        <v>36</v>
      </c>
      <c r="D923" s="24">
        <v>0</v>
      </c>
      <c r="E923" s="24">
        <v>1</v>
      </c>
      <c r="F923" s="24">
        <v>0</v>
      </c>
      <c r="G923" s="24">
        <v>0</v>
      </c>
      <c r="H923" s="24">
        <v>0</v>
      </c>
      <c r="I923" s="24">
        <v>0</v>
      </c>
      <c r="J923" s="24">
        <v>10477</v>
      </c>
      <c r="K923" s="24">
        <v>2</v>
      </c>
      <c r="L923" s="24">
        <v>0</v>
      </c>
      <c r="M923" s="24">
        <v>1</v>
      </c>
      <c r="N923" s="24">
        <v>0</v>
      </c>
      <c r="O923" s="24">
        <v>0</v>
      </c>
      <c r="P923" s="24">
        <v>0</v>
      </c>
      <c r="Q923" s="24">
        <v>0</v>
      </c>
      <c r="R923" s="24">
        <v>1</v>
      </c>
      <c r="S923" s="24">
        <v>42</v>
      </c>
      <c r="T923" s="24">
        <v>0</v>
      </c>
      <c r="U923" s="24">
        <v>0</v>
      </c>
      <c r="V923" s="24">
        <v>0</v>
      </c>
      <c r="W923" s="24">
        <v>2</v>
      </c>
      <c r="X923" s="24">
        <v>1</v>
      </c>
      <c r="Y923" s="24">
        <v>0</v>
      </c>
      <c r="Z923" s="24">
        <v>0</v>
      </c>
      <c r="AA923" s="24">
        <v>1</v>
      </c>
      <c r="AB923" s="24">
        <v>0</v>
      </c>
      <c r="AC923" s="24">
        <v>0</v>
      </c>
      <c r="AD923" s="24">
        <v>0</v>
      </c>
      <c r="AE923" s="24">
        <v>1</v>
      </c>
      <c r="AF923" s="24">
        <v>0</v>
      </c>
      <c r="AG923" s="24">
        <v>0</v>
      </c>
      <c r="AH923" s="24">
        <v>0</v>
      </c>
      <c r="AI923" s="24">
        <v>0</v>
      </c>
      <c r="AJ923" s="24">
        <v>1</v>
      </c>
      <c r="AK923" s="24">
        <v>0</v>
      </c>
      <c r="AL923" s="24">
        <v>0</v>
      </c>
      <c r="AM923" s="24">
        <v>0</v>
      </c>
      <c r="AN923" s="24">
        <v>0</v>
      </c>
      <c r="AO923" s="24">
        <v>1</v>
      </c>
      <c r="AP923" s="24">
        <v>0</v>
      </c>
      <c r="AQ923" s="24">
        <v>0</v>
      </c>
      <c r="AR923" s="24">
        <v>0</v>
      </c>
      <c r="AS923" s="24">
        <v>0</v>
      </c>
      <c r="AT923" s="24">
        <v>1</v>
      </c>
      <c r="AU923" s="24">
        <v>0</v>
      </c>
      <c r="AV923" s="24">
        <v>0</v>
      </c>
      <c r="AW923" s="24">
        <v>0</v>
      </c>
      <c r="AX923" s="24">
        <v>1</v>
      </c>
      <c r="AY923" s="24">
        <v>0</v>
      </c>
      <c r="AZ923" s="24">
        <v>0</v>
      </c>
      <c r="BA923" s="24">
        <v>1</v>
      </c>
      <c r="BB923" s="24">
        <v>0</v>
      </c>
    </row>
    <row r="924" spans="2:54" ht="13.8" x14ac:dyDescent="0.3">
      <c r="B924" s="24">
        <v>904</v>
      </c>
      <c r="C924" s="24">
        <v>15</v>
      </c>
      <c r="D924" s="24">
        <v>0</v>
      </c>
      <c r="E924" s="24">
        <v>0</v>
      </c>
      <c r="F924" s="24">
        <v>0</v>
      </c>
      <c r="G924" s="24">
        <v>1</v>
      </c>
      <c r="H924" s="24">
        <v>0</v>
      </c>
      <c r="I924" s="24">
        <v>0</v>
      </c>
      <c r="J924" s="24">
        <v>1386</v>
      </c>
      <c r="K924" s="24">
        <v>4</v>
      </c>
      <c r="L924" s="24">
        <v>0</v>
      </c>
      <c r="M924" s="24">
        <v>0</v>
      </c>
      <c r="N924" s="24">
        <v>1</v>
      </c>
      <c r="O924" s="24">
        <v>0</v>
      </c>
      <c r="P924" s="24">
        <v>0</v>
      </c>
      <c r="Q924" s="24">
        <v>1</v>
      </c>
      <c r="R924" s="24">
        <v>0</v>
      </c>
      <c r="S924" s="24">
        <v>40</v>
      </c>
      <c r="T924" s="24">
        <v>0</v>
      </c>
      <c r="U924" s="24">
        <v>1</v>
      </c>
      <c r="V924" s="24">
        <v>0</v>
      </c>
      <c r="W924" s="24">
        <v>1</v>
      </c>
      <c r="X924" s="24">
        <v>1</v>
      </c>
      <c r="Y924" s="24">
        <v>1</v>
      </c>
      <c r="Z924" s="24">
        <v>0</v>
      </c>
      <c r="AA924" s="24">
        <v>1</v>
      </c>
      <c r="AB924" s="24">
        <v>0</v>
      </c>
      <c r="AC924" s="24">
        <v>0</v>
      </c>
      <c r="AD924" s="24">
        <v>0</v>
      </c>
      <c r="AE924" s="24">
        <v>1</v>
      </c>
      <c r="AF924" s="24">
        <v>0</v>
      </c>
      <c r="AG924" s="24">
        <v>0</v>
      </c>
      <c r="AH924" s="24">
        <v>1</v>
      </c>
      <c r="AI924" s="24">
        <v>0</v>
      </c>
      <c r="AJ924" s="24">
        <v>0</v>
      </c>
      <c r="AK924" s="24">
        <v>0</v>
      </c>
      <c r="AL924" s="24">
        <v>0</v>
      </c>
      <c r="AM924" s="24">
        <v>0</v>
      </c>
      <c r="AN924" s="24">
        <v>0</v>
      </c>
      <c r="AO924" s="24">
        <v>1</v>
      </c>
      <c r="AP924" s="24">
        <v>0</v>
      </c>
      <c r="AQ924" s="24">
        <v>0</v>
      </c>
      <c r="AR924" s="24">
        <v>1</v>
      </c>
      <c r="AS924" s="24">
        <v>0</v>
      </c>
      <c r="AT924" s="24">
        <v>0</v>
      </c>
      <c r="AU924" s="24">
        <v>0</v>
      </c>
      <c r="AV924" s="24">
        <v>1</v>
      </c>
      <c r="AW924" s="24">
        <v>0</v>
      </c>
      <c r="AX924" s="24">
        <v>0</v>
      </c>
      <c r="AY924" s="24">
        <v>0</v>
      </c>
      <c r="AZ924" s="24">
        <v>0</v>
      </c>
      <c r="BA924" s="24">
        <v>1</v>
      </c>
      <c r="BB924" s="24">
        <v>0</v>
      </c>
    </row>
    <row r="925" spans="2:54" ht="13.8" x14ac:dyDescent="0.3">
      <c r="B925" s="24">
        <v>905</v>
      </c>
      <c r="C925" s="24">
        <v>24</v>
      </c>
      <c r="D925" s="24">
        <v>0</v>
      </c>
      <c r="E925" s="24">
        <v>0</v>
      </c>
      <c r="F925" s="24">
        <v>0</v>
      </c>
      <c r="G925" s="24">
        <v>1</v>
      </c>
      <c r="H925" s="24">
        <v>0</v>
      </c>
      <c r="I925" s="24">
        <v>0</v>
      </c>
      <c r="J925" s="24">
        <v>1278</v>
      </c>
      <c r="K925" s="24">
        <v>4</v>
      </c>
      <c r="L925" s="24">
        <v>0</v>
      </c>
      <c r="M925" s="24">
        <v>1</v>
      </c>
      <c r="N925" s="24">
        <v>0</v>
      </c>
      <c r="O925" s="24">
        <v>0</v>
      </c>
      <c r="P925" s="24">
        <v>0</v>
      </c>
      <c r="Q925" s="24">
        <v>1</v>
      </c>
      <c r="R925" s="24">
        <v>0</v>
      </c>
      <c r="S925" s="24">
        <v>36</v>
      </c>
      <c r="T925" s="24">
        <v>0</v>
      </c>
      <c r="U925" s="24">
        <v>0</v>
      </c>
      <c r="V925" s="24">
        <v>1</v>
      </c>
      <c r="W925" s="24">
        <v>1</v>
      </c>
      <c r="X925" s="24">
        <v>1</v>
      </c>
      <c r="Y925" s="24">
        <v>1</v>
      </c>
      <c r="Z925" s="24">
        <v>0</v>
      </c>
      <c r="AA925" s="24">
        <v>1</v>
      </c>
      <c r="AB925" s="24">
        <v>0</v>
      </c>
      <c r="AC925" s="24">
        <v>0</v>
      </c>
      <c r="AD925" s="24">
        <v>0</v>
      </c>
      <c r="AE925" s="24">
        <v>1</v>
      </c>
      <c r="AF925" s="24">
        <v>0</v>
      </c>
      <c r="AG925" s="24">
        <v>0</v>
      </c>
      <c r="AH925" s="24">
        <v>1</v>
      </c>
      <c r="AI925" s="24">
        <v>0</v>
      </c>
      <c r="AJ925" s="24">
        <v>0</v>
      </c>
      <c r="AK925" s="24">
        <v>1</v>
      </c>
      <c r="AL925" s="24">
        <v>0</v>
      </c>
      <c r="AM925" s="24">
        <v>0</v>
      </c>
      <c r="AN925" s="24">
        <v>0</v>
      </c>
      <c r="AO925" s="24">
        <v>0</v>
      </c>
      <c r="AP925" s="24">
        <v>0</v>
      </c>
      <c r="AQ925" s="24">
        <v>0</v>
      </c>
      <c r="AR925" s="24">
        <v>0</v>
      </c>
      <c r="AS925" s="24">
        <v>0</v>
      </c>
      <c r="AT925" s="24">
        <v>1</v>
      </c>
      <c r="AU925" s="24">
        <v>1</v>
      </c>
      <c r="AV925" s="24">
        <v>0</v>
      </c>
      <c r="AW925" s="24">
        <v>0</v>
      </c>
      <c r="AX925" s="24">
        <v>0</v>
      </c>
      <c r="AY925" s="24">
        <v>0</v>
      </c>
      <c r="AZ925" s="24">
        <v>0</v>
      </c>
      <c r="BA925" s="24">
        <v>0</v>
      </c>
      <c r="BB925" s="24">
        <v>1</v>
      </c>
    </row>
    <row r="926" spans="2:54" ht="13.8" x14ac:dyDescent="0.3">
      <c r="B926" s="24">
        <v>906</v>
      </c>
      <c r="C926" s="24">
        <v>12</v>
      </c>
      <c r="D926" s="24">
        <v>0</v>
      </c>
      <c r="E926" s="24">
        <v>0</v>
      </c>
      <c r="F926" s="24">
        <v>0</v>
      </c>
      <c r="G926" s="24">
        <v>1</v>
      </c>
      <c r="H926" s="24">
        <v>0</v>
      </c>
      <c r="I926" s="24">
        <v>0</v>
      </c>
      <c r="J926" s="24">
        <v>1107</v>
      </c>
      <c r="K926" s="24">
        <v>2</v>
      </c>
      <c r="L926" s="24">
        <v>0</v>
      </c>
      <c r="M926" s="24">
        <v>1</v>
      </c>
      <c r="N926" s="24">
        <v>0</v>
      </c>
      <c r="O926" s="24">
        <v>0</v>
      </c>
      <c r="P926" s="24">
        <v>0</v>
      </c>
      <c r="Q926" s="24">
        <v>1</v>
      </c>
      <c r="R926" s="24">
        <v>0</v>
      </c>
      <c r="S926" s="24">
        <v>20</v>
      </c>
      <c r="T926" s="24">
        <v>0</v>
      </c>
      <c r="U926" s="24">
        <v>1</v>
      </c>
      <c r="V926" s="24">
        <v>0</v>
      </c>
      <c r="W926" s="24">
        <v>1</v>
      </c>
      <c r="X926" s="24">
        <v>2</v>
      </c>
      <c r="Y926" s="24">
        <v>1</v>
      </c>
      <c r="Z926" s="24">
        <v>0</v>
      </c>
      <c r="AA926" s="24">
        <v>1</v>
      </c>
      <c r="AB926" s="24">
        <v>1</v>
      </c>
      <c r="AC926" s="24">
        <v>0</v>
      </c>
      <c r="AD926" s="24">
        <v>0</v>
      </c>
      <c r="AE926" s="24">
        <v>0</v>
      </c>
      <c r="AF926" s="24">
        <v>0</v>
      </c>
      <c r="AG926" s="24">
        <v>0</v>
      </c>
      <c r="AH926" s="24">
        <v>1</v>
      </c>
      <c r="AI926" s="24">
        <v>0</v>
      </c>
      <c r="AJ926" s="24">
        <v>0</v>
      </c>
      <c r="AK926" s="24">
        <v>1</v>
      </c>
      <c r="AL926" s="24">
        <v>0</v>
      </c>
      <c r="AM926" s="24">
        <v>0</v>
      </c>
      <c r="AN926" s="24">
        <v>0</v>
      </c>
      <c r="AO926" s="24">
        <v>0</v>
      </c>
      <c r="AP926" s="24">
        <v>0</v>
      </c>
      <c r="AQ926" s="24">
        <v>0</v>
      </c>
      <c r="AR926" s="24">
        <v>1</v>
      </c>
      <c r="AS926" s="24">
        <v>0</v>
      </c>
      <c r="AT926" s="24">
        <v>0</v>
      </c>
      <c r="AU926" s="24">
        <v>0</v>
      </c>
      <c r="AV926" s="24">
        <v>1</v>
      </c>
      <c r="AW926" s="24">
        <v>0</v>
      </c>
      <c r="AX926" s="24">
        <v>0</v>
      </c>
      <c r="AY926" s="24">
        <v>0</v>
      </c>
      <c r="AZ926" s="24">
        <v>0</v>
      </c>
      <c r="BA926" s="24">
        <v>0</v>
      </c>
      <c r="BB926" s="24">
        <v>1</v>
      </c>
    </row>
    <row r="927" spans="2:54" ht="13.8" x14ac:dyDescent="0.3">
      <c r="B927" s="24">
        <v>907</v>
      </c>
      <c r="C927" s="24">
        <v>21</v>
      </c>
      <c r="D927" s="24">
        <v>1</v>
      </c>
      <c r="E927" s="24">
        <v>0</v>
      </c>
      <c r="F927" s="24">
        <v>0</v>
      </c>
      <c r="G927" s="24">
        <v>0</v>
      </c>
      <c r="H927" s="24">
        <v>0</v>
      </c>
      <c r="I927" s="24">
        <v>0</v>
      </c>
      <c r="J927" s="24">
        <v>3763</v>
      </c>
      <c r="K927" s="24">
        <v>2</v>
      </c>
      <c r="L927" s="24">
        <v>0</v>
      </c>
      <c r="M927" s="24">
        <v>1</v>
      </c>
      <c r="N927" s="24">
        <v>0</v>
      </c>
      <c r="O927" s="24">
        <v>1</v>
      </c>
      <c r="P927" s="24">
        <v>0</v>
      </c>
      <c r="Q927" s="24">
        <v>1</v>
      </c>
      <c r="R927" s="24">
        <v>0</v>
      </c>
      <c r="S927" s="24">
        <v>24</v>
      </c>
      <c r="T927" s="24">
        <v>0</v>
      </c>
      <c r="U927" s="24">
        <v>0</v>
      </c>
      <c r="V927" s="24">
        <v>1</v>
      </c>
      <c r="W927" s="24">
        <v>1</v>
      </c>
      <c r="X927" s="24">
        <v>1</v>
      </c>
      <c r="Y927" s="24">
        <v>0</v>
      </c>
      <c r="Z927" s="24">
        <v>1</v>
      </c>
      <c r="AA927" s="24">
        <v>1</v>
      </c>
      <c r="AB927" s="24">
        <v>1</v>
      </c>
      <c r="AC927" s="24">
        <v>0</v>
      </c>
      <c r="AD927" s="24">
        <v>0</v>
      </c>
      <c r="AE927" s="24">
        <v>0</v>
      </c>
      <c r="AF927" s="24">
        <v>0</v>
      </c>
      <c r="AG927" s="24">
        <v>0</v>
      </c>
      <c r="AH927" s="24">
        <v>1</v>
      </c>
      <c r="AI927" s="24">
        <v>0</v>
      </c>
      <c r="AJ927" s="24">
        <v>0</v>
      </c>
      <c r="AK927" s="24">
        <v>0</v>
      </c>
      <c r="AL927" s="24">
        <v>0</v>
      </c>
      <c r="AM927" s="24">
        <v>0</v>
      </c>
      <c r="AN927" s="24">
        <v>0</v>
      </c>
      <c r="AO927" s="24">
        <v>1</v>
      </c>
      <c r="AP927" s="24">
        <v>0</v>
      </c>
      <c r="AQ927" s="24">
        <v>0</v>
      </c>
      <c r="AR927" s="24">
        <v>0</v>
      </c>
      <c r="AS927" s="24">
        <v>1</v>
      </c>
      <c r="AT927" s="24">
        <v>0</v>
      </c>
      <c r="AU927" s="24">
        <v>0</v>
      </c>
      <c r="AV927" s="24">
        <v>1</v>
      </c>
      <c r="AW927" s="24">
        <v>0</v>
      </c>
      <c r="AX927" s="24">
        <v>0</v>
      </c>
      <c r="AY927" s="24">
        <v>0</v>
      </c>
      <c r="AZ927" s="24">
        <v>1</v>
      </c>
      <c r="BA927" s="24">
        <v>0</v>
      </c>
      <c r="BB927" s="24">
        <v>0</v>
      </c>
    </row>
    <row r="928" spans="2:54" ht="13.8" x14ac:dyDescent="0.3">
      <c r="B928" s="24">
        <v>908</v>
      </c>
      <c r="C928" s="24">
        <v>36</v>
      </c>
      <c r="D928" s="24">
        <v>0</v>
      </c>
      <c r="E928" s="24">
        <v>0</v>
      </c>
      <c r="F928" s="24">
        <v>0</v>
      </c>
      <c r="G928" s="24">
        <v>0</v>
      </c>
      <c r="H928" s="24">
        <v>1</v>
      </c>
      <c r="I928" s="24">
        <v>0</v>
      </c>
      <c r="J928" s="24">
        <v>3711</v>
      </c>
      <c r="K928" s="24">
        <v>2</v>
      </c>
      <c r="L928" s="24">
        <v>0</v>
      </c>
      <c r="M928" s="24">
        <v>0</v>
      </c>
      <c r="N928" s="24">
        <v>1</v>
      </c>
      <c r="O928" s="24">
        <v>0</v>
      </c>
      <c r="P928" s="24">
        <v>0</v>
      </c>
      <c r="Q928" s="24">
        <v>0</v>
      </c>
      <c r="R928" s="24">
        <v>0</v>
      </c>
      <c r="S928" s="24">
        <v>27</v>
      </c>
      <c r="T928" s="24">
        <v>0</v>
      </c>
      <c r="U928" s="24">
        <v>0</v>
      </c>
      <c r="V928" s="24">
        <v>1</v>
      </c>
      <c r="W928" s="24">
        <v>1</v>
      </c>
      <c r="X928" s="24">
        <v>1</v>
      </c>
      <c r="Y928" s="24">
        <v>0</v>
      </c>
      <c r="Z928" s="24">
        <v>0</v>
      </c>
      <c r="AA928" s="24">
        <v>1</v>
      </c>
      <c r="AB928" s="24">
        <v>0</v>
      </c>
      <c r="AC928" s="24">
        <v>1</v>
      </c>
      <c r="AD928" s="24">
        <v>0</v>
      </c>
      <c r="AE928" s="24">
        <v>0</v>
      </c>
      <c r="AF928" s="24">
        <v>0</v>
      </c>
      <c r="AG928" s="24">
        <v>0</v>
      </c>
      <c r="AH928" s="24">
        <v>1</v>
      </c>
      <c r="AI928" s="24">
        <v>0</v>
      </c>
      <c r="AJ928" s="24">
        <v>0</v>
      </c>
      <c r="AK928" s="24">
        <v>0</v>
      </c>
      <c r="AL928" s="24">
        <v>0</v>
      </c>
      <c r="AM928" s="24">
        <v>0</v>
      </c>
      <c r="AN928" s="24">
        <v>0</v>
      </c>
      <c r="AO928" s="24">
        <v>1</v>
      </c>
      <c r="AP928" s="24">
        <v>0</v>
      </c>
      <c r="AQ928" s="24">
        <v>0</v>
      </c>
      <c r="AR928" s="24">
        <v>1</v>
      </c>
      <c r="AS928" s="24">
        <v>0</v>
      </c>
      <c r="AT928" s="24">
        <v>0</v>
      </c>
      <c r="AU928" s="24">
        <v>0</v>
      </c>
      <c r="AV928" s="24">
        <v>1</v>
      </c>
      <c r="AW928" s="24">
        <v>0</v>
      </c>
      <c r="AX928" s="24">
        <v>0</v>
      </c>
      <c r="AY928" s="24">
        <v>0</v>
      </c>
      <c r="AZ928" s="24">
        <v>0</v>
      </c>
      <c r="BA928" s="24">
        <v>1</v>
      </c>
      <c r="BB928" s="24">
        <v>0</v>
      </c>
    </row>
    <row r="929" spans="2:54" ht="13.8" x14ac:dyDescent="0.3">
      <c r="B929" s="24">
        <v>909</v>
      </c>
      <c r="C929" s="24">
        <v>15</v>
      </c>
      <c r="D929" s="24">
        <v>0</v>
      </c>
      <c r="E929" s="24">
        <v>1</v>
      </c>
      <c r="F929" s="24">
        <v>0</v>
      </c>
      <c r="G929" s="24">
        <v>0</v>
      </c>
      <c r="H929" s="24">
        <v>0</v>
      </c>
      <c r="I929" s="24">
        <v>0</v>
      </c>
      <c r="J929" s="24">
        <v>3594</v>
      </c>
      <c r="K929" s="24">
        <v>1</v>
      </c>
      <c r="L929" s="24">
        <v>0</v>
      </c>
      <c r="M929" s="24">
        <v>0</v>
      </c>
      <c r="N929" s="24">
        <v>0</v>
      </c>
      <c r="O929" s="24">
        <v>0</v>
      </c>
      <c r="P929" s="24">
        <v>0</v>
      </c>
      <c r="Q929" s="24">
        <v>0</v>
      </c>
      <c r="R929" s="24">
        <v>0</v>
      </c>
      <c r="S929" s="24">
        <v>46</v>
      </c>
      <c r="T929" s="24">
        <v>0</v>
      </c>
      <c r="U929" s="24">
        <v>0</v>
      </c>
      <c r="V929" s="24">
        <v>1</v>
      </c>
      <c r="W929" s="24">
        <v>2</v>
      </c>
      <c r="X929" s="24">
        <v>1</v>
      </c>
      <c r="Y929" s="24">
        <v>0</v>
      </c>
      <c r="Z929" s="24">
        <v>0</v>
      </c>
      <c r="AA929" s="24">
        <v>1</v>
      </c>
      <c r="AB929" s="24">
        <v>0</v>
      </c>
      <c r="AC929" s="24">
        <v>0</v>
      </c>
      <c r="AD929" s="24">
        <v>0</v>
      </c>
      <c r="AE929" s="24">
        <v>1</v>
      </c>
      <c r="AF929" s="24">
        <v>0</v>
      </c>
      <c r="AG929" s="24">
        <v>0</v>
      </c>
      <c r="AH929" s="24">
        <v>0</v>
      </c>
      <c r="AI929" s="24">
        <v>1</v>
      </c>
      <c r="AJ929" s="24">
        <v>0</v>
      </c>
      <c r="AK929" s="24">
        <v>1</v>
      </c>
      <c r="AL929" s="24">
        <v>0</v>
      </c>
      <c r="AM929" s="24">
        <v>0</v>
      </c>
      <c r="AN929" s="24">
        <v>0</v>
      </c>
      <c r="AO929" s="24">
        <v>0</v>
      </c>
      <c r="AP929" s="24">
        <v>0</v>
      </c>
      <c r="AQ929" s="24">
        <v>1</v>
      </c>
      <c r="AR929" s="24">
        <v>0</v>
      </c>
      <c r="AS929" s="24">
        <v>0</v>
      </c>
      <c r="AT929" s="24">
        <v>0</v>
      </c>
      <c r="AU929" s="24">
        <v>0</v>
      </c>
      <c r="AV929" s="24">
        <v>1</v>
      </c>
      <c r="AW929" s="24">
        <v>0</v>
      </c>
      <c r="AX929" s="24">
        <v>0</v>
      </c>
      <c r="AY929" s="24">
        <v>0</v>
      </c>
      <c r="AZ929" s="24">
        <v>1</v>
      </c>
      <c r="BA929" s="24">
        <v>0</v>
      </c>
      <c r="BB929" s="24">
        <v>0</v>
      </c>
    </row>
    <row r="930" spans="2:54" ht="13.8" x14ac:dyDescent="0.3">
      <c r="B930" s="24">
        <v>910</v>
      </c>
      <c r="C930" s="24">
        <v>9</v>
      </c>
      <c r="D930" s="24">
        <v>1</v>
      </c>
      <c r="E930" s="24">
        <v>0</v>
      </c>
      <c r="F930" s="24">
        <v>0</v>
      </c>
      <c r="G930" s="24">
        <v>0</v>
      </c>
      <c r="H930" s="24">
        <v>0</v>
      </c>
      <c r="I930" s="24">
        <v>0</v>
      </c>
      <c r="J930" s="24">
        <v>3195</v>
      </c>
      <c r="K930" s="24">
        <v>1</v>
      </c>
      <c r="L930" s="24">
        <v>0</v>
      </c>
      <c r="M930" s="24">
        <v>0</v>
      </c>
      <c r="N930" s="24">
        <v>0</v>
      </c>
      <c r="O930" s="24">
        <v>0</v>
      </c>
      <c r="P930" s="24">
        <v>0</v>
      </c>
      <c r="Q930" s="24">
        <v>1</v>
      </c>
      <c r="R930" s="24">
        <v>0</v>
      </c>
      <c r="S930" s="24">
        <v>33</v>
      </c>
      <c r="T930" s="24">
        <v>0</v>
      </c>
      <c r="U930" s="24">
        <v>0</v>
      </c>
      <c r="V930" s="24">
        <v>1</v>
      </c>
      <c r="W930" s="24">
        <v>1</v>
      </c>
      <c r="X930" s="24">
        <v>1</v>
      </c>
      <c r="Y930" s="24">
        <v>0</v>
      </c>
      <c r="Z930" s="24">
        <v>0</v>
      </c>
      <c r="AA930" s="24">
        <v>1</v>
      </c>
      <c r="AB930" s="24">
        <v>0</v>
      </c>
      <c r="AC930" s="24">
        <v>1</v>
      </c>
      <c r="AD930" s="24">
        <v>0</v>
      </c>
      <c r="AE930" s="24">
        <v>0</v>
      </c>
      <c r="AF930" s="24">
        <v>0</v>
      </c>
      <c r="AG930" s="24">
        <v>0</v>
      </c>
      <c r="AH930" s="24">
        <v>1</v>
      </c>
      <c r="AI930" s="24">
        <v>0</v>
      </c>
      <c r="AJ930" s="24">
        <v>0</v>
      </c>
      <c r="AK930" s="24">
        <v>0</v>
      </c>
      <c r="AL930" s="24">
        <v>0</v>
      </c>
      <c r="AM930" s="24">
        <v>0</v>
      </c>
      <c r="AN930" s="24">
        <v>0</v>
      </c>
      <c r="AO930" s="24">
        <v>1</v>
      </c>
      <c r="AP930" s="24">
        <v>0</v>
      </c>
      <c r="AQ930" s="24">
        <v>0</v>
      </c>
      <c r="AR930" s="24">
        <v>1</v>
      </c>
      <c r="AS930" s="24">
        <v>0</v>
      </c>
      <c r="AT930" s="24">
        <v>0</v>
      </c>
      <c r="AU930" s="24">
        <v>0</v>
      </c>
      <c r="AV930" s="24">
        <v>1</v>
      </c>
      <c r="AW930" s="24">
        <v>0</v>
      </c>
      <c r="AX930" s="24">
        <v>0</v>
      </c>
      <c r="AY930" s="24">
        <v>0</v>
      </c>
      <c r="AZ930" s="24">
        <v>1</v>
      </c>
      <c r="BA930" s="24">
        <v>0</v>
      </c>
      <c r="BB930" s="24">
        <v>0</v>
      </c>
    </row>
    <row r="931" spans="2:54" ht="13.8" x14ac:dyDescent="0.3">
      <c r="B931" s="24">
        <v>911</v>
      </c>
      <c r="C931" s="24">
        <v>36</v>
      </c>
      <c r="D931" s="24">
        <v>0</v>
      </c>
      <c r="E931" s="24">
        <v>0</v>
      </c>
      <c r="F931" s="24">
        <v>0</v>
      </c>
      <c r="G931" s="24">
        <v>1</v>
      </c>
      <c r="H931" s="24">
        <v>0</v>
      </c>
      <c r="I931" s="24">
        <v>0</v>
      </c>
      <c r="J931" s="24">
        <v>4454</v>
      </c>
      <c r="K931" s="24">
        <v>4</v>
      </c>
      <c r="L931" s="24">
        <v>0</v>
      </c>
      <c r="M931" s="24">
        <v>0</v>
      </c>
      <c r="N931" s="24">
        <v>0</v>
      </c>
      <c r="O931" s="24">
        <v>0</v>
      </c>
      <c r="P931" s="24">
        <v>0</v>
      </c>
      <c r="Q931" s="24">
        <v>1</v>
      </c>
      <c r="R931" s="24">
        <v>0</v>
      </c>
      <c r="S931" s="24">
        <v>34</v>
      </c>
      <c r="T931" s="24">
        <v>0</v>
      </c>
      <c r="U931" s="24">
        <v>0</v>
      </c>
      <c r="V931" s="24">
        <v>1</v>
      </c>
      <c r="W931" s="24">
        <v>2</v>
      </c>
      <c r="X931" s="24">
        <v>1</v>
      </c>
      <c r="Y931" s="24">
        <v>0</v>
      </c>
      <c r="Z931" s="24">
        <v>0</v>
      </c>
      <c r="AA931" s="24">
        <v>1</v>
      </c>
      <c r="AB931" s="24">
        <v>0</v>
      </c>
      <c r="AC931" s="24">
        <v>0</v>
      </c>
      <c r="AD931" s="24">
        <v>0</v>
      </c>
      <c r="AE931" s="24">
        <v>1</v>
      </c>
      <c r="AF931" s="24">
        <v>0</v>
      </c>
      <c r="AG931" s="24">
        <v>0</v>
      </c>
      <c r="AH931" s="24">
        <v>0</v>
      </c>
      <c r="AI931" s="24">
        <v>1</v>
      </c>
      <c r="AJ931" s="24">
        <v>0</v>
      </c>
      <c r="AK931" s="24">
        <v>1</v>
      </c>
      <c r="AL931" s="24">
        <v>0</v>
      </c>
      <c r="AM931" s="24">
        <v>0</v>
      </c>
      <c r="AN931" s="24">
        <v>0</v>
      </c>
      <c r="AO931" s="24">
        <v>0</v>
      </c>
      <c r="AP931" s="24">
        <v>0</v>
      </c>
      <c r="AQ931" s="24">
        <v>0</v>
      </c>
      <c r="AR931" s="24">
        <v>1</v>
      </c>
      <c r="AS931" s="24">
        <v>0</v>
      </c>
      <c r="AT931" s="24">
        <v>0</v>
      </c>
      <c r="AU931" s="24">
        <v>0</v>
      </c>
      <c r="AV931" s="24">
        <v>0</v>
      </c>
      <c r="AW931" s="24">
        <v>0</v>
      </c>
      <c r="AX931" s="24">
        <v>1</v>
      </c>
      <c r="AY931" s="24">
        <v>0</v>
      </c>
      <c r="AZ931" s="24">
        <v>0</v>
      </c>
      <c r="BA931" s="24">
        <v>1</v>
      </c>
      <c r="BB931" s="24">
        <v>0</v>
      </c>
    </row>
    <row r="932" spans="2:54" ht="13.8" x14ac:dyDescent="0.3">
      <c r="B932" s="24">
        <v>912</v>
      </c>
      <c r="C932" s="24">
        <v>24</v>
      </c>
      <c r="D932" s="24">
        <v>0</v>
      </c>
      <c r="E932" s="24">
        <v>0</v>
      </c>
      <c r="F932" s="24">
        <v>1</v>
      </c>
      <c r="G932" s="24">
        <v>0</v>
      </c>
      <c r="H932" s="24">
        <v>0</v>
      </c>
      <c r="I932" s="24">
        <v>0</v>
      </c>
      <c r="J932" s="24">
        <v>4736</v>
      </c>
      <c r="K932" s="24">
        <v>2</v>
      </c>
      <c r="L932" s="24">
        <v>0</v>
      </c>
      <c r="M932" s="24">
        <v>0</v>
      </c>
      <c r="N932" s="24">
        <v>0</v>
      </c>
      <c r="O932" s="24">
        <v>0</v>
      </c>
      <c r="P932" s="24">
        <v>0</v>
      </c>
      <c r="Q932" s="24">
        <v>0</v>
      </c>
      <c r="R932" s="24">
        <v>0</v>
      </c>
      <c r="S932" s="24">
        <v>25</v>
      </c>
      <c r="T932" s="24">
        <v>1</v>
      </c>
      <c r="U932" s="24">
        <v>0</v>
      </c>
      <c r="V932" s="24">
        <v>1</v>
      </c>
      <c r="W932" s="24">
        <v>1</v>
      </c>
      <c r="X932" s="24">
        <v>1</v>
      </c>
      <c r="Y932" s="24">
        <v>0</v>
      </c>
      <c r="Z932" s="24">
        <v>0</v>
      </c>
      <c r="AA932" s="24">
        <v>0</v>
      </c>
      <c r="AB932" s="24">
        <v>0</v>
      </c>
      <c r="AC932" s="24">
        <v>1</v>
      </c>
      <c r="AD932" s="24">
        <v>0</v>
      </c>
      <c r="AE932" s="24">
        <v>0</v>
      </c>
      <c r="AF932" s="24">
        <v>0</v>
      </c>
      <c r="AG932" s="24">
        <v>0</v>
      </c>
      <c r="AH932" s="24">
        <v>0</v>
      </c>
      <c r="AI932" s="24">
        <v>0</v>
      </c>
      <c r="AJ932" s="24">
        <v>1</v>
      </c>
      <c r="AK932" s="24">
        <v>1</v>
      </c>
      <c r="AL932" s="24">
        <v>0</v>
      </c>
      <c r="AM932" s="24">
        <v>0</v>
      </c>
      <c r="AN932" s="24">
        <v>0</v>
      </c>
      <c r="AO932" s="24">
        <v>0</v>
      </c>
      <c r="AP932" s="24">
        <v>0</v>
      </c>
      <c r="AQ932" s="24">
        <v>1</v>
      </c>
      <c r="AR932" s="24">
        <v>0</v>
      </c>
      <c r="AS932" s="24">
        <v>0</v>
      </c>
      <c r="AT932" s="24">
        <v>0</v>
      </c>
      <c r="AU932" s="24">
        <v>0</v>
      </c>
      <c r="AV932" s="24">
        <v>0</v>
      </c>
      <c r="AW932" s="24">
        <v>0</v>
      </c>
      <c r="AX932" s="24">
        <v>1</v>
      </c>
      <c r="AY932" s="24">
        <v>0</v>
      </c>
      <c r="AZ932" s="24">
        <v>1</v>
      </c>
      <c r="BA932" s="24">
        <v>0</v>
      </c>
      <c r="BB932" s="24">
        <v>0</v>
      </c>
    </row>
    <row r="933" spans="2:54" ht="13.8" x14ac:dyDescent="0.3">
      <c r="B933" s="24">
        <v>913</v>
      </c>
      <c r="C933" s="24">
        <v>30</v>
      </c>
      <c r="D933" s="24">
        <v>0</v>
      </c>
      <c r="E933" s="24">
        <v>0</v>
      </c>
      <c r="F933" s="24">
        <v>0</v>
      </c>
      <c r="G933" s="24">
        <v>1</v>
      </c>
      <c r="H933" s="24">
        <v>0</v>
      </c>
      <c r="I933" s="24">
        <v>0</v>
      </c>
      <c r="J933" s="24">
        <v>2991</v>
      </c>
      <c r="K933" s="24">
        <v>2</v>
      </c>
      <c r="L933" s="24">
        <v>0</v>
      </c>
      <c r="M933" s="24">
        <v>0</v>
      </c>
      <c r="N933" s="24">
        <v>0</v>
      </c>
      <c r="O933" s="24">
        <v>0</v>
      </c>
      <c r="P933" s="24">
        <v>0</v>
      </c>
      <c r="Q933" s="24">
        <v>0</v>
      </c>
      <c r="R933" s="24">
        <v>0</v>
      </c>
      <c r="S933" s="24">
        <v>25</v>
      </c>
      <c r="T933" s="24">
        <v>0</v>
      </c>
      <c r="U933" s="24">
        <v>0</v>
      </c>
      <c r="V933" s="24">
        <v>1</v>
      </c>
      <c r="W933" s="24">
        <v>1</v>
      </c>
      <c r="X933" s="24">
        <v>1</v>
      </c>
      <c r="Y933" s="24">
        <v>0</v>
      </c>
      <c r="Z933" s="24">
        <v>0</v>
      </c>
      <c r="AA933" s="24">
        <v>1</v>
      </c>
      <c r="AB933" s="24">
        <v>0</v>
      </c>
      <c r="AC933" s="24">
        <v>1</v>
      </c>
      <c r="AD933" s="24">
        <v>0</v>
      </c>
      <c r="AE933" s="24">
        <v>0</v>
      </c>
      <c r="AF933" s="24">
        <v>0</v>
      </c>
      <c r="AG933" s="24">
        <v>0</v>
      </c>
      <c r="AH933" s="24">
        <v>1</v>
      </c>
      <c r="AI933" s="24">
        <v>0</v>
      </c>
      <c r="AJ933" s="24">
        <v>0</v>
      </c>
      <c r="AK933" s="24">
        <v>0</v>
      </c>
      <c r="AL933" s="24">
        <v>0</v>
      </c>
      <c r="AM933" s="24">
        <v>0</v>
      </c>
      <c r="AN933" s="24">
        <v>0</v>
      </c>
      <c r="AO933" s="24">
        <v>1</v>
      </c>
      <c r="AP933" s="24">
        <v>0</v>
      </c>
      <c r="AQ933" s="24">
        <v>0</v>
      </c>
      <c r="AR933" s="24">
        <v>0</v>
      </c>
      <c r="AS933" s="24">
        <v>0</v>
      </c>
      <c r="AT933" s="24">
        <v>1</v>
      </c>
      <c r="AU933" s="24">
        <v>0</v>
      </c>
      <c r="AV933" s="24">
        <v>0</v>
      </c>
      <c r="AW933" s="24">
        <v>0</v>
      </c>
      <c r="AX933" s="24">
        <v>1</v>
      </c>
      <c r="AY933" s="24">
        <v>0</v>
      </c>
      <c r="AZ933" s="24">
        <v>0</v>
      </c>
      <c r="BA933" s="24">
        <v>1</v>
      </c>
      <c r="BB933" s="24">
        <v>0</v>
      </c>
    </row>
    <row r="934" spans="2:54" ht="13.8" x14ac:dyDescent="0.3">
      <c r="B934" s="24">
        <v>914</v>
      </c>
      <c r="C934" s="24">
        <v>11</v>
      </c>
      <c r="D934" s="24">
        <v>0</v>
      </c>
      <c r="E934" s="24">
        <v>0</v>
      </c>
      <c r="F934" s="24">
        <v>0</v>
      </c>
      <c r="G934" s="24">
        <v>0</v>
      </c>
      <c r="H934" s="24">
        <v>0</v>
      </c>
      <c r="I934" s="24">
        <v>1</v>
      </c>
      <c r="J934" s="24">
        <v>2142</v>
      </c>
      <c r="K934" s="24">
        <v>1</v>
      </c>
      <c r="L934" s="24">
        <v>1</v>
      </c>
      <c r="M934" s="24">
        <v>0</v>
      </c>
      <c r="N934" s="24">
        <v>0</v>
      </c>
      <c r="O934" s="24">
        <v>0</v>
      </c>
      <c r="P934" s="24">
        <v>0</v>
      </c>
      <c r="Q934" s="24">
        <v>1</v>
      </c>
      <c r="R934" s="24">
        <v>0</v>
      </c>
      <c r="S934" s="24">
        <v>28</v>
      </c>
      <c r="T934" s="24">
        <v>0</v>
      </c>
      <c r="U934" s="24">
        <v>0</v>
      </c>
      <c r="V934" s="24">
        <v>1</v>
      </c>
      <c r="W934" s="24">
        <v>1</v>
      </c>
      <c r="X934" s="24">
        <v>1</v>
      </c>
      <c r="Y934" s="24">
        <v>1</v>
      </c>
      <c r="Z934" s="24">
        <v>0</v>
      </c>
      <c r="AA934" s="24">
        <v>1</v>
      </c>
      <c r="AB934" s="24">
        <v>0</v>
      </c>
      <c r="AC934" s="24">
        <v>0</v>
      </c>
      <c r="AD934" s="24">
        <v>0</v>
      </c>
      <c r="AE934" s="24">
        <v>1</v>
      </c>
      <c r="AF934" s="24">
        <v>0</v>
      </c>
      <c r="AG934" s="24">
        <v>0</v>
      </c>
      <c r="AH934" s="24">
        <v>1</v>
      </c>
      <c r="AI934" s="24">
        <v>0</v>
      </c>
      <c r="AJ934" s="24">
        <v>0</v>
      </c>
      <c r="AK934" s="24">
        <v>0</v>
      </c>
      <c r="AL934" s="24">
        <v>0</v>
      </c>
      <c r="AM934" s="24">
        <v>0</v>
      </c>
      <c r="AN934" s="24">
        <v>1</v>
      </c>
      <c r="AO934" s="24">
        <v>0</v>
      </c>
      <c r="AP934" s="24">
        <v>0</v>
      </c>
      <c r="AQ934" s="24">
        <v>0</v>
      </c>
      <c r="AR934" s="24">
        <v>0</v>
      </c>
      <c r="AS934" s="24">
        <v>0</v>
      </c>
      <c r="AT934" s="24">
        <v>1</v>
      </c>
      <c r="AU934" s="24">
        <v>0</v>
      </c>
      <c r="AV934" s="24">
        <v>1</v>
      </c>
      <c r="AW934" s="24">
        <v>0</v>
      </c>
      <c r="AX934" s="24">
        <v>0</v>
      </c>
      <c r="AY934" s="24">
        <v>0</v>
      </c>
      <c r="AZ934" s="24">
        <v>0</v>
      </c>
      <c r="BA934" s="24">
        <v>1</v>
      </c>
      <c r="BB934" s="24">
        <v>0</v>
      </c>
    </row>
    <row r="935" spans="2:54" ht="13.8" x14ac:dyDescent="0.3">
      <c r="B935" s="24">
        <v>915</v>
      </c>
      <c r="C935" s="24">
        <v>24</v>
      </c>
      <c r="D935" s="24">
        <v>0</v>
      </c>
      <c r="E935" s="24">
        <v>0</v>
      </c>
      <c r="F935" s="24">
        <v>0</v>
      </c>
      <c r="G935" s="24">
        <v>0</v>
      </c>
      <c r="H935" s="24">
        <v>0</v>
      </c>
      <c r="I935" s="24">
        <v>1</v>
      </c>
      <c r="J935" s="24">
        <v>3161</v>
      </c>
      <c r="K935" s="24">
        <v>4</v>
      </c>
      <c r="L935" s="24">
        <v>0</v>
      </c>
      <c r="M935" s="24">
        <v>1</v>
      </c>
      <c r="N935" s="24">
        <v>0</v>
      </c>
      <c r="O935" s="24">
        <v>0</v>
      </c>
      <c r="P935" s="24">
        <v>0</v>
      </c>
      <c r="Q935" s="24">
        <v>0</v>
      </c>
      <c r="R935" s="24">
        <v>0</v>
      </c>
      <c r="S935" s="24">
        <v>31</v>
      </c>
      <c r="T935" s="24">
        <v>0</v>
      </c>
      <c r="U935" s="24">
        <v>1</v>
      </c>
      <c r="V935" s="24">
        <v>0</v>
      </c>
      <c r="W935" s="24">
        <v>1</v>
      </c>
      <c r="X935" s="24">
        <v>1</v>
      </c>
      <c r="Y935" s="24">
        <v>1</v>
      </c>
      <c r="Z935" s="24">
        <v>0</v>
      </c>
      <c r="AA935" s="24">
        <v>0</v>
      </c>
      <c r="AB935" s="24">
        <v>1</v>
      </c>
      <c r="AC935" s="24">
        <v>0</v>
      </c>
      <c r="AD935" s="24">
        <v>0</v>
      </c>
      <c r="AE935" s="24">
        <v>0</v>
      </c>
      <c r="AF935" s="24">
        <v>0</v>
      </c>
      <c r="AG935" s="24">
        <v>1</v>
      </c>
      <c r="AH935" s="24">
        <v>0</v>
      </c>
      <c r="AI935" s="24">
        <v>0</v>
      </c>
      <c r="AJ935" s="24">
        <v>0</v>
      </c>
      <c r="AK935" s="24">
        <v>1</v>
      </c>
      <c r="AL935" s="24">
        <v>0</v>
      </c>
      <c r="AM935" s="24">
        <v>0</v>
      </c>
      <c r="AN935" s="24">
        <v>0</v>
      </c>
      <c r="AO935" s="24">
        <v>0</v>
      </c>
      <c r="AP935" s="24">
        <v>0</v>
      </c>
      <c r="AQ935" s="24">
        <v>0</v>
      </c>
      <c r="AR935" s="24">
        <v>1</v>
      </c>
      <c r="AS935" s="24">
        <v>0</v>
      </c>
      <c r="AT935" s="24">
        <v>0</v>
      </c>
      <c r="AU935" s="24">
        <v>0</v>
      </c>
      <c r="AV935" s="24">
        <v>1</v>
      </c>
      <c r="AW935" s="24">
        <v>0</v>
      </c>
      <c r="AX935" s="24">
        <v>0</v>
      </c>
      <c r="AY935" s="24">
        <v>0</v>
      </c>
      <c r="AZ935" s="24">
        <v>0</v>
      </c>
      <c r="BA935" s="24">
        <v>1</v>
      </c>
      <c r="BB935" s="24">
        <v>0</v>
      </c>
    </row>
    <row r="936" spans="2:54" ht="13.8" x14ac:dyDescent="0.3">
      <c r="B936" s="24">
        <v>916</v>
      </c>
      <c r="C936" s="24">
        <v>48</v>
      </c>
      <c r="D936" s="24">
        <v>0</v>
      </c>
      <c r="E936" s="24">
        <v>0</v>
      </c>
      <c r="F936" s="24">
        <v>0</v>
      </c>
      <c r="G936" s="24">
        <v>0</v>
      </c>
      <c r="H936" s="24">
        <v>0</v>
      </c>
      <c r="I936" s="24">
        <v>0</v>
      </c>
      <c r="J936" s="24">
        <v>18424</v>
      </c>
      <c r="K936" s="24">
        <v>1</v>
      </c>
      <c r="L936" s="24">
        <v>0</v>
      </c>
      <c r="M936" s="24">
        <v>0</v>
      </c>
      <c r="N936" s="24">
        <v>0</v>
      </c>
      <c r="O936" s="24">
        <v>0</v>
      </c>
      <c r="P936" s="24">
        <v>0</v>
      </c>
      <c r="Q936" s="24">
        <v>0</v>
      </c>
      <c r="R936" s="24">
        <v>0</v>
      </c>
      <c r="S936" s="24">
        <v>32</v>
      </c>
      <c r="T936" s="24">
        <v>1</v>
      </c>
      <c r="U936" s="24">
        <v>0</v>
      </c>
      <c r="V936" s="24">
        <v>1</v>
      </c>
      <c r="W936" s="24">
        <v>1</v>
      </c>
      <c r="X936" s="24">
        <v>1</v>
      </c>
      <c r="Y936" s="24">
        <v>1</v>
      </c>
      <c r="Z936" s="24">
        <v>1</v>
      </c>
      <c r="AA936" s="24">
        <v>0</v>
      </c>
      <c r="AB936" s="24">
        <v>0</v>
      </c>
      <c r="AC936" s="24">
        <v>1</v>
      </c>
      <c r="AD936" s="24">
        <v>0</v>
      </c>
      <c r="AE936" s="24">
        <v>0</v>
      </c>
      <c r="AF936" s="24">
        <v>1</v>
      </c>
      <c r="AG936" s="24">
        <v>0</v>
      </c>
      <c r="AH936" s="24">
        <v>0</v>
      </c>
      <c r="AI936" s="24">
        <v>0</v>
      </c>
      <c r="AJ936" s="24">
        <v>0</v>
      </c>
      <c r="AK936" s="24">
        <v>1</v>
      </c>
      <c r="AL936" s="24">
        <v>0</v>
      </c>
      <c r="AM936" s="24">
        <v>0</v>
      </c>
      <c r="AN936" s="24">
        <v>0</v>
      </c>
      <c r="AO936" s="24">
        <v>0</v>
      </c>
      <c r="AP936" s="24">
        <v>0</v>
      </c>
      <c r="AQ936" s="24">
        <v>0</v>
      </c>
      <c r="AR936" s="24">
        <v>1</v>
      </c>
      <c r="AS936" s="24">
        <v>0</v>
      </c>
      <c r="AT936" s="24">
        <v>0</v>
      </c>
      <c r="AU936" s="24">
        <v>0</v>
      </c>
      <c r="AV936" s="24">
        <v>1</v>
      </c>
      <c r="AW936" s="24">
        <v>0</v>
      </c>
      <c r="AX936" s="24">
        <v>0</v>
      </c>
      <c r="AY936" s="24">
        <v>0</v>
      </c>
      <c r="AZ936" s="24">
        <v>0</v>
      </c>
      <c r="BA936" s="24">
        <v>0</v>
      </c>
      <c r="BB936" s="24">
        <v>1</v>
      </c>
    </row>
    <row r="937" spans="2:54" ht="13.8" x14ac:dyDescent="0.3">
      <c r="B937" s="24">
        <v>917</v>
      </c>
      <c r="C937" s="24">
        <v>10</v>
      </c>
      <c r="D937" s="24">
        <v>0</v>
      </c>
      <c r="E937" s="24">
        <v>1</v>
      </c>
      <c r="F937" s="24">
        <v>0</v>
      </c>
      <c r="G937" s="24">
        <v>0</v>
      </c>
      <c r="H937" s="24">
        <v>0</v>
      </c>
      <c r="I937" s="24">
        <v>0</v>
      </c>
      <c r="J937" s="24">
        <v>2848</v>
      </c>
      <c r="K937" s="24">
        <v>1</v>
      </c>
      <c r="L937" s="24">
        <v>0</v>
      </c>
      <c r="M937" s="24">
        <v>1</v>
      </c>
      <c r="N937" s="24">
        <v>0</v>
      </c>
      <c r="O937" s="24">
        <v>1</v>
      </c>
      <c r="P937" s="24">
        <v>0</v>
      </c>
      <c r="Q937" s="24">
        <v>1</v>
      </c>
      <c r="R937" s="24">
        <v>0</v>
      </c>
      <c r="S937" s="24">
        <v>32</v>
      </c>
      <c r="T937" s="24">
        <v>0</v>
      </c>
      <c r="U937" s="24">
        <v>0</v>
      </c>
      <c r="V937" s="24">
        <v>1</v>
      </c>
      <c r="W937" s="24">
        <v>1</v>
      </c>
      <c r="X937" s="24">
        <v>2</v>
      </c>
      <c r="Y937" s="24">
        <v>0</v>
      </c>
      <c r="Z937" s="24">
        <v>0</v>
      </c>
      <c r="AA937" s="24">
        <v>1</v>
      </c>
      <c r="AB937" s="24">
        <v>0</v>
      </c>
      <c r="AC937" s="24">
        <v>0</v>
      </c>
      <c r="AD937" s="24">
        <v>0</v>
      </c>
      <c r="AE937" s="24">
        <v>1</v>
      </c>
      <c r="AF937" s="24">
        <v>0</v>
      </c>
      <c r="AG937" s="24">
        <v>0</v>
      </c>
      <c r="AH937" s="24">
        <v>1</v>
      </c>
      <c r="AI937" s="24">
        <v>0</v>
      </c>
      <c r="AJ937" s="24">
        <v>0</v>
      </c>
      <c r="AK937" s="24">
        <v>0</v>
      </c>
      <c r="AL937" s="24">
        <v>1</v>
      </c>
      <c r="AM937" s="24">
        <v>0</v>
      </c>
      <c r="AN937" s="24">
        <v>0</v>
      </c>
      <c r="AO937" s="24">
        <v>0</v>
      </c>
      <c r="AP937" s="24">
        <v>0</v>
      </c>
      <c r="AQ937" s="24">
        <v>0</v>
      </c>
      <c r="AR937" s="24">
        <v>1</v>
      </c>
      <c r="AS937" s="24">
        <v>0</v>
      </c>
      <c r="AT937" s="24">
        <v>0</v>
      </c>
      <c r="AU937" s="24">
        <v>0</v>
      </c>
      <c r="AV937" s="24">
        <v>1</v>
      </c>
      <c r="AW937" s="24">
        <v>0</v>
      </c>
      <c r="AX937" s="24">
        <v>0</v>
      </c>
      <c r="AY937" s="24">
        <v>0</v>
      </c>
      <c r="AZ937" s="24">
        <v>0</v>
      </c>
      <c r="BA937" s="24">
        <v>1</v>
      </c>
      <c r="BB937" s="24">
        <v>0</v>
      </c>
    </row>
    <row r="938" spans="2:54" ht="13.8" x14ac:dyDescent="0.3">
      <c r="B938" s="24">
        <v>918</v>
      </c>
      <c r="C938" s="24">
        <v>6</v>
      </c>
      <c r="D938" s="24">
        <v>1</v>
      </c>
      <c r="E938" s="24">
        <v>0</v>
      </c>
      <c r="F938" s="24">
        <v>0</v>
      </c>
      <c r="G938" s="24">
        <v>0</v>
      </c>
      <c r="H938" s="24">
        <v>0</v>
      </c>
      <c r="I938" s="24">
        <v>0</v>
      </c>
      <c r="J938" s="24">
        <v>14896</v>
      </c>
      <c r="K938" s="24">
        <v>1</v>
      </c>
      <c r="L938" s="24">
        <v>0</v>
      </c>
      <c r="M938" s="24">
        <v>1</v>
      </c>
      <c r="N938" s="24">
        <v>0</v>
      </c>
      <c r="O938" s="24">
        <v>0</v>
      </c>
      <c r="P938" s="24">
        <v>0</v>
      </c>
      <c r="Q938" s="24">
        <v>0</v>
      </c>
      <c r="R938" s="24">
        <v>1</v>
      </c>
      <c r="S938" s="24">
        <v>68</v>
      </c>
      <c r="T938" s="24">
        <v>1</v>
      </c>
      <c r="U938" s="24">
        <v>0</v>
      </c>
      <c r="V938" s="24">
        <v>1</v>
      </c>
      <c r="W938" s="24">
        <v>1</v>
      </c>
      <c r="X938" s="24">
        <v>1</v>
      </c>
      <c r="Y938" s="24">
        <v>1</v>
      </c>
      <c r="Z938" s="24">
        <v>0</v>
      </c>
      <c r="AA938" s="24">
        <v>0</v>
      </c>
      <c r="AB938" s="24">
        <v>1</v>
      </c>
      <c r="AC938" s="24">
        <v>0</v>
      </c>
      <c r="AD938" s="24">
        <v>0</v>
      </c>
      <c r="AE938" s="24">
        <v>0</v>
      </c>
      <c r="AF938" s="24">
        <v>0</v>
      </c>
      <c r="AG938" s="24">
        <v>0</v>
      </c>
      <c r="AH938" s="24">
        <v>1</v>
      </c>
      <c r="AI938" s="24">
        <v>0</v>
      </c>
      <c r="AJ938" s="24">
        <v>0</v>
      </c>
      <c r="AK938" s="24">
        <v>1</v>
      </c>
      <c r="AL938" s="24">
        <v>0</v>
      </c>
      <c r="AM938" s="24">
        <v>0</v>
      </c>
      <c r="AN938" s="24">
        <v>0</v>
      </c>
      <c r="AO938" s="24">
        <v>0</v>
      </c>
      <c r="AP938" s="24">
        <v>0</v>
      </c>
      <c r="AQ938" s="24">
        <v>0</v>
      </c>
      <c r="AR938" s="24">
        <v>0</v>
      </c>
      <c r="AS938" s="24">
        <v>0</v>
      </c>
      <c r="AT938" s="24">
        <v>1</v>
      </c>
      <c r="AU938" s="24">
        <v>0</v>
      </c>
      <c r="AV938" s="24">
        <v>0</v>
      </c>
      <c r="AW938" s="24">
        <v>0</v>
      </c>
      <c r="AX938" s="24">
        <v>1</v>
      </c>
      <c r="AY938" s="24">
        <v>0</v>
      </c>
      <c r="AZ938" s="24">
        <v>0</v>
      </c>
      <c r="BA938" s="24">
        <v>0</v>
      </c>
      <c r="BB938" s="24">
        <v>1</v>
      </c>
    </row>
    <row r="939" spans="2:54" ht="13.8" x14ac:dyDescent="0.3">
      <c r="B939" s="24">
        <v>919</v>
      </c>
      <c r="C939" s="24">
        <v>24</v>
      </c>
      <c r="D939" s="24">
        <v>0</v>
      </c>
      <c r="E939" s="24">
        <v>0</v>
      </c>
      <c r="F939" s="24">
        <v>1</v>
      </c>
      <c r="G939" s="24">
        <v>0</v>
      </c>
      <c r="H939" s="24">
        <v>0</v>
      </c>
      <c r="I939" s="24">
        <v>0</v>
      </c>
      <c r="J939" s="24">
        <v>2359</v>
      </c>
      <c r="K939" s="24">
        <v>1</v>
      </c>
      <c r="L939" s="24">
        <v>1</v>
      </c>
      <c r="M939" s="24">
        <v>0</v>
      </c>
      <c r="N939" s="24">
        <v>0</v>
      </c>
      <c r="O939" s="24">
        <v>0</v>
      </c>
      <c r="P939" s="24">
        <v>0</v>
      </c>
      <c r="Q939" s="24">
        <v>0</v>
      </c>
      <c r="R939" s="24">
        <v>0</v>
      </c>
      <c r="S939" s="24">
        <v>33</v>
      </c>
      <c r="T939" s="24">
        <v>0</v>
      </c>
      <c r="U939" s="24">
        <v>0</v>
      </c>
      <c r="V939" s="24">
        <v>1</v>
      </c>
      <c r="W939" s="24">
        <v>1</v>
      </c>
      <c r="X939" s="24">
        <v>1</v>
      </c>
      <c r="Y939" s="24">
        <v>0</v>
      </c>
      <c r="Z939" s="24">
        <v>0</v>
      </c>
      <c r="AA939" s="24">
        <v>0</v>
      </c>
      <c r="AB939" s="24">
        <v>1</v>
      </c>
      <c r="AC939" s="24">
        <v>0</v>
      </c>
      <c r="AD939" s="24">
        <v>0</v>
      </c>
      <c r="AE939" s="24">
        <v>0</v>
      </c>
      <c r="AF939" s="24">
        <v>0</v>
      </c>
      <c r="AG939" s="24">
        <v>0</v>
      </c>
      <c r="AH939" s="24">
        <v>1</v>
      </c>
      <c r="AI939" s="24">
        <v>0</v>
      </c>
      <c r="AJ939" s="24">
        <v>0</v>
      </c>
      <c r="AK939" s="24">
        <v>0</v>
      </c>
      <c r="AL939" s="24">
        <v>1</v>
      </c>
      <c r="AM939" s="24">
        <v>0</v>
      </c>
      <c r="AN939" s="24">
        <v>0</v>
      </c>
      <c r="AO939" s="24">
        <v>0</v>
      </c>
      <c r="AP939" s="24">
        <v>1</v>
      </c>
      <c r="AQ939" s="24">
        <v>0</v>
      </c>
      <c r="AR939" s="24">
        <v>0</v>
      </c>
      <c r="AS939" s="24">
        <v>0</v>
      </c>
      <c r="AT939" s="24">
        <v>0</v>
      </c>
      <c r="AU939" s="24">
        <v>1</v>
      </c>
      <c r="AV939" s="24">
        <v>0</v>
      </c>
      <c r="AW939" s="24">
        <v>0</v>
      </c>
      <c r="AX939" s="24">
        <v>0</v>
      </c>
      <c r="AY939" s="24">
        <v>0</v>
      </c>
      <c r="AZ939" s="24">
        <v>0</v>
      </c>
      <c r="BA939" s="24">
        <v>1</v>
      </c>
      <c r="BB939" s="24">
        <v>0</v>
      </c>
    </row>
    <row r="940" spans="2:54" ht="13.8" x14ac:dyDescent="0.3">
      <c r="B940" s="24">
        <v>920</v>
      </c>
      <c r="C940" s="24">
        <v>24</v>
      </c>
      <c r="D940" s="24">
        <v>0</v>
      </c>
      <c r="E940" s="24">
        <v>0</v>
      </c>
      <c r="F940" s="24">
        <v>1</v>
      </c>
      <c r="G940" s="24">
        <v>0</v>
      </c>
      <c r="H940" s="24">
        <v>0</v>
      </c>
      <c r="I940" s="24">
        <v>0</v>
      </c>
      <c r="J940" s="24">
        <v>3345</v>
      </c>
      <c r="K940" s="24">
        <v>4</v>
      </c>
      <c r="L940" s="24">
        <v>0</v>
      </c>
      <c r="M940" s="24">
        <v>1</v>
      </c>
      <c r="N940" s="24">
        <v>0</v>
      </c>
      <c r="O940" s="24">
        <v>0</v>
      </c>
      <c r="P940" s="24">
        <v>0</v>
      </c>
      <c r="Q940" s="24">
        <v>0</v>
      </c>
      <c r="R940" s="24">
        <v>0</v>
      </c>
      <c r="S940" s="24">
        <v>39</v>
      </c>
      <c r="T940" s="24">
        <v>0</v>
      </c>
      <c r="U940" s="24">
        <v>1</v>
      </c>
      <c r="V940" s="24">
        <v>0</v>
      </c>
      <c r="W940" s="24">
        <v>1</v>
      </c>
      <c r="X940" s="24">
        <v>1</v>
      </c>
      <c r="Y940" s="24">
        <v>1</v>
      </c>
      <c r="Z940" s="24">
        <v>0</v>
      </c>
      <c r="AA940" s="24">
        <v>0</v>
      </c>
      <c r="AB940" s="24">
        <v>1</v>
      </c>
      <c r="AC940" s="24">
        <v>0</v>
      </c>
      <c r="AD940" s="24">
        <v>0</v>
      </c>
      <c r="AE940" s="24">
        <v>0</v>
      </c>
      <c r="AF940" s="24">
        <v>0</v>
      </c>
      <c r="AG940" s="24">
        <v>0</v>
      </c>
      <c r="AH940" s="24">
        <v>1</v>
      </c>
      <c r="AI940" s="24">
        <v>0</v>
      </c>
      <c r="AJ940" s="24">
        <v>0</v>
      </c>
      <c r="AK940" s="24">
        <v>1</v>
      </c>
      <c r="AL940" s="24">
        <v>0</v>
      </c>
      <c r="AM940" s="24">
        <v>0</v>
      </c>
      <c r="AN940" s="24">
        <v>0</v>
      </c>
      <c r="AO940" s="24">
        <v>0</v>
      </c>
      <c r="AP940" s="24">
        <v>0</v>
      </c>
      <c r="AQ940" s="24">
        <v>0</v>
      </c>
      <c r="AR940" s="24">
        <v>0</v>
      </c>
      <c r="AS940" s="24">
        <v>0</v>
      </c>
      <c r="AT940" s="24">
        <v>1</v>
      </c>
      <c r="AU940" s="24">
        <v>0</v>
      </c>
      <c r="AV940" s="24">
        <v>1</v>
      </c>
      <c r="AW940" s="24">
        <v>0</v>
      </c>
      <c r="AX940" s="24">
        <v>0</v>
      </c>
      <c r="AY940" s="24">
        <v>0</v>
      </c>
      <c r="AZ940" s="24">
        <v>0</v>
      </c>
      <c r="BA940" s="24">
        <v>0</v>
      </c>
      <c r="BB940" s="24">
        <v>1</v>
      </c>
    </row>
    <row r="941" spans="2:54" ht="13.8" x14ac:dyDescent="0.3">
      <c r="B941" s="24">
        <v>921</v>
      </c>
      <c r="C941" s="24">
        <v>18</v>
      </c>
      <c r="D941" s="24">
        <v>0</v>
      </c>
      <c r="E941" s="24">
        <v>0</v>
      </c>
      <c r="F941" s="24">
        <v>1</v>
      </c>
      <c r="G941" s="24">
        <v>0</v>
      </c>
      <c r="H941" s="24">
        <v>0</v>
      </c>
      <c r="I941" s="24">
        <v>0</v>
      </c>
      <c r="J941" s="24">
        <v>1817</v>
      </c>
      <c r="K941" s="24">
        <v>4</v>
      </c>
      <c r="L941" s="24">
        <v>0</v>
      </c>
      <c r="M941" s="24">
        <v>0</v>
      </c>
      <c r="N941" s="24">
        <v>0</v>
      </c>
      <c r="O941" s="24">
        <v>0</v>
      </c>
      <c r="P941" s="24">
        <v>0</v>
      </c>
      <c r="Q941" s="24">
        <v>0</v>
      </c>
      <c r="R941" s="24">
        <v>1</v>
      </c>
      <c r="S941" s="24">
        <v>28</v>
      </c>
      <c r="T941" s="24">
        <v>0</v>
      </c>
      <c r="U941" s="24">
        <v>0</v>
      </c>
      <c r="V941" s="24">
        <v>1</v>
      </c>
      <c r="W941" s="24">
        <v>2</v>
      </c>
      <c r="X941" s="24">
        <v>1</v>
      </c>
      <c r="Y941" s="24">
        <v>0</v>
      </c>
      <c r="Z941" s="24">
        <v>0</v>
      </c>
      <c r="AA941" s="24">
        <v>1</v>
      </c>
      <c r="AB941" s="24">
        <v>0</v>
      </c>
      <c r="AC941" s="24">
        <v>0</v>
      </c>
      <c r="AD941" s="24">
        <v>0</v>
      </c>
      <c r="AE941" s="24">
        <v>1</v>
      </c>
      <c r="AF941" s="24">
        <v>0</v>
      </c>
      <c r="AG941" s="24">
        <v>0</v>
      </c>
      <c r="AH941" s="24">
        <v>0</v>
      </c>
      <c r="AI941" s="24">
        <v>0</v>
      </c>
      <c r="AJ941" s="24">
        <v>1</v>
      </c>
      <c r="AK941" s="24">
        <v>1</v>
      </c>
      <c r="AL941" s="24">
        <v>0</v>
      </c>
      <c r="AM941" s="24">
        <v>0</v>
      </c>
      <c r="AN941" s="24">
        <v>0</v>
      </c>
      <c r="AO941" s="24">
        <v>0</v>
      </c>
      <c r="AP941" s="24">
        <v>0</v>
      </c>
      <c r="AQ941" s="24">
        <v>0</v>
      </c>
      <c r="AR941" s="24">
        <v>1</v>
      </c>
      <c r="AS941" s="24">
        <v>0</v>
      </c>
      <c r="AT941" s="24">
        <v>0</v>
      </c>
      <c r="AU941" s="24">
        <v>0</v>
      </c>
      <c r="AV941" s="24">
        <v>1</v>
      </c>
      <c r="AW941" s="24">
        <v>0</v>
      </c>
      <c r="AX941" s="24">
        <v>0</v>
      </c>
      <c r="AY941" s="24">
        <v>0</v>
      </c>
      <c r="AZ941" s="24">
        <v>0</v>
      </c>
      <c r="BA941" s="24">
        <v>1</v>
      </c>
      <c r="BB941" s="24">
        <v>0</v>
      </c>
    </row>
    <row r="942" spans="2:54" ht="13.8" x14ac:dyDescent="0.3">
      <c r="B942" s="24">
        <v>922</v>
      </c>
      <c r="C942" s="24">
        <v>48</v>
      </c>
      <c r="D942" s="24">
        <v>0</v>
      </c>
      <c r="E942" s="24">
        <v>0</v>
      </c>
      <c r="F942" s="24">
        <v>0</v>
      </c>
      <c r="G942" s="24">
        <v>1</v>
      </c>
      <c r="H942" s="24">
        <v>0</v>
      </c>
      <c r="I942" s="24">
        <v>0</v>
      </c>
      <c r="J942" s="24">
        <v>12749</v>
      </c>
      <c r="K942" s="24">
        <v>4</v>
      </c>
      <c r="L942" s="24">
        <v>0</v>
      </c>
      <c r="M942" s="24">
        <v>1</v>
      </c>
      <c r="N942" s="24">
        <v>0</v>
      </c>
      <c r="O942" s="24">
        <v>0</v>
      </c>
      <c r="P942" s="24">
        <v>0</v>
      </c>
      <c r="Q942" s="24">
        <v>0</v>
      </c>
      <c r="R942" s="24">
        <v>0</v>
      </c>
      <c r="S942" s="24">
        <v>37</v>
      </c>
      <c r="T942" s="24">
        <v>0</v>
      </c>
      <c r="U942" s="24">
        <v>0</v>
      </c>
      <c r="V942" s="24">
        <v>1</v>
      </c>
      <c r="W942" s="24">
        <v>1</v>
      </c>
      <c r="X942" s="24">
        <v>1</v>
      </c>
      <c r="Y942" s="24">
        <v>1</v>
      </c>
      <c r="Z942" s="24">
        <v>0</v>
      </c>
      <c r="AA942" s="24">
        <v>1</v>
      </c>
      <c r="AB942" s="24">
        <v>0</v>
      </c>
      <c r="AC942" s="24">
        <v>0</v>
      </c>
      <c r="AD942" s="24">
        <v>0</v>
      </c>
      <c r="AE942" s="24">
        <v>1</v>
      </c>
      <c r="AF942" s="24">
        <v>0</v>
      </c>
      <c r="AG942" s="24">
        <v>0</v>
      </c>
      <c r="AH942" s="24">
        <v>0</v>
      </c>
      <c r="AI942" s="24">
        <v>1</v>
      </c>
      <c r="AJ942" s="24">
        <v>0</v>
      </c>
      <c r="AK942" s="24">
        <v>0</v>
      </c>
      <c r="AL942" s="24">
        <v>0</v>
      </c>
      <c r="AM942" s="24">
        <v>1</v>
      </c>
      <c r="AN942" s="24">
        <v>0</v>
      </c>
      <c r="AO942" s="24">
        <v>0</v>
      </c>
      <c r="AP942" s="24">
        <v>0</v>
      </c>
      <c r="AQ942" s="24">
        <v>0</v>
      </c>
      <c r="AR942" s="24">
        <v>0</v>
      </c>
      <c r="AS942" s="24">
        <v>1</v>
      </c>
      <c r="AT942" s="24">
        <v>0</v>
      </c>
      <c r="AU942" s="24">
        <v>1</v>
      </c>
      <c r="AV942" s="24">
        <v>0</v>
      </c>
      <c r="AW942" s="24">
        <v>0</v>
      </c>
      <c r="AX942" s="24">
        <v>0</v>
      </c>
      <c r="AY942" s="24">
        <v>0</v>
      </c>
      <c r="AZ942" s="24">
        <v>0</v>
      </c>
      <c r="BA942" s="24">
        <v>0</v>
      </c>
      <c r="BB942" s="24">
        <v>1</v>
      </c>
    </row>
    <row r="943" spans="2:54" ht="13.8" x14ac:dyDescent="0.3">
      <c r="B943" s="24">
        <v>923</v>
      </c>
      <c r="C943" s="24">
        <v>9</v>
      </c>
      <c r="D943" s="24">
        <v>0</v>
      </c>
      <c r="E943" s="24">
        <v>0</v>
      </c>
      <c r="F943" s="24">
        <v>0</v>
      </c>
      <c r="G943" s="24">
        <v>1</v>
      </c>
      <c r="H943" s="24">
        <v>0</v>
      </c>
      <c r="I943" s="24">
        <v>0</v>
      </c>
      <c r="J943" s="24">
        <v>1366</v>
      </c>
      <c r="K943" s="24">
        <v>3</v>
      </c>
      <c r="L943" s="24">
        <v>0</v>
      </c>
      <c r="M943" s="24">
        <v>0</v>
      </c>
      <c r="N943" s="24">
        <v>0</v>
      </c>
      <c r="O943" s="24">
        <v>0</v>
      </c>
      <c r="P943" s="24">
        <v>0</v>
      </c>
      <c r="Q943" s="24">
        <v>0</v>
      </c>
      <c r="R943" s="24">
        <v>0</v>
      </c>
      <c r="S943" s="24">
        <v>22</v>
      </c>
      <c r="T943" s="24">
        <v>0</v>
      </c>
      <c r="U943" s="24">
        <v>1</v>
      </c>
      <c r="V943" s="24">
        <v>0</v>
      </c>
      <c r="W943" s="24">
        <v>1</v>
      </c>
      <c r="X943" s="24">
        <v>1</v>
      </c>
      <c r="Y943" s="24">
        <v>0</v>
      </c>
      <c r="Z943" s="24">
        <v>0</v>
      </c>
      <c r="AA943" s="24">
        <v>0</v>
      </c>
      <c r="AB943" s="24">
        <v>1</v>
      </c>
      <c r="AC943" s="24">
        <v>0</v>
      </c>
      <c r="AD943" s="24">
        <v>0</v>
      </c>
      <c r="AE943" s="24">
        <v>0</v>
      </c>
      <c r="AF943" s="24">
        <v>0</v>
      </c>
      <c r="AG943" s="24">
        <v>0</v>
      </c>
      <c r="AH943" s="24">
        <v>1</v>
      </c>
      <c r="AI943" s="24">
        <v>0</v>
      </c>
      <c r="AJ943" s="24">
        <v>0</v>
      </c>
      <c r="AK943" s="24">
        <v>1</v>
      </c>
      <c r="AL943" s="24">
        <v>0</v>
      </c>
      <c r="AM943" s="24">
        <v>0</v>
      </c>
      <c r="AN943" s="24">
        <v>0</v>
      </c>
      <c r="AO943" s="24">
        <v>0</v>
      </c>
      <c r="AP943" s="24">
        <v>0</v>
      </c>
      <c r="AQ943" s="24">
        <v>1</v>
      </c>
      <c r="AR943" s="24">
        <v>0</v>
      </c>
      <c r="AS943" s="24">
        <v>0</v>
      </c>
      <c r="AT943" s="24">
        <v>0</v>
      </c>
      <c r="AU943" s="24">
        <v>0</v>
      </c>
      <c r="AV943" s="24">
        <v>0</v>
      </c>
      <c r="AW943" s="24">
        <v>0</v>
      </c>
      <c r="AX943" s="24">
        <v>1</v>
      </c>
      <c r="AY943" s="24">
        <v>0</v>
      </c>
      <c r="AZ943" s="24">
        <v>0</v>
      </c>
      <c r="BA943" s="24">
        <v>1</v>
      </c>
      <c r="BB943" s="24">
        <v>0</v>
      </c>
    </row>
    <row r="944" spans="2:54" ht="13.8" x14ac:dyDescent="0.3">
      <c r="B944" s="24">
        <v>924</v>
      </c>
      <c r="C944" s="24">
        <v>12</v>
      </c>
      <c r="D944" s="24">
        <v>1</v>
      </c>
      <c r="E944" s="24">
        <v>0</v>
      </c>
      <c r="F944" s="24">
        <v>0</v>
      </c>
      <c r="G944" s="24">
        <v>0</v>
      </c>
      <c r="H944" s="24">
        <v>0</v>
      </c>
      <c r="I944" s="24">
        <v>0</v>
      </c>
      <c r="J944" s="24">
        <v>2002</v>
      </c>
      <c r="K944" s="24">
        <v>3</v>
      </c>
      <c r="L944" s="24">
        <v>0</v>
      </c>
      <c r="M944" s="24">
        <v>1</v>
      </c>
      <c r="N944" s="24">
        <v>0</v>
      </c>
      <c r="O944" s="24">
        <v>0</v>
      </c>
      <c r="P944" s="24">
        <v>0</v>
      </c>
      <c r="Q944" s="24">
        <v>0</v>
      </c>
      <c r="R944" s="24">
        <v>0</v>
      </c>
      <c r="S944" s="24">
        <v>30</v>
      </c>
      <c r="T944" s="24">
        <v>0</v>
      </c>
      <c r="U944" s="24">
        <v>1</v>
      </c>
      <c r="V944" s="24">
        <v>0</v>
      </c>
      <c r="W944" s="24">
        <v>1</v>
      </c>
      <c r="X944" s="24">
        <v>2</v>
      </c>
      <c r="Y944" s="24">
        <v>1</v>
      </c>
      <c r="Z944" s="24">
        <v>0</v>
      </c>
      <c r="AA944" s="24">
        <v>1</v>
      </c>
      <c r="AB944" s="24">
        <v>0</v>
      </c>
      <c r="AC944" s="24">
        <v>1</v>
      </c>
      <c r="AD944" s="24">
        <v>0</v>
      </c>
      <c r="AE944" s="24">
        <v>0</v>
      </c>
      <c r="AF944" s="24">
        <v>0</v>
      </c>
      <c r="AG944" s="24">
        <v>0</v>
      </c>
      <c r="AH944" s="24">
        <v>1</v>
      </c>
      <c r="AI944" s="24">
        <v>0</v>
      </c>
      <c r="AJ944" s="24">
        <v>0</v>
      </c>
      <c r="AK944" s="24">
        <v>1</v>
      </c>
      <c r="AL944" s="24">
        <v>0</v>
      </c>
      <c r="AM944" s="24">
        <v>0</v>
      </c>
      <c r="AN944" s="24">
        <v>0</v>
      </c>
      <c r="AO944" s="24">
        <v>0</v>
      </c>
      <c r="AP944" s="24">
        <v>0</v>
      </c>
      <c r="AQ944" s="24">
        <v>0</v>
      </c>
      <c r="AR944" s="24">
        <v>0</v>
      </c>
      <c r="AS944" s="24">
        <v>1</v>
      </c>
      <c r="AT944" s="24">
        <v>0</v>
      </c>
      <c r="AU944" s="24">
        <v>0</v>
      </c>
      <c r="AV944" s="24">
        <v>0</v>
      </c>
      <c r="AW944" s="24">
        <v>0</v>
      </c>
      <c r="AX944" s="24">
        <v>1</v>
      </c>
      <c r="AY944" s="24">
        <v>0</v>
      </c>
      <c r="AZ944" s="24">
        <v>0</v>
      </c>
      <c r="BA944" s="24">
        <v>1</v>
      </c>
      <c r="BB944" s="24">
        <v>0</v>
      </c>
    </row>
    <row r="945" spans="2:54" ht="13.8" x14ac:dyDescent="0.3">
      <c r="B945" s="24">
        <v>925</v>
      </c>
      <c r="C945" s="24">
        <v>24</v>
      </c>
      <c r="D945" s="24">
        <v>0</v>
      </c>
      <c r="E945" s="24">
        <v>0</v>
      </c>
      <c r="F945" s="24">
        <v>1</v>
      </c>
      <c r="G945" s="24">
        <v>0</v>
      </c>
      <c r="H945" s="24">
        <v>0</v>
      </c>
      <c r="I945" s="24">
        <v>0</v>
      </c>
      <c r="J945" s="24">
        <v>6872</v>
      </c>
      <c r="K945" s="24">
        <v>2</v>
      </c>
      <c r="L945" s="24">
        <v>1</v>
      </c>
      <c r="M945" s="24">
        <v>0</v>
      </c>
      <c r="N945" s="24">
        <v>0</v>
      </c>
      <c r="O945" s="24">
        <v>0</v>
      </c>
      <c r="P945" s="24">
        <v>0</v>
      </c>
      <c r="Q945" s="24">
        <v>0</v>
      </c>
      <c r="R945" s="24">
        <v>0</v>
      </c>
      <c r="S945" s="24">
        <v>55</v>
      </c>
      <c r="T945" s="24">
        <v>1</v>
      </c>
      <c r="U945" s="24">
        <v>0</v>
      </c>
      <c r="V945" s="24">
        <v>1</v>
      </c>
      <c r="W945" s="24">
        <v>1</v>
      </c>
      <c r="X945" s="24">
        <v>1</v>
      </c>
      <c r="Y945" s="24">
        <v>1</v>
      </c>
      <c r="Z945" s="24">
        <v>0</v>
      </c>
      <c r="AA945" s="24">
        <v>0</v>
      </c>
      <c r="AB945" s="24">
        <v>1</v>
      </c>
      <c r="AC945" s="24">
        <v>0</v>
      </c>
      <c r="AD945" s="24">
        <v>0</v>
      </c>
      <c r="AE945" s="24">
        <v>0</v>
      </c>
      <c r="AF945" s="24">
        <v>0</v>
      </c>
      <c r="AG945" s="24">
        <v>1</v>
      </c>
      <c r="AH945" s="24">
        <v>0</v>
      </c>
      <c r="AI945" s="24">
        <v>0</v>
      </c>
      <c r="AJ945" s="24">
        <v>0</v>
      </c>
      <c r="AK945" s="24">
        <v>1</v>
      </c>
      <c r="AL945" s="24">
        <v>0</v>
      </c>
      <c r="AM945" s="24">
        <v>0</v>
      </c>
      <c r="AN945" s="24">
        <v>0</v>
      </c>
      <c r="AO945" s="24">
        <v>0</v>
      </c>
      <c r="AP945" s="24">
        <v>0</v>
      </c>
      <c r="AQ945" s="24">
        <v>1</v>
      </c>
      <c r="AR945" s="24">
        <v>0</v>
      </c>
      <c r="AS945" s="24">
        <v>0</v>
      </c>
      <c r="AT945" s="24">
        <v>0</v>
      </c>
      <c r="AU945" s="24">
        <v>1</v>
      </c>
      <c r="AV945" s="24">
        <v>0</v>
      </c>
      <c r="AW945" s="24">
        <v>0</v>
      </c>
      <c r="AX945" s="24">
        <v>0</v>
      </c>
      <c r="AY945" s="24">
        <v>0</v>
      </c>
      <c r="AZ945" s="24">
        <v>0</v>
      </c>
      <c r="BA945" s="24">
        <v>1</v>
      </c>
      <c r="BB945" s="24">
        <v>0</v>
      </c>
    </row>
    <row r="946" spans="2:54" ht="13.8" x14ac:dyDescent="0.3">
      <c r="B946" s="24">
        <v>926</v>
      </c>
      <c r="C946" s="24">
        <v>12</v>
      </c>
      <c r="D946" s="24">
        <v>1</v>
      </c>
      <c r="E946" s="24">
        <v>0</v>
      </c>
      <c r="F946" s="24">
        <v>0</v>
      </c>
      <c r="G946" s="24">
        <v>0</v>
      </c>
      <c r="H946" s="24">
        <v>0</v>
      </c>
      <c r="I946" s="24">
        <v>0</v>
      </c>
      <c r="J946" s="24">
        <v>697</v>
      </c>
      <c r="K946" s="24">
        <v>4</v>
      </c>
      <c r="L946" s="24">
        <v>0</v>
      </c>
      <c r="M946" s="24">
        <v>1</v>
      </c>
      <c r="N946" s="24">
        <v>0</v>
      </c>
      <c r="O946" s="24">
        <v>0</v>
      </c>
      <c r="P946" s="24">
        <v>0</v>
      </c>
      <c r="Q946" s="24">
        <v>0</v>
      </c>
      <c r="R946" s="24">
        <v>0</v>
      </c>
      <c r="S946" s="24">
        <v>46</v>
      </c>
      <c r="T946" s="24">
        <v>1</v>
      </c>
      <c r="U946" s="24">
        <v>0</v>
      </c>
      <c r="V946" s="24">
        <v>1</v>
      </c>
      <c r="W946" s="24">
        <v>2</v>
      </c>
      <c r="X946" s="24">
        <v>1</v>
      </c>
      <c r="Y946" s="24">
        <v>1</v>
      </c>
      <c r="Z946" s="24">
        <v>0</v>
      </c>
      <c r="AA946" s="24">
        <v>0</v>
      </c>
      <c r="AB946" s="24">
        <v>1</v>
      </c>
      <c r="AC946" s="24">
        <v>0</v>
      </c>
      <c r="AD946" s="24">
        <v>0</v>
      </c>
      <c r="AE946" s="24">
        <v>0</v>
      </c>
      <c r="AF946" s="24">
        <v>0</v>
      </c>
      <c r="AG946" s="24">
        <v>1</v>
      </c>
      <c r="AH946" s="24">
        <v>0</v>
      </c>
      <c r="AI946" s="24">
        <v>0</v>
      </c>
      <c r="AJ946" s="24">
        <v>0</v>
      </c>
      <c r="AK946" s="24">
        <v>1</v>
      </c>
      <c r="AL946" s="24">
        <v>0</v>
      </c>
      <c r="AM946" s="24">
        <v>0</v>
      </c>
      <c r="AN946" s="24">
        <v>0</v>
      </c>
      <c r="AO946" s="24">
        <v>0</v>
      </c>
      <c r="AP946" s="24">
        <v>0</v>
      </c>
      <c r="AQ946" s="24">
        <v>1</v>
      </c>
      <c r="AR946" s="24">
        <v>0</v>
      </c>
      <c r="AS946" s="24">
        <v>0</v>
      </c>
      <c r="AT946" s="24">
        <v>0</v>
      </c>
      <c r="AU946" s="24">
        <v>0</v>
      </c>
      <c r="AV946" s="24">
        <v>1</v>
      </c>
      <c r="AW946" s="24">
        <v>0</v>
      </c>
      <c r="AX946" s="24">
        <v>0</v>
      </c>
      <c r="AY946" s="24">
        <v>0</v>
      </c>
      <c r="AZ946" s="24">
        <v>0</v>
      </c>
      <c r="BA946" s="24">
        <v>1</v>
      </c>
      <c r="BB946" s="24">
        <v>0</v>
      </c>
    </row>
    <row r="947" spans="2:54" ht="13.8" x14ac:dyDescent="0.3">
      <c r="B947" s="24">
        <v>927</v>
      </c>
      <c r="C947" s="24">
        <v>18</v>
      </c>
      <c r="D947" s="24">
        <v>0</v>
      </c>
      <c r="E947" s="24">
        <v>0</v>
      </c>
      <c r="F947" s="24">
        <v>1</v>
      </c>
      <c r="G947" s="24">
        <v>0</v>
      </c>
      <c r="H947" s="24">
        <v>0</v>
      </c>
      <c r="I947" s="24">
        <v>0</v>
      </c>
      <c r="J947" s="24">
        <v>1049</v>
      </c>
      <c r="K947" s="24">
        <v>4</v>
      </c>
      <c r="L947" s="24">
        <v>0</v>
      </c>
      <c r="M947" s="24">
        <v>0</v>
      </c>
      <c r="N947" s="24">
        <v>0</v>
      </c>
      <c r="O947" s="24">
        <v>0</v>
      </c>
      <c r="P947" s="24">
        <v>0</v>
      </c>
      <c r="Q947" s="24">
        <v>0</v>
      </c>
      <c r="R947" s="24">
        <v>0</v>
      </c>
      <c r="S947" s="24">
        <v>21</v>
      </c>
      <c r="T947" s="24">
        <v>0</v>
      </c>
      <c r="U947" s="24">
        <v>1</v>
      </c>
      <c r="V947" s="24">
        <v>0</v>
      </c>
      <c r="W947" s="24">
        <v>1</v>
      </c>
      <c r="X947" s="24">
        <v>1</v>
      </c>
      <c r="Y947" s="24">
        <v>0</v>
      </c>
      <c r="Z947" s="24">
        <v>0</v>
      </c>
      <c r="AA947" s="24">
        <v>1</v>
      </c>
      <c r="AB947" s="24">
        <v>1</v>
      </c>
      <c r="AC947" s="24">
        <v>0</v>
      </c>
      <c r="AD947" s="24">
        <v>0</v>
      </c>
      <c r="AE947" s="24">
        <v>0</v>
      </c>
      <c r="AF947" s="24">
        <v>0</v>
      </c>
      <c r="AG947" s="24">
        <v>0</v>
      </c>
      <c r="AH947" s="24">
        <v>0</v>
      </c>
      <c r="AI947" s="24">
        <v>0</v>
      </c>
      <c r="AJ947" s="24">
        <v>1</v>
      </c>
      <c r="AK947" s="24">
        <v>1</v>
      </c>
      <c r="AL947" s="24">
        <v>0</v>
      </c>
      <c r="AM947" s="24">
        <v>0</v>
      </c>
      <c r="AN947" s="24">
        <v>0</v>
      </c>
      <c r="AO947" s="24">
        <v>0</v>
      </c>
      <c r="AP947" s="24">
        <v>0</v>
      </c>
      <c r="AQ947" s="24">
        <v>1</v>
      </c>
      <c r="AR947" s="24">
        <v>0</v>
      </c>
      <c r="AS947" s="24">
        <v>0</v>
      </c>
      <c r="AT947" s="24">
        <v>0</v>
      </c>
      <c r="AU947" s="24">
        <v>0</v>
      </c>
      <c r="AV947" s="24">
        <v>0</v>
      </c>
      <c r="AW947" s="24">
        <v>0</v>
      </c>
      <c r="AX947" s="24">
        <v>1</v>
      </c>
      <c r="AY947" s="24">
        <v>0</v>
      </c>
      <c r="AZ947" s="24">
        <v>0</v>
      </c>
      <c r="BA947" s="24">
        <v>1</v>
      </c>
      <c r="BB947" s="24">
        <v>0</v>
      </c>
    </row>
    <row r="948" spans="2:54" ht="13.8" x14ac:dyDescent="0.3">
      <c r="B948" s="24">
        <v>928</v>
      </c>
      <c r="C948" s="24">
        <v>48</v>
      </c>
      <c r="D948" s="24">
        <v>0</v>
      </c>
      <c r="E948" s="24">
        <v>1</v>
      </c>
      <c r="F948" s="24">
        <v>0</v>
      </c>
      <c r="G948" s="24">
        <v>0</v>
      </c>
      <c r="H948" s="24">
        <v>0</v>
      </c>
      <c r="I948" s="24">
        <v>0</v>
      </c>
      <c r="J948" s="24">
        <v>10297</v>
      </c>
      <c r="K948" s="24">
        <v>4</v>
      </c>
      <c r="L948" s="24">
        <v>0</v>
      </c>
      <c r="M948" s="24">
        <v>1</v>
      </c>
      <c r="N948" s="24">
        <v>0</v>
      </c>
      <c r="O948" s="24">
        <v>0</v>
      </c>
      <c r="P948" s="24">
        <v>0</v>
      </c>
      <c r="Q948" s="24">
        <v>0</v>
      </c>
      <c r="R948" s="24">
        <v>1</v>
      </c>
      <c r="S948" s="24">
        <v>39</v>
      </c>
      <c r="T948" s="24">
        <v>1</v>
      </c>
      <c r="U948" s="24">
        <v>0</v>
      </c>
      <c r="V948" s="24">
        <v>0</v>
      </c>
      <c r="W948" s="24">
        <v>3</v>
      </c>
      <c r="X948" s="24">
        <v>2</v>
      </c>
      <c r="Y948" s="24">
        <v>1</v>
      </c>
      <c r="Z948" s="24">
        <v>0</v>
      </c>
      <c r="AA948" s="24">
        <v>0</v>
      </c>
      <c r="AB948" s="24">
        <v>1</v>
      </c>
      <c r="AC948" s="24">
        <v>0</v>
      </c>
      <c r="AD948" s="24">
        <v>0</v>
      </c>
      <c r="AE948" s="24">
        <v>0</v>
      </c>
      <c r="AF948" s="24">
        <v>0</v>
      </c>
      <c r="AG948" s="24">
        <v>0</v>
      </c>
      <c r="AH948" s="24">
        <v>1</v>
      </c>
      <c r="AI948" s="24">
        <v>0</v>
      </c>
      <c r="AJ948" s="24">
        <v>0</v>
      </c>
      <c r="AK948" s="24">
        <v>1</v>
      </c>
      <c r="AL948" s="24">
        <v>0</v>
      </c>
      <c r="AM948" s="24">
        <v>0</v>
      </c>
      <c r="AN948" s="24">
        <v>0</v>
      </c>
      <c r="AO948" s="24">
        <v>0</v>
      </c>
      <c r="AP948" s="24">
        <v>0</v>
      </c>
      <c r="AQ948" s="24">
        <v>0</v>
      </c>
      <c r="AR948" s="24">
        <v>0</v>
      </c>
      <c r="AS948" s="24">
        <v>1</v>
      </c>
      <c r="AT948" s="24">
        <v>0</v>
      </c>
      <c r="AU948" s="24">
        <v>0</v>
      </c>
      <c r="AV948" s="24">
        <v>0</v>
      </c>
      <c r="AW948" s="24">
        <v>0</v>
      </c>
      <c r="AX948" s="24">
        <v>1</v>
      </c>
      <c r="AY948" s="24">
        <v>0</v>
      </c>
      <c r="AZ948" s="24">
        <v>0</v>
      </c>
      <c r="BA948" s="24">
        <v>1</v>
      </c>
      <c r="BB948" s="24">
        <v>0</v>
      </c>
    </row>
    <row r="949" spans="2:54" ht="13.8" x14ac:dyDescent="0.3">
      <c r="B949" s="24">
        <v>929</v>
      </c>
      <c r="C949" s="24">
        <v>30</v>
      </c>
      <c r="D949" s="24">
        <v>0</v>
      </c>
      <c r="E949" s="24">
        <v>0</v>
      </c>
      <c r="F949" s="24">
        <v>0</v>
      </c>
      <c r="G949" s="24">
        <v>1</v>
      </c>
      <c r="H949" s="24">
        <v>0</v>
      </c>
      <c r="I949" s="24">
        <v>0</v>
      </c>
      <c r="J949" s="24">
        <v>1867</v>
      </c>
      <c r="K949" s="24">
        <v>4</v>
      </c>
      <c r="L949" s="24">
        <v>0</v>
      </c>
      <c r="M949" s="24">
        <v>1</v>
      </c>
      <c r="N949" s="24">
        <v>0</v>
      </c>
      <c r="O949" s="24">
        <v>0</v>
      </c>
      <c r="P949" s="24">
        <v>0</v>
      </c>
      <c r="Q949" s="24">
        <v>0</v>
      </c>
      <c r="R949" s="24">
        <v>0</v>
      </c>
      <c r="S949" s="24">
        <v>58</v>
      </c>
      <c r="T949" s="24">
        <v>0</v>
      </c>
      <c r="U949" s="24">
        <v>0</v>
      </c>
      <c r="V949" s="24">
        <v>1</v>
      </c>
      <c r="W949" s="24">
        <v>1</v>
      </c>
      <c r="X949" s="24">
        <v>1</v>
      </c>
      <c r="Y949" s="24">
        <v>1</v>
      </c>
      <c r="Z949" s="24">
        <v>0</v>
      </c>
      <c r="AA949" s="24">
        <v>1</v>
      </c>
      <c r="AB949" s="24">
        <v>0</v>
      </c>
      <c r="AC949" s="24">
        <v>0</v>
      </c>
      <c r="AD949" s="24">
        <v>0</v>
      </c>
      <c r="AE949" s="24">
        <v>1</v>
      </c>
      <c r="AF949" s="24">
        <v>0</v>
      </c>
      <c r="AG949" s="24">
        <v>0</v>
      </c>
      <c r="AH949" s="24">
        <v>1</v>
      </c>
      <c r="AI949" s="24">
        <v>0</v>
      </c>
      <c r="AJ949" s="24">
        <v>0</v>
      </c>
      <c r="AK949" s="24">
        <v>0</v>
      </c>
      <c r="AL949" s="24">
        <v>0</v>
      </c>
      <c r="AM949" s="24">
        <v>0</v>
      </c>
      <c r="AN949" s="24">
        <v>0</v>
      </c>
      <c r="AO949" s="24">
        <v>1</v>
      </c>
      <c r="AP949" s="24">
        <v>0</v>
      </c>
      <c r="AQ949" s="24">
        <v>0</v>
      </c>
      <c r="AR949" s="24">
        <v>0</v>
      </c>
      <c r="AS949" s="24">
        <v>0</v>
      </c>
      <c r="AT949" s="24">
        <v>1</v>
      </c>
      <c r="AU949" s="24">
        <v>0</v>
      </c>
      <c r="AV949" s="24">
        <v>0</v>
      </c>
      <c r="AW949" s="24">
        <v>0</v>
      </c>
      <c r="AX949" s="24">
        <v>1</v>
      </c>
      <c r="AY949" s="24">
        <v>0</v>
      </c>
      <c r="AZ949" s="24">
        <v>0</v>
      </c>
      <c r="BA949" s="24">
        <v>1</v>
      </c>
      <c r="BB949" s="24">
        <v>0</v>
      </c>
    </row>
    <row r="950" spans="2:54" ht="13.8" x14ac:dyDescent="0.3">
      <c r="B950" s="24">
        <v>930</v>
      </c>
      <c r="C950" s="24">
        <v>12</v>
      </c>
      <c r="D950" s="24">
        <v>1</v>
      </c>
      <c r="E950" s="24">
        <v>0</v>
      </c>
      <c r="F950" s="24">
        <v>0</v>
      </c>
      <c r="G950" s="24">
        <v>0</v>
      </c>
      <c r="H950" s="24">
        <v>0</v>
      </c>
      <c r="I950" s="24">
        <v>0</v>
      </c>
      <c r="J950" s="24">
        <v>1344</v>
      </c>
      <c r="K950" s="24">
        <v>4</v>
      </c>
      <c r="L950" s="24">
        <v>0</v>
      </c>
      <c r="M950" s="24">
        <v>1</v>
      </c>
      <c r="N950" s="24">
        <v>0</v>
      </c>
      <c r="O950" s="24">
        <v>0</v>
      </c>
      <c r="P950" s="24">
        <v>0</v>
      </c>
      <c r="Q950" s="24">
        <v>1</v>
      </c>
      <c r="R950" s="24">
        <v>0</v>
      </c>
      <c r="S950" s="24">
        <v>43</v>
      </c>
      <c r="T950" s="24">
        <v>0</v>
      </c>
      <c r="U950" s="24">
        <v>0</v>
      </c>
      <c r="V950" s="24">
        <v>1</v>
      </c>
      <c r="W950" s="24">
        <v>2</v>
      </c>
      <c r="X950" s="24">
        <v>2</v>
      </c>
      <c r="Y950" s="24">
        <v>0</v>
      </c>
      <c r="Z950" s="24">
        <v>0</v>
      </c>
      <c r="AA950" s="24">
        <v>1</v>
      </c>
      <c r="AB950" s="24">
        <v>1</v>
      </c>
      <c r="AC950" s="24">
        <v>0</v>
      </c>
      <c r="AD950" s="24">
        <v>0</v>
      </c>
      <c r="AE950" s="24">
        <v>0</v>
      </c>
      <c r="AF950" s="24">
        <v>0</v>
      </c>
      <c r="AG950" s="24">
        <v>0</v>
      </c>
      <c r="AH950" s="24">
        <v>0</v>
      </c>
      <c r="AI950" s="24">
        <v>1</v>
      </c>
      <c r="AJ950" s="24">
        <v>0</v>
      </c>
      <c r="AK950" s="24">
        <v>1</v>
      </c>
      <c r="AL950" s="24">
        <v>0</v>
      </c>
      <c r="AM950" s="24">
        <v>0</v>
      </c>
      <c r="AN950" s="24">
        <v>0</v>
      </c>
      <c r="AO950" s="24">
        <v>0</v>
      </c>
      <c r="AP950" s="24">
        <v>0</v>
      </c>
      <c r="AQ950" s="24">
        <v>0</v>
      </c>
      <c r="AR950" s="24">
        <v>1</v>
      </c>
      <c r="AS950" s="24">
        <v>0</v>
      </c>
      <c r="AT950" s="24">
        <v>0</v>
      </c>
      <c r="AU950" s="24">
        <v>0</v>
      </c>
      <c r="AV950" s="24">
        <v>1</v>
      </c>
      <c r="AW950" s="24">
        <v>0</v>
      </c>
      <c r="AX950" s="24">
        <v>0</v>
      </c>
      <c r="AY950" s="24">
        <v>0</v>
      </c>
      <c r="AZ950" s="24">
        <v>1</v>
      </c>
      <c r="BA950" s="24">
        <v>0</v>
      </c>
      <c r="BB950" s="24">
        <v>0</v>
      </c>
    </row>
    <row r="951" spans="2:54" ht="13.8" x14ac:dyDescent="0.3">
      <c r="B951" s="24">
        <v>931</v>
      </c>
      <c r="C951" s="24">
        <v>24</v>
      </c>
      <c r="D951" s="24">
        <v>0</v>
      </c>
      <c r="E951" s="24">
        <v>0</v>
      </c>
      <c r="F951" s="24">
        <v>1</v>
      </c>
      <c r="G951" s="24">
        <v>0</v>
      </c>
      <c r="H951" s="24">
        <v>0</v>
      </c>
      <c r="I951" s="24">
        <v>0</v>
      </c>
      <c r="J951" s="24">
        <v>1747</v>
      </c>
      <c r="K951" s="24">
        <v>4</v>
      </c>
      <c r="L951" s="24">
        <v>0</v>
      </c>
      <c r="M951" s="24">
        <v>1</v>
      </c>
      <c r="N951" s="24">
        <v>0</v>
      </c>
      <c r="O951" s="24">
        <v>1</v>
      </c>
      <c r="P951" s="24">
        <v>0</v>
      </c>
      <c r="Q951" s="24">
        <v>0</v>
      </c>
      <c r="R951" s="24">
        <v>0</v>
      </c>
      <c r="S951" s="24">
        <v>24</v>
      </c>
      <c r="T951" s="24">
        <v>0</v>
      </c>
      <c r="U951" s="24">
        <v>0</v>
      </c>
      <c r="V951" s="24">
        <v>1</v>
      </c>
      <c r="W951" s="24">
        <v>1</v>
      </c>
      <c r="X951" s="24">
        <v>1</v>
      </c>
      <c r="Y951" s="24">
        <v>0</v>
      </c>
      <c r="Z951" s="24">
        <v>1</v>
      </c>
      <c r="AA951" s="24">
        <v>1</v>
      </c>
      <c r="AB951" s="24">
        <v>1</v>
      </c>
      <c r="AC951" s="24">
        <v>0</v>
      </c>
      <c r="AD951" s="24">
        <v>0</v>
      </c>
      <c r="AE951" s="24">
        <v>0</v>
      </c>
      <c r="AF951" s="24">
        <v>0</v>
      </c>
      <c r="AG951" s="24">
        <v>0</v>
      </c>
      <c r="AH951" s="24">
        <v>1</v>
      </c>
      <c r="AI951" s="24">
        <v>0</v>
      </c>
      <c r="AJ951" s="24">
        <v>0</v>
      </c>
      <c r="AK951" s="24">
        <v>1</v>
      </c>
      <c r="AL951" s="24">
        <v>0</v>
      </c>
      <c r="AM951" s="24">
        <v>0</v>
      </c>
      <c r="AN951" s="24">
        <v>0</v>
      </c>
      <c r="AO951" s="24">
        <v>0</v>
      </c>
      <c r="AP951" s="24">
        <v>0</v>
      </c>
      <c r="AQ951" s="24">
        <v>1</v>
      </c>
      <c r="AR951" s="24">
        <v>0</v>
      </c>
      <c r="AS951" s="24">
        <v>0</v>
      </c>
      <c r="AT951" s="24">
        <v>0</v>
      </c>
      <c r="AU951" s="24">
        <v>1</v>
      </c>
      <c r="AV951" s="24">
        <v>0</v>
      </c>
      <c r="AW951" s="24">
        <v>0</v>
      </c>
      <c r="AX951" s="24">
        <v>0</v>
      </c>
      <c r="AY951" s="24">
        <v>0</v>
      </c>
      <c r="AZ951" s="24">
        <v>1</v>
      </c>
      <c r="BA951" s="24">
        <v>0</v>
      </c>
      <c r="BB951" s="24">
        <v>0</v>
      </c>
    </row>
    <row r="952" spans="2:54" ht="13.8" x14ac:dyDescent="0.3">
      <c r="B952" s="24">
        <v>932</v>
      </c>
      <c r="C952" s="24">
        <v>9</v>
      </c>
      <c r="D952" s="24">
        <v>0</v>
      </c>
      <c r="E952" s="24">
        <v>0</v>
      </c>
      <c r="F952" s="24">
        <v>0</v>
      </c>
      <c r="G952" s="24">
        <v>1</v>
      </c>
      <c r="H952" s="24">
        <v>0</v>
      </c>
      <c r="I952" s="24">
        <v>0</v>
      </c>
      <c r="J952" s="24">
        <v>1670</v>
      </c>
      <c r="K952" s="24">
        <v>4</v>
      </c>
      <c r="L952" s="24">
        <v>0</v>
      </c>
      <c r="M952" s="24">
        <v>0</v>
      </c>
      <c r="N952" s="24">
        <v>0</v>
      </c>
      <c r="O952" s="24">
        <v>0</v>
      </c>
      <c r="P952" s="24">
        <v>0</v>
      </c>
      <c r="Q952" s="24">
        <v>0</v>
      </c>
      <c r="R952" s="24">
        <v>0</v>
      </c>
      <c r="S952" s="24">
        <v>22</v>
      </c>
      <c r="T952" s="24">
        <v>0</v>
      </c>
      <c r="U952" s="24">
        <v>0</v>
      </c>
      <c r="V952" s="24">
        <v>1</v>
      </c>
      <c r="W952" s="24">
        <v>1</v>
      </c>
      <c r="X952" s="24">
        <v>1</v>
      </c>
      <c r="Y952" s="24">
        <v>1</v>
      </c>
      <c r="Z952" s="24">
        <v>0</v>
      </c>
      <c r="AA952" s="24">
        <v>0</v>
      </c>
      <c r="AB952" s="24">
        <v>0</v>
      </c>
      <c r="AC952" s="24">
        <v>1</v>
      </c>
      <c r="AD952" s="24">
        <v>0</v>
      </c>
      <c r="AE952" s="24">
        <v>0</v>
      </c>
      <c r="AF952" s="24">
        <v>0</v>
      </c>
      <c r="AG952" s="24">
        <v>0</v>
      </c>
      <c r="AH952" s="24">
        <v>1</v>
      </c>
      <c r="AI952" s="24">
        <v>0</v>
      </c>
      <c r="AJ952" s="24">
        <v>0</v>
      </c>
      <c r="AK952" s="24">
        <v>1</v>
      </c>
      <c r="AL952" s="24">
        <v>0</v>
      </c>
      <c r="AM952" s="24">
        <v>0</v>
      </c>
      <c r="AN952" s="24">
        <v>0</v>
      </c>
      <c r="AO952" s="24">
        <v>0</v>
      </c>
      <c r="AP952" s="24">
        <v>0</v>
      </c>
      <c r="AQ952" s="24">
        <v>1</v>
      </c>
      <c r="AR952" s="24">
        <v>0</v>
      </c>
      <c r="AS952" s="24">
        <v>0</v>
      </c>
      <c r="AT952" s="24">
        <v>0</v>
      </c>
      <c r="AU952" s="24">
        <v>0</v>
      </c>
      <c r="AV952" s="24">
        <v>1</v>
      </c>
      <c r="AW952" s="24">
        <v>0</v>
      </c>
      <c r="AX952" s="24">
        <v>0</v>
      </c>
      <c r="AY952" s="24">
        <v>0</v>
      </c>
      <c r="AZ952" s="24">
        <v>0</v>
      </c>
      <c r="BA952" s="24">
        <v>1</v>
      </c>
      <c r="BB952" s="24">
        <v>0</v>
      </c>
    </row>
    <row r="953" spans="2:54" ht="13.8" x14ac:dyDescent="0.3">
      <c r="B953" s="24">
        <v>933</v>
      </c>
      <c r="C953" s="24">
        <v>9</v>
      </c>
      <c r="D953" s="24">
        <v>1</v>
      </c>
      <c r="E953" s="24">
        <v>0</v>
      </c>
      <c r="F953" s="24">
        <v>0</v>
      </c>
      <c r="G953" s="24">
        <v>0</v>
      </c>
      <c r="H953" s="24">
        <v>0</v>
      </c>
      <c r="I953" s="24">
        <v>0</v>
      </c>
      <c r="J953" s="24">
        <v>1224</v>
      </c>
      <c r="K953" s="24">
        <v>3</v>
      </c>
      <c r="L953" s="24">
        <v>0</v>
      </c>
      <c r="M953" s="24">
        <v>1</v>
      </c>
      <c r="N953" s="24">
        <v>0</v>
      </c>
      <c r="O953" s="24">
        <v>0</v>
      </c>
      <c r="P953" s="24">
        <v>0</v>
      </c>
      <c r="Q953" s="24">
        <v>1</v>
      </c>
      <c r="R953" s="24">
        <v>0</v>
      </c>
      <c r="S953" s="24">
        <v>30</v>
      </c>
      <c r="T953" s="24">
        <v>0</v>
      </c>
      <c r="U953" s="24">
        <v>0</v>
      </c>
      <c r="V953" s="24">
        <v>1</v>
      </c>
      <c r="W953" s="24">
        <v>2</v>
      </c>
      <c r="X953" s="24">
        <v>1</v>
      </c>
      <c r="Y953" s="24">
        <v>0</v>
      </c>
      <c r="Z953" s="24">
        <v>0</v>
      </c>
      <c r="AA953" s="24">
        <v>1</v>
      </c>
      <c r="AB953" s="24">
        <v>0</v>
      </c>
      <c r="AC953" s="24">
        <v>0</v>
      </c>
      <c r="AD953" s="24">
        <v>0</v>
      </c>
      <c r="AE953" s="24">
        <v>1</v>
      </c>
      <c r="AF953" s="24">
        <v>0</v>
      </c>
      <c r="AG953" s="24">
        <v>0</v>
      </c>
      <c r="AH953" s="24">
        <v>0</v>
      </c>
      <c r="AI953" s="24">
        <v>0</v>
      </c>
      <c r="AJ953" s="24">
        <v>1</v>
      </c>
      <c r="AK953" s="24">
        <v>1</v>
      </c>
      <c r="AL953" s="24">
        <v>0</v>
      </c>
      <c r="AM953" s="24">
        <v>0</v>
      </c>
      <c r="AN953" s="24">
        <v>0</v>
      </c>
      <c r="AO953" s="24">
        <v>0</v>
      </c>
      <c r="AP953" s="24">
        <v>0</v>
      </c>
      <c r="AQ953" s="24">
        <v>0</v>
      </c>
      <c r="AR953" s="24">
        <v>1</v>
      </c>
      <c r="AS953" s="24">
        <v>0</v>
      </c>
      <c r="AT953" s="24">
        <v>0</v>
      </c>
      <c r="AU953" s="24">
        <v>1</v>
      </c>
      <c r="AV953" s="24">
        <v>0</v>
      </c>
      <c r="AW953" s="24">
        <v>0</v>
      </c>
      <c r="AX953" s="24">
        <v>0</v>
      </c>
      <c r="AY953" s="24">
        <v>0</v>
      </c>
      <c r="AZ953" s="24">
        <v>0</v>
      </c>
      <c r="BA953" s="24">
        <v>1</v>
      </c>
      <c r="BB953" s="24">
        <v>0</v>
      </c>
    </row>
    <row r="954" spans="2:54" ht="13.8" x14ac:dyDescent="0.3">
      <c r="B954" s="24">
        <v>934</v>
      </c>
      <c r="C954" s="24">
        <v>12</v>
      </c>
      <c r="D954" s="24">
        <v>0</v>
      </c>
      <c r="E954" s="24">
        <v>0</v>
      </c>
      <c r="F954" s="24">
        <v>0</v>
      </c>
      <c r="G954" s="24">
        <v>1</v>
      </c>
      <c r="H954" s="24">
        <v>0</v>
      </c>
      <c r="I954" s="24">
        <v>0</v>
      </c>
      <c r="J954" s="24">
        <v>522</v>
      </c>
      <c r="K954" s="24">
        <v>4</v>
      </c>
      <c r="L954" s="24">
        <v>0</v>
      </c>
      <c r="M954" s="24">
        <v>1</v>
      </c>
      <c r="N954" s="24">
        <v>0</v>
      </c>
      <c r="O954" s="24">
        <v>0</v>
      </c>
      <c r="P954" s="24">
        <v>0</v>
      </c>
      <c r="Q954" s="24">
        <v>0</v>
      </c>
      <c r="R954" s="24">
        <v>0</v>
      </c>
      <c r="S954" s="24">
        <v>42</v>
      </c>
      <c r="T954" s="24">
        <v>0</v>
      </c>
      <c r="U954" s="24">
        <v>0</v>
      </c>
      <c r="V954" s="24">
        <v>1</v>
      </c>
      <c r="W954" s="24">
        <v>2</v>
      </c>
      <c r="X954" s="24">
        <v>2</v>
      </c>
      <c r="Y954" s="24">
        <v>1</v>
      </c>
      <c r="Z954" s="24">
        <v>0</v>
      </c>
      <c r="AA954" s="24">
        <v>1</v>
      </c>
      <c r="AB954" s="24">
        <v>0</v>
      </c>
      <c r="AC954" s="24">
        <v>0</v>
      </c>
      <c r="AD954" s="24">
        <v>0</v>
      </c>
      <c r="AE954" s="24">
        <v>1</v>
      </c>
      <c r="AF954" s="24">
        <v>0</v>
      </c>
      <c r="AG954" s="24">
        <v>0</v>
      </c>
      <c r="AH954" s="24">
        <v>0</v>
      </c>
      <c r="AI954" s="24">
        <v>0</v>
      </c>
      <c r="AJ954" s="24">
        <v>1</v>
      </c>
      <c r="AK954" s="24">
        <v>0</v>
      </c>
      <c r="AL954" s="24">
        <v>0</v>
      </c>
      <c r="AM954" s="24">
        <v>1</v>
      </c>
      <c r="AN954" s="24">
        <v>0</v>
      </c>
      <c r="AO954" s="24">
        <v>0</v>
      </c>
      <c r="AP954" s="24">
        <v>0</v>
      </c>
      <c r="AQ954" s="24">
        <v>0</v>
      </c>
      <c r="AR954" s="24">
        <v>0</v>
      </c>
      <c r="AS954" s="24">
        <v>0</v>
      </c>
      <c r="AT954" s="24">
        <v>1</v>
      </c>
      <c r="AU954" s="24">
        <v>0</v>
      </c>
      <c r="AV954" s="24">
        <v>0</v>
      </c>
      <c r="AW954" s="24">
        <v>0</v>
      </c>
      <c r="AX954" s="24">
        <v>1</v>
      </c>
      <c r="AY954" s="24">
        <v>0</v>
      </c>
      <c r="AZ954" s="24">
        <v>0</v>
      </c>
      <c r="BA954" s="24">
        <v>1</v>
      </c>
      <c r="BB954" s="24">
        <v>0</v>
      </c>
    </row>
    <row r="955" spans="2:54" ht="13.8" x14ac:dyDescent="0.3">
      <c r="B955" s="24">
        <v>935</v>
      </c>
      <c r="C955" s="24">
        <v>12</v>
      </c>
      <c r="D955" s="24">
        <v>0</v>
      </c>
      <c r="E955" s="24">
        <v>0</v>
      </c>
      <c r="F955" s="24">
        <v>0</v>
      </c>
      <c r="G955" s="24">
        <v>1</v>
      </c>
      <c r="H955" s="24">
        <v>0</v>
      </c>
      <c r="I955" s="24">
        <v>0</v>
      </c>
      <c r="J955" s="24">
        <v>1498</v>
      </c>
      <c r="K955" s="24">
        <v>4</v>
      </c>
      <c r="L955" s="24">
        <v>0</v>
      </c>
      <c r="M955" s="24">
        <v>0</v>
      </c>
      <c r="N955" s="24">
        <v>0</v>
      </c>
      <c r="O955" s="24">
        <v>0</v>
      </c>
      <c r="P955" s="24">
        <v>0</v>
      </c>
      <c r="Q955" s="24">
        <v>0</v>
      </c>
      <c r="R955" s="24">
        <v>0</v>
      </c>
      <c r="S955" s="24">
        <v>23</v>
      </c>
      <c r="T955" s="24">
        <v>1</v>
      </c>
      <c r="U955" s="24">
        <v>0</v>
      </c>
      <c r="V955" s="24">
        <v>1</v>
      </c>
      <c r="W955" s="24">
        <v>1</v>
      </c>
      <c r="X955" s="24">
        <v>1</v>
      </c>
      <c r="Y955" s="24">
        <v>0</v>
      </c>
      <c r="Z955" s="24">
        <v>0</v>
      </c>
      <c r="AA955" s="24">
        <v>1</v>
      </c>
      <c r="AB955" s="24">
        <v>1</v>
      </c>
      <c r="AC955" s="24">
        <v>0</v>
      </c>
      <c r="AD955" s="24">
        <v>0</v>
      </c>
      <c r="AE955" s="24">
        <v>0</v>
      </c>
      <c r="AF955" s="24">
        <v>0</v>
      </c>
      <c r="AG955" s="24">
        <v>0</v>
      </c>
      <c r="AH955" s="24">
        <v>1</v>
      </c>
      <c r="AI955" s="24">
        <v>0</v>
      </c>
      <c r="AJ955" s="24">
        <v>0</v>
      </c>
      <c r="AK955" s="24">
        <v>1</v>
      </c>
      <c r="AL955" s="24">
        <v>0</v>
      </c>
      <c r="AM955" s="24">
        <v>0</v>
      </c>
      <c r="AN955" s="24">
        <v>0</v>
      </c>
      <c r="AO955" s="24">
        <v>0</v>
      </c>
      <c r="AP955" s="24">
        <v>0</v>
      </c>
      <c r="AQ955" s="24">
        <v>0</v>
      </c>
      <c r="AR955" s="24">
        <v>1</v>
      </c>
      <c r="AS955" s="24">
        <v>0</v>
      </c>
      <c r="AT955" s="24">
        <v>0</v>
      </c>
      <c r="AU955" s="24">
        <v>1</v>
      </c>
      <c r="AV955" s="24">
        <v>0</v>
      </c>
      <c r="AW955" s="24">
        <v>0</v>
      </c>
      <c r="AX955" s="24">
        <v>0</v>
      </c>
      <c r="AY955" s="24">
        <v>0</v>
      </c>
      <c r="AZ955" s="24">
        <v>0</v>
      </c>
      <c r="BA955" s="24">
        <v>1</v>
      </c>
      <c r="BB955" s="24">
        <v>0</v>
      </c>
    </row>
    <row r="956" spans="2:54" ht="13.8" x14ac:dyDescent="0.3">
      <c r="B956" s="24">
        <v>936</v>
      </c>
      <c r="C956" s="24">
        <v>30</v>
      </c>
      <c r="D956" s="24">
        <v>0</v>
      </c>
      <c r="E956" s="24">
        <v>0</v>
      </c>
      <c r="F956" s="24">
        <v>0</v>
      </c>
      <c r="G956" s="24">
        <v>1</v>
      </c>
      <c r="H956" s="24">
        <v>0</v>
      </c>
      <c r="I956" s="24">
        <v>0</v>
      </c>
      <c r="J956" s="24">
        <v>1919</v>
      </c>
      <c r="K956" s="24">
        <v>4</v>
      </c>
      <c r="L956" s="24">
        <v>0</v>
      </c>
      <c r="M956" s="24">
        <v>1</v>
      </c>
      <c r="N956" s="24">
        <v>0</v>
      </c>
      <c r="O956" s="24">
        <v>0</v>
      </c>
      <c r="P956" s="24">
        <v>0</v>
      </c>
      <c r="Q956" s="24">
        <v>0</v>
      </c>
      <c r="R956" s="24">
        <v>1</v>
      </c>
      <c r="S956" s="24">
        <v>30</v>
      </c>
      <c r="T956" s="24">
        <v>1</v>
      </c>
      <c r="U956" s="24">
        <v>0</v>
      </c>
      <c r="V956" s="24">
        <v>1</v>
      </c>
      <c r="W956" s="24">
        <v>2</v>
      </c>
      <c r="X956" s="24">
        <v>1</v>
      </c>
      <c r="Y956" s="24">
        <v>0</v>
      </c>
      <c r="Z956" s="24">
        <v>0</v>
      </c>
      <c r="AA956" s="24">
        <v>0</v>
      </c>
      <c r="AB956" s="24">
        <v>0</v>
      </c>
      <c r="AC956" s="24">
        <v>1</v>
      </c>
      <c r="AD956" s="24">
        <v>0</v>
      </c>
      <c r="AE956" s="24">
        <v>0</v>
      </c>
      <c r="AF956" s="24">
        <v>0</v>
      </c>
      <c r="AG956" s="24">
        <v>0</v>
      </c>
      <c r="AH956" s="24">
        <v>0</v>
      </c>
      <c r="AI956" s="24">
        <v>1</v>
      </c>
      <c r="AJ956" s="24">
        <v>0</v>
      </c>
      <c r="AK956" s="24">
        <v>0</v>
      </c>
      <c r="AL956" s="24">
        <v>1</v>
      </c>
      <c r="AM956" s="24">
        <v>0</v>
      </c>
      <c r="AN956" s="24">
        <v>0</v>
      </c>
      <c r="AO956" s="24">
        <v>0</v>
      </c>
      <c r="AP956" s="24">
        <v>0</v>
      </c>
      <c r="AQ956" s="24">
        <v>1</v>
      </c>
      <c r="AR956" s="24">
        <v>0</v>
      </c>
      <c r="AS956" s="24">
        <v>0</v>
      </c>
      <c r="AT956" s="24">
        <v>0</v>
      </c>
      <c r="AU956" s="24">
        <v>0</v>
      </c>
      <c r="AV956" s="24">
        <v>0</v>
      </c>
      <c r="AW956" s="24">
        <v>1</v>
      </c>
      <c r="AX956" s="24">
        <v>0</v>
      </c>
      <c r="AY956" s="24">
        <v>0</v>
      </c>
      <c r="AZ956" s="24">
        <v>0</v>
      </c>
      <c r="BA956" s="24">
        <v>0</v>
      </c>
      <c r="BB956" s="24">
        <v>1</v>
      </c>
    </row>
    <row r="957" spans="2:54" ht="13.8" x14ac:dyDescent="0.3">
      <c r="B957" s="24">
        <v>937</v>
      </c>
      <c r="C957" s="24">
        <v>9</v>
      </c>
      <c r="D957" s="24">
        <v>0</v>
      </c>
      <c r="E957" s="24">
        <v>0</v>
      </c>
      <c r="F957" s="24">
        <v>0</v>
      </c>
      <c r="G957" s="24">
        <v>1</v>
      </c>
      <c r="H957" s="24">
        <v>0</v>
      </c>
      <c r="I957" s="24">
        <v>0</v>
      </c>
      <c r="J957" s="24">
        <v>745</v>
      </c>
      <c r="K957" s="24">
        <v>3</v>
      </c>
      <c r="L957" s="24">
        <v>0</v>
      </c>
      <c r="M957" s="24">
        <v>0</v>
      </c>
      <c r="N957" s="24">
        <v>0</v>
      </c>
      <c r="O957" s="24">
        <v>0</v>
      </c>
      <c r="P957" s="24">
        <v>0</v>
      </c>
      <c r="Q957" s="24">
        <v>1</v>
      </c>
      <c r="R957" s="24">
        <v>0</v>
      </c>
      <c r="S957" s="24">
        <v>28</v>
      </c>
      <c r="T957" s="24">
        <v>0</v>
      </c>
      <c r="U957" s="24">
        <v>0</v>
      </c>
      <c r="V957" s="24">
        <v>1</v>
      </c>
      <c r="W957" s="24">
        <v>1</v>
      </c>
      <c r="X957" s="24">
        <v>1</v>
      </c>
      <c r="Y957" s="24">
        <v>0</v>
      </c>
      <c r="Z957" s="24">
        <v>0</v>
      </c>
      <c r="AA957" s="24">
        <v>0</v>
      </c>
      <c r="AB957" s="24">
        <v>0</v>
      </c>
      <c r="AC957" s="24">
        <v>0</v>
      </c>
      <c r="AD957" s="24">
        <v>1</v>
      </c>
      <c r="AE957" s="24">
        <v>0</v>
      </c>
      <c r="AF957" s="24">
        <v>0</v>
      </c>
      <c r="AG957" s="24">
        <v>0</v>
      </c>
      <c r="AH957" s="24">
        <v>1</v>
      </c>
      <c r="AI957" s="24">
        <v>0</v>
      </c>
      <c r="AJ957" s="24">
        <v>0</v>
      </c>
      <c r="AK957" s="24">
        <v>1</v>
      </c>
      <c r="AL957" s="24">
        <v>0</v>
      </c>
      <c r="AM957" s="24">
        <v>0</v>
      </c>
      <c r="AN957" s="24">
        <v>0</v>
      </c>
      <c r="AO957" s="24">
        <v>0</v>
      </c>
      <c r="AP957" s="24">
        <v>0</v>
      </c>
      <c r="AQ957" s="24">
        <v>0</v>
      </c>
      <c r="AR957" s="24">
        <v>1</v>
      </c>
      <c r="AS957" s="24">
        <v>0</v>
      </c>
      <c r="AT957" s="24">
        <v>0</v>
      </c>
      <c r="AU957" s="24">
        <v>0</v>
      </c>
      <c r="AV957" s="24">
        <v>1</v>
      </c>
      <c r="AW957" s="24">
        <v>0</v>
      </c>
      <c r="AX957" s="24">
        <v>0</v>
      </c>
      <c r="AY957" s="24">
        <v>0</v>
      </c>
      <c r="AZ957" s="24">
        <v>1</v>
      </c>
      <c r="BA957" s="24">
        <v>0</v>
      </c>
      <c r="BB957" s="24">
        <v>0</v>
      </c>
    </row>
    <row r="958" spans="2:54" ht="13.8" x14ac:dyDescent="0.3">
      <c r="B958" s="24">
        <v>938</v>
      </c>
      <c r="C958" s="24">
        <v>6</v>
      </c>
      <c r="D958" s="24">
        <v>0</v>
      </c>
      <c r="E958" s="24">
        <v>0</v>
      </c>
      <c r="F958" s="24">
        <v>0</v>
      </c>
      <c r="G958" s="24">
        <v>1</v>
      </c>
      <c r="H958" s="24">
        <v>0</v>
      </c>
      <c r="I958" s="24">
        <v>0</v>
      </c>
      <c r="J958" s="24">
        <v>2063</v>
      </c>
      <c r="K958" s="24">
        <v>4</v>
      </c>
      <c r="L958" s="24">
        <v>0</v>
      </c>
      <c r="M958" s="24">
        <v>0</v>
      </c>
      <c r="N958" s="24">
        <v>1</v>
      </c>
      <c r="O958" s="24">
        <v>0</v>
      </c>
      <c r="P958" s="24">
        <v>0</v>
      </c>
      <c r="Q958" s="24">
        <v>0</v>
      </c>
      <c r="R958" s="24">
        <v>0</v>
      </c>
      <c r="S958" s="24">
        <v>30</v>
      </c>
      <c r="T958" s="24">
        <v>0</v>
      </c>
      <c r="U958" s="24">
        <v>1</v>
      </c>
      <c r="V958" s="24">
        <v>0</v>
      </c>
      <c r="W958" s="24">
        <v>1</v>
      </c>
      <c r="X958" s="24">
        <v>1</v>
      </c>
      <c r="Y958" s="24">
        <v>1</v>
      </c>
      <c r="Z958" s="24">
        <v>0</v>
      </c>
      <c r="AA958" s="24">
        <v>1</v>
      </c>
      <c r="AB958" s="24">
        <v>0</v>
      </c>
      <c r="AC958" s="24">
        <v>1</v>
      </c>
      <c r="AD958" s="24">
        <v>0</v>
      </c>
      <c r="AE958" s="24">
        <v>0</v>
      </c>
      <c r="AF958" s="24">
        <v>0</v>
      </c>
      <c r="AG958" s="24">
        <v>0</v>
      </c>
      <c r="AH958" s="24">
        <v>1</v>
      </c>
      <c r="AI958" s="24">
        <v>0</v>
      </c>
      <c r="AJ958" s="24">
        <v>0</v>
      </c>
      <c r="AK958" s="24">
        <v>1</v>
      </c>
      <c r="AL958" s="24">
        <v>0</v>
      </c>
      <c r="AM958" s="24">
        <v>0</v>
      </c>
      <c r="AN958" s="24">
        <v>0</v>
      </c>
      <c r="AO958" s="24">
        <v>0</v>
      </c>
      <c r="AP958" s="24">
        <v>0</v>
      </c>
      <c r="AQ958" s="24">
        <v>1</v>
      </c>
      <c r="AR958" s="24">
        <v>0</v>
      </c>
      <c r="AS958" s="24">
        <v>0</v>
      </c>
      <c r="AT958" s="24">
        <v>0</v>
      </c>
      <c r="AU958" s="24">
        <v>0</v>
      </c>
      <c r="AV958" s="24">
        <v>0</v>
      </c>
      <c r="AW958" s="24">
        <v>1</v>
      </c>
      <c r="AX958" s="24">
        <v>0</v>
      </c>
      <c r="AY958" s="24">
        <v>0</v>
      </c>
      <c r="AZ958" s="24">
        <v>0</v>
      </c>
      <c r="BA958" s="24">
        <v>0</v>
      </c>
      <c r="BB958" s="24">
        <v>1</v>
      </c>
    </row>
    <row r="959" spans="2:54" ht="13.8" x14ac:dyDescent="0.3">
      <c r="B959" s="24">
        <v>939</v>
      </c>
      <c r="C959" s="24">
        <v>60</v>
      </c>
      <c r="D959" s="24">
        <v>0</v>
      </c>
      <c r="E959" s="24">
        <v>0</v>
      </c>
      <c r="F959" s="24">
        <v>0</v>
      </c>
      <c r="G959" s="24">
        <v>0</v>
      </c>
      <c r="H959" s="24">
        <v>1</v>
      </c>
      <c r="I959" s="24">
        <v>0</v>
      </c>
      <c r="J959" s="24">
        <v>6288</v>
      </c>
      <c r="K959" s="24">
        <v>4</v>
      </c>
      <c r="L959" s="24">
        <v>0</v>
      </c>
      <c r="M959" s="24">
        <v>1</v>
      </c>
      <c r="N959" s="24">
        <v>0</v>
      </c>
      <c r="O959" s="24">
        <v>0</v>
      </c>
      <c r="P959" s="24">
        <v>0</v>
      </c>
      <c r="Q959" s="24">
        <v>0</v>
      </c>
      <c r="R959" s="24">
        <v>1</v>
      </c>
      <c r="S959" s="24">
        <v>42</v>
      </c>
      <c r="T959" s="24">
        <v>0</v>
      </c>
      <c r="U959" s="24">
        <v>0</v>
      </c>
      <c r="V959" s="24">
        <v>0</v>
      </c>
      <c r="W959" s="24">
        <v>1</v>
      </c>
      <c r="X959" s="24">
        <v>1</v>
      </c>
      <c r="Y959" s="24">
        <v>0</v>
      </c>
      <c r="Z959" s="24">
        <v>0</v>
      </c>
      <c r="AA959" s="24">
        <v>0</v>
      </c>
      <c r="AB959" s="24">
        <v>0</v>
      </c>
      <c r="AC959" s="24">
        <v>1</v>
      </c>
      <c r="AD959" s="24">
        <v>0</v>
      </c>
      <c r="AE959" s="24">
        <v>0</v>
      </c>
      <c r="AF959" s="24">
        <v>0</v>
      </c>
      <c r="AG959" s="24">
        <v>0</v>
      </c>
      <c r="AH959" s="24">
        <v>1</v>
      </c>
      <c r="AI959" s="24">
        <v>0</v>
      </c>
      <c r="AJ959" s="24">
        <v>0</v>
      </c>
      <c r="AK959" s="24">
        <v>1</v>
      </c>
      <c r="AL959" s="24">
        <v>0</v>
      </c>
      <c r="AM959" s="24">
        <v>0</v>
      </c>
      <c r="AN959" s="24">
        <v>0</v>
      </c>
      <c r="AO959" s="24">
        <v>0</v>
      </c>
      <c r="AP959" s="24">
        <v>0</v>
      </c>
      <c r="AQ959" s="24">
        <v>0</v>
      </c>
      <c r="AR959" s="24">
        <v>1</v>
      </c>
      <c r="AS959" s="24">
        <v>0</v>
      </c>
      <c r="AT959" s="24">
        <v>0</v>
      </c>
      <c r="AU959" s="24">
        <v>0</v>
      </c>
      <c r="AV959" s="24">
        <v>0</v>
      </c>
      <c r="AW959" s="24">
        <v>0</v>
      </c>
      <c r="AX959" s="24">
        <v>1</v>
      </c>
      <c r="AY959" s="24">
        <v>0</v>
      </c>
      <c r="AZ959" s="24">
        <v>0</v>
      </c>
      <c r="BA959" s="24">
        <v>1</v>
      </c>
      <c r="BB959" s="24">
        <v>0</v>
      </c>
    </row>
    <row r="960" spans="2:54" ht="13.8" x14ac:dyDescent="0.3">
      <c r="B960" s="24">
        <v>940</v>
      </c>
      <c r="C960" s="24">
        <v>24</v>
      </c>
      <c r="D960" s="24">
        <v>0</v>
      </c>
      <c r="E960" s="24">
        <v>1</v>
      </c>
      <c r="F960" s="24">
        <v>0</v>
      </c>
      <c r="G960" s="24">
        <v>0</v>
      </c>
      <c r="H960" s="24">
        <v>0</v>
      </c>
      <c r="I960" s="24">
        <v>0</v>
      </c>
      <c r="J960" s="24">
        <v>6842</v>
      </c>
      <c r="K960" s="24">
        <v>2</v>
      </c>
      <c r="L960" s="24">
        <v>0</v>
      </c>
      <c r="M960" s="24">
        <v>1</v>
      </c>
      <c r="N960" s="24">
        <v>0</v>
      </c>
      <c r="O960" s="24">
        <v>0</v>
      </c>
      <c r="P960" s="24">
        <v>0</v>
      </c>
      <c r="Q960" s="24">
        <v>0</v>
      </c>
      <c r="R960" s="24">
        <v>0</v>
      </c>
      <c r="S960" s="24">
        <v>46</v>
      </c>
      <c r="T960" s="24">
        <v>0</v>
      </c>
      <c r="U960" s="24">
        <v>0</v>
      </c>
      <c r="V960" s="24">
        <v>1</v>
      </c>
      <c r="W960" s="24">
        <v>2</v>
      </c>
      <c r="X960" s="24">
        <v>2</v>
      </c>
      <c r="Y960" s="24">
        <v>1</v>
      </c>
      <c r="Z960" s="24">
        <v>0</v>
      </c>
      <c r="AA960" s="24">
        <v>1</v>
      </c>
      <c r="AB960" s="24">
        <v>0</v>
      </c>
      <c r="AC960" s="24">
        <v>0</v>
      </c>
      <c r="AD960" s="24">
        <v>0</v>
      </c>
      <c r="AE960" s="24">
        <v>1</v>
      </c>
      <c r="AF960" s="24">
        <v>0</v>
      </c>
      <c r="AG960" s="24">
        <v>0</v>
      </c>
      <c r="AH960" s="24">
        <v>0</v>
      </c>
      <c r="AI960" s="24">
        <v>0</v>
      </c>
      <c r="AJ960" s="24">
        <v>1</v>
      </c>
      <c r="AK960" s="24">
        <v>0</v>
      </c>
      <c r="AL960" s="24">
        <v>0</v>
      </c>
      <c r="AM960" s="24">
        <v>0</v>
      </c>
      <c r="AN960" s="24">
        <v>0</v>
      </c>
      <c r="AO960" s="24">
        <v>1</v>
      </c>
      <c r="AP960" s="24">
        <v>0</v>
      </c>
      <c r="AQ960" s="24">
        <v>0</v>
      </c>
      <c r="AR960" s="24">
        <v>1</v>
      </c>
      <c r="AS960" s="24">
        <v>0</v>
      </c>
      <c r="AT960" s="24">
        <v>0</v>
      </c>
      <c r="AU960" s="24">
        <v>0</v>
      </c>
      <c r="AV960" s="24">
        <v>0</v>
      </c>
      <c r="AW960" s="24">
        <v>0</v>
      </c>
      <c r="AX960" s="24">
        <v>1</v>
      </c>
      <c r="AY960" s="24">
        <v>0</v>
      </c>
      <c r="AZ960" s="24">
        <v>0</v>
      </c>
      <c r="BA960" s="24">
        <v>0</v>
      </c>
      <c r="BB960" s="24">
        <v>1</v>
      </c>
    </row>
    <row r="961" spans="2:54" ht="13.8" x14ac:dyDescent="0.3">
      <c r="B961" s="24">
        <v>941</v>
      </c>
      <c r="C961" s="24">
        <v>12</v>
      </c>
      <c r="D961" s="24">
        <v>1</v>
      </c>
      <c r="E961" s="24">
        <v>0</v>
      </c>
      <c r="F961" s="24">
        <v>0</v>
      </c>
      <c r="G961" s="24">
        <v>0</v>
      </c>
      <c r="H961" s="24">
        <v>0</v>
      </c>
      <c r="I961" s="24">
        <v>0</v>
      </c>
      <c r="J961" s="24">
        <v>3527</v>
      </c>
      <c r="K961" s="24">
        <v>2</v>
      </c>
      <c r="L961" s="24">
        <v>0</v>
      </c>
      <c r="M961" s="24">
        <v>1</v>
      </c>
      <c r="N961" s="24">
        <v>0</v>
      </c>
      <c r="O961" s="24">
        <v>0</v>
      </c>
      <c r="P961" s="24">
        <v>0</v>
      </c>
      <c r="Q961" s="24">
        <v>0</v>
      </c>
      <c r="R961" s="24">
        <v>0</v>
      </c>
      <c r="S961" s="24">
        <v>45</v>
      </c>
      <c r="T961" s="24">
        <v>0</v>
      </c>
      <c r="U961" s="24">
        <v>0</v>
      </c>
      <c r="V961" s="24">
        <v>1</v>
      </c>
      <c r="W961" s="24">
        <v>1</v>
      </c>
      <c r="X961" s="24">
        <v>2</v>
      </c>
      <c r="Y961" s="24">
        <v>1</v>
      </c>
      <c r="Z961" s="24">
        <v>0</v>
      </c>
      <c r="AA961" s="24">
        <v>1</v>
      </c>
      <c r="AB961" s="24">
        <v>0</v>
      </c>
      <c r="AC961" s="24">
        <v>0</v>
      </c>
      <c r="AD961" s="24">
        <v>0</v>
      </c>
      <c r="AE961" s="24">
        <v>1</v>
      </c>
      <c r="AF961" s="24">
        <v>0</v>
      </c>
      <c r="AG961" s="24">
        <v>0</v>
      </c>
      <c r="AH961" s="24">
        <v>1</v>
      </c>
      <c r="AI961" s="24">
        <v>0</v>
      </c>
      <c r="AJ961" s="24">
        <v>0</v>
      </c>
      <c r="AK961" s="24">
        <v>0</v>
      </c>
      <c r="AL961" s="24">
        <v>0</v>
      </c>
      <c r="AM961" s="24">
        <v>0</v>
      </c>
      <c r="AN961" s="24">
        <v>0</v>
      </c>
      <c r="AO961" s="24">
        <v>1</v>
      </c>
      <c r="AP961" s="24">
        <v>0</v>
      </c>
      <c r="AQ961" s="24">
        <v>1</v>
      </c>
      <c r="AR961" s="24">
        <v>0</v>
      </c>
      <c r="AS961" s="24">
        <v>0</v>
      </c>
      <c r="AT961" s="24">
        <v>0</v>
      </c>
      <c r="AU961" s="24">
        <v>0</v>
      </c>
      <c r="AV961" s="24">
        <v>0</v>
      </c>
      <c r="AW961" s="24">
        <v>1</v>
      </c>
      <c r="AX961" s="24">
        <v>0</v>
      </c>
      <c r="AY961" s="24">
        <v>0</v>
      </c>
      <c r="AZ961" s="24">
        <v>0</v>
      </c>
      <c r="BA961" s="24">
        <v>0</v>
      </c>
      <c r="BB961" s="24">
        <v>1</v>
      </c>
    </row>
    <row r="962" spans="2:54" ht="13.8" x14ac:dyDescent="0.3">
      <c r="B962" s="24">
        <v>942</v>
      </c>
      <c r="C962" s="24">
        <v>10</v>
      </c>
      <c r="D962" s="24">
        <v>1</v>
      </c>
      <c r="E962" s="24">
        <v>0</v>
      </c>
      <c r="F962" s="24">
        <v>0</v>
      </c>
      <c r="G962" s="24">
        <v>0</v>
      </c>
      <c r="H962" s="24">
        <v>0</v>
      </c>
      <c r="I962" s="24">
        <v>0</v>
      </c>
      <c r="J962" s="24">
        <v>1546</v>
      </c>
      <c r="K962" s="24">
        <v>3</v>
      </c>
      <c r="L962" s="24">
        <v>0</v>
      </c>
      <c r="M962" s="24">
        <v>1</v>
      </c>
      <c r="N962" s="24">
        <v>0</v>
      </c>
      <c r="O962" s="24">
        <v>0</v>
      </c>
      <c r="P962" s="24">
        <v>0</v>
      </c>
      <c r="Q962" s="24">
        <v>1</v>
      </c>
      <c r="R962" s="24">
        <v>0</v>
      </c>
      <c r="S962" s="24">
        <v>31</v>
      </c>
      <c r="T962" s="24">
        <v>0</v>
      </c>
      <c r="U962" s="24">
        <v>0</v>
      </c>
      <c r="V962" s="24">
        <v>1</v>
      </c>
      <c r="W962" s="24">
        <v>1</v>
      </c>
      <c r="X962" s="24">
        <v>2</v>
      </c>
      <c r="Y962" s="24">
        <v>0</v>
      </c>
      <c r="Z962" s="24">
        <v>1</v>
      </c>
      <c r="AA962" s="24">
        <v>1</v>
      </c>
      <c r="AB962" s="24">
        <v>0</v>
      </c>
      <c r="AC962" s="24">
        <v>0</v>
      </c>
      <c r="AD962" s="24">
        <v>0</v>
      </c>
      <c r="AE962" s="24">
        <v>1</v>
      </c>
      <c r="AF962" s="24">
        <v>0</v>
      </c>
      <c r="AG962" s="24">
        <v>0</v>
      </c>
      <c r="AH962" s="24">
        <v>1</v>
      </c>
      <c r="AI962" s="24">
        <v>0</v>
      </c>
      <c r="AJ962" s="24">
        <v>0</v>
      </c>
      <c r="AK962" s="24">
        <v>1</v>
      </c>
      <c r="AL962" s="24">
        <v>0</v>
      </c>
      <c r="AM962" s="24">
        <v>0</v>
      </c>
      <c r="AN962" s="24">
        <v>0</v>
      </c>
      <c r="AO962" s="24">
        <v>0</v>
      </c>
      <c r="AP962" s="24">
        <v>0</v>
      </c>
      <c r="AQ962" s="24">
        <v>0</v>
      </c>
      <c r="AR962" s="24">
        <v>1</v>
      </c>
      <c r="AS962" s="24">
        <v>0</v>
      </c>
      <c r="AT962" s="24">
        <v>0</v>
      </c>
      <c r="AU962" s="24">
        <v>0</v>
      </c>
      <c r="AV962" s="24">
        <v>1</v>
      </c>
      <c r="AW962" s="24">
        <v>0</v>
      </c>
      <c r="AX962" s="24">
        <v>0</v>
      </c>
      <c r="AY962" s="24">
        <v>0</v>
      </c>
      <c r="AZ962" s="24">
        <v>1</v>
      </c>
      <c r="BA962" s="24">
        <v>0</v>
      </c>
      <c r="BB962" s="24">
        <v>0</v>
      </c>
    </row>
    <row r="963" spans="2:54" ht="13.8" x14ac:dyDescent="0.3">
      <c r="B963" s="24">
        <v>943</v>
      </c>
      <c r="C963" s="24">
        <v>24</v>
      </c>
      <c r="D963" s="24">
        <v>0</v>
      </c>
      <c r="E963" s="24">
        <v>0</v>
      </c>
      <c r="F963" s="24">
        <v>1</v>
      </c>
      <c r="G963" s="24">
        <v>0</v>
      </c>
      <c r="H963" s="24">
        <v>0</v>
      </c>
      <c r="I963" s="24">
        <v>0</v>
      </c>
      <c r="J963" s="24">
        <v>929</v>
      </c>
      <c r="K963" s="24">
        <v>4</v>
      </c>
      <c r="L963" s="24">
        <v>0</v>
      </c>
      <c r="M963" s="24">
        <v>1</v>
      </c>
      <c r="N963" s="24">
        <v>0</v>
      </c>
      <c r="O963" s="24">
        <v>0</v>
      </c>
      <c r="P963" s="24">
        <v>0</v>
      </c>
      <c r="Q963" s="24">
        <v>0</v>
      </c>
      <c r="R963" s="24">
        <v>0</v>
      </c>
      <c r="S963" s="24">
        <v>31</v>
      </c>
      <c r="T963" s="24">
        <v>1</v>
      </c>
      <c r="U963" s="24">
        <v>0</v>
      </c>
      <c r="V963" s="24">
        <v>1</v>
      </c>
      <c r="W963" s="24">
        <v>1</v>
      </c>
      <c r="X963" s="24">
        <v>1</v>
      </c>
      <c r="Y963" s="24">
        <v>1</v>
      </c>
      <c r="Z963" s="24">
        <v>0</v>
      </c>
      <c r="AA963" s="24">
        <v>1</v>
      </c>
      <c r="AB963" s="24">
        <v>0</v>
      </c>
      <c r="AC963" s="24">
        <v>0</v>
      </c>
      <c r="AD963" s="24">
        <v>0</v>
      </c>
      <c r="AE963" s="24">
        <v>1</v>
      </c>
      <c r="AF963" s="24">
        <v>0</v>
      </c>
      <c r="AG963" s="24">
        <v>0</v>
      </c>
      <c r="AH963" s="24">
        <v>1</v>
      </c>
      <c r="AI963" s="24">
        <v>0</v>
      </c>
      <c r="AJ963" s="24">
        <v>0</v>
      </c>
      <c r="AK963" s="24">
        <v>0</v>
      </c>
      <c r="AL963" s="24">
        <v>0</v>
      </c>
      <c r="AM963" s="24">
        <v>0</v>
      </c>
      <c r="AN963" s="24">
        <v>0</v>
      </c>
      <c r="AO963" s="24">
        <v>1</v>
      </c>
      <c r="AP963" s="24">
        <v>0</v>
      </c>
      <c r="AQ963" s="24">
        <v>0</v>
      </c>
      <c r="AR963" s="24">
        <v>0</v>
      </c>
      <c r="AS963" s="24">
        <v>1</v>
      </c>
      <c r="AT963" s="24">
        <v>0</v>
      </c>
      <c r="AU963" s="24">
        <v>0</v>
      </c>
      <c r="AV963" s="24">
        <v>1</v>
      </c>
      <c r="AW963" s="24">
        <v>0</v>
      </c>
      <c r="AX963" s="24">
        <v>0</v>
      </c>
      <c r="AY963" s="24">
        <v>0</v>
      </c>
      <c r="AZ963" s="24">
        <v>0</v>
      </c>
      <c r="BA963" s="24">
        <v>1</v>
      </c>
      <c r="BB963" s="24">
        <v>0</v>
      </c>
    </row>
    <row r="964" spans="2:54" ht="13.8" x14ac:dyDescent="0.3">
      <c r="B964" s="24">
        <v>944</v>
      </c>
      <c r="C964" s="24">
        <v>4</v>
      </c>
      <c r="D964" s="24">
        <v>1</v>
      </c>
      <c r="E964" s="24">
        <v>0</v>
      </c>
      <c r="F964" s="24">
        <v>0</v>
      </c>
      <c r="G964" s="24">
        <v>0</v>
      </c>
      <c r="H964" s="24">
        <v>0</v>
      </c>
      <c r="I964" s="24">
        <v>0</v>
      </c>
      <c r="J964" s="24">
        <v>1455</v>
      </c>
      <c r="K964" s="24">
        <v>2</v>
      </c>
      <c r="L964" s="24">
        <v>0</v>
      </c>
      <c r="M964" s="24">
        <v>1</v>
      </c>
      <c r="N964" s="24">
        <v>0</v>
      </c>
      <c r="O964" s="24">
        <v>0</v>
      </c>
      <c r="P964" s="24">
        <v>0</v>
      </c>
      <c r="Q964" s="24">
        <v>1</v>
      </c>
      <c r="R964" s="24">
        <v>0</v>
      </c>
      <c r="S964" s="24">
        <v>42</v>
      </c>
      <c r="T964" s="24">
        <v>0</v>
      </c>
      <c r="U964" s="24">
        <v>0</v>
      </c>
      <c r="V964" s="24">
        <v>1</v>
      </c>
      <c r="W964" s="24">
        <v>3</v>
      </c>
      <c r="X964" s="24">
        <v>2</v>
      </c>
      <c r="Y964" s="24">
        <v>0</v>
      </c>
      <c r="Z964" s="24">
        <v>0</v>
      </c>
      <c r="AA964" s="24">
        <v>1</v>
      </c>
      <c r="AB964" s="24">
        <v>0</v>
      </c>
      <c r="AC964" s="24">
        <v>0</v>
      </c>
      <c r="AD964" s="24">
        <v>0</v>
      </c>
      <c r="AE964" s="24">
        <v>1</v>
      </c>
      <c r="AF964" s="24">
        <v>0</v>
      </c>
      <c r="AG964" s="24">
        <v>0</v>
      </c>
      <c r="AH964" s="24">
        <v>0</v>
      </c>
      <c r="AI964" s="24">
        <v>0</v>
      </c>
      <c r="AJ964" s="24">
        <v>1</v>
      </c>
      <c r="AK964" s="24">
        <v>1</v>
      </c>
      <c r="AL964" s="24">
        <v>0</v>
      </c>
      <c r="AM964" s="24">
        <v>0</v>
      </c>
      <c r="AN964" s="24">
        <v>0</v>
      </c>
      <c r="AO964" s="24">
        <v>0</v>
      </c>
      <c r="AP964" s="24">
        <v>0</v>
      </c>
      <c r="AQ964" s="24">
        <v>0</v>
      </c>
      <c r="AR964" s="24">
        <v>0</v>
      </c>
      <c r="AS964" s="24">
        <v>1</v>
      </c>
      <c r="AT964" s="24">
        <v>0</v>
      </c>
      <c r="AU964" s="24">
        <v>1</v>
      </c>
      <c r="AV964" s="24">
        <v>0</v>
      </c>
      <c r="AW964" s="24">
        <v>0</v>
      </c>
      <c r="AX964" s="24">
        <v>0</v>
      </c>
      <c r="AY964" s="24">
        <v>0</v>
      </c>
      <c r="AZ964" s="24">
        <v>1</v>
      </c>
      <c r="BA964" s="24">
        <v>0</v>
      </c>
      <c r="BB964" s="24">
        <v>0</v>
      </c>
    </row>
    <row r="965" spans="2:54" ht="13.8" x14ac:dyDescent="0.3">
      <c r="B965" s="24">
        <v>945</v>
      </c>
      <c r="C965" s="24">
        <v>15</v>
      </c>
      <c r="D965" s="24">
        <v>0</v>
      </c>
      <c r="E965" s="24">
        <v>0</v>
      </c>
      <c r="F965" s="24">
        <v>1</v>
      </c>
      <c r="G965" s="24">
        <v>0</v>
      </c>
      <c r="H965" s="24">
        <v>0</v>
      </c>
      <c r="I965" s="24">
        <v>0</v>
      </c>
      <c r="J965" s="24">
        <v>1845</v>
      </c>
      <c r="K965" s="24">
        <v>4</v>
      </c>
      <c r="L965" s="24">
        <v>0</v>
      </c>
      <c r="M965" s="24">
        <v>0</v>
      </c>
      <c r="N965" s="24">
        <v>0</v>
      </c>
      <c r="O965" s="24">
        <v>0</v>
      </c>
      <c r="P965" s="24">
        <v>1</v>
      </c>
      <c r="Q965" s="24">
        <v>0</v>
      </c>
      <c r="R965" s="24">
        <v>0</v>
      </c>
      <c r="S965" s="24">
        <v>46</v>
      </c>
      <c r="T965" s="24">
        <v>0</v>
      </c>
      <c r="U965" s="24">
        <v>1</v>
      </c>
      <c r="V965" s="24">
        <v>0</v>
      </c>
      <c r="W965" s="24">
        <v>1</v>
      </c>
      <c r="X965" s="24">
        <v>1</v>
      </c>
      <c r="Y965" s="24">
        <v>0</v>
      </c>
      <c r="Z965" s="24">
        <v>0</v>
      </c>
      <c r="AA965" s="24">
        <v>1</v>
      </c>
      <c r="AB965" s="24">
        <v>1</v>
      </c>
      <c r="AC965" s="24">
        <v>0</v>
      </c>
      <c r="AD965" s="24">
        <v>0</v>
      </c>
      <c r="AE965" s="24">
        <v>0</v>
      </c>
      <c r="AF965" s="24">
        <v>0</v>
      </c>
      <c r="AG965" s="24">
        <v>0</v>
      </c>
      <c r="AH965" s="24">
        <v>1</v>
      </c>
      <c r="AI965" s="24">
        <v>0</v>
      </c>
      <c r="AJ965" s="24">
        <v>0</v>
      </c>
      <c r="AK965" s="24">
        <v>1</v>
      </c>
      <c r="AL965" s="24">
        <v>0</v>
      </c>
      <c r="AM965" s="24">
        <v>0</v>
      </c>
      <c r="AN965" s="24">
        <v>0</v>
      </c>
      <c r="AO965" s="24">
        <v>0</v>
      </c>
      <c r="AP965" s="24">
        <v>0</v>
      </c>
      <c r="AQ965" s="24">
        <v>1</v>
      </c>
      <c r="AR965" s="24">
        <v>0</v>
      </c>
      <c r="AS965" s="24">
        <v>0</v>
      </c>
      <c r="AT965" s="24">
        <v>0</v>
      </c>
      <c r="AU965" s="24">
        <v>1</v>
      </c>
      <c r="AV965" s="24">
        <v>0</v>
      </c>
      <c r="AW965" s="24">
        <v>0</v>
      </c>
      <c r="AX965" s="24">
        <v>0</v>
      </c>
      <c r="AY965" s="24">
        <v>0</v>
      </c>
      <c r="AZ965" s="24">
        <v>0</v>
      </c>
      <c r="BA965" s="24">
        <v>1</v>
      </c>
      <c r="BB965" s="24">
        <v>0</v>
      </c>
    </row>
    <row r="966" spans="2:54" ht="13.8" x14ac:dyDescent="0.3">
      <c r="B966" s="24">
        <v>946</v>
      </c>
      <c r="C966" s="24">
        <v>48</v>
      </c>
      <c r="D966" s="24">
        <v>1</v>
      </c>
      <c r="E966" s="24">
        <v>0</v>
      </c>
      <c r="F966" s="24">
        <v>0</v>
      </c>
      <c r="G966" s="24">
        <v>0</v>
      </c>
      <c r="H966" s="24">
        <v>0</v>
      </c>
      <c r="I966" s="24">
        <v>0</v>
      </c>
      <c r="J966" s="24">
        <v>8358</v>
      </c>
      <c r="K966" s="24">
        <v>1</v>
      </c>
      <c r="L966" s="24">
        <v>0</v>
      </c>
      <c r="M966" s="24">
        <v>0</v>
      </c>
      <c r="N966" s="24">
        <v>0</v>
      </c>
      <c r="O966" s="24">
        <v>0</v>
      </c>
      <c r="P966" s="24">
        <v>0</v>
      </c>
      <c r="Q966" s="24">
        <v>0</v>
      </c>
      <c r="R966" s="24">
        <v>0</v>
      </c>
      <c r="S966" s="24">
        <v>30</v>
      </c>
      <c r="T966" s="24">
        <v>0</v>
      </c>
      <c r="U966" s="24">
        <v>0</v>
      </c>
      <c r="V966" s="24">
        <v>1</v>
      </c>
      <c r="W966" s="24">
        <v>2</v>
      </c>
      <c r="X966" s="24">
        <v>1</v>
      </c>
      <c r="Y966" s="24">
        <v>0</v>
      </c>
      <c r="Z966" s="24">
        <v>0</v>
      </c>
      <c r="AA966" s="24">
        <v>1</v>
      </c>
      <c r="AB966" s="24">
        <v>0</v>
      </c>
      <c r="AC966" s="24">
        <v>1</v>
      </c>
      <c r="AD966" s="24">
        <v>0</v>
      </c>
      <c r="AE966" s="24">
        <v>0</v>
      </c>
      <c r="AF966" s="24">
        <v>1</v>
      </c>
      <c r="AG966" s="24">
        <v>0</v>
      </c>
      <c r="AH966" s="24">
        <v>0</v>
      </c>
      <c r="AI966" s="24">
        <v>0</v>
      </c>
      <c r="AJ966" s="24">
        <v>0</v>
      </c>
      <c r="AK966" s="24">
        <v>0</v>
      </c>
      <c r="AL966" s="24">
        <v>0</v>
      </c>
      <c r="AM966" s="24">
        <v>1</v>
      </c>
      <c r="AN966" s="24">
        <v>0</v>
      </c>
      <c r="AO966" s="24">
        <v>0</v>
      </c>
      <c r="AP966" s="24">
        <v>0</v>
      </c>
      <c r="AQ966" s="24">
        <v>1</v>
      </c>
      <c r="AR966" s="24">
        <v>0</v>
      </c>
      <c r="AS966" s="24">
        <v>0</v>
      </c>
      <c r="AT966" s="24">
        <v>0</v>
      </c>
      <c r="AU966" s="24">
        <v>1</v>
      </c>
      <c r="AV966" s="24">
        <v>0</v>
      </c>
      <c r="AW966" s="24">
        <v>0</v>
      </c>
      <c r="AX966" s="24">
        <v>0</v>
      </c>
      <c r="AY966" s="24">
        <v>0</v>
      </c>
      <c r="AZ966" s="24">
        <v>0</v>
      </c>
      <c r="BA966" s="24">
        <v>1</v>
      </c>
      <c r="BB966" s="24">
        <v>0</v>
      </c>
    </row>
    <row r="967" spans="2:54" ht="13.8" x14ac:dyDescent="0.3">
      <c r="B967" s="24">
        <v>947</v>
      </c>
      <c r="C967" s="24">
        <v>24</v>
      </c>
      <c r="D967" s="24">
        <v>0</v>
      </c>
      <c r="E967" s="24">
        <v>0</v>
      </c>
      <c r="F967" s="24">
        <v>1</v>
      </c>
      <c r="G967" s="24">
        <v>0</v>
      </c>
      <c r="H967" s="24">
        <v>0</v>
      </c>
      <c r="I967" s="24">
        <v>0</v>
      </c>
      <c r="J967" s="24">
        <v>3349</v>
      </c>
      <c r="K967" s="24">
        <v>4</v>
      </c>
      <c r="L967" s="24">
        <v>0</v>
      </c>
      <c r="M967" s="24">
        <v>1</v>
      </c>
      <c r="N967" s="24">
        <v>0</v>
      </c>
      <c r="O967" s="24">
        <v>0</v>
      </c>
      <c r="P967" s="24">
        <v>0</v>
      </c>
      <c r="Q967" s="24">
        <v>0</v>
      </c>
      <c r="R967" s="24">
        <v>1</v>
      </c>
      <c r="S967" s="24">
        <v>30</v>
      </c>
      <c r="T967" s="24">
        <v>0</v>
      </c>
      <c r="U967" s="24">
        <v>0</v>
      </c>
      <c r="V967" s="24">
        <v>0</v>
      </c>
      <c r="W967" s="24">
        <v>1</v>
      </c>
      <c r="X967" s="24">
        <v>2</v>
      </c>
      <c r="Y967" s="24">
        <v>1</v>
      </c>
      <c r="Z967" s="24">
        <v>0</v>
      </c>
      <c r="AA967" s="24">
        <v>0</v>
      </c>
      <c r="AB967" s="24">
        <v>1</v>
      </c>
      <c r="AC967" s="24">
        <v>0</v>
      </c>
      <c r="AD967" s="24">
        <v>0</v>
      </c>
      <c r="AE967" s="24">
        <v>0</v>
      </c>
      <c r="AF967" s="24">
        <v>0</v>
      </c>
      <c r="AG967" s="24">
        <v>1</v>
      </c>
      <c r="AH967" s="24">
        <v>0</v>
      </c>
      <c r="AI967" s="24">
        <v>0</v>
      </c>
      <c r="AJ967" s="24">
        <v>0</v>
      </c>
      <c r="AK967" s="24">
        <v>0</v>
      </c>
      <c r="AL967" s="24">
        <v>0</v>
      </c>
      <c r="AM967" s="24">
        <v>1</v>
      </c>
      <c r="AN967" s="24">
        <v>0</v>
      </c>
      <c r="AO967" s="24">
        <v>0</v>
      </c>
      <c r="AP967" s="24">
        <v>0</v>
      </c>
      <c r="AQ967" s="24">
        <v>1</v>
      </c>
      <c r="AR967" s="24">
        <v>0</v>
      </c>
      <c r="AS967" s="24">
        <v>0</v>
      </c>
      <c r="AT967" s="24">
        <v>0</v>
      </c>
      <c r="AU967" s="24">
        <v>0</v>
      </c>
      <c r="AV967" s="24">
        <v>0</v>
      </c>
      <c r="AW967" s="24">
        <v>0</v>
      </c>
      <c r="AX967" s="24">
        <v>1</v>
      </c>
      <c r="AY967" s="24">
        <v>0</v>
      </c>
      <c r="AZ967" s="24">
        <v>0</v>
      </c>
      <c r="BA967" s="24">
        <v>1</v>
      </c>
      <c r="BB967" s="24">
        <v>0</v>
      </c>
    </row>
    <row r="968" spans="2:54" ht="13.8" x14ac:dyDescent="0.3">
      <c r="B968" s="24">
        <v>948</v>
      </c>
      <c r="C968" s="24">
        <v>12</v>
      </c>
      <c r="D968" s="24">
        <v>1</v>
      </c>
      <c r="E968" s="24">
        <v>0</v>
      </c>
      <c r="F968" s="24">
        <v>0</v>
      </c>
      <c r="G968" s="24">
        <v>0</v>
      </c>
      <c r="H968" s="24">
        <v>0</v>
      </c>
      <c r="I968" s="24">
        <v>0</v>
      </c>
      <c r="J968" s="24">
        <v>2859</v>
      </c>
      <c r="K968" s="24">
        <v>4</v>
      </c>
      <c r="L968" s="24">
        <v>0</v>
      </c>
      <c r="M968" s="24">
        <v>1</v>
      </c>
      <c r="N968" s="24">
        <v>0</v>
      </c>
      <c r="O968" s="24">
        <v>0</v>
      </c>
      <c r="P968" s="24">
        <v>0</v>
      </c>
      <c r="Q968" s="24">
        <v>0</v>
      </c>
      <c r="R968" s="24">
        <v>1</v>
      </c>
      <c r="S968" s="24">
        <v>38</v>
      </c>
      <c r="T968" s="24">
        <v>0</v>
      </c>
      <c r="U968" s="24">
        <v>0</v>
      </c>
      <c r="V968" s="24">
        <v>1</v>
      </c>
      <c r="W968" s="24">
        <v>1</v>
      </c>
      <c r="X968" s="24">
        <v>1</v>
      </c>
      <c r="Y968" s="24">
        <v>1</v>
      </c>
      <c r="Z968" s="24">
        <v>0</v>
      </c>
      <c r="AA968" s="24">
        <v>1</v>
      </c>
      <c r="AB968" s="24">
        <v>0</v>
      </c>
      <c r="AC968" s="24">
        <v>0</v>
      </c>
      <c r="AD968" s="24">
        <v>0</v>
      </c>
      <c r="AE968" s="24">
        <v>1</v>
      </c>
      <c r="AF968" s="24">
        <v>0</v>
      </c>
      <c r="AG968" s="24">
        <v>0</v>
      </c>
      <c r="AH968" s="24">
        <v>1</v>
      </c>
      <c r="AI968" s="24">
        <v>0</v>
      </c>
      <c r="AJ968" s="24">
        <v>0</v>
      </c>
      <c r="AK968" s="24">
        <v>0</v>
      </c>
      <c r="AL968" s="24">
        <v>0</v>
      </c>
      <c r="AM968" s="24">
        <v>0</v>
      </c>
      <c r="AN968" s="24">
        <v>0</v>
      </c>
      <c r="AO968" s="24">
        <v>1</v>
      </c>
      <c r="AP968" s="24">
        <v>1</v>
      </c>
      <c r="AQ968" s="24">
        <v>0</v>
      </c>
      <c r="AR968" s="24">
        <v>0</v>
      </c>
      <c r="AS968" s="24">
        <v>0</v>
      </c>
      <c r="AT968" s="24">
        <v>0</v>
      </c>
      <c r="AU968" s="24">
        <v>0</v>
      </c>
      <c r="AV968" s="24">
        <v>0</v>
      </c>
      <c r="AW968" s="24">
        <v>0</v>
      </c>
      <c r="AX968" s="24">
        <v>1</v>
      </c>
      <c r="AY968" s="24">
        <v>0</v>
      </c>
      <c r="AZ968" s="24">
        <v>0</v>
      </c>
      <c r="BA968" s="24">
        <v>0</v>
      </c>
      <c r="BB968" s="24">
        <v>1</v>
      </c>
    </row>
    <row r="969" spans="2:54" ht="13.8" x14ac:dyDescent="0.3">
      <c r="B969" s="24">
        <v>949</v>
      </c>
      <c r="C969" s="24">
        <v>18</v>
      </c>
      <c r="D969" s="24">
        <v>0</v>
      </c>
      <c r="E969" s="24">
        <v>0</v>
      </c>
      <c r="F969" s="24">
        <v>1</v>
      </c>
      <c r="G969" s="24">
        <v>0</v>
      </c>
      <c r="H969" s="24">
        <v>0</v>
      </c>
      <c r="I969" s="24">
        <v>0</v>
      </c>
      <c r="J969" s="24">
        <v>1533</v>
      </c>
      <c r="K969" s="24">
        <v>4</v>
      </c>
      <c r="L969" s="24">
        <v>0</v>
      </c>
      <c r="M969" s="24">
        <v>0</v>
      </c>
      <c r="N969" s="24">
        <v>1</v>
      </c>
      <c r="O969" s="24">
        <v>1</v>
      </c>
      <c r="P969" s="24">
        <v>0</v>
      </c>
      <c r="Q969" s="24">
        <v>0</v>
      </c>
      <c r="R969" s="24">
        <v>0</v>
      </c>
      <c r="S969" s="24">
        <v>43</v>
      </c>
      <c r="T969" s="24">
        <v>0</v>
      </c>
      <c r="U969" s="24">
        <v>0</v>
      </c>
      <c r="V969" s="24">
        <v>1</v>
      </c>
      <c r="W969" s="24">
        <v>1</v>
      </c>
      <c r="X969" s="24">
        <v>2</v>
      </c>
      <c r="Y969" s="24">
        <v>0</v>
      </c>
      <c r="Z969" s="24">
        <v>0</v>
      </c>
      <c r="AA969" s="24">
        <v>0</v>
      </c>
      <c r="AB969" s="24">
        <v>0</v>
      </c>
      <c r="AC969" s="24">
        <v>0</v>
      </c>
      <c r="AD969" s="24">
        <v>0</v>
      </c>
      <c r="AE969" s="24">
        <v>1</v>
      </c>
      <c r="AF969" s="24">
        <v>0</v>
      </c>
      <c r="AG969" s="24">
        <v>0</v>
      </c>
      <c r="AH969" s="24">
        <v>1</v>
      </c>
      <c r="AI969" s="24">
        <v>0</v>
      </c>
      <c r="AJ969" s="24">
        <v>0</v>
      </c>
      <c r="AK969" s="24">
        <v>1</v>
      </c>
      <c r="AL969" s="24">
        <v>0</v>
      </c>
      <c r="AM969" s="24">
        <v>0</v>
      </c>
      <c r="AN969" s="24">
        <v>0</v>
      </c>
      <c r="AO969" s="24">
        <v>0</v>
      </c>
      <c r="AP969" s="24">
        <v>0</v>
      </c>
      <c r="AQ969" s="24">
        <v>1</v>
      </c>
      <c r="AR969" s="24">
        <v>0</v>
      </c>
      <c r="AS969" s="24">
        <v>0</v>
      </c>
      <c r="AT969" s="24">
        <v>0</v>
      </c>
      <c r="AU969" s="24">
        <v>1</v>
      </c>
      <c r="AV969" s="24">
        <v>0</v>
      </c>
      <c r="AW969" s="24">
        <v>0</v>
      </c>
      <c r="AX969" s="24">
        <v>0</v>
      </c>
      <c r="AY969" s="24">
        <v>0</v>
      </c>
      <c r="AZ969" s="24">
        <v>1</v>
      </c>
      <c r="BA969" s="24">
        <v>0</v>
      </c>
      <c r="BB969" s="24">
        <v>0</v>
      </c>
    </row>
    <row r="970" spans="2:54" ht="13.8" x14ac:dyDescent="0.3">
      <c r="B970" s="24">
        <v>950</v>
      </c>
      <c r="C970" s="24">
        <v>24</v>
      </c>
      <c r="D970" s="24">
        <v>0</v>
      </c>
      <c r="E970" s="24">
        <v>0</v>
      </c>
      <c r="F970" s="24">
        <v>0</v>
      </c>
      <c r="G970" s="24">
        <v>1</v>
      </c>
      <c r="H970" s="24">
        <v>0</v>
      </c>
      <c r="I970" s="24">
        <v>0</v>
      </c>
      <c r="J970" s="24">
        <v>3621</v>
      </c>
      <c r="K970" s="24">
        <v>2</v>
      </c>
      <c r="L970" s="24">
        <v>0</v>
      </c>
      <c r="M970" s="24">
        <v>1</v>
      </c>
      <c r="N970" s="24">
        <v>0</v>
      </c>
      <c r="O970" s="24">
        <v>0</v>
      </c>
      <c r="P970" s="24">
        <v>0</v>
      </c>
      <c r="Q970" s="24">
        <v>0</v>
      </c>
      <c r="R970" s="24">
        <v>0</v>
      </c>
      <c r="S970" s="24">
        <v>31</v>
      </c>
      <c r="T970" s="24">
        <v>0</v>
      </c>
      <c r="U970" s="24">
        <v>0</v>
      </c>
      <c r="V970" s="24">
        <v>1</v>
      </c>
      <c r="W970" s="24">
        <v>2</v>
      </c>
      <c r="X970" s="24">
        <v>1</v>
      </c>
      <c r="Y970" s="24">
        <v>0</v>
      </c>
      <c r="Z970" s="24">
        <v>0</v>
      </c>
      <c r="AA970" s="24">
        <v>0</v>
      </c>
      <c r="AB970" s="24">
        <v>0</v>
      </c>
      <c r="AC970" s="24">
        <v>0</v>
      </c>
      <c r="AD970" s="24">
        <v>0</v>
      </c>
      <c r="AE970" s="24">
        <v>1</v>
      </c>
      <c r="AF970" s="24">
        <v>0</v>
      </c>
      <c r="AG970" s="24">
        <v>0</v>
      </c>
      <c r="AH970" s="24">
        <v>1</v>
      </c>
      <c r="AI970" s="24">
        <v>0</v>
      </c>
      <c r="AJ970" s="24">
        <v>0</v>
      </c>
      <c r="AK970" s="24">
        <v>0</v>
      </c>
      <c r="AL970" s="24">
        <v>1</v>
      </c>
      <c r="AM970" s="24">
        <v>0</v>
      </c>
      <c r="AN970" s="24">
        <v>0</v>
      </c>
      <c r="AO970" s="24">
        <v>0</v>
      </c>
      <c r="AP970" s="24">
        <v>0</v>
      </c>
      <c r="AQ970" s="24">
        <v>0</v>
      </c>
      <c r="AR970" s="24">
        <v>0</v>
      </c>
      <c r="AS970" s="24">
        <v>0</v>
      </c>
      <c r="AT970" s="24">
        <v>1</v>
      </c>
      <c r="AU970" s="24">
        <v>0</v>
      </c>
      <c r="AV970" s="24">
        <v>0</v>
      </c>
      <c r="AW970" s="24">
        <v>0</v>
      </c>
      <c r="AX970" s="24">
        <v>1</v>
      </c>
      <c r="AY970" s="24">
        <v>0</v>
      </c>
      <c r="AZ970" s="24">
        <v>0</v>
      </c>
      <c r="BA970" s="24">
        <v>1</v>
      </c>
      <c r="BB970" s="24">
        <v>0</v>
      </c>
    </row>
    <row r="971" spans="2:54" ht="13.8" x14ac:dyDescent="0.3">
      <c r="B971" s="24">
        <v>951</v>
      </c>
      <c r="C971" s="24">
        <v>18</v>
      </c>
      <c r="D971" s="24">
        <v>0</v>
      </c>
      <c r="E971" s="24">
        <v>0</v>
      </c>
      <c r="F971" s="24">
        <v>0</v>
      </c>
      <c r="G971" s="24">
        <v>0</v>
      </c>
      <c r="H971" s="24">
        <v>0</v>
      </c>
      <c r="I971" s="24">
        <v>1</v>
      </c>
      <c r="J971" s="24">
        <v>3590</v>
      </c>
      <c r="K971" s="24">
        <v>3</v>
      </c>
      <c r="L971" s="24">
        <v>0</v>
      </c>
      <c r="M971" s="24">
        <v>0</v>
      </c>
      <c r="N971" s="24">
        <v>1</v>
      </c>
      <c r="O971" s="24">
        <v>0</v>
      </c>
      <c r="P971" s="24">
        <v>0</v>
      </c>
      <c r="Q971" s="24">
        <v>0</v>
      </c>
      <c r="R971" s="24">
        <v>0</v>
      </c>
      <c r="S971" s="24">
        <v>40</v>
      </c>
      <c r="T971" s="24">
        <v>0</v>
      </c>
      <c r="U971" s="24">
        <v>0</v>
      </c>
      <c r="V971" s="24">
        <v>1</v>
      </c>
      <c r="W971" s="24">
        <v>3</v>
      </c>
      <c r="X971" s="24">
        <v>2</v>
      </c>
      <c r="Y971" s="24">
        <v>1</v>
      </c>
      <c r="Z971" s="24">
        <v>0</v>
      </c>
      <c r="AA971" s="24">
        <v>1</v>
      </c>
      <c r="AB971" s="24">
        <v>0</v>
      </c>
      <c r="AC971" s="24">
        <v>1</v>
      </c>
      <c r="AD971" s="24">
        <v>0</v>
      </c>
      <c r="AE971" s="24">
        <v>0</v>
      </c>
      <c r="AF971" s="24">
        <v>0</v>
      </c>
      <c r="AG971" s="24">
        <v>0</v>
      </c>
      <c r="AH971" s="24">
        <v>0</v>
      </c>
      <c r="AI971" s="24">
        <v>0</v>
      </c>
      <c r="AJ971" s="24">
        <v>1</v>
      </c>
      <c r="AK971" s="24">
        <v>1</v>
      </c>
      <c r="AL971" s="24">
        <v>0</v>
      </c>
      <c r="AM971" s="24">
        <v>0</v>
      </c>
      <c r="AN971" s="24">
        <v>0</v>
      </c>
      <c r="AO971" s="24">
        <v>0</v>
      </c>
      <c r="AP971" s="24">
        <v>1</v>
      </c>
      <c r="AQ971" s="24">
        <v>0</v>
      </c>
      <c r="AR971" s="24">
        <v>0</v>
      </c>
      <c r="AS971" s="24">
        <v>0</v>
      </c>
      <c r="AT971" s="24">
        <v>0</v>
      </c>
      <c r="AU971" s="24">
        <v>0</v>
      </c>
      <c r="AV971" s="24">
        <v>0</v>
      </c>
      <c r="AW971" s="24">
        <v>1</v>
      </c>
      <c r="AX971" s="24">
        <v>0</v>
      </c>
      <c r="AY971" s="24">
        <v>1</v>
      </c>
      <c r="AZ971" s="24">
        <v>0</v>
      </c>
      <c r="BA971" s="24">
        <v>0</v>
      </c>
      <c r="BB971" s="24">
        <v>0</v>
      </c>
    </row>
    <row r="972" spans="2:54" ht="13.8" x14ac:dyDescent="0.3">
      <c r="B972" s="24">
        <v>952</v>
      </c>
      <c r="C972" s="24">
        <v>36</v>
      </c>
      <c r="D972" s="24">
        <v>0</v>
      </c>
      <c r="E972" s="24">
        <v>0</v>
      </c>
      <c r="F972" s="24">
        <v>0</v>
      </c>
      <c r="G972" s="24">
        <v>0</v>
      </c>
      <c r="H972" s="24">
        <v>0</v>
      </c>
      <c r="I972" s="24">
        <v>1</v>
      </c>
      <c r="J972" s="24">
        <v>2145</v>
      </c>
      <c r="K972" s="24">
        <v>2</v>
      </c>
      <c r="L972" s="24">
        <v>0</v>
      </c>
      <c r="M972" s="24">
        <v>1</v>
      </c>
      <c r="N972" s="24">
        <v>0</v>
      </c>
      <c r="O972" s="24">
        <v>0</v>
      </c>
      <c r="P972" s="24">
        <v>0</v>
      </c>
      <c r="Q972" s="24">
        <v>0</v>
      </c>
      <c r="R972" s="24">
        <v>0</v>
      </c>
      <c r="S972" s="24">
        <v>24</v>
      </c>
      <c r="T972" s="24">
        <v>0</v>
      </c>
      <c r="U972" s="24">
        <v>0</v>
      </c>
      <c r="V972" s="24">
        <v>1</v>
      </c>
      <c r="W972" s="24">
        <v>2</v>
      </c>
      <c r="X972" s="24">
        <v>1</v>
      </c>
      <c r="Y972" s="24">
        <v>1</v>
      </c>
      <c r="Z972" s="24">
        <v>0</v>
      </c>
      <c r="AA972" s="24">
        <v>0</v>
      </c>
      <c r="AB972" s="24">
        <v>1</v>
      </c>
      <c r="AC972" s="24">
        <v>0</v>
      </c>
      <c r="AD972" s="24">
        <v>0</v>
      </c>
      <c r="AE972" s="24">
        <v>0</v>
      </c>
      <c r="AF972" s="24">
        <v>0</v>
      </c>
      <c r="AG972" s="24">
        <v>0</v>
      </c>
      <c r="AH972" s="24">
        <v>0</v>
      </c>
      <c r="AI972" s="24">
        <v>1</v>
      </c>
      <c r="AJ972" s="24">
        <v>0</v>
      </c>
      <c r="AK972" s="24">
        <v>1</v>
      </c>
      <c r="AL972" s="24">
        <v>0</v>
      </c>
      <c r="AM972" s="24">
        <v>0</v>
      </c>
      <c r="AN972" s="24">
        <v>0</v>
      </c>
      <c r="AO972" s="24">
        <v>0</v>
      </c>
      <c r="AP972" s="24">
        <v>0</v>
      </c>
      <c r="AQ972" s="24">
        <v>0</v>
      </c>
      <c r="AR972" s="24">
        <v>0</v>
      </c>
      <c r="AS972" s="24">
        <v>1</v>
      </c>
      <c r="AT972" s="24">
        <v>0</v>
      </c>
      <c r="AU972" s="24">
        <v>1</v>
      </c>
      <c r="AV972" s="24">
        <v>0</v>
      </c>
      <c r="AW972" s="24">
        <v>0</v>
      </c>
      <c r="AX972" s="24">
        <v>0</v>
      </c>
      <c r="AY972" s="24">
        <v>0</v>
      </c>
      <c r="AZ972" s="24">
        <v>0</v>
      </c>
      <c r="BA972" s="24">
        <v>1</v>
      </c>
      <c r="BB972" s="24">
        <v>0</v>
      </c>
    </row>
    <row r="973" spans="2:54" ht="13.8" x14ac:dyDescent="0.3">
      <c r="B973" s="24">
        <v>953</v>
      </c>
      <c r="C973" s="24">
        <v>24</v>
      </c>
      <c r="D973" s="24">
        <v>0</v>
      </c>
      <c r="E973" s="24">
        <v>1</v>
      </c>
      <c r="F973" s="24">
        <v>0</v>
      </c>
      <c r="G973" s="24">
        <v>0</v>
      </c>
      <c r="H973" s="24">
        <v>0</v>
      </c>
      <c r="I973" s="24">
        <v>0</v>
      </c>
      <c r="J973" s="24">
        <v>4113</v>
      </c>
      <c r="K973" s="24">
        <v>3</v>
      </c>
      <c r="L973" s="24">
        <v>0</v>
      </c>
      <c r="M973" s="24">
        <v>0</v>
      </c>
      <c r="N973" s="24">
        <v>0</v>
      </c>
      <c r="O973" s="24">
        <v>0</v>
      </c>
      <c r="P973" s="24">
        <v>0</v>
      </c>
      <c r="Q973" s="24">
        <v>0</v>
      </c>
      <c r="R973" s="24">
        <v>0</v>
      </c>
      <c r="S973" s="24">
        <v>28</v>
      </c>
      <c r="T973" s="24">
        <v>0</v>
      </c>
      <c r="U973" s="24">
        <v>1</v>
      </c>
      <c r="V973" s="24">
        <v>0</v>
      </c>
      <c r="W973" s="24">
        <v>1</v>
      </c>
      <c r="X973" s="24">
        <v>1</v>
      </c>
      <c r="Y973" s="24">
        <v>0</v>
      </c>
      <c r="Z973" s="24">
        <v>0</v>
      </c>
      <c r="AA973" s="24">
        <v>0</v>
      </c>
      <c r="AB973" s="24">
        <v>0</v>
      </c>
      <c r="AC973" s="24">
        <v>1</v>
      </c>
      <c r="AD973" s="24">
        <v>0</v>
      </c>
      <c r="AE973" s="24">
        <v>0</v>
      </c>
      <c r="AF973" s="24">
        <v>0</v>
      </c>
      <c r="AG973" s="24">
        <v>0</v>
      </c>
      <c r="AH973" s="24">
        <v>1</v>
      </c>
      <c r="AI973" s="24">
        <v>0</v>
      </c>
      <c r="AJ973" s="24">
        <v>0</v>
      </c>
      <c r="AK973" s="24">
        <v>0</v>
      </c>
      <c r="AL973" s="24">
        <v>0</v>
      </c>
      <c r="AM973" s="24">
        <v>1</v>
      </c>
      <c r="AN973" s="24">
        <v>0</v>
      </c>
      <c r="AO973" s="24">
        <v>0</v>
      </c>
      <c r="AP973" s="24">
        <v>0</v>
      </c>
      <c r="AQ973" s="24">
        <v>1</v>
      </c>
      <c r="AR973" s="24">
        <v>0</v>
      </c>
      <c r="AS973" s="24">
        <v>0</v>
      </c>
      <c r="AT973" s="24">
        <v>0</v>
      </c>
      <c r="AU973" s="24">
        <v>0</v>
      </c>
      <c r="AV973" s="24">
        <v>0</v>
      </c>
      <c r="AW973" s="24">
        <v>0</v>
      </c>
      <c r="AX973" s="24">
        <v>1</v>
      </c>
      <c r="AY973" s="24">
        <v>0</v>
      </c>
      <c r="AZ973" s="24">
        <v>0</v>
      </c>
      <c r="BA973" s="24">
        <v>1</v>
      </c>
      <c r="BB973" s="24">
        <v>0</v>
      </c>
    </row>
    <row r="974" spans="2:54" ht="13.8" x14ac:dyDescent="0.3">
      <c r="B974" s="24">
        <v>954</v>
      </c>
      <c r="C974" s="24">
        <v>36</v>
      </c>
      <c r="D974" s="24">
        <v>0</v>
      </c>
      <c r="E974" s="24">
        <v>0</v>
      </c>
      <c r="F974" s="24">
        <v>1</v>
      </c>
      <c r="G974" s="24">
        <v>0</v>
      </c>
      <c r="H974" s="24">
        <v>0</v>
      </c>
      <c r="I974" s="24">
        <v>0</v>
      </c>
      <c r="J974" s="24">
        <v>10974</v>
      </c>
      <c r="K974" s="24">
        <v>4</v>
      </c>
      <c r="L974" s="24">
        <v>0</v>
      </c>
      <c r="M974" s="24">
        <v>0</v>
      </c>
      <c r="N974" s="24">
        <v>0</v>
      </c>
      <c r="O974" s="24">
        <v>0</v>
      </c>
      <c r="P974" s="24">
        <v>0</v>
      </c>
      <c r="Q974" s="24">
        <v>0</v>
      </c>
      <c r="R974" s="24">
        <v>0</v>
      </c>
      <c r="S974" s="24">
        <v>26</v>
      </c>
      <c r="T974" s="24">
        <v>0</v>
      </c>
      <c r="U974" s="24">
        <v>0</v>
      </c>
      <c r="V974" s="24">
        <v>1</v>
      </c>
      <c r="W974" s="24">
        <v>2</v>
      </c>
      <c r="X974" s="24">
        <v>1</v>
      </c>
      <c r="Y974" s="24">
        <v>1</v>
      </c>
      <c r="Z974" s="24">
        <v>0</v>
      </c>
      <c r="AA974" s="24">
        <v>0</v>
      </c>
      <c r="AB974" s="24">
        <v>0</v>
      </c>
      <c r="AC974" s="24">
        <v>0</v>
      </c>
      <c r="AD974" s="24">
        <v>0</v>
      </c>
      <c r="AE974" s="24">
        <v>1</v>
      </c>
      <c r="AF974" s="24">
        <v>0</v>
      </c>
      <c r="AG974" s="24">
        <v>0</v>
      </c>
      <c r="AH974" s="24">
        <v>1</v>
      </c>
      <c r="AI974" s="24">
        <v>0</v>
      </c>
      <c r="AJ974" s="24">
        <v>0</v>
      </c>
      <c r="AK974" s="24">
        <v>1</v>
      </c>
      <c r="AL974" s="24">
        <v>0</v>
      </c>
      <c r="AM974" s="24">
        <v>0</v>
      </c>
      <c r="AN974" s="24">
        <v>0</v>
      </c>
      <c r="AO974" s="24">
        <v>0</v>
      </c>
      <c r="AP974" s="24">
        <v>1</v>
      </c>
      <c r="AQ974" s="24">
        <v>0</v>
      </c>
      <c r="AR974" s="24">
        <v>0</v>
      </c>
      <c r="AS974" s="24">
        <v>0</v>
      </c>
      <c r="AT974" s="24">
        <v>0</v>
      </c>
      <c r="AU974" s="24">
        <v>0</v>
      </c>
      <c r="AV974" s="24">
        <v>1</v>
      </c>
      <c r="AW974" s="24">
        <v>0</v>
      </c>
      <c r="AX974" s="24">
        <v>0</v>
      </c>
      <c r="AY974" s="24">
        <v>0</v>
      </c>
      <c r="AZ974" s="24">
        <v>0</v>
      </c>
      <c r="BA974" s="24">
        <v>0</v>
      </c>
      <c r="BB974" s="24">
        <v>1</v>
      </c>
    </row>
    <row r="975" spans="2:54" ht="13.8" x14ac:dyDescent="0.3">
      <c r="B975" s="24">
        <v>955</v>
      </c>
      <c r="C975" s="24">
        <v>12</v>
      </c>
      <c r="D975" s="24">
        <v>1</v>
      </c>
      <c r="E975" s="24">
        <v>0</v>
      </c>
      <c r="F975" s="24">
        <v>0</v>
      </c>
      <c r="G975" s="24">
        <v>0</v>
      </c>
      <c r="H975" s="24">
        <v>0</v>
      </c>
      <c r="I975" s="24">
        <v>0</v>
      </c>
      <c r="J975" s="24">
        <v>1893</v>
      </c>
      <c r="K975" s="24">
        <v>4</v>
      </c>
      <c r="L975" s="24">
        <v>0</v>
      </c>
      <c r="M975" s="24">
        <v>0</v>
      </c>
      <c r="N975" s="24">
        <v>0</v>
      </c>
      <c r="O975" s="24">
        <v>0</v>
      </c>
      <c r="P975" s="24">
        <v>1</v>
      </c>
      <c r="Q975" s="24">
        <v>0</v>
      </c>
      <c r="R975" s="24">
        <v>0</v>
      </c>
      <c r="S975" s="24">
        <v>29</v>
      </c>
      <c r="T975" s="24">
        <v>0</v>
      </c>
      <c r="U975" s="24">
        <v>0</v>
      </c>
      <c r="V975" s="24">
        <v>1</v>
      </c>
      <c r="W975" s="24">
        <v>1</v>
      </c>
      <c r="X975" s="24">
        <v>1</v>
      </c>
      <c r="Y975" s="24">
        <v>1</v>
      </c>
      <c r="Z975" s="24">
        <v>0</v>
      </c>
      <c r="AA975" s="24">
        <v>1</v>
      </c>
      <c r="AB975" s="24">
        <v>1</v>
      </c>
      <c r="AC975" s="24">
        <v>0</v>
      </c>
      <c r="AD975" s="24">
        <v>0</v>
      </c>
      <c r="AE975" s="24">
        <v>0</v>
      </c>
      <c r="AF975" s="24">
        <v>0</v>
      </c>
      <c r="AG975" s="24">
        <v>0</v>
      </c>
      <c r="AH975" s="24">
        <v>1</v>
      </c>
      <c r="AI975" s="24">
        <v>0</v>
      </c>
      <c r="AJ975" s="24">
        <v>0</v>
      </c>
      <c r="AK975" s="24">
        <v>1</v>
      </c>
      <c r="AL975" s="24">
        <v>0</v>
      </c>
      <c r="AM975" s="24">
        <v>0</v>
      </c>
      <c r="AN975" s="24">
        <v>0</v>
      </c>
      <c r="AO975" s="24">
        <v>0</v>
      </c>
      <c r="AP975" s="24">
        <v>0</v>
      </c>
      <c r="AQ975" s="24">
        <v>0</v>
      </c>
      <c r="AR975" s="24">
        <v>1</v>
      </c>
      <c r="AS975" s="24">
        <v>0</v>
      </c>
      <c r="AT975" s="24">
        <v>0</v>
      </c>
      <c r="AU975" s="24">
        <v>0</v>
      </c>
      <c r="AV975" s="24">
        <v>0</v>
      </c>
      <c r="AW975" s="24">
        <v>0</v>
      </c>
      <c r="AX975" s="24">
        <v>1</v>
      </c>
      <c r="AY975" s="24">
        <v>0</v>
      </c>
      <c r="AZ975" s="24">
        <v>0</v>
      </c>
      <c r="BA975" s="24">
        <v>1</v>
      </c>
      <c r="BB975" s="24">
        <v>0</v>
      </c>
    </row>
    <row r="976" spans="2:54" ht="13.8" x14ac:dyDescent="0.3">
      <c r="B976" s="24">
        <v>956</v>
      </c>
      <c r="C976" s="24">
        <v>24</v>
      </c>
      <c r="D976" s="24">
        <v>0</v>
      </c>
      <c r="E976" s="24">
        <v>0</v>
      </c>
      <c r="F976" s="24">
        <v>0</v>
      </c>
      <c r="G976" s="24">
        <v>1</v>
      </c>
      <c r="H976" s="24">
        <v>0</v>
      </c>
      <c r="I976" s="24">
        <v>0</v>
      </c>
      <c r="J976" s="24">
        <v>1231</v>
      </c>
      <c r="K976" s="24">
        <v>4</v>
      </c>
      <c r="L976" s="24">
        <v>0</v>
      </c>
      <c r="M976" s="24">
        <v>0</v>
      </c>
      <c r="N976" s="24">
        <v>0</v>
      </c>
      <c r="O976" s="24">
        <v>0</v>
      </c>
      <c r="P976" s="24">
        <v>0</v>
      </c>
      <c r="Q976" s="24">
        <v>0</v>
      </c>
      <c r="R976" s="24">
        <v>0</v>
      </c>
      <c r="S976" s="24">
        <v>57</v>
      </c>
      <c r="T976" s="24">
        <v>0</v>
      </c>
      <c r="U976" s="24">
        <v>1</v>
      </c>
      <c r="V976" s="24">
        <v>0</v>
      </c>
      <c r="W976" s="24">
        <v>2</v>
      </c>
      <c r="X976" s="24">
        <v>1</v>
      </c>
      <c r="Y976" s="24">
        <v>1</v>
      </c>
      <c r="Z976" s="24">
        <v>0</v>
      </c>
      <c r="AA976" s="24">
        <v>1</v>
      </c>
      <c r="AB976" s="24">
        <v>1</v>
      </c>
      <c r="AC976" s="24">
        <v>0</v>
      </c>
      <c r="AD976" s="24">
        <v>0</v>
      </c>
      <c r="AE976" s="24">
        <v>0</v>
      </c>
      <c r="AF976" s="24">
        <v>0</v>
      </c>
      <c r="AG976" s="24">
        <v>0</v>
      </c>
      <c r="AH976" s="24">
        <v>0</v>
      </c>
      <c r="AI976" s="24">
        <v>0</v>
      </c>
      <c r="AJ976" s="24">
        <v>1</v>
      </c>
      <c r="AK976" s="24">
        <v>0</v>
      </c>
      <c r="AL976" s="24">
        <v>0</v>
      </c>
      <c r="AM976" s="24">
        <v>0</v>
      </c>
      <c r="AN976" s="24">
        <v>1</v>
      </c>
      <c r="AO976" s="24">
        <v>0</v>
      </c>
      <c r="AP976" s="24">
        <v>0</v>
      </c>
      <c r="AQ976" s="24">
        <v>0</v>
      </c>
      <c r="AR976" s="24">
        <v>0</v>
      </c>
      <c r="AS976" s="24">
        <v>0</v>
      </c>
      <c r="AT976" s="24">
        <v>1</v>
      </c>
      <c r="AU976" s="24">
        <v>0</v>
      </c>
      <c r="AV976" s="24">
        <v>0</v>
      </c>
      <c r="AW976" s="24">
        <v>0</v>
      </c>
      <c r="AX976" s="24">
        <v>1</v>
      </c>
      <c r="AY976" s="24">
        <v>0</v>
      </c>
      <c r="AZ976" s="24">
        <v>0</v>
      </c>
      <c r="BA976" s="24">
        <v>0</v>
      </c>
      <c r="BB976" s="24">
        <v>1</v>
      </c>
    </row>
    <row r="977" spans="2:54" ht="13.8" x14ac:dyDescent="0.3">
      <c r="B977" s="24">
        <v>957</v>
      </c>
      <c r="C977" s="24">
        <v>30</v>
      </c>
      <c r="D977" s="24">
        <v>0</v>
      </c>
      <c r="E977" s="24">
        <v>0</v>
      </c>
      <c r="F977" s="24">
        <v>0</v>
      </c>
      <c r="G977" s="24">
        <v>1</v>
      </c>
      <c r="H977" s="24">
        <v>0</v>
      </c>
      <c r="I977" s="24">
        <v>0</v>
      </c>
      <c r="J977" s="24">
        <v>3656</v>
      </c>
      <c r="K977" s="24">
        <v>4</v>
      </c>
      <c r="L977" s="24">
        <v>0</v>
      </c>
      <c r="M977" s="24">
        <v>1</v>
      </c>
      <c r="N977" s="24">
        <v>0</v>
      </c>
      <c r="O977" s="24">
        <v>0</v>
      </c>
      <c r="P977" s="24">
        <v>0</v>
      </c>
      <c r="Q977" s="24">
        <v>0</v>
      </c>
      <c r="R977" s="24">
        <v>0</v>
      </c>
      <c r="S977" s="24">
        <v>49</v>
      </c>
      <c r="T977" s="24">
        <v>1</v>
      </c>
      <c r="U977" s="24">
        <v>0</v>
      </c>
      <c r="V977" s="24">
        <v>1</v>
      </c>
      <c r="W977" s="24">
        <v>2</v>
      </c>
      <c r="X977" s="24">
        <v>1</v>
      </c>
      <c r="Y977" s="24">
        <v>0</v>
      </c>
      <c r="Z977" s="24">
        <v>0</v>
      </c>
      <c r="AA977" s="24">
        <v>1</v>
      </c>
      <c r="AB977" s="24">
        <v>0</v>
      </c>
      <c r="AC977" s="24">
        <v>0</v>
      </c>
      <c r="AD977" s="24">
        <v>1</v>
      </c>
      <c r="AE977" s="24">
        <v>0</v>
      </c>
      <c r="AF977" s="24">
        <v>0</v>
      </c>
      <c r="AG977" s="24">
        <v>0</v>
      </c>
      <c r="AH977" s="24">
        <v>0</v>
      </c>
      <c r="AI977" s="24">
        <v>0</v>
      </c>
      <c r="AJ977" s="24">
        <v>1</v>
      </c>
      <c r="AK977" s="24">
        <v>0</v>
      </c>
      <c r="AL977" s="24">
        <v>0</v>
      </c>
      <c r="AM977" s="24">
        <v>0</v>
      </c>
      <c r="AN977" s="24">
        <v>0</v>
      </c>
      <c r="AO977" s="24">
        <v>1</v>
      </c>
      <c r="AP977" s="24">
        <v>0</v>
      </c>
      <c r="AQ977" s="24">
        <v>0</v>
      </c>
      <c r="AR977" s="24">
        <v>0</v>
      </c>
      <c r="AS977" s="24">
        <v>0</v>
      </c>
      <c r="AT977" s="24">
        <v>1</v>
      </c>
      <c r="AU977" s="24">
        <v>0</v>
      </c>
      <c r="AV977" s="24">
        <v>0</v>
      </c>
      <c r="AW977" s="24">
        <v>0</v>
      </c>
      <c r="AX977" s="24">
        <v>1</v>
      </c>
      <c r="AY977" s="24">
        <v>0</v>
      </c>
      <c r="AZ977" s="24">
        <v>1</v>
      </c>
      <c r="BA977" s="24">
        <v>0</v>
      </c>
      <c r="BB977" s="24">
        <v>0</v>
      </c>
    </row>
    <row r="978" spans="2:54" ht="13.8" x14ac:dyDescent="0.3">
      <c r="B978" s="24">
        <v>958</v>
      </c>
      <c r="C978" s="24">
        <v>9</v>
      </c>
      <c r="D978" s="24">
        <v>0</v>
      </c>
      <c r="E978" s="24">
        <v>0</v>
      </c>
      <c r="F978" s="24">
        <v>0</v>
      </c>
      <c r="G978" s="24">
        <v>1</v>
      </c>
      <c r="H978" s="24">
        <v>0</v>
      </c>
      <c r="I978" s="24">
        <v>0</v>
      </c>
      <c r="J978" s="24">
        <v>1154</v>
      </c>
      <c r="K978" s="24">
        <v>2</v>
      </c>
      <c r="L978" s="24">
        <v>0</v>
      </c>
      <c r="M978" s="24">
        <v>1</v>
      </c>
      <c r="N978" s="24">
        <v>0</v>
      </c>
      <c r="O978" s="24">
        <v>0</v>
      </c>
      <c r="P978" s="24">
        <v>0</v>
      </c>
      <c r="Q978" s="24">
        <v>1</v>
      </c>
      <c r="R978" s="24">
        <v>0</v>
      </c>
      <c r="S978" s="24">
        <v>37</v>
      </c>
      <c r="T978" s="24">
        <v>0</v>
      </c>
      <c r="U978" s="24">
        <v>0</v>
      </c>
      <c r="V978" s="24">
        <v>1</v>
      </c>
      <c r="W978" s="24">
        <v>3</v>
      </c>
      <c r="X978" s="24">
        <v>1</v>
      </c>
      <c r="Y978" s="24">
        <v>0</v>
      </c>
      <c r="Z978" s="24">
        <v>0</v>
      </c>
      <c r="AA978" s="24">
        <v>1</v>
      </c>
      <c r="AB978" s="24">
        <v>0</v>
      </c>
      <c r="AC978" s="24">
        <v>1</v>
      </c>
      <c r="AD978" s="24">
        <v>0</v>
      </c>
      <c r="AE978" s="24">
        <v>0</v>
      </c>
      <c r="AF978" s="24">
        <v>0</v>
      </c>
      <c r="AG978" s="24">
        <v>0</v>
      </c>
      <c r="AH978" s="24">
        <v>0</v>
      </c>
      <c r="AI978" s="24">
        <v>0</v>
      </c>
      <c r="AJ978" s="24">
        <v>1</v>
      </c>
      <c r="AK978" s="24">
        <v>1</v>
      </c>
      <c r="AL978" s="24">
        <v>0</v>
      </c>
      <c r="AM978" s="24">
        <v>0</v>
      </c>
      <c r="AN978" s="24">
        <v>0</v>
      </c>
      <c r="AO978" s="24">
        <v>0</v>
      </c>
      <c r="AP978" s="24">
        <v>0</v>
      </c>
      <c r="AQ978" s="24">
        <v>0</v>
      </c>
      <c r="AR978" s="24">
        <v>0</v>
      </c>
      <c r="AS978" s="24">
        <v>0</v>
      </c>
      <c r="AT978" s="24">
        <v>1</v>
      </c>
      <c r="AU978" s="24">
        <v>0</v>
      </c>
      <c r="AV978" s="24">
        <v>0</v>
      </c>
      <c r="AW978" s="24">
        <v>0</v>
      </c>
      <c r="AX978" s="24">
        <v>1</v>
      </c>
      <c r="AY978" s="24">
        <v>0</v>
      </c>
      <c r="AZ978" s="24">
        <v>1</v>
      </c>
      <c r="BA978" s="24">
        <v>0</v>
      </c>
      <c r="BB978" s="24">
        <v>0</v>
      </c>
    </row>
    <row r="979" spans="2:54" ht="13.8" x14ac:dyDescent="0.3">
      <c r="B979" s="24">
        <v>959</v>
      </c>
      <c r="C979" s="24">
        <v>28</v>
      </c>
      <c r="D979" s="24">
        <v>1</v>
      </c>
      <c r="E979" s="24">
        <v>0</v>
      </c>
      <c r="F979" s="24">
        <v>0</v>
      </c>
      <c r="G979" s="24">
        <v>0</v>
      </c>
      <c r="H979" s="24">
        <v>0</v>
      </c>
      <c r="I979" s="24">
        <v>0</v>
      </c>
      <c r="J979" s="24">
        <v>4006</v>
      </c>
      <c r="K979" s="24">
        <v>3</v>
      </c>
      <c r="L979" s="24">
        <v>0</v>
      </c>
      <c r="M979" s="24">
        <v>1</v>
      </c>
      <c r="N979" s="24">
        <v>0</v>
      </c>
      <c r="O979" s="24">
        <v>0</v>
      </c>
      <c r="P979" s="24">
        <v>0</v>
      </c>
      <c r="Q979" s="24">
        <v>0</v>
      </c>
      <c r="R979" s="24">
        <v>0</v>
      </c>
      <c r="S979" s="24">
        <v>45</v>
      </c>
      <c r="T979" s="24">
        <v>0</v>
      </c>
      <c r="U979" s="24">
        <v>0</v>
      </c>
      <c r="V979" s="24">
        <v>1</v>
      </c>
      <c r="W979" s="24">
        <v>1</v>
      </c>
      <c r="X979" s="24">
        <v>1</v>
      </c>
      <c r="Y979" s="24">
        <v>0</v>
      </c>
      <c r="Z979" s="24">
        <v>0</v>
      </c>
      <c r="AA979" s="24">
        <v>0</v>
      </c>
      <c r="AB979" s="24">
        <v>1</v>
      </c>
      <c r="AC979" s="24">
        <v>0</v>
      </c>
      <c r="AD979" s="24">
        <v>0</v>
      </c>
      <c r="AE979" s="24">
        <v>0</v>
      </c>
      <c r="AF979" s="24">
        <v>0</v>
      </c>
      <c r="AG979" s="24">
        <v>0</v>
      </c>
      <c r="AH979" s="24">
        <v>1</v>
      </c>
      <c r="AI979" s="24">
        <v>0</v>
      </c>
      <c r="AJ979" s="24">
        <v>0</v>
      </c>
      <c r="AK979" s="24">
        <v>1</v>
      </c>
      <c r="AL979" s="24">
        <v>0</v>
      </c>
      <c r="AM979" s="24">
        <v>0</v>
      </c>
      <c r="AN979" s="24">
        <v>0</v>
      </c>
      <c r="AO979" s="24">
        <v>0</v>
      </c>
      <c r="AP979" s="24">
        <v>0</v>
      </c>
      <c r="AQ979" s="24">
        <v>0</v>
      </c>
      <c r="AR979" s="24">
        <v>1</v>
      </c>
      <c r="AS979" s="24">
        <v>0</v>
      </c>
      <c r="AT979" s="24">
        <v>0</v>
      </c>
      <c r="AU979" s="24">
        <v>0</v>
      </c>
      <c r="AV979" s="24">
        <v>1</v>
      </c>
      <c r="AW979" s="24">
        <v>0</v>
      </c>
      <c r="AX979" s="24">
        <v>0</v>
      </c>
      <c r="AY979" s="24">
        <v>0</v>
      </c>
      <c r="AZ979" s="24">
        <v>1</v>
      </c>
      <c r="BA979" s="24">
        <v>0</v>
      </c>
      <c r="BB979" s="24">
        <v>0</v>
      </c>
    </row>
    <row r="980" spans="2:54" ht="13.8" x14ac:dyDescent="0.3">
      <c r="B980" s="24">
        <v>960</v>
      </c>
      <c r="C980" s="24">
        <v>24</v>
      </c>
      <c r="D980" s="24">
        <v>0</v>
      </c>
      <c r="E980" s="24">
        <v>0</v>
      </c>
      <c r="F980" s="24">
        <v>1</v>
      </c>
      <c r="G980" s="24">
        <v>0</v>
      </c>
      <c r="H980" s="24">
        <v>0</v>
      </c>
      <c r="I980" s="24">
        <v>0</v>
      </c>
      <c r="J980" s="24">
        <v>3069</v>
      </c>
      <c r="K980" s="24">
        <v>4</v>
      </c>
      <c r="L980" s="24">
        <v>0</v>
      </c>
      <c r="M980" s="24">
        <v>1</v>
      </c>
      <c r="N980" s="24">
        <v>0</v>
      </c>
      <c r="O980" s="24">
        <v>0</v>
      </c>
      <c r="P980" s="24">
        <v>0</v>
      </c>
      <c r="Q980" s="24">
        <v>0</v>
      </c>
      <c r="R980" s="24">
        <v>1</v>
      </c>
      <c r="S980" s="24">
        <v>30</v>
      </c>
      <c r="T980" s="24">
        <v>0</v>
      </c>
      <c r="U980" s="24">
        <v>0</v>
      </c>
      <c r="V980" s="24">
        <v>0</v>
      </c>
      <c r="W980" s="24">
        <v>1</v>
      </c>
      <c r="X980" s="24">
        <v>1</v>
      </c>
      <c r="Y980" s="24">
        <v>0</v>
      </c>
      <c r="Z980" s="24">
        <v>0</v>
      </c>
      <c r="AA980" s="24">
        <v>1</v>
      </c>
      <c r="AB980" s="24">
        <v>0</v>
      </c>
      <c r="AC980" s="24">
        <v>1</v>
      </c>
      <c r="AD980" s="24">
        <v>0</v>
      </c>
      <c r="AE980" s="24">
        <v>0</v>
      </c>
      <c r="AF980" s="24">
        <v>0</v>
      </c>
      <c r="AG980" s="24">
        <v>0</v>
      </c>
      <c r="AH980" s="24">
        <v>1</v>
      </c>
      <c r="AI980" s="24">
        <v>0</v>
      </c>
      <c r="AJ980" s="24">
        <v>0</v>
      </c>
      <c r="AK980" s="24">
        <v>0</v>
      </c>
      <c r="AL980" s="24">
        <v>1</v>
      </c>
      <c r="AM980" s="24">
        <v>0</v>
      </c>
      <c r="AN980" s="24">
        <v>0</v>
      </c>
      <c r="AO980" s="24">
        <v>0</v>
      </c>
      <c r="AP980" s="24">
        <v>0</v>
      </c>
      <c r="AQ980" s="24">
        <v>0</v>
      </c>
      <c r="AR980" s="24">
        <v>0</v>
      </c>
      <c r="AS980" s="24">
        <v>0</v>
      </c>
      <c r="AT980" s="24">
        <v>1</v>
      </c>
      <c r="AU980" s="24">
        <v>0</v>
      </c>
      <c r="AV980" s="24">
        <v>0</v>
      </c>
      <c r="AW980" s="24">
        <v>0</v>
      </c>
      <c r="AX980" s="24">
        <v>1</v>
      </c>
      <c r="AY980" s="24">
        <v>0</v>
      </c>
      <c r="AZ980" s="24">
        <v>0</v>
      </c>
      <c r="BA980" s="24">
        <v>1</v>
      </c>
      <c r="BB980" s="24">
        <v>0</v>
      </c>
    </row>
    <row r="981" spans="2:54" ht="13.8" x14ac:dyDescent="0.3">
      <c r="B981" s="24">
        <v>961</v>
      </c>
      <c r="C981" s="24">
        <v>6</v>
      </c>
      <c r="D981" s="24">
        <v>0</v>
      </c>
      <c r="E981" s="24">
        <v>0</v>
      </c>
      <c r="F981" s="24">
        <v>0</v>
      </c>
      <c r="G981" s="24">
        <v>1</v>
      </c>
      <c r="H981" s="24">
        <v>0</v>
      </c>
      <c r="I981" s="24">
        <v>0</v>
      </c>
      <c r="J981" s="24">
        <v>1740</v>
      </c>
      <c r="K981" s="24">
        <v>2</v>
      </c>
      <c r="L981" s="24">
        <v>0</v>
      </c>
      <c r="M981" s="24">
        <v>0</v>
      </c>
      <c r="N981" s="24">
        <v>1</v>
      </c>
      <c r="O981" s="24">
        <v>0</v>
      </c>
      <c r="P981" s="24">
        <v>0</v>
      </c>
      <c r="Q981" s="24">
        <v>1</v>
      </c>
      <c r="R981" s="24">
        <v>0</v>
      </c>
      <c r="S981" s="24">
        <v>30</v>
      </c>
      <c r="T981" s="24">
        <v>0</v>
      </c>
      <c r="U981" s="24">
        <v>1</v>
      </c>
      <c r="V981" s="24">
        <v>0</v>
      </c>
      <c r="W981" s="24">
        <v>2</v>
      </c>
      <c r="X981" s="24">
        <v>1</v>
      </c>
      <c r="Y981" s="24">
        <v>0</v>
      </c>
      <c r="Z981" s="24">
        <v>0</v>
      </c>
      <c r="AA981" s="24">
        <v>1</v>
      </c>
      <c r="AB981" s="24">
        <v>0</v>
      </c>
      <c r="AC981" s="24">
        <v>0</v>
      </c>
      <c r="AD981" s="24">
        <v>0</v>
      </c>
      <c r="AE981" s="24">
        <v>1</v>
      </c>
      <c r="AF981" s="24">
        <v>0</v>
      </c>
      <c r="AG981" s="24">
        <v>0</v>
      </c>
      <c r="AH981" s="24">
        <v>0</v>
      </c>
      <c r="AI981" s="24">
        <v>0</v>
      </c>
      <c r="AJ981" s="24">
        <v>1</v>
      </c>
      <c r="AK981" s="24">
        <v>1</v>
      </c>
      <c r="AL981" s="24">
        <v>0</v>
      </c>
      <c r="AM981" s="24">
        <v>0</v>
      </c>
      <c r="AN981" s="24">
        <v>0</v>
      </c>
      <c r="AO981" s="24">
        <v>0</v>
      </c>
      <c r="AP981" s="24">
        <v>0</v>
      </c>
      <c r="AQ981" s="24">
        <v>0</v>
      </c>
      <c r="AR981" s="24">
        <v>0</v>
      </c>
      <c r="AS981" s="24">
        <v>0</v>
      </c>
      <c r="AT981" s="24">
        <v>1</v>
      </c>
      <c r="AU981" s="24">
        <v>0</v>
      </c>
      <c r="AV981" s="24">
        <v>1</v>
      </c>
      <c r="AW981" s="24">
        <v>0</v>
      </c>
      <c r="AX981" s="24">
        <v>0</v>
      </c>
      <c r="AY981" s="24">
        <v>0</v>
      </c>
      <c r="AZ981" s="24">
        <v>0</v>
      </c>
      <c r="BA981" s="24">
        <v>1</v>
      </c>
      <c r="BB981" s="24">
        <v>0</v>
      </c>
    </row>
    <row r="982" spans="2:54" ht="13.8" x14ac:dyDescent="0.3">
      <c r="B982" s="24">
        <v>962</v>
      </c>
      <c r="C982" s="24">
        <v>21</v>
      </c>
      <c r="D982" s="24">
        <v>1</v>
      </c>
      <c r="E982" s="24">
        <v>0</v>
      </c>
      <c r="F982" s="24">
        <v>0</v>
      </c>
      <c r="G982" s="24">
        <v>0</v>
      </c>
      <c r="H982" s="24">
        <v>0</v>
      </c>
      <c r="I982" s="24">
        <v>0</v>
      </c>
      <c r="J982" s="24">
        <v>2353</v>
      </c>
      <c r="K982" s="24">
        <v>1</v>
      </c>
      <c r="L982" s="24">
        <v>1</v>
      </c>
      <c r="M982" s="24">
        <v>0</v>
      </c>
      <c r="N982" s="24">
        <v>0</v>
      </c>
      <c r="O982" s="24">
        <v>0</v>
      </c>
      <c r="P982" s="24">
        <v>0</v>
      </c>
      <c r="Q982" s="24">
        <v>0</v>
      </c>
      <c r="R982" s="24">
        <v>0</v>
      </c>
      <c r="S982" s="24">
        <v>47</v>
      </c>
      <c r="T982" s="24">
        <v>0</v>
      </c>
      <c r="U982" s="24">
        <v>0</v>
      </c>
      <c r="V982" s="24">
        <v>1</v>
      </c>
      <c r="W982" s="24">
        <v>2</v>
      </c>
      <c r="X982" s="24">
        <v>1</v>
      </c>
      <c r="Y982" s="24">
        <v>0</v>
      </c>
      <c r="Z982" s="24">
        <v>0</v>
      </c>
      <c r="AA982" s="24">
        <v>1</v>
      </c>
      <c r="AB982" s="24">
        <v>0</v>
      </c>
      <c r="AC982" s="24">
        <v>1</v>
      </c>
      <c r="AD982" s="24">
        <v>0</v>
      </c>
      <c r="AE982" s="24">
        <v>0</v>
      </c>
      <c r="AF982" s="24">
        <v>0</v>
      </c>
      <c r="AG982" s="24">
        <v>0</v>
      </c>
      <c r="AH982" s="24">
        <v>0</v>
      </c>
      <c r="AI982" s="24">
        <v>1</v>
      </c>
      <c r="AJ982" s="24">
        <v>0</v>
      </c>
      <c r="AK982" s="24">
        <v>1</v>
      </c>
      <c r="AL982" s="24">
        <v>0</v>
      </c>
      <c r="AM982" s="24">
        <v>0</v>
      </c>
      <c r="AN982" s="24">
        <v>0</v>
      </c>
      <c r="AO982" s="24">
        <v>0</v>
      </c>
      <c r="AP982" s="24">
        <v>0</v>
      </c>
      <c r="AQ982" s="24">
        <v>0</v>
      </c>
      <c r="AR982" s="24">
        <v>1</v>
      </c>
      <c r="AS982" s="24">
        <v>0</v>
      </c>
      <c r="AT982" s="24">
        <v>0</v>
      </c>
      <c r="AU982" s="24">
        <v>0</v>
      </c>
      <c r="AV982" s="24">
        <v>0</v>
      </c>
      <c r="AW982" s="24">
        <v>0</v>
      </c>
      <c r="AX982" s="24">
        <v>1</v>
      </c>
      <c r="AY982" s="24">
        <v>0</v>
      </c>
      <c r="AZ982" s="24">
        <v>0</v>
      </c>
      <c r="BA982" s="24">
        <v>1</v>
      </c>
      <c r="BB982" s="24">
        <v>0</v>
      </c>
    </row>
    <row r="983" spans="2:54" ht="13.8" x14ac:dyDescent="0.3">
      <c r="B983" s="24">
        <v>963</v>
      </c>
      <c r="C983" s="24">
        <v>15</v>
      </c>
      <c r="D983" s="24">
        <v>1</v>
      </c>
      <c r="E983" s="24">
        <v>0</v>
      </c>
      <c r="F983" s="24">
        <v>0</v>
      </c>
      <c r="G983" s="24">
        <v>0</v>
      </c>
      <c r="H983" s="24">
        <v>0</v>
      </c>
      <c r="I983" s="24">
        <v>0</v>
      </c>
      <c r="J983" s="24">
        <v>3556</v>
      </c>
      <c r="K983" s="24">
        <v>3</v>
      </c>
      <c r="L983" s="24">
        <v>0</v>
      </c>
      <c r="M983" s="24">
        <v>1</v>
      </c>
      <c r="N983" s="24">
        <v>0</v>
      </c>
      <c r="O983" s="24">
        <v>0</v>
      </c>
      <c r="P983" s="24">
        <v>0</v>
      </c>
      <c r="Q983" s="24">
        <v>0</v>
      </c>
      <c r="R983" s="24">
        <v>1</v>
      </c>
      <c r="S983" s="24">
        <v>29</v>
      </c>
      <c r="T983" s="24">
        <v>0</v>
      </c>
      <c r="U983" s="24">
        <v>0</v>
      </c>
      <c r="V983" s="24">
        <v>1</v>
      </c>
      <c r="W983" s="24">
        <v>1</v>
      </c>
      <c r="X983" s="24">
        <v>1</v>
      </c>
      <c r="Y983" s="24">
        <v>0</v>
      </c>
      <c r="Z983" s="24">
        <v>0</v>
      </c>
      <c r="AA983" s="24">
        <v>1</v>
      </c>
      <c r="AB983" s="24">
        <v>0</v>
      </c>
      <c r="AC983" s="24">
        <v>0</v>
      </c>
      <c r="AD983" s="24">
        <v>0</v>
      </c>
      <c r="AE983" s="24">
        <v>1</v>
      </c>
      <c r="AF983" s="24">
        <v>0</v>
      </c>
      <c r="AG983" s="24">
        <v>0</v>
      </c>
      <c r="AH983" s="24">
        <v>1</v>
      </c>
      <c r="AI983" s="24">
        <v>0</v>
      </c>
      <c r="AJ983" s="24">
        <v>0</v>
      </c>
      <c r="AK983" s="24">
        <v>0</v>
      </c>
      <c r="AL983" s="24">
        <v>0</v>
      </c>
      <c r="AM983" s="24">
        <v>0</v>
      </c>
      <c r="AN983" s="24">
        <v>0</v>
      </c>
      <c r="AO983" s="24">
        <v>1</v>
      </c>
      <c r="AP983" s="24">
        <v>0</v>
      </c>
      <c r="AQ983" s="24">
        <v>0</v>
      </c>
      <c r="AR983" s="24">
        <v>1</v>
      </c>
      <c r="AS983" s="24">
        <v>0</v>
      </c>
      <c r="AT983" s="24">
        <v>0</v>
      </c>
      <c r="AU983" s="24">
        <v>0</v>
      </c>
      <c r="AV983" s="24">
        <v>1</v>
      </c>
      <c r="AW983" s="24">
        <v>0</v>
      </c>
      <c r="AX983" s="24">
        <v>0</v>
      </c>
      <c r="AY983" s="24">
        <v>0</v>
      </c>
      <c r="AZ983" s="24">
        <v>0</v>
      </c>
      <c r="BA983" s="24">
        <v>1</v>
      </c>
      <c r="BB983" s="24">
        <v>0</v>
      </c>
    </row>
    <row r="984" spans="2:54" ht="13.8" x14ac:dyDescent="0.3">
      <c r="B984" s="24">
        <v>964</v>
      </c>
      <c r="C984" s="24">
        <v>24</v>
      </c>
      <c r="D984" s="24">
        <v>0</v>
      </c>
      <c r="E984" s="24">
        <v>0</v>
      </c>
      <c r="F984" s="24">
        <v>0</v>
      </c>
      <c r="G984" s="24">
        <v>1</v>
      </c>
      <c r="H984" s="24">
        <v>0</v>
      </c>
      <c r="I984" s="24">
        <v>0</v>
      </c>
      <c r="J984" s="24">
        <v>2397</v>
      </c>
      <c r="K984" s="24">
        <v>3</v>
      </c>
      <c r="L984" s="24">
        <v>0</v>
      </c>
      <c r="M984" s="24">
        <v>1</v>
      </c>
      <c r="N984" s="24">
        <v>0</v>
      </c>
      <c r="O984" s="24">
        <v>0</v>
      </c>
      <c r="P984" s="24">
        <v>0</v>
      </c>
      <c r="Q984" s="24">
        <v>0</v>
      </c>
      <c r="R984" s="24">
        <v>0</v>
      </c>
      <c r="S984" s="24">
        <v>35</v>
      </c>
      <c r="T984" s="24">
        <v>1</v>
      </c>
      <c r="U984" s="24">
        <v>0</v>
      </c>
      <c r="V984" s="24">
        <v>1</v>
      </c>
      <c r="W984" s="24">
        <v>2</v>
      </c>
      <c r="X984" s="24">
        <v>1</v>
      </c>
      <c r="Y984" s="24">
        <v>1</v>
      </c>
      <c r="Z984" s="24">
        <v>0</v>
      </c>
      <c r="AA984" s="24">
        <v>0</v>
      </c>
      <c r="AB984" s="24">
        <v>0</v>
      </c>
      <c r="AC984" s="24">
        <v>0</v>
      </c>
      <c r="AD984" s="24">
        <v>0</v>
      </c>
      <c r="AE984" s="24">
        <v>1</v>
      </c>
      <c r="AF984" s="24">
        <v>0</v>
      </c>
      <c r="AG984" s="24">
        <v>0</v>
      </c>
      <c r="AH984" s="24">
        <v>1</v>
      </c>
      <c r="AI984" s="24">
        <v>0</v>
      </c>
      <c r="AJ984" s="24">
        <v>0</v>
      </c>
      <c r="AK984" s="24">
        <v>0</v>
      </c>
      <c r="AL984" s="24">
        <v>0</v>
      </c>
      <c r="AM984" s="24">
        <v>1</v>
      </c>
      <c r="AN984" s="24">
        <v>0</v>
      </c>
      <c r="AO984" s="24">
        <v>0</v>
      </c>
      <c r="AP984" s="24">
        <v>0</v>
      </c>
      <c r="AQ984" s="24">
        <v>0</v>
      </c>
      <c r="AR984" s="24">
        <v>0</v>
      </c>
      <c r="AS984" s="24">
        <v>0</v>
      </c>
      <c r="AT984" s="24">
        <v>1</v>
      </c>
      <c r="AU984" s="24">
        <v>0</v>
      </c>
      <c r="AV984" s="24">
        <v>1</v>
      </c>
      <c r="AW984" s="24">
        <v>0</v>
      </c>
      <c r="AX984" s="24">
        <v>0</v>
      </c>
      <c r="AY984" s="24">
        <v>0</v>
      </c>
      <c r="AZ984" s="24">
        <v>0</v>
      </c>
      <c r="BA984" s="24">
        <v>1</v>
      </c>
      <c r="BB984" s="24">
        <v>0</v>
      </c>
    </row>
    <row r="985" spans="2:54" ht="13.8" x14ac:dyDescent="0.3">
      <c r="B985" s="24">
        <v>965</v>
      </c>
      <c r="C985" s="24">
        <v>6</v>
      </c>
      <c r="D985" s="24">
        <v>0</v>
      </c>
      <c r="E985" s="24">
        <v>0</v>
      </c>
      <c r="F985" s="24">
        <v>0</v>
      </c>
      <c r="G985" s="24">
        <v>0</v>
      </c>
      <c r="H985" s="24">
        <v>0</v>
      </c>
      <c r="I985" s="24">
        <v>0</v>
      </c>
      <c r="J985" s="24">
        <v>454</v>
      </c>
      <c r="K985" s="24">
        <v>3</v>
      </c>
      <c r="L985" s="24">
        <v>0</v>
      </c>
      <c r="M985" s="24">
        <v>0</v>
      </c>
      <c r="N985" s="24">
        <v>1</v>
      </c>
      <c r="O985" s="24">
        <v>0</v>
      </c>
      <c r="P985" s="24">
        <v>0</v>
      </c>
      <c r="Q985" s="24">
        <v>0</v>
      </c>
      <c r="R985" s="24">
        <v>0</v>
      </c>
      <c r="S985" s="24">
        <v>22</v>
      </c>
      <c r="T985" s="24">
        <v>0</v>
      </c>
      <c r="U985" s="24">
        <v>0</v>
      </c>
      <c r="V985" s="24">
        <v>1</v>
      </c>
      <c r="W985" s="24">
        <v>1</v>
      </c>
      <c r="X985" s="24">
        <v>1</v>
      </c>
      <c r="Y985" s="24">
        <v>0</v>
      </c>
      <c r="Z985" s="24">
        <v>0</v>
      </c>
      <c r="AA985" s="24">
        <v>1</v>
      </c>
      <c r="AB985" s="24">
        <v>0</v>
      </c>
      <c r="AC985" s="24">
        <v>1</v>
      </c>
      <c r="AD985" s="24">
        <v>0</v>
      </c>
      <c r="AE985" s="24">
        <v>0</v>
      </c>
      <c r="AF985" s="24">
        <v>0</v>
      </c>
      <c r="AG985" s="24">
        <v>0</v>
      </c>
      <c r="AH985" s="24">
        <v>1</v>
      </c>
      <c r="AI985" s="24">
        <v>0</v>
      </c>
      <c r="AJ985" s="24">
        <v>0</v>
      </c>
      <c r="AK985" s="24">
        <v>1</v>
      </c>
      <c r="AL985" s="24">
        <v>0</v>
      </c>
      <c r="AM985" s="24">
        <v>0</v>
      </c>
      <c r="AN985" s="24">
        <v>0</v>
      </c>
      <c r="AO985" s="24">
        <v>0</v>
      </c>
      <c r="AP985" s="24">
        <v>0</v>
      </c>
      <c r="AQ985" s="24">
        <v>1</v>
      </c>
      <c r="AR985" s="24">
        <v>0</v>
      </c>
      <c r="AS985" s="24">
        <v>0</v>
      </c>
      <c r="AT985" s="24">
        <v>0</v>
      </c>
      <c r="AU985" s="24">
        <v>1</v>
      </c>
      <c r="AV985" s="24">
        <v>0</v>
      </c>
      <c r="AW985" s="24">
        <v>0</v>
      </c>
      <c r="AX985" s="24">
        <v>0</v>
      </c>
      <c r="AY985" s="24">
        <v>0</v>
      </c>
      <c r="AZ985" s="24">
        <v>1</v>
      </c>
      <c r="BA985" s="24">
        <v>0</v>
      </c>
      <c r="BB985" s="24">
        <v>0</v>
      </c>
    </row>
    <row r="986" spans="2:54" ht="13.8" x14ac:dyDescent="0.3">
      <c r="B986" s="24">
        <v>966</v>
      </c>
      <c r="C986" s="24">
        <v>30</v>
      </c>
      <c r="D986" s="24">
        <v>0</v>
      </c>
      <c r="E986" s="24">
        <v>0</v>
      </c>
      <c r="F986" s="24">
        <v>0</v>
      </c>
      <c r="G986" s="24">
        <v>1</v>
      </c>
      <c r="H986" s="24">
        <v>0</v>
      </c>
      <c r="I986" s="24">
        <v>0</v>
      </c>
      <c r="J986" s="24">
        <v>1715</v>
      </c>
      <c r="K986" s="24">
        <v>4</v>
      </c>
      <c r="L986" s="24">
        <v>0</v>
      </c>
      <c r="M986" s="24">
        <v>0</v>
      </c>
      <c r="N986" s="24">
        <v>0</v>
      </c>
      <c r="O986" s="24">
        <v>0</v>
      </c>
      <c r="P986" s="24">
        <v>0</v>
      </c>
      <c r="Q986" s="24">
        <v>0</v>
      </c>
      <c r="R986" s="24">
        <v>0</v>
      </c>
      <c r="S986" s="24">
        <v>26</v>
      </c>
      <c r="T986" s="24">
        <v>0</v>
      </c>
      <c r="U986" s="24">
        <v>0</v>
      </c>
      <c r="V986" s="24">
        <v>1</v>
      </c>
      <c r="W986" s="24">
        <v>1</v>
      </c>
      <c r="X986" s="24">
        <v>1</v>
      </c>
      <c r="Y986" s="24">
        <v>0</v>
      </c>
      <c r="Z986" s="24">
        <v>0</v>
      </c>
      <c r="AA986" s="24">
        <v>1</v>
      </c>
      <c r="AB986" s="24">
        <v>0</v>
      </c>
      <c r="AC986" s="24">
        <v>1</v>
      </c>
      <c r="AD986" s="24">
        <v>0</v>
      </c>
      <c r="AE986" s="24">
        <v>0</v>
      </c>
      <c r="AF986" s="24">
        <v>0</v>
      </c>
      <c r="AG986" s="24">
        <v>0</v>
      </c>
      <c r="AH986" s="24">
        <v>1</v>
      </c>
      <c r="AI986" s="24">
        <v>0</v>
      </c>
      <c r="AJ986" s="24">
        <v>0</v>
      </c>
      <c r="AK986" s="24">
        <v>0</v>
      </c>
      <c r="AL986" s="24">
        <v>0</v>
      </c>
      <c r="AM986" s="24">
        <v>0</v>
      </c>
      <c r="AN986" s="24">
        <v>0</v>
      </c>
      <c r="AO986" s="24">
        <v>1</v>
      </c>
      <c r="AP986" s="24">
        <v>0</v>
      </c>
      <c r="AQ986" s="24">
        <v>0</v>
      </c>
      <c r="AR986" s="24">
        <v>1</v>
      </c>
      <c r="AS986" s="24">
        <v>0</v>
      </c>
      <c r="AT986" s="24">
        <v>0</v>
      </c>
      <c r="AU986" s="24">
        <v>1</v>
      </c>
      <c r="AV986" s="24">
        <v>0</v>
      </c>
      <c r="AW986" s="24">
        <v>0</v>
      </c>
      <c r="AX986" s="24">
        <v>0</v>
      </c>
      <c r="AY986" s="24">
        <v>0</v>
      </c>
      <c r="AZ986" s="24">
        <v>0</v>
      </c>
      <c r="BA986" s="24">
        <v>1</v>
      </c>
      <c r="BB986" s="24">
        <v>0</v>
      </c>
    </row>
    <row r="987" spans="2:54" ht="13.8" x14ac:dyDescent="0.3">
      <c r="B987" s="24">
        <v>967</v>
      </c>
      <c r="C987" s="24">
        <v>27</v>
      </c>
      <c r="D987" s="24">
        <v>0</v>
      </c>
      <c r="E987" s="24">
        <v>0</v>
      </c>
      <c r="F987" s="24">
        <v>0</v>
      </c>
      <c r="G987" s="24">
        <v>1</v>
      </c>
      <c r="H987" s="24">
        <v>0</v>
      </c>
      <c r="I987" s="24">
        <v>0</v>
      </c>
      <c r="J987" s="24">
        <v>2520</v>
      </c>
      <c r="K987" s="24">
        <v>4</v>
      </c>
      <c r="L987" s="24">
        <v>0</v>
      </c>
      <c r="M987" s="24">
        <v>1</v>
      </c>
      <c r="N987" s="24">
        <v>0</v>
      </c>
      <c r="O987" s="24">
        <v>0</v>
      </c>
      <c r="P987" s="24">
        <v>0</v>
      </c>
      <c r="Q987" s="24">
        <v>0</v>
      </c>
      <c r="R987" s="24">
        <v>0</v>
      </c>
      <c r="S987" s="24">
        <v>23</v>
      </c>
      <c r="T987" s="24">
        <v>0</v>
      </c>
      <c r="U987" s="24">
        <v>0</v>
      </c>
      <c r="V987" s="24">
        <v>1</v>
      </c>
      <c r="W987" s="24">
        <v>2</v>
      </c>
      <c r="X987" s="24">
        <v>1</v>
      </c>
      <c r="Y987" s="24">
        <v>0</v>
      </c>
      <c r="Z987" s="24">
        <v>0</v>
      </c>
      <c r="AA987" s="24">
        <v>0</v>
      </c>
      <c r="AB987" s="24">
        <v>0</v>
      </c>
      <c r="AC987" s="24">
        <v>1</v>
      </c>
      <c r="AD987" s="24">
        <v>0</v>
      </c>
      <c r="AE987" s="24">
        <v>0</v>
      </c>
      <c r="AF987" s="24">
        <v>0</v>
      </c>
      <c r="AG987" s="24">
        <v>0</v>
      </c>
      <c r="AH987" s="24">
        <v>0</v>
      </c>
      <c r="AI987" s="24">
        <v>0</v>
      </c>
      <c r="AJ987" s="24">
        <v>1</v>
      </c>
      <c r="AK987" s="24">
        <v>0</v>
      </c>
      <c r="AL987" s="24">
        <v>0</v>
      </c>
      <c r="AM987" s="24">
        <v>1</v>
      </c>
      <c r="AN987" s="24">
        <v>0</v>
      </c>
      <c r="AO987" s="24">
        <v>0</v>
      </c>
      <c r="AP987" s="24">
        <v>0</v>
      </c>
      <c r="AQ987" s="24">
        <v>0</v>
      </c>
      <c r="AR987" s="24">
        <v>1</v>
      </c>
      <c r="AS987" s="24">
        <v>0</v>
      </c>
      <c r="AT987" s="24">
        <v>0</v>
      </c>
      <c r="AU987" s="24">
        <v>0</v>
      </c>
      <c r="AV987" s="24">
        <v>1</v>
      </c>
      <c r="AW987" s="24">
        <v>0</v>
      </c>
      <c r="AX987" s="24">
        <v>0</v>
      </c>
      <c r="AY987" s="24">
        <v>0</v>
      </c>
      <c r="AZ987" s="24">
        <v>1</v>
      </c>
      <c r="BA987" s="24">
        <v>0</v>
      </c>
      <c r="BB987" s="24">
        <v>0</v>
      </c>
    </row>
    <row r="988" spans="2:54" ht="13.8" x14ac:dyDescent="0.3">
      <c r="B988" s="24">
        <v>968</v>
      </c>
      <c r="C988" s="24">
        <v>15</v>
      </c>
      <c r="D988" s="24">
        <v>0</v>
      </c>
      <c r="E988" s="24">
        <v>0</v>
      </c>
      <c r="F988" s="24">
        <v>0</v>
      </c>
      <c r="G988" s="24">
        <v>1</v>
      </c>
      <c r="H988" s="24">
        <v>0</v>
      </c>
      <c r="I988" s="24">
        <v>0</v>
      </c>
      <c r="J988" s="24">
        <v>3568</v>
      </c>
      <c r="K988" s="24">
        <v>4</v>
      </c>
      <c r="L988" s="24">
        <v>0</v>
      </c>
      <c r="M988" s="24">
        <v>0</v>
      </c>
      <c r="N988" s="24">
        <v>0</v>
      </c>
      <c r="O988" s="24">
        <v>0</v>
      </c>
      <c r="P988" s="24">
        <v>0</v>
      </c>
      <c r="Q988" s="24">
        <v>0</v>
      </c>
      <c r="R988" s="24">
        <v>0</v>
      </c>
      <c r="S988" s="24">
        <v>54</v>
      </c>
      <c r="T988" s="24">
        <v>1</v>
      </c>
      <c r="U988" s="24">
        <v>1</v>
      </c>
      <c r="V988" s="24">
        <v>0</v>
      </c>
      <c r="W988" s="24">
        <v>1</v>
      </c>
      <c r="X988" s="24">
        <v>1</v>
      </c>
      <c r="Y988" s="24">
        <v>1</v>
      </c>
      <c r="Z988" s="24">
        <v>0</v>
      </c>
      <c r="AA988" s="24">
        <v>1</v>
      </c>
      <c r="AB988" s="24">
        <v>0</v>
      </c>
      <c r="AC988" s="24">
        <v>0</v>
      </c>
      <c r="AD988" s="24">
        <v>0</v>
      </c>
      <c r="AE988" s="24">
        <v>1</v>
      </c>
      <c r="AF988" s="24">
        <v>0</v>
      </c>
      <c r="AG988" s="24">
        <v>0</v>
      </c>
      <c r="AH988" s="24">
        <v>1</v>
      </c>
      <c r="AI988" s="24">
        <v>0</v>
      </c>
      <c r="AJ988" s="24">
        <v>0</v>
      </c>
      <c r="AK988" s="24">
        <v>1</v>
      </c>
      <c r="AL988" s="24">
        <v>0</v>
      </c>
      <c r="AM988" s="24">
        <v>0</v>
      </c>
      <c r="AN988" s="24">
        <v>0</v>
      </c>
      <c r="AO988" s="24">
        <v>0</v>
      </c>
      <c r="AP988" s="24">
        <v>0</v>
      </c>
      <c r="AQ988" s="24">
        <v>0</v>
      </c>
      <c r="AR988" s="24">
        <v>0</v>
      </c>
      <c r="AS988" s="24">
        <v>0</v>
      </c>
      <c r="AT988" s="24">
        <v>1</v>
      </c>
      <c r="AU988" s="24">
        <v>0</v>
      </c>
      <c r="AV988" s="24">
        <v>1</v>
      </c>
      <c r="AW988" s="24">
        <v>0</v>
      </c>
      <c r="AX988" s="24">
        <v>0</v>
      </c>
      <c r="AY988" s="24">
        <v>0</v>
      </c>
      <c r="AZ988" s="24">
        <v>0</v>
      </c>
      <c r="BA988" s="24">
        <v>0</v>
      </c>
      <c r="BB988" s="24">
        <v>1</v>
      </c>
    </row>
    <row r="989" spans="2:54" ht="13.8" x14ac:dyDescent="0.3">
      <c r="B989" s="24">
        <v>969</v>
      </c>
      <c r="C989" s="24">
        <v>42</v>
      </c>
      <c r="D989" s="24">
        <v>0</v>
      </c>
      <c r="E989" s="24">
        <v>0</v>
      </c>
      <c r="F989" s="24">
        <v>0</v>
      </c>
      <c r="G989" s="24">
        <v>1</v>
      </c>
      <c r="H989" s="24">
        <v>0</v>
      </c>
      <c r="I989" s="24">
        <v>0</v>
      </c>
      <c r="J989" s="24">
        <v>7166</v>
      </c>
      <c r="K989" s="24">
        <v>2</v>
      </c>
      <c r="L989" s="24">
        <v>0</v>
      </c>
      <c r="M989" s="24">
        <v>0</v>
      </c>
      <c r="N989" s="24">
        <v>1</v>
      </c>
      <c r="O989" s="24">
        <v>0</v>
      </c>
      <c r="P989" s="24">
        <v>0</v>
      </c>
      <c r="Q989" s="24">
        <v>0</v>
      </c>
      <c r="R989" s="24">
        <v>0</v>
      </c>
      <c r="S989" s="24">
        <v>29</v>
      </c>
      <c r="T989" s="24">
        <v>0</v>
      </c>
      <c r="U989" s="24">
        <v>1</v>
      </c>
      <c r="V989" s="24">
        <v>0</v>
      </c>
      <c r="W989" s="24">
        <v>1</v>
      </c>
      <c r="X989" s="24">
        <v>1</v>
      </c>
      <c r="Y989" s="24">
        <v>1</v>
      </c>
      <c r="Z989" s="24">
        <v>0</v>
      </c>
      <c r="AA989" s="24">
        <v>1</v>
      </c>
      <c r="AB989" s="24">
        <v>0</v>
      </c>
      <c r="AC989" s="24">
        <v>0</v>
      </c>
      <c r="AD989" s="24">
        <v>0</v>
      </c>
      <c r="AE989" s="24">
        <v>1</v>
      </c>
      <c r="AF989" s="24">
        <v>0</v>
      </c>
      <c r="AG989" s="24">
        <v>0</v>
      </c>
      <c r="AH989" s="24">
        <v>1</v>
      </c>
      <c r="AI989" s="24">
        <v>0</v>
      </c>
      <c r="AJ989" s="24">
        <v>0</v>
      </c>
      <c r="AK989" s="24">
        <v>0</v>
      </c>
      <c r="AL989" s="24">
        <v>0</v>
      </c>
      <c r="AM989" s="24">
        <v>0</v>
      </c>
      <c r="AN989" s="24">
        <v>0</v>
      </c>
      <c r="AO989" s="24">
        <v>1</v>
      </c>
      <c r="AP989" s="24">
        <v>0</v>
      </c>
      <c r="AQ989" s="24">
        <v>0</v>
      </c>
      <c r="AR989" s="24">
        <v>0</v>
      </c>
      <c r="AS989" s="24">
        <v>1</v>
      </c>
      <c r="AT989" s="24">
        <v>0</v>
      </c>
      <c r="AU989" s="24">
        <v>0</v>
      </c>
      <c r="AV989" s="24">
        <v>0</v>
      </c>
      <c r="AW989" s="24">
        <v>0</v>
      </c>
      <c r="AX989" s="24">
        <v>1</v>
      </c>
      <c r="AY989" s="24">
        <v>0</v>
      </c>
      <c r="AZ989" s="24">
        <v>0</v>
      </c>
      <c r="BA989" s="24">
        <v>1</v>
      </c>
      <c r="BB989" s="24">
        <v>0</v>
      </c>
    </row>
    <row r="990" spans="2:54" ht="13.8" x14ac:dyDescent="0.3">
      <c r="B990" s="24">
        <v>970</v>
      </c>
      <c r="C990" s="24">
        <v>11</v>
      </c>
      <c r="D990" s="24">
        <v>1</v>
      </c>
      <c r="E990" s="24">
        <v>0</v>
      </c>
      <c r="F990" s="24">
        <v>0</v>
      </c>
      <c r="G990" s="24">
        <v>0</v>
      </c>
      <c r="H990" s="24">
        <v>0</v>
      </c>
      <c r="I990" s="24">
        <v>0</v>
      </c>
      <c r="J990" s="24">
        <v>3939</v>
      </c>
      <c r="K990" s="24">
        <v>1</v>
      </c>
      <c r="L990" s="24">
        <v>0</v>
      </c>
      <c r="M990" s="24">
        <v>1</v>
      </c>
      <c r="N990" s="24">
        <v>0</v>
      </c>
      <c r="O990" s="24">
        <v>0</v>
      </c>
      <c r="P990" s="24">
        <v>0</v>
      </c>
      <c r="Q990" s="24">
        <v>1</v>
      </c>
      <c r="R990" s="24">
        <v>0</v>
      </c>
      <c r="S990" s="24">
        <v>40</v>
      </c>
      <c r="T990" s="24">
        <v>0</v>
      </c>
      <c r="U990" s="24">
        <v>0</v>
      </c>
      <c r="V990" s="24">
        <v>1</v>
      </c>
      <c r="W990" s="24">
        <v>2</v>
      </c>
      <c r="X990" s="24">
        <v>2</v>
      </c>
      <c r="Y990" s="24">
        <v>0</v>
      </c>
      <c r="Z990" s="24">
        <v>0</v>
      </c>
      <c r="AA990" s="24">
        <v>1</v>
      </c>
      <c r="AB990" s="24">
        <v>1</v>
      </c>
      <c r="AC990" s="24">
        <v>0</v>
      </c>
      <c r="AD990" s="24">
        <v>0</v>
      </c>
      <c r="AE990" s="24">
        <v>0</v>
      </c>
      <c r="AF990" s="24">
        <v>0</v>
      </c>
      <c r="AG990" s="24">
        <v>0</v>
      </c>
      <c r="AH990" s="24">
        <v>0</v>
      </c>
      <c r="AI990" s="24">
        <v>0</v>
      </c>
      <c r="AJ990" s="24">
        <v>1</v>
      </c>
      <c r="AK990" s="24">
        <v>1</v>
      </c>
      <c r="AL990" s="24">
        <v>0</v>
      </c>
      <c r="AM990" s="24">
        <v>0</v>
      </c>
      <c r="AN990" s="24">
        <v>0</v>
      </c>
      <c r="AO990" s="24">
        <v>0</v>
      </c>
      <c r="AP990" s="24">
        <v>0</v>
      </c>
      <c r="AQ990" s="24">
        <v>0</v>
      </c>
      <c r="AR990" s="24">
        <v>1</v>
      </c>
      <c r="AS990" s="24">
        <v>0</v>
      </c>
      <c r="AT990" s="24">
        <v>0</v>
      </c>
      <c r="AU990" s="24">
        <v>0</v>
      </c>
      <c r="AV990" s="24">
        <v>1</v>
      </c>
      <c r="AW990" s="24">
        <v>0</v>
      </c>
      <c r="AX990" s="24">
        <v>0</v>
      </c>
      <c r="AY990" s="24">
        <v>0</v>
      </c>
      <c r="AZ990" s="24">
        <v>1</v>
      </c>
      <c r="BA990" s="24">
        <v>0</v>
      </c>
      <c r="BB990" s="24">
        <v>0</v>
      </c>
    </row>
    <row r="991" spans="2:54" ht="13.8" x14ac:dyDescent="0.3">
      <c r="B991" s="24">
        <v>971</v>
      </c>
      <c r="C991" s="24">
        <v>15</v>
      </c>
      <c r="D991" s="24">
        <v>0</v>
      </c>
      <c r="E991" s="24">
        <v>0</v>
      </c>
      <c r="F991" s="24">
        <v>0</v>
      </c>
      <c r="G991" s="24">
        <v>0</v>
      </c>
      <c r="H991" s="24">
        <v>0</v>
      </c>
      <c r="I991" s="24">
        <v>0</v>
      </c>
      <c r="J991" s="24">
        <v>1514</v>
      </c>
      <c r="K991" s="24">
        <v>4</v>
      </c>
      <c r="L991" s="24">
        <v>0</v>
      </c>
      <c r="M991" s="24">
        <v>1</v>
      </c>
      <c r="N991" s="24">
        <v>0</v>
      </c>
      <c r="O991" s="24">
        <v>0</v>
      </c>
      <c r="P991" s="24">
        <v>1</v>
      </c>
      <c r="Q991" s="24">
        <v>1</v>
      </c>
      <c r="R991" s="24">
        <v>0</v>
      </c>
      <c r="S991" s="24">
        <v>22</v>
      </c>
      <c r="T991" s="24">
        <v>0</v>
      </c>
      <c r="U991" s="24">
        <v>0</v>
      </c>
      <c r="V991" s="24">
        <v>1</v>
      </c>
      <c r="W991" s="24">
        <v>1</v>
      </c>
      <c r="X991" s="24">
        <v>1</v>
      </c>
      <c r="Y991" s="24">
        <v>0</v>
      </c>
      <c r="Z991" s="24">
        <v>0</v>
      </c>
      <c r="AA991" s="24">
        <v>1</v>
      </c>
      <c r="AB991" s="24">
        <v>0</v>
      </c>
      <c r="AC991" s="24">
        <v>1</v>
      </c>
      <c r="AD991" s="24">
        <v>0</v>
      </c>
      <c r="AE991" s="24">
        <v>0</v>
      </c>
      <c r="AF991" s="24">
        <v>0</v>
      </c>
      <c r="AG991" s="24">
        <v>0</v>
      </c>
      <c r="AH991" s="24">
        <v>1</v>
      </c>
      <c r="AI991" s="24">
        <v>0</v>
      </c>
      <c r="AJ991" s="24">
        <v>0</v>
      </c>
      <c r="AK991" s="24">
        <v>0</v>
      </c>
      <c r="AL991" s="24">
        <v>1</v>
      </c>
      <c r="AM991" s="24">
        <v>0</v>
      </c>
      <c r="AN991" s="24">
        <v>0</v>
      </c>
      <c r="AO991" s="24">
        <v>0</v>
      </c>
      <c r="AP991" s="24">
        <v>0</v>
      </c>
      <c r="AQ991" s="24">
        <v>0</v>
      </c>
      <c r="AR991" s="24">
        <v>1</v>
      </c>
      <c r="AS991" s="24">
        <v>0</v>
      </c>
      <c r="AT991" s="24">
        <v>0</v>
      </c>
      <c r="AU991" s="24">
        <v>0</v>
      </c>
      <c r="AV991" s="24">
        <v>1</v>
      </c>
      <c r="AW991" s="24">
        <v>0</v>
      </c>
      <c r="AX991" s="24">
        <v>0</v>
      </c>
      <c r="AY991" s="24">
        <v>0</v>
      </c>
      <c r="AZ991" s="24">
        <v>0</v>
      </c>
      <c r="BA991" s="24">
        <v>1</v>
      </c>
      <c r="BB991" s="24">
        <v>0</v>
      </c>
    </row>
    <row r="992" spans="2:54" ht="13.8" x14ac:dyDescent="0.3">
      <c r="B992" s="24">
        <v>972</v>
      </c>
      <c r="C992" s="24">
        <v>24</v>
      </c>
      <c r="D992" s="24">
        <v>1</v>
      </c>
      <c r="E992" s="24">
        <v>0</v>
      </c>
      <c r="F992" s="24">
        <v>0</v>
      </c>
      <c r="G992" s="24">
        <v>0</v>
      </c>
      <c r="H992" s="24">
        <v>0</v>
      </c>
      <c r="I992" s="24">
        <v>0</v>
      </c>
      <c r="J992" s="24">
        <v>7393</v>
      </c>
      <c r="K992" s="24">
        <v>1</v>
      </c>
      <c r="L992" s="24">
        <v>0</v>
      </c>
      <c r="M992" s="24">
        <v>1</v>
      </c>
      <c r="N992" s="24">
        <v>0</v>
      </c>
      <c r="O992" s="24">
        <v>0</v>
      </c>
      <c r="P992" s="24">
        <v>0</v>
      </c>
      <c r="Q992" s="24">
        <v>0</v>
      </c>
      <c r="R992" s="24">
        <v>0</v>
      </c>
      <c r="S992" s="24">
        <v>43</v>
      </c>
      <c r="T992" s="24">
        <v>0</v>
      </c>
      <c r="U992" s="24">
        <v>0</v>
      </c>
      <c r="V992" s="24">
        <v>1</v>
      </c>
      <c r="W992" s="24">
        <v>1</v>
      </c>
      <c r="X992" s="24">
        <v>2</v>
      </c>
      <c r="Y992" s="24">
        <v>0</v>
      </c>
      <c r="Z992" s="24">
        <v>0</v>
      </c>
      <c r="AA992" s="24">
        <v>1</v>
      </c>
      <c r="AB992" s="24">
        <v>0</v>
      </c>
      <c r="AC992" s="24">
        <v>0</v>
      </c>
      <c r="AD992" s="24">
        <v>0</v>
      </c>
      <c r="AE992" s="24">
        <v>1</v>
      </c>
      <c r="AF992" s="24">
        <v>0</v>
      </c>
      <c r="AG992" s="24">
        <v>0</v>
      </c>
      <c r="AH992" s="24">
        <v>1</v>
      </c>
      <c r="AI992" s="24">
        <v>0</v>
      </c>
      <c r="AJ992" s="24">
        <v>0</v>
      </c>
      <c r="AK992" s="24">
        <v>1</v>
      </c>
      <c r="AL992" s="24">
        <v>0</v>
      </c>
      <c r="AM992" s="24">
        <v>0</v>
      </c>
      <c r="AN992" s="24">
        <v>0</v>
      </c>
      <c r="AO992" s="24">
        <v>0</v>
      </c>
      <c r="AP992" s="24">
        <v>0</v>
      </c>
      <c r="AQ992" s="24">
        <v>0</v>
      </c>
      <c r="AR992" s="24">
        <v>1</v>
      </c>
      <c r="AS992" s="24">
        <v>0</v>
      </c>
      <c r="AT992" s="24">
        <v>0</v>
      </c>
      <c r="AU992" s="24">
        <v>0</v>
      </c>
      <c r="AV992" s="24">
        <v>0</v>
      </c>
      <c r="AW992" s="24">
        <v>0</v>
      </c>
      <c r="AX992" s="24">
        <v>1</v>
      </c>
      <c r="AY992" s="24">
        <v>0</v>
      </c>
      <c r="AZ992" s="24">
        <v>1</v>
      </c>
      <c r="BA992" s="24">
        <v>0</v>
      </c>
      <c r="BB992" s="24">
        <v>0</v>
      </c>
    </row>
    <row r="993" spans="2:54" ht="13.8" x14ac:dyDescent="0.3">
      <c r="B993" s="24">
        <v>973</v>
      </c>
      <c r="C993" s="24">
        <v>24</v>
      </c>
      <c r="D993" s="24">
        <v>1</v>
      </c>
      <c r="E993" s="24">
        <v>0</v>
      </c>
      <c r="F993" s="24">
        <v>0</v>
      </c>
      <c r="G993" s="24">
        <v>0</v>
      </c>
      <c r="H993" s="24">
        <v>0</v>
      </c>
      <c r="I993" s="24">
        <v>0</v>
      </c>
      <c r="J993" s="24">
        <v>1193</v>
      </c>
      <c r="K993" s="24">
        <v>1</v>
      </c>
      <c r="L993" s="24">
        <v>0</v>
      </c>
      <c r="M993" s="24">
        <v>0</v>
      </c>
      <c r="N993" s="24">
        <v>0</v>
      </c>
      <c r="O993" s="24">
        <v>1</v>
      </c>
      <c r="P993" s="24">
        <v>0</v>
      </c>
      <c r="Q993" s="24">
        <v>0</v>
      </c>
      <c r="R993" s="24">
        <v>1</v>
      </c>
      <c r="S993" s="24">
        <v>29</v>
      </c>
      <c r="T993" s="24">
        <v>0</v>
      </c>
      <c r="U993" s="24">
        <v>1</v>
      </c>
      <c r="V993" s="24">
        <v>0</v>
      </c>
      <c r="W993" s="24">
        <v>2</v>
      </c>
      <c r="X993" s="24">
        <v>1</v>
      </c>
      <c r="Y993" s="24">
        <v>0</v>
      </c>
      <c r="Z993" s="24">
        <v>0</v>
      </c>
      <c r="AA993" s="24">
        <v>0</v>
      </c>
      <c r="AB993" s="24">
        <v>1</v>
      </c>
      <c r="AC993" s="24">
        <v>0</v>
      </c>
      <c r="AD993" s="24">
        <v>0</v>
      </c>
      <c r="AE993" s="24">
        <v>0</v>
      </c>
      <c r="AF993" s="24">
        <v>0</v>
      </c>
      <c r="AG993" s="24">
        <v>1</v>
      </c>
      <c r="AH993" s="24">
        <v>0</v>
      </c>
      <c r="AI993" s="24">
        <v>0</v>
      </c>
      <c r="AJ993" s="24">
        <v>0</v>
      </c>
      <c r="AK993" s="24">
        <v>1</v>
      </c>
      <c r="AL993" s="24">
        <v>0</v>
      </c>
      <c r="AM993" s="24">
        <v>0</v>
      </c>
      <c r="AN993" s="24">
        <v>0</v>
      </c>
      <c r="AO993" s="24">
        <v>0</v>
      </c>
      <c r="AP993" s="24">
        <v>1</v>
      </c>
      <c r="AQ993" s="24">
        <v>0</v>
      </c>
      <c r="AR993" s="24">
        <v>0</v>
      </c>
      <c r="AS993" s="24">
        <v>0</v>
      </c>
      <c r="AT993" s="24">
        <v>0</v>
      </c>
      <c r="AU993" s="24">
        <v>0</v>
      </c>
      <c r="AV993" s="24">
        <v>0</v>
      </c>
      <c r="AW993" s="24">
        <v>0</v>
      </c>
      <c r="AX993" s="24">
        <v>1</v>
      </c>
      <c r="AY993" s="24">
        <v>1</v>
      </c>
      <c r="AZ993" s="24">
        <v>0</v>
      </c>
      <c r="BA993" s="24">
        <v>0</v>
      </c>
      <c r="BB993" s="24">
        <v>0</v>
      </c>
    </row>
    <row r="994" spans="2:54" ht="13.8" x14ac:dyDescent="0.3">
      <c r="B994" s="24">
        <v>974</v>
      </c>
      <c r="C994" s="24">
        <v>60</v>
      </c>
      <c r="D994" s="24">
        <v>0</v>
      </c>
      <c r="E994" s="24">
        <v>0</v>
      </c>
      <c r="F994" s="24">
        <v>0</v>
      </c>
      <c r="G994" s="24">
        <v>0</v>
      </c>
      <c r="H994" s="24">
        <v>0</v>
      </c>
      <c r="I994" s="24">
        <v>1</v>
      </c>
      <c r="J994" s="24">
        <v>7297</v>
      </c>
      <c r="K994" s="24">
        <v>4</v>
      </c>
      <c r="L994" s="24">
        <v>0</v>
      </c>
      <c r="M994" s="24">
        <v>1</v>
      </c>
      <c r="N994" s="24">
        <v>0</v>
      </c>
      <c r="O994" s="24">
        <v>1</v>
      </c>
      <c r="P994" s="24">
        <v>0</v>
      </c>
      <c r="Q994" s="24">
        <v>0</v>
      </c>
      <c r="R994" s="24">
        <v>1</v>
      </c>
      <c r="S994" s="24">
        <v>36</v>
      </c>
      <c r="T994" s="24">
        <v>0</v>
      </c>
      <c r="U994" s="24">
        <v>1</v>
      </c>
      <c r="V994" s="24">
        <v>0</v>
      </c>
      <c r="W994" s="24">
        <v>1</v>
      </c>
      <c r="X994" s="24">
        <v>1</v>
      </c>
      <c r="Y994" s="24">
        <v>0</v>
      </c>
      <c r="Z994" s="24">
        <v>0</v>
      </c>
      <c r="AA994" s="24">
        <v>0</v>
      </c>
      <c r="AB994" s="24">
        <v>1</v>
      </c>
      <c r="AC994" s="24">
        <v>0</v>
      </c>
      <c r="AD994" s="24">
        <v>0</v>
      </c>
      <c r="AE994" s="24">
        <v>0</v>
      </c>
      <c r="AF994" s="24">
        <v>0</v>
      </c>
      <c r="AG994" s="24">
        <v>0</v>
      </c>
      <c r="AH994" s="24">
        <v>1</v>
      </c>
      <c r="AI994" s="24">
        <v>0</v>
      </c>
      <c r="AJ994" s="24">
        <v>0</v>
      </c>
      <c r="AK994" s="24">
        <v>1</v>
      </c>
      <c r="AL994" s="24">
        <v>0</v>
      </c>
      <c r="AM994" s="24">
        <v>0</v>
      </c>
      <c r="AN994" s="24">
        <v>0</v>
      </c>
      <c r="AO994" s="24">
        <v>0</v>
      </c>
      <c r="AP994" s="24">
        <v>0</v>
      </c>
      <c r="AQ994" s="24">
        <v>0</v>
      </c>
      <c r="AR994" s="24">
        <v>0</v>
      </c>
      <c r="AS994" s="24">
        <v>0</v>
      </c>
      <c r="AT994" s="24">
        <v>1</v>
      </c>
      <c r="AU994" s="24">
        <v>0</v>
      </c>
      <c r="AV994" s="24">
        <v>0</v>
      </c>
      <c r="AW994" s="24">
        <v>0</v>
      </c>
      <c r="AX994" s="24">
        <v>1</v>
      </c>
      <c r="AY994" s="24">
        <v>0</v>
      </c>
      <c r="AZ994" s="24">
        <v>0</v>
      </c>
      <c r="BA994" s="24">
        <v>1</v>
      </c>
      <c r="BB994" s="24">
        <v>0</v>
      </c>
    </row>
    <row r="995" spans="2:54" ht="13.8" x14ac:dyDescent="0.3">
      <c r="B995" s="24">
        <v>975</v>
      </c>
      <c r="C995" s="24">
        <v>30</v>
      </c>
      <c r="D995" s="24">
        <v>0</v>
      </c>
      <c r="E995" s="24">
        <v>0</v>
      </c>
      <c r="F995" s="24">
        <v>0</v>
      </c>
      <c r="G995" s="24">
        <v>1</v>
      </c>
      <c r="H995" s="24">
        <v>0</v>
      </c>
      <c r="I995" s="24">
        <v>0</v>
      </c>
      <c r="J995" s="24">
        <v>2831</v>
      </c>
      <c r="K995" s="24">
        <v>4</v>
      </c>
      <c r="L995" s="24">
        <v>0</v>
      </c>
      <c r="M995" s="24">
        <v>0</v>
      </c>
      <c r="N995" s="24">
        <v>0</v>
      </c>
      <c r="O995" s="24">
        <v>0</v>
      </c>
      <c r="P995" s="24">
        <v>0</v>
      </c>
      <c r="Q995" s="24">
        <v>0</v>
      </c>
      <c r="R995" s="24">
        <v>0</v>
      </c>
      <c r="S995" s="24">
        <v>33</v>
      </c>
      <c r="T995" s="24">
        <v>0</v>
      </c>
      <c r="U995" s="24">
        <v>0</v>
      </c>
      <c r="V995" s="24">
        <v>1</v>
      </c>
      <c r="W995" s="24">
        <v>1</v>
      </c>
      <c r="X995" s="24">
        <v>1</v>
      </c>
      <c r="Y995" s="24">
        <v>1</v>
      </c>
      <c r="Z995" s="24">
        <v>0</v>
      </c>
      <c r="AA995" s="24">
        <v>1</v>
      </c>
      <c r="AB995" s="24">
        <v>0</v>
      </c>
      <c r="AC995" s="24">
        <v>0</v>
      </c>
      <c r="AD995" s="24">
        <v>0</v>
      </c>
      <c r="AE995" s="24">
        <v>1</v>
      </c>
      <c r="AF995" s="24">
        <v>0</v>
      </c>
      <c r="AG995" s="24">
        <v>0</v>
      </c>
      <c r="AH995" s="24">
        <v>0</v>
      </c>
      <c r="AI995" s="24">
        <v>0</v>
      </c>
      <c r="AJ995" s="24">
        <v>1</v>
      </c>
      <c r="AK995" s="24">
        <v>1</v>
      </c>
      <c r="AL995" s="24">
        <v>0</v>
      </c>
      <c r="AM995" s="24">
        <v>0</v>
      </c>
      <c r="AN995" s="24">
        <v>0</v>
      </c>
      <c r="AO995" s="24">
        <v>0</v>
      </c>
      <c r="AP995" s="24">
        <v>0</v>
      </c>
      <c r="AQ995" s="24">
        <v>0</v>
      </c>
      <c r="AR995" s="24">
        <v>1</v>
      </c>
      <c r="AS995" s="24">
        <v>0</v>
      </c>
      <c r="AT995" s="24">
        <v>0</v>
      </c>
      <c r="AU995" s="24">
        <v>0</v>
      </c>
      <c r="AV995" s="24">
        <v>1</v>
      </c>
      <c r="AW995" s="24">
        <v>0</v>
      </c>
      <c r="AX995" s="24">
        <v>0</v>
      </c>
      <c r="AY995" s="24">
        <v>0</v>
      </c>
      <c r="AZ995" s="24">
        <v>0</v>
      </c>
      <c r="BA995" s="24">
        <v>1</v>
      </c>
      <c r="BB995" s="24">
        <v>0</v>
      </c>
    </row>
    <row r="996" spans="2:54" ht="13.8" x14ac:dyDescent="0.3">
      <c r="B996" s="24">
        <v>976</v>
      </c>
      <c r="C996" s="24">
        <v>24</v>
      </c>
      <c r="D996" s="24">
        <v>0</v>
      </c>
      <c r="E996" s="24">
        <v>0</v>
      </c>
      <c r="F996" s="24">
        <v>0</v>
      </c>
      <c r="G996" s="24">
        <v>1</v>
      </c>
      <c r="H996" s="24">
        <v>0</v>
      </c>
      <c r="I996" s="24">
        <v>0</v>
      </c>
      <c r="J996" s="24">
        <v>1258</v>
      </c>
      <c r="K996" s="24">
        <v>3</v>
      </c>
      <c r="L996" s="24">
        <v>0</v>
      </c>
      <c r="M996" s="24">
        <v>0</v>
      </c>
      <c r="N996" s="24">
        <v>0</v>
      </c>
      <c r="O996" s="24">
        <v>0</v>
      </c>
      <c r="P996" s="24">
        <v>0</v>
      </c>
      <c r="Q996" s="24">
        <v>0</v>
      </c>
      <c r="R996" s="24">
        <v>0</v>
      </c>
      <c r="S996" s="24">
        <v>57</v>
      </c>
      <c r="T996" s="24">
        <v>0</v>
      </c>
      <c r="U996" s="24">
        <v>0</v>
      </c>
      <c r="V996" s="24">
        <v>1</v>
      </c>
      <c r="W996" s="24">
        <v>1</v>
      </c>
      <c r="X996" s="24">
        <v>1</v>
      </c>
      <c r="Y996" s="24">
        <v>0</v>
      </c>
      <c r="Z996" s="24">
        <v>0</v>
      </c>
      <c r="AA996" s="24">
        <v>1</v>
      </c>
      <c r="AB996" s="24">
        <v>0</v>
      </c>
      <c r="AC996" s="24">
        <v>0</v>
      </c>
      <c r="AD996" s="24">
        <v>1</v>
      </c>
      <c r="AE996" s="24">
        <v>0</v>
      </c>
      <c r="AF996" s="24">
        <v>0</v>
      </c>
      <c r="AG996" s="24">
        <v>0</v>
      </c>
      <c r="AH996" s="24">
        <v>1</v>
      </c>
      <c r="AI996" s="24">
        <v>0</v>
      </c>
      <c r="AJ996" s="24">
        <v>0</v>
      </c>
      <c r="AK996" s="24">
        <v>0</v>
      </c>
      <c r="AL996" s="24">
        <v>0</v>
      </c>
      <c r="AM996" s="24">
        <v>1</v>
      </c>
      <c r="AN996" s="24">
        <v>0</v>
      </c>
      <c r="AO996" s="24">
        <v>0</v>
      </c>
      <c r="AP996" s="24">
        <v>0</v>
      </c>
      <c r="AQ996" s="24">
        <v>0</v>
      </c>
      <c r="AR996" s="24">
        <v>1</v>
      </c>
      <c r="AS996" s="24">
        <v>0</v>
      </c>
      <c r="AT996" s="24">
        <v>0</v>
      </c>
      <c r="AU996" s="24">
        <v>0</v>
      </c>
      <c r="AV996" s="24">
        <v>0</v>
      </c>
      <c r="AW996" s="24">
        <v>1</v>
      </c>
      <c r="AX996" s="24">
        <v>0</v>
      </c>
      <c r="AY996" s="24">
        <v>0</v>
      </c>
      <c r="AZ996" s="24">
        <v>1</v>
      </c>
      <c r="BA996" s="24">
        <v>0</v>
      </c>
      <c r="BB996" s="24">
        <v>0</v>
      </c>
    </row>
    <row r="997" spans="2:54" ht="13.8" x14ac:dyDescent="0.3">
      <c r="B997" s="24">
        <v>977</v>
      </c>
      <c r="C997" s="24">
        <v>6</v>
      </c>
      <c r="D997" s="24">
        <v>0</v>
      </c>
      <c r="E997" s="24">
        <v>0</v>
      </c>
      <c r="F997" s="24">
        <v>0</v>
      </c>
      <c r="G997" s="24">
        <v>1</v>
      </c>
      <c r="H997" s="24">
        <v>0</v>
      </c>
      <c r="I997" s="24">
        <v>0</v>
      </c>
      <c r="J997" s="24">
        <v>753</v>
      </c>
      <c r="K997" s="24">
        <v>2</v>
      </c>
      <c r="L997" s="24">
        <v>0</v>
      </c>
      <c r="M997" s="24">
        <v>0</v>
      </c>
      <c r="N997" s="24">
        <v>0</v>
      </c>
      <c r="O997" s="24">
        <v>0</v>
      </c>
      <c r="P997" s="24">
        <v>1</v>
      </c>
      <c r="Q997" s="24">
        <v>1</v>
      </c>
      <c r="R997" s="24">
        <v>0</v>
      </c>
      <c r="S997" s="24">
        <v>64</v>
      </c>
      <c r="T997" s="24">
        <v>0</v>
      </c>
      <c r="U997" s="24">
        <v>0</v>
      </c>
      <c r="V997" s="24">
        <v>1</v>
      </c>
      <c r="W997" s="24">
        <v>1</v>
      </c>
      <c r="X997" s="24">
        <v>1</v>
      </c>
      <c r="Y997" s="24">
        <v>0</v>
      </c>
      <c r="Z997" s="24">
        <v>0</v>
      </c>
      <c r="AA997" s="24">
        <v>1</v>
      </c>
      <c r="AB997" s="24">
        <v>0</v>
      </c>
      <c r="AC997" s="24">
        <v>1</v>
      </c>
      <c r="AD997" s="24">
        <v>0</v>
      </c>
      <c r="AE997" s="24">
        <v>0</v>
      </c>
      <c r="AF997" s="24">
        <v>0</v>
      </c>
      <c r="AG997" s="24">
        <v>0</v>
      </c>
      <c r="AH997" s="24">
        <v>1</v>
      </c>
      <c r="AI997" s="24">
        <v>0</v>
      </c>
      <c r="AJ997" s="24">
        <v>0</v>
      </c>
      <c r="AK997" s="24">
        <v>1</v>
      </c>
      <c r="AL997" s="24">
        <v>0</v>
      </c>
      <c r="AM997" s="24">
        <v>0</v>
      </c>
      <c r="AN997" s="24">
        <v>0</v>
      </c>
      <c r="AO997" s="24">
        <v>0</v>
      </c>
      <c r="AP997" s="24">
        <v>0</v>
      </c>
      <c r="AQ997" s="24">
        <v>0</v>
      </c>
      <c r="AR997" s="24">
        <v>1</v>
      </c>
      <c r="AS997" s="24">
        <v>0</v>
      </c>
      <c r="AT997" s="24">
        <v>0</v>
      </c>
      <c r="AU997" s="24">
        <v>0</v>
      </c>
      <c r="AV997" s="24">
        <v>0</v>
      </c>
      <c r="AW997" s="24">
        <v>1</v>
      </c>
      <c r="AX997" s="24">
        <v>0</v>
      </c>
      <c r="AY997" s="24">
        <v>0</v>
      </c>
      <c r="AZ997" s="24">
        <v>0</v>
      </c>
      <c r="BA997" s="24">
        <v>1</v>
      </c>
      <c r="BB997" s="24">
        <v>0</v>
      </c>
    </row>
    <row r="998" spans="2:54" ht="13.8" x14ac:dyDescent="0.3">
      <c r="B998" s="24">
        <v>978</v>
      </c>
      <c r="C998" s="24">
        <v>18</v>
      </c>
      <c r="D998" s="24">
        <v>0</v>
      </c>
      <c r="E998" s="24">
        <v>0</v>
      </c>
      <c r="F998" s="24">
        <v>0</v>
      </c>
      <c r="G998" s="24">
        <v>0</v>
      </c>
      <c r="H998" s="24">
        <v>0</v>
      </c>
      <c r="I998" s="24">
        <v>1</v>
      </c>
      <c r="J998" s="24">
        <v>2427</v>
      </c>
      <c r="K998" s="24">
        <v>4</v>
      </c>
      <c r="L998" s="24">
        <v>0</v>
      </c>
      <c r="M998" s="24">
        <v>1</v>
      </c>
      <c r="N998" s="24">
        <v>0</v>
      </c>
      <c r="O998" s="24">
        <v>0</v>
      </c>
      <c r="P998" s="24">
        <v>0</v>
      </c>
      <c r="Q998" s="24">
        <v>0</v>
      </c>
      <c r="R998" s="24">
        <v>0</v>
      </c>
      <c r="S998" s="24">
        <v>42</v>
      </c>
      <c r="T998" s="24">
        <v>0</v>
      </c>
      <c r="U998" s="24">
        <v>0</v>
      </c>
      <c r="V998" s="24">
        <v>1</v>
      </c>
      <c r="W998" s="24">
        <v>2</v>
      </c>
      <c r="X998" s="24">
        <v>1</v>
      </c>
      <c r="Y998" s="24">
        <v>0</v>
      </c>
      <c r="Z998" s="24">
        <v>0</v>
      </c>
      <c r="AA998" s="24">
        <v>1</v>
      </c>
      <c r="AB998" s="24">
        <v>0</v>
      </c>
      <c r="AC998" s="24">
        <v>1</v>
      </c>
      <c r="AD998" s="24">
        <v>0</v>
      </c>
      <c r="AE998" s="24">
        <v>0</v>
      </c>
      <c r="AF998" s="24">
        <v>0</v>
      </c>
      <c r="AG998" s="24">
        <v>0</v>
      </c>
      <c r="AH998" s="24">
        <v>0</v>
      </c>
      <c r="AI998" s="24">
        <v>1</v>
      </c>
      <c r="AJ998" s="24">
        <v>0</v>
      </c>
      <c r="AK998" s="24">
        <v>0</v>
      </c>
      <c r="AL998" s="24">
        <v>0</v>
      </c>
      <c r="AM998" s="24">
        <v>0</v>
      </c>
      <c r="AN998" s="24">
        <v>0</v>
      </c>
      <c r="AO998" s="24">
        <v>1</v>
      </c>
      <c r="AP998" s="24">
        <v>0</v>
      </c>
      <c r="AQ998" s="24">
        <v>0</v>
      </c>
      <c r="AR998" s="24">
        <v>0</v>
      </c>
      <c r="AS998" s="24">
        <v>0</v>
      </c>
      <c r="AT998" s="24">
        <v>1</v>
      </c>
      <c r="AU998" s="24">
        <v>0</v>
      </c>
      <c r="AV998" s="24">
        <v>1</v>
      </c>
      <c r="AW998" s="24">
        <v>0</v>
      </c>
      <c r="AX998" s="24">
        <v>0</v>
      </c>
      <c r="AY998" s="24">
        <v>0</v>
      </c>
      <c r="AZ998" s="24">
        <v>0</v>
      </c>
      <c r="BA998" s="24">
        <v>1</v>
      </c>
      <c r="BB998" s="24">
        <v>0</v>
      </c>
    </row>
    <row r="999" spans="2:54" ht="13.8" x14ac:dyDescent="0.3">
      <c r="B999" s="24">
        <v>979</v>
      </c>
      <c r="C999" s="24">
        <v>24</v>
      </c>
      <c r="D999" s="24">
        <v>1</v>
      </c>
      <c r="E999" s="24">
        <v>0</v>
      </c>
      <c r="F999" s="24">
        <v>0</v>
      </c>
      <c r="G999" s="24">
        <v>0</v>
      </c>
      <c r="H999" s="24">
        <v>0</v>
      </c>
      <c r="I999" s="24">
        <v>0</v>
      </c>
      <c r="J999" s="24">
        <v>2538</v>
      </c>
      <c r="K999" s="24">
        <v>4</v>
      </c>
      <c r="L999" s="24">
        <v>0</v>
      </c>
      <c r="M999" s="24">
        <v>1</v>
      </c>
      <c r="N999" s="24">
        <v>0</v>
      </c>
      <c r="O999" s="24">
        <v>0</v>
      </c>
      <c r="P999" s="24">
        <v>0</v>
      </c>
      <c r="Q999" s="24">
        <v>0</v>
      </c>
      <c r="R999" s="24">
        <v>0</v>
      </c>
      <c r="S999" s="24">
        <v>47</v>
      </c>
      <c r="T999" s="24">
        <v>0</v>
      </c>
      <c r="U999" s="24">
        <v>0</v>
      </c>
      <c r="V999" s="24">
        <v>1</v>
      </c>
      <c r="W999" s="24">
        <v>2</v>
      </c>
      <c r="X999" s="24">
        <v>2</v>
      </c>
      <c r="Y999" s="24">
        <v>0</v>
      </c>
      <c r="Z999" s="24">
        <v>0</v>
      </c>
      <c r="AA999" s="24">
        <v>0</v>
      </c>
      <c r="AB999" s="24">
        <v>0</v>
      </c>
      <c r="AC999" s="24">
        <v>0</v>
      </c>
      <c r="AD999" s="24">
        <v>0</v>
      </c>
      <c r="AE999" s="24">
        <v>1</v>
      </c>
      <c r="AF999" s="24">
        <v>0</v>
      </c>
      <c r="AG999" s="24">
        <v>0</v>
      </c>
      <c r="AH999" s="24">
        <v>0</v>
      </c>
      <c r="AI999" s="24">
        <v>1</v>
      </c>
      <c r="AJ999" s="24">
        <v>0</v>
      </c>
      <c r="AK999" s="24">
        <v>1</v>
      </c>
      <c r="AL999" s="24">
        <v>0</v>
      </c>
      <c r="AM999" s="24">
        <v>0</v>
      </c>
      <c r="AN999" s="24">
        <v>0</v>
      </c>
      <c r="AO999" s="24">
        <v>0</v>
      </c>
      <c r="AP999" s="24">
        <v>0</v>
      </c>
      <c r="AQ999" s="24">
        <v>0</v>
      </c>
      <c r="AR999" s="24">
        <v>0</v>
      </c>
      <c r="AS999" s="24">
        <v>0</v>
      </c>
      <c r="AT999" s="24">
        <v>1</v>
      </c>
      <c r="AU999" s="24">
        <v>0</v>
      </c>
      <c r="AV999" s="24">
        <v>0</v>
      </c>
      <c r="AW999" s="24">
        <v>0</v>
      </c>
      <c r="AX999" s="24">
        <v>1</v>
      </c>
      <c r="AY999" s="24">
        <v>0</v>
      </c>
      <c r="AZ999" s="24">
        <v>1</v>
      </c>
      <c r="BA999" s="24">
        <v>0</v>
      </c>
      <c r="BB999" s="24">
        <v>0</v>
      </c>
    </row>
    <row r="1000" spans="2:54" ht="13.8" x14ac:dyDescent="0.3">
      <c r="B1000" s="24">
        <v>980</v>
      </c>
      <c r="C1000" s="24">
        <v>15</v>
      </c>
      <c r="D1000" s="24">
        <v>1</v>
      </c>
      <c r="E1000" s="24">
        <v>0</v>
      </c>
      <c r="F1000" s="24">
        <v>0</v>
      </c>
      <c r="G1000" s="24">
        <v>0</v>
      </c>
      <c r="H1000" s="24">
        <v>0</v>
      </c>
      <c r="I1000" s="24">
        <v>0</v>
      </c>
      <c r="J1000" s="24">
        <v>1264</v>
      </c>
      <c r="K1000" s="24">
        <v>2</v>
      </c>
      <c r="L1000" s="24">
        <v>0</v>
      </c>
      <c r="M1000" s="24">
        <v>0</v>
      </c>
      <c r="N1000" s="24">
        <v>1</v>
      </c>
      <c r="O1000" s="24">
        <v>0</v>
      </c>
      <c r="P1000" s="24">
        <v>0</v>
      </c>
      <c r="Q1000" s="24">
        <v>0</v>
      </c>
      <c r="R1000" s="24">
        <v>0</v>
      </c>
      <c r="S1000" s="24">
        <v>25</v>
      </c>
      <c r="T1000" s="24">
        <v>0</v>
      </c>
      <c r="U1000" s="24">
        <v>1</v>
      </c>
      <c r="V1000" s="24">
        <v>0</v>
      </c>
      <c r="W1000" s="24">
        <v>1</v>
      </c>
      <c r="X1000" s="24">
        <v>1</v>
      </c>
      <c r="Y1000" s="24">
        <v>0</v>
      </c>
      <c r="Z1000" s="24">
        <v>0</v>
      </c>
      <c r="AA1000" s="24">
        <v>0</v>
      </c>
      <c r="AB1000" s="24">
        <v>0</v>
      </c>
      <c r="AC1000" s="24">
        <v>1</v>
      </c>
      <c r="AD1000" s="24">
        <v>0</v>
      </c>
      <c r="AE1000" s="24">
        <v>0</v>
      </c>
      <c r="AF1000" s="24">
        <v>0</v>
      </c>
      <c r="AG1000" s="24">
        <v>1</v>
      </c>
      <c r="AH1000" s="24">
        <v>0</v>
      </c>
      <c r="AI1000" s="24">
        <v>0</v>
      </c>
      <c r="AJ1000" s="24">
        <v>0</v>
      </c>
      <c r="AK1000" s="24">
        <v>0</v>
      </c>
      <c r="AL1000" s="24">
        <v>1</v>
      </c>
      <c r="AM1000" s="24">
        <v>0</v>
      </c>
      <c r="AN1000" s="24">
        <v>0</v>
      </c>
      <c r="AO1000" s="24">
        <v>0</v>
      </c>
      <c r="AP1000" s="24">
        <v>0</v>
      </c>
      <c r="AQ1000" s="24">
        <v>0</v>
      </c>
      <c r="AR1000" s="24">
        <v>1</v>
      </c>
      <c r="AS1000" s="24">
        <v>0</v>
      </c>
      <c r="AT1000" s="24">
        <v>0</v>
      </c>
      <c r="AU1000" s="24">
        <v>0</v>
      </c>
      <c r="AV1000" s="24">
        <v>1</v>
      </c>
      <c r="AW1000" s="24">
        <v>0</v>
      </c>
      <c r="AX1000" s="24">
        <v>0</v>
      </c>
      <c r="AY1000" s="24">
        <v>0</v>
      </c>
      <c r="AZ1000" s="24">
        <v>0</v>
      </c>
      <c r="BA1000" s="24">
        <v>1</v>
      </c>
      <c r="BB1000" s="24">
        <v>0</v>
      </c>
    </row>
    <row r="1001" spans="2:54" ht="13.8" x14ac:dyDescent="0.3">
      <c r="B1001" s="24">
        <v>981</v>
      </c>
      <c r="C1001" s="24">
        <v>30</v>
      </c>
      <c r="D1001" s="24">
        <v>0</v>
      </c>
      <c r="E1001" s="24">
        <v>0</v>
      </c>
      <c r="F1001" s="24">
        <v>1</v>
      </c>
      <c r="G1001" s="24">
        <v>0</v>
      </c>
      <c r="H1001" s="24">
        <v>0</v>
      </c>
      <c r="I1001" s="24">
        <v>0</v>
      </c>
      <c r="J1001" s="24">
        <v>8386</v>
      </c>
      <c r="K1001" s="24">
        <v>2</v>
      </c>
      <c r="L1001" s="24">
        <v>0</v>
      </c>
      <c r="M1001" s="24">
        <v>1</v>
      </c>
      <c r="N1001" s="24">
        <v>0</v>
      </c>
      <c r="O1001" s="24">
        <v>0</v>
      </c>
      <c r="P1001" s="24">
        <v>0</v>
      </c>
      <c r="Q1001" s="24">
        <v>0</v>
      </c>
      <c r="R1001" s="24">
        <v>0</v>
      </c>
      <c r="S1001" s="24">
        <v>49</v>
      </c>
      <c r="T1001" s="24">
        <v>0</v>
      </c>
      <c r="U1001" s="24">
        <v>0</v>
      </c>
      <c r="V1001" s="24">
        <v>1</v>
      </c>
      <c r="W1001" s="24">
        <v>1</v>
      </c>
      <c r="X1001" s="24">
        <v>1</v>
      </c>
      <c r="Y1001" s="24">
        <v>0</v>
      </c>
      <c r="Z1001" s="24">
        <v>0</v>
      </c>
      <c r="AA1001" s="24">
        <v>0</v>
      </c>
      <c r="AB1001" s="24">
        <v>0</v>
      </c>
      <c r="AC1001" s="24">
        <v>1</v>
      </c>
      <c r="AD1001" s="24">
        <v>0</v>
      </c>
      <c r="AE1001" s="24">
        <v>0</v>
      </c>
      <c r="AF1001" s="24">
        <v>0</v>
      </c>
      <c r="AG1001" s="24">
        <v>0</v>
      </c>
      <c r="AH1001" s="24">
        <v>0</v>
      </c>
      <c r="AI1001" s="24">
        <v>0</v>
      </c>
      <c r="AJ1001" s="24">
        <v>1</v>
      </c>
      <c r="AK1001" s="24">
        <v>1</v>
      </c>
      <c r="AL1001" s="24">
        <v>0</v>
      </c>
      <c r="AM1001" s="24">
        <v>0</v>
      </c>
      <c r="AN1001" s="24">
        <v>0</v>
      </c>
      <c r="AO1001" s="24">
        <v>0</v>
      </c>
      <c r="AP1001" s="24">
        <v>0</v>
      </c>
      <c r="AQ1001" s="24">
        <v>0</v>
      </c>
      <c r="AR1001" s="24">
        <v>0</v>
      </c>
      <c r="AS1001" s="24">
        <v>1</v>
      </c>
      <c r="AT1001" s="24">
        <v>0</v>
      </c>
      <c r="AU1001" s="24">
        <v>0</v>
      </c>
      <c r="AV1001" s="24">
        <v>1</v>
      </c>
      <c r="AW1001" s="24">
        <v>0</v>
      </c>
      <c r="AX1001" s="24">
        <v>0</v>
      </c>
      <c r="AY1001" s="24">
        <v>0</v>
      </c>
      <c r="AZ1001" s="24">
        <v>0</v>
      </c>
      <c r="BA1001" s="24">
        <v>1</v>
      </c>
      <c r="BB1001" s="24">
        <v>0</v>
      </c>
    </row>
    <row r="1002" spans="2:54" ht="13.8" x14ac:dyDescent="0.3">
      <c r="B1002" s="24">
        <v>982</v>
      </c>
      <c r="C1002" s="24">
        <v>48</v>
      </c>
      <c r="D1002" s="24">
        <v>0</v>
      </c>
      <c r="E1002" s="24">
        <v>0</v>
      </c>
      <c r="F1002" s="24">
        <v>0</v>
      </c>
      <c r="G1002" s="24">
        <v>0</v>
      </c>
      <c r="H1002" s="24">
        <v>0</v>
      </c>
      <c r="I1002" s="24">
        <v>1</v>
      </c>
      <c r="J1002" s="24">
        <v>4844</v>
      </c>
      <c r="K1002" s="24">
        <v>3</v>
      </c>
      <c r="L1002" s="24">
        <v>0</v>
      </c>
      <c r="M1002" s="24">
        <v>1</v>
      </c>
      <c r="N1002" s="24">
        <v>0</v>
      </c>
      <c r="O1002" s="24">
        <v>0</v>
      </c>
      <c r="P1002" s="24">
        <v>0</v>
      </c>
      <c r="Q1002" s="24">
        <v>0</v>
      </c>
      <c r="R1002" s="24">
        <v>0</v>
      </c>
      <c r="S1002" s="24">
        <v>33</v>
      </c>
      <c r="T1002" s="24">
        <v>1</v>
      </c>
      <c r="U1002" s="24">
        <v>1</v>
      </c>
      <c r="V1002" s="24">
        <v>0</v>
      </c>
      <c r="W1002" s="24">
        <v>1</v>
      </c>
      <c r="X1002" s="24">
        <v>1</v>
      </c>
      <c r="Y1002" s="24">
        <v>1</v>
      </c>
      <c r="Z1002" s="24">
        <v>0</v>
      </c>
      <c r="AA1002" s="24">
        <v>0</v>
      </c>
      <c r="AB1002" s="24">
        <v>0</v>
      </c>
      <c r="AC1002" s="24">
        <v>0</v>
      </c>
      <c r="AD1002" s="24">
        <v>0</v>
      </c>
      <c r="AE1002" s="24">
        <v>1</v>
      </c>
      <c r="AF1002" s="24">
        <v>0</v>
      </c>
      <c r="AG1002" s="24">
        <v>0</v>
      </c>
      <c r="AH1002" s="24">
        <v>1</v>
      </c>
      <c r="AI1002" s="24">
        <v>0</v>
      </c>
      <c r="AJ1002" s="24">
        <v>0</v>
      </c>
      <c r="AK1002" s="24">
        <v>1</v>
      </c>
      <c r="AL1002" s="24">
        <v>0</v>
      </c>
      <c r="AM1002" s="24">
        <v>0</v>
      </c>
      <c r="AN1002" s="24">
        <v>0</v>
      </c>
      <c r="AO1002" s="24">
        <v>0</v>
      </c>
      <c r="AP1002" s="24">
        <v>1</v>
      </c>
      <c r="AQ1002" s="24">
        <v>0</v>
      </c>
      <c r="AR1002" s="24">
        <v>0</v>
      </c>
      <c r="AS1002" s="24">
        <v>0</v>
      </c>
      <c r="AT1002" s="24">
        <v>0</v>
      </c>
      <c r="AU1002" s="24">
        <v>0</v>
      </c>
      <c r="AV1002" s="24">
        <v>1</v>
      </c>
      <c r="AW1002" s="24">
        <v>0</v>
      </c>
      <c r="AX1002" s="24">
        <v>0</v>
      </c>
      <c r="AY1002" s="24">
        <v>0</v>
      </c>
      <c r="AZ1002" s="24">
        <v>0</v>
      </c>
      <c r="BA1002" s="24">
        <v>0</v>
      </c>
      <c r="BB1002" s="24">
        <v>1</v>
      </c>
    </row>
    <row r="1003" spans="2:54" ht="13.8" x14ac:dyDescent="0.3">
      <c r="B1003" s="24">
        <v>983</v>
      </c>
      <c r="C1003" s="24">
        <v>21</v>
      </c>
      <c r="D1003" s="24">
        <v>1</v>
      </c>
      <c r="E1003" s="24">
        <v>0</v>
      </c>
      <c r="F1003" s="24">
        <v>0</v>
      </c>
      <c r="G1003" s="24">
        <v>0</v>
      </c>
      <c r="H1003" s="24">
        <v>0</v>
      </c>
      <c r="I1003" s="24">
        <v>0</v>
      </c>
      <c r="J1003" s="24">
        <v>2923</v>
      </c>
      <c r="K1003" s="24">
        <v>1</v>
      </c>
      <c r="L1003" s="24">
        <v>0</v>
      </c>
      <c r="M1003" s="24">
        <v>0</v>
      </c>
      <c r="N1003" s="24">
        <v>0</v>
      </c>
      <c r="O1003" s="24">
        <v>0</v>
      </c>
      <c r="P1003" s="24">
        <v>0</v>
      </c>
      <c r="Q1003" s="24">
        <v>0</v>
      </c>
      <c r="R1003" s="24">
        <v>0</v>
      </c>
      <c r="S1003" s="24">
        <v>28</v>
      </c>
      <c r="T1003" s="24">
        <v>1</v>
      </c>
      <c r="U1003" s="24">
        <v>0</v>
      </c>
      <c r="V1003" s="24">
        <v>1</v>
      </c>
      <c r="W1003" s="24">
        <v>1</v>
      </c>
      <c r="X1003" s="24">
        <v>1</v>
      </c>
      <c r="Y1003" s="24">
        <v>1</v>
      </c>
      <c r="Z1003" s="24">
        <v>0</v>
      </c>
      <c r="AA1003" s="24">
        <v>1</v>
      </c>
      <c r="AB1003" s="24">
        <v>0</v>
      </c>
      <c r="AC1003" s="24">
        <v>0</v>
      </c>
      <c r="AD1003" s="24">
        <v>1</v>
      </c>
      <c r="AE1003" s="24">
        <v>0</v>
      </c>
      <c r="AF1003" s="24">
        <v>0</v>
      </c>
      <c r="AG1003" s="24">
        <v>0</v>
      </c>
      <c r="AH1003" s="24">
        <v>1</v>
      </c>
      <c r="AI1003" s="24">
        <v>0</v>
      </c>
      <c r="AJ1003" s="24">
        <v>0</v>
      </c>
      <c r="AK1003" s="24">
        <v>0</v>
      </c>
      <c r="AL1003" s="24">
        <v>1</v>
      </c>
      <c r="AM1003" s="24">
        <v>0</v>
      </c>
      <c r="AN1003" s="24">
        <v>0</v>
      </c>
      <c r="AO1003" s="24">
        <v>0</v>
      </c>
      <c r="AP1003" s="24">
        <v>0</v>
      </c>
      <c r="AQ1003" s="24">
        <v>0</v>
      </c>
      <c r="AR1003" s="24">
        <v>1</v>
      </c>
      <c r="AS1003" s="24">
        <v>0</v>
      </c>
      <c r="AT1003" s="24">
        <v>0</v>
      </c>
      <c r="AU1003" s="24">
        <v>1</v>
      </c>
      <c r="AV1003" s="24">
        <v>0</v>
      </c>
      <c r="AW1003" s="24">
        <v>0</v>
      </c>
      <c r="AX1003" s="24">
        <v>0</v>
      </c>
      <c r="AY1003" s="24">
        <v>0</v>
      </c>
      <c r="AZ1003" s="24">
        <v>0</v>
      </c>
      <c r="BA1003" s="24">
        <v>0</v>
      </c>
      <c r="BB1003" s="24">
        <v>1</v>
      </c>
    </row>
    <row r="1004" spans="2:54" ht="13.8" x14ac:dyDescent="0.3">
      <c r="B1004" s="24">
        <v>984</v>
      </c>
      <c r="C1004" s="24">
        <v>36</v>
      </c>
      <c r="D1004" s="24">
        <v>0</v>
      </c>
      <c r="E1004" s="24">
        <v>1</v>
      </c>
      <c r="F1004" s="24">
        <v>0</v>
      </c>
      <c r="G1004" s="24">
        <v>0</v>
      </c>
      <c r="H1004" s="24">
        <v>0</v>
      </c>
      <c r="I1004" s="24">
        <v>0</v>
      </c>
      <c r="J1004" s="24">
        <v>8229</v>
      </c>
      <c r="K1004" s="24">
        <v>2</v>
      </c>
      <c r="L1004" s="24">
        <v>0</v>
      </c>
      <c r="M1004" s="24">
        <v>1</v>
      </c>
      <c r="N1004" s="24">
        <v>0</v>
      </c>
      <c r="O1004" s="24">
        <v>0</v>
      </c>
      <c r="P1004" s="24">
        <v>0</v>
      </c>
      <c r="Q1004" s="24">
        <v>0</v>
      </c>
      <c r="R1004" s="24">
        <v>0</v>
      </c>
      <c r="S1004" s="24">
        <v>26</v>
      </c>
      <c r="T1004" s="24">
        <v>0</v>
      </c>
      <c r="U1004" s="24">
        <v>0</v>
      </c>
      <c r="V1004" s="24">
        <v>1</v>
      </c>
      <c r="W1004" s="24">
        <v>1</v>
      </c>
      <c r="X1004" s="24">
        <v>2</v>
      </c>
      <c r="Y1004" s="24">
        <v>0</v>
      </c>
      <c r="Z1004" s="24">
        <v>0</v>
      </c>
      <c r="AA1004" s="24">
        <v>0</v>
      </c>
      <c r="AB1004" s="24">
        <v>1</v>
      </c>
      <c r="AC1004" s="24">
        <v>0</v>
      </c>
      <c r="AD1004" s="24">
        <v>0</v>
      </c>
      <c r="AE1004" s="24">
        <v>0</v>
      </c>
      <c r="AF1004" s="24">
        <v>0</v>
      </c>
      <c r="AG1004" s="24">
        <v>0</v>
      </c>
      <c r="AH1004" s="24">
        <v>1</v>
      </c>
      <c r="AI1004" s="24">
        <v>0</v>
      </c>
      <c r="AJ1004" s="24">
        <v>0</v>
      </c>
      <c r="AK1004" s="24">
        <v>1</v>
      </c>
      <c r="AL1004" s="24">
        <v>0</v>
      </c>
      <c r="AM1004" s="24">
        <v>0</v>
      </c>
      <c r="AN1004" s="24">
        <v>0</v>
      </c>
      <c r="AO1004" s="24">
        <v>0</v>
      </c>
      <c r="AP1004" s="24">
        <v>0</v>
      </c>
      <c r="AQ1004" s="24">
        <v>0</v>
      </c>
      <c r="AR1004" s="24">
        <v>1</v>
      </c>
      <c r="AS1004" s="24">
        <v>0</v>
      </c>
      <c r="AT1004" s="24">
        <v>0</v>
      </c>
      <c r="AU1004" s="24">
        <v>0</v>
      </c>
      <c r="AV1004" s="24">
        <v>1</v>
      </c>
      <c r="AW1004" s="24">
        <v>0</v>
      </c>
      <c r="AX1004" s="24">
        <v>0</v>
      </c>
      <c r="AY1004" s="24">
        <v>0</v>
      </c>
      <c r="AZ1004" s="24">
        <v>0</v>
      </c>
      <c r="BA1004" s="24">
        <v>1</v>
      </c>
      <c r="BB1004" s="24">
        <v>0</v>
      </c>
    </row>
    <row r="1005" spans="2:54" ht="13.8" x14ac:dyDescent="0.3">
      <c r="B1005" s="24">
        <v>985</v>
      </c>
      <c r="C1005" s="24">
        <v>24</v>
      </c>
      <c r="D1005" s="24">
        <v>0</v>
      </c>
      <c r="E1005" s="24">
        <v>0</v>
      </c>
      <c r="F1005" s="24">
        <v>1</v>
      </c>
      <c r="G1005" s="24">
        <v>0</v>
      </c>
      <c r="H1005" s="24">
        <v>0</v>
      </c>
      <c r="I1005" s="24">
        <v>0</v>
      </c>
      <c r="J1005" s="24">
        <v>2028</v>
      </c>
      <c r="K1005" s="24">
        <v>2</v>
      </c>
      <c r="L1005" s="24">
        <v>0</v>
      </c>
      <c r="M1005" s="24">
        <v>1</v>
      </c>
      <c r="N1005" s="24">
        <v>0</v>
      </c>
      <c r="O1005" s="24">
        <v>0</v>
      </c>
      <c r="P1005" s="24">
        <v>0</v>
      </c>
      <c r="Q1005" s="24">
        <v>0</v>
      </c>
      <c r="R1005" s="24">
        <v>0</v>
      </c>
      <c r="S1005" s="24">
        <v>30</v>
      </c>
      <c r="T1005" s="24">
        <v>0</v>
      </c>
      <c r="U1005" s="24">
        <v>0</v>
      </c>
      <c r="V1005" s="24">
        <v>1</v>
      </c>
      <c r="W1005" s="24">
        <v>2</v>
      </c>
      <c r="X1005" s="24">
        <v>1</v>
      </c>
      <c r="Y1005" s="24">
        <v>0</v>
      </c>
      <c r="Z1005" s="24">
        <v>0</v>
      </c>
      <c r="AA1005" s="24">
        <v>1</v>
      </c>
      <c r="AB1005" s="24">
        <v>0</v>
      </c>
      <c r="AC1005" s="24">
        <v>0</v>
      </c>
      <c r="AD1005" s="24">
        <v>0</v>
      </c>
      <c r="AE1005" s="24">
        <v>1</v>
      </c>
      <c r="AF1005" s="24">
        <v>0</v>
      </c>
      <c r="AG1005" s="24">
        <v>0</v>
      </c>
      <c r="AH1005" s="24">
        <v>0</v>
      </c>
      <c r="AI1005" s="24">
        <v>0</v>
      </c>
      <c r="AJ1005" s="24">
        <v>1</v>
      </c>
      <c r="AK1005" s="24">
        <v>1</v>
      </c>
      <c r="AL1005" s="24">
        <v>0</v>
      </c>
      <c r="AM1005" s="24">
        <v>0</v>
      </c>
      <c r="AN1005" s="24">
        <v>0</v>
      </c>
      <c r="AO1005" s="24">
        <v>0</v>
      </c>
      <c r="AP1005" s="24">
        <v>0</v>
      </c>
      <c r="AQ1005" s="24">
        <v>0</v>
      </c>
      <c r="AR1005" s="24">
        <v>0</v>
      </c>
      <c r="AS1005" s="24">
        <v>1</v>
      </c>
      <c r="AT1005" s="24">
        <v>0</v>
      </c>
      <c r="AU1005" s="24">
        <v>0</v>
      </c>
      <c r="AV1005" s="24">
        <v>1</v>
      </c>
      <c r="AW1005" s="24">
        <v>0</v>
      </c>
      <c r="AX1005" s="24">
        <v>0</v>
      </c>
      <c r="AY1005" s="24">
        <v>0</v>
      </c>
      <c r="AZ1005" s="24">
        <v>1</v>
      </c>
      <c r="BA1005" s="24">
        <v>0</v>
      </c>
      <c r="BB1005" s="24">
        <v>0</v>
      </c>
    </row>
    <row r="1006" spans="2:54" ht="13.8" x14ac:dyDescent="0.3">
      <c r="B1006" s="24">
        <v>986</v>
      </c>
      <c r="C1006" s="24">
        <v>15</v>
      </c>
      <c r="D1006" s="24">
        <v>0</v>
      </c>
      <c r="E1006" s="24">
        <v>0</v>
      </c>
      <c r="F1006" s="24">
        <v>1</v>
      </c>
      <c r="G1006" s="24">
        <v>0</v>
      </c>
      <c r="H1006" s="24">
        <v>0</v>
      </c>
      <c r="I1006" s="24">
        <v>0</v>
      </c>
      <c r="J1006" s="24">
        <v>1433</v>
      </c>
      <c r="K1006" s="24">
        <v>4</v>
      </c>
      <c r="L1006" s="24">
        <v>0</v>
      </c>
      <c r="M1006" s="24">
        <v>0</v>
      </c>
      <c r="N1006" s="24">
        <v>0</v>
      </c>
      <c r="O1006" s="24">
        <v>0</v>
      </c>
      <c r="P1006" s="24">
        <v>0</v>
      </c>
      <c r="Q1006" s="24">
        <v>0</v>
      </c>
      <c r="R1006" s="24">
        <v>0</v>
      </c>
      <c r="S1006" s="24">
        <v>25</v>
      </c>
      <c r="T1006" s="24">
        <v>0</v>
      </c>
      <c r="U1006" s="24">
        <v>1</v>
      </c>
      <c r="V1006" s="24">
        <v>0</v>
      </c>
      <c r="W1006" s="24">
        <v>2</v>
      </c>
      <c r="X1006" s="24">
        <v>1</v>
      </c>
      <c r="Y1006" s="24">
        <v>0</v>
      </c>
      <c r="Z1006" s="24">
        <v>0</v>
      </c>
      <c r="AA1006" s="24">
        <v>1</v>
      </c>
      <c r="AB1006" s="24">
        <v>1</v>
      </c>
      <c r="AC1006" s="24">
        <v>0</v>
      </c>
      <c r="AD1006" s="24">
        <v>0</v>
      </c>
      <c r="AE1006" s="24">
        <v>0</v>
      </c>
      <c r="AF1006" s="24">
        <v>0</v>
      </c>
      <c r="AG1006" s="24">
        <v>0</v>
      </c>
      <c r="AH1006" s="24">
        <v>0</v>
      </c>
      <c r="AI1006" s="24">
        <v>0</v>
      </c>
      <c r="AJ1006" s="24">
        <v>1</v>
      </c>
      <c r="AK1006" s="24">
        <v>1</v>
      </c>
      <c r="AL1006" s="24">
        <v>0</v>
      </c>
      <c r="AM1006" s="24">
        <v>0</v>
      </c>
      <c r="AN1006" s="24">
        <v>0</v>
      </c>
      <c r="AO1006" s="24">
        <v>0</v>
      </c>
      <c r="AP1006" s="24">
        <v>0</v>
      </c>
      <c r="AQ1006" s="24">
        <v>0</v>
      </c>
      <c r="AR1006" s="24">
        <v>1</v>
      </c>
      <c r="AS1006" s="24">
        <v>0</v>
      </c>
      <c r="AT1006" s="24">
        <v>0</v>
      </c>
      <c r="AU1006" s="24">
        <v>0</v>
      </c>
      <c r="AV1006" s="24">
        <v>0</v>
      </c>
      <c r="AW1006" s="24">
        <v>1</v>
      </c>
      <c r="AX1006" s="24">
        <v>0</v>
      </c>
      <c r="AY1006" s="24">
        <v>0</v>
      </c>
      <c r="AZ1006" s="24">
        <v>0</v>
      </c>
      <c r="BA1006" s="24">
        <v>1</v>
      </c>
      <c r="BB1006" s="24">
        <v>0</v>
      </c>
    </row>
    <row r="1007" spans="2:54" ht="13.8" x14ac:dyDescent="0.3">
      <c r="B1007" s="24">
        <v>987</v>
      </c>
      <c r="C1007" s="24">
        <v>42</v>
      </c>
      <c r="D1007" s="24">
        <v>0</v>
      </c>
      <c r="E1007" s="24">
        <v>0</v>
      </c>
      <c r="F1007" s="24">
        <v>0</v>
      </c>
      <c r="G1007" s="24">
        <v>0</v>
      </c>
      <c r="H1007" s="24">
        <v>0</v>
      </c>
      <c r="I1007" s="24">
        <v>1</v>
      </c>
      <c r="J1007" s="24">
        <v>6289</v>
      </c>
      <c r="K1007" s="24">
        <v>2</v>
      </c>
      <c r="L1007" s="24">
        <v>1</v>
      </c>
      <c r="M1007" s="24">
        <v>0</v>
      </c>
      <c r="N1007" s="24">
        <v>0</v>
      </c>
      <c r="O1007" s="24">
        <v>0</v>
      </c>
      <c r="P1007" s="24">
        <v>0</v>
      </c>
      <c r="Q1007" s="24">
        <v>0</v>
      </c>
      <c r="R1007" s="24">
        <v>0</v>
      </c>
      <c r="S1007" s="24">
        <v>33</v>
      </c>
      <c r="T1007" s="24">
        <v>0</v>
      </c>
      <c r="U1007" s="24">
        <v>0</v>
      </c>
      <c r="V1007" s="24">
        <v>1</v>
      </c>
      <c r="W1007" s="24">
        <v>2</v>
      </c>
      <c r="X1007" s="24">
        <v>1</v>
      </c>
      <c r="Y1007" s="24">
        <v>0</v>
      </c>
      <c r="Z1007" s="24">
        <v>0</v>
      </c>
      <c r="AA1007" s="24">
        <v>1</v>
      </c>
      <c r="AB1007" s="24">
        <v>0</v>
      </c>
      <c r="AC1007" s="24">
        <v>0</v>
      </c>
      <c r="AD1007" s="24">
        <v>1</v>
      </c>
      <c r="AE1007" s="24">
        <v>0</v>
      </c>
      <c r="AF1007" s="24">
        <v>1</v>
      </c>
      <c r="AG1007" s="24">
        <v>0</v>
      </c>
      <c r="AH1007" s="24">
        <v>0</v>
      </c>
      <c r="AI1007" s="24">
        <v>0</v>
      </c>
      <c r="AJ1007" s="24">
        <v>0</v>
      </c>
      <c r="AK1007" s="24">
        <v>1</v>
      </c>
      <c r="AL1007" s="24">
        <v>0</v>
      </c>
      <c r="AM1007" s="24">
        <v>0</v>
      </c>
      <c r="AN1007" s="24">
        <v>0</v>
      </c>
      <c r="AO1007" s="24">
        <v>0</v>
      </c>
      <c r="AP1007" s="24">
        <v>0</v>
      </c>
      <c r="AQ1007" s="24">
        <v>1</v>
      </c>
      <c r="AR1007" s="24">
        <v>0</v>
      </c>
      <c r="AS1007" s="24">
        <v>0</v>
      </c>
      <c r="AT1007" s="24">
        <v>0</v>
      </c>
      <c r="AU1007" s="24">
        <v>1</v>
      </c>
      <c r="AV1007" s="24">
        <v>0</v>
      </c>
      <c r="AW1007" s="24">
        <v>0</v>
      </c>
      <c r="AX1007" s="24">
        <v>0</v>
      </c>
      <c r="AY1007" s="24">
        <v>0</v>
      </c>
      <c r="AZ1007" s="24">
        <v>0</v>
      </c>
      <c r="BA1007" s="24">
        <v>1</v>
      </c>
      <c r="BB1007" s="24">
        <v>0</v>
      </c>
    </row>
    <row r="1008" spans="2:54" ht="13.8" x14ac:dyDescent="0.3">
      <c r="B1008" s="24">
        <v>988</v>
      </c>
      <c r="C1008" s="24">
        <v>13</v>
      </c>
      <c r="D1008" s="24">
        <v>0</v>
      </c>
      <c r="E1008" s="24">
        <v>0</v>
      </c>
      <c r="F1008" s="24">
        <v>0</v>
      </c>
      <c r="G1008" s="24">
        <v>1</v>
      </c>
      <c r="H1008" s="24">
        <v>0</v>
      </c>
      <c r="I1008" s="24">
        <v>0</v>
      </c>
      <c r="J1008" s="24">
        <v>1409</v>
      </c>
      <c r="K1008" s="24">
        <v>2</v>
      </c>
      <c r="L1008" s="24">
        <v>0</v>
      </c>
      <c r="M1008" s="24">
        <v>0</v>
      </c>
      <c r="N1008" s="24">
        <v>0</v>
      </c>
      <c r="O1008" s="24">
        <v>0</v>
      </c>
      <c r="P1008" s="24">
        <v>0</v>
      </c>
      <c r="Q1008" s="24">
        <v>1</v>
      </c>
      <c r="R1008" s="24">
        <v>0</v>
      </c>
      <c r="S1008" s="24">
        <v>64</v>
      </c>
      <c r="T1008" s="24">
        <v>0</v>
      </c>
      <c r="U1008" s="24">
        <v>0</v>
      </c>
      <c r="V1008" s="24">
        <v>1</v>
      </c>
      <c r="W1008" s="24">
        <v>1</v>
      </c>
      <c r="X1008" s="24">
        <v>1</v>
      </c>
      <c r="Y1008" s="24">
        <v>0</v>
      </c>
      <c r="Z1008" s="24">
        <v>0</v>
      </c>
      <c r="AA1008" s="24">
        <v>1</v>
      </c>
      <c r="AB1008" s="24">
        <v>0</v>
      </c>
      <c r="AC1008" s="24">
        <v>0</v>
      </c>
      <c r="AD1008" s="24">
        <v>0</v>
      </c>
      <c r="AE1008" s="24">
        <v>1</v>
      </c>
      <c r="AF1008" s="24">
        <v>0</v>
      </c>
      <c r="AG1008" s="24">
        <v>0</v>
      </c>
      <c r="AH1008" s="24">
        <v>1</v>
      </c>
      <c r="AI1008" s="24">
        <v>0</v>
      </c>
      <c r="AJ1008" s="24">
        <v>0</v>
      </c>
      <c r="AK1008" s="24">
        <v>0</v>
      </c>
      <c r="AL1008" s="24">
        <v>1</v>
      </c>
      <c r="AM1008" s="24">
        <v>0</v>
      </c>
      <c r="AN1008" s="24">
        <v>0</v>
      </c>
      <c r="AO1008" s="24">
        <v>0</v>
      </c>
      <c r="AP1008" s="24">
        <v>1</v>
      </c>
      <c r="AQ1008" s="24">
        <v>0</v>
      </c>
      <c r="AR1008" s="24">
        <v>0</v>
      </c>
      <c r="AS1008" s="24">
        <v>0</v>
      </c>
      <c r="AT1008" s="24">
        <v>0</v>
      </c>
      <c r="AU1008" s="24">
        <v>0</v>
      </c>
      <c r="AV1008" s="24">
        <v>0</v>
      </c>
      <c r="AW1008" s="24">
        <v>0</v>
      </c>
      <c r="AX1008" s="24">
        <v>1</v>
      </c>
      <c r="AY1008" s="24">
        <v>0</v>
      </c>
      <c r="AZ1008" s="24">
        <v>0</v>
      </c>
      <c r="BA1008" s="24">
        <v>1</v>
      </c>
      <c r="BB1008" s="24">
        <v>0</v>
      </c>
    </row>
    <row r="1009" spans="2:54" ht="13.8" x14ac:dyDescent="0.3">
      <c r="B1009" s="24">
        <v>989</v>
      </c>
      <c r="C1009" s="24">
        <v>24</v>
      </c>
      <c r="D1009" s="24">
        <v>0</v>
      </c>
      <c r="E1009" s="24">
        <v>1</v>
      </c>
      <c r="F1009" s="24">
        <v>0</v>
      </c>
      <c r="G1009" s="24">
        <v>0</v>
      </c>
      <c r="H1009" s="24">
        <v>0</v>
      </c>
      <c r="I1009" s="24">
        <v>0</v>
      </c>
      <c r="J1009" s="24">
        <v>6579</v>
      </c>
      <c r="K1009" s="24">
        <v>4</v>
      </c>
      <c r="L1009" s="24">
        <v>0</v>
      </c>
      <c r="M1009" s="24">
        <v>1</v>
      </c>
      <c r="N1009" s="24">
        <v>0</v>
      </c>
      <c r="O1009" s="24">
        <v>0</v>
      </c>
      <c r="P1009" s="24">
        <v>0</v>
      </c>
      <c r="Q1009" s="24">
        <v>0</v>
      </c>
      <c r="R1009" s="24">
        <v>1</v>
      </c>
      <c r="S1009" s="24">
        <v>29</v>
      </c>
      <c r="T1009" s="24">
        <v>0</v>
      </c>
      <c r="U1009" s="24">
        <v>0</v>
      </c>
      <c r="V1009" s="24">
        <v>0</v>
      </c>
      <c r="W1009" s="24">
        <v>1</v>
      </c>
      <c r="X1009" s="24">
        <v>1</v>
      </c>
      <c r="Y1009" s="24">
        <v>1</v>
      </c>
      <c r="Z1009" s="24">
        <v>0</v>
      </c>
      <c r="AA1009" s="24">
        <v>1</v>
      </c>
      <c r="AB1009" s="24">
        <v>1</v>
      </c>
      <c r="AC1009" s="24">
        <v>0</v>
      </c>
      <c r="AD1009" s="24">
        <v>0</v>
      </c>
      <c r="AE1009" s="24">
        <v>0</v>
      </c>
      <c r="AF1009" s="24">
        <v>0</v>
      </c>
      <c r="AG1009" s="24">
        <v>0</v>
      </c>
      <c r="AH1009" s="24">
        <v>1</v>
      </c>
      <c r="AI1009" s="24">
        <v>0</v>
      </c>
      <c r="AJ1009" s="24">
        <v>0</v>
      </c>
      <c r="AK1009" s="24">
        <v>1</v>
      </c>
      <c r="AL1009" s="24">
        <v>0</v>
      </c>
      <c r="AM1009" s="24">
        <v>0</v>
      </c>
      <c r="AN1009" s="24">
        <v>0</v>
      </c>
      <c r="AO1009" s="24">
        <v>0</v>
      </c>
      <c r="AP1009" s="24">
        <v>1</v>
      </c>
      <c r="AQ1009" s="24">
        <v>0</v>
      </c>
      <c r="AR1009" s="24">
        <v>0</v>
      </c>
      <c r="AS1009" s="24">
        <v>0</v>
      </c>
      <c r="AT1009" s="24">
        <v>0</v>
      </c>
      <c r="AU1009" s="24">
        <v>0</v>
      </c>
      <c r="AV1009" s="24">
        <v>1</v>
      </c>
      <c r="AW1009" s="24">
        <v>0</v>
      </c>
      <c r="AX1009" s="24">
        <v>0</v>
      </c>
      <c r="AY1009" s="24">
        <v>0</v>
      </c>
      <c r="AZ1009" s="24">
        <v>0</v>
      </c>
      <c r="BA1009" s="24">
        <v>0</v>
      </c>
      <c r="BB1009" s="24">
        <v>1</v>
      </c>
    </row>
    <row r="1010" spans="2:54" ht="13.8" x14ac:dyDescent="0.3">
      <c r="B1010" s="24">
        <v>990</v>
      </c>
      <c r="C1010" s="24">
        <v>24</v>
      </c>
      <c r="D1010" s="24">
        <v>0</v>
      </c>
      <c r="E1010" s="24">
        <v>0</v>
      </c>
      <c r="F1010" s="24">
        <v>0</v>
      </c>
      <c r="G1010" s="24">
        <v>1</v>
      </c>
      <c r="H1010" s="24">
        <v>0</v>
      </c>
      <c r="I1010" s="24">
        <v>0</v>
      </c>
      <c r="J1010" s="24">
        <v>1743</v>
      </c>
      <c r="K1010" s="24">
        <v>4</v>
      </c>
      <c r="L1010" s="24">
        <v>0</v>
      </c>
      <c r="M1010" s="24">
        <v>1</v>
      </c>
      <c r="N1010" s="24">
        <v>0</v>
      </c>
      <c r="O1010" s="24">
        <v>0</v>
      </c>
      <c r="P1010" s="24">
        <v>0</v>
      </c>
      <c r="Q1010" s="24">
        <v>0</v>
      </c>
      <c r="R1010" s="24">
        <v>0</v>
      </c>
      <c r="S1010" s="24">
        <v>48</v>
      </c>
      <c r="T1010" s="24">
        <v>0</v>
      </c>
      <c r="U1010" s="24">
        <v>0</v>
      </c>
      <c r="V1010" s="24">
        <v>1</v>
      </c>
      <c r="W1010" s="24">
        <v>2</v>
      </c>
      <c r="X1010" s="24">
        <v>1</v>
      </c>
      <c r="Y1010" s="24">
        <v>0</v>
      </c>
      <c r="Z1010" s="24">
        <v>0</v>
      </c>
      <c r="AA1010" s="24">
        <v>1</v>
      </c>
      <c r="AB1010" s="24">
        <v>0</v>
      </c>
      <c r="AC1010" s="24">
        <v>1</v>
      </c>
      <c r="AD1010" s="24">
        <v>0</v>
      </c>
      <c r="AE1010" s="24">
        <v>0</v>
      </c>
      <c r="AF1010" s="24">
        <v>0</v>
      </c>
      <c r="AG1010" s="24">
        <v>0</v>
      </c>
      <c r="AH1010" s="24">
        <v>0</v>
      </c>
      <c r="AI1010" s="24">
        <v>0</v>
      </c>
      <c r="AJ1010" s="24">
        <v>1</v>
      </c>
      <c r="AK1010" s="24">
        <v>1</v>
      </c>
      <c r="AL1010" s="24">
        <v>0</v>
      </c>
      <c r="AM1010" s="24">
        <v>0</v>
      </c>
      <c r="AN1010" s="24">
        <v>0</v>
      </c>
      <c r="AO1010" s="24">
        <v>0</v>
      </c>
      <c r="AP1010" s="24">
        <v>0</v>
      </c>
      <c r="AQ1010" s="24">
        <v>0</v>
      </c>
      <c r="AR1010" s="24">
        <v>0</v>
      </c>
      <c r="AS1010" s="24">
        <v>0</v>
      </c>
      <c r="AT1010" s="24">
        <v>1</v>
      </c>
      <c r="AU1010" s="24">
        <v>0</v>
      </c>
      <c r="AV1010" s="24">
        <v>1</v>
      </c>
      <c r="AW1010" s="24">
        <v>0</v>
      </c>
      <c r="AX1010" s="24">
        <v>0</v>
      </c>
      <c r="AY1010" s="24">
        <v>0</v>
      </c>
      <c r="AZ1010" s="24">
        <v>1</v>
      </c>
      <c r="BA1010" s="24">
        <v>0</v>
      </c>
      <c r="BB1010" s="24">
        <v>0</v>
      </c>
    </row>
    <row r="1011" spans="2:54" ht="13.8" x14ac:dyDescent="0.3">
      <c r="B1011" s="24">
        <v>991</v>
      </c>
      <c r="C1011" s="24">
        <v>12</v>
      </c>
      <c r="D1011" s="24">
        <v>0</v>
      </c>
      <c r="E1011" s="24">
        <v>0</v>
      </c>
      <c r="F1011" s="24">
        <v>0</v>
      </c>
      <c r="G1011" s="24">
        <v>0</v>
      </c>
      <c r="H1011" s="24">
        <v>1</v>
      </c>
      <c r="I1011" s="24">
        <v>0</v>
      </c>
      <c r="J1011" s="24">
        <v>3565</v>
      </c>
      <c r="K1011" s="24">
        <v>2</v>
      </c>
      <c r="L1011" s="24">
        <v>0</v>
      </c>
      <c r="M1011" s="24">
        <v>1</v>
      </c>
      <c r="N1011" s="24">
        <v>0</v>
      </c>
      <c r="O1011" s="24">
        <v>0</v>
      </c>
      <c r="P1011" s="24">
        <v>0</v>
      </c>
      <c r="Q1011" s="24">
        <v>0</v>
      </c>
      <c r="R1011" s="24">
        <v>0</v>
      </c>
      <c r="S1011" s="24">
        <v>37</v>
      </c>
      <c r="T1011" s="24">
        <v>0</v>
      </c>
      <c r="U1011" s="24">
        <v>0</v>
      </c>
      <c r="V1011" s="24">
        <v>1</v>
      </c>
      <c r="W1011" s="24">
        <v>2</v>
      </c>
      <c r="X1011" s="24">
        <v>2</v>
      </c>
      <c r="Y1011" s="24">
        <v>0</v>
      </c>
      <c r="Z1011" s="24">
        <v>0</v>
      </c>
      <c r="AA1011" s="24">
        <v>1</v>
      </c>
      <c r="AB1011" s="24">
        <v>0</v>
      </c>
      <c r="AC1011" s="24">
        <v>0</v>
      </c>
      <c r="AD1011" s="24">
        <v>0</v>
      </c>
      <c r="AE1011" s="24">
        <v>1</v>
      </c>
      <c r="AF1011" s="24">
        <v>0</v>
      </c>
      <c r="AG1011" s="24">
        <v>0</v>
      </c>
      <c r="AH1011" s="24">
        <v>0</v>
      </c>
      <c r="AI1011" s="24">
        <v>0</v>
      </c>
      <c r="AJ1011" s="24">
        <v>1</v>
      </c>
      <c r="AK1011" s="24">
        <v>0</v>
      </c>
      <c r="AL1011" s="24">
        <v>0</v>
      </c>
      <c r="AM1011" s="24">
        <v>0</v>
      </c>
      <c r="AN1011" s="24">
        <v>0</v>
      </c>
      <c r="AO1011" s="24">
        <v>1</v>
      </c>
      <c r="AP1011" s="24">
        <v>0</v>
      </c>
      <c r="AQ1011" s="24">
        <v>1</v>
      </c>
      <c r="AR1011" s="24">
        <v>0</v>
      </c>
      <c r="AS1011" s="24">
        <v>0</v>
      </c>
      <c r="AT1011" s="24">
        <v>0</v>
      </c>
      <c r="AU1011" s="24">
        <v>1</v>
      </c>
      <c r="AV1011" s="24">
        <v>0</v>
      </c>
      <c r="AW1011" s="24">
        <v>0</v>
      </c>
      <c r="AX1011" s="24">
        <v>0</v>
      </c>
      <c r="AY1011" s="24">
        <v>0</v>
      </c>
      <c r="AZ1011" s="24">
        <v>1</v>
      </c>
      <c r="BA1011" s="24">
        <v>0</v>
      </c>
      <c r="BB1011" s="24">
        <v>0</v>
      </c>
    </row>
    <row r="1012" spans="2:54" ht="13.8" x14ac:dyDescent="0.3">
      <c r="B1012" s="24">
        <v>992</v>
      </c>
      <c r="C1012" s="24">
        <v>15</v>
      </c>
      <c r="D1012" s="24">
        <v>0</v>
      </c>
      <c r="E1012" s="24">
        <v>0</v>
      </c>
      <c r="F1012" s="24">
        <v>0</v>
      </c>
      <c r="G1012" s="24">
        <v>1</v>
      </c>
      <c r="H1012" s="24">
        <v>0</v>
      </c>
      <c r="I1012" s="24">
        <v>0</v>
      </c>
      <c r="J1012" s="24">
        <v>1569</v>
      </c>
      <c r="K1012" s="24">
        <v>4</v>
      </c>
      <c r="L1012" s="24">
        <v>0</v>
      </c>
      <c r="M1012" s="24">
        <v>1</v>
      </c>
      <c r="N1012" s="24">
        <v>0</v>
      </c>
      <c r="O1012" s="24">
        <v>0</v>
      </c>
      <c r="P1012" s="24">
        <v>0</v>
      </c>
      <c r="Q1012" s="24">
        <v>0</v>
      </c>
      <c r="R1012" s="24">
        <v>0</v>
      </c>
      <c r="S1012" s="24">
        <v>34</v>
      </c>
      <c r="T1012" s="24">
        <v>1</v>
      </c>
      <c r="U1012" s="24">
        <v>0</v>
      </c>
      <c r="V1012" s="24">
        <v>1</v>
      </c>
      <c r="W1012" s="24">
        <v>1</v>
      </c>
      <c r="X1012" s="24">
        <v>2</v>
      </c>
      <c r="Y1012" s="24">
        <v>0</v>
      </c>
      <c r="Z1012" s="24">
        <v>0</v>
      </c>
      <c r="AA1012" s="24">
        <v>1</v>
      </c>
      <c r="AB1012" s="24">
        <v>0</v>
      </c>
      <c r="AC1012" s="24">
        <v>0</v>
      </c>
      <c r="AD1012" s="24">
        <v>0</v>
      </c>
      <c r="AE1012" s="24">
        <v>1</v>
      </c>
      <c r="AF1012" s="24">
        <v>0</v>
      </c>
      <c r="AG1012" s="24">
        <v>1</v>
      </c>
      <c r="AH1012" s="24">
        <v>0</v>
      </c>
      <c r="AI1012" s="24">
        <v>0</v>
      </c>
      <c r="AJ1012" s="24">
        <v>0</v>
      </c>
      <c r="AK1012" s="24">
        <v>0</v>
      </c>
      <c r="AL1012" s="24">
        <v>1</v>
      </c>
      <c r="AM1012" s="24">
        <v>0</v>
      </c>
      <c r="AN1012" s="24">
        <v>0</v>
      </c>
      <c r="AO1012" s="24">
        <v>0</v>
      </c>
      <c r="AP1012" s="24">
        <v>0</v>
      </c>
      <c r="AQ1012" s="24">
        <v>0</v>
      </c>
      <c r="AR1012" s="24">
        <v>0</v>
      </c>
      <c r="AS1012" s="24">
        <v>0</v>
      </c>
      <c r="AT1012" s="24">
        <v>1</v>
      </c>
      <c r="AU1012" s="24">
        <v>0</v>
      </c>
      <c r="AV1012" s="24">
        <v>0</v>
      </c>
      <c r="AW1012" s="24">
        <v>0</v>
      </c>
      <c r="AX1012" s="24">
        <v>1</v>
      </c>
      <c r="AY1012" s="24">
        <v>0</v>
      </c>
      <c r="AZ1012" s="24">
        <v>1</v>
      </c>
      <c r="BA1012" s="24">
        <v>0</v>
      </c>
      <c r="BB1012" s="24">
        <v>0</v>
      </c>
    </row>
    <row r="1013" spans="2:54" ht="13.8" x14ac:dyDescent="0.3">
      <c r="B1013" s="24">
        <v>993</v>
      </c>
      <c r="C1013" s="24">
        <v>18</v>
      </c>
      <c r="D1013" s="24">
        <v>0</v>
      </c>
      <c r="E1013" s="24">
        <v>0</v>
      </c>
      <c r="F1013" s="24">
        <v>0</v>
      </c>
      <c r="G1013" s="24">
        <v>1</v>
      </c>
      <c r="H1013" s="24">
        <v>0</v>
      </c>
      <c r="I1013" s="24">
        <v>0</v>
      </c>
      <c r="J1013" s="24">
        <v>1936</v>
      </c>
      <c r="K1013" s="24">
        <v>2</v>
      </c>
      <c r="L1013" s="24">
        <v>0</v>
      </c>
      <c r="M1013" s="24">
        <v>0</v>
      </c>
      <c r="N1013" s="24">
        <v>1</v>
      </c>
      <c r="O1013" s="24">
        <v>0</v>
      </c>
      <c r="P1013" s="24">
        <v>0</v>
      </c>
      <c r="Q1013" s="24">
        <v>0</v>
      </c>
      <c r="R1013" s="24">
        <v>0</v>
      </c>
      <c r="S1013" s="24">
        <v>23</v>
      </c>
      <c r="T1013" s="24">
        <v>0</v>
      </c>
      <c r="U1013" s="24">
        <v>1</v>
      </c>
      <c r="V1013" s="24">
        <v>0</v>
      </c>
      <c r="W1013" s="24">
        <v>2</v>
      </c>
      <c r="X1013" s="24">
        <v>1</v>
      </c>
      <c r="Y1013" s="24">
        <v>0</v>
      </c>
      <c r="Z1013" s="24">
        <v>0</v>
      </c>
      <c r="AA1013" s="24">
        <v>1</v>
      </c>
      <c r="AB1013" s="24">
        <v>1</v>
      </c>
      <c r="AC1013" s="24">
        <v>0</v>
      </c>
      <c r="AD1013" s="24">
        <v>0</v>
      </c>
      <c r="AE1013" s="24">
        <v>0</v>
      </c>
      <c r="AF1013" s="24">
        <v>0</v>
      </c>
      <c r="AG1013" s="24">
        <v>0</v>
      </c>
      <c r="AH1013" s="24">
        <v>1</v>
      </c>
      <c r="AI1013" s="24">
        <v>0</v>
      </c>
      <c r="AJ1013" s="24">
        <v>0</v>
      </c>
      <c r="AK1013" s="24">
        <v>0</v>
      </c>
      <c r="AL1013" s="24">
        <v>0</v>
      </c>
      <c r="AM1013" s="24">
        <v>0</v>
      </c>
      <c r="AN1013" s="24">
        <v>0</v>
      </c>
      <c r="AO1013" s="24">
        <v>1</v>
      </c>
      <c r="AP1013" s="24">
        <v>0</v>
      </c>
      <c r="AQ1013" s="24">
        <v>0</v>
      </c>
      <c r="AR1013" s="24">
        <v>0</v>
      </c>
      <c r="AS1013" s="24">
        <v>1</v>
      </c>
      <c r="AT1013" s="24">
        <v>0</v>
      </c>
      <c r="AU1013" s="24">
        <v>0</v>
      </c>
      <c r="AV1013" s="24">
        <v>0</v>
      </c>
      <c r="AW1013" s="24">
        <v>0</v>
      </c>
      <c r="AX1013" s="24">
        <v>1</v>
      </c>
      <c r="AY1013" s="24">
        <v>0</v>
      </c>
      <c r="AZ1013" s="24">
        <v>1</v>
      </c>
      <c r="BA1013" s="24">
        <v>0</v>
      </c>
      <c r="BB1013" s="24">
        <v>0</v>
      </c>
    </row>
    <row r="1014" spans="2:54" ht="13.8" x14ac:dyDescent="0.3">
      <c r="B1014" s="24">
        <v>994</v>
      </c>
      <c r="C1014" s="24">
        <v>36</v>
      </c>
      <c r="D1014" s="24">
        <v>0</v>
      </c>
      <c r="E1014" s="24">
        <v>0</v>
      </c>
      <c r="F1014" s="24">
        <v>1</v>
      </c>
      <c r="G1014" s="24">
        <v>0</v>
      </c>
      <c r="H1014" s="24">
        <v>0</v>
      </c>
      <c r="I1014" s="24">
        <v>0</v>
      </c>
      <c r="J1014" s="24">
        <v>3959</v>
      </c>
      <c r="K1014" s="24">
        <v>4</v>
      </c>
      <c r="L1014" s="24">
        <v>0</v>
      </c>
      <c r="M1014" s="24">
        <v>1</v>
      </c>
      <c r="N1014" s="24">
        <v>0</v>
      </c>
      <c r="O1014" s="24">
        <v>0</v>
      </c>
      <c r="P1014" s="24">
        <v>0</v>
      </c>
      <c r="Q1014" s="24">
        <v>0</v>
      </c>
      <c r="R1014" s="24">
        <v>0</v>
      </c>
      <c r="S1014" s="24">
        <v>30</v>
      </c>
      <c r="T1014" s="24">
        <v>0</v>
      </c>
      <c r="U1014" s="24">
        <v>0</v>
      </c>
      <c r="V1014" s="24">
        <v>1</v>
      </c>
      <c r="W1014" s="24">
        <v>1</v>
      </c>
      <c r="X1014" s="24">
        <v>1</v>
      </c>
      <c r="Y1014" s="24">
        <v>1</v>
      </c>
      <c r="Z1014" s="24">
        <v>0</v>
      </c>
      <c r="AA1014" s="24">
        <v>1</v>
      </c>
      <c r="AB1014" s="24">
        <v>1</v>
      </c>
      <c r="AC1014" s="24">
        <v>0</v>
      </c>
      <c r="AD1014" s="24">
        <v>0</v>
      </c>
      <c r="AE1014" s="24">
        <v>0</v>
      </c>
      <c r="AF1014" s="24">
        <v>0</v>
      </c>
      <c r="AG1014" s="24">
        <v>0</v>
      </c>
      <c r="AH1014" s="24">
        <v>1</v>
      </c>
      <c r="AI1014" s="24">
        <v>0</v>
      </c>
      <c r="AJ1014" s="24">
        <v>0</v>
      </c>
      <c r="AK1014" s="24">
        <v>1</v>
      </c>
      <c r="AL1014" s="24">
        <v>0</v>
      </c>
      <c r="AM1014" s="24">
        <v>0</v>
      </c>
      <c r="AN1014" s="24">
        <v>0</v>
      </c>
      <c r="AO1014" s="24">
        <v>0</v>
      </c>
      <c r="AP1014" s="24">
        <v>1</v>
      </c>
      <c r="AQ1014" s="24">
        <v>0</v>
      </c>
      <c r="AR1014" s="24">
        <v>0</v>
      </c>
      <c r="AS1014" s="24">
        <v>0</v>
      </c>
      <c r="AT1014" s="24">
        <v>0</v>
      </c>
      <c r="AU1014" s="24">
        <v>0</v>
      </c>
      <c r="AV1014" s="24">
        <v>0</v>
      </c>
      <c r="AW1014" s="24">
        <v>1</v>
      </c>
      <c r="AX1014" s="24">
        <v>0</v>
      </c>
      <c r="AY1014" s="24">
        <v>0</v>
      </c>
      <c r="AZ1014" s="24">
        <v>0</v>
      </c>
      <c r="BA1014" s="24">
        <v>0</v>
      </c>
      <c r="BB1014" s="24">
        <v>1</v>
      </c>
    </row>
    <row r="1015" spans="2:54" ht="13.8" x14ac:dyDescent="0.3">
      <c r="B1015" s="24">
        <v>995</v>
      </c>
      <c r="C1015" s="24">
        <v>12</v>
      </c>
      <c r="D1015" s="24">
        <v>1</v>
      </c>
      <c r="E1015" s="24">
        <v>0</v>
      </c>
      <c r="F1015" s="24">
        <v>0</v>
      </c>
      <c r="G1015" s="24">
        <v>0</v>
      </c>
      <c r="H1015" s="24">
        <v>0</v>
      </c>
      <c r="I1015" s="24">
        <v>0</v>
      </c>
      <c r="J1015" s="24">
        <v>2390</v>
      </c>
      <c r="K1015" s="24">
        <v>4</v>
      </c>
      <c r="L1015" s="24">
        <v>0</v>
      </c>
      <c r="M1015" s="24">
        <v>1</v>
      </c>
      <c r="N1015" s="24">
        <v>0</v>
      </c>
      <c r="O1015" s="24">
        <v>0</v>
      </c>
      <c r="P1015" s="24">
        <v>0</v>
      </c>
      <c r="Q1015" s="24">
        <v>0</v>
      </c>
      <c r="R1015" s="24">
        <v>0</v>
      </c>
      <c r="S1015" s="24">
        <v>50</v>
      </c>
      <c r="T1015" s="24">
        <v>0</v>
      </c>
      <c r="U1015" s="24">
        <v>0</v>
      </c>
      <c r="V1015" s="24">
        <v>1</v>
      </c>
      <c r="W1015" s="24">
        <v>1</v>
      </c>
      <c r="X1015" s="24">
        <v>1</v>
      </c>
      <c r="Y1015" s="24">
        <v>1</v>
      </c>
      <c r="Z1015" s="24">
        <v>0</v>
      </c>
      <c r="AA1015" s="24">
        <v>1</v>
      </c>
      <c r="AB1015" s="24">
        <v>0</v>
      </c>
      <c r="AC1015" s="24">
        <v>0</v>
      </c>
      <c r="AD1015" s="24">
        <v>0</v>
      </c>
      <c r="AE1015" s="24">
        <v>1</v>
      </c>
      <c r="AF1015" s="24">
        <v>0</v>
      </c>
      <c r="AG1015" s="24">
        <v>0</v>
      </c>
      <c r="AH1015" s="24">
        <v>1</v>
      </c>
      <c r="AI1015" s="24">
        <v>0</v>
      </c>
      <c r="AJ1015" s="24">
        <v>0</v>
      </c>
      <c r="AK1015" s="24">
        <v>0</v>
      </c>
      <c r="AL1015" s="24">
        <v>0</v>
      </c>
      <c r="AM1015" s="24">
        <v>0</v>
      </c>
      <c r="AN1015" s="24">
        <v>0</v>
      </c>
      <c r="AO1015" s="24">
        <v>1</v>
      </c>
      <c r="AP1015" s="24">
        <v>0</v>
      </c>
      <c r="AQ1015" s="24">
        <v>0</v>
      </c>
      <c r="AR1015" s="24">
        <v>0</v>
      </c>
      <c r="AS1015" s="24">
        <v>0</v>
      </c>
      <c r="AT1015" s="24">
        <v>1</v>
      </c>
      <c r="AU1015" s="24">
        <v>0</v>
      </c>
      <c r="AV1015" s="24">
        <v>0</v>
      </c>
      <c r="AW1015" s="24">
        <v>1</v>
      </c>
      <c r="AX1015" s="24">
        <v>0</v>
      </c>
      <c r="AY1015" s="24">
        <v>0</v>
      </c>
      <c r="AZ1015" s="24">
        <v>0</v>
      </c>
      <c r="BA1015" s="24">
        <v>1</v>
      </c>
      <c r="BB1015" s="24">
        <v>0</v>
      </c>
    </row>
    <row r="1016" spans="2:54" ht="13.8" x14ac:dyDescent="0.3">
      <c r="B1016" s="24">
        <v>996</v>
      </c>
      <c r="C1016" s="24">
        <v>12</v>
      </c>
      <c r="D1016" s="24">
        <v>0</v>
      </c>
      <c r="E1016" s="24">
        <v>0</v>
      </c>
      <c r="F1016" s="24">
        <v>1</v>
      </c>
      <c r="G1016" s="24">
        <v>0</v>
      </c>
      <c r="H1016" s="24">
        <v>0</v>
      </c>
      <c r="I1016" s="24">
        <v>0</v>
      </c>
      <c r="J1016" s="24">
        <v>1736</v>
      </c>
      <c r="K1016" s="24">
        <v>3</v>
      </c>
      <c r="L1016" s="24">
        <v>0</v>
      </c>
      <c r="M1016" s="24">
        <v>0</v>
      </c>
      <c r="N1016" s="24">
        <v>0</v>
      </c>
      <c r="O1016" s="24">
        <v>0</v>
      </c>
      <c r="P1016" s="24">
        <v>0</v>
      </c>
      <c r="Q1016" s="24">
        <v>1</v>
      </c>
      <c r="R1016" s="24">
        <v>0</v>
      </c>
      <c r="S1016" s="24">
        <v>31</v>
      </c>
      <c r="T1016" s="24">
        <v>0</v>
      </c>
      <c r="U1016" s="24">
        <v>0</v>
      </c>
      <c r="V1016" s="24">
        <v>1</v>
      </c>
      <c r="W1016" s="24">
        <v>1</v>
      </c>
      <c r="X1016" s="24">
        <v>1</v>
      </c>
      <c r="Y1016" s="24">
        <v>0</v>
      </c>
      <c r="Z1016" s="24">
        <v>0</v>
      </c>
      <c r="AA1016" s="24">
        <v>1</v>
      </c>
      <c r="AB1016" s="24">
        <v>0</v>
      </c>
      <c r="AC1016" s="24">
        <v>0</v>
      </c>
      <c r="AD1016" s="24">
        <v>0</v>
      </c>
      <c r="AE1016" s="24">
        <v>1</v>
      </c>
      <c r="AF1016" s="24">
        <v>0</v>
      </c>
      <c r="AG1016" s="24">
        <v>0</v>
      </c>
      <c r="AH1016" s="24">
        <v>1</v>
      </c>
      <c r="AI1016" s="24">
        <v>0</v>
      </c>
      <c r="AJ1016" s="24">
        <v>0</v>
      </c>
      <c r="AK1016" s="24">
        <v>1</v>
      </c>
      <c r="AL1016" s="24">
        <v>0</v>
      </c>
      <c r="AM1016" s="24">
        <v>0</v>
      </c>
      <c r="AN1016" s="24">
        <v>0</v>
      </c>
      <c r="AO1016" s="24">
        <v>0</v>
      </c>
      <c r="AP1016" s="24">
        <v>0</v>
      </c>
      <c r="AQ1016" s="24">
        <v>0</v>
      </c>
      <c r="AR1016" s="24">
        <v>0</v>
      </c>
      <c r="AS1016" s="24">
        <v>1</v>
      </c>
      <c r="AT1016" s="24">
        <v>0</v>
      </c>
      <c r="AU1016" s="24">
        <v>0</v>
      </c>
      <c r="AV1016" s="24">
        <v>0</v>
      </c>
      <c r="AW1016" s="24">
        <v>0</v>
      </c>
      <c r="AX1016" s="24">
        <v>1</v>
      </c>
      <c r="AY1016" s="24">
        <v>0</v>
      </c>
      <c r="AZ1016" s="24">
        <v>1</v>
      </c>
      <c r="BA1016" s="24">
        <v>0</v>
      </c>
      <c r="BB1016" s="24">
        <v>0</v>
      </c>
    </row>
    <row r="1017" spans="2:54" ht="13.8" x14ac:dyDescent="0.3">
      <c r="B1017" s="24">
        <v>997</v>
      </c>
      <c r="C1017" s="24">
        <v>30</v>
      </c>
      <c r="D1017" s="24">
        <v>0</v>
      </c>
      <c r="E1017" s="24">
        <v>1</v>
      </c>
      <c r="F1017" s="24">
        <v>0</v>
      </c>
      <c r="G1017" s="24">
        <v>0</v>
      </c>
      <c r="H1017" s="24">
        <v>0</v>
      </c>
      <c r="I1017" s="24">
        <v>0</v>
      </c>
      <c r="J1017" s="24">
        <v>3857</v>
      </c>
      <c r="K1017" s="24">
        <v>4</v>
      </c>
      <c r="L1017" s="24">
        <v>1</v>
      </c>
      <c r="M1017" s="24">
        <v>0</v>
      </c>
      <c r="N1017" s="24">
        <v>0</v>
      </c>
      <c r="O1017" s="24">
        <v>0</v>
      </c>
      <c r="P1017" s="24">
        <v>0</v>
      </c>
      <c r="Q1017" s="24">
        <v>0</v>
      </c>
      <c r="R1017" s="24">
        <v>0</v>
      </c>
      <c r="S1017" s="24">
        <v>40</v>
      </c>
      <c r="T1017" s="24">
        <v>0</v>
      </c>
      <c r="U1017" s="24">
        <v>0</v>
      </c>
      <c r="V1017" s="24">
        <v>1</v>
      </c>
      <c r="W1017" s="24">
        <v>1</v>
      </c>
      <c r="X1017" s="24">
        <v>1</v>
      </c>
      <c r="Y1017" s="24">
        <v>1</v>
      </c>
      <c r="Z1017" s="24">
        <v>0</v>
      </c>
      <c r="AA1017" s="24">
        <v>1</v>
      </c>
      <c r="AB1017" s="24">
        <v>1</v>
      </c>
      <c r="AC1017" s="24">
        <v>0</v>
      </c>
      <c r="AD1017" s="24">
        <v>0</v>
      </c>
      <c r="AE1017" s="24">
        <v>0</v>
      </c>
      <c r="AF1017" s="24">
        <v>0</v>
      </c>
      <c r="AG1017" s="24">
        <v>0</v>
      </c>
      <c r="AH1017" s="24">
        <v>1</v>
      </c>
      <c r="AI1017" s="24">
        <v>0</v>
      </c>
      <c r="AJ1017" s="24">
        <v>0</v>
      </c>
      <c r="AK1017" s="24">
        <v>1</v>
      </c>
      <c r="AL1017" s="24">
        <v>0</v>
      </c>
      <c r="AM1017" s="24">
        <v>0</v>
      </c>
      <c r="AN1017" s="24">
        <v>0</v>
      </c>
      <c r="AO1017" s="24">
        <v>0</v>
      </c>
      <c r="AP1017" s="24">
        <v>0</v>
      </c>
      <c r="AQ1017" s="24">
        <v>0</v>
      </c>
      <c r="AR1017" s="24">
        <v>1</v>
      </c>
      <c r="AS1017" s="24">
        <v>0</v>
      </c>
      <c r="AT1017" s="24">
        <v>0</v>
      </c>
      <c r="AU1017" s="24">
        <v>0</v>
      </c>
      <c r="AV1017" s="24">
        <v>0</v>
      </c>
      <c r="AW1017" s="24">
        <v>0</v>
      </c>
      <c r="AX1017" s="24">
        <v>1</v>
      </c>
      <c r="AY1017" s="24">
        <v>0</v>
      </c>
      <c r="AZ1017" s="24">
        <v>0</v>
      </c>
      <c r="BA1017" s="24">
        <v>0</v>
      </c>
      <c r="BB1017" s="24">
        <v>1</v>
      </c>
    </row>
    <row r="1018" spans="2:54" ht="13.8" x14ac:dyDescent="0.3">
      <c r="B1018" s="24">
        <v>998</v>
      </c>
      <c r="C1018" s="24">
        <v>12</v>
      </c>
      <c r="D1018" s="24">
        <v>0</v>
      </c>
      <c r="E1018" s="24">
        <v>0</v>
      </c>
      <c r="F1018" s="24">
        <v>0</v>
      </c>
      <c r="G1018" s="24">
        <v>1</v>
      </c>
      <c r="H1018" s="24">
        <v>0</v>
      </c>
      <c r="I1018" s="24">
        <v>0</v>
      </c>
      <c r="J1018" s="24">
        <v>804</v>
      </c>
      <c r="K1018" s="24">
        <v>4</v>
      </c>
      <c r="L1018" s="24">
        <v>0</v>
      </c>
      <c r="M1018" s="24">
        <v>1</v>
      </c>
      <c r="N1018" s="24">
        <v>0</v>
      </c>
      <c r="O1018" s="24">
        <v>0</v>
      </c>
      <c r="P1018" s="24">
        <v>0</v>
      </c>
      <c r="Q1018" s="24">
        <v>0</v>
      </c>
      <c r="R1018" s="24">
        <v>0</v>
      </c>
      <c r="S1018" s="24">
        <v>38</v>
      </c>
      <c r="T1018" s="24">
        <v>0</v>
      </c>
      <c r="U1018" s="24">
        <v>0</v>
      </c>
      <c r="V1018" s="24">
        <v>1</v>
      </c>
      <c r="W1018" s="24">
        <v>1</v>
      </c>
      <c r="X1018" s="24">
        <v>1</v>
      </c>
      <c r="Y1018" s="24">
        <v>0</v>
      </c>
      <c r="Z1018" s="24">
        <v>0</v>
      </c>
      <c r="AA1018" s="24">
        <v>1</v>
      </c>
      <c r="AB1018" s="24">
        <v>0</v>
      </c>
      <c r="AC1018" s="24">
        <v>0</v>
      </c>
      <c r="AD1018" s="24">
        <v>0</v>
      </c>
      <c r="AE1018" s="24">
        <v>1</v>
      </c>
      <c r="AF1018" s="24">
        <v>0</v>
      </c>
      <c r="AG1018" s="24">
        <v>0</v>
      </c>
      <c r="AH1018" s="24">
        <v>1</v>
      </c>
      <c r="AI1018" s="24">
        <v>0</v>
      </c>
      <c r="AJ1018" s="24">
        <v>0</v>
      </c>
      <c r="AK1018" s="24">
        <v>1</v>
      </c>
      <c r="AL1018" s="24">
        <v>0</v>
      </c>
      <c r="AM1018" s="24">
        <v>0</v>
      </c>
      <c r="AN1018" s="24">
        <v>0</v>
      </c>
      <c r="AO1018" s="24">
        <v>0</v>
      </c>
      <c r="AP1018" s="24">
        <v>0</v>
      </c>
      <c r="AQ1018" s="24">
        <v>0</v>
      </c>
      <c r="AR1018" s="24">
        <v>0</v>
      </c>
      <c r="AS1018" s="24">
        <v>0</v>
      </c>
      <c r="AT1018" s="24">
        <v>1</v>
      </c>
      <c r="AU1018" s="24">
        <v>0</v>
      </c>
      <c r="AV1018" s="24">
        <v>0</v>
      </c>
      <c r="AW1018" s="24">
        <v>0</v>
      </c>
      <c r="AX1018" s="24">
        <v>1</v>
      </c>
      <c r="AY1018" s="24">
        <v>0</v>
      </c>
      <c r="AZ1018" s="24">
        <v>0</v>
      </c>
      <c r="BA1018" s="24">
        <v>1</v>
      </c>
      <c r="BB1018" s="24">
        <v>0</v>
      </c>
    </row>
    <row r="1019" spans="2:54" ht="13.8" x14ac:dyDescent="0.3">
      <c r="B1019" s="24">
        <v>999</v>
      </c>
      <c r="C1019" s="24">
        <v>45</v>
      </c>
      <c r="D1019" s="24">
        <v>0</v>
      </c>
      <c r="E1019" s="24">
        <v>0</v>
      </c>
      <c r="F1019" s="24">
        <v>0</v>
      </c>
      <c r="G1019" s="24">
        <v>1</v>
      </c>
      <c r="H1019" s="24">
        <v>0</v>
      </c>
      <c r="I1019" s="24">
        <v>0</v>
      </c>
      <c r="J1019" s="24">
        <v>1845</v>
      </c>
      <c r="K1019" s="24">
        <v>4</v>
      </c>
      <c r="L1019" s="24">
        <v>0</v>
      </c>
      <c r="M1019" s="24">
        <v>1</v>
      </c>
      <c r="N1019" s="24">
        <v>0</v>
      </c>
      <c r="O1019" s="24">
        <v>0</v>
      </c>
      <c r="P1019" s="24">
        <v>0</v>
      </c>
      <c r="Q1019" s="24">
        <v>0</v>
      </c>
      <c r="R1019" s="24">
        <v>1</v>
      </c>
      <c r="S1019" s="24">
        <v>23</v>
      </c>
      <c r="T1019" s="24">
        <v>0</v>
      </c>
      <c r="U1019" s="24">
        <v>0</v>
      </c>
      <c r="V1019" s="24">
        <v>0</v>
      </c>
      <c r="W1019" s="24">
        <v>1</v>
      </c>
      <c r="X1019" s="24">
        <v>1</v>
      </c>
      <c r="Y1019" s="24">
        <v>1</v>
      </c>
      <c r="Z1019" s="24">
        <v>0</v>
      </c>
      <c r="AA1019" s="24">
        <v>0</v>
      </c>
      <c r="AB1019" s="24">
        <v>1</v>
      </c>
      <c r="AC1019" s="24">
        <v>0</v>
      </c>
      <c r="AD1019" s="24">
        <v>0</v>
      </c>
      <c r="AE1019" s="24">
        <v>0</v>
      </c>
      <c r="AF1019" s="24">
        <v>0</v>
      </c>
      <c r="AG1019" s="24">
        <v>0</v>
      </c>
      <c r="AH1019" s="24">
        <v>1</v>
      </c>
      <c r="AI1019" s="24">
        <v>0</v>
      </c>
      <c r="AJ1019" s="24">
        <v>0</v>
      </c>
      <c r="AK1019" s="24">
        <v>1</v>
      </c>
      <c r="AL1019" s="24">
        <v>0</v>
      </c>
      <c r="AM1019" s="24">
        <v>0</v>
      </c>
      <c r="AN1019" s="24">
        <v>0</v>
      </c>
      <c r="AO1019" s="24">
        <v>0</v>
      </c>
      <c r="AP1019" s="24">
        <v>0</v>
      </c>
      <c r="AQ1019" s="24">
        <v>0</v>
      </c>
      <c r="AR1019" s="24">
        <v>1</v>
      </c>
      <c r="AS1019" s="24">
        <v>0</v>
      </c>
      <c r="AT1019" s="24">
        <v>0</v>
      </c>
      <c r="AU1019" s="24">
        <v>0</v>
      </c>
      <c r="AV1019" s="24">
        <v>0</v>
      </c>
      <c r="AW1019" s="24">
        <v>0</v>
      </c>
      <c r="AX1019" s="24">
        <v>1</v>
      </c>
      <c r="AY1019" s="24">
        <v>0</v>
      </c>
      <c r="AZ1019" s="24">
        <v>0</v>
      </c>
      <c r="BA1019" s="24">
        <v>1</v>
      </c>
      <c r="BB1019" s="24">
        <v>0</v>
      </c>
    </row>
    <row r="1020" spans="2:54" ht="13.8" x14ac:dyDescent="0.3">
      <c r="B1020" s="24">
        <v>1000</v>
      </c>
      <c r="C1020" s="24">
        <v>45</v>
      </c>
      <c r="D1020" s="24">
        <v>0</v>
      </c>
      <c r="E1020" s="24">
        <v>1</v>
      </c>
      <c r="F1020" s="24">
        <v>0</v>
      </c>
      <c r="G1020" s="24">
        <v>0</v>
      </c>
      <c r="H1020" s="24">
        <v>0</v>
      </c>
      <c r="I1020" s="24">
        <v>0</v>
      </c>
      <c r="J1020" s="24">
        <v>4576</v>
      </c>
      <c r="K1020" s="24">
        <v>3</v>
      </c>
      <c r="L1020" s="24">
        <v>0</v>
      </c>
      <c r="M1020" s="24">
        <v>1</v>
      </c>
      <c r="N1020" s="24">
        <v>0</v>
      </c>
      <c r="O1020" s="24">
        <v>0</v>
      </c>
      <c r="P1020" s="24">
        <v>0</v>
      </c>
      <c r="Q1020" s="24">
        <v>0</v>
      </c>
      <c r="R1020" s="24">
        <v>0</v>
      </c>
      <c r="S1020" s="24">
        <v>27</v>
      </c>
      <c r="T1020" s="24">
        <v>0</v>
      </c>
      <c r="U1020" s="24">
        <v>0</v>
      </c>
      <c r="V1020" s="24">
        <v>1</v>
      </c>
      <c r="W1020" s="24">
        <v>1</v>
      </c>
      <c r="X1020" s="24">
        <v>1</v>
      </c>
      <c r="Y1020" s="24">
        <v>0</v>
      </c>
      <c r="Z1020" s="24">
        <v>0</v>
      </c>
      <c r="AA1020" s="24">
        <v>1</v>
      </c>
      <c r="AB1020" s="24">
        <v>0</v>
      </c>
      <c r="AC1020" s="24">
        <v>1</v>
      </c>
      <c r="AD1020" s="24">
        <v>0</v>
      </c>
      <c r="AE1020" s="24">
        <v>0</v>
      </c>
      <c r="AF1020" s="24">
        <v>0</v>
      </c>
      <c r="AG1020" s="24">
        <v>0</v>
      </c>
      <c r="AH1020" s="24">
        <v>0</v>
      </c>
      <c r="AI1020" s="24">
        <v>0</v>
      </c>
      <c r="AJ1020" s="24">
        <v>1</v>
      </c>
      <c r="AK1020" s="24">
        <v>0</v>
      </c>
      <c r="AL1020" s="24">
        <v>1</v>
      </c>
      <c r="AM1020" s="24">
        <v>0</v>
      </c>
      <c r="AN1020" s="24">
        <v>0</v>
      </c>
      <c r="AO1020" s="24">
        <v>0</v>
      </c>
      <c r="AP1020" s="24">
        <v>1</v>
      </c>
      <c r="AQ1020" s="24">
        <v>0</v>
      </c>
      <c r="AR1020" s="24">
        <v>0</v>
      </c>
      <c r="AS1020" s="24">
        <v>0</v>
      </c>
      <c r="AT1020" s="24">
        <v>0</v>
      </c>
      <c r="AU1020" s="24">
        <v>0</v>
      </c>
      <c r="AV1020" s="24">
        <v>0</v>
      </c>
      <c r="AW1020" s="24">
        <v>0</v>
      </c>
      <c r="AX1020" s="24">
        <v>1</v>
      </c>
      <c r="AY1020" s="24">
        <v>0</v>
      </c>
      <c r="AZ1020" s="24">
        <v>0</v>
      </c>
      <c r="BA1020" s="24">
        <v>1</v>
      </c>
      <c r="BB1020" s="24">
        <v>0</v>
      </c>
    </row>
  </sheetData>
  <mergeCells count="16">
    <mergeCell ref="B16:D16"/>
    <mergeCell ref="E11:J11"/>
    <mergeCell ref="E12:J12"/>
    <mergeCell ref="E13:J13"/>
    <mergeCell ref="E14:J14"/>
    <mergeCell ref="E15:J15"/>
    <mergeCell ref="B15:D15"/>
    <mergeCell ref="B5:C5"/>
    <mergeCell ref="D5:E5"/>
    <mergeCell ref="B4:E4"/>
    <mergeCell ref="J4:L4"/>
    <mergeCell ref="B10:J10"/>
    <mergeCell ref="B11:D11"/>
    <mergeCell ref="B12:D12"/>
    <mergeCell ref="B13:D13"/>
    <mergeCell ref="B14:D14"/>
  </mergeCells>
  <hyperlinks>
    <hyperlink ref="B5" location="'CreateDummies'!$A$8:$A$8" display="Inputs"/>
    <hyperlink ref="D5" location="'CreateDummies'!$A$18:$A$18" display="Dat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1"/>
  <sheetViews>
    <sheetView workbookViewId="0">
      <selection activeCell="G10" sqref="G10"/>
    </sheetView>
  </sheetViews>
  <sheetFormatPr defaultRowHeight="13.2" x14ac:dyDescent="0.25"/>
  <cols>
    <col min="1" max="1" width="5" bestFit="1" customWidth="1"/>
    <col min="2" max="10" width="3.33203125" bestFit="1" customWidth="1"/>
    <col min="11" max="11" width="6" bestFit="1" customWidth="1"/>
    <col min="12" max="13" width="3.33203125" bestFit="1" customWidth="1"/>
    <col min="14" max="14" width="5.77734375" bestFit="1" customWidth="1"/>
    <col min="15" max="16" width="3.33203125" bestFit="1" customWidth="1"/>
    <col min="17" max="18" width="5.77734375" bestFit="1" customWidth="1"/>
    <col min="19" max="19" width="3.33203125" bestFit="1" customWidth="1"/>
    <col min="20" max="20" width="5.77734375" bestFit="1" customWidth="1"/>
    <col min="21" max="21" width="3.33203125" bestFit="1" customWidth="1"/>
    <col min="22" max="22" width="5.77734375" bestFit="1" customWidth="1"/>
    <col min="23" max="23" width="3.33203125" bestFit="1" customWidth="1"/>
    <col min="24" max="24" width="5.77734375" bestFit="1" customWidth="1"/>
    <col min="25" max="28" width="3.33203125" bestFit="1" customWidth="1"/>
    <col min="29" max="29" width="5.77734375" bestFit="1" customWidth="1"/>
    <col min="30" max="32" width="3.33203125" bestFit="1" customWidth="1"/>
    <col min="33" max="35" width="11" bestFit="1" customWidth="1"/>
    <col min="36" max="39" width="9.88671875" bestFit="1" customWidth="1"/>
    <col min="40" max="43" width="10.88671875" bestFit="1" customWidth="1"/>
    <col min="44" max="47" width="14.33203125" bestFit="1" customWidth="1"/>
    <col min="48" max="50" width="18.5546875" bestFit="1" customWidth="1"/>
    <col min="51" max="53" width="6" bestFit="1" customWidth="1"/>
  </cols>
  <sheetData>
    <row r="1" spans="1:35" ht="75" x14ac:dyDescent="0.25">
      <c r="A1" s="18" t="s">
        <v>54</v>
      </c>
      <c r="B1" s="3" t="s">
        <v>4</v>
      </c>
      <c r="C1" s="3" t="s">
        <v>0</v>
      </c>
      <c r="D1" s="3" t="s">
        <v>1</v>
      </c>
      <c r="E1" s="3" t="s">
        <v>68</v>
      </c>
      <c r="F1" s="3" t="s">
        <v>69</v>
      </c>
      <c r="G1" s="3" t="s">
        <v>70</v>
      </c>
      <c r="H1" s="3" t="s">
        <v>71</v>
      </c>
      <c r="I1" s="3" t="s">
        <v>81</v>
      </c>
      <c r="J1" s="3" t="s">
        <v>72</v>
      </c>
      <c r="K1" s="3" t="s">
        <v>2</v>
      </c>
      <c r="L1" s="3" t="s">
        <v>3</v>
      </c>
      <c r="M1" s="3" t="s">
        <v>5</v>
      </c>
      <c r="N1" s="3" t="s">
        <v>6</v>
      </c>
      <c r="O1" s="3" t="s">
        <v>74</v>
      </c>
      <c r="P1" s="3" t="s">
        <v>75</v>
      </c>
      <c r="Q1" s="3" t="s">
        <v>76</v>
      </c>
      <c r="R1" s="3" t="s">
        <v>73</v>
      </c>
      <c r="S1" s="3" t="s">
        <v>77</v>
      </c>
      <c r="T1" s="3" t="s">
        <v>7</v>
      </c>
      <c r="U1" s="3" t="s">
        <v>78</v>
      </c>
      <c r="V1" s="3" t="s">
        <v>82</v>
      </c>
      <c r="W1" s="3" t="s">
        <v>8</v>
      </c>
      <c r="X1" s="3" t="s">
        <v>79</v>
      </c>
      <c r="Y1" s="3" t="s">
        <v>80</v>
      </c>
      <c r="Z1" s="3" t="s">
        <v>83</v>
      </c>
      <c r="AA1" s="3" t="s">
        <v>9</v>
      </c>
      <c r="AB1" s="3" t="s">
        <v>10</v>
      </c>
      <c r="AC1" s="3" t="s">
        <v>11</v>
      </c>
      <c r="AD1" s="3" t="s">
        <v>12</v>
      </c>
      <c r="AE1" s="3" t="s">
        <v>13</v>
      </c>
      <c r="AF1" s="4" t="s">
        <v>14</v>
      </c>
      <c r="AG1" s="38" t="s">
        <v>760</v>
      </c>
    </row>
    <row r="2" spans="1:35" x14ac:dyDescent="0.25">
      <c r="A2">
        <v>1</v>
      </c>
      <c r="B2" s="2">
        <v>0</v>
      </c>
      <c r="C2" s="2">
        <v>6</v>
      </c>
      <c r="D2" s="2">
        <v>4</v>
      </c>
      <c r="E2" s="2">
        <v>0</v>
      </c>
      <c r="F2" s="2">
        <v>0</v>
      </c>
      <c r="G2" s="2">
        <v>0</v>
      </c>
      <c r="H2" s="2">
        <v>1</v>
      </c>
      <c r="I2" s="2">
        <v>0</v>
      </c>
      <c r="J2" s="2">
        <v>0</v>
      </c>
      <c r="K2" s="2">
        <v>1169</v>
      </c>
      <c r="L2" s="2">
        <v>4</v>
      </c>
      <c r="M2" s="2">
        <v>4</v>
      </c>
      <c r="N2" s="2">
        <v>4</v>
      </c>
      <c r="O2" s="2">
        <v>0</v>
      </c>
      <c r="P2" s="2">
        <v>1</v>
      </c>
      <c r="Q2" s="2">
        <v>0</v>
      </c>
      <c r="R2" s="2">
        <v>0</v>
      </c>
      <c r="S2" s="2">
        <v>0</v>
      </c>
      <c r="T2" s="2">
        <v>4</v>
      </c>
      <c r="U2" s="2">
        <v>1</v>
      </c>
      <c r="V2" s="2">
        <v>0</v>
      </c>
      <c r="W2" s="2">
        <v>67</v>
      </c>
      <c r="X2" s="2">
        <v>0</v>
      </c>
      <c r="Y2" s="2">
        <v>0</v>
      </c>
      <c r="Z2" s="2">
        <v>1</v>
      </c>
      <c r="AA2" s="2">
        <v>2</v>
      </c>
      <c r="AB2" s="2">
        <v>2</v>
      </c>
      <c r="AC2" s="2">
        <v>1</v>
      </c>
      <c r="AD2" s="2">
        <v>1</v>
      </c>
      <c r="AE2" s="2">
        <v>0</v>
      </c>
      <c r="AF2" s="2">
        <v>1</v>
      </c>
      <c r="AG2" s="20">
        <f>IF(AF2=1,100,-500)</f>
        <v>100</v>
      </c>
      <c r="AI2" s="37" t="s">
        <v>761</v>
      </c>
    </row>
    <row r="3" spans="1:35" x14ac:dyDescent="0.25">
      <c r="A3">
        <v>2</v>
      </c>
      <c r="B3" s="2">
        <v>1</v>
      </c>
      <c r="C3" s="2">
        <v>48</v>
      </c>
      <c r="D3" s="2">
        <v>2</v>
      </c>
      <c r="E3" s="2">
        <v>0</v>
      </c>
      <c r="F3" s="2">
        <v>0</v>
      </c>
      <c r="G3" s="2">
        <v>0</v>
      </c>
      <c r="H3" s="2">
        <v>1</v>
      </c>
      <c r="I3" s="2">
        <v>0</v>
      </c>
      <c r="J3" s="2">
        <v>0</v>
      </c>
      <c r="K3" s="2">
        <v>5951</v>
      </c>
      <c r="L3" s="2">
        <v>0</v>
      </c>
      <c r="M3" s="2">
        <v>2</v>
      </c>
      <c r="N3" s="2">
        <v>2</v>
      </c>
      <c r="O3" s="2">
        <v>0</v>
      </c>
      <c r="P3" s="2">
        <v>0</v>
      </c>
      <c r="Q3" s="2">
        <v>0</v>
      </c>
      <c r="R3" s="2">
        <v>0</v>
      </c>
      <c r="S3" s="2">
        <v>0</v>
      </c>
      <c r="T3" s="2">
        <v>2</v>
      </c>
      <c r="U3" s="2">
        <v>1</v>
      </c>
      <c r="V3" s="2">
        <v>0</v>
      </c>
      <c r="W3" s="2">
        <v>22</v>
      </c>
      <c r="X3" s="2">
        <v>0</v>
      </c>
      <c r="Y3" s="2">
        <v>0</v>
      </c>
      <c r="Z3" s="2">
        <v>1</v>
      </c>
      <c r="AA3" s="2">
        <v>1</v>
      </c>
      <c r="AB3" s="2">
        <v>2</v>
      </c>
      <c r="AC3" s="2">
        <v>1</v>
      </c>
      <c r="AD3" s="2">
        <v>0</v>
      </c>
      <c r="AE3" s="2">
        <v>0</v>
      </c>
      <c r="AF3" s="2">
        <v>0</v>
      </c>
      <c r="AG3" s="20">
        <f>IF(AF3=1,100,-500)</f>
        <v>-500</v>
      </c>
      <c r="AI3" s="20" t="s">
        <v>762</v>
      </c>
    </row>
    <row r="4" spans="1:35" x14ac:dyDescent="0.25">
      <c r="A4">
        <v>3</v>
      </c>
      <c r="B4" s="2">
        <v>3</v>
      </c>
      <c r="C4" s="2">
        <v>12</v>
      </c>
      <c r="D4" s="2">
        <v>4</v>
      </c>
      <c r="E4" s="2">
        <v>0</v>
      </c>
      <c r="F4" s="2">
        <v>0</v>
      </c>
      <c r="G4" s="2">
        <v>0</v>
      </c>
      <c r="H4" s="2">
        <v>0</v>
      </c>
      <c r="I4" s="2">
        <v>1</v>
      </c>
      <c r="J4" s="2">
        <v>0</v>
      </c>
      <c r="K4" s="2">
        <v>2096</v>
      </c>
      <c r="L4" s="2">
        <v>0</v>
      </c>
      <c r="M4" s="2">
        <v>3</v>
      </c>
      <c r="N4" s="2">
        <v>2</v>
      </c>
      <c r="O4" s="2">
        <v>0</v>
      </c>
      <c r="P4" s="2">
        <v>1</v>
      </c>
      <c r="Q4" s="2">
        <v>0</v>
      </c>
      <c r="R4" s="2">
        <v>0</v>
      </c>
      <c r="S4" s="2">
        <v>0</v>
      </c>
      <c r="T4" s="2">
        <v>3</v>
      </c>
      <c r="U4" s="2">
        <v>1</v>
      </c>
      <c r="V4" s="2">
        <v>0</v>
      </c>
      <c r="W4" s="2">
        <v>49</v>
      </c>
      <c r="X4" s="2">
        <v>0</v>
      </c>
      <c r="Y4" s="2">
        <v>0</v>
      </c>
      <c r="Z4" s="2">
        <v>1</v>
      </c>
      <c r="AA4" s="2">
        <v>1</v>
      </c>
      <c r="AB4" s="2">
        <v>1</v>
      </c>
      <c r="AC4" s="2">
        <v>2</v>
      </c>
      <c r="AD4" s="2">
        <v>0</v>
      </c>
      <c r="AE4" s="2">
        <v>0</v>
      </c>
      <c r="AF4" s="2">
        <v>1</v>
      </c>
      <c r="AG4" s="20">
        <f t="shared" ref="AG4:AG67" si="0">IF(AF4=1,100,-500)</f>
        <v>100</v>
      </c>
      <c r="AI4" s="37">
        <f>SUM(AG2:AG1001)</f>
        <v>-80000</v>
      </c>
    </row>
    <row r="5" spans="1:35" x14ac:dyDescent="0.25">
      <c r="A5">
        <v>4</v>
      </c>
      <c r="B5" s="2">
        <v>0</v>
      </c>
      <c r="C5" s="2">
        <v>42</v>
      </c>
      <c r="D5" s="2">
        <v>2</v>
      </c>
      <c r="E5" s="2">
        <v>0</v>
      </c>
      <c r="F5" s="2">
        <v>0</v>
      </c>
      <c r="G5" s="2">
        <v>1</v>
      </c>
      <c r="H5" s="2">
        <v>0</v>
      </c>
      <c r="I5" s="2">
        <v>0</v>
      </c>
      <c r="J5" s="2">
        <v>0</v>
      </c>
      <c r="K5" s="2">
        <v>7882</v>
      </c>
      <c r="L5" s="2">
        <v>0</v>
      </c>
      <c r="M5" s="2">
        <v>3</v>
      </c>
      <c r="N5" s="2">
        <v>2</v>
      </c>
      <c r="O5" s="2">
        <v>0</v>
      </c>
      <c r="P5" s="2">
        <v>1</v>
      </c>
      <c r="Q5" s="2">
        <v>0</v>
      </c>
      <c r="R5" s="2">
        <v>0</v>
      </c>
      <c r="S5" s="2">
        <v>1</v>
      </c>
      <c r="T5" s="2">
        <v>4</v>
      </c>
      <c r="U5" s="2">
        <v>0</v>
      </c>
      <c r="V5" s="2">
        <v>0</v>
      </c>
      <c r="W5" s="2">
        <v>45</v>
      </c>
      <c r="X5" s="2">
        <v>0</v>
      </c>
      <c r="Y5" s="2">
        <v>0</v>
      </c>
      <c r="Z5" s="2">
        <v>0</v>
      </c>
      <c r="AA5" s="2">
        <v>1</v>
      </c>
      <c r="AB5" s="2">
        <v>2</v>
      </c>
      <c r="AC5" s="2">
        <v>2</v>
      </c>
      <c r="AD5" s="2">
        <v>0</v>
      </c>
      <c r="AE5" s="2">
        <v>0</v>
      </c>
      <c r="AF5" s="2">
        <v>1</v>
      </c>
      <c r="AG5" s="20">
        <f t="shared" si="0"/>
        <v>100</v>
      </c>
      <c r="AI5" s="37" t="s">
        <v>763</v>
      </c>
    </row>
    <row r="6" spans="1:35" x14ac:dyDescent="0.25">
      <c r="A6">
        <v>5</v>
      </c>
      <c r="B6" s="2">
        <v>0</v>
      </c>
      <c r="C6" s="2">
        <v>24</v>
      </c>
      <c r="D6" s="2">
        <v>3</v>
      </c>
      <c r="E6" s="2">
        <v>1</v>
      </c>
      <c r="F6" s="2">
        <v>0</v>
      </c>
      <c r="G6" s="2">
        <v>0</v>
      </c>
      <c r="H6" s="2">
        <v>0</v>
      </c>
      <c r="I6" s="2">
        <v>0</v>
      </c>
      <c r="J6" s="2">
        <v>0</v>
      </c>
      <c r="K6" s="2">
        <v>4870</v>
      </c>
      <c r="L6" s="2">
        <v>0</v>
      </c>
      <c r="M6" s="2">
        <v>2</v>
      </c>
      <c r="N6" s="2">
        <v>3</v>
      </c>
      <c r="O6" s="2">
        <v>0</v>
      </c>
      <c r="P6" s="2">
        <v>1</v>
      </c>
      <c r="Q6" s="2">
        <v>0</v>
      </c>
      <c r="R6" s="2">
        <v>0</v>
      </c>
      <c r="S6" s="2">
        <v>0</v>
      </c>
      <c r="T6" s="2">
        <v>4</v>
      </c>
      <c r="U6" s="2">
        <v>0</v>
      </c>
      <c r="V6" s="2">
        <v>1</v>
      </c>
      <c r="W6" s="2">
        <v>53</v>
      </c>
      <c r="X6" s="2">
        <v>0</v>
      </c>
      <c r="Y6" s="2">
        <v>0</v>
      </c>
      <c r="Z6" s="2">
        <v>0</v>
      </c>
      <c r="AA6" s="2">
        <v>2</v>
      </c>
      <c r="AB6" s="2">
        <v>2</v>
      </c>
      <c r="AC6" s="2">
        <v>2</v>
      </c>
      <c r="AD6" s="2">
        <v>0</v>
      </c>
      <c r="AE6" s="2">
        <v>0</v>
      </c>
      <c r="AF6" s="2">
        <v>0</v>
      </c>
      <c r="AG6" s="20">
        <f t="shared" si="0"/>
        <v>-500</v>
      </c>
    </row>
    <row r="7" spans="1:35" x14ac:dyDescent="0.25">
      <c r="A7">
        <v>6</v>
      </c>
      <c r="B7" s="2">
        <v>3</v>
      </c>
      <c r="C7" s="2">
        <v>36</v>
      </c>
      <c r="D7" s="2">
        <v>2</v>
      </c>
      <c r="E7" s="2">
        <v>0</v>
      </c>
      <c r="F7" s="2">
        <v>0</v>
      </c>
      <c r="G7" s="2">
        <v>0</v>
      </c>
      <c r="H7" s="2">
        <v>0</v>
      </c>
      <c r="I7" s="2">
        <v>1</v>
      </c>
      <c r="J7" s="2">
        <v>0</v>
      </c>
      <c r="K7" s="2">
        <v>9055</v>
      </c>
      <c r="L7" s="2">
        <v>4</v>
      </c>
      <c r="M7" s="2">
        <v>2</v>
      </c>
      <c r="N7" s="2">
        <v>2</v>
      </c>
      <c r="O7" s="2">
        <v>0</v>
      </c>
      <c r="P7" s="2">
        <v>1</v>
      </c>
      <c r="Q7" s="2">
        <v>0</v>
      </c>
      <c r="R7" s="2">
        <v>0</v>
      </c>
      <c r="S7" s="2">
        <v>0</v>
      </c>
      <c r="T7" s="2">
        <v>4</v>
      </c>
      <c r="U7" s="2">
        <v>0</v>
      </c>
      <c r="V7" s="2">
        <v>1</v>
      </c>
      <c r="W7" s="2">
        <v>35</v>
      </c>
      <c r="X7" s="2">
        <v>0</v>
      </c>
      <c r="Y7" s="2">
        <v>0</v>
      </c>
      <c r="Z7" s="2">
        <v>0</v>
      </c>
      <c r="AA7" s="2">
        <v>1</v>
      </c>
      <c r="AB7" s="2">
        <v>1</v>
      </c>
      <c r="AC7" s="2">
        <v>2</v>
      </c>
      <c r="AD7" s="2">
        <v>1</v>
      </c>
      <c r="AE7" s="2">
        <v>0</v>
      </c>
      <c r="AF7" s="2">
        <v>1</v>
      </c>
      <c r="AG7" s="20">
        <f t="shared" si="0"/>
        <v>100</v>
      </c>
    </row>
    <row r="8" spans="1:35" x14ac:dyDescent="0.25">
      <c r="A8">
        <v>7</v>
      </c>
      <c r="B8" s="2">
        <v>3</v>
      </c>
      <c r="C8" s="2">
        <v>24</v>
      </c>
      <c r="D8" s="2">
        <v>2</v>
      </c>
      <c r="E8" s="2">
        <v>0</v>
      </c>
      <c r="F8" s="2">
        <v>0</v>
      </c>
      <c r="G8" s="2">
        <v>1</v>
      </c>
      <c r="H8" s="2">
        <v>0</v>
      </c>
      <c r="I8" s="2">
        <v>0</v>
      </c>
      <c r="J8" s="2">
        <v>0</v>
      </c>
      <c r="K8" s="2">
        <v>2835</v>
      </c>
      <c r="L8" s="2">
        <v>2</v>
      </c>
      <c r="M8" s="2">
        <v>4</v>
      </c>
      <c r="N8" s="2">
        <v>3</v>
      </c>
      <c r="O8" s="2">
        <v>0</v>
      </c>
      <c r="P8" s="2">
        <v>1</v>
      </c>
      <c r="Q8" s="2">
        <v>0</v>
      </c>
      <c r="R8" s="2">
        <v>0</v>
      </c>
      <c r="S8" s="2">
        <v>0</v>
      </c>
      <c r="T8" s="2">
        <v>4</v>
      </c>
      <c r="U8" s="2">
        <v>0</v>
      </c>
      <c r="V8" s="2">
        <v>0</v>
      </c>
      <c r="W8" s="2">
        <v>53</v>
      </c>
      <c r="X8" s="2">
        <v>0</v>
      </c>
      <c r="Y8" s="2">
        <v>0</v>
      </c>
      <c r="Z8" s="2">
        <v>1</v>
      </c>
      <c r="AA8" s="2">
        <v>1</v>
      </c>
      <c r="AB8" s="2">
        <v>2</v>
      </c>
      <c r="AC8" s="2">
        <v>1</v>
      </c>
      <c r="AD8" s="2">
        <v>0</v>
      </c>
      <c r="AE8" s="2">
        <v>0</v>
      </c>
      <c r="AF8" s="2">
        <v>1</v>
      </c>
      <c r="AG8" s="20">
        <f t="shared" si="0"/>
        <v>100</v>
      </c>
    </row>
    <row r="9" spans="1:35" x14ac:dyDescent="0.25">
      <c r="A9">
        <v>8</v>
      </c>
      <c r="B9" s="2">
        <v>1</v>
      </c>
      <c r="C9" s="2">
        <v>36</v>
      </c>
      <c r="D9" s="2">
        <v>2</v>
      </c>
      <c r="E9" s="2">
        <v>0</v>
      </c>
      <c r="F9" s="2">
        <v>1</v>
      </c>
      <c r="G9" s="2">
        <v>0</v>
      </c>
      <c r="H9" s="2">
        <v>0</v>
      </c>
      <c r="I9" s="2">
        <v>0</v>
      </c>
      <c r="J9" s="2">
        <v>0</v>
      </c>
      <c r="K9" s="2">
        <v>6948</v>
      </c>
      <c r="L9" s="2">
        <v>0</v>
      </c>
      <c r="M9" s="2">
        <v>2</v>
      </c>
      <c r="N9" s="2">
        <v>2</v>
      </c>
      <c r="O9" s="2">
        <v>0</v>
      </c>
      <c r="P9" s="2">
        <v>1</v>
      </c>
      <c r="Q9" s="2">
        <v>0</v>
      </c>
      <c r="R9" s="2">
        <v>0</v>
      </c>
      <c r="S9" s="2">
        <v>0</v>
      </c>
      <c r="T9" s="2">
        <v>2</v>
      </c>
      <c r="U9" s="2">
        <v>0</v>
      </c>
      <c r="V9" s="2">
        <v>0</v>
      </c>
      <c r="W9" s="2">
        <v>35</v>
      </c>
      <c r="X9" s="2">
        <v>0</v>
      </c>
      <c r="Y9" s="2">
        <v>1</v>
      </c>
      <c r="Z9" s="2">
        <v>0</v>
      </c>
      <c r="AA9" s="2">
        <v>1</v>
      </c>
      <c r="AB9" s="2">
        <v>3</v>
      </c>
      <c r="AC9" s="2">
        <v>1</v>
      </c>
      <c r="AD9" s="2">
        <v>1</v>
      </c>
      <c r="AE9" s="2">
        <v>0</v>
      </c>
      <c r="AF9" s="2">
        <v>1</v>
      </c>
      <c r="AG9" s="20">
        <f t="shared" si="0"/>
        <v>100</v>
      </c>
    </row>
    <row r="10" spans="1:35" x14ac:dyDescent="0.25">
      <c r="A10">
        <v>9</v>
      </c>
      <c r="B10" s="2">
        <v>3</v>
      </c>
      <c r="C10" s="2">
        <v>12</v>
      </c>
      <c r="D10" s="2">
        <v>2</v>
      </c>
      <c r="E10" s="2">
        <v>0</v>
      </c>
      <c r="F10" s="2">
        <v>0</v>
      </c>
      <c r="G10" s="2">
        <v>0</v>
      </c>
      <c r="H10" s="2">
        <v>1</v>
      </c>
      <c r="I10" s="2">
        <v>0</v>
      </c>
      <c r="J10" s="2">
        <v>0</v>
      </c>
      <c r="K10" s="2">
        <v>3059</v>
      </c>
      <c r="L10" s="2">
        <v>3</v>
      </c>
      <c r="M10" s="2">
        <v>3</v>
      </c>
      <c r="N10" s="2">
        <v>2</v>
      </c>
      <c r="O10" s="2">
        <v>1</v>
      </c>
      <c r="P10" s="2">
        <v>0</v>
      </c>
      <c r="Q10" s="2">
        <v>0</v>
      </c>
      <c r="R10" s="2">
        <v>0</v>
      </c>
      <c r="S10" s="2">
        <v>0</v>
      </c>
      <c r="T10" s="2">
        <v>4</v>
      </c>
      <c r="U10" s="2">
        <v>1</v>
      </c>
      <c r="V10" s="2">
        <v>0</v>
      </c>
      <c r="W10" s="2">
        <v>61</v>
      </c>
      <c r="X10" s="2">
        <v>0</v>
      </c>
      <c r="Y10" s="2">
        <v>0</v>
      </c>
      <c r="Z10" s="2">
        <v>1</v>
      </c>
      <c r="AA10" s="2">
        <v>1</v>
      </c>
      <c r="AB10" s="2">
        <v>1</v>
      </c>
      <c r="AC10" s="2">
        <v>1</v>
      </c>
      <c r="AD10" s="2">
        <v>0</v>
      </c>
      <c r="AE10" s="2">
        <v>0</v>
      </c>
      <c r="AF10" s="2">
        <v>1</v>
      </c>
      <c r="AG10" s="20">
        <f t="shared" si="0"/>
        <v>100</v>
      </c>
    </row>
    <row r="11" spans="1:35" x14ac:dyDescent="0.25">
      <c r="A11">
        <v>10</v>
      </c>
      <c r="B11" s="2">
        <v>1</v>
      </c>
      <c r="C11" s="2">
        <v>30</v>
      </c>
      <c r="D11" s="2">
        <v>4</v>
      </c>
      <c r="E11" s="2">
        <v>1</v>
      </c>
      <c r="F11" s="2">
        <v>0</v>
      </c>
      <c r="G11" s="2">
        <v>0</v>
      </c>
      <c r="H11" s="2">
        <v>0</v>
      </c>
      <c r="I11" s="2">
        <v>0</v>
      </c>
      <c r="J11" s="2">
        <v>0</v>
      </c>
      <c r="K11" s="2">
        <v>5234</v>
      </c>
      <c r="L11" s="2">
        <v>0</v>
      </c>
      <c r="M11" s="2">
        <v>0</v>
      </c>
      <c r="N11" s="2">
        <v>4</v>
      </c>
      <c r="O11" s="2">
        <v>0</v>
      </c>
      <c r="P11" s="2">
        <v>0</v>
      </c>
      <c r="Q11" s="2">
        <v>1</v>
      </c>
      <c r="R11" s="2">
        <v>0</v>
      </c>
      <c r="S11" s="2">
        <v>0</v>
      </c>
      <c r="T11" s="2">
        <v>2</v>
      </c>
      <c r="U11" s="2">
        <v>0</v>
      </c>
      <c r="V11" s="2">
        <v>0</v>
      </c>
      <c r="W11" s="2">
        <v>28</v>
      </c>
      <c r="X11" s="2">
        <v>0</v>
      </c>
      <c r="Y11" s="2">
        <v>0</v>
      </c>
      <c r="Z11" s="2">
        <v>1</v>
      </c>
      <c r="AA11" s="2">
        <v>2</v>
      </c>
      <c r="AB11" s="2">
        <v>3</v>
      </c>
      <c r="AC11" s="2">
        <v>1</v>
      </c>
      <c r="AD11" s="2">
        <v>0</v>
      </c>
      <c r="AE11" s="2">
        <v>0</v>
      </c>
      <c r="AF11" s="2">
        <v>0</v>
      </c>
      <c r="AG11" s="20">
        <f t="shared" si="0"/>
        <v>-500</v>
      </c>
    </row>
    <row r="12" spans="1:35" x14ac:dyDescent="0.25">
      <c r="A12">
        <v>11</v>
      </c>
      <c r="B12" s="2">
        <v>1</v>
      </c>
      <c r="C12" s="2">
        <v>12</v>
      </c>
      <c r="D12" s="2">
        <v>2</v>
      </c>
      <c r="E12" s="2">
        <v>1</v>
      </c>
      <c r="F12" s="2">
        <v>0</v>
      </c>
      <c r="G12" s="2">
        <v>0</v>
      </c>
      <c r="H12" s="2">
        <v>0</v>
      </c>
      <c r="I12" s="2">
        <v>0</v>
      </c>
      <c r="J12" s="2">
        <v>0</v>
      </c>
      <c r="K12" s="2">
        <v>1295</v>
      </c>
      <c r="L12" s="2">
        <v>0</v>
      </c>
      <c r="M12" s="2">
        <v>1</v>
      </c>
      <c r="N12" s="2">
        <v>3</v>
      </c>
      <c r="O12" s="2">
        <v>0</v>
      </c>
      <c r="P12" s="2">
        <v>0</v>
      </c>
      <c r="Q12" s="2">
        <v>0</v>
      </c>
      <c r="R12" s="2">
        <v>0</v>
      </c>
      <c r="S12" s="2">
        <v>0</v>
      </c>
      <c r="T12" s="2">
        <v>1</v>
      </c>
      <c r="U12" s="2">
        <v>0</v>
      </c>
      <c r="V12" s="2">
        <v>0</v>
      </c>
      <c r="W12" s="2">
        <v>25</v>
      </c>
      <c r="X12" s="2">
        <v>0</v>
      </c>
      <c r="Y12" s="2">
        <v>1</v>
      </c>
      <c r="Z12" s="2">
        <v>0</v>
      </c>
      <c r="AA12" s="2">
        <v>1</v>
      </c>
      <c r="AB12" s="2">
        <v>2</v>
      </c>
      <c r="AC12" s="2">
        <v>1</v>
      </c>
      <c r="AD12" s="2">
        <v>0</v>
      </c>
      <c r="AE12" s="2">
        <v>0</v>
      </c>
      <c r="AF12" s="2">
        <v>0</v>
      </c>
      <c r="AG12" s="20">
        <f t="shared" si="0"/>
        <v>-500</v>
      </c>
    </row>
    <row r="13" spans="1:35" x14ac:dyDescent="0.25">
      <c r="A13">
        <v>12</v>
      </c>
      <c r="B13" s="2">
        <v>0</v>
      </c>
      <c r="C13" s="2">
        <v>48</v>
      </c>
      <c r="D13" s="2">
        <v>2</v>
      </c>
      <c r="E13" s="2">
        <v>0</v>
      </c>
      <c r="F13" s="2">
        <v>0</v>
      </c>
      <c r="G13" s="2">
        <v>0</v>
      </c>
      <c r="H13" s="2">
        <v>0</v>
      </c>
      <c r="I13" s="2">
        <v>0</v>
      </c>
      <c r="J13" s="2">
        <v>1</v>
      </c>
      <c r="K13" s="2">
        <v>4308</v>
      </c>
      <c r="L13" s="2">
        <v>0</v>
      </c>
      <c r="M13" s="2">
        <v>1</v>
      </c>
      <c r="N13" s="2">
        <v>3</v>
      </c>
      <c r="O13" s="2">
        <v>0</v>
      </c>
      <c r="P13" s="2">
        <v>0</v>
      </c>
      <c r="Q13" s="2">
        <v>0</v>
      </c>
      <c r="R13" s="2">
        <v>0</v>
      </c>
      <c r="S13" s="2">
        <v>0</v>
      </c>
      <c r="T13" s="2">
        <v>4</v>
      </c>
      <c r="U13" s="2">
        <v>0</v>
      </c>
      <c r="V13" s="2">
        <v>0</v>
      </c>
      <c r="W13" s="2">
        <v>24</v>
      </c>
      <c r="X13" s="2">
        <v>0</v>
      </c>
      <c r="Y13" s="2">
        <v>1</v>
      </c>
      <c r="Z13" s="2">
        <v>0</v>
      </c>
      <c r="AA13" s="2">
        <v>1</v>
      </c>
      <c r="AB13" s="2">
        <v>2</v>
      </c>
      <c r="AC13" s="2">
        <v>1</v>
      </c>
      <c r="AD13" s="2">
        <v>0</v>
      </c>
      <c r="AE13" s="2">
        <v>0</v>
      </c>
      <c r="AF13" s="2">
        <v>0</v>
      </c>
      <c r="AG13" s="20">
        <f t="shared" si="0"/>
        <v>-500</v>
      </c>
    </row>
    <row r="14" spans="1:35" x14ac:dyDescent="0.25">
      <c r="A14">
        <v>13</v>
      </c>
      <c r="B14" s="2">
        <v>1</v>
      </c>
      <c r="C14" s="2">
        <v>12</v>
      </c>
      <c r="D14" s="2">
        <v>2</v>
      </c>
      <c r="E14" s="2">
        <v>0</v>
      </c>
      <c r="F14" s="2">
        <v>0</v>
      </c>
      <c r="G14" s="2">
        <v>0</v>
      </c>
      <c r="H14" s="2">
        <v>1</v>
      </c>
      <c r="I14" s="2">
        <v>0</v>
      </c>
      <c r="J14" s="2">
        <v>0</v>
      </c>
      <c r="K14" s="2">
        <v>1567</v>
      </c>
      <c r="L14" s="2">
        <v>0</v>
      </c>
      <c r="M14" s="2">
        <v>2</v>
      </c>
      <c r="N14" s="2">
        <v>1</v>
      </c>
      <c r="O14" s="2">
        <v>0</v>
      </c>
      <c r="P14" s="2">
        <v>0</v>
      </c>
      <c r="Q14" s="2">
        <v>0</v>
      </c>
      <c r="R14" s="2">
        <v>0</v>
      </c>
      <c r="S14" s="2">
        <v>0</v>
      </c>
      <c r="T14" s="2">
        <v>1</v>
      </c>
      <c r="U14" s="2">
        <v>0</v>
      </c>
      <c r="V14" s="2">
        <v>0</v>
      </c>
      <c r="W14" s="2">
        <v>22</v>
      </c>
      <c r="X14" s="2">
        <v>0</v>
      </c>
      <c r="Y14" s="2">
        <v>0</v>
      </c>
      <c r="Z14" s="2">
        <v>1</v>
      </c>
      <c r="AA14" s="2">
        <v>1</v>
      </c>
      <c r="AB14" s="2">
        <v>2</v>
      </c>
      <c r="AC14" s="2">
        <v>1</v>
      </c>
      <c r="AD14" s="2">
        <v>1</v>
      </c>
      <c r="AE14" s="2">
        <v>0</v>
      </c>
      <c r="AF14" s="2">
        <v>1</v>
      </c>
      <c r="AG14" s="20">
        <f t="shared" si="0"/>
        <v>100</v>
      </c>
    </row>
    <row r="15" spans="1:35" x14ac:dyDescent="0.25">
      <c r="A15">
        <v>14</v>
      </c>
      <c r="B15" s="2">
        <v>0</v>
      </c>
      <c r="C15" s="2">
        <v>24</v>
      </c>
      <c r="D15" s="2">
        <v>4</v>
      </c>
      <c r="E15" s="2">
        <v>1</v>
      </c>
      <c r="F15" s="2">
        <v>0</v>
      </c>
      <c r="G15" s="2">
        <v>0</v>
      </c>
      <c r="H15" s="2">
        <v>0</v>
      </c>
      <c r="I15" s="2">
        <v>0</v>
      </c>
      <c r="J15" s="2">
        <v>0</v>
      </c>
      <c r="K15" s="2">
        <v>1199</v>
      </c>
      <c r="L15" s="2">
        <v>0</v>
      </c>
      <c r="M15" s="2">
        <v>4</v>
      </c>
      <c r="N15" s="2">
        <v>4</v>
      </c>
      <c r="O15" s="2">
        <v>0</v>
      </c>
      <c r="P15" s="2">
        <v>1</v>
      </c>
      <c r="Q15" s="2">
        <v>0</v>
      </c>
      <c r="R15" s="2">
        <v>0</v>
      </c>
      <c r="S15" s="2">
        <v>0</v>
      </c>
      <c r="T15" s="2">
        <v>4</v>
      </c>
      <c r="U15" s="2">
        <v>0</v>
      </c>
      <c r="V15" s="2">
        <v>0</v>
      </c>
      <c r="W15" s="2">
        <v>60</v>
      </c>
      <c r="X15" s="2">
        <v>0</v>
      </c>
      <c r="Y15" s="2">
        <v>0</v>
      </c>
      <c r="Z15" s="2">
        <v>1</v>
      </c>
      <c r="AA15" s="2">
        <v>2</v>
      </c>
      <c r="AB15" s="2">
        <v>1</v>
      </c>
      <c r="AC15" s="2">
        <v>1</v>
      </c>
      <c r="AD15" s="2">
        <v>0</v>
      </c>
      <c r="AE15" s="2">
        <v>0</v>
      </c>
      <c r="AF15" s="2">
        <v>0</v>
      </c>
      <c r="AG15" s="20">
        <f t="shared" si="0"/>
        <v>-500</v>
      </c>
    </row>
    <row r="16" spans="1:35" x14ac:dyDescent="0.25">
      <c r="A16">
        <v>15</v>
      </c>
      <c r="B16" s="2">
        <v>0</v>
      </c>
      <c r="C16" s="2">
        <v>15</v>
      </c>
      <c r="D16" s="2">
        <v>2</v>
      </c>
      <c r="E16" s="2">
        <v>1</v>
      </c>
      <c r="F16" s="2">
        <v>0</v>
      </c>
      <c r="G16" s="2">
        <v>0</v>
      </c>
      <c r="H16" s="2">
        <v>0</v>
      </c>
      <c r="I16" s="2">
        <v>0</v>
      </c>
      <c r="J16" s="2">
        <v>0</v>
      </c>
      <c r="K16" s="2">
        <v>1403</v>
      </c>
      <c r="L16" s="2">
        <v>0</v>
      </c>
      <c r="M16" s="2">
        <v>2</v>
      </c>
      <c r="N16" s="2">
        <v>2</v>
      </c>
      <c r="O16" s="2">
        <v>0</v>
      </c>
      <c r="P16" s="2">
        <v>0</v>
      </c>
      <c r="Q16" s="2">
        <v>0</v>
      </c>
      <c r="R16" s="2">
        <v>0</v>
      </c>
      <c r="S16" s="2">
        <v>0</v>
      </c>
      <c r="T16" s="2">
        <v>4</v>
      </c>
      <c r="U16" s="2">
        <v>0</v>
      </c>
      <c r="V16" s="2">
        <v>0</v>
      </c>
      <c r="W16" s="2">
        <v>28</v>
      </c>
      <c r="X16" s="2">
        <v>0</v>
      </c>
      <c r="Y16" s="2">
        <v>1</v>
      </c>
      <c r="Z16" s="2">
        <v>0</v>
      </c>
      <c r="AA16" s="2">
        <v>1</v>
      </c>
      <c r="AB16" s="2">
        <v>2</v>
      </c>
      <c r="AC16" s="2">
        <v>1</v>
      </c>
      <c r="AD16" s="2">
        <v>0</v>
      </c>
      <c r="AE16" s="2">
        <v>0</v>
      </c>
      <c r="AF16" s="2">
        <v>1</v>
      </c>
      <c r="AG16" s="20">
        <f t="shared" si="0"/>
        <v>100</v>
      </c>
    </row>
    <row r="17" spans="1:33" x14ac:dyDescent="0.25">
      <c r="A17">
        <v>16</v>
      </c>
      <c r="B17" s="2">
        <v>0</v>
      </c>
      <c r="C17" s="2">
        <v>24</v>
      </c>
      <c r="D17" s="2">
        <v>2</v>
      </c>
      <c r="E17" s="2">
        <v>0</v>
      </c>
      <c r="F17" s="2">
        <v>0</v>
      </c>
      <c r="G17" s="2">
        <v>0</v>
      </c>
      <c r="H17" s="2">
        <v>1</v>
      </c>
      <c r="I17" s="2">
        <v>0</v>
      </c>
      <c r="J17" s="2">
        <v>0</v>
      </c>
      <c r="K17" s="2">
        <v>1282</v>
      </c>
      <c r="L17" s="2">
        <v>1</v>
      </c>
      <c r="M17" s="2">
        <v>2</v>
      </c>
      <c r="N17" s="2">
        <v>4</v>
      </c>
      <c r="O17" s="2">
        <v>0</v>
      </c>
      <c r="P17" s="2">
        <v>0</v>
      </c>
      <c r="Q17" s="2">
        <v>0</v>
      </c>
      <c r="R17" s="2">
        <v>0</v>
      </c>
      <c r="S17" s="2">
        <v>0</v>
      </c>
      <c r="T17" s="2">
        <v>2</v>
      </c>
      <c r="U17" s="2">
        <v>0</v>
      </c>
      <c r="V17" s="2">
        <v>0</v>
      </c>
      <c r="W17" s="2">
        <v>32</v>
      </c>
      <c r="X17" s="2">
        <v>0</v>
      </c>
      <c r="Y17" s="2">
        <v>0</v>
      </c>
      <c r="Z17" s="2">
        <v>1</v>
      </c>
      <c r="AA17" s="2">
        <v>1</v>
      </c>
      <c r="AB17" s="2">
        <v>1</v>
      </c>
      <c r="AC17" s="2">
        <v>1</v>
      </c>
      <c r="AD17" s="2">
        <v>0</v>
      </c>
      <c r="AE17" s="2">
        <v>0</v>
      </c>
      <c r="AF17" s="2">
        <v>0</v>
      </c>
      <c r="AG17" s="20">
        <f t="shared" si="0"/>
        <v>-500</v>
      </c>
    </row>
    <row r="18" spans="1:33" x14ac:dyDescent="0.25">
      <c r="A18">
        <v>17</v>
      </c>
      <c r="B18" s="2">
        <v>3</v>
      </c>
      <c r="C18" s="2">
        <v>24</v>
      </c>
      <c r="D18" s="2">
        <v>4</v>
      </c>
      <c r="E18" s="2">
        <v>0</v>
      </c>
      <c r="F18" s="2">
        <v>0</v>
      </c>
      <c r="G18" s="2">
        <v>0</v>
      </c>
      <c r="H18" s="2">
        <v>1</v>
      </c>
      <c r="I18" s="2">
        <v>0</v>
      </c>
      <c r="J18" s="2">
        <v>0</v>
      </c>
      <c r="K18" s="2">
        <v>2424</v>
      </c>
      <c r="L18" s="2">
        <v>4</v>
      </c>
      <c r="M18" s="2">
        <v>4</v>
      </c>
      <c r="N18" s="2">
        <v>4</v>
      </c>
      <c r="O18" s="2">
        <v>0</v>
      </c>
      <c r="P18" s="2">
        <v>1</v>
      </c>
      <c r="Q18" s="2">
        <v>0</v>
      </c>
      <c r="R18" s="2">
        <v>0</v>
      </c>
      <c r="S18" s="2">
        <v>0</v>
      </c>
      <c r="T18" s="2">
        <v>4</v>
      </c>
      <c r="U18" s="2">
        <v>0</v>
      </c>
      <c r="V18" s="2">
        <v>0</v>
      </c>
      <c r="W18" s="2">
        <v>53</v>
      </c>
      <c r="X18" s="2">
        <v>0</v>
      </c>
      <c r="Y18" s="2">
        <v>0</v>
      </c>
      <c r="Z18" s="2">
        <v>1</v>
      </c>
      <c r="AA18" s="2">
        <v>2</v>
      </c>
      <c r="AB18" s="2">
        <v>2</v>
      </c>
      <c r="AC18" s="2">
        <v>1</v>
      </c>
      <c r="AD18" s="2">
        <v>0</v>
      </c>
      <c r="AE18" s="2">
        <v>0</v>
      </c>
      <c r="AF18" s="2">
        <v>1</v>
      </c>
      <c r="AG18" s="20">
        <f t="shared" si="0"/>
        <v>100</v>
      </c>
    </row>
    <row r="19" spans="1:33" x14ac:dyDescent="0.25">
      <c r="A19">
        <v>18</v>
      </c>
      <c r="B19" s="2">
        <v>0</v>
      </c>
      <c r="C19" s="2">
        <v>30</v>
      </c>
      <c r="D19" s="2">
        <v>0</v>
      </c>
      <c r="E19" s="2">
        <v>0</v>
      </c>
      <c r="F19" s="2">
        <v>0</v>
      </c>
      <c r="G19" s="2">
        <v>0</v>
      </c>
      <c r="H19" s="2">
        <v>0</v>
      </c>
      <c r="I19" s="2">
        <v>0</v>
      </c>
      <c r="J19" s="2">
        <v>1</v>
      </c>
      <c r="K19" s="2">
        <v>8072</v>
      </c>
      <c r="L19" s="2">
        <v>4</v>
      </c>
      <c r="M19" s="2">
        <v>1</v>
      </c>
      <c r="N19" s="2">
        <v>2</v>
      </c>
      <c r="O19" s="2">
        <v>0</v>
      </c>
      <c r="P19" s="2">
        <v>1</v>
      </c>
      <c r="Q19" s="2">
        <v>0</v>
      </c>
      <c r="R19" s="2">
        <v>0</v>
      </c>
      <c r="S19" s="2">
        <v>0</v>
      </c>
      <c r="T19" s="2">
        <v>3</v>
      </c>
      <c r="U19" s="2">
        <v>0</v>
      </c>
      <c r="V19" s="2">
        <v>0</v>
      </c>
      <c r="W19" s="2">
        <v>25</v>
      </c>
      <c r="X19" s="2">
        <v>1</v>
      </c>
      <c r="Y19" s="2">
        <v>0</v>
      </c>
      <c r="Z19" s="2">
        <v>1</v>
      </c>
      <c r="AA19" s="2">
        <v>3</v>
      </c>
      <c r="AB19" s="2">
        <v>2</v>
      </c>
      <c r="AC19" s="2">
        <v>1</v>
      </c>
      <c r="AD19" s="2">
        <v>0</v>
      </c>
      <c r="AE19" s="2">
        <v>0</v>
      </c>
      <c r="AF19" s="2">
        <v>1</v>
      </c>
      <c r="AG19" s="20">
        <f t="shared" si="0"/>
        <v>100</v>
      </c>
    </row>
    <row r="20" spans="1:33" x14ac:dyDescent="0.25">
      <c r="A20">
        <v>19</v>
      </c>
      <c r="B20" s="2">
        <v>1</v>
      </c>
      <c r="C20" s="2">
        <v>24</v>
      </c>
      <c r="D20" s="2">
        <v>2</v>
      </c>
      <c r="E20" s="2">
        <v>0</v>
      </c>
      <c r="F20" s="2">
        <v>1</v>
      </c>
      <c r="G20" s="2">
        <v>0</v>
      </c>
      <c r="H20" s="2">
        <v>0</v>
      </c>
      <c r="I20" s="2">
        <v>0</v>
      </c>
      <c r="J20" s="2">
        <v>0</v>
      </c>
      <c r="K20" s="2">
        <v>12579</v>
      </c>
      <c r="L20" s="2">
        <v>0</v>
      </c>
      <c r="M20" s="2">
        <v>4</v>
      </c>
      <c r="N20" s="2">
        <v>4</v>
      </c>
      <c r="O20" s="2">
        <v>0</v>
      </c>
      <c r="P20" s="2">
        <v>0</v>
      </c>
      <c r="Q20" s="2">
        <v>0</v>
      </c>
      <c r="R20" s="2">
        <v>0</v>
      </c>
      <c r="S20" s="2">
        <v>0</v>
      </c>
      <c r="T20" s="2">
        <v>2</v>
      </c>
      <c r="U20" s="2">
        <v>0</v>
      </c>
      <c r="V20" s="2">
        <v>1</v>
      </c>
      <c r="W20" s="2">
        <v>44</v>
      </c>
      <c r="X20" s="2">
        <v>0</v>
      </c>
      <c r="Y20" s="2">
        <v>0</v>
      </c>
      <c r="Z20" s="2">
        <v>0</v>
      </c>
      <c r="AA20" s="2">
        <v>1</v>
      </c>
      <c r="AB20" s="2">
        <v>3</v>
      </c>
      <c r="AC20" s="2">
        <v>1</v>
      </c>
      <c r="AD20" s="2">
        <v>1</v>
      </c>
      <c r="AE20" s="2">
        <v>0</v>
      </c>
      <c r="AF20" s="2">
        <v>0</v>
      </c>
      <c r="AG20" s="20">
        <f t="shared" si="0"/>
        <v>-500</v>
      </c>
    </row>
    <row r="21" spans="1:33" x14ac:dyDescent="0.25">
      <c r="A21">
        <v>20</v>
      </c>
      <c r="B21" s="2">
        <v>3</v>
      </c>
      <c r="C21" s="2">
        <v>24</v>
      </c>
      <c r="D21" s="2">
        <v>2</v>
      </c>
      <c r="E21" s="2">
        <v>0</v>
      </c>
      <c r="F21" s="2">
        <v>0</v>
      </c>
      <c r="G21" s="2">
        <v>0</v>
      </c>
      <c r="H21" s="2">
        <v>1</v>
      </c>
      <c r="I21" s="2">
        <v>0</v>
      </c>
      <c r="J21" s="2">
        <v>0</v>
      </c>
      <c r="K21" s="2">
        <v>3430</v>
      </c>
      <c r="L21" s="2">
        <v>2</v>
      </c>
      <c r="M21" s="2">
        <v>4</v>
      </c>
      <c r="N21" s="2">
        <v>3</v>
      </c>
      <c r="O21" s="2">
        <v>0</v>
      </c>
      <c r="P21" s="2">
        <v>1</v>
      </c>
      <c r="Q21" s="2">
        <v>0</v>
      </c>
      <c r="R21" s="2">
        <v>0</v>
      </c>
      <c r="S21" s="2">
        <v>0</v>
      </c>
      <c r="T21" s="2">
        <v>2</v>
      </c>
      <c r="U21" s="2">
        <v>0</v>
      </c>
      <c r="V21" s="2">
        <v>0</v>
      </c>
      <c r="W21" s="2">
        <v>31</v>
      </c>
      <c r="X21" s="2">
        <v>0</v>
      </c>
      <c r="Y21" s="2">
        <v>0</v>
      </c>
      <c r="Z21" s="2">
        <v>1</v>
      </c>
      <c r="AA21" s="2">
        <v>1</v>
      </c>
      <c r="AB21" s="2">
        <v>2</v>
      </c>
      <c r="AC21" s="2">
        <v>2</v>
      </c>
      <c r="AD21" s="2">
        <v>1</v>
      </c>
      <c r="AE21" s="2">
        <v>0</v>
      </c>
      <c r="AF21" s="2">
        <v>1</v>
      </c>
      <c r="AG21" s="20">
        <f t="shared" si="0"/>
        <v>100</v>
      </c>
    </row>
    <row r="22" spans="1:33" x14ac:dyDescent="0.25">
      <c r="A22">
        <v>21</v>
      </c>
      <c r="B22" s="2">
        <v>3</v>
      </c>
      <c r="C22" s="2">
        <v>9</v>
      </c>
      <c r="D22" s="2">
        <v>4</v>
      </c>
      <c r="E22" s="2">
        <v>1</v>
      </c>
      <c r="F22" s="2">
        <v>0</v>
      </c>
      <c r="G22" s="2">
        <v>0</v>
      </c>
      <c r="H22" s="2">
        <v>0</v>
      </c>
      <c r="I22" s="2">
        <v>0</v>
      </c>
      <c r="J22" s="2">
        <v>0</v>
      </c>
      <c r="K22" s="2">
        <v>2134</v>
      </c>
      <c r="L22" s="2">
        <v>0</v>
      </c>
      <c r="M22" s="2">
        <v>2</v>
      </c>
      <c r="N22" s="2">
        <v>4</v>
      </c>
      <c r="O22" s="2">
        <v>0</v>
      </c>
      <c r="P22" s="2">
        <v>1</v>
      </c>
      <c r="Q22" s="2">
        <v>0</v>
      </c>
      <c r="R22" s="2">
        <v>0</v>
      </c>
      <c r="S22" s="2">
        <v>0</v>
      </c>
      <c r="T22" s="2">
        <v>4</v>
      </c>
      <c r="U22" s="2">
        <v>0</v>
      </c>
      <c r="V22" s="2">
        <v>0</v>
      </c>
      <c r="W22" s="2">
        <v>48</v>
      </c>
      <c r="X22" s="2">
        <v>0</v>
      </c>
      <c r="Y22" s="2">
        <v>0</v>
      </c>
      <c r="Z22" s="2">
        <v>1</v>
      </c>
      <c r="AA22" s="2">
        <v>3</v>
      </c>
      <c r="AB22" s="2">
        <v>2</v>
      </c>
      <c r="AC22" s="2">
        <v>1</v>
      </c>
      <c r="AD22" s="2">
        <v>1</v>
      </c>
      <c r="AE22" s="2">
        <v>0</v>
      </c>
      <c r="AF22" s="2">
        <v>1</v>
      </c>
      <c r="AG22" s="20">
        <f t="shared" si="0"/>
        <v>100</v>
      </c>
    </row>
    <row r="23" spans="1:33" x14ac:dyDescent="0.25">
      <c r="A23">
        <v>22</v>
      </c>
      <c r="B23" s="2">
        <v>0</v>
      </c>
      <c r="C23" s="2">
        <v>6</v>
      </c>
      <c r="D23" s="2">
        <v>2</v>
      </c>
      <c r="E23" s="2">
        <v>0</v>
      </c>
      <c r="F23" s="2">
        <v>0</v>
      </c>
      <c r="G23" s="2">
        <v>0</v>
      </c>
      <c r="H23" s="2">
        <v>1</v>
      </c>
      <c r="I23" s="2">
        <v>0</v>
      </c>
      <c r="J23" s="2">
        <v>0</v>
      </c>
      <c r="K23" s="2">
        <v>2647</v>
      </c>
      <c r="L23" s="2">
        <v>2</v>
      </c>
      <c r="M23" s="2">
        <v>2</v>
      </c>
      <c r="N23" s="2">
        <v>2</v>
      </c>
      <c r="O23" s="2">
        <v>0</v>
      </c>
      <c r="P23" s="2">
        <v>1</v>
      </c>
      <c r="Q23" s="2">
        <v>0</v>
      </c>
      <c r="R23" s="2">
        <v>0</v>
      </c>
      <c r="S23" s="2">
        <v>0</v>
      </c>
      <c r="T23" s="2">
        <v>3</v>
      </c>
      <c r="U23" s="2">
        <v>1</v>
      </c>
      <c r="V23" s="2">
        <v>0</v>
      </c>
      <c r="W23" s="2">
        <v>44</v>
      </c>
      <c r="X23" s="2">
        <v>0</v>
      </c>
      <c r="Y23" s="2">
        <v>1</v>
      </c>
      <c r="Z23" s="2">
        <v>0</v>
      </c>
      <c r="AA23" s="2">
        <v>1</v>
      </c>
      <c r="AB23" s="2">
        <v>2</v>
      </c>
      <c r="AC23" s="2">
        <v>2</v>
      </c>
      <c r="AD23" s="2">
        <v>0</v>
      </c>
      <c r="AE23" s="2">
        <v>0</v>
      </c>
      <c r="AF23" s="2">
        <v>1</v>
      </c>
      <c r="AG23" s="20">
        <f t="shared" si="0"/>
        <v>100</v>
      </c>
    </row>
    <row r="24" spans="1:33" x14ac:dyDescent="0.25">
      <c r="A24">
        <v>23</v>
      </c>
      <c r="B24" s="2">
        <v>0</v>
      </c>
      <c r="C24" s="2">
        <v>10</v>
      </c>
      <c r="D24" s="2">
        <v>4</v>
      </c>
      <c r="E24" s="2">
        <v>1</v>
      </c>
      <c r="F24" s="2">
        <v>0</v>
      </c>
      <c r="G24" s="2">
        <v>0</v>
      </c>
      <c r="H24" s="2">
        <v>0</v>
      </c>
      <c r="I24" s="2">
        <v>0</v>
      </c>
      <c r="J24" s="2">
        <v>0</v>
      </c>
      <c r="K24" s="2">
        <v>2241</v>
      </c>
      <c r="L24" s="2">
        <v>0</v>
      </c>
      <c r="M24" s="2">
        <v>1</v>
      </c>
      <c r="N24" s="2">
        <v>1</v>
      </c>
      <c r="O24" s="2">
        <v>0</v>
      </c>
      <c r="P24" s="2">
        <v>1</v>
      </c>
      <c r="Q24" s="2">
        <v>0</v>
      </c>
      <c r="R24" s="2">
        <v>0</v>
      </c>
      <c r="S24" s="2">
        <v>0</v>
      </c>
      <c r="T24" s="2">
        <v>3</v>
      </c>
      <c r="U24" s="2">
        <v>1</v>
      </c>
      <c r="V24" s="2">
        <v>0</v>
      </c>
      <c r="W24" s="2">
        <v>48</v>
      </c>
      <c r="X24" s="2">
        <v>0</v>
      </c>
      <c r="Y24" s="2">
        <v>1</v>
      </c>
      <c r="Z24" s="2">
        <v>0</v>
      </c>
      <c r="AA24" s="2">
        <v>2</v>
      </c>
      <c r="AB24" s="2">
        <v>1</v>
      </c>
      <c r="AC24" s="2">
        <v>2</v>
      </c>
      <c r="AD24" s="2">
        <v>0</v>
      </c>
      <c r="AE24" s="2">
        <v>1</v>
      </c>
      <c r="AF24" s="2">
        <v>1</v>
      </c>
      <c r="AG24" s="20">
        <f t="shared" si="0"/>
        <v>100</v>
      </c>
    </row>
    <row r="25" spans="1:33" x14ac:dyDescent="0.25">
      <c r="A25">
        <v>24</v>
      </c>
      <c r="B25" s="2">
        <v>1</v>
      </c>
      <c r="C25" s="2">
        <v>12</v>
      </c>
      <c r="D25" s="2">
        <v>4</v>
      </c>
      <c r="E25" s="2">
        <v>0</v>
      </c>
      <c r="F25" s="2">
        <v>1</v>
      </c>
      <c r="G25" s="2">
        <v>0</v>
      </c>
      <c r="H25" s="2">
        <v>0</v>
      </c>
      <c r="I25" s="2">
        <v>0</v>
      </c>
      <c r="J25" s="2">
        <v>0</v>
      </c>
      <c r="K25" s="2">
        <v>1804</v>
      </c>
      <c r="L25" s="2">
        <v>1</v>
      </c>
      <c r="M25" s="2">
        <v>1</v>
      </c>
      <c r="N25" s="2">
        <v>3</v>
      </c>
      <c r="O25" s="2">
        <v>0</v>
      </c>
      <c r="P25" s="2">
        <v>1</v>
      </c>
      <c r="Q25" s="2">
        <v>0</v>
      </c>
      <c r="R25" s="2">
        <v>0</v>
      </c>
      <c r="S25" s="2">
        <v>0</v>
      </c>
      <c r="T25" s="2">
        <v>4</v>
      </c>
      <c r="U25" s="2">
        <v>0</v>
      </c>
      <c r="V25" s="2">
        <v>0</v>
      </c>
      <c r="W25" s="2">
        <v>44</v>
      </c>
      <c r="X25" s="2">
        <v>0</v>
      </c>
      <c r="Y25" s="2">
        <v>0</v>
      </c>
      <c r="Z25" s="2">
        <v>1</v>
      </c>
      <c r="AA25" s="2">
        <v>1</v>
      </c>
      <c r="AB25" s="2">
        <v>2</v>
      </c>
      <c r="AC25" s="2">
        <v>1</v>
      </c>
      <c r="AD25" s="2">
        <v>0</v>
      </c>
      <c r="AE25" s="2">
        <v>0</v>
      </c>
      <c r="AF25" s="2">
        <v>1</v>
      </c>
      <c r="AG25" s="20">
        <f t="shared" si="0"/>
        <v>100</v>
      </c>
    </row>
    <row r="26" spans="1:33" x14ac:dyDescent="0.25">
      <c r="A26">
        <v>25</v>
      </c>
      <c r="B26" s="2">
        <v>3</v>
      </c>
      <c r="C26" s="2">
        <v>10</v>
      </c>
      <c r="D26" s="2">
        <v>4</v>
      </c>
      <c r="E26" s="2">
        <v>0</v>
      </c>
      <c r="F26" s="2">
        <v>0</v>
      </c>
      <c r="G26" s="2">
        <v>1</v>
      </c>
      <c r="H26" s="2">
        <v>0</v>
      </c>
      <c r="I26" s="2">
        <v>0</v>
      </c>
      <c r="J26" s="2">
        <v>0</v>
      </c>
      <c r="K26" s="2">
        <v>2069</v>
      </c>
      <c r="L26" s="2">
        <v>4</v>
      </c>
      <c r="M26" s="2">
        <v>2</v>
      </c>
      <c r="N26" s="2">
        <v>2</v>
      </c>
      <c r="O26" s="2">
        <v>0</v>
      </c>
      <c r="P26" s="2">
        <v>0</v>
      </c>
      <c r="Q26" s="2">
        <v>1</v>
      </c>
      <c r="R26" s="2">
        <v>0</v>
      </c>
      <c r="S26" s="2">
        <v>0</v>
      </c>
      <c r="T26" s="2">
        <v>1</v>
      </c>
      <c r="U26" s="2">
        <v>0</v>
      </c>
      <c r="V26" s="2">
        <v>0</v>
      </c>
      <c r="W26" s="2">
        <v>26</v>
      </c>
      <c r="X26" s="2">
        <v>0</v>
      </c>
      <c r="Y26" s="2">
        <v>0</v>
      </c>
      <c r="Z26" s="2">
        <v>1</v>
      </c>
      <c r="AA26" s="2">
        <v>2</v>
      </c>
      <c r="AB26" s="2">
        <v>2</v>
      </c>
      <c r="AC26" s="2">
        <v>1</v>
      </c>
      <c r="AD26" s="2">
        <v>0</v>
      </c>
      <c r="AE26" s="2">
        <v>1</v>
      </c>
      <c r="AF26" s="2">
        <v>1</v>
      </c>
      <c r="AG26" s="20">
        <f t="shared" si="0"/>
        <v>100</v>
      </c>
    </row>
    <row r="27" spans="1:33" x14ac:dyDescent="0.25">
      <c r="A27">
        <v>26</v>
      </c>
      <c r="B27" s="2">
        <v>0</v>
      </c>
      <c r="C27" s="2">
        <v>6</v>
      </c>
      <c r="D27" s="2">
        <v>2</v>
      </c>
      <c r="E27" s="2">
        <v>0</v>
      </c>
      <c r="F27" s="2">
        <v>0</v>
      </c>
      <c r="G27" s="2">
        <v>1</v>
      </c>
      <c r="H27" s="2">
        <v>0</v>
      </c>
      <c r="I27" s="2">
        <v>0</v>
      </c>
      <c r="J27" s="2">
        <v>0</v>
      </c>
      <c r="K27" s="2">
        <v>1374</v>
      </c>
      <c r="L27" s="2">
        <v>0</v>
      </c>
      <c r="M27" s="2">
        <v>2</v>
      </c>
      <c r="N27" s="2">
        <v>1</v>
      </c>
      <c r="O27" s="2">
        <v>0</v>
      </c>
      <c r="P27" s="2">
        <v>1</v>
      </c>
      <c r="Q27" s="2">
        <v>0</v>
      </c>
      <c r="R27" s="2">
        <v>0</v>
      </c>
      <c r="S27" s="2">
        <v>0</v>
      </c>
      <c r="T27" s="2">
        <v>2</v>
      </c>
      <c r="U27" s="2">
        <v>1</v>
      </c>
      <c r="V27" s="2">
        <v>0</v>
      </c>
      <c r="W27" s="2">
        <v>36</v>
      </c>
      <c r="X27" s="2">
        <v>1</v>
      </c>
      <c r="Y27" s="2">
        <v>0</v>
      </c>
      <c r="Z27" s="2">
        <v>1</v>
      </c>
      <c r="AA27" s="2">
        <v>1</v>
      </c>
      <c r="AB27" s="2">
        <v>1</v>
      </c>
      <c r="AC27" s="2">
        <v>1</v>
      </c>
      <c r="AD27" s="2">
        <v>1</v>
      </c>
      <c r="AE27" s="2">
        <v>0</v>
      </c>
      <c r="AF27" s="2">
        <v>1</v>
      </c>
      <c r="AG27" s="20">
        <f t="shared" si="0"/>
        <v>100</v>
      </c>
    </row>
    <row r="28" spans="1:33" x14ac:dyDescent="0.25">
      <c r="A28">
        <v>27</v>
      </c>
      <c r="B28" s="2">
        <v>3</v>
      </c>
      <c r="C28" s="2">
        <v>6</v>
      </c>
      <c r="D28" s="2">
        <v>0</v>
      </c>
      <c r="E28" s="2">
        <v>0</v>
      </c>
      <c r="F28" s="2">
        <v>0</v>
      </c>
      <c r="G28" s="2">
        <v>0</v>
      </c>
      <c r="H28" s="2">
        <v>1</v>
      </c>
      <c r="I28" s="2">
        <v>0</v>
      </c>
      <c r="J28" s="2">
        <v>0</v>
      </c>
      <c r="K28" s="2">
        <v>426</v>
      </c>
      <c r="L28" s="2">
        <v>0</v>
      </c>
      <c r="M28" s="2">
        <v>4</v>
      </c>
      <c r="N28" s="2">
        <v>4</v>
      </c>
      <c r="O28" s="2">
        <v>0</v>
      </c>
      <c r="P28" s="2">
        <v>0</v>
      </c>
      <c r="Q28" s="2">
        <v>1</v>
      </c>
      <c r="R28" s="2">
        <v>0</v>
      </c>
      <c r="S28" s="2">
        <v>0</v>
      </c>
      <c r="T28" s="2">
        <v>4</v>
      </c>
      <c r="U28" s="2">
        <v>0</v>
      </c>
      <c r="V28" s="2">
        <v>0</v>
      </c>
      <c r="W28" s="2">
        <v>39</v>
      </c>
      <c r="X28" s="2">
        <v>0</v>
      </c>
      <c r="Y28" s="2">
        <v>0</v>
      </c>
      <c r="Z28" s="2">
        <v>1</v>
      </c>
      <c r="AA28" s="2">
        <v>1</v>
      </c>
      <c r="AB28" s="2">
        <v>1</v>
      </c>
      <c r="AC28" s="2">
        <v>1</v>
      </c>
      <c r="AD28" s="2">
        <v>0</v>
      </c>
      <c r="AE28" s="2">
        <v>0</v>
      </c>
      <c r="AF28" s="2">
        <v>1</v>
      </c>
      <c r="AG28" s="20">
        <f t="shared" si="0"/>
        <v>100</v>
      </c>
    </row>
    <row r="29" spans="1:33" x14ac:dyDescent="0.25">
      <c r="A29">
        <v>28</v>
      </c>
      <c r="B29" s="2">
        <v>2</v>
      </c>
      <c r="C29" s="2">
        <v>12</v>
      </c>
      <c r="D29" s="2">
        <v>1</v>
      </c>
      <c r="E29" s="2">
        <v>0</v>
      </c>
      <c r="F29" s="2">
        <v>0</v>
      </c>
      <c r="G29" s="2">
        <v>0</v>
      </c>
      <c r="H29" s="2">
        <v>1</v>
      </c>
      <c r="I29" s="2">
        <v>0</v>
      </c>
      <c r="J29" s="2">
        <v>0</v>
      </c>
      <c r="K29" s="2">
        <v>409</v>
      </c>
      <c r="L29" s="2">
        <v>3</v>
      </c>
      <c r="M29" s="2">
        <v>2</v>
      </c>
      <c r="N29" s="2">
        <v>3</v>
      </c>
      <c r="O29" s="2">
        <v>0</v>
      </c>
      <c r="P29" s="2">
        <v>0</v>
      </c>
      <c r="Q29" s="2">
        <v>0</v>
      </c>
      <c r="R29" s="2">
        <v>0</v>
      </c>
      <c r="S29" s="2">
        <v>0</v>
      </c>
      <c r="T29" s="2">
        <v>3</v>
      </c>
      <c r="U29" s="2">
        <v>1</v>
      </c>
      <c r="V29" s="2">
        <v>0</v>
      </c>
      <c r="W29" s="2">
        <v>42</v>
      </c>
      <c r="X29" s="2">
        <v>0</v>
      </c>
      <c r="Y29" s="2">
        <v>1</v>
      </c>
      <c r="Z29" s="2">
        <v>0</v>
      </c>
      <c r="AA29" s="2">
        <v>2</v>
      </c>
      <c r="AB29" s="2">
        <v>2</v>
      </c>
      <c r="AC29" s="2">
        <v>1</v>
      </c>
      <c r="AD29" s="2">
        <v>0</v>
      </c>
      <c r="AE29" s="2">
        <v>0</v>
      </c>
      <c r="AF29" s="2">
        <v>1</v>
      </c>
      <c r="AG29" s="20">
        <f t="shared" si="0"/>
        <v>100</v>
      </c>
    </row>
    <row r="30" spans="1:33" x14ac:dyDescent="0.25">
      <c r="A30">
        <v>29</v>
      </c>
      <c r="B30" s="2">
        <v>1</v>
      </c>
      <c r="C30" s="2">
        <v>7</v>
      </c>
      <c r="D30" s="2">
        <v>2</v>
      </c>
      <c r="E30" s="2">
        <v>0</v>
      </c>
      <c r="F30" s="2">
        <v>0</v>
      </c>
      <c r="G30" s="2">
        <v>0</v>
      </c>
      <c r="H30" s="2">
        <v>1</v>
      </c>
      <c r="I30" s="2">
        <v>0</v>
      </c>
      <c r="J30" s="2">
        <v>0</v>
      </c>
      <c r="K30" s="2">
        <v>2415</v>
      </c>
      <c r="L30" s="2">
        <v>0</v>
      </c>
      <c r="M30" s="2">
        <v>2</v>
      </c>
      <c r="N30" s="2">
        <v>3</v>
      </c>
      <c r="O30" s="2">
        <v>0</v>
      </c>
      <c r="P30" s="2">
        <v>1</v>
      </c>
      <c r="Q30" s="2">
        <v>0</v>
      </c>
      <c r="R30" s="2">
        <v>0</v>
      </c>
      <c r="S30" s="2">
        <v>1</v>
      </c>
      <c r="T30" s="2">
        <v>2</v>
      </c>
      <c r="U30" s="2">
        <v>1</v>
      </c>
      <c r="V30" s="2">
        <v>0</v>
      </c>
      <c r="W30" s="2">
        <v>34</v>
      </c>
      <c r="X30" s="2">
        <v>0</v>
      </c>
      <c r="Y30" s="2">
        <v>0</v>
      </c>
      <c r="Z30" s="2">
        <v>1</v>
      </c>
      <c r="AA30" s="2">
        <v>1</v>
      </c>
      <c r="AB30" s="2">
        <v>2</v>
      </c>
      <c r="AC30" s="2">
        <v>1</v>
      </c>
      <c r="AD30" s="2">
        <v>0</v>
      </c>
      <c r="AE30" s="2">
        <v>0</v>
      </c>
      <c r="AF30" s="2">
        <v>1</v>
      </c>
      <c r="AG30" s="20">
        <f t="shared" si="0"/>
        <v>100</v>
      </c>
    </row>
    <row r="31" spans="1:33" x14ac:dyDescent="0.25">
      <c r="A31">
        <v>30</v>
      </c>
      <c r="B31" s="2">
        <v>0</v>
      </c>
      <c r="C31" s="2">
        <v>60</v>
      </c>
      <c r="D31" s="2">
        <v>3</v>
      </c>
      <c r="E31" s="2">
        <v>0</v>
      </c>
      <c r="F31" s="2">
        <v>0</v>
      </c>
      <c r="G31" s="2">
        <v>0</v>
      </c>
      <c r="H31" s="2">
        <v>0</v>
      </c>
      <c r="I31" s="2">
        <v>0</v>
      </c>
      <c r="J31" s="2">
        <v>1</v>
      </c>
      <c r="K31" s="2">
        <v>6836</v>
      </c>
      <c r="L31" s="2">
        <v>0</v>
      </c>
      <c r="M31" s="2">
        <v>4</v>
      </c>
      <c r="N31" s="2">
        <v>3</v>
      </c>
      <c r="O31" s="2">
        <v>0</v>
      </c>
      <c r="P31" s="2">
        <v>1</v>
      </c>
      <c r="Q31" s="2">
        <v>0</v>
      </c>
      <c r="R31" s="2">
        <v>0</v>
      </c>
      <c r="S31" s="2">
        <v>0</v>
      </c>
      <c r="T31" s="2">
        <v>4</v>
      </c>
      <c r="U31" s="2">
        <v>0</v>
      </c>
      <c r="V31" s="2">
        <v>1</v>
      </c>
      <c r="W31" s="2">
        <v>63</v>
      </c>
      <c r="X31" s="2">
        <v>0</v>
      </c>
      <c r="Y31" s="2">
        <v>0</v>
      </c>
      <c r="Z31" s="2">
        <v>1</v>
      </c>
      <c r="AA31" s="2">
        <v>2</v>
      </c>
      <c r="AB31" s="2">
        <v>2</v>
      </c>
      <c r="AC31" s="2">
        <v>1</v>
      </c>
      <c r="AD31" s="2">
        <v>1</v>
      </c>
      <c r="AE31" s="2">
        <v>0</v>
      </c>
      <c r="AF31" s="2">
        <v>0</v>
      </c>
      <c r="AG31" s="20">
        <f t="shared" si="0"/>
        <v>-500</v>
      </c>
    </row>
    <row r="32" spans="1:33" x14ac:dyDescent="0.25">
      <c r="A32">
        <v>31</v>
      </c>
      <c r="B32" s="2">
        <v>1</v>
      </c>
      <c r="C32" s="2">
        <v>18</v>
      </c>
      <c r="D32" s="2">
        <v>2</v>
      </c>
      <c r="E32" s="2">
        <v>0</v>
      </c>
      <c r="F32" s="2">
        <v>0</v>
      </c>
      <c r="G32" s="2">
        <v>0</v>
      </c>
      <c r="H32" s="2">
        <v>0</v>
      </c>
      <c r="I32" s="2">
        <v>0</v>
      </c>
      <c r="J32" s="2">
        <v>1</v>
      </c>
      <c r="K32" s="2">
        <v>1913</v>
      </c>
      <c r="L32" s="2">
        <v>3</v>
      </c>
      <c r="M32" s="2">
        <v>1</v>
      </c>
      <c r="N32" s="2">
        <v>3</v>
      </c>
      <c r="O32" s="2">
        <v>0</v>
      </c>
      <c r="P32" s="2">
        <v>0</v>
      </c>
      <c r="Q32" s="2">
        <v>1</v>
      </c>
      <c r="R32" s="2">
        <v>0</v>
      </c>
      <c r="S32" s="2">
        <v>0</v>
      </c>
      <c r="T32" s="2">
        <v>3</v>
      </c>
      <c r="U32" s="2">
        <v>1</v>
      </c>
      <c r="V32" s="2">
        <v>0</v>
      </c>
      <c r="W32" s="2">
        <v>36</v>
      </c>
      <c r="X32" s="2">
        <v>1</v>
      </c>
      <c r="Y32" s="2">
        <v>0</v>
      </c>
      <c r="Z32" s="2">
        <v>1</v>
      </c>
      <c r="AA32" s="2">
        <v>1</v>
      </c>
      <c r="AB32" s="2">
        <v>2</v>
      </c>
      <c r="AC32" s="2">
        <v>1</v>
      </c>
      <c r="AD32" s="2">
        <v>1</v>
      </c>
      <c r="AE32" s="2">
        <v>0</v>
      </c>
      <c r="AF32" s="2">
        <v>1</v>
      </c>
      <c r="AG32" s="20">
        <f t="shared" si="0"/>
        <v>100</v>
      </c>
    </row>
    <row r="33" spans="1:33" x14ac:dyDescent="0.25">
      <c r="A33">
        <v>32</v>
      </c>
      <c r="B33" s="2">
        <v>0</v>
      </c>
      <c r="C33" s="2">
        <v>24</v>
      </c>
      <c r="D33" s="2">
        <v>2</v>
      </c>
      <c r="E33" s="2">
        <v>0</v>
      </c>
      <c r="F33" s="2">
        <v>0</v>
      </c>
      <c r="G33" s="2">
        <v>1</v>
      </c>
      <c r="H33" s="2">
        <v>0</v>
      </c>
      <c r="I33" s="2">
        <v>0</v>
      </c>
      <c r="J33" s="2">
        <v>0</v>
      </c>
      <c r="K33" s="2">
        <v>4020</v>
      </c>
      <c r="L33" s="2">
        <v>0</v>
      </c>
      <c r="M33" s="2">
        <v>2</v>
      </c>
      <c r="N33" s="2">
        <v>2</v>
      </c>
      <c r="O33" s="2">
        <v>0</v>
      </c>
      <c r="P33" s="2">
        <v>1</v>
      </c>
      <c r="Q33" s="2">
        <v>0</v>
      </c>
      <c r="R33" s="2">
        <v>0</v>
      </c>
      <c r="S33" s="2">
        <v>0</v>
      </c>
      <c r="T33" s="2">
        <v>2</v>
      </c>
      <c r="U33" s="2">
        <v>0</v>
      </c>
      <c r="V33" s="2">
        <v>0</v>
      </c>
      <c r="W33" s="2">
        <v>27</v>
      </c>
      <c r="X33" s="2">
        <v>1</v>
      </c>
      <c r="Y33" s="2">
        <v>0</v>
      </c>
      <c r="Z33" s="2">
        <v>1</v>
      </c>
      <c r="AA33" s="2">
        <v>1</v>
      </c>
      <c r="AB33" s="2">
        <v>2</v>
      </c>
      <c r="AC33" s="2">
        <v>1</v>
      </c>
      <c r="AD33" s="2">
        <v>0</v>
      </c>
      <c r="AE33" s="2">
        <v>0</v>
      </c>
      <c r="AF33" s="2">
        <v>1</v>
      </c>
      <c r="AG33" s="20">
        <f t="shared" si="0"/>
        <v>100</v>
      </c>
    </row>
    <row r="34" spans="1:33" x14ac:dyDescent="0.25">
      <c r="A34">
        <v>33</v>
      </c>
      <c r="B34" s="2">
        <v>1</v>
      </c>
      <c r="C34" s="2">
        <v>18</v>
      </c>
      <c r="D34" s="2">
        <v>2</v>
      </c>
      <c r="E34" s="2">
        <v>1</v>
      </c>
      <c r="F34" s="2">
        <v>0</v>
      </c>
      <c r="G34" s="2">
        <v>0</v>
      </c>
      <c r="H34" s="2">
        <v>0</v>
      </c>
      <c r="I34" s="2">
        <v>0</v>
      </c>
      <c r="J34" s="2">
        <v>0</v>
      </c>
      <c r="K34" s="2">
        <v>5866</v>
      </c>
      <c r="L34" s="2">
        <v>1</v>
      </c>
      <c r="M34" s="2">
        <v>2</v>
      </c>
      <c r="N34" s="2">
        <v>2</v>
      </c>
      <c r="O34" s="2">
        <v>0</v>
      </c>
      <c r="P34" s="2">
        <v>1</v>
      </c>
      <c r="Q34" s="2">
        <v>0</v>
      </c>
      <c r="R34" s="2">
        <v>0</v>
      </c>
      <c r="S34" s="2">
        <v>0</v>
      </c>
      <c r="T34" s="2">
        <v>2</v>
      </c>
      <c r="U34" s="2">
        <v>0</v>
      </c>
      <c r="V34" s="2">
        <v>0</v>
      </c>
      <c r="W34" s="2">
        <v>30</v>
      </c>
      <c r="X34" s="2">
        <v>0</v>
      </c>
      <c r="Y34" s="2">
        <v>0</v>
      </c>
      <c r="Z34" s="2">
        <v>1</v>
      </c>
      <c r="AA34" s="2">
        <v>2</v>
      </c>
      <c r="AB34" s="2">
        <v>2</v>
      </c>
      <c r="AC34" s="2">
        <v>1</v>
      </c>
      <c r="AD34" s="2">
        <v>1</v>
      </c>
      <c r="AE34" s="2">
        <v>0</v>
      </c>
      <c r="AF34" s="2">
        <v>1</v>
      </c>
      <c r="AG34" s="20">
        <f t="shared" si="0"/>
        <v>100</v>
      </c>
    </row>
    <row r="35" spans="1:33" x14ac:dyDescent="0.25">
      <c r="A35">
        <v>34</v>
      </c>
      <c r="B35" s="2">
        <v>3</v>
      </c>
      <c r="C35" s="2">
        <v>12</v>
      </c>
      <c r="D35" s="2">
        <v>4</v>
      </c>
      <c r="E35" s="2">
        <v>0</v>
      </c>
      <c r="F35" s="2">
        <v>0</v>
      </c>
      <c r="G35" s="2">
        <v>0</v>
      </c>
      <c r="H35" s="2">
        <v>0</v>
      </c>
      <c r="I35" s="2">
        <v>0</v>
      </c>
      <c r="J35" s="2">
        <v>1</v>
      </c>
      <c r="K35" s="2">
        <v>1264</v>
      </c>
      <c r="L35" s="2">
        <v>4</v>
      </c>
      <c r="M35" s="2">
        <v>4</v>
      </c>
      <c r="N35" s="2">
        <v>4</v>
      </c>
      <c r="O35" s="2">
        <v>0</v>
      </c>
      <c r="P35" s="2">
        <v>1</v>
      </c>
      <c r="Q35" s="2">
        <v>0</v>
      </c>
      <c r="R35" s="2">
        <v>0</v>
      </c>
      <c r="S35" s="2">
        <v>0</v>
      </c>
      <c r="T35" s="2">
        <v>4</v>
      </c>
      <c r="U35" s="2">
        <v>0</v>
      </c>
      <c r="V35" s="2">
        <v>1</v>
      </c>
      <c r="W35" s="2">
        <v>57</v>
      </c>
      <c r="X35" s="2">
        <v>0</v>
      </c>
      <c r="Y35" s="2">
        <v>1</v>
      </c>
      <c r="Z35" s="2">
        <v>0</v>
      </c>
      <c r="AA35" s="2">
        <v>1</v>
      </c>
      <c r="AB35" s="2">
        <v>1</v>
      </c>
      <c r="AC35" s="2">
        <v>1</v>
      </c>
      <c r="AD35" s="2">
        <v>0</v>
      </c>
      <c r="AE35" s="2">
        <v>0</v>
      </c>
      <c r="AF35" s="2">
        <v>1</v>
      </c>
      <c r="AG35" s="20">
        <f t="shared" si="0"/>
        <v>100</v>
      </c>
    </row>
    <row r="36" spans="1:33" x14ac:dyDescent="0.25">
      <c r="A36">
        <v>35</v>
      </c>
      <c r="B36" s="2">
        <v>2</v>
      </c>
      <c r="C36" s="2">
        <v>12</v>
      </c>
      <c r="D36" s="2">
        <v>2</v>
      </c>
      <c r="E36" s="2">
        <v>0</v>
      </c>
      <c r="F36" s="2">
        <v>0</v>
      </c>
      <c r="G36" s="2">
        <v>1</v>
      </c>
      <c r="H36" s="2">
        <v>0</v>
      </c>
      <c r="I36" s="2">
        <v>0</v>
      </c>
      <c r="J36" s="2">
        <v>0</v>
      </c>
      <c r="K36" s="2">
        <v>1474</v>
      </c>
      <c r="L36" s="2">
        <v>0</v>
      </c>
      <c r="M36" s="2">
        <v>1</v>
      </c>
      <c r="N36" s="2">
        <v>4</v>
      </c>
      <c r="O36" s="2">
        <v>0</v>
      </c>
      <c r="P36" s="2">
        <v>0</v>
      </c>
      <c r="Q36" s="2">
        <v>0</v>
      </c>
      <c r="R36" s="2">
        <v>0</v>
      </c>
      <c r="S36" s="2">
        <v>0</v>
      </c>
      <c r="T36" s="2">
        <v>1</v>
      </c>
      <c r="U36" s="2">
        <v>0</v>
      </c>
      <c r="V36" s="2">
        <v>0</v>
      </c>
      <c r="W36" s="2">
        <v>33</v>
      </c>
      <c r="X36" s="2">
        <v>1</v>
      </c>
      <c r="Y36" s="2">
        <v>0</v>
      </c>
      <c r="Z36" s="2">
        <v>1</v>
      </c>
      <c r="AA36" s="2">
        <v>1</v>
      </c>
      <c r="AB36" s="2">
        <v>3</v>
      </c>
      <c r="AC36" s="2">
        <v>1</v>
      </c>
      <c r="AD36" s="2">
        <v>1</v>
      </c>
      <c r="AE36" s="2">
        <v>0</v>
      </c>
      <c r="AF36" s="2">
        <v>1</v>
      </c>
      <c r="AG36" s="20">
        <f t="shared" si="0"/>
        <v>100</v>
      </c>
    </row>
    <row r="37" spans="1:33" x14ac:dyDescent="0.25">
      <c r="A37">
        <v>36</v>
      </c>
      <c r="B37" s="2">
        <v>1</v>
      </c>
      <c r="C37" s="2">
        <v>45</v>
      </c>
      <c r="D37" s="2">
        <v>4</v>
      </c>
      <c r="E37" s="2">
        <v>0</v>
      </c>
      <c r="F37" s="2">
        <v>0</v>
      </c>
      <c r="G37" s="2">
        <v>0</v>
      </c>
      <c r="H37" s="2">
        <v>1</v>
      </c>
      <c r="I37" s="2">
        <v>0</v>
      </c>
      <c r="J37" s="2">
        <v>0</v>
      </c>
      <c r="K37" s="2">
        <v>4746</v>
      </c>
      <c r="L37" s="2">
        <v>0</v>
      </c>
      <c r="M37" s="2">
        <v>1</v>
      </c>
      <c r="N37" s="2">
        <v>4</v>
      </c>
      <c r="O37" s="2">
        <v>0</v>
      </c>
      <c r="P37" s="2">
        <v>1</v>
      </c>
      <c r="Q37" s="2">
        <v>0</v>
      </c>
      <c r="R37" s="2">
        <v>0</v>
      </c>
      <c r="S37" s="2">
        <v>0</v>
      </c>
      <c r="T37" s="2">
        <v>2</v>
      </c>
      <c r="U37" s="2">
        <v>0</v>
      </c>
      <c r="V37" s="2">
        <v>0</v>
      </c>
      <c r="W37" s="2">
        <v>25</v>
      </c>
      <c r="X37" s="2">
        <v>0</v>
      </c>
      <c r="Y37" s="2">
        <v>0</v>
      </c>
      <c r="Z37" s="2">
        <v>1</v>
      </c>
      <c r="AA37" s="2">
        <v>2</v>
      </c>
      <c r="AB37" s="2">
        <v>1</v>
      </c>
      <c r="AC37" s="2">
        <v>1</v>
      </c>
      <c r="AD37" s="2">
        <v>0</v>
      </c>
      <c r="AE37" s="2">
        <v>0</v>
      </c>
      <c r="AF37" s="2">
        <v>0</v>
      </c>
      <c r="AG37" s="20">
        <f t="shared" si="0"/>
        <v>-500</v>
      </c>
    </row>
    <row r="38" spans="1:33" x14ac:dyDescent="0.25">
      <c r="A38">
        <v>37</v>
      </c>
      <c r="B38" s="2">
        <v>3</v>
      </c>
      <c r="C38" s="2">
        <v>48</v>
      </c>
      <c r="D38" s="2">
        <v>4</v>
      </c>
      <c r="E38" s="2">
        <v>0</v>
      </c>
      <c r="F38" s="2">
        <v>0</v>
      </c>
      <c r="G38" s="2">
        <v>0</v>
      </c>
      <c r="H38" s="2">
        <v>0</v>
      </c>
      <c r="I38" s="2">
        <v>1</v>
      </c>
      <c r="J38" s="2">
        <v>0</v>
      </c>
      <c r="K38" s="2">
        <v>6110</v>
      </c>
      <c r="L38" s="2">
        <v>0</v>
      </c>
      <c r="M38" s="2">
        <v>2</v>
      </c>
      <c r="N38" s="2">
        <v>1</v>
      </c>
      <c r="O38" s="2">
        <v>0</v>
      </c>
      <c r="P38" s="2">
        <v>1</v>
      </c>
      <c r="Q38" s="2">
        <v>0</v>
      </c>
      <c r="R38" s="2">
        <v>0</v>
      </c>
      <c r="S38" s="2">
        <v>0</v>
      </c>
      <c r="T38" s="2">
        <v>3</v>
      </c>
      <c r="U38" s="2">
        <v>0</v>
      </c>
      <c r="V38" s="2">
        <v>1</v>
      </c>
      <c r="W38" s="2">
        <v>31</v>
      </c>
      <c r="X38" s="2">
        <v>1</v>
      </c>
      <c r="Y38" s="2">
        <v>0</v>
      </c>
      <c r="Z38" s="2">
        <v>0</v>
      </c>
      <c r="AA38" s="2">
        <v>1</v>
      </c>
      <c r="AB38" s="2">
        <v>2</v>
      </c>
      <c r="AC38" s="2">
        <v>1</v>
      </c>
      <c r="AD38" s="2">
        <v>1</v>
      </c>
      <c r="AE38" s="2">
        <v>0</v>
      </c>
      <c r="AF38" s="2">
        <v>1</v>
      </c>
      <c r="AG38" s="20">
        <f t="shared" si="0"/>
        <v>100</v>
      </c>
    </row>
    <row r="39" spans="1:33" x14ac:dyDescent="0.25">
      <c r="A39">
        <v>38</v>
      </c>
      <c r="B39" s="2">
        <v>2</v>
      </c>
      <c r="C39" s="2">
        <v>18</v>
      </c>
      <c r="D39" s="2">
        <v>2</v>
      </c>
      <c r="E39" s="2">
        <v>0</v>
      </c>
      <c r="F39" s="2">
        <v>0</v>
      </c>
      <c r="G39" s="2">
        <v>0</v>
      </c>
      <c r="H39" s="2">
        <v>1</v>
      </c>
      <c r="I39" s="2">
        <v>0</v>
      </c>
      <c r="J39" s="2">
        <v>0</v>
      </c>
      <c r="K39" s="2">
        <v>2100</v>
      </c>
      <c r="L39" s="2">
        <v>0</v>
      </c>
      <c r="M39" s="2">
        <v>2</v>
      </c>
      <c r="N39" s="2">
        <v>4</v>
      </c>
      <c r="O39" s="2">
        <v>0</v>
      </c>
      <c r="P39" s="2">
        <v>1</v>
      </c>
      <c r="Q39" s="2">
        <v>0</v>
      </c>
      <c r="R39" s="2">
        <v>1</v>
      </c>
      <c r="S39" s="2">
        <v>0</v>
      </c>
      <c r="T39" s="2">
        <v>2</v>
      </c>
      <c r="U39" s="2">
        <v>1</v>
      </c>
      <c r="V39" s="2">
        <v>0</v>
      </c>
      <c r="W39" s="2">
        <v>37</v>
      </c>
      <c r="X39" s="2">
        <v>1</v>
      </c>
      <c r="Y39" s="2">
        <v>0</v>
      </c>
      <c r="Z39" s="2">
        <v>1</v>
      </c>
      <c r="AA39" s="2">
        <v>1</v>
      </c>
      <c r="AB39" s="2">
        <v>2</v>
      </c>
      <c r="AC39" s="2">
        <v>1</v>
      </c>
      <c r="AD39" s="2">
        <v>0</v>
      </c>
      <c r="AE39" s="2">
        <v>0</v>
      </c>
      <c r="AF39" s="2">
        <v>0</v>
      </c>
      <c r="AG39" s="20">
        <f t="shared" si="0"/>
        <v>-500</v>
      </c>
    </row>
    <row r="40" spans="1:33" x14ac:dyDescent="0.25">
      <c r="A40">
        <v>39</v>
      </c>
      <c r="B40" s="2">
        <v>2</v>
      </c>
      <c r="C40" s="2">
        <v>10</v>
      </c>
      <c r="D40" s="2">
        <v>2</v>
      </c>
      <c r="E40" s="2">
        <v>0</v>
      </c>
      <c r="F40" s="2">
        <v>0</v>
      </c>
      <c r="G40" s="2">
        <v>0</v>
      </c>
      <c r="H40" s="2">
        <v>0</v>
      </c>
      <c r="I40" s="2">
        <v>0</v>
      </c>
      <c r="J40" s="2">
        <v>0</v>
      </c>
      <c r="K40" s="2">
        <v>1225</v>
      </c>
      <c r="L40" s="2">
        <v>0</v>
      </c>
      <c r="M40" s="2">
        <v>2</v>
      </c>
      <c r="N40" s="2">
        <v>2</v>
      </c>
      <c r="O40" s="2">
        <v>0</v>
      </c>
      <c r="P40" s="2">
        <v>1</v>
      </c>
      <c r="Q40" s="2">
        <v>0</v>
      </c>
      <c r="R40" s="2">
        <v>0</v>
      </c>
      <c r="S40" s="2">
        <v>0</v>
      </c>
      <c r="T40" s="2">
        <v>2</v>
      </c>
      <c r="U40" s="2">
        <v>0</v>
      </c>
      <c r="V40" s="2">
        <v>0</v>
      </c>
      <c r="W40" s="2">
        <v>37</v>
      </c>
      <c r="X40" s="2">
        <v>0</v>
      </c>
      <c r="Y40" s="2">
        <v>0</v>
      </c>
      <c r="Z40" s="2">
        <v>1</v>
      </c>
      <c r="AA40" s="2">
        <v>1</v>
      </c>
      <c r="AB40" s="2">
        <v>2</v>
      </c>
      <c r="AC40" s="2">
        <v>1</v>
      </c>
      <c r="AD40" s="2">
        <v>1</v>
      </c>
      <c r="AE40" s="2">
        <v>0</v>
      </c>
      <c r="AF40" s="2">
        <v>1</v>
      </c>
      <c r="AG40" s="20">
        <f t="shared" si="0"/>
        <v>100</v>
      </c>
    </row>
    <row r="41" spans="1:33" x14ac:dyDescent="0.25">
      <c r="A41">
        <v>40</v>
      </c>
      <c r="B41" s="2">
        <v>1</v>
      </c>
      <c r="C41" s="2">
        <v>9</v>
      </c>
      <c r="D41" s="2">
        <v>2</v>
      </c>
      <c r="E41" s="2">
        <v>0</v>
      </c>
      <c r="F41" s="2">
        <v>0</v>
      </c>
      <c r="G41" s="2">
        <v>0</v>
      </c>
      <c r="H41" s="2">
        <v>1</v>
      </c>
      <c r="I41" s="2">
        <v>0</v>
      </c>
      <c r="J41" s="2">
        <v>0</v>
      </c>
      <c r="K41" s="2">
        <v>458</v>
      </c>
      <c r="L41" s="2">
        <v>0</v>
      </c>
      <c r="M41" s="2">
        <v>2</v>
      </c>
      <c r="N41" s="2">
        <v>4</v>
      </c>
      <c r="O41" s="2">
        <v>0</v>
      </c>
      <c r="P41" s="2">
        <v>1</v>
      </c>
      <c r="Q41" s="2">
        <v>0</v>
      </c>
      <c r="R41" s="2">
        <v>0</v>
      </c>
      <c r="S41" s="2">
        <v>0</v>
      </c>
      <c r="T41" s="2">
        <v>3</v>
      </c>
      <c r="U41" s="2">
        <v>1</v>
      </c>
      <c r="V41" s="2">
        <v>0</v>
      </c>
      <c r="W41" s="2">
        <v>24</v>
      </c>
      <c r="X41" s="2">
        <v>0</v>
      </c>
      <c r="Y41" s="2">
        <v>0</v>
      </c>
      <c r="Z41" s="2">
        <v>1</v>
      </c>
      <c r="AA41" s="2">
        <v>1</v>
      </c>
      <c r="AB41" s="2">
        <v>2</v>
      </c>
      <c r="AC41" s="2">
        <v>1</v>
      </c>
      <c r="AD41" s="2">
        <v>0</v>
      </c>
      <c r="AE41" s="2">
        <v>0</v>
      </c>
      <c r="AF41" s="2">
        <v>1</v>
      </c>
      <c r="AG41" s="20">
        <f t="shared" si="0"/>
        <v>100</v>
      </c>
    </row>
    <row r="42" spans="1:33" x14ac:dyDescent="0.25">
      <c r="A42">
        <v>41</v>
      </c>
      <c r="B42" s="2">
        <v>3</v>
      </c>
      <c r="C42" s="2">
        <v>30</v>
      </c>
      <c r="D42" s="2">
        <v>2</v>
      </c>
      <c r="E42" s="2">
        <v>0</v>
      </c>
      <c r="F42" s="2">
        <v>0</v>
      </c>
      <c r="G42" s="2">
        <v>0</v>
      </c>
      <c r="H42" s="2">
        <v>1</v>
      </c>
      <c r="I42" s="2">
        <v>0</v>
      </c>
      <c r="J42" s="2">
        <v>0</v>
      </c>
      <c r="K42" s="2">
        <v>2333</v>
      </c>
      <c r="L42" s="2">
        <v>2</v>
      </c>
      <c r="M42" s="2">
        <v>4</v>
      </c>
      <c r="N42" s="2">
        <v>4</v>
      </c>
      <c r="O42" s="2">
        <v>0</v>
      </c>
      <c r="P42" s="2">
        <v>1</v>
      </c>
      <c r="Q42" s="2">
        <v>0</v>
      </c>
      <c r="R42" s="2">
        <v>0</v>
      </c>
      <c r="S42" s="2">
        <v>0</v>
      </c>
      <c r="T42" s="2">
        <v>2</v>
      </c>
      <c r="U42" s="2">
        <v>0</v>
      </c>
      <c r="V42" s="2">
        <v>0</v>
      </c>
      <c r="W42" s="2">
        <v>30</v>
      </c>
      <c r="X42" s="2">
        <v>1</v>
      </c>
      <c r="Y42" s="2">
        <v>0</v>
      </c>
      <c r="Z42" s="2">
        <v>1</v>
      </c>
      <c r="AA42" s="2">
        <v>1</v>
      </c>
      <c r="AB42" s="2">
        <v>3</v>
      </c>
      <c r="AC42" s="2">
        <v>1</v>
      </c>
      <c r="AD42" s="2">
        <v>0</v>
      </c>
      <c r="AE42" s="2">
        <v>0</v>
      </c>
      <c r="AF42" s="2">
        <v>1</v>
      </c>
      <c r="AG42" s="20">
        <f t="shared" si="0"/>
        <v>100</v>
      </c>
    </row>
    <row r="43" spans="1:33" x14ac:dyDescent="0.25">
      <c r="A43">
        <v>42</v>
      </c>
      <c r="B43" s="2">
        <v>1</v>
      </c>
      <c r="C43" s="2">
        <v>12</v>
      </c>
      <c r="D43" s="2">
        <v>2</v>
      </c>
      <c r="E43" s="2">
        <v>0</v>
      </c>
      <c r="F43" s="2">
        <v>0</v>
      </c>
      <c r="G43" s="2">
        <v>0</v>
      </c>
      <c r="H43" s="2">
        <v>1</v>
      </c>
      <c r="I43" s="2">
        <v>0</v>
      </c>
      <c r="J43" s="2">
        <v>0</v>
      </c>
      <c r="K43" s="2">
        <v>1158</v>
      </c>
      <c r="L43" s="2">
        <v>2</v>
      </c>
      <c r="M43" s="2">
        <v>2</v>
      </c>
      <c r="N43" s="2">
        <v>3</v>
      </c>
      <c r="O43" s="2">
        <v>1</v>
      </c>
      <c r="P43" s="2">
        <v>0</v>
      </c>
      <c r="Q43" s="2">
        <v>0</v>
      </c>
      <c r="R43" s="2">
        <v>0</v>
      </c>
      <c r="S43" s="2">
        <v>0</v>
      </c>
      <c r="T43" s="2">
        <v>1</v>
      </c>
      <c r="U43" s="2">
        <v>0</v>
      </c>
      <c r="V43" s="2">
        <v>0</v>
      </c>
      <c r="W43" s="2">
        <v>26</v>
      </c>
      <c r="X43" s="2">
        <v>0</v>
      </c>
      <c r="Y43" s="2">
        <v>0</v>
      </c>
      <c r="Z43" s="2">
        <v>1</v>
      </c>
      <c r="AA43" s="2">
        <v>1</v>
      </c>
      <c r="AB43" s="2">
        <v>2</v>
      </c>
      <c r="AC43" s="2">
        <v>1</v>
      </c>
      <c r="AD43" s="2">
        <v>1</v>
      </c>
      <c r="AE43" s="2">
        <v>0</v>
      </c>
      <c r="AF43" s="2">
        <v>1</v>
      </c>
      <c r="AG43" s="20">
        <f t="shared" si="0"/>
        <v>100</v>
      </c>
    </row>
    <row r="44" spans="1:33" x14ac:dyDescent="0.25">
      <c r="A44">
        <v>43</v>
      </c>
      <c r="B44" s="2">
        <v>1</v>
      </c>
      <c r="C44" s="2">
        <v>18</v>
      </c>
      <c r="D44" s="2">
        <v>3</v>
      </c>
      <c r="E44" s="2">
        <v>0</v>
      </c>
      <c r="F44" s="2">
        <v>0</v>
      </c>
      <c r="G44" s="2">
        <v>0</v>
      </c>
      <c r="H44" s="2">
        <v>0</v>
      </c>
      <c r="I44" s="2">
        <v>0</v>
      </c>
      <c r="J44" s="2">
        <v>0</v>
      </c>
      <c r="K44" s="2">
        <v>6204</v>
      </c>
      <c r="L44" s="2">
        <v>0</v>
      </c>
      <c r="M44" s="2">
        <v>2</v>
      </c>
      <c r="N44" s="2">
        <v>2</v>
      </c>
      <c r="O44" s="2">
        <v>0</v>
      </c>
      <c r="P44" s="2">
        <v>1</v>
      </c>
      <c r="Q44" s="2">
        <v>0</v>
      </c>
      <c r="R44" s="2">
        <v>0</v>
      </c>
      <c r="S44" s="2">
        <v>0</v>
      </c>
      <c r="T44" s="2">
        <v>4</v>
      </c>
      <c r="U44" s="2">
        <v>1</v>
      </c>
      <c r="V44" s="2">
        <v>0</v>
      </c>
      <c r="W44" s="2">
        <v>44</v>
      </c>
      <c r="X44" s="2">
        <v>0</v>
      </c>
      <c r="Y44" s="2">
        <v>0</v>
      </c>
      <c r="Z44" s="2">
        <v>1</v>
      </c>
      <c r="AA44" s="2">
        <v>1</v>
      </c>
      <c r="AB44" s="2">
        <v>1</v>
      </c>
      <c r="AC44" s="2">
        <v>2</v>
      </c>
      <c r="AD44" s="2">
        <v>1</v>
      </c>
      <c r="AE44" s="2">
        <v>0</v>
      </c>
      <c r="AF44" s="2">
        <v>1</v>
      </c>
      <c r="AG44" s="20">
        <f t="shared" si="0"/>
        <v>100</v>
      </c>
    </row>
    <row r="45" spans="1:33" x14ac:dyDescent="0.25">
      <c r="A45">
        <v>44</v>
      </c>
      <c r="B45" s="2">
        <v>0</v>
      </c>
      <c r="C45" s="2">
        <v>30</v>
      </c>
      <c r="D45" s="2">
        <v>4</v>
      </c>
      <c r="E45" s="2">
        <v>0</v>
      </c>
      <c r="F45" s="2">
        <v>1</v>
      </c>
      <c r="G45" s="2">
        <v>0</v>
      </c>
      <c r="H45" s="2">
        <v>0</v>
      </c>
      <c r="I45" s="2">
        <v>0</v>
      </c>
      <c r="J45" s="2">
        <v>0</v>
      </c>
      <c r="K45" s="2">
        <v>6187</v>
      </c>
      <c r="L45" s="2">
        <v>1</v>
      </c>
      <c r="M45" s="2">
        <v>3</v>
      </c>
      <c r="N45" s="2">
        <v>1</v>
      </c>
      <c r="O45" s="2">
        <v>0</v>
      </c>
      <c r="P45" s="2">
        <v>0</v>
      </c>
      <c r="Q45" s="2">
        <v>1</v>
      </c>
      <c r="R45" s="2">
        <v>0</v>
      </c>
      <c r="S45" s="2">
        <v>0</v>
      </c>
      <c r="T45" s="2">
        <v>4</v>
      </c>
      <c r="U45" s="2">
        <v>0</v>
      </c>
      <c r="V45" s="2">
        <v>0</v>
      </c>
      <c r="W45" s="2">
        <v>24</v>
      </c>
      <c r="X45" s="2">
        <v>0</v>
      </c>
      <c r="Y45" s="2">
        <v>1</v>
      </c>
      <c r="Z45" s="2">
        <v>0</v>
      </c>
      <c r="AA45" s="2">
        <v>2</v>
      </c>
      <c r="AB45" s="2">
        <v>2</v>
      </c>
      <c r="AC45" s="2">
        <v>1</v>
      </c>
      <c r="AD45" s="2">
        <v>0</v>
      </c>
      <c r="AE45" s="2">
        <v>0</v>
      </c>
      <c r="AF45" s="2">
        <v>1</v>
      </c>
      <c r="AG45" s="20">
        <f t="shared" si="0"/>
        <v>100</v>
      </c>
    </row>
    <row r="46" spans="1:33" x14ac:dyDescent="0.25">
      <c r="A46">
        <v>45</v>
      </c>
      <c r="B46" s="2">
        <v>0</v>
      </c>
      <c r="C46" s="2">
        <v>48</v>
      </c>
      <c r="D46" s="2">
        <v>4</v>
      </c>
      <c r="E46" s="2">
        <v>0</v>
      </c>
      <c r="F46" s="2">
        <v>1</v>
      </c>
      <c r="G46" s="2">
        <v>0</v>
      </c>
      <c r="H46" s="2">
        <v>0</v>
      </c>
      <c r="I46" s="2">
        <v>0</v>
      </c>
      <c r="J46" s="2">
        <v>0</v>
      </c>
      <c r="K46" s="2">
        <v>6143</v>
      </c>
      <c r="L46" s="2">
        <v>0</v>
      </c>
      <c r="M46" s="2">
        <v>4</v>
      </c>
      <c r="N46" s="2">
        <v>4</v>
      </c>
      <c r="O46" s="2">
        <v>0</v>
      </c>
      <c r="P46" s="2">
        <v>0</v>
      </c>
      <c r="Q46" s="2">
        <v>0</v>
      </c>
      <c r="R46" s="2">
        <v>0</v>
      </c>
      <c r="S46" s="2">
        <v>0</v>
      </c>
      <c r="T46" s="2">
        <v>4</v>
      </c>
      <c r="U46" s="2">
        <v>0</v>
      </c>
      <c r="V46" s="2">
        <v>1</v>
      </c>
      <c r="W46" s="2">
        <v>58</v>
      </c>
      <c r="X46" s="2">
        <v>1</v>
      </c>
      <c r="Y46" s="2">
        <v>0</v>
      </c>
      <c r="Z46" s="2">
        <v>0</v>
      </c>
      <c r="AA46" s="2">
        <v>2</v>
      </c>
      <c r="AB46" s="2">
        <v>1</v>
      </c>
      <c r="AC46" s="2">
        <v>1</v>
      </c>
      <c r="AD46" s="2">
        <v>0</v>
      </c>
      <c r="AE46" s="2">
        <v>0</v>
      </c>
      <c r="AF46" s="2">
        <v>0</v>
      </c>
      <c r="AG46" s="20">
        <f t="shared" si="0"/>
        <v>-500</v>
      </c>
    </row>
    <row r="47" spans="1:33" x14ac:dyDescent="0.25">
      <c r="A47">
        <v>46</v>
      </c>
      <c r="B47" s="2">
        <v>3</v>
      </c>
      <c r="C47" s="2">
        <v>11</v>
      </c>
      <c r="D47" s="2">
        <v>4</v>
      </c>
      <c r="E47" s="2">
        <v>1</v>
      </c>
      <c r="F47" s="2">
        <v>0</v>
      </c>
      <c r="G47" s="2">
        <v>0</v>
      </c>
      <c r="H47" s="2">
        <v>0</v>
      </c>
      <c r="I47" s="2">
        <v>0</v>
      </c>
      <c r="J47" s="2">
        <v>0</v>
      </c>
      <c r="K47" s="2">
        <v>1393</v>
      </c>
      <c r="L47" s="2">
        <v>0</v>
      </c>
      <c r="M47" s="2">
        <v>1</v>
      </c>
      <c r="N47" s="2">
        <v>4</v>
      </c>
      <c r="O47" s="2">
        <v>0</v>
      </c>
      <c r="P47" s="2">
        <v>0</v>
      </c>
      <c r="Q47" s="2">
        <v>0</v>
      </c>
      <c r="R47" s="2">
        <v>0</v>
      </c>
      <c r="S47" s="2">
        <v>0</v>
      </c>
      <c r="T47" s="2">
        <v>4</v>
      </c>
      <c r="U47" s="2">
        <v>0</v>
      </c>
      <c r="V47" s="2">
        <v>0</v>
      </c>
      <c r="W47" s="2">
        <v>35</v>
      </c>
      <c r="X47" s="2">
        <v>0</v>
      </c>
      <c r="Y47" s="2">
        <v>0</v>
      </c>
      <c r="Z47" s="2">
        <v>1</v>
      </c>
      <c r="AA47" s="2">
        <v>2</v>
      </c>
      <c r="AB47" s="2">
        <v>3</v>
      </c>
      <c r="AC47" s="2">
        <v>1</v>
      </c>
      <c r="AD47" s="2">
        <v>0</v>
      </c>
      <c r="AE47" s="2">
        <v>0</v>
      </c>
      <c r="AF47" s="2">
        <v>1</v>
      </c>
      <c r="AG47" s="20">
        <f t="shared" si="0"/>
        <v>100</v>
      </c>
    </row>
    <row r="48" spans="1:33" x14ac:dyDescent="0.25">
      <c r="A48">
        <v>47</v>
      </c>
      <c r="B48" s="2">
        <v>3</v>
      </c>
      <c r="C48" s="2">
        <v>36</v>
      </c>
      <c r="D48" s="2">
        <v>2</v>
      </c>
      <c r="E48" s="2">
        <v>0</v>
      </c>
      <c r="F48" s="2">
        <v>0</v>
      </c>
      <c r="G48" s="2">
        <v>0</v>
      </c>
      <c r="H48" s="2">
        <v>1</v>
      </c>
      <c r="I48" s="2">
        <v>0</v>
      </c>
      <c r="J48" s="2">
        <v>0</v>
      </c>
      <c r="K48" s="2">
        <v>2299</v>
      </c>
      <c r="L48" s="2">
        <v>2</v>
      </c>
      <c r="M48" s="2">
        <v>4</v>
      </c>
      <c r="N48" s="2">
        <v>4</v>
      </c>
      <c r="O48" s="2">
        <v>0</v>
      </c>
      <c r="P48" s="2">
        <v>1</v>
      </c>
      <c r="Q48" s="2">
        <v>0</v>
      </c>
      <c r="R48" s="2">
        <v>0</v>
      </c>
      <c r="S48" s="2">
        <v>0</v>
      </c>
      <c r="T48" s="2">
        <v>4</v>
      </c>
      <c r="U48" s="2">
        <v>0</v>
      </c>
      <c r="V48" s="2">
        <v>0</v>
      </c>
      <c r="W48" s="2">
        <v>39</v>
      </c>
      <c r="X48" s="2">
        <v>0</v>
      </c>
      <c r="Y48" s="2">
        <v>0</v>
      </c>
      <c r="Z48" s="2">
        <v>1</v>
      </c>
      <c r="AA48" s="2">
        <v>1</v>
      </c>
      <c r="AB48" s="2">
        <v>2</v>
      </c>
      <c r="AC48" s="2">
        <v>1</v>
      </c>
      <c r="AD48" s="2">
        <v>0</v>
      </c>
      <c r="AE48" s="2">
        <v>0</v>
      </c>
      <c r="AF48" s="2">
        <v>1</v>
      </c>
      <c r="AG48" s="20">
        <f t="shared" si="0"/>
        <v>100</v>
      </c>
    </row>
    <row r="49" spans="1:33" x14ac:dyDescent="0.25">
      <c r="A49">
        <v>48</v>
      </c>
      <c r="B49" s="2">
        <v>0</v>
      </c>
      <c r="C49" s="2">
        <v>6</v>
      </c>
      <c r="D49" s="2">
        <v>2</v>
      </c>
      <c r="E49" s="2">
        <v>0</v>
      </c>
      <c r="F49" s="2">
        <v>1</v>
      </c>
      <c r="G49" s="2">
        <v>0</v>
      </c>
      <c r="H49" s="2">
        <v>0</v>
      </c>
      <c r="I49" s="2">
        <v>0</v>
      </c>
      <c r="J49" s="2">
        <v>0</v>
      </c>
      <c r="K49" s="2">
        <v>1352</v>
      </c>
      <c r="L49" s="2">
        <v>2</v>
      </c>
      <c r="M49" s="2">
        <v>0</v>
      </c>
      <c r="N49" s="2">
        <v>1</v>
      </c>
      <c r="O49" s="2">
        <v>0</v>
      </c>
      <c r="P49" s="2">
        <v>0</v>
      </c>
      <c r="Q49" s="2">
        <v>0</v>
      </c>
      <c r="R49" s="2">
        <v>0</v>
      </c>
      <c r="S49" s="2">
        <v>0</v>
      </c>
      <c r="T49" s="2">
        <v>2</v>
      </c>
      <c r="U49" s="2">
        <v>0</v>
      </c>
      <c r="V49" s="2">
        <v>0</v>
      </c>
      <c r="W49" s="2">
        <v>23</v>
      </c>
      <c r="X49" s="2">
        <v>0</v>
      </c>
      <c r="Y49" s="2">
        <v>1</v>
      </c>
      <c r="Z49" s="2">
        <v>0</v>
      </c>
      <c r="AA49" s="2">
        <v>1</v>
      </c>
      <c r="AB49" s="2">
        <v>0</v>
      </c>
      <c r="AC49" s="2">
        <v>1</v>
      </c>
      <c r="AD49" s="2">
        <v>1</v>
      </c>
      <c r="AE49" s="2">
        <v>0</v>
      </c>
      <c r="AF49" s="2">
        <v>1</v>
      </c>
      <c r="AG49" s="20">
        <f t="shared" si="0"/>
        <v>100</v>
      </c>
    </row>
    <row r="50" spans="1:33" x14ac:dyDescent="0.25">
      <c r="A50">
        <v>49</v>
      </c>
      <c r="B50" s="2">
        <v>3</v>
      </c>
      <c r="C50" s="2">
        <v>11</v>
      </c>
      <c r="D50" s="2">
        <v>4</v>
      </c>
      <c r="E50" s="2">
        <v>1</v>
      </c>
      <c r="F50" s="2">
        <v>0</v>
      </c>
      <c r="G50" s="2">
        <v>0</v>
      </c>
      <c r="H50" s="2">
        <v>0</v>
      </c>
      <c r="I50" s="2">
        <v>0</v>
      </c>
      <c r="J50" s="2">
        <v>0</v>
      </c>
      <c r="K50" s="2">
        <v>7228</v>
      </c>
      <c r="L50" s="2">
        <v>0</v>
      </c>
      <c r="M50" s="2">
        <v>2</v>
      </c>
      <c r="N50" s="2">
        <v>1</v>
      </c>
      <c r="O50" s="2">
        <v>0</v>
      </c>
      <c r="P50" s="2">
        <v>1</v>
      </c>
      <c r="Q50" s="2">
        <v>0</v>
      </c>
      <c r="R50" s="2">
        <v>0</v>
      </c>
      <c r="S50" s="2">
        <v>0</v>
      </c>
      <c r="T50" s="2">
        <v>4</v>
      </c>
      <c r="U50" s="2">
        <v>0</v>
      </c>
      <c r="V50" s="2">
        <v>0</v>
      </c>
      <c r="W50" s="2">
        <v>39</v>
      </c>
      <c r="X50" s="2">
        <v>0</v>
      </c>
      <c r="Y50" s="2">
        <v>0</v>
      </c>
      <c r="Z50" s="2">
        <v>1</v>
      </c>
      <c r="AA50" s="2">
        <v>2</v>
      </c>
      <c r="AB50" s="2">
        <v>1</v>
      </c>
      <c r="AC50" s="2">
        <v>1</v>
      </c>
      <c r="AD50" s="2">
        <v>0</v>
      </c>
      <c r="AE50" s="2">
        <v>0</v>
      </c>
      <c r="AF50" s="2">
        <v>1</v>
      </c>
      <c r="AG50" s="20">
        <f t="shared" si="0"/>
        <v>100</v>
      </c>
    </row>
    <row r="51" spans="1:33" x14ac:dyDescent="0.25">
      <c r="A51">
        <v>50</v>
      </c>
      <c r="B51" s="2">
        <v>3</v>
      </c>
      <c r="C51" s="2">
        <v>12</v>
      </c>
      <c r="D51" s="2">
        <v>2</v>
      </c>
      <c r="E51" s="2">
        <v>0</v>
      </c>
      <c r="F51" s="2">
        <v>0</v>
      </c>
      <c r="G51" s="2">
        <v>0</v>
      </c>
      <c r="H51" s="2">
        <v>1</v>
      </c>
      <c r="I51" s="2">
        <v>0</v>
      </c>
      <c r="J51" s="2">
        <v>0</v>
      </c>
      <c r="K51" s="2">
        <v>2073</v>
      </c>
      <c r="L51" s="2">
        <v>1</v>
      </c>
      <c r="M51" s="2">
        <v>2</v>
      </c>
      <c r="N51" s="2">
        <v>4</v>
      </c>
      <c r="O51" s="2">
        <v>0</v>
      </c>
      <c r="P51" s="2">
        <v>0</v>
      </c>
      <c r="Q51" s="2">
        <v>0</v>
      </c>
      <c r="R51" s="2">
        <v>1</v>
      </c>
      <c r="S51" s="2">
        <v>0</v>
      </c>
      <c r="T51" s="2">
        <v>2</v>
      </c>
      <c r="U51" s="2">
        <v>1</v>
      </c>
      <c r="V51" s="2">
        <v>0</v>
      </c>
      <c r="W51" s="2">
        <v>28</v>
      </c>
      <c r="X51" s="2">
        <v>0</v>
      </c>
      <c r="Y51" s="2">
        <v>0</v>
      </c>
      <c r="Z51" s="2">
        <v>1</v>
      </c>
      <c r="AA51" s="2">
        <v>1</v>
      </c>
      <c r="AB51" s="2">
        <v>2</v>
      </c>
      <c r="AC51" s="2">
        <v>1</v>
      </c>
      <c r="AD51" s="2">
        <v>0</v>
      </c>
      <c r="AE51" s="2">
        <v>0</v>
      </c>
      <c r="AF51" s="2">
        <v>1</v>
      </c>
      <c r="AG51" s="20">
        <f t="shared" si="0"/>
        <v>100</v>
      </c>
    </row>
    <row r="52" spans="1:33" x14ac:dyDescent="0.25">
      <c r="A52">
        <v>51</v>
      </c>
      <c r="B52" s="2">
        <v>1</v>
      </c>
      <c r="C52" s="2">
        <v>24</v>
      </c>
      <c r="D52" s="2">
        <v>3</v>
      </c>
      <c r="E52" s="2">
        <v>0</v>
      </c>
      <c r="F52" s="2">
        <v>0</v>
      </c>
      <c r="G52" s="2">
        <v>1</v>
      </c>
      <c r="H52" s="2">
        <v>0</v>
      </c>
      <c r="I52" s="2">
        <v>0</v>
      </c>
      <c r="J52" s="2">
        <v>0</v>
      </c>
      <c r="K52" s="2">
        <v>2333</v>
      </c>
      <c r="L52" s="2">
        <v>4</v>
      </c>
      <c r="M52" s="2">
        <v>1</v>
      </c>
      <c r="N52" s="2">
        <v>4</v>
      </c>
      <c r="O52" s="2">
        <v>0</v>
      </c>
      <c r="P52" s="2">
        <v>1</v>
      </c>
      <c r="Q52" s="2">
        <v>0</v>
      </c>
      <c r="R52" s="2">
        <v>0</v>
      </c>
      <c r="S52" s="2">
        <v>0</v>
      </c>
      <c r="T52" s="2">
        <v>2</v>
      </c>
      <c r="U52" s="2">
        <v>0</v>
      </c>
      <c r="V52" s="2">
        <v>0</v>
      </c>
      <c r="W52" s="2">
        <v>29</v>
      </c>
      <c r="X52" s="2">
        <v>1</v>
      </c>
      <c r="Y52" s="2">
        <v>0</v>
      </c>
      <c r="Z52" s="2">
        <v>1</v>
      </c>
      <c r="AA52" s="2">
        <v>1</v>
      </c>
      <c r="AB52" s="2">
        <v>1</v>
      </c>
      <c r="AC52" s="2">
        <v>1</v>
      </c>
      <c r="AD52" s="2">
        <v>0</v>
      </c>
      <c r="AE52" s="2">
        <v>0</v>
      </c>
      <c r="AF52" s="2">
        <v>1</v>
      </c>
      <c r="AG52" s="20">
        <f t="shared" si="0"/>
        <v>100</v>
      </c>
    </row>
    <row r="53" spans="1:33" x14ac:dyDescent="0.25">
      <c r="A53">
        <v>52</v>
      </c>
      <c r="B53" s="2">
        <v>1</v>
      </c>
      <c r="C53" s="2">
        <v>27</v>
      </c>
      <c r="D53" s="2">
        <v>3</v>
      </c>
      <c r="E53" s="2">
        <v>0</v>
      </c>
      <c r="F53" s="2">
        <v>1</v>
      </c>
      <c r="G53" s="2">
        <v>0</v>
      </c>
      <c r="H53" s="2">
        <v>0</v>
      </c>
      <c r="I53" s="2">
        <v>0</v>
      </c>
      <c r="J53" s="2">
        <v>0</v>
      </c>
      <c r="K53" s="2">
        <v>5965</v>
      </c>
      <c r="L53" s="2">
        <v>0</v>
      </c>
      <c r="M53" s="2">
        <v>4</v>
      </c>
      <c r="N53" s="2">
        <v>1</v>
      </c>
      <c r="O53" s="2">
        <v>0</v>
      </c>
      <c r="P53" s="2">
        <v>1</v>
      </c>
      <c r="Q53" s="2">
        <v>0</v>
      </c>
      <c r="R53" s="2">
        <v>0</v>
      </c>
      <c r="S53" s="2">
        <v>0</v>
      </c>
      <c r="T53" s="2">
        <v>2</v>
      </c>
      <c r="U53" s="2">
        <v>0</v>
      </c>
      <c r="V53" s="2">
        <v>0</v>
      </c>
      <c r="W53" s="2">
        <v>30</v>
      </c>
      <c r="X53" s="2">
        <v>0</v>
      </c>
      <c r="Y53" s="2">
        <v>0</v>
      </c>
      <c r="Z53" s="2">
        <v>1</v>
      </c>
      <c r="AA53" s="2">
        <v>2</v>
      </c>
      <c r="AB53" s="2">
        <v>3</v>
      </c>
      <c r="AC53" s="2">
        <v>1</v>
      </c>
      <c r="AD53" s="2">
        <v>1</v>
      </c>
      <c r="AE53" s="2">
        <v>0</v>
      </c>
      <c r="AF53" s="2">
        <v>1</v>
      </c>
      <c r="AG53" s="20">
        <f t="shared" si="0"/>
        <v>100</v>
      </c>
    </row>
    <row r="54" spans="1:33" x14ac:dyDescent="0.25">
      <c r="A54">
        <v>53</v>
      </c>
      <c r="B54" s="2">
        <v>3</v>
      </c>
      <c r="C54" s="2">
        <v>12</v>
      </c>
      <c r="D54" s="2">
        <v>2</v>
      </c>
      <c r="E54" s="2">
        <v>0</v>
      </c>
      <c r="F54" s="2">
        <v>0</v>
      </c>
      <c r="G54" s="2">
        <v>0</v>
      </c>
      <c r="H54" s="2">
        <v>1</v>
      </c>
      <c r="I54" s="2">
        <v>0</v>
      </c>
      <c r="J54" s="2">
        <v>0</v>
      </c>
      <c r="K54" s="2">
        <v>1262</v>
      </c>
      <c r="L54" s="2">
        <v>0</v>
      </c>
      <c r="M54" s="2">
        <v>2</v>
      </c>
      <c r="N54" s="2">
        <v>3</v>
      </c>
      <c r="O54" s="2">
        <v>0</v>
      </c>
      <c r="P54" s="2">
        <v>1</v>
      </c>
      <c r="Q54" s="2">
        <v>0</v>
      </c>
      <c r="R54" s="2">
        <v>0</v>
      </c>
      <c r="S54" s="2">
        <v>0</v>
      </c>
      <c r="T54" s="2">
        <v>2</v>
      </c>
      <c r="U54" s="2">
        <v>0</v>
      </c>
      <c r="V54" s="2">
        <v>0</v>
      </c>
      <c r="W54" s="2">
        <v>25</v>
      </c>
      <c r="X54" s="2">
        <v>0</v>
      </c>
      <c r="Y54" s="2">
        <v>0</v>
      </c>
      <c r="Z54" s="2">
        <v>1</v>
      </c>
      <c r="AA54" s="2">
        <v>1</v>
      </c>
      <c r="AB54" s="2">
        <v>2</v>
      </c>
      <c r="AC54" s="2">
        <v>1</v>
      </c>
      <c r="AD54" s="2">
        <v>0</v>
      </c>
      <c r="AE54" s="2">
        <v>0</v>
      </c>
      <c r="AF54" s="2">
        <v>1</v>
      </c>
      <c r="AG54" s="20">
        <f t="shared" si="0"/>
        <v>100</v>
      </c>
    </row>
    <row r="55" spans="1:33" x14ac:dyDescent="0.25">
      <c r="A55">
        <v>54</v>
      </c>
      <c r="B55" s="2">
        <v>3</v>
      </c>
      <c r="C55" s="2">
        <v>18</v>
      </c>
      <c r="D55" s="2">
        <v>2</v>
      </c>
      <c r="E55" s="2">
        <v>0</v>
      </c>
      <c r="F55" s="2">
        <v>1</v>
      </c>
      <c r="G55" s="2">
        <v>0</v>
      </c>
      <c r="H55" s="2">
        <v>0</v>
      </c>
      <c r="I55" s="2">
        <v>0</v>
      </c>
      <c r="J55" s="2">
        <v>0</v>
      </c>
      <c r="K55" s="2">
        <v>3378</v>
      </c>
      <c r="L55" s="2">
        <v>4</v>
      </c>
      <c r="M55" s="2">
        <v>2</v>
      </c>
      <c r="N55" s="2">
        <v>2</v>
      </c>
      <c r="O55" s="2">
        <v>0</v>
      </c>
      <c r="P55" s="2">
        <v>1</v>
      </c>
      <c r="Q55" s="2">
        <v>0</v>
      </c>
      <c r="R55" s="2">
        <v>0</v>
      </c>
      <c r="S55" s="2">
        <v>0</v>
      </c>
      <c r="T55" s="2">
        <v>1</v>
      </c>
      <c r="U55" s="2">
        <v>0</v>
      </c>
      <c r="V55" s="2">
        <v>0</v>
      </c>
      <c r="W55" s="2">
        <v>31</v>
      </c>
      <c r="X55" s="2">
        <v>0</v>
      </c>
      <c r="Y55" s="2">
        <v>0</v>
      </c>
      <c r="Z55" s="2">
        <v>1</v>
      </c>
      <c r="AA55" s="2">
        <v>1</v>
      </c>
      <c r="AB55" s="2">
        <v>2</v>
      </c>
      <c r="AC55" s="2">
        <v>1</v>
      </c>
      <c r="AD55" s="2">
        <v>1</v>
      </c>
      <c r="AE55" s="2">
        <v>0</v>
      </c>
      <c r="AF55" s="2">
        <v>1</v>
      </c>
      <c r="AG55" s="20">
        <f t="shared" si="0"/>
        <v>100</v>
      </c>
    </row>
    <row r="56" spans="1:33" x14ac:dyDescent="0.25">
      <c r="A56">
        <v>55</v>
      </c>
      <c r="B56" s="2">
        <v>1</v>
      </c>
      <c r="C56" s="2">
        <v>36</v>
      </c>
      <c r="D56" s="2">
        <v>3</v>
      </c>
      <c r="E56" s="2">
        <v>1</v>
      </c>
      <c r="F56" s="2">
        <v>0</v>
      </c>
      <c r="G56" s="2">
        <v>0</v>
      </c>
      <c r="H56" s="2">
        <v>0</v>
      </c>
      <c r="I56" s="2">
        <v>0</v>
      </c>
      <c r="J56" s="2">
        <v>0</v>
      </c>
      <c r="K56" s="2">
        <v>2225</v>
      </c>
      <c r="L56" s="2">
        <v>0</v>
      </c>
      <c r="M56" s="2">
        <v>4</v>
      </c>
      <c r="N56" s="2">
        <v>4</v>
      </c>
      <c r="O56" s="2">
        <v>0</v>
      </c>
      <c r="P56" s="2">
        <v>1</v>
      </c>
      <c r="Q56" s="2">
        <v>0</v>
      </c>
      <c r="R56" s="2">
        <v>0</v>
      </c>
      <c r="S56" s="2">
        <v>0</v>
      </c>
      <c r="T56" s="2">
        <v>4</v>
      </c>
      <c r="U56" s="2">
        <v>0</v>
      </c>
      <c r="V56" s="2">
        <v>1</v>
      </c>
      <c r="W56" s="2">
        <v>57</v>
      </c>
      <c r="X56" s="2">
        <v>1</v>
      </c>
      <c r="Y56" s="2">
        <v>0</v>
      </c>
      <c r="Z56" s="2">
        <v>0</v>
      </c>
      <c r="AA56" s="2">
        <v>2</v>
      </c>
      <c r="AB56" s="2">
        <v>2</v>
      </c>
      <c r="AC56" s="2">
        <v>1</v>
      </c>
      <c r="AD56" s="2">
        <v>1</v>
      </c>
      <c r="AE56" s="2">
        <v>0</v>
      </c>
      <c r="AF56" s="2">
        <v>0</v>
      </c>
      <c r="AG56" s="20">
        <f t="shared" si="0"/>
        <v>-500</v>
      </c>
    </row>
    <row r="57" spans="1:33" x14ac:dyDescent="0.25">
      <c r="A57">
        <v>56</v>
      </c>
      <c r="B57" s="2">
        <v>3</v>
      </c>
      <c r="C57" s="2">
        <v>6</v>
      </c>
      <c r="D57" s="2">
        <v>1</v>
      </c>
      <c r="E57" s="2">
        <v>1</v>
      </c>
      <c r="F57" s="2">
        <v>0</v>
      </c>
      <c r="G57" s="2">
        <v>0</v>
      </c>
      <c r="H57" s="2">
        <v>0</v>
      </c>
      <c r="I57" s="2">
        <v>0</v>
      </c>
      <c r="J57" s="2">
        <v>0</v>
      </c>
      <c r="K57" s="2">
        <v>783</v>
      </c>
      <c r="L57" s="2">
        <v>4</v>
      </c>
      <c r="M57" s="2">
        <v>2</v>
      </c>
      <c r="N57" s="2">
        <v>1</v>
      </c>
      <c r="O57" s="2">
        <v>0</v>
      </c>
      <c r="P57" s="2">
        <v>1</v>
      </c>
      <c r="Q57" s="2">
        <v>0</v>
      </c>
      <c r="R57" s="2">
        <v>0</v>
      </c>
      <c r="S57" s="2">
        <v>1</v>
      </c>
      <c r="T57" s="2">
        <v>2</v>
      </c>
      <c r="U57" s="2">
        <v>1</v>
      </c>
      <c r="V57" s="2">
        <v>0</v>
      </c>
      <c r="W57" s="2">
        <v>26</v>
      </c>
      <c r="X57" s="2">
        <v>1</v>
      </c>
      <c r="Y57" s="2">
        <v>0</v>
      </c>
      <c r="Z57" s="2">
        <v>1</v>
      </c>
      <c r="AA57" s="2">
        <v>1</v>
      </c>
      <c r="AB57" s="2">
        <v>1</v>
      </c>
      <c r="AC57" s="2">
        <v>2</v>
      </c>
      <c r="AD57" s="2">
        <v>0</v>
      </c>
      <c r="AE57" s="2">
        <v>0</v>
      </c>
      <c r="AF57" s="2">
        <v>1</v>
      </c>
      <c r="AG57" s="20">
        <f t="shared" si="0"/>
        <v>100</v>
      </c>
    </row>
    <row r="58" spans="1:33" x14ac:dyDescent="0.25">
      <c r="A58">
        <v>57</v>
      </c>
      <c r="B58" s="2">
        <v>1</v>
      </c>
      <c r="C58" s="2">
        <v>12</v>
      </c>
      <c r="D58" s="2">
        <v>2</v>
      </c>
      <c r="E58" s="2">
        <v>0</v>
      </c>
      <c r="F58" s="2">
        <v>0</v>
      </c>
      <c r="G58" s="2">
        <v>0</v>
      </c>
      <c r="H58" s="2">
        <v>1</v>
      </c>
      <c r="I58" s="2">
        <v>0</v>
      </c>
      <c r="J58" s="2">
        <v>0</v>
      </c>
      <c r="K58" s="2">
        <v>6468</v>
      </c>
      <c r="L58" s="2">
        <v>4</v>
      </c>
      <c r="M58" s="2">
        <v>0</v>
      </c>
      <c r="N58" s="2">
        <v>2</v>
      </c>
      <c r="O58" s="2">
        <v>0</v>
      </c>
      <c r="P58" s="2">
        <v>1</v>
      </c>
      <c r="Q58" s="2">
        <v>0</v>
      </c>
      <c r="R58" s="2">
        <v>0</v>
      </c>
      <c r="S58" s="2">
        <v>0</v>
      </c>
      <c r="T58" s="2">
        <v>1</v>
      </c>
      <c r="U58" s="2">
        <v>0</v>
      </c>
      <c r="V58" s="2">
        <v>1</v>
      </c>
      <c r="W58" s="2">
        <v>52</v>
      </c>
      <c r="X58" s="2">
        <v>0</v>
      </c>
      <c r="Y58" s="2">
        <v>0</v>
      </c>
      <c r="Z58" s="2">
        <v>1</v>
      </c>
      <c r="AA58" s="2">
        <v>1</v>
      </c>
      <c r="AB58" s="2">
        <v>3</v>
      </c>
      <c r="AC58" s="2">
        <v>1</v>
      </c>
      <c r="AD58" s="2">
        <v>1</v>
      </c>
      <c r="AE58" s="2">
        <v>0</v>
      </c>
      <c r="AF58" s="2">
        <v>0</v>
      </c>
      <c r="AG58" s="20">
        <f t="shared" si="0"/>
        <v>-500</v>
      </c>
    </row>
    <row r="59" spans="1:33" x14ac:dyDescent="0.25">
      <c r="A59">
        <v>58</v>
      </c>
      <c r="B59" s="2">
        <v>3</v>
      </c>
      <c r="C59" s="2">
        <v>36</v>
      </c>
      <c r="D59" s="2">
        <v>4</v>
      </c>
      <c r="E59" s="2">
        <v>0</v>
      </c>
      <c r="F59" s="2">
        <v>0</v>
      </c>
      <c r="G59" s="2">
        <v>0</v>
      </c>
      <c r="H59" s="2">
        <v>1</v>
      </c>
      <c r="I59" s="2">
        <v>0</v>
      </c>
      <c r="J59" s="2">
        <v>0</v>
      </c>
      <c r="K59" s="2">
        <v>9566</v>
      </c>
      <c r="L59" s="2">
        <v>0</v>
      </c>
      <c r="M59" s="2">
        <v>2</v>
      </c>
      <c r="N59" s="2">
        <v>2</v>
      </c>
      <c r="O59" s="2">
        <v>0</v>
      </c>
      <c r="P59" s="2">
        <v>0</v>
      </c>
      <c r="Q59" s="2">
        <v>0</v>
      </c>
      <c r="R59" s="2">
        <v>0</v>
      </c>
      <c r="S59" s="2">
        <v>0</v>
      </c>
      <c r="T59" s="2">
        <v>2</v>
      </c>
      <c r="U59" s="2">
        <v>0</v>
      </c>
      <c r="V59" s="2">
        <v>0</v>
      </c>
      <c r="W59" s="2">
        <v>31</v>
      </c>
      <c r="X59" s="2">
        <v>1</v>
      </c>
      <c r="Y59" s="2">
        <v>0</v>
      </c>
      <c r="Z59" s="2">
        <v>1</v>
      </c>
      <c r="AA59" s="2">
        <v>2</v>
      </c>
      <c r="AB59" s="2">
        <v>2</v>
      </c>
      <c r="AC59" s="2">
        <v>1</v>
      </c>
      <c r="AD59" s="2">
        <v>0</v>
      </c>
      <c r="AE59" s="2">
        <v>0</v>
      </c>
      <c r="AF59" s="2">
        <v>1</v>
      </c>
      <c r="AG59" s="20">
        <f t="shared" si="0"/>
        <v>100</v>
      </c>
    </row>
    <row r="60" spans="1:33" x14ac:dyDescent="0.25">
      <c r="A60">
        <v>59</v>
      </c>
      <c r="B60" s="2">
        <v>2</v>
      </c>
      <c r="C60" s="2">
        <v>18</v>
      </c>
      <c r="D60" s="2">
        <v>2</v>
      </c>
      <c r="E60" s="2">
        <v>1</v>
      </c>
      <c r="F60" s="2">
        <v>0</v>
      </c>
      <c r="G60" s="2">
        <v>0</v>
      </c>
      <c r="H60" s="2">
        <v>0</v>
      </c>
      <c r="I60" s="2">
        <v>0</v>
      </c>
      <c r="J60" s="2">
        <v>0</v>
      </c>
      <c r="K60" s="2">
        <v>1961</v>
      </c>
      <c r="L60" s="2">
        <v>0</v>
      </c>
      <c r="M60" s="2">
        <v>4</v>
      </c>
      <c r="N60" s="2">
        <v>3</v>
      </c>
      <c r="O60" s="2">
        <v>0</v>
      </c>
      <c r="P60" s="2">
        <v>0</v>
      </c>
      <c r="Q60" s="2">
        <v>0</v>
      </c>
      <c r="R60" s="2">
        <v>0</v>
      </c>
      <c r="S60" s="2">
        <v>0</v>
      </c>
      <c r="T60" s="2">
        <v>2</v>
      </c>
      <c r="U60" s="2">
        <v>0</v>
      </c>
      <c r="V60" s="2">
        <v>0</v>
      </c>
      <c r="W60" s="2">
        <v>23</v>
      </c>
      <c r="X60" s="2">
        <v>0</v>
      </c>
      <c r="Y60" s="2">
        <v>0</v>
      </c>
      <c r="Z60" s="2">
        <v>1</v>
      </c>
      <c r="AA60" s="2">
        <v>1</v>
      </c>
      <c r="AB60" s="2">
        <v>3</v>
      </c>
      <c r="AC60" s="2">
        <v>1</v>
      </c>
      <c r="AD60" s="2">
        <v>0</v>
      </c>
      <c r="AE60" s="2">
        <v>0</v>
      </c>
      <c r="AF60" s="2">
        <v>1</v>
      </c>
      <c r="AG60" s="20">
        <f t="shared" si="0"/>
        <v>100</v>
      </c>
    </row>
    <row r="61" spans="1:33" x14ac:dyDescent="0.25">
      <c r="A61">
        <v>60</v>
      </c>
      <c r="B61" s="2">
        <v>0</v>
      </c>
      <c r="C61" s="2">
        <v>36</v>
      </c>
      <c r="D61" s="2">
        <v>4</v>
      </c>
      <c r="E61" s="2">
        <v>0</v>
      </c>
      <c r="F61" s="2">
        <v>0</v>
      </c>
      <c r="G61" s="2">
        <v>1</v>
      </c>
      <c r="H61" s="2">
        <v>0</v>
      </c>
      <c r="I61" s="2">
        <v>0</v>
      </c>
      <c r="J61" s="2">
        <v>0</v>
      </c>
      <c r="K61" s="2">
        <v>6229</v>
      </c>
      <c r="L61" s="2">
        <v>0</v>
      </c>
      <c r="M61" s="2">
        <v>1</v>
      </c>
      <c r="N61" s="2">
        <v>4</v>
      </c>
      <c r="O61" s="2">
        <v>0</v>
      </c>
      <c r="P61" s="2">
        <v>0</v>
      </c>
      <c r="Q61" s="2">
        <v>0</v>
      </c>
      <c r="R61" s="2">
        <v>1</v>
      </c>
      <c r="S61" s="2">
        <v>0</v>
      </c>
      <c r="T61" s="2">
        <v>4</v>
      </c>
      <c r="U61" s="2">
        <v>0</v>
      </c>
      <c r="V61" s="2">
        <v>1</v>
      </c>
      <c r="W61" s="2">
        <v>23</v>
      </c>
      <c r="X61" s="2">
        <v>0</v>
      </c>
      <c r="Y61" s="2">
        <v>1</v>
      </c>
      <c r="Z61" s="2">
        <v>0</v>
      </c>
      <c r="AA61" s="2">
        <v>2</v>
      </c>
      <c r="AB61" s="2">
        <v>1</v>
      </c>
      <c r="AC61" s="2">
        <v>1</v>
      </c>
      <c r="AD61" s="2">
        <v>1</v>
      </c>
      <c r="AE61" s="2">
        <v>0</v>
      </c>
      <c r="AF61" s="2">
        <v>0</v>
      </c>
      <c r="AG61" s="20">
        <f t="shared" si="0"/>
        <v>-500</v>
      </c>
    </row>
    <row r="62" spans="1:33" x14ac:dyDescent="0.25">
      <c r="A62">
        <v>61</v>
      </c>
      <c r="B62" s="2">
        <v>1</v>
      </c>
      <c r="C62" s="2">
        <v>9</v>
      </c>
      <c r="D62" s="2">
        <v>2</v>
      </c>
      <c r="E62" s="2">
        <v>0</v>
      </c>
      <c r="F62" s="2">
        <v>0</v>
      </c>
      <c r="G62" s="2">
        <v>0</v>
      </c>
      <c r="H62" s="2">
        <v>0</v>
      </c>
      <c r="I62" s="2">
        <v>0</v>
      </c>
      <c r="J62" s="2">
        <v>1</v>
      </c>
      <c r="K62" s="2">
        <v>1391</v>
      </c>
      <c r="L62" s="2">
        <v>0</v>
      </c>
      <c r="M62" s="2">
        <v>2</v>
      </c>
      <c r="N62" s="2">
        <v>2</v>
      </c>
      <c r="O62" s="2">
        <v>0</v>
      </c>
      <c r="P62" s="2">
        <v>0</v>
      </c>
      <c r="Q62" s="2">
        <v>1</v>
      </c>
      <c r="R62" s="2">
        <v>0</v>
      </c>
      <c r="S62" s="2">
        <v>0</v>
      </c>
      <c r="T62" s="2">
        <v>1</v>
      </c>
      <c r="U62" s="2">
        <v>1</v>
      </c>
      <c r="V62" s="2">
        <v>0</v>
      </c>
      <c r="W62" s="2">
        <v>27</v>
      </c>
      <c r="X62" s="2">
        <v>1</v>
      </c>
      <c r="Y62" s="2">
        <v>0</v>
      </c>
      <c r="Z62" s="2">
        <v>1</v>
      </c>
      <c r="AA62" s="2">
        <v>1</v>
      </c>
      <c r="AB62" s="2">
        <v>2</v>
      </c>
      <c r="AC62" s="2">
        <v>1</v>
      </c>
      <c r="AD62" s="2">
        <v>1</v>
      </c>
      <c r="AE62" s="2">
        <v>0</v>
      </c>
      <c r="AF62" s="2">
        <v>1</v>
      </c>
      <c r="AG62" s="20">
        <f t="shared" si="0"/>
        <v>100</v>
      </c>
    </row>
    <row r="63" spans="1:33" x14ac:dyDescent="0.25">
      <c r="A63">
        <v>62</v>
      </c>
      <c r="B63" s="2">
        <v>1</v>
      </c>
      <c r="C63" s="2">
        <v>15</v>
      </c>
      <c r="D63" s="2">
        <v>4</v>
      </c>
      <c r="E63" s="2">
        <v>0</v>
      </c>
      <c r="F63" s="2">
        <v>0</v>
      </c>
      <c r="G63" s="2">
        <v>0</v>
      </c>
      <c r="H63" s="2">
        <v>1</v>
      </c>
      <c r="I63" s="2">
        <v>0</v>
      </c>
      <c r="J63" s="2">
        <v>0</v>
      </c>
      <c r="K63" s="2">
        <v>1537</v>
      </c>
      <c r="L63" s="2">
        <v>4</v>
      </c>
      <c r="M63" s="2">
        <v>4</v>
      </c>
      <c r="N63" s="2">
        <v>4</v>
      </c>
      <c r="O63" s="2">
        <v>0</v>
      </c>
      <c r="P63" s="2">
        <v>1</v>
      </c>
      <c r="Q63" s="2">
        <v>0</v>
      </c>
      <c r="R63" s="2">
        <v>0</v>
      </c>
      <c r="S63" s="2">
        <v>1</v>
      </c>
      <c r="T63" s="2">
        <v>4</v>
      </c>
      <c r="U63" s="2">
        <v>1</v>
      </c>
      <c r="V63" s="2">
        <v>0</v>
      </c>
      <c r="W63" s="2">
        <v>50</v>
      </c>
      <c r="X63" s="2">
        <v>0</v>
      </c>
      <c r="Y63" s="2">
        <v>0</v>
      </c>
      <c r="Z63" s="2">
        <v>1</v>
      </c>
      <c r="AA63" s="2">
        <v>2</v>
      </c>
      <c r="AB63" s="2">
        <v>2</v>
      </c>
      <c r="AC63" s="2">
        <v>1</v>
      </c>
      <c r="AD63" s="2">
        <v>1</v>
      </c>
      <c r="AE63" s="2">
        <v>0</v>
      </c>
      <c r="AF63" s="2">
        <v>1</v>
      </c>
      <c r="AG63" s="20">
        <f t="shared" si="0"/>
        <v>100</v>
      </c>
    </row>
    <row r="64" spans="1:33" x14ac:dyDescent="0.25">
      <c r="A64">
        <v>63</v>
      </c>
      <c r="B64" s="2">
        <v>1</v>
      </c>
      <c r="C64" s="2">
        <v>36</v>
      </c>
      <c r="D64" s="2">
        <v>0</v>
      </c>
      <c r="E64" s="2">
        <v>0</v>
      </c>
      <c r="F64" s="2">
        <v>0</v>
      </c>
      <c r="G64" s="2">
        <v>0</v>
      </c>
      <c r="H64" s="2">
        <v>0</v>
      </c>
      <c r="I64" s="2">
        <v>0</v>
      </c>
      <c r="J64" s="2">
        <v>1</v>
      </c>
      <c r="K64" s="2">
        <v>1953</v>
      </c>
      <c r="L64" s="2">
        <v>0</v>
      </c>
      <c r="M64" s="2">
        <v>4</v>
      </c>
      <c r="N64" s="2">
        <v>4</v>
      </c>
      <c r="O64" s="2">
        <v>0</v>
      </c>
      <c r="P64" s="2">
        <v>1</v>
      </c>
      <c r="Q64" s="2">
        <v>0</v>
      </c>
      <c r="R64" s="2">
        <v>0</v>
      </c>
      <c r="S64" s="2">
        <v>0</v>
      </c>
      <c r="T64" s="2">
        <v>4</v>
      </c>
      <c r="U64" s="2">
        <v>0</v>
      </c>
      <c r="V64" s="2">
        <v>1</v>
      </c>
      <c r="W64" s="2">
        <v>61</v>
      </c>
      <c r="X64" s="2">
        <v>0</v>
      </c>
      <c r="Y64" s="2">
        <v>0</v>
      </c>
      <c r="Z64" s="2">
        <v>0</v>
      </c>
      <c r="AA64" s="2">
        <v>1</v>
      </c>
      <c r="AB64" s="2">
        <v>3</v>
      </c>
      <c r="AC64" s="2">
        <v>1</v>
      </c>
      <c r="AD64" s="2">
        <v>1</v>
      </c>
      <c r="AE64" s="2">
        <v>0</v>
      </c>
      <c r="AF64" s="2">
        <v>0</v>
      </c>
      <c r="AG64" s="20">
        <f t="shared" si="0"/>
        <v>-500</v>
      </c>
    </row>
    <row r="65" spans="1:33" x14ac:dyDescent="0.25">
      <c r="A65">
        <v>64</v>
      </c>
      <c r="B65" s="2">
        <v>1</v>
      </c>
      <c r="C65" s="2">
        <v>48</v>
      </c>
      <c r="D65" s="2">
        <v>0</v>
      </c>
      <c r="E65" s="2">
        <v>0</v>
      </c>
      <c r="F65" s="2">
        <v>0</v>
      </c>
      <c r="G65" s="2">
        <v>0</v>
      </c>
      <c r="H65" s="2">
        <v>0</v>
      </c>
      <c r="I65" s="2">
        <v>0</v>
      </c>
      <c r="J65" s="2">
        <v>1</v>
      </c>
      <c r="K65" s="2">
        <v>14421</v>
      </c>
      <c r="L65" s="2">
        <v>0</v>
      </c>
      <c r="M65" s="2">
        <v>2</v>
      </c>
      <c r="N65" s="2">
        <v>2</v>
      </c>
      <c r="O65" s="2">
        <v>0</v>
      </c>
      <c r="P65" s="2">
        <v>1</v>
      </c>
      <c r="Q65" s="2">
        <v>0</v>
      </c>
      <c r="R65" s="2">
        <v>0</v>
      </c>
      <c r="S65" s="2">
        <v>0</v>
      </c>
      <c r="T65" s="2">
        <v>2</v>
      </c>
      <c r="U65" s="2">
        <v>0</v>
      </c>
      <c r="V65" s="2">
        <v>0</v>
      </c>
      <c r="W65" s="2">
        <v>25</v>
      </c>
      <c r="X65" s="2">
        <v>0</v>
      </c>
      <c r="Y65" s="2">
        <v>0</v>
      </c>
      <c r="Z65" s="2">
        <v>1</v>
      </c>
      <c r="AA65" s="2">
        <v>1</v>
      </c>
      <c r="AB65" s="2">
        <v>2</v>
      </c>
      <c r="AC65" s="2">
        <v>1</v>
      </c>
      <c r="AD65" s="2">
        <v>1</v>
      </c>
      <c r="AE65" s="2">
        <v>0</v>
      </c>
      <c r="AF65" s="2">
        <v>0</v>
      </c>
      <c r="AG65" s="20">
        <f t="shared" si="0"/>
        <v>-500</v>
      </c>
    </row>
    <row r="66" spans="1:33" x14ac:dyDescent="0.25">
      <c r="A66">
        <v>65</v>
      </c>
      <c r="B66" s="2">
        <v>3</v>
      </c>
      <c r="C66" s="2">
        <v>24</v>
      </c>
      <c r="D66" s="2">
        <v>2</v>
      </c>
      <c r="E66" s="2">
        <v>0</v>
      </c>
      <c r="F66" s="2">
        <v>0</v>
      </c>
      <c r="G66" s="2">
        <v>0</v>
      </c>
      <c r="H66" s="2">
        <v>1</v>
      </c>
      <c r="I66" s="2">
        <v>0</v>
      </c>
      <c r="J66" s="2">
        <v>0</v>
      </c>
      <c r="K66" s="2">
        <v>3181</v>
      </c>
      <c r="L66" s="2">
        <v>0</v>
      </c>
      <c r="M66" s="2">
        <v>1</v>
      </c>
      <c r="N66" s="2">
        <v>4</v>
      </c>
      <c r="O66" s="2">
        <v>0</v>
      </c>
      <c r="P66" s="2">
        <v>0</v>
      </c>
      <c r="Q66" s="2">
        <v>0</v>
      </c>
      <c r="R66" s="2">
        <v>0</v>
      </c>
      <c r="S66" s="2">
        <v>0</v>
      </c>
      <c r="T66" s="2">
        <v>4</v>
      </c>
      <c r="U66" s="2">
        <v>0</v>
      </c>
      <c r="V66" s="2">
        <v>0</v>
      </c>
      <c r="W66" s="2">
        <v>26</v>
      </c>
      <c r="X66" s="2">
        <v>0</v>
      </c>
      <c r="Y66" s="2">
        <v>0</v>
      </c>
      <c r="Z66" s="2">
        <v>1</v>
      </c>
      <c r="AA66" s="2">
        <v>1</v>
      </c>
      <c r="AB66" s="2">
        <v>2</v>
      </c>
      <c r="AC66" s="2">
        <v>1</v>
      </c>
      <c r="AD66" s="2">
        <v>1</v>
      </c>
      <c r="AE66" s="2">
        <v>0</v>
      </c>
      <c r="AF66" s="2">
        <v>1</v>
      </c>
      <c r="AG66" s="20">
        <f t="shared" si="0"/>
        <v>100</v>
      </c>
    </row>
    <row r="67" spans="1:33" x14ac:dyDescent="0.25">
      <c r="A67">
        <v>66</v>
      </c>
      <c r="B67" s="2">
        <v>3</v>
      </c>
      <c r="C67" s="2">
        <v>27</v>
      </c>
      <c r="D67" s="2">
        <v>2</v>
      </c>
      <c r="E67" s="2">
        <v>0</v>
      </c>
      <c r="F67" s="2">
        <v>0</v>
      </c>
      <c r="G67" s="2">
        <v>0</v>
      </c>
      <c r="H67" s="2">
        <v>0</v>
      </c>
      <c r="I67" s="2">
        <v>0</v>
      </c>
      <c r="J67" s="2">
        <v>0</v>
      </c>
      <c r="K67" s="2">
        <v>5190</v>
      </c>
      <c r="L67" s="2">
        <v>4</v>
      </c>
      <c r="M67" s="2">
        <v>4</v>
      </c>
      <c r="N67" s="2">
        <v>4</v>
      </c>
      <c r="O67" s="2">
        <v>0</v>
      </c>
      <c r="P67" s="2">
        <v>1</v>
      </c>
      <c r="Q67" s="2">
        <v>0</v>
      </c>
      <c r="R67" s="2">
        <v>0</v>
      </c>
      <c r="S67" s="2">
        <v>0</v>
      </c>
      <c r="T67" s="2">
        <v>4</v>
      </c>
      <c r="U67" s="2">
        <v>0</v>
      </c>
      <c r="V67" s="2">
        <v>0</v>
      </c>
      <c r="W67" s="2">
        <v>48</v>
      </c>
      <c r="X67" s="2">
        <v>0</v>
      </c>
      <c r="Y67" s="2">
        <v>0</v>
      </c>
      <c r="Z67" s="2">
        <v>1</v>
      </c>
      <c r="AA67" s="2">
        <v>4</v>
      </c>
      <c r="AB67" s="2">
        <v>2</v>
      </c>
      <c r="AC67" s="2">
        <v>2</v>
      </c>
      <c r="AD67" s="2">
        <v>1</v>
      </c>
      <c r="AE67" s="2">
        <v>0</v>
      </c>
      <c r="AF67" s="2">
        <v>1</v>
      </c>
      <c r="AG67" s="20">
        <f t="shared" si="0"/>
        <v>100</v>
      </c>
    </row>
    <row r="68" spans="1:33" x14ac:dyDescent="0.25">
      <c r="A68">
        <v>67</v>
      </c>
      <c r="B68" s="2">
        <v>3</v>
      </c>
      <c r="C68" s="2">
        <v>12</v>
      </c>
      <c r="D68" s="2">
        <v>2</v>
      </c>
      <c r="E68" s="2">
        <v>0</v>
      </c>
      <c r="F68" s="2">
        <v>0</v>
      </c>
      <c r="G68" s="2">
        <v>0</v>
      </c>
      <c r="H68" s="2">
        <v>1</v>
      </c>
      <c r="I68" s="2">
        <v>0</v>
      </c>
      <c r="J68" s="2">
        <v>0</v>
      </c>
      <c r="K68" s="2">
        <v>2171</v>
      </c>
      <c r="L68" s="2">
        <v>0</v>
      </c>
      <c r="M68" s="2">
        <v>1</v>
      </c>
      <c r="N68" s="2">
        <v>2</v>
      </c>
      <c r="O68" s="2">
        <v>0</v>
      </c>
      <c r="P68" s="2">
        <v>0</v>
      </c>
      <c r="Q68" s="2">
        <v>0</v>
      </c>
      <c r="R68" s="2">
        <v>0</v>
      </c>
      <c r="S68" s="2">
        <v>0</v>
      </c>
      <c r="T68" s="2">
        <v>2</v>
      </c>
      <c r="U68" s="2">
        <v>0</v>
      </c>
      <c r="V68" s="2">
        <v>0</v>
      </c>
      <c r="W68" s="2">
        <v>29</v>
      </c>
      <c r="X68" s="2">
        <v>1</v>
      </c>
      <c r="Y68" s="2">
        <v>0</v>
      </c>
      <c r="Z68" s="2">
        <v>1</v>
      </c>
      <c r="AA68" s="2">
        <v>1</v>
      </c>
      <c r="AB68" s="2">
        <v>2</v>
      </c>
      <c r="AC68" s="2">
        <v>1</v>
      </c>
      <c r="AD68" s="2">
        <v>0</v>
      </c>
      <c r="AE68" s="2">
        <v>0</v>
      </c>
      <c r="AF68" s="2">
        <v>1</v>
      </c>
      <c r="AG68" s="20">
        <f t="shared" ref="AG68:AG131" si="1">IF(AF68=1,100,-500)</f>
        <v>100</v>
      </c>
    </row>
    <row r="69" spans="1:33" x14ac:dyDescent="0.25">
      <c r="A69">
        <v>68</v>
      </c>
      <c r="B69" s="2">
        <v>1</v>
      </c>
      <c r="C69" s="2">
        <v>12</v>
      </c>
      <c r="D69" s="2">
        <v>2</v>
      </c>
      <c r="E69" s="2">
        <v>1</v>
      </c>
      <c r="F69" s="2">
        <v>0</v>
      </c>
      <c r="G69" s="2">
        <v>0</v>
      </c>
      <c r="H69" s="2">
        <v>0</v>
      </c>
      <c r="I69" s="2">
        <v>0</v>
      </c>
      <c r="J69" s="2">
        <v>0</v>
      </c>
      <c r="K69" s="2">
        <v>1007</v>
      </c>
      <c r="L69" s="2">
        <v>3</v>
      </c>
      <c r="M69" s="2">
        <v>2</v>
      </c>
      <c r="N69" s="2">
        <v>4</v>
      </c>
      <c r="O69" s="2">
        <v>0</v>
      </c>
      <c r="P69" s="2">
        <v>0</v>
      </c>
      <c r="Q69" s="2">
        <v>1</v>
      </c>
      <c r="R69" s="2">
        <v>0</v>
      </c>
      <c r="S69" s="2">
        <v>0</v>
      </c>
      <c r="T69" s="2">
        <v>1</v>
      </c>
      <c r="U69" s="2">
        <v>1</v>
      </c>
      <c r="V69" s="2">
        <v>0</v>
      </c>
      <c r="W69" s="2">
        <v>22</v>
      </c>
      <c r="X69" s="2">
        <v>0</v>
      </c>
      <c r="Y69" s="2">
        <v>0</v>
      </c>
      <c r="Z69" s="2">
        <v>1</v>
      </c>
      <c r="AA69" s="2">
        <v>1</v>
      </c>
      <c r="AB69" s="2">
        <v>2</v>
      </c>
      <c r="AC69" s="2">
        <v>1</v>
      </c>
      <c r="AD69" s="2">
        <v>0</v>
      </c>
      <c r="AE69" s="2">
        <v>0</v>
      </c>
      <c r="AF69" s="2">
        <v>1</v>
      </c>
      <c r="AG69" s="20">
        <f t="shared" si="1"/>
        <v>100</v>
      </c>
    </row>
    <row r="70" spans="1:33" x14ac:dyDescent="0.25">
      <c r="A70">
        <v>69</v>
      </c>
      <c r="B70" s="2">
        <v>3</v>
      </c>
      <c r="C70" s="2">
        <v>36</v>
      </c>
      <c r="D70" s="2">
        <v>2</v>
      </c>
      <c r="E70" s="2">
        <v>0</v>
      </c>
      <c r="F70" s="2">
        <v>0</v>
      </c>
      <c r="G70" s="2">
        <v>0</v>
      </c>
      <c r="H70" s="2">
        <v>0</v>
      </c>
      <c r="I70" s="2">
        <v>1</v>
      </c>
      <c r="J70" s="2">
        <v>0</v>
      </c>
      <c r="K70" s="2">
        <v>1819</v>
      </c>
      <c r="L70" s="2">
        <v>0</v>
      </c>
      <c r="M70" s="2">
        <v>2</v>
      </c>
      <c r="N70" s="2">
        <v>4</v>
      </c>
      <c r="O70" s="2">
        <v>0</v>
      </c>
      <c r="P70" s="2">
        <v>1</v>
      </c>
      <c r="Q70" s="2">
        <v>0</v>
      </c>
      <c r="R70" s="2">
        <v>0</v>
      </c>
      <c r="S70" s="2">
        <v>0</v>
      </c>
      <c r="T70" s="2">
        <v>4</v>
      </c>
      <c r="U70" s="2">
        <v>0</v>
      </c>
      <c r="V70" s="2">
        <v>1</v>
      </c>
      <c r="W70" s="2">
        <v>37</v>
      </c>
      <c r="X70" s="2">
        <v>1</v>
      </c>
      <c r="Y70" s="2">
        <v>0</v>
      </c>
      <c r="Z70" s="2">
        <v>0</v>
      </c>
      <c r="AA70" s="2">
        <v>1</v>
      </c>
      <c r="AB70" s="2">
        <v>2</v>
      </c>
      <c r="AC70" s="2">
        <v>1</v>
      </c>
      <c r="AD70" s="2">
        <v>1</v>
      </c>
      <c r="AE70" s="2">
        <v>0</v>
      </c>
      <c r="AF70" s="2">
        <v>0</v>
      </c>
      <c r="AG70" s="20">
        <f t="shared" si="1"/>
        <v>-500</v>
      </c>
    </row>
    <row r="71" spans="1:33" x14ac:dyDescent="0.25">
      <c r="A71">
        <v>70</v>
      </c>
      <c r="B71" s="2">
        <v>3</v>
      </c>
      <c r="C71" s="2">
        <v>36</v>
      </c>
      <c r="D71" s="2">
        <v>2</v>
      </c>
      <c r="E71" s="2">
        <v>0</v>
      </c>
      <c r="F71" s="2">
        <v>0</v>
      </c>
      <c r="G71" s="2">
        <v>0</v>
      </c>
      <c r="H71" s="2">
        <v>1</v>
      </c>
      <c r="I71" s="2">
        <v>0</v>
      </c>
      <c r="J71" s="2">
        <v>0</v>
      </c>
      <c r="K71" s="2">
        <v>2394</v>
      </c>
      <c r="L71" s="2">
        <v>4</v>
      </c>
      <c r="M71" s="2">
        <v>2</v>
      </c>
      <c r="N71" s="2">
        <v>4</v>
      </c>
      <c r="O71" s="2">
        <v>0</v>
      </c>
      <c r="P71" s="2">
        <v>0</v>
      </c>
      <c r="Q71" s="2">
        <v>0</v>
      </c>
      <c r="R71" s="2">
        <v>0</v>
      </c>
      <c r="S71" s="2">
        <v>0</v>
      </c>
      <c r="T71" s="2">
        <v>4</v>
      </c>
      <c r="U71" s="2">
        <v>0</v>
      </c>
      <c r="V71" s="2">
        <v>0</v>
      </c>
      <c r="W71" s="2">
        <v>25</v>
      </c>
      <c r="X71" s="2">
        <v>0</v>
      </c>
      <c r="Y71" s="2">
        <v>0</v>
      </c>
      <c r="Z71" s="2">
        <v>1</v>
      </c>
      <c r="AA71" s="2">
        <v>1</v>
      </c>
      <c r="AB71" s="2">
        <v>2</v>
      </c>
      <c r="AC71" s="2">
        <v>1</v>
      </c>
      <c r="AD71" s="2">
        <v>0</v>
      </c>
      <c r="AE71" s="2">
        <v>0</v>
      </c>
      <c r="AF71" s="2">
        <v>1</v>
      </c>
      <c r="AG71" s="20">
        <f t="shared" si="1"/>
        <v>100</v>
      </c>
    </row>
    <row r="72" spans="1:33" x14ac:dyDescent="0.25">
      <c r="A72">
        <v>71</v>
      </c>
      <c r="B72" s="2">
        <v>3</v>
      </c>
      <c r="C72" s="2">
        <v>36</v>
      </c>
      <c r="D72" s="2">
        <v>2</v>
      </c>
      <c r="E72" s="2">
        <v>0</v>
      </c>
      <c r="F72" s="2">
        <v>1</v>
      </c>
      <c r="G72" s="2">
        <v>0</v>
      </c>
      <c r="H72" s="2">
        <v>0</v>
      </c>
      <c r="I72" s="2">
        <v>0</v>
      </c>
      <c r="J72" s="2">
        <v>0</v>
      </c>
      <c r="K72" s="2">
        <v>8133</v>
      </c>
      <c r="L72" s="2">
        <v>0</v>
      </c>
      <c r="M72" s="2">
        <v>2</v>
      </c>
      <c r="N72" s="2">
        <v>1</v>
      </c>
      <c r="O72" s="2">
        <v>0</v>
      </c>
      <c r="P72" s="2">
        <v>0</v>
      </c>
      <c r="Q72" s="2">
        <v>0</v>
      </c>
      <c r="R72" s="2">
        <v>0</v>
      </c>
      <c r="S72" s="2">
        <v>0</v>
      </c>
      <c r="T72" s="2">
        <v>2</v>
      </c>
      <c r="U72" s="2">
        <v>0</v>
      </c>
      <c r="V72" s="2">
        <v>0</v>
      </c>
      <c r="W72" s="2">
        <v>30</v>
      </c>
      <c r="X72" s="2">
        <v>1</v>
      </c>
      <c r="Y72" s="2">
        <v>0</v>
      </c>
      <c r="Z72" s="2">
        <v>1</v>
      </c>
      <c r="AA72" s="2">
        <v>1</v>
      </c>
      <c r="AB72" s="2">
        <v>2</v>
      </c>
      <c r="AC72" s="2">
        <v>1</v>
      </c>
      <c r="AD72" s="2">
        <v>0</v>
      </c>
      <c r="AE72" s="2">
        <v>0</v>
      </c>
      <c r="AF72" s="2">
        <v>1</v>
      </c>
      <c r="AG72" s="20">
        <f t="shared" si="1"/>
        <v>100</v>
      </c>
    </row>
    <row r="73" spans="1:33" x14ac:dyDescent="0.25">
      <c r="A73">
        <v>72</v>
      </c>
      <c r="B73" s="2">
        <v>3</v>
      </c>
      <c r="C73" s="2">
        <v>7</v>
      </c>
      <c r="D73" s="2">
        <v>4</v>
      </c>
      <c r="E73" s="2">
        <v>0</v>
      </c>
      <c r="F73" s="2">
        <v>0</v>
      </c>
      <c r="G73" s="2">
        <v>0</v>
      </c>
      <c r="H73" s="2">
        <v>1</v>
      </c>
      <c r="I73" s="2">
        <v>0</v>
      </c>
      <c r="J73" s="2">
        <v>0</v>
      </c>
      <c r="K73" s="2">
        <v>730</v>
      </c>
      <c r="L73" s="2">
        <v>4</v>
      </c>
      <c r="M73" s="2">
        <v>4</v>
      </c>
      <c r="N73" s="2">
        <v>4</v>
      </c>
      <c r="O73" s="2">
        <v>0</v>
      </c>
      <c r="P73" s="2">
        <v>1</v>
      </c>
      <c r="Q73" s="2">
        <v>0</v>
      </c>
      <c r="R73" s="2">
        <v>0</v>
      </c>
      <c r="S73" s="2">
        <v>0</v>
      </c>
      <c r="T73" s="2">
        <v>2</v>
      </c>
      <c r="U73" s="2">
        <v>0</v>
      </c>
      <c r="V73" s="2">
        <v>0</v>
      </c>
      <c r="W73" s="2">
        <v>46</v>
      </c>
      <c r="X73" s="2">
        <v>0</v>
      </c>
      <c r="Y73" s="2">
        <v>1</v>
      </c>
      <c r="Z73" s="2">
        <v>0</v>
      </c>
      <c r="AA73" s="2">
        <v>2</v>
      </c>
      <c r="AB73" s="2">
        <v>1</v>
      </c>
      <c r="AC73" s="2">
        <v>1</v>
      </c>
      <c r="AD73" s="2">
        <v>1</v>
      </c>
      <c r="AE73" s="2">
        <v>0</v>
      </c>
      <c r="AF73" s="2">
        <v>1</v>
      </c>
      <c r="AG73" s="20">
        <f t="shared" si="1"/>
        <v>100</v>
      </c>
    </row>
    <row r="74" spans="1:33" x14ac:dyDescent="0.25">
      <c r="A74">
        <v>73</v>
      </c>
      <c r="B74" s="2">
        <v>0</v>
      </c>
      <c r="C74" s="2">
        <v>8</v>
      </c>
      <c r="D74" s="2">
        <v>4</v>
      </c>
      <c r="E74" s="2">
        <v>0</v>
      </c>
      <c r="F74" s="2">
        <v>0</v>
      </c>
      <c r="G74" s="2">
        <v>0</v>
      </c>
      <c r="H74" s="2">
        <v>0</v>
      </c>
      <c r="I74" s="2">
        <v>0</v>
      </c>
      <c r="J74" s="2">
        <v>0</v>
      </c>
      <c r="K74" s="2">
        <v>1164</v>
      </c>
      <c r="L74" s="2">
        <v>0</v>
      </c>
      <c r="M74" s="2">
        <v>4</v>
      </c>
      <c r="N74" s="2">
        <v>3</v>
      </c>
      <c r="O74" s="2">
        <v>0</v>
      </c>
      <c r="P74" s="2">
        <v>1</v>
      </c>
      <c r="Q74" s="2">
        <v>0</v>
      </c>
      <c r="R74" s="2">
        <v>0</v>
      </c>
      <c r="S74" s="2">
        <v>0</v>
      </c>
      <c r="T74" s="2">
        <v>4</v>
      </c>
      <c r="U74" s="2">
        <v>0</v>
      </c>
      <c r="V74" s="2">
        <v>1</v>
      </c>
      <c r="W74" s="2">
        <v>51</v>
      </c>
      <c r="X74" s="2">
        <v>1</v>
      </c>
      <c r="Y74" s="2">
        <v>0</v>
      </c>
      <c r="Z74" s="2">
        <v>0</v>
      </c>
      <c r="AA74" s="2">
        <v>2</v>
      </c>
      <c r="AB74" s="2">
        <v>3</v>
      </c>
      <c r="AC74" s="2">
        <v>2</v>
      </c>
      <c r="AD74" s="2">
        <v>1</v>
      </c>
      <c r="AE74" s="2">
        <v>0</v>
      </c>
      <c r="AF74" s="2">
        <v>1</v>
      </c>
      <c r="AG74" s="20">
        <f t="shared" si="1"/>
        <v>100</v>
      </c>
    </row>
    <row r="75" spans="1:33" x14ac:dyDescent="0.25">
      <c r="A75">
        <v>74</v>
      </c>
      <c r="B75" s="2">
        <v>1</v>
      </c>
      <c r="C75" s="2">
        <v>42</v>
      </c>
      <c r="D75" s="2">
        <v>4</v>
      </c>
      <c r="E75" s="2">
        <v>0</v>
      </c>
      <c r="F75" s="2">
        <v>0</v>
      </c>
      <c r="G75" s="2">
        <v>0</v>
      </c>
      <c r="H75" s="2">
        <v>0</v>
      </c>
      <c r="I75" s="2">
        <v>0</v>
      </c>
      <c r="J75" s="2">
        <v>1</v>
      </c>
      <c r="K75" s="2">
        <v>5954</v>
      </c>
      <c r="L75" s="2">
        <v>0</v>
      </c>
      <c r="M75" s="2">
        <v>3</v>
      </c>
      <c r="N75" s="2">
        <v>2</v>
      </c>
      <c r="O75" s="2">
        <v>0</v>
      </c>
      <c r="P75" s="2">
        <v>0</v>
      </c>
      <c r="Q75" s="2">
        <v>0</v>
      </c>
      <c r="R75" s="2">
        <v>0</v>
      </c>
      <c r="S75" s="2">
        <v>0</v>
      </c>
      <c r="T75" s="2">
        <v>1</v>
      </c>
      <c r="U75" s="2">
        <v>1</v>
      </c>
      <c r="V75" s="2">
        <v>0</v>
      </c>
      <c r="W75" s="2">
        <v>41</v>
      </c>
      <c r="X75" s="2">
        <v>1</v>
      </c>
      <c r="Y75" s="2">
        <v>0</v>
      </c>
      <c r="Z75" s="2">
        <v>1</v>
      </c>
      <c r="AA75" s="2">
        <v>2</v>
      </c>
      <c r="AB75" s="2">
        <v>1</v>
      </c>
      <c r="AC75" s="2">
        <v>1</v>
      </c>
      <c r="AD75" s="2">
        <v>0</v>
      </c>
      <c r="AE75" s="2">
        <v>0</v>
      </c>
      <c r="AF75" s="2">
        <v>1</v>
      </c>
      <c r="AG75" s="20">
        <f t="shared" si="1"/>
        <v>100</v>
      </c>
    </row>
    <row r="76" spans="1:33" x14ac:dyDescent="0.25">
      <c r="A76">
        <v>75</v>
      </c>
      <c r="B76" s="2">
        <v>0</v>
      </c>
      <c r="C76" s="2">
        <v>36</v>
      </c>
      <c r="D76" s="2">
        <v>2</v>
      </c>
      <c r="E76" s="2">
        <v>0</v>
      </c>
      <c r="F76" s="2">
        <v>0</v>
      </c>
      <c r="G76" s="2">
        <v>0</v>
      </c>
      <c r="H76" s="2">
        <v>0</v>
      </c>
      <c r="I76" s="2">
        <v>1</v>
      </c>
      <c r="J76" s="2">
        <v>0</v>
      </c>
      <c r="K76" s="2">
        <v>1977</v>
      </c>
      <c r="L76" s="2">
        <v>4</v>
      </c>
      <c r="M76" s="2">
        <v>4</v>
      </c>
      <c r="N76" s="2">
        <v>4</v>
      </c>
      <c r="O76" s="2">
        <v>0</v>
      </c>
      <c r="P76" s="2">
        <v>1</v>
      </c>
      <c r="Q76" s="2">
        <v>0</v>
      </c>
      <c r="R76" s="2">
        <v>0</v>
      </c>
      <c r="S76" s="2">
        <v>0</v>
      </c>
      <c r="T76" s="2">
        <v>4</v>
      </c>
      <c r="U76" s="2">
        <v>0</v>
      </c>
      <c r="V76" s="2">
        <v>1</v>
      </c>
      <c r="W76" s="2">
        <v>40</v>
      </c>
      <c r="X76" s="2">
        <v>0</v>
      </c>
      <c r="Y76" s="2">
        <v>0</v>
      </c>
      <c r="Z76" s="2">
        <v>1</v>
      </c>
      <c r="AA76" s="2">
        <v>1</v>
      </c>
      <c r="AB76" s="2">
        <v>3</v>
      </c>
      <c r="AC76" s="2">
        <v>1</v>
      </c>
      <c r="AD76" s="2">
        <v>1</v>
      </c>
      <c r="AE76" s="2">
        <v>0</v>
      </c>
      <c r="AF76" s="2">
        <v>0</v>
      </c>
      <c r="AG76" s="20">
        <f t="shared" si="1"/>
        <v>-500</v>
      </c>
    </row>
    <row r="77" spans="1:33" x14ac:dyDescent="0.25">
      <c r="A77">
        <v>76</v>
      </c>
      <c r="B77" s="2">
        <v>0</v>
      </c>
      <c r="C77" s="2">
        <v>12</v>
      </c>
      <c r="D77" s="2">
        <v>4</v>
      </c>
      <c r="E77" s="2">
        <v>0</v>
      </c>
      <c r="F77" s="2">
        <v>1</v>
      </c>
      <c r="G77" s="2">
        <v>0</v>
      </c>
      <c r="H77" s="2">
        <v>0</v>
      </c>
      <c r="I77" s="2">
        <v>0</v>
      </c>
      <c r="J77" s="2">
        <v>0</v>
      </c>
      <c r="K77" s="2">
        <v>1526</v>
      </c>
      <c r="L77" s="2">
        <v>0</v>
      </c>
      <c r="M77" s="2">
        <v>4</v>
      </c>
      <c r="N77" s="2">
        <v>4</v>
      </c>
      <c r="O77" s="2">
        <v>0</v>
      </c>
      <c r="P77" s="2">
        <v>1</v>
      </c>
      <c r="Q77" s="2">
        <v>0</v>
      </c>
      <c r="R77" s="2">
        <v>0</v>
      </c>
      <c r="S77" s="2">
        <v>0</v>
      </c>
      <c r="T77" s="2">
        <v>4</v>
      </c>
      <c r="U77" s="2">
        <v>0</v>
      </c>
      <c r="V77" s="2">
        <v>1</v>
      </c>
      <c r="W77" s="2">
        <v>66</v>
      </c>
      <c r="X77" s="2">
        <v>0</v>
      </c>
      <c r="Y77" s="2">
        <v>0</v>
      </c>
      <c r="Z77" s="2">
        <v>0</v>
      </c>
      <c r="AA77" s="2">
        <v>2</v>
      </c>
      <c r="AB77" s="2">
        <v>3</v>
      </c>
      <c r="AC77" s="2">
        <v>1</v>
      </c>
      <c r="AD77" s="2">
        <v>0</v>
      </c>
      <c r="AE77" s="2">
        <v>0</v>
      </c>
      <c r="AF77" s="2">
        <v>1</v>
      </c>
      <c r="AG77" s="20">
        <f t="shared" si="1"/>
        <v>100</v>
      </c>
    </row>
    <row r="78" spans="1:33" x14ac:dyDescent="0.25">
      <c r="A78">
        <v>77</v>
      </c>
      <c r="B78" s="2">
        <v>0</v>
      </c>
      <c r="C78" s="2">
        <v>42</v>
      </c>
      <c r="D78" s="2">
        <v>2</v>
      </c>
      <c r="E78" s="2">
        <v>0</v>
      </c>
      <c r="F78" s="2">
        <v>0</v>
      </c>
      <c r="G78" s="2">
        <v>0</v>
      </c>
      <c r="H78" s="2">
        <v>1</v>
      </c>
      <c r="I78" s="2">
        <v>0</v>
      </c>
      <c r="J78" s="2">
        <v>0</v>
      </c>
      <c r="K78" s="2">
        <v>3965</v>
      </c>
      <c r="L78" s="2">
        <v>0</v>
      </c>
      <c r="M78" s="2">
        <v>1</v>
      </c>
      <c r="N78" s="2">
        <v>4</v>
      </c>
      <c r="O78" s="2">
        <v>0</v>
      </c>
      <c r="P78" s="2">
        <v>1</v>
      </c>
      <c r="Q78" s="2">
        <v>0</v>
      </c>
      <c r="R78" s="2">
        <v>0</v>
      </c>
      <c r="S78" s="2">
        <v>0</v>
      </c>
      <c r="T78" s="2">
        <v>3</v>
      </c>
      <c r="U78" s="2">
        <v>0</v>
      </c>
      <c r="V78" s="2">
        <v>0</v>
      </c>
      <c r="W78" s="2">
        <v>34</v>
      </c>
      <c r="X78" s="2">
        <v>0</v>
      </c>
      <c r="Y78" s="2">
        <v>0</v>
      </c>
      <c r="Z78" s="2">
        <v>1</v>
      </c>
      <c r="AA78" s="2">
        <v>1</v>
      </c>
      <c r="AB78" s="2">
        <v>2</v>
      </c>
      <c r="AC78" s="2">
        <v>1</v>
      </c>
      <c r="AD78" s="2">
        <v>0</v>
      </c>
      <c r="AE78" s="2">
        <v>0</v>
      </c>
      <c r="AF78" s="2">
        <v>0</v>
      </c>
      <c r="AG78" s="20">
        <f t="shared" si="1"/>
        <v>-500</v>
      </c>
    </row>
    <row r="79" spans="1:33" x14ac:dyDescent="0.25">
      <c r="A79">
        <v>78</v>
      </c>
      <c r="B79" s="2">
        <v>1</v>
      </c>
      <c r="C79" s="2">
        <v>11</v>
      </c>
      <c r="D79" s="2">
        <v>3</v>
      </c>
      <c r="E79" s="2">
        <v>0</v>
      </c>
      <c r="F79" s="2">
        <v>0</v>
      </c>
      <c r="G79" s="2">
        <v>0</v>
      </c>
      <c r="H79" s="2">
        <v>1</v>
      </c>
      <c r="I79" s="2">
        <v>0</v>
      </c>
      <c r="J79" s="2">
        <v>0</v>
      </c>
      <c r="K79" s="2">
        <v>4771</v>
      </c>
      <c r="L79" s="2">
        <v>0</v>
      </c>
      <c r="M79" s="2">
        <v>3</v>
      </c>
      <c r="N79" s="2">
        <v>2</v>
      </c>
      <c r="O79" s="2">
        <v>0</v>
      </c>
      <c r="P79" s="2">
        <v>1</v>
      </c>
      <c r="Q79" s="2">
        <v>0</v>
      </c>
      <c r="R79" s="2">
        <v>0</v>
      </c>
      <c r="S79" s="2">
        <v>0</v>
      </c>
      <c r="T79" s="2">
        <v>4</v>
      </c>
      <c r="U79" s="2">
        <v>0</v>
      </c>
      <c r="V79" s="2">
        <v>0</v>
      </c>
      <c r="W79" s="2">
        <v>51</v>
      </c>
      <c r="X79" s="2">
        <v>0</v>
      </c>
      <c r="Y79" s="2">
        <v>0</v>
      </c>
      <c r="Z79" s="2">
        <v>1</v>
      </c>
      <c r="AA79" s="2">
        <v>1</v>
      </c>
      <c r="AB79" s="2">
        <v>2</v>
      </c>
      <c r="AC79" s="2">
        <v>1</v>
      </c>
      <c r="AD79" s="2">
        <v>0</v>
      </c>
      <c r="AE79" s="2">
        <v>0</v>
      </c>
      <c r="AF79" s="2">
        <v>1</v>
      </c>
      <c r="AG79" s="20">
        <f t="shared" si="1"/>
        <v>100</v>
      </c>
    </row>
    <row r="80" spans="1:33" x14ac:dyDescent="0.25">
      <c r="A80">
        <v>79</v>
      </c>
      <c r="B80" s="2">
        <v>3</v>
      </c>
      <c r="C80" s="2">
        <v>54</v>
      </c>
      <c r="D80" s="2">
        <v>0</v>
      </c>
      <c r="E80" s="2">
        <v>0</v>
      </c>
      <c r="F80" s="2">
        <v>1</v>
      </c>
      <c r="G80" s="2">
        <v>0</v>
      </c>
      <c r="H80" s="2">
        <v>0</v>
      </c>
      <c r="I80" s="2">
        <v>0</v>
      </c>
      <c r="J80" s="2">
        <v>0</v>
      </c>
      <c r="K80" s="2">
        <v>9436</v>
      </c>
      <c r="L80" s="2">
        <v>4</v>
      </c>
      <c r="M80" s="2">
        <v>2</v>
      </c>
      <c r="N80" s="2">
        <v>2</v>
      </c>
      <c r="O80" s="2">
        <v>0</v>
      </c>
      <c r="P80" s="2">
        <v>1</v>
      </c>
      <c r="Q80" s="2">
        <v>0</v>
      </c>
      <c r="R80" s="2">
        <v>0</v>
      </c>
      <c r="S80" s="2">
        <v>0</v>
      </c>
      <c r="T80" s="2">
        <v>2</v>
      </c>
      <c r="U80" s="2">
        <v>0</v>
      </c>
      <c r="V80" s="2">
        <v>0</v>
      </c>
      <c r="W80" s="2">
        <v>39</v>
      </c>
      <c r="X80" s="2">
        <v>0</v>
      </c>
      <c r="Y80" s="2">
        <v>0</v>
      </c>
      <c r="Z80" s="2">
        <v>1</v>
      </c>
      <c r="AA80" s="2">
        <v>1</v>
      </c>
      <c r="AB80" s="2">
        <v>1</v>
      </c>
      <c r="AC80" s="2">
        <v>2</v>
      </c>
      <c r="AD80" s="2">
        <v>0</v>
      </c>
      <c r="AE80" s="2">
        <v>0</v>
      </c>
      <c r="AF80" s="2">
        <v>1</v>
      </c>
      <c r="AG80" s="20">
        <f t="shared" si="1"/>
        <v>100</v>
      </c>
    </row>
    <row r="81" spans="1:33" x14ac:dyDescent="0.25">
      <c r="A81">
        <v>80</v>
      </c>
      <c r="B81" s="2">
        <v>1</v>
      </c>
      <c r="C81" s="2">
        <v>30</v>
      </c>
      <c r="D81" s="2">
        <v>2</v>
      </c>
      <c r="E81" s="2">
        <v>0</v>
      </c>
      <c r="F81" s="2">
        <v>0</v>
      </c>
      <c r="G81" s="2">
        <v>1</v>
      </c>
      <c r="H81" s="2">
        <v>0</v>
      </c>
      <c r="I81" s="2">
        <v>0</v>
      </c>
      <c r="J81" s="2">
        <v>0</v>
      </c>
      <c r="K81" s="2">
        <v>3832</v>
      </c>
      <c r="L81" s="2">
        <v>0</v>
      </c>
      <c r="M81" s="2">
        <v>1</v>
      </c>
      <c r="N81" s="2">
        <v>2</v>
      </c>
      <c r="O81" s="2">
        <v>0</v>
      </c>
      <c r="P81" s="2">
        <v>0</v>
      </c>
      <c r="Q81" s="2">
        <v>1</v>
      </c>
      <c r="R81" s="2">
        <v>0</v>
      </c>
      <c r="S81" s="2">
        <v>0</v>
      </c>
      <c r="T81" s="2">
        <v>1</v>
      </c>
      <c r="U81" s="2">
        <v>0</v>
      </c>
      <c r="V81" s="2">
        <v>0</v>
      </c>
      <c r="W81" s="2">
        <v>22</v>
      </c>
      <c r="X81" s="2">
        <v>0</v>
      </c>
      <c r="Y81" s="2">
        <v>0</v>
      </c>
      <c r="Z81" s="2">
        <v>1</v>
      </c>
      <c r="AA81" s="2">
        <v>1</v>
      </c>
      <c r="AB81" s="2">
        <v>2</v>
      </c>
      <c r="AC81" s="2">
        <v>1</v>
      </c>
      <c r="AD81" s="2">
        <v>0</v>
      </c>
      <c r="AE81" s="2">
        <v>0</v>
      </c>
      <c r="AF81" s="2">
        <v>1</v>
      </c>
      <c r="AG81" s="20">
        <f t="shared" si="1"/>
        <v>100</v>
      </c>
    </row>
    <row r="82" spans="1:33" x14ac:dyDescent="0.25">
      <c r="A82">
        <v>81</v>
      </c>
      <c r="B82" s="2">
        <v>3</v>
      </c>
      <c r="C82" s="2">
        <v>24</v>
      </c>
      <c r="D82" s="2">
        <v>2</v>
      </c>
      <c r="E82" s="2">
        <v>0</v>
      </c>
      <c r="F82" s="2">
        <v>0</v>
      </c>
      <c r="G82" s="2">
        <v>0</v>
      </c>
      <c r="H82" s="2">
        <v>1</v>
      </c>
      <c r="I82" s="2">
        <v>0</v>
      </c>
      <c r="J82" s="2">
        <v>0</v>
      </c>
      <c r="K82" s="2">
        <v>5943</v>
      </c>
      <c r="L82" s="2">
        <v>4</v>
      </c>
      <c r="M82" s="2">
        <v>1</v>
      </c>
      <c r="N82" s="2">
        <v>1</v>
      </c>
      <c r="O82" s="2">
        <v>0</v>
      </c>
      <c r="P82" s="2">
        <v>0</v>
      </c>
      <c r="Q82" s="2">
        <v>0</v>
      </c>
      <c r="R82" s="2">
        <v>0</v>
      </c>
      <c r="S82" s="2">
        <v>0</v>
      </c>
      <c r="T82" s="2">
        <v>1</v>
      </c>
      <c r="U82" s="2">
        <v>0</v>
      </c>
      <c r="V82" s="2">
        <v>0</v>
      </c>
      <c r="W82" s="2">
        <v>44</v>
      </c>
      <c r="X82" s="2">
        <v>0</v>
      </c>
      <c r="Y82" s="2">
        <v>0</v>
      </c>
      <c r="Z82" s="2">
        <v>1</v>
      </c>
      <c r="AA82" s="2">
        <v>2</v>
      </c>
      <c r="AB82" s="2">
        <v>2</v>
      </c>
      <c r="AC82" s="2">
        <v>1</v>
      </c>
      <c r="AD82" s="2">
        <v>1</v>
      </c>
      <c r="AE82" s="2">
        <v>0</v>
      </c>
      <c r="AF82" s="2">
        <v>0</v>
      </c>
      <c r="AG82" s="20">
        <f t="shared" si="1"/>
        <v>-500</v>
      </c>
    </row>
    <row r="83" spans="1:33" x14ac:dyDescent="0.25">
      <c r="A83">
        <v>82</v>
      </c>
      <c r="B83" s="2">
        <v>3</v>
      </c>
      <c r="C83" s="2">
        <v>15</v>
      </c>
      <c r="D83" s="2">
        <v>2</v>
      </c>
      <c r="E83" s="2">
        <v>0</v>
      </c>
      <c r="F83" s="2">
        <v>0</v>
      </c>
      <c r="G83" s="2">
        <v>0</v>
      </c>
      <c r="H83" s="2">
        <v>1</v>
      </c>
      <c r="I83" s="2">
        <v>0</v>
      </c>
      <c r="J83" s="2">
        <v>0</v>
      </c>
      <c r="K83" s="2">
        <v>1213</v>
      </c>
      <c r="L83" s="2">
        <v>2</v>
      </c>
      <c r="M83" s="2">
        <v>4</v>
      </c>
      <c r="N83" s="2">
        <v>4</v>
      </c>
      <c r="O83" s="2">
        <v>0</v>
      </c>
      <c r="P83" s="2">
        <v>1</v>
      </c>
      <c r="Q83" s="2">
        <v>0</v>
      </c>
      <c r="R83" s="2">
        <v>0</v>
      </c>
      <c r="S83" s="2">
        <v>0</v>
      </c>
      <c r="T83" s="2">
        <v>3</v>
      </c>
      <c r="U83" s="2">
        <v>0</v>
      </c>
      <c r="V83" s="2">
        <v>0</v>
      </c>
      <c r="W83" s="2">
        <v>47</v>
      </c>
      <c r="X83" s="2">
        <v>1</v>
      </c>
      <c r="Y83" s="2">
        <v>0</v>
      </c>
      <c r="Z83" s="2">
        <v>1</v>
      </c>
      <c r="AA83" s="2">
        <v>1</v>
      </c>
      <c r="AB83" s="2">
        <v>2</v>
      </c>
      <c r="AC83" s="2">
        <v>1</v>
      </c>
      <c r="AD83" s="2">
        <v>1</v>
      </c>
      <c r="AE83" s="2">
        <v>0</v>
      </c>
      <c r="AF83" s="2">
        <v>1</v>
      </c>
      <c r="AG83" s="20">
        <f t="shared" si="1"/>
        <v>100</v>
      </c>
    </row>
    <row r="84" spans="1:33" x14ac:dyDescent="0.25">
      <c r="A84">
        <v>83</v>
      </c>
      <c r="B84" s="2">
        <v>3</v>
      </c>
      <c r="C84" s="2">
        <v>18</v>
      </c>
      <c r="D84" s="2">
        <v>2</v>
      </c>
      <c r="E84" s="2">
        <v>0</v>
      </c>
      <c r="F84" s="2">
        <v>0</v>
      </c>
      <c r="G84" s="2">
        <v>0</v>
      </c>
      <c r="H84" s="2">
        <v>0</v>
      </c>
      <c r="I84" s="2">
        <v>0</v>
      </c>
      <c r="J84" s="2">
        <v>1</v>
      </c>
      <c r="K84" s="2">
        <v>1568</v>
      </c>
      <c r="L84" s="2">
        <v>1</v>
      </c>
      <c r="M84" s="2">
        <v>2</v>
      </c>
      <c r="N84" s="2">
        <v>3</v>
      </c>
      <c r="O84" s="2">
        <v>0</v>
      </c>
      <c r="P84" s="2">
        <v>0</v>
      </c>
      <c r="Q84" s="2">
        <v>0</v>
      </c>
      <c r="R84" s="2">
        <v>0</v>
      </c>
      <c r="S84" s="2">
        <v>0</v>
      </c>
      <c r="T84" s="2">
        <v>4</v>
      </c>
      <c r="U84" s="2">
        <v>0</v>
      </c>
      <c r="V84" s="2">
        <v>0</v>
      </c>
      <c r="W84" s="2">
        <v>24</v>
      </c>
      <c r="X84" s="2">
        <v>0</v>
      </c>
      <c r="Y84" s="2">
        <v>1</v>
      </c>
      <c r="Z84" s="2">
        <v>0</v>
      </c>
      <c r="AA84" s="2">
        <v>1</v>
      </c>
      <c r="AB84" s="2">
        <v>1</v>
      </c>
      <c r="AC84" s="2">
        <v>1</v>
      </c>
      <c r="AD84" s="2">
        <v>0</v>
      </c>
      <c r="AE84" s="2">
        <v>0</v>
      </c>
      <c r="AF84" s="2">
        <v>1</v>
      </c>
      <c r="AG84" s="20">
        <f t="shared" si="1"/>
        <v>100</v>
      </c>
    </row>
    <row r="85" spans="1:33" x14ac:dyDescent="0.25">
      <c r="A85">
        <v>84</v>
      </c>
      <c r="B85" s="2">
        <v>0</v>
      </c>
      <c r="C85" s="2">
        <v>24</v>
      </c>
      <c r="D85" s="2">
        <v>2</v>
      </c>
      <c r="E85" s="2">
        <v>0</v>
      </c>
      <c r="F85" s="2">
        <v>0</v>
      </c>
      <c r="G85" s="2">
        <v>0</v>
      </c>
      <c r="H85" s="2">
        <v>0</v>
      </c>
      <c r="I85" s="2">
        <v>0</v>
      </c>
      <c r="J85" s="2">
        <v>0</v>
      </c>
      <c r="K85" s="2">
        <v>1755</v>
      </c>
      <c r="L85" s="2">
        <v>0</v>
      </c>
      <c r="M85" s="2">
        <v>4</v>
      </c>
      <c r="N85" s="2">
        <v>4</v>
      </c>
      <c r="O85" s="2">
        <v>0</v>
      </c>
      <c r="P85" s="2">
        <v>0</v>
      </c>
      <c r="Q85" s="2">
        <v>0</v>
      </c>
      <c r="R85" s="2">
        <v>0</v>
      </c>
      <c r="S85" s="2">
        <v>1</v>
      </c>
      <c r="T85" s="2">
        <v>4</v>
      </c>
      <c r="U85" s="2">
        <v>1</v>
      </c>
      <c r="V85" s="2">
        <v>0</v>
      </c>
      <c r="W85" s="2">
        <v>58</v>
      </c>
      <c r="X85" s="2">
        <v>0</v>
      </c>
      <c r="Y85" s="2">
        <v>0</v>
      </c>
      <c r="Z85" s="2">
        <v>1</v>
      </c>
      <c r="AA85" s="2">
        <v>1</v>
      </c>
      <c r="AB85" s="2">
        <v>1</v>
      </c>
      <c r="AC85" s="2">
        <v>1</v>
      </c>
      <c r="AD85" s="2">
        <v>1</v>
      </c>
      <c r="AE85" s="2">
        <v>0</v>
      </c>
      <c r="AF85" s="2">
        <v>1</v>
      </c>
      <c r="AG85" s="20">
        <f t="shared" si="1"/>
        <v>100</v>
      </c>
    </row>
    <row r="86" spans="1:33" x14ac:dyDescent="0.25">
      <c r="A86">
        <v>85</v>
      </c>
      <c r="B86" s="2">
        <v>0</v>
      </c>
      <c r="C86" s="2">
        <v>10</v>
      </c>
      <c r="D86" s="2">
        <v>2</v>
      </c>
      <c r="E86" s="2">
        <v>0</v>
      </c>
      <c r="F86" s="2">
        <v>0</v>
      </c>
      <c r="G86" s="2">
        <v>0</v>
      </c>
      <c r="H86" s="2">
        <v>1</v>
      </c>
      <c r="I86" s="2">
        <v>0</v>
      </c>
      <c r="J86" s="2">
        <v>0</v>
      </c>
      <c r="K86" s="2">
        <v>2315</v>
      </c>
      <c r="L86" s="2">
        <v>0</v>
      </c>
      <c r="M86" s="2">
        <v>4</v>
      </c>
      <c r="N86" s="2">
        <v>3</v>
      </c>
      <c r="O86" s="2">
        <v>0</v>
      </c>
      <c r="P86" s="2">
        <v>1</v>
      </c>
      <c r="Q86" s="2">
        <v>0</v>
      </c>
      <c r="R86" s="2">
        <v>0</v>
      </c>
      <c r="S86" s="2">
        <v>0</v>
      </c>
      <c r="T86" s="2">
        <v>4</v>
      </c>
      <c r="U86" s="2">
        <v>1</v>
      </c>
      <c r="V86" s="2">
        <v>0</v>
      </c>
      <c r="W86" s="2">
        <v>52</v>
      </c>
      <c r="X86" s="2">
        <v>0</v>
      </c>
      <c r="Y86" s="2">
        <v>0</v>
      </c>
      <c r="Z86" s="2">
        <v>1</v>
      </c>
      <c r="AA86" s="2">
        <v>1</v>
      </c>
      <c r="AB86" s="2">
        <v>1</v>
      </c>
      <c r="AC86" s="2">
        <v>1</v>
      </c>
      <c r="AD86" s="2">
        <v>0</v>
      </c>
      <c r="AE86" s="2">
        <v>0</v>
      </c>
      <c r="AF86" s="2">
        <v>1</v>
      </c>
      <c r="AG86" s="20">
        <f t="shared" si="1"/>
        <v>100</v>
      </c>
    </row>
    <row r="87" spans="1:33" x14ac:dyDescent="0.25">
      <c r="A87">
        <v>86</v>
      </c>
      <c r="B87" s="2">
        <v>3</v>
      </c>
      <c r="C87" s="2">
        <v>12</v>
      </c>
      <c r="D87" s="2">
        <v>4</v>
      </c>
      <c r="E87" s="2">
        <v>0</v>
      </c>
      <c r="F87" s="2">
        <v>0</v>
      </c>
      <c r="G87" s="2">
        <v>0</v>
      </c>
      <c r="H87" s="2">
        <v>0</v>
      </c>
      <c r="I87" s="2">
        <v>0</v>
      </c>
      <c r="J87" s="2">
        <v>1</v>
      </c>
      <c r="K87" s="2">
        <v>1412</v>
      </c>
      <c r="L87" s="2">
        <v>0</v>
      </c>
      <c r="M87" s="2">
        <v>2</v>
      </c>
      <c r="N87" s="2">
        <v>4</v>
      </c>
      <c r="O87" s="2">
        <v>0</v>
      </c>
      <c r="P87" s="2">
        <v>0</v>
      </c>
      <c r="Q87" s="2">
        <v>0</v>
      </c>
      <c r="R87" s="2">
        <v>0</v>
      </c>
      <c r="S87" s="2">
        <v>1</v>
      </c>
      <c r="T87" s="2">
        <v>2</v>
      </c>
      <c r="U87" s="2">
        <v>1</v>
      </c>
      <c r="V87" s="2">
        <v>0</v>
      </c>
      <c r="W87" s="2">
        <v>29</v>
      </c>
      <c r="X87" s="2">
        <v>0</v>
      </c>
      <c r="Y87" s="2">
        <v>0</v>
      </c>
      <c r="Z87" s="2">
        <v>1</v>
      </c>
      <c r="AA87" s="2">
        <v>2</v>
      </c>
      <c r="AB87" s="2">
        <v>3</v>
      </c>
      <c r="AC87" s="2">
        <v>1</v>
      </c>
      <c r="AD87" s="2">
        <v>1</v>
      </c>
      <c r="AE87" s="2">
        <v>0</v>
      </c>
      <c r="AF87" s="2">
        <v>1</v>
      </c>
      <c r="AG87" s="20">
        <f t="shared" si="1"/>
        <v>100</v>
      </c>
    </row>
    <row r="88" spans="1:33" x14ac:dyDescent="0.25">
      <c r="A88">
        <v>87</v>
      </c>
      <c r="B88" s="2">
        <v>1</v>
      </c>
      <c r="C88" s="2">
        <v>18</v>
      </c>
      <c r="D88" s="2">
        <v>4</v>
      </c>
      <c r="E88" s="2">
        <v>0</v>
      </c>
      <c r="F88" s="2">
        <v>0</v>
      </c>
      <c r="G88" s="2">
        <v>1</v>
      </c>
      <c r="H88" s="2">
        <v>0</v>
      </c>
      <c r="I88" s="2">
        <v>0</v>
      </c>
      <c r="J88" s="2">
        <v>0</v>
      </c>
      <c r="K88" s="2">
        <v>1295</v>
      </c>
      <c r="L88" s="2">
        <v>0</v>
      </c>
      <c r="M88" s="2">
        <v>1</v>
      </c>
      <c r="N88" s="2">
        <v>4</v>
      </c>
      <c r="O88" s="2">
        <v>0</v>
      </c>
      <c r="P88" s="2">
        <v>0</v>
      </c>
      <c r="Q88" s="2">
        <v>0</v>
      </c>
      <c r="R88" s="2">
        <v>0</v>
      </c>
      <c r="S88" s="2">
        <v>0</v>
      </c>
      <c r="T88" s="2">
        <v>1</v>
      </c>
      <c r="U88" s="2">
        <v>0</v>
      </c>
      <c r="V88" s="2">
        <v>0</v>
      </c>
      <c r="W88" s="2">
        <v>27</v>
      </c>
      <c r="X88" s="2">
        <v>0</v>
      </c>
      <c r="Y88" s="2">
        <v>0</v>
      </c>
      <c r="Z88" s="2">
        <v>1</v>
      </c>
      <c r="AA88" s="2">
        <v>2</v>
      </c>
      <c r="AB88" s="2">
        <v>2</v>
      </c>
      <c r="AC88" s="2">
        <v>1</v>
      </c>
      <c r="AD88" s="2">
        <v>0</v>
      </c>
      <c r="AE88" s="2">
        <v>0</v>
      </c>
      <c r="AF88" s="2">
        <v>1</v>
      </c>
      <c r="AG88" s="20">
        <f t="shared" si="1"/>
        <v>100</v>
      </c>
    </row>
    <row r="89" spans="1:33" x14ac:dyDescent="0.25">
      <c r="A89">
        <v>88</v>
      </c>
      <c r="B89" s="2">
        <v>1</v>
      </c>
      <c r="C89" s="2">
        <v>36</v>
      </c>
      <c r="D89" s="2">
        <v>2</v>
      </c>
      <c r="E89" s="2">
        <v>0</v>
      </c>
      <c r="F89" s="2">
        <v>0</v>
      </c>
      <c r="G89" s="2">
        <v>0</v>
      </c>
      <c r="H89" s="2">
        <v>0</v>
      </c>
      <c r="I89" s="2">
        <v>1</v>
      </c>
      <c r="J89" s="2">
        <v>0</v>
      </c>
      <c r="K89" s="2">
        <v>12612</v>
      </c>
      <c r="L89" s="2">
        <v>1</v>
      </c>
      <c r="M89" s="2">
        <v>2</v>
      </c>
      <c r="N89" s="2">
        <v>1</v>
      </c>
      <c r="O89" s="2">
        <v>0</v>
      </c>
      <c r="P89" s="2">
        <v>1</v>
      </c>
      <c r="Q89" s="2">
        <v>0</v>
      </c>
      <c r="R89" s="2">
        <v>0</v>
      </c>
      <c r="S89" s="2">
        <v>0</v>
      </c>
      <c r="T89" s="2">
        <v>4</v>
      </c>
      <c r="U89" s="2">
        <v>0</v>
      </c>
      <c r="V89" s="2">
        <v>1</v>
      </c>
      <c r="W89" s="2">
        <v>47</v>
      </c>
      <c r="X89" s="2">
        <v>0</v>
      </c>
      <c r="Y89" s="2">
        <v>0</v>
      </c>
      <c r="Z89" s="2">
        <v>0</v>
      </c>
      <c r="AA89" s="2">
        <v>1</v>
      </c>
      <c r="AB89" s="2">
        <v>2</v>
      </c>
      <c r="AC89" s="2">
        <v>2</v>
      </c>
      <c r="AD89" s="2">
        <v>1</v>
      </c>
      <c r="AE89" s="2">
        <v>0</v>
      </c>
      <c r="AF89" s="2">
        <v>0</v>
      </c>
      <c r="AG89" s="20">
        <f t="shared" si="1"/>
        <v>-500</v>
      </c>
    </row>
    <row r="90" spans="1:33" x14ac:dyDescent="0.25">
      <c r="A90">
        <v>89</v>
      </c>
      <c r="B90" s="2">
        <v>0</v>
      </c>
      <c r="C90" s="2">
        <v>18</v>
      </c>
      <c r="D90" s="2">
        <v>2</v>
      </c>
      <c r="E90" s="2">
        <v>1</v>
      </c>
      <c r="F90" s="2">
        <v>0</v>
      </c>
      <c r="G90" s="2">
        <v>0</v>
      </c>
      <c r="H90" s="2">
        <v>0</v>
      </c>
      <c r="I90" s="2">
        <v>0</v>
      </c>
      <c r="J90" s="2">
        <v>0</v>
      </c>
      <c r="K90" s="2">
        <v>2249</v>
      </c>
      <c r="L90" s="2">
        <v>1</v>
      </c>
      <c r="M90" s="2">
        <v>3</v>
      </c>
      <c r="N90" s="2">
        <v>4</v>
      </c>
      <c r="O90" s="2">
        <v>0</v>
      </c>
      <c r="P90" s="2">
        <v>1</v>
      </c>
      <c r="Q90" s="2">
        <v>0</v>
      </c>
      <c r="R90" s="2">
        <v>0</v>
      </c>
      <c r="S90" s="2">
        <v>0</v>
      </c>
      <c r="T90" s="2">
        <v>3</v>
      </c>
      <c r="U90" s="2">
        <v>0</v>
      </c>
      <c r="V90" s="2">
        <v>0</v>
      </c>
      <c r="W90" s="2">
        <v>30</v>
      </c>
      <c r="X90" s="2">
        <v>0</v>
      </c>
      <c r="Y90" s="2">
        <v>0</v>
      </c>
      <c r="Z90" s="2">
        <v>1</v>
      </c>
      <c r="AA90" s="2">
        <v>1</v>
      </c>
      <c r="AB90" s="2">
        <v>3</v>
      </c>
      <c r="AC90" s="2">
        <v>2</v>
      </c>
      <c r="AD90" s="2">
        <v>1</v>
      </c>
      <c r="AE90" s="2">
        <v>0</v>
      </c>
      <c r="AF90" s="2">
        <v>1</v>
      </c>
      <c r="AG90" s="20">
        <f t="shared" si="1"/>
        <v>100</v>
      </c>
    </row>
    <row r="91" spans="1:33" x14ac:dyDescent="0.25">
      <c r="A91">
        <v>90</v>
      </c>
      <c r="B91" s="2">
        <v>0</v>
      </c>
      <c r="C91" s="2">
        <v>12</v>
      </c>
      <c r="D91" s="2">
        <v>0</v>
      </c>
      <c r="E91" s="2">
        <v>0</v>
      </c>
      <c r="F91" s="2">
        <v>0</v>
      </c>
      <c r="G91" s="2">
        <v>0</v>
      </c>
      <c r="H91" s="2">
        <v>0</v>
      </c>
      <c r="I91" s="2">
        <v>0</v>
      </c>
      <c r="J91" s="2">
        <v>0</v>
      </c>
      <c r="K91" s="2">
        <v>1108</v>
      </c>
      <c r="L91" s="2">
        <v>0</v>
      </c>
      <c r="M91" s="2">
        <v>3</v>
      </c>
      <c r="N91" s="2">
        <v>4</v>
      </c>
      <c r="O91" s="2">
        <v>0</v>
      </c>
      <c r="P91" s="2">
        <v>1</v>
      </c>
      <c r="Q91" s="2">
        <v>0</v>
      </c>
      <c r="R91" s="2">
        <v>0</v>
      </c>
      <c r="S91" s="2">
        <v>0</v>
      </c>
      <c r="T91" s="2">
        <v>3</v>
      </c>
      <c r="U91" s="2">
        <v>1</v>
      </c>
      <c r="V91" s="2">
        <v>0</v>
      </c>
      <c r="W91" s="2">
        <v>28</v>
      </c>
      <c r="X91" s="2">
        <v>0</v>
      </c>
      <c r="Y91" s="2">
        <v>0</v>
      </c>
      <c r="Z91" s="2">
        <v>1</v>
      </c>
      <c r="AA91" s="2">
        <v>2</v>
      </c>
      <c r="AB91" s="2">
        <v>2</v>
      </c>
      <c r="AC91" s="2">
        <v>1</v>
      </c>
      <c r="AD91" s="2">
        <v>0</v>
      </c>
      <c r="AE91" s="2">
        <v>0</v>
      </c>
      <c r="AF91" s="2">
        <v>0</v>
      </c>
      <c r="AG91" s="20">
        <f t="shared" si="1"/>
        <v>-500</v>
      </c>
    </row>
    <row r="92" spans="1:33" x14ac:dyDescent="0.25">
      <c r="A92">
        <v>91</v>
      </c>
      <c r="B92" s="2">
        <v>3</v>
      </c>
      <c r="C92" s="2">
        <v>12</v>
      </c>
      <c r="D92" s="2">
        <v>4</v>
      </c>
      <c r="E92" s="2">
        <v>0</v>
      </c>
      <c r="F92" s="2">
        <v>0</v>
      </c>
      <c r="G92" s="2">
        <v>0</v>
      </c>
      <c r="H92" s="2">
        <v>1</v>
      </c>
      <c r="I92" s="2">
        <v>0</v>
      </c>
      <c r="J92" s="2">
        <v>0</v>
      </c>
      <c r="K92" s="2">
        <v>618</v>
      </c>
      <c r="L92" s="2">
        <v>0</v>
      </c>
      <c r="M92" s="2">
        <v>4</v>
      </c>
      <c r="N92" s="2">
        <v>4</v>
      </c>
      <c r="O92" s="2">
        <v>0</v>
      </c>
      <c r="P92" s="2">
        <v>1</v>
      </c>
      <c r="Q92" s="2">
        <v>0</v>
      </c>
      <c r="R92" s="2">
        <v>0</v>
      </c>
      <c r="S92" s="2">
        <v>0</v>
      </c>
      <c r="T92" s="2">
        <v>4</v>
      </c>
      <c r="U92" s="2">
        <v>1</v>
      </c>
      <c r="V92" s="2">
        <v>0</v>
      </c>
      <c r="W92" s="2">
        <v>56</v>
      </c>
      <c r="X92" s="2">
        <v>0</v>
      </c>
      <c r="Y92" s="2">
        <v>0</v>
      </c>
      <c r="Z92" s="2">
        <v>1</v>
      </c>
      <c r="AA92" s="2">
        <v>1</v>
      </c>
      <c r="AB92" s="2">
        <v>2</v>
      </c>
      <c r="AC92" s="2">
        <v>1</v>
      </c>
      <c r="AD92" s="2">
        <v>0</v>
      </c>
      <c r="AE92" s="2">
        <v>0</v>
      </c>
      <c r="AF92" s="2">
        <v>1</v>
      </c>
      <c r="AG92" s="20">
        <f t="shared" si="1"/>
        <v>100</v>
      </c>
    </row>
    <row r="93" spans="1:33" x14ac:dyDescent="0.25">
      <c r="A93">
        <v>92</v>
      </c>
      <c r="B93" s="2">
        <v>0</v>
      </c>
      <c r="C93" s="2">
        <v>12</v>
      </c>
      <c r="D93" s="2">
        <v>4</v>
      </c>
      <c r="E93" s="2">
        <v>0</v>
      </c>
      <c r="F93" s="2">
        <v>1</v>
      </c>
      <c r="G93" s="2">
        <v>0</v>
      </c>
      <c r="H93" s="2">
        <v>0</v>
      </c>
      <c r="I93" s="2">
        <v>0</v>
      </c>
      <c r="J93" s="2">
        <v>0</v>
      </c>
      <c r="K93" s="2">
        <v>1409</v>
      </c>
      <c r="L93" s="2">
        <v>0</v>
      </c>
      <c r="M93" s="2">
        <v>4</v>
      </c>
      <c r="N93" s="2">
        <v>4</v>
      </c>
      <c r="O93" s="2">
        <v>0</v>
      </c>
      <c r="P93" s="2">
        <v>1</v>
      </c>
      <c r="Q93" s="2">
        <v>0</v>
      </c>
      <c r="R93" s="2">
        <v>0</v>
      </c>
      <c r="S93" s="2">
        <v>0</v>
      </c>
      <c r="T93" s="2">
        <v>3</v>
      </c>
      <c r="U93" s="2">
        <v>1</v>
      </c>
      <c r="V93" s="2">
        <v>0</v>
      </c>
      <c r="W93" s="2">
        <v>54</v>
      </c>
      <c r="X93" s="2">
        <v>0</v>
      </c>
      <c r="Y93" s="2">
        <v>0</v>
      </c>
      <c r="Z93" s="2">
        <v>1</v>
      </c>
      <c r="AA93" s="2">
        <v>1</v>
      </c>
      <c r="AB93" s="2">
        <v>2</v>
      </c>
      <c r="AC93" s="2">
        <v>1</v>
      </c>
      <c r="AD93" s="2">
        <v>0</v>
      </c>
      <c r="AE93" s="2">
        <v>0</v>
      </c>
      <c r="AF93" s="2">
        <v>1</v>
      </c>
      <c r="AG93" s="20">
        <f t="shared" si="1"/>
        <v>100</v>
      </c>
    </row>
    <row r="94" spans="1:33" x14ac:dyDescent="0.25">
      <c r="A94">
        <v>93</v>
      </c>
      <c r="B94" s="2">
        <v>3</v>
      </c>
      <c r="C94" s="2">
        <v>12</v>
      </c>
      <c r="D94" s="2">
        <v>4</v>
      </c>
      <c r="E94" s="2">
        <v>0</v>
      </c>
      <c r="F94" s="2">
        <v>0</v>
      </c>
      <c r="G94" s="2">
        <v>0</v>
      </c>
      <c r="H94" s="2">
        <v>1</v>
      </c>
      <c r="I94" s="2">
        <v>0</v>
      </c>
      <c r="J94" s="2">
        <v>0</v>
      </c>
      <c r="K94" s="2">
        <v>797</v>
      </c>
      <c r="L94" s="2">
        <v>4</v>
      </c>
      <c r="M94" s="2">
        <v>4</v>
      </c>
      <c r="N94" s="2">
        <v>4</v>
      </c>
      <c r="O94" s="2">
        <v>0</v>
      </c>
      <c r="P94" s="2">
        <v>0</v>
      </c>
      <c r="Q94" s="2">
        <v>0</v>
      </c>
      <c r="R94" s="2">
        <v>0</v>
      </c>
      <c r="S94" s="2">
        <v>0</v>
      </c>
      <c r="T94" s="2">
        <v>3</v>
      </c>
      <c r="U94" s="2">
        <v>0</v>
      </c>
      <c r="V94" s="2">
        <v>0</v>
      </c>
      <c r="W94" s="2">
        <v>33</v>
      </c>
      <c r="X94" s="2">
        <v>1</v>
      </c>
      <c r="Y94" s="2">
        <v>0</v>
      </c>
      <c r="Z94" s="2">
        <v>1</v>
      </c>
      <c r="AA94" s="2">
        <v>1</v>
      </c>
      <c r="AB94" s="2">
        <v>1</v>
      </c>
      <c r="AC94" s="2">
        <v>2</v>
      </c>
      <c r="AD94" s="2">
        <v>0</v>
      </c>
      <c r="AE94" s="2">
        <v>0</v>
      </c>
      <c r="AF94" s="2">
        <v>0</v>
      </c>
      <c r="AG94" s="20">
        <f t="shared" si="1"/>
        <v>-500</v>
      </c>
    </row>
    <row r="95" spans="1:33" x14ac:dyDescent="0.25">
      <c r="A95">
        <v>94</v>
      </c>
      <c r="B95" s="2">
        <v>2</v>
      </c>
      <c r="C95" s="2">
        <v>24</v>
      </c>
      <c r="D95" s="2">
        <v>4</v>
      </c>
      <c r="E95" s="2">
        <v>0</v>
      </c>
      <c r="F95" s="2">
        <v>0</v>
      </c>
      <c r="G95" s="2">
        <v>1</v>
      </c>
      <c r="H95" s="2">
        <v>0</v>
      </c>
      <c r="I95" s="2">
        <v>0</v>
      </c>
      <c r="J95" s="2">
        <v>0</v>
      </c>
      <c r="K95" s="2">
        <v>3617</v>
      </c>
      <c r="L95" s="2">
        <v>4</v>
      </c>
      <c r="M95" s="2">
        <v>4</v>
      </c>
      <c r="N95" s="2">
        <v>4</v>
      </c>
      <c r="O95" s="2">
        <v>0</v>
      </c>
      <c r="P95" s="2">
        <v>1</v>
      </c>
      <c r="Q95" s="2">
        <v>0</v>
      </c>
      <c r="R95" s="2">
        <v>1</v>
      </c>
      <c r="S95" s="2">
        <v>0</v>
      </c>
      <c r="T95" s="2">
        <v>4</v>
      </c>
      <c r="U95" s="2">
        <v>0</v>
      </c>
      <c r="V95" s="2">
        <v>1</v>
      </c>
      <c r="W95" s="2">
        <v>20</v>
      </c>
      <c r="X95" s="2">
        <v>0</v>
      </c>
      <c r="Y95" s="2">
        <v>1</v>
      </c>
      <c r="Z95" s="2">
        <v>0</v>
      </c>
      <c r="AA95" s="2">
        <v>2</v>
      </c>
      <c r="AB95" s="2">
        <v>2</v>
      </c>
      <c r="AC95" s="2">
        <v>1</v>
      </c>
      <c r="AD95" s="2">
        <v>0</v>
      </c>
      <c r="AE95" s="2">
        <v>0</v>
      </c>
      <c r="AF95" s="2">
        <v>1</v>
      </c>
      <c r="AG95" s="20">
        <f t="shared" si="1"/>
        <v>100</v>
      </c>
    </row>
    <row r="96" spans="1:33" x14ac:dyDescent="0.25">
      <c r="A96">
        <v>95</v>
      </c>
      <c r="B96" s="2">
        <v>1</v>
      </c>
      <c r="C96" s="2">
        <v>12</v>
      </c>
      <c r="D96" s="2">
        <v>2</v>
      </c>
      <c r="E96" s="2">
        <v>1</v>
      </c>
      <c r="F96" s="2">
        <v>0</v>
      </c>
      <c r="G96" s="2">
        <v>0</v>
      </c>
      <c r="H96" s="2">
        <v>0</v>
      </c>
      <c r="I96" s="2">
        <v>0</v>
      </c>
      <c r="J96" s="2">
        <v>0</v>
      </c>
      <c r="K96" s="2">
        <v>1318</v>
      </c>
      <c r="L96" s="2">
        <v>3</v>
      </c>
      <c r="M96" s="2">
        <v>4</v>
      </c>
      <c r="N96" s="2">
        <v>4</v>
      </c>
      <c r="O96" s="2">
        <v>0</v>
      </c>
      <c r="P96" s="2">
        <v>1</v>
      </c>
      <c r="Q96" s="2">
        <v>0</v>
      </c>
      <c r="R96" s="2">
        <v>0</v>
      </c>
      <c r="S96" s="2">
        <v>0</v>
      </c>
      <c r="T96" s="2">
        <v>4</v>
      </c>
      <c r="U96" s="2">
        <v>1</v>
      </c>
      <c r="V96" s="2">
        <v>0</v>
      </c>
      <c r="W96" s="2">
        <v>54</v>
      </c>
      <c r="X96" s="2">
        <v>0</v>
      </c>
      <c r="Y96" s="2">
        <v>0</v>
      </c>
      <c r="Z96" s="2">
        <v>1</v>
      </c>
      <c r="AA96" s="2">
        <v>1</v>
      </c>
      <c r="AB96" s="2">
        <v>2</v>
      </c>
      <c r="AC96" s="2">
        <v>1</v>
      </c>
      <c r="AD96" s="2">
        <v>1</v>
      </c>
      <c r="AE96" s="2">
        <v>0</v>
      </c>
      <c r="AF96" s="2">
        <v>1</v>
      </c>
      <c r="AG96" s="20">
        <f t="shared" si="1"/>
        <v>100</v>
      </c>
    </row>
    <row r="97" spans="1:33" x14ac:dyDescent="0.25">
      <c r="A97">
        <v>96</v>
      </c>
      <c r="B97" s="2">
        <v>1</v>
      </c>
      <c r="C97" s="2">
        <v>54</v>
      </c>
      <c r="D97" s="2">
        <v>0</v>
      </c>
      <c r="E97" s="2">
        <v>0</v>
      </c>
      <c r="F97" s="2">
        <v>0</v>
      </c>
      <c r="G97" s="2">
        <v>0</v>
      </c>
      <c r="H97" s="2">
        <v>0</v>
      </c>
      <c r="I97" s="2">
        <v>0</v>
      </c>
      <c r="J97" s="2">
        <v>1</v>
      </c>
      <c r="K97" s="2">
        <v>15945</v>
      </c>
      <c r="L97" s="2">
        <v>0</v>
      </c>
      <c r="M97" s="2">
        <v>1</v>
      </c>
      <c r="N97" s="2">
        <v>3</v>
      </c>
      <c r="O97" s="2">
        <v>0</v>
      </c>
      <c r="P97" s="2">
        <v>1</v>
      </c>
      <c r="Q97" s="2">
        <v>0</v>
      </c>
      <c r="R97" s="2">
        <v>0</v>
      </c>
      <c r="S97" s="2">
        <v>0</v>
      </c>
      <c r="T97" s="2">
        <v>4</v>
      </c>
      <c r="U97" s="2">
        <v>0</v>
      </c>
      <c r="V97" s="2">
        <v>1</v>
      </c>
      <c r="W97" s="2">
        <v>58</v>
      </c>
      <c r="X97" s="2">
        <v>0</v>
      </c>
      <c r="Y97" s="2">
        <v>1</v>
      </c>
      <c r="Z97" s="2">
        <v>0</v>
      </c>
      <c r="AA97" s="2">
        <v>1</v>
      </c>
      <c r="AB97" s="2">
        <v>2</v>
      </c>
      <c r="AC97" s="2">
        <v>1</v>
      </c>
      <c r="AD97" s="2">
        <v>1</v>
      </c>
      <c r="AE97" s="2">
        <v>0</v>
      </c>
      <c r="AF97" s="2">
        <v>0</v>
      </c>
      <c r="AG97" s="20">
        <f t="shared" si="1"/>
        <v>-500</v>
      </c>
    </row>
    <row r="98" spans="1:33" x14ac:dyDescent="0.25">
      <c r="A98">
        <v>97</v>
      </c>
      <c r="B98" s="2">
        <v>3</v>
      </c>
      <c r="C98" s="2">
        <v>12</v>
      </c>
      <c r="D98" s="2">
        <v>4</v>
      </c>
      <c r="E98" s="2">
        <v>0</v>
      </c>
      <c r="F98" s="2">
        <v>0</v>
      </c>
      <c r="G98" s="2">
        <v>0</v>
      </c>
      <c r="H98" s="2">
        <v>0</v>
      </c>
      <c r="I98" s="2">
        <v>1</v>
      </c>
      <c r="J98" s="2">
        <v>0</v>
      </c>
      <c r="K98" s="2">
        <v>2012</v>
      </c>
      <c r="L98" s="2">
        <v>4</v>
      </c>
      <c r="M98" s="2">
        <v>3</v>
      </c>
      <c r="N98" s="2">
        <v>4</v>
      </c>
      <c r="O98" s="2">
        <v>0</v>
      </c>
      <c r="P98" s="2">
        <v>0</v>
      </c>
      <c r="Q98" s="2">
        <v>0</v>
      </c>
      <c r="R98" s="2">
        <v>0</v>
      </c>
      <c r="S98" s="2">
        <v>0</v>
      </c>
      <c r="T98" s="2">
        <v>2</v>
      </c>
      <c r="U98" s="2">
        <v>0</v>
      </c>
      <c r="V98" s="2">
        <v>0</v>
      </c>
      <c r="W98" s="2">
        <v>61</v>
      </c>
      <c r="X98" s="2">
        <v>0</v>
      </c>
      <c r="Y98" s="2">
        <v>0</v>
      </c>
      <c r="Z98" s="2">
        <v>1</v>
      </c>
      <c r="AA98" s="2">
        <v>1</v>
      </c>
      <c r="AB98" s="2">
        <v>2</v>
      </c>
      <c r="AC98" s="2">
        <v>1</v>
      </c>
      <c r="AD98" s="2">
        <v>0</v>
      </c>
      <c r="AE98" s="2">
        <v>0</v>
      </c>
      <c r="AF98" s="2">
        <v>1</v>
      </c>
      <c r="AG98" s="20">
        <f t="shared" si="1"/>
        <v>100</v>
      </c>
    </row>
    <row r="99" spans="1:33" x14ac:dyDescent="0.25">
      <c r="A99">
        <v>98</v>
      </c>
      <c r="B99" s="2">
        <v>1</v>
      </c>
      <c r="C99" s="2">
        <v>18</v>
      </c>
      <c r="D99" s="2">
        <v>2</v>
      </c>
      <c r="E99" s="2">
        <v>0</v>
      </c>
      <c r="F99" s="2">
        <v>0</v>
      </c>
      <c r="G99" s="2">
        <v>0</v>
      </c>
      <c r="H99" s="2">
        <v>0</v>
      </c>
      <c r="I99" s="2">
        <v>0</v>
      </c>
      <c r="J99" s="2">
        <v>1</v>
      </c>
      <c r="K99" s="2">
        <v>2622</v>
      </c>
      <c r="L99" s="2">
        <v>1</v>
      </c>
      <c r="M99" s="2">
        <v>2</v>
      </c>
      <c r="N99" s="2">
        <v>4</v>
      </c>
      <c r="O99" s="2">
        <v>0</v>
      </c>
      <c r="P99" s="2">
        <v>1</v>
      </c>
      <c r="Q99" s="2">
        <v>0</v>
      </c>
      <c r="R99" s="2">
        <v>0</v>
      </c>
      <c r="S99" s="2">
        <v>0</v>
      </c>
      <c r="T99" s="2">
        <v>4</v>
      </c>
      <c r="U99" s="2">
        <v>0</v>
      </c>
      <c r="V99" s="2">
        <v>0</v>
      </c>
      <c r="W99" s="2">
        <v>34</v>
      </c>
      <c r="X99" s="2">
        <v>0</v>
      </c>
      <c r="Y99" s="2">
        <v>0</v>
      </c>
      <c r="Z99" s="2">
        <v>1</v>
      </c>
      <c r="AA99" s="2">
        <v>1</v>
      </c>
      <c r="AB99" s="2">
        <v>2</v>
      </c>
      <c r="AC99" s="2">
        <v>1</v>
      </c>
      <c r="AD99" s="2">
        <v>0</v>
      </c>
      <c r="AE99" s="2">
        <v>0</v>
      </c>
      <c r="AF99" s="2">
        <v>1</v>
      </c>
      <c r="AG99" s="20">
        <f t="shared" si="1"/>
        <v>100</v>
      </c>
    </row>
    <row r="100" spans="1:33" x14ac:dyDescent="0.25">
      <c r="A100">
        <v>99</v>
      </c>
      <c r="B100" s="2">
        <v>1</v>
      </c>
      <c r="C100" s="2">
        <v>36</v>
      </c>
      <c r="D100" s="2">
        <v>4</v>
      </c>
      <c r="E100" s="2">
        <v>0</v>
      </c>
      <c r="F100" s="2">
        <v>0</v>
      </c>
      <c r="G100" s="2">
        <v>0</v>
      </c>
      <c r="H100" s="2">
        <v>1</v>
      </c>
      <c r="I100" s="2">
        <v>0</v>
      </c>
      <c r="J100" s="2">
        <v>0</v>
      </c>
      <c r="K100" s="2">
        <v>2337</v>
      </c>
      <c r="L100" s="2">
        <v>0</v>
      </c>
      <c r="M100" s="2">
        <v>4</v>
      </c>
      <c r="N100" s="2">
        <v>4</v>
      </c>
      <c r="O100" s="2">
        <v>0</v>
      </c>
      <c r="P100" s="2">
        <v>1</v>
      </c>
      <c r="Q100" s="2">
        <v>0</v>
      </c>
      <c r="R100" s="2">
        <v>0</v>
      </c>
      <c r="S100" s="2">
        <v>0</v>
      </c>
      <c r="T100" s="2">
        <v>4</v>
      </c>
      <c r="U100" s="2">
        <v>1</v>
      </c>
      <c r="V100" s="2">
        <v>0</v>
      </c>
      <c r="W100" s="2">
        <v>36</v>
      </c>
      <c r="X100" s="2">
        <v>0</v>
      </c>
      <c r="Y100" s="2">
        <v>0</v>
      </c>
      <c r="Z100" s="2">
        <v>1</v>
      </c>
      <c r="AA100" s="2">
        <v>1</v>
      </c>
      <c r="AB100" s="2">
        <v>2</v>
      </c>
      <c r="AC100" s="2">
        <v>1</v>
      </c>
      <c r="AD100" s="2">
        <v>0</v>
      </c>
      <c r="AE100" s="2">
        <v>0</v>
      </c>
      <c r="AF100" s="2">
        <v>1</v>
      </c>
      <c r="AG100" s="20">
        <f t="shared" si="1"/>
        <v>100</v>
      </c>
    </row>
    <row r="101" spans="1:33" x14ac:dyDescent="0.25">
      <c r="A101">
        <v>100</v>
      </c>
      <c r="B101" s="2">
        <v>1</v>
      </c>
      <c r="C101" s="2">
        <v>20</v>
      </c>
      <c r="D101" s="2">
        <v>3</v>
      </c>
      <c r="E101" s="2">
        <v>0</v>
      </c>
      <c r="F101" s="2">
        <v>1</v>
      </c>
      <c r="G101" s="2">
        <v>0</v>
      </c>
      <c r="H101" s="2">
        <v>0</v>
      </c>
      <c r="I101" s="2">
        <v>0</v>
      </c>
      <c r="J101" s="2">
        <v>0</v>
      </c>
      <c r="K101" s="2">
        <v>7057</v>
      </c>
      <c r="L101" s="2">
        <v>4</v>
      </c>
      <c r="M101" s="2">
        <v>3</v>
      </c>
      <c r="N101" s="2">
        <v>3</v>
      </c>
      <c r="O101" s="2">
        <v>0</v>
      </c>
      <c r="P101" s="2">
        <v>1</v>
      </c>
      <c r="Q101" s="2">
        <v>0</v>
      </c>
      <c r="R101" s="2">
        <v>0</v>
      </c>
      <c r="S101" s="2">
        <v>0</v>
      </c>
      <c r="T101" s="2">
        <v>4</v>
      </c>
      <c r="U101" s="2">
        <v>0</v>
      </c>
      <c r="V101" s="2">
        <v>0</v>
      </c>
      <c r="W101" s="2">
        <v>36</v>
      </c>
      <c r="X101" s="2">
        <v>1</v>
      </c>
      <c r="Y101" s="2">
        <v>1</v>
      </c>
      <c r="Z101" s="2">
        <v>0</v>
      </c>
      <c r="AA101" s="2">
        <v>2</v>
      </c>
      <c r="AB101" s="2">
        <v>3</v>
      </c>
      <c r="AC101" s="2">
        <v>2</v>
      </c>
      <c r="AD101" s="2">
        <v>1</v>
      </c>
      <c r="AE101" s="2">
        <v>0</v>
      </c>
      <c r="AF101" s="2">
        <v>1</v>
      </c>
      <c r="AG101" s="20">
        <f t="shared" si="1"/>
        <v>100</v>
      </c>
    </row>
    <row r="102" spans="1:33" x14ac:dyDescent="0.25">
      <c r="A102">
        <v>101</v>
      </c>
      <c r="B102" s="2">
        <v>3</v>
      </c>
      <c r="C102" s="2">
        <v>24</v>
      </c>
      <c r="D102" s="2">
        <v>2</v>
      </c>
      <c r="E102" s="2">
        <v>1</v>
      </c>
      <c r="F102" s="2">
        <v>0</v>
      </c>
      <c r="G102" s="2">
        <v>0</v>
      </c>
      <c r="H102" s="2">
        <v>0</v>
      </c>
      <c r="I102" s="2">
        <v>0</v>
      </c>
      <c r="J102" s="2">
        <v>0</v>
      </c>
      <c r="K102" s="2">
        <v>1469</v>
      </c>
      <c r="L102" s="2">
        <v>1</v>
      </c>
      <c r="M102" s="2">
        <v>4</v>
      </c>
      <c r="N102" s="2">
        <v>4</v>
      </c>
      <c r="O102" s="2">
        <v>0</v>
      </c>
      <c r="P102" s="2">
        <v>0</v>
      </c>
      <c r="Q102" s="2">
        <v>1</v>
      </c>
      <c r="R102" s="2">
        <v>0</v>
      </c>
      <c r="S102" s="2">
        <v>0</v>
      </c>
      <c r="T102" s="2">
        <v>4</v>
      </c>
      <c r="U102" s="2">
        <v>1</v>
      </c>
      <c r="V102" s="2">
        <v>0</v>
      </c>
      <c r="W102" s="2">
        <v>41</v>
      </c>
      <c r="X102" s="2">
        <v>0</v>
      </c>
      <c r="Y102" s="2">
        <v>1</v>
      </c>
      <c r="Z102" s="2">
        <v>0</v>
      </c>
      <c r="AA102" s="2">
        <v>1</v>
      </c>
      <c r="AB102" s="2">
        <v>1</v>
      </c>
      <c r="AC102" s="2">
        <v>1</v>
      </c>
      <c r="AD102" s="2">
        <v>0</v>
      </c>
      <c r="AE102" s="2">
        <v>0</v>
      </c>
      <c r="AF102" s="2">
        <v>1</v>
      </c>
      <c r="AG102" s="20">
        <f t="shared" si="1"/>
        <v>100</v>
      </c>
    </row>
    <row r="103" spans="1:33" x14ac:dyDescent="0.25">
      <c r="A103">
        <v>102</v>
      </c>
      <c r="B103" s="2">
        <v>1</v>
      </c>
      <c r="C103" s="2">
        <v>36</v>
      </c>
      <c r="D103" s="2">
        <v>2</v>
      </c>
      <c r="E103" s="2">
        <v>0</v>
      </c>
      <c r="F103" s="2">
        <v>0</v>
      </c>
      <c r="G103" s="2">
        <v>0</v>
      </c>
      <c r="H103" s="2">
        <v>1</v>
      </c>
      <c r="I103" s="2">
        <v>0</v>
      </c>
      <c r="J103" s="2">
        <v>0</v>
      </c>
      <c r="K103" s="2">
        <v>2323</v>
      </c>
      <c r="L103" s="2">
        <v>0</v>
      </c>
      <c r="M103" s="2">
        <v>3</v>
      </c>
      <c r="N103" s="2">
        <v>4</v>
      </c>
      <c r="O103" s="2">
        <v>0</v>
      </c>
      <c r="P103" s="2">
        <v>1</v>
      </c>
      <c r="Q103" s="2">
        <v>0</v>
      </c>
      <c r="R103" s="2">
        <v>0</v>
      </c>
      <c r="S103" s="2">
        <v>0</v>
      </c>
      <c r="T103" s="2">
        <v>4</v>
      </c>
      <c r="U103" s="2">
        <v>0</v>
      </c>
      <c r="V103" s="2">
        <v>0</v>
      </c>
      <c r="W103" s="2">
        <v>24</v>
      </c>
      <c r="X103" s="2">
        <v>0</v>
      </c>
      <c r="Y103" s="2">
        <v>1</v>
      </c>
      <c r="Z103" s="2">
        <v>0</v>
      </c>
      <c r="AA103" s="2">
        <v>1</v>
      </c>
      <c r="AB103" s="2">
        <v>2</v>
      </c>
      <c r="AC103" s="2">
        <v>1</v>
      </c>
      <c r="AD103" s="2">
        <v>0</v>
      </c>
      <c r="AE103" s="2">
        <v>0</v>
      </c>
      <c r="AF103" s="2">
        <v>1</v>
      </c>
      <c r="AG103" s="20">
        <f t="shared" si="1"/>
        <v>100</v>
      </c>
    </row>
    <row r="104" spans="1:33" x14ac:dyDescent="0.25">
      <c r="A104">
        <v>103</v>
      </c>
      <c r="B104" s="2">
        <v>3</v>
      </c>
      <c r="C104" s="2">
        <v>6</v>
      </c>
      <c r="D104" s="2">
        <v>3</v>
      </c>
      <c r="E104" s="2">
        <v>0</v>
      </c>
      <c r="F104" s="2">
        <v>0</v>
      </c>
      <c r="G104" s="2">
        <v>0</v>
      </c>
      <c r="H104" s="2">
        <v>1</v>
      </c>
      <c r="I104" s="2">
        <v>0</v>
      </c>
      <c r="J104" s="2">
        <v>0</v>
      </c>
      <c r="K104" s="2">
        <v>932</v>
      </c>
      <c r="L104" s="2">
        <v>0</v>
      </c>
      <c r="M104" s="2">
        <v>2</v>
      </c>
      <c r="N104" s="2">
        <v>3</v>
      </c>
      <c r="O104" s="2">
        <v>0</v>
      </c>
      <c r="P104" s="2">
        <v>0</v>
      </c>
      <c r="Q104" s="2">
        <v>0</v>
      </c>
      <c r="R104" s="2">
        <v>0</v>
      </c>
      <c r="S104" s="2">
        <v>0</v>
      </c>
      <c r="T104" s="2">
        <v>2</v>
      </c>
      <c r="U104" s="2">
        <v>1</v>
      </c>
      <c r="V104" s="2">
        <v>0</v>
      </c>
      <c r="W104" s="2">
        <v>24</v>
      </c>
      <c r="X104" s="2">
        <v>0</v>
      </c>
      <c r="Y104" s="2">
        <v>0</v>
      </c>
      <c r="Z104" s="2">
        <v>1</v>
      </c>
      <c r="AA104" s="2">
        <v>1</v>
      </c>
      <c r="AB104" s="2">
        <v>2</v>
      </c>
      <c r="AC104" s="2">
        <v>1</v>
      </c>
      <c r="AD104" s="2">
        <v>0</v>
      </c>
      <c r="AE104" s="2">
        <v>0</v>
      </c>
      <c r="AF104" s="2">
        <v>1</v>
      </c>
      <c r="AG104" s="20">
        <f t="shared" si="1"/>
        <v>100</v>
      </c>
    </row>
    <row r="105" spans="1:33" x14ac:dyDescent="0.25">
      <c r="A105">
        <v>104</v>
      </c>
      <c r="B105" s="2">
        <v>1</v>
      </c>
      <c r="C105" s="2">
        <v>9</v>
      </c>
      <c r="D105" s="2">
        <v>4</v>
      </c>
      <c r="E105" s="2">
        <v>0</v>
      </c>
      <c r="F105" s="2">
        <v>0</v>
      </c>
      <c r="G105" s="2">
        <v>1</v>
      </c>
      <c r="H105" s="2">
        <v>0</v>
      </c>
      <c r="I105" s="2">
        <v>0</v>
      </c>
      <c r="J105" s="2">
        <v>0</v>
      </c>
      <c r="K105" s="2">
        <v>1919</v>
      </c>
      <c r="L105" s="2">
        <v>0</v>
      </c>
      <c r="M105" s="2">
        <v>3</v>
      </c>
      <c r="N105" s="2">
        <v>4</v>
      </c>
      <c r="O105" s="2">
        <v>0</v>
      </c>
      <c r="P105" s="2">
        <v>1</v>
      </c>
      <c r="Q105" s="2">
        <v>0</v>
      </c>
      <c r="R105" s="2">
        <v>0</v>
      </c>
      <c r="S105" s="2">
        <v>0</v>
      </c>
      <c r="T105" s="2">
        <v>3</v>
      </c>
      <c r="U105" s="2">
        <v>0</v>
      </c>
      <c r="V105" s="2">
        <v>0</v>
      </c>
      <c r="W105" s="2">
        <v>35</v>
      </c>
      <c r="X105" s="2">
        <v>0</v>
      </c>
      <c r="Y105" s="2">
        <v>1</v>
      </c>
      <c r="Z105" s="2">
        <v>0</v>
      </c>
      <c r="AA105" s="2">
        <v>1</v>
      </c>
      <c r="AB105" s="2">
        <v>2</v>
      </c>
      <c r="AC105" s="2">
        <v>1</v>
      </c>
      <c r="AD105" s="2">
        <v>1</v>
      </c>
      <c r="AE105" s="2">
        <v>0</v>
      </c>
      <c r="AF105" s="2">
        <v>1</v>
      </c>
      <c r="AG105" s="20">
        <f t="shared" si="1"/>
        <v>100</v>
      </c>
    </row>
    <row r="106" spans="1:33" x14ac:dyDescent="0.25">
      <c r="A106">
        <v>105</v>
      </c>
      <c r="B106" s="2">
        <v>3</v>
      </c>
      <c r="C106" s="2">
        <v>12</v>
      </c>
      <c r="D106" s="2">
        <v>2</v>
      </c>
      <c r="E106" s="2">
        <v>0</v>
      </c>
      <c r="F106" s="2">
        <v>1</v>
      </c>
      <c r="G106" s="2">
        <v>0</v>
      </c>
      <c r="H106" s="2">
        <v>0</v>
      </c>
      <c r="I106" s="2">
        <v>0</v>
      </c>
      <c r="J106" s="2">
        <v>0</v>
      </c>
      <c r="K106" s="2">
        <v>2445</v>
      </c>
      <c r="L106" s="2">
        <v>4</v>
      </c>
      <c r="M106" s="2">
        <v>1</v>
      </c>
      <c r="N106" s="2">
        <v>2</v>
      </c>
      <c r="O106" s="2">
        <v>0</v>
      </c>
      <c r="P106" s="2">
        <v>0</v>
      </c>
      <c r="Q106" s="2">
        <v>1</v>
      </c>
      <c r="R106" s="2">
        <v>0</v>
      </c>
      <c r="S106" s="2">
        <v>0</v>
      </c>
      <c r="T106" s="2">
        <v>4</v>
      </c>
      <c r="U106" s="2">
        <v>0</v>
      </c>
      <c r="V106" s="2">
        <v>0</v>
      </c>
      <c r="W106" s="2">
        <v>26</v>
      </c>
      <c r="X106" s="2">
        <v>0</v>
      </c>
      <c r="Y106" s="2">
        <v>1</v>
      </c>
      <c r="Z106" s="2">
        <v>0</v>
      </c>
      <c r="AA106" s="2">
        <v>1</v>
      </c>
      <c r="AB106" s="2">
        <v>2</v>
      </c>
      <c r="AC106" s="2">
        <v>1</v>
      </c>
      <c r="AD106" s="2">
        <v>1</v>
      </c>
      <c r="AE106" s="2">
        <v>0</v>
      </c>
      <c r="AF106" s="2">
        <v>1</v>
      </c>
      <c r="AG106" s="20">
        <f t="shared" si="1"/>
        <v>100</v>
      </c>
    </row>
    <row r="107" spans="1:33" x14ac:dyDescent="0.25">
      <c r="A107">
        <v>106</v>
      </c>
      <c r="B107" s="2">
        <v>1</v>
      </c>
      <c r="C107" s="2">
        <v>24</v>
      </c>
      <c r="D107" s="2">
        <v>4</v>
      </c>
      <c r="E107" s="2">
        <v>0</v>
      </c>
      <c r="F107" s="2">
        <v>0</v>
      </c>
      <c r="G107" s="2">
        <v>0</v>
      </c>
      <c r="H107" s="2">
        <v>0</v>
      </c>
      <c r="I107" s="2">
        <v>0</v>
      </c>
      <c r="J107" s="2">
        <v>0</v>
      </c>
      <c r="K107" s="2">
        <v>11938</v>
      </c>
      <c r="L107" s="2">
        <v>0</v>
      </c>
      <c r="M107" s="2">
        <v>2</v>
      </c>
      <c r="N107" s="2">
        <v>2</v>
      </c>
      <c r="O107" s="2">
        <v>0</v>
      </c>
      <c r="P107" s="2">
        <v>1</v>
      </c>
      <c r="Q107" s="2">
        <v>0</v>
      </c>
      <c r="R107" s="2">
        <v>1</v>
      </c>
      <c r="S107" s="2">
        <v>0</v>
      </c>
      <c r="T107" s="2">
        <v>3</v>
      </c>
      <c r="U107" s="2">
        <v>0</v>
      </c>
      <c r="V107" s="2">
        <v>0</v>
      </c>
      <c r="W107" s="2">
        <v>39</v>
      </c>
      <c r="X107" s="2">
        <v>0</v>
      </c>
      <c r="Y107" s="2">
        <v>0</v>
      </c>
      <c r="Z107" s="2">
        <v>1</v>
      </c>
      <c r="AA107" s="2">
        <v>2</v>
      </c>
      <c r="AB107" s="2">
        <v>3</v>
      </c>
      <c r="AC107" s="2">
        <v>2</v>
      </c>
      <c r="AD107" s="2">
        <v>1</v>
      </c>
      <c r="AE107" s="2">
        <v>0</v>
      </c>
      <c r="AF107" s="2">
        <v>0</v>
      </c>
      <c r="AG107" s="20">
        <f t="shared" si="1"/>
        <v>-500</v>
      </c>
    </row>
    <row r="108" spans="1:33" x14ac:dyDescent="0.25">
      <c r="A108">
        <v>107</v>
      </c>
      <c r="B108" s="2">
        <v>3</v>
      </c>
      <c r="C108" s="2">
        <v>18</v>
      </c>
      <c r="D108" s="2">
        <v>1</v>
      </c>
      <c r="E108" s="2">
        <v>1</v>
      </c>
      <c r="F108" s="2">
        <v>0</v>
      </c>
      <c r="G108" s="2">
        <v>0</v>
      </c>
      <c r="H108" s="2">
        <v>0</v>
      </c>
      <c r="I108" s="2">
        <v>0</v>
      </c>
      <c r="J108" s="2">
        <v>0</v>
      </c>
      <c r="K108" s="2">
        <v>6458</v>
      </c>
      <c r="L108" s="2">
        <v>0</v>
      </c>
      <c r="M108" s="2">
        <v>4</v>
      </c>
      <c r="N108" s="2">
        <v>2</v>
      </c>
      <c r="O108" s="2">
        <v>0</v>
      </c>
      <c r="P108" s="2">
        <v>1</v>
      </c>
      <c r="Q108" s="2">
        <v>0</v>
      </c>
      <c r="R108" s="2">
        <v>0</v>
      </c>
      <c r="S108" s="2">
        <v>0</v>
      </c>
      <c r="T108" s="2">
        <v>4</v>
      </c>
      <c r="U108" s="2">
        <v>0</v>
      </c>
      <c r="V108" s="2">
        <v>1</v>
      </c>
      <c r="W108" s="2">
        <v>39</v>
      </c>
      <c r="X108" s="2">
        <v>1</v>
      </c>
      <c r="Y108" s="2">
        <v>0</v>
      </c>
      <c r="Z108" s="2">
        <v>1</v>
      </c>
      <c r="AA108" s="2">
        <v>2</v>
      </c>
      <c r="AB108" s="2">
        <v>3</v>
      </c>
      <c r="AC108" s="2">
        <v>2</v>
      </c>
      <c r="AD108" s="2">
        <v>1</v>
      </c>
      <c r="AE108" s="2">
        <v>0</v>
      </c>
      <c r="AF108" s="2">
        <v>0</v>
      </c>
      <c r="AG108" s="20">
        <f t="shared" si="1"/>
        <v>-500</v>
      </c>
    </row>
    <row r="109" spans="1:33" x14ac:dyDescent="0.25">
      <c r="A109">
        <v>108</v>
      </c>
      <c r="B109" s="2">
        <v>1</v>
      </c>
      <c r="C109" s="2">
        <v>12</v>
      </c>
      <c r="D109" s="2">
        <v>2</v>
      </c>
      <c r="E109" s="2">
        <v>1</v>
      </c>
      <c r="F109" s="2">
        <v>0</v>
      </c>
      <c r="G109" s="2">
        <v>0</v>
      </c>
      <c r="H109" s="2">
        <v>0</v>
      </c>
      <c r="I109" s="2">
        <v>0</v>
      </c>
      <c r="J109" s="2">
        <v>0</v>
      </c>
      <c r="K109" s="2">
        <v>6078</v>
      </c>
      <c r="L109" s="2">
        <v>0</v>
      </c>
      <c r="M109" s="2">
        <v>3</v>
      </c>
      <c r="N109" s="2">
        <v>2</v>
      </c>
      <c r="O109" s="2">
        <v>0</v>
      </c>
      <c r="P109" s="2">
        <v>1</v>
      </c>
      <c r="Q109" s="2">
        <v>0</v>
      </c>
      <c r="R109" s="2">
        <v>0</v>
      </c>
      <c r="S109" s="2">
        <v>0</v>
      </c>
      <c r="T109" s="2">
        <v>2</v>
      </c>
      <c r="U109" s="2">
        <v>0</v>
      </c>
      <c r="V109" s="2">
        <v>0</v>
      </c>
      <c r="W109" s="2">
        <v>32</v>
      </c>
      <c r="X109" s="2">
        <v>0</v>
      </c>
      <c r="Y109" s="2">
        <v>0</v>
      </c>
      <c r="Z109" s="2">
        <v>1</v>
      </c>
      <c r="AA109" s="2">
        <v>1</v>
      </c>
      <c r="AB109" s="2">
        <v>2</v>
      </c>
      <c r="AC109" s="2">
        <v>1</v>
      </c>
      <c r="AD109" s="2">
        <v>0</v>
      </c>
      <c r="AE109" s="2">
        <v>0</v>
      </c>
      <c r="AF109" s="2">
        <v>1</v>
      </c>
      <c r="AG109" s="20">
        <f t="shared" si="1"/>
        <v>100</v>
      </c>
    </row>
    <row r="110" spans="1:33" x14ac:dyDescent="0.25">
      <c r="A110">
        <v>109</v>
      </c>
      <c r="B110" s="2">
        <v>0</v>
      </c>
      <c r="C110" s="2">
        <v>24</v>
      </c>
      <c r="D110" s="2">
        <v>2</v>
      </c>
      <c r="E110" s="2">
        <v>0</v>
      </c>
      <c r="F110" s="2">
        <v>0</v>
      </c>
      <c r="G110" s="2">
        <v>1</v>
      </c>
      <c r="H110" s="2">
        <v>0</v>
      </c>
      <c r="I110" s="2">
        <v>0</v>
      </c>
      <c r="J110" s="2">
        <v>0</v>
      </c>
      <c r="K110" s="2">
        <v>7721</v>
      </c>
      <c r="L110" s="2">
        <v>4</v>
      </c>
      <c r="M110" s="2">
        <v>1</v>
      </c>
      <c r="N110" s="2">
        <v>1</v>
      </c>
      <c r="O110" s="2">
        <v>0</v>
      </c>
      <c r="P110" s="2">
        <v>0</v>
      </c>
      <c r="Q110" s="2">
        <v>0</v>
      </c>
      <c r="R110" s="2">
        <v>0</v>
      </c>
      <c r="S110" s="2">
        <v>0</v>
      </c>
      <c r="T110" s="2">
        <v>2</v>
      </c>
      <c r="U110" s="2">
        <v>0</v>
      </c>
      <c r="V110" s="2">
        <v>0</v>
      </c>
      <c r="W110" s="2">
        <v>30</v>
      </c>
      <c r="X110" s="2">
        <v>0</v>
      </c>
      <c r="Y110" s="2">
        <v>0</v>
      </c>
      <c r="Z110" s="2">
        <v>1</v>
      </c>
      <c r="AA110" s="2">
        <v>1</v>
      </c>
      <c r="AB110" s="2">
        <v>2</v>
      </c>
      <c r="AC110" s="2">
        <v>1</v>
      </c>
      <c r="AD110" s="2">
        <v>1</v>
      </c>
      <c r="AE110" s="2">
        <v>1</v>
      </c>
      <c r="AF110" s="2">
        <v>1</v>
      </c>
      <c r="AG110" s="20">
        <f t="shared" si="1"/>
        <v>100</v>
      </c>
    </row>
    <row r="111" spans="1:33" x14ac:dyDescent="0.25">
      <c r="A111">
        <v>110</v>
      </c>
      <c r="B111" s="2">
        <v>1</v>
      </c>
      <c r="C111" s="2">
        <v>14</v>
      </c>
      <c r="D111" s="2">
        <v>2</v>
      </c>
      <c r="E111" s="2">
        <v>0</v>
      </c>
      <c r="F111" s="2">
        <v>0</v>
      </c>
      <c r="G111" s="2">
        <v>0</v>
      </c>
      <c r="H111" s="2">
        <v>0</v>
      </c>
      <c r="I111" s="2">
        <v>0</v>
      </c>
      <c r="J111" s="2">
        <v>1</v>
      </c>
      <c r="K111" s="2">
        <v>1410</v>
      </c>
      <c r="L111" s="2">
        <v>2</v>
      </c>
      <c r="M111" s="2">
        <v>4</v>
      </c>
      <c r="N111" s="2">
        <v>1</v>
      </c>
      <c r="O111" s="2">
        <v>0</v>
      </c>
      <c r="P111" s="2">
        <v>0</v>
      </c>
      <c r="Q111" s="2">
        <v>1</v>
      </c>
      <c r="R111" s="2">
        <v>0</v>
      </c>
      <c r="S111" s="2">
        <v>0</v>
      </c>
      <c r="T111" s="2">
        <v>2</v>
      </c>
      <c r="U111" s="2">
        <v>1</v>
      </c>
      <c r="V111" s="2">
        <v>0</v>
      </c>
      <c r="W111" s="2">
        <v>35</v>
      </c>
      <c r="X111" s="2">
        <v>0</v>
      </c>
      <c r="Y111" s="2">
        <v>0</v>
      </c>
      <c r="Z111" s="2">
        <v>1</v>
      </c>
      <c r="AA111" s="2">
        <v>1</v>
      </c>
      <c r="AB111" s="2">
        <v>2</v>
      </c>
      <c r="AC111" s="2">
        <v>1</v>
      </c>
      <c r="AD111" s="2">
        <v>1</v>
      </c>
      <c r="AE111" s="2">
        <v>0</v>
      </c>
      <c r="AF111" s="2">
        <v>1</v>
      </c>
      <c r="AG111" s="20">
        <f t="shared" si="1"/>
        <v>100</v>
      </c>
    </row>
    <row r="112" spans="1:33" x14ac:dyDescent="0.25">
      <c r="A112">
        <v>111</v>
      </c>
      <c r="B112" s="2">
        <v>1</v>
      </c>
      <c r="C112" s="2">
        <v>6</v>
      </c>
      <c r="D112" s="2">
        <v>3</v>
      </c>
      <c r="E112" s="2">
        <v>0</v>
      </c>
      <c r="F112" s="2">
        <v>0</v>
      </c>
      <c r="G112" s="2">
        <v>0</v>
      </c>
      <c r="H112" s="2">
        <v>0</v>
      </c>
      <c r="I112" s="2">
        <v>0</v>
      </c>
      <c r="J112" s="2">
        <v>1</v>
      </c>
      <c r="K112" s="2">
        <v>1449</v>
      </c>
      <c r="L112" s="2">
        <v>1</v>
      </c>
      <c r="M112" s="2">
        <v>4</v>
      </c>
      <c r="N112" s="2">
        <v>1</v>
      </c>
      <c r="O112" s="2">
        <v>1</v>
      </c>
      <c r="P112" s="2">
        <v>0</v>
      </c>
      <c r="Q112" s="2">
        <v>0</v>
      </c>
      <c r="R112" s="2">
        <v>0</v>
      </c>
      <c r="S112" s="2">
        <v>0</v>
      </c>
      <c r="T112" s="2">
        <v>2</v>
      </c>
      <c r="U112" s="2">
        <v>0</v>
      </c>
      <c r="V112" s="2">
        <v>0</v>
      </c>
      <c r="W112" s="2">
        <v>31</v>
      </c>
      <c r="X112" s="2">
        <v>1</v>
      </c>
      <c r="Y112" s="2">
        <v>0</v>
      </c>
      <c r="Z112" s="2">
        <v>1</v>
      </c>
      <c r="AA112" s="2">
        <v>2</v>
      </c>
      <c r="AB112" s="2">
        <v>2</v>
      </c>
      <c r="AC112" s="2">
        <v>2</v>
      </c>
      <c r="AD112" s="2">
        <v>0</v>
      </c>
      <c r="AE112" s="2">
        <v>0</v>
      </c>
      <c r="AF112" s="2">
        <v>1</v>
      </c>
      <c r="AG112" s="20">
        <f t="shared" si="1"/>
        <v>100</v>
      </c>
    </row>
    <row r="113" spans="1:33" x14ac:dyDescent="0.25">
      <c r="A113">
        <v>112</v>
      </c>
      <c r="B113" s="2">
        <v>2</v>
      </c>
      <c r="C113" s="2">
        <v>15</v>
      </c>
      <c r="D113" s="2">
        <v>2</v>
      </c>
      <c r="E113" s="2">
        <v>0</v>
      </c>
      <c r="F113" s="2">
        <v>0</v>
      </c>
      <c r="G113" s="2">
        <v>0</v>
      </c>
      <c r="H113" s="2">
        <v>0</v>
      </c>
      <c r="I113" s="2">
        <v>1</v>
      </c>
      <c r="J113" s="2">
        <v>0</v>
      </c>
      <c r="K113" s="2">
        <v>392</v>
      </c>
      <c r="L113" s="2">
        <v>0</v>
      </c>
      <c r="M113" s="2">
        <v>1</v>
      </c>
      <c r="N113" s="2">
        <v>4</v>
      </c>
      <c r="O113" s="2">
        <v>0</v>
      </c>
      <c r="P113" s="2">
        <v>0</v>
      </c>
      <c r="Q113" s="2">
        <v>0</v>
      </c>
      <c r="R113" s="2">
        <v>0</v>
      </c>
      <c r="S113" s="2">
        <v>0</v>
      </c>
      <c r="T113" s="2">
        <v>4</v>
      </c>
      <c r="U113" s="2">
        <v>0</v>
      </c>
      <c r="V113" s="2">
        <v>0</v>
      </c>
      <c r="W113" s="2">
        <v>23</v>
      </c>
      <c r="X113" s="2">
        <v>0</v>
      </c>
      <c r="Y113" s="2">
        <v>1</v>
      </c>
      <c r="Z113" s="2">
        <v>0</v>
      </c>
      <c r="AA113" s="2">
        <v>1</v>
      </c>
      <c r="AB113" s="2">
        <v>2</v>
      </c>
      <c r="AC113" s="2">
        <v>1</v>
      </c>
      <c r="AD113" s="2">
        <v>1</v>
      </c>
      <c r="AE113" s="2">
        <v>0</v>
      </c>
      <c r="AF113" s="2">
        <v>1</v>
      </c>
      <c r="AG113" s="20">
        <f t="shared" si="1"/>
        <v>100</v>
      </c>
    </row>
    <row r="114" spans="1:33" x14ac:dyDescent="0.25">
      <c r="A114">
        <v>113</v>
      </c>
      <c r="B114" s="2">
        <v>1</v>
      </c>
      <c r="C114" s="2">
        <v>18</v>
      </c>
      <c r="D114" s="2">
        <v>2</v>
      </c>
      <c r="E114" s="2">
        <v>1</v>
      </c>
      <c r="F114" s="2">
        <v>0</v>
      </c>
      <c r="G114" s="2">
        <v>0</v>
      </c>
      <c r="H114" s="2">
        <v>0</v>
      </c>
      <c r="I114" s="2">
        <v>0</v>
      </c>
      <c r="J114" s="2">
        <v>0</v>
      </c>
      <c r="K114" s="2">
        <v>6260</v>
      </c>
      <c r="L114" s="2">
        <v>0</v>
      </c>
      <c r="M114" s="2">
        <v>3</v>
      </c>
      <c r="N114" s="2">
        <v>3</v>
      </c>
      <c r="O114" s="2">
        <v>0</v>
      </c>
      <c r="P114" s="2">
        <v>1</v>
      </c>
      <c r="Q114" s="2">
        <v>0</v>
      </c>
      <c r="R114" s="2">
        <v>0</v>
      </c>
      <c r="S114" s="2">
        <v>0</v>
      </c>
      <c r="T114" s="2">
        <v>3</v>
      </c>
      <c r="U114" s="2">
        <v>1</v>
      </c>
      <c r="V114" s="2">
        <v>0</v>
      </c>
      <c r="W114" s="2">
        <v>28</v>
      </c>
      <c r="X114" s="2">
        <v>0</v>
      </c>
      <c r="Y114" s="2">
        <v>1</v>
      </c>
      <c r="Z114" s="2">
        <v>0</v>
      </c>
      <c r="AA114" s="2">
        <v>1</v>
      </c>
      <c r="AB114" s="2">
        <v>1</v>
      </c>
      <c r="AC114" s="2">
        <v>1</v>
      </c>
      <c r="AD114" s="2">
        <v>0</v>
      </c>
      <c r="AE114" s="2">
        <v>0</v>
      </c>
      <c r="AF114" s="2">
        <v>1</v>
      </c>
      <c r="AG114" s="20">
        <f t="shared" si="1"/>
        <v>100</v>
      </c>
    </row>
    <row r="115" spans="1:33" x14ac:dyDescent="0.25">
      <c r="A115">
        <v>114</v>
      </c>
      <c r="B115" s="2">
        <v>3</v>
      </c>
      <c r="C115" s="2">
        <v>36</v>
      </c>
      <c r="D115" s="2">
        <v>4</v>
      </c>
      <c r="E115" s="2">
        <v>1</v>
      </c>
      <c r="F115" s="2">
        <v>0</v>
      </c>
      <c r="G115" s="2">
        <v>0</v>
      </c>
      <c r="H115" s="2">
        <v>0</v>
      </c>
      <c r="I115" s="2">
        <v>0</v>
      </c>
      <c r="J115" s="2">
        <v>0</v>
      </c>
      <c r="K115" s="2">
        <v>7855</v>
      </c>
      <c r="L115" s="2">
        <v>0</v>
      </c>
      <c r="M115" s="2">
        <v>2</v>
      </c>
      <c r="N115" s="2">
        <v>4</v>
      </c>
      <c r="O115" s="2">
        <v>0</v>
      </c>
      <c r="P115" s="2">
        <v>0</v>
      </c>
      <c r="Q115" s="2">
        <v>0</v>
      </c>
      <c r="R115" s="2">
        <v>0</v>
      </c>
      <c r="S115" s="2">
        <v>0</v>
      </c>
      <c r="T115" s="2">
        <v>2</v>
      </c>
      <c r="U115" s="2">
        <v>1</v>
      </c>
      <c r="V115" s="2">
        <v>0</v>
      </c>
      <c r="W115" s="2">
        <v>25</v>
      </c>
      <c r="X115" s="2">
        <v>1</v>
      </c>
      <c r="Y115" s="2">
        <v>0</v>
      </c>
      <c r="Z115" s="2">
        <v>1</v>
      </c>
      <c r="AA115" s="2">
        <v>2</v>
      </c>
      <c r="AB115" s="2">
        <v>2</v>
      </c>
      <c r="AC115" s="2">
        <v>1</v>
      </c>
      <c r="AD115" s="2">
        <v>1</v>
      </c>
      <c r="AE115" s="2">
        <v>0</v>
      </c>
      <c r="AF115" s="2">
        <v>0</v>
      </c>
      <c r="AG115" s="20">
        <f t="shared" si="1"/>
        <v>-500</v>
      </c>
    </row>
    <row r="116" spans="1:33" x14ac:dyDescent="0.25">
      <c r="A116">
        <v>115</v>
      </c>
      <c r="B116" s="2">
        <v>0</v>
      </c>
      <c r="C116" s="2">
        <v>12</v>
      </c>
      <c r="D116" s="2">
        <v>2</v>
      </c>
      <c r="E116" s="2">
        <v>0</v>
      </c>
      <c r="F116" s="2">
        <v>0</v>
      </c>
      <c r="G116" s="2">
        <v>0</v>
      </c>
      <c r="H116" s="2">
        <v>1</v>
      </c>
      <c r="I116" s="2">
        <v>0</v>
      </c>
      <c r="J116" s="2">
        <v>0</v>
      </c>
      <c r="K116" s="2">
        <v>1680</v>
      </c>
      <c r="L116" s="2">
        <v>2</v>
      </c>
      <c r="M116" s="2">
        <v>4</v>
      </c>
      <c r="N116" s="2">
        <v>3</v>
      </c>
      <c r="O116" s="2">
        <v>0</v>
      </c>
      <c r="P116" s="2">
        <v>0</v>
      </c>
      <c r="Q116" s="2">
        <v>1</v>
      </c>
      <c r="R116" s="2">
        <v>0</v>
      </c>
      <c r="S116" s="2">
        <v>0</v>
      </c>
      <c r="T116" s="2">
        <v>1</v>
      </c>
      <c r="U116" s="2">
        <v>1</v>
      </c>
      <c r="V116" s="2">
        <v>0</v>
      </c>
      <c r="W116" s="2">
        <v>35</v>
      </c>
      <c r="X116" s="2">
        <v>0</v>
      </c>
      <c r="Y116" s="2">
        <v>0</v>
      </c>
      <c r="Z116" s="2">
        <v>1</v>
      </c>
      <c r="AA116" s="2">
        <v>1</v>
      </c>
      <c r="AB116" s="2">
        <v>2</v>
      </c>
      <c r="AC116" s="2">
        <v>1</v>
      </c>
      <c r="AD116" s="2">
        <v>0</v>
      </c>
      <c r="AE116" s="2">
        <v>0</v>
      </c>
      <c r="AF116" s="2">
        <v>1</v>
      </c>
      <c r="AG116" s="20">
        <f t="shared" si="1"/>
        <v>100</v>
      </c>
    </row>
    <row r="117" spans="1:33" x14ac:dyDescent="0.25">
      <c r="A117">
        <v>116</v>
      </c>
      <c r="B117" s="2">
        <v>3</v>
      </c>
      <c r="C117" s="2">
        <v>48</v>
      </c>
      <c r="D117" s="2">
        <v>4</v>
      </c>
      <c r="E117" s="2">
        <v>0</v>
      </c>
      <c r="F117" s="2">
        <v>0</v>
      </c>
      <c r="G117" s="2">
        <v>0</v>
      </c>
      <c r="H117" s="2">
        <v>1</v>
      </c>
      <c r="I117" s="2">
        <v>0</v>
      </c>
      <c r="J117" s="2">
        <v>0</v>
      </c>
      <c r="K117" s="2">
        <v>3578</v>
      </c>
      <c r="L117" s="2">
        <v>4</v>
      </c>
      <c r="M117" s="2">
        <v>4</v>
      </c>
      <c r="N117" s="2">
        <v>4</v>
      </c>
      <c r="O117" s="2">
        <v>0</v>
      </c>
      <c r="P117" s="2">
        <v>1</v>
      </c>
      <c r="Q117" s="2">
        <v>0</v>
      </c>
      <c r="R117" s="2">
        <v>0</v>
      </c>
      <c r="S117" s="2">
        <v>0</v>
      </c>
      <c r="T117" s="2">
        <v>1</v>
      </c>
      <c r="U117" s="2">
        <v>1</v>
      </c>
      <c r="V117" s="2">
        <v>0</v>
      </c>
      <c r="W117" s="2">
        <v>47</v>
      </c>
      <c r="X117" s="2">
        <v>0</v>
      </c>
      <c r="Y117" s="2">
        <v>0</v>
      </c>
      <c r="Z117" s="2">
        <v>1</v>
      </c>
      <c r="AA117" s="2">
        <v>1</v>
      </c>
      <c r="AB117" s="2">
        <v>2</v>
      </c>
      <c r="AC117" s="2">
        <v>1</v>
      </c>
      <c r="AD117" s="2">
        <v>1</v>
      </c>
      <c r="AE117" s="2">
        <v>0</v>
      </c>
      <c r="AF117" s="2">
        <v>1</v>
      </c>
      <c r="AG117" s="20">
        <f t="shared" si="1"/>
        <v>100</v>
      </c>
    </row>
    <row r="118" spans="1:33" x14ac:dyDescent="0.25">
      <c r="A118">
        <v>117</v>
      </c>
      <c r="B118" s="2">
        <v>0</v>
      </c>
      <c r="C118" s="2">
        <v>42</v>
      </c>
      <c r="D118" s="2">
        <v>2</v>
      </c>
      <c r="E118" s="2">
        <v>0</v>
      </c>
      <c r="F118" s="2">
        <v>0</v>
      </c>
      <c r="G118" s="2">
        <v>0</v>
      </c>
      <c r="H118" s="2">
        <v>1</v>
      </c>
      <c r="I118" s="2">
        <v>0</v>
      </c>
      <c r="J118" s="2">
        <v>0</v>
      </c>
      <c r="K118" s="2">
        <v>7174</v>
      </c>
      <c r="L118" s="2">
        <v>4</v>
      </c>
      <c r="M118" s="2">
        <v>3</v>
      </c>
      <c r="N118" s="2">
        <v>4</v>
      </c>
      <c r="O118" s="2">
        <v>0</v>
      </c>
      <c r="P118" s="2">
        <v>0</v>
      </c>
      <c r="Q118" s="2">
        <v>0</v>
      </c>
      <c r="R118" s="2">
        <v>0</v>
      </c>
      <c r="S118" s="2">
        <v>0</v>
      </c>
      <c r="T118" s="2">
        <v>3</v>
      </c>
      <c r="U118" s="2">
        <v>0</v>
      </c>
      <c r="V118" s="2">
        <v>0</v>
      </c>
      <c r="W118" s="2">
        <v>30</v>
      </c>
      <c r="X118" s="2">
        <v>0</v>
      </c>
      <c r="Y118" s="2">
        <v>0</v>
      </c>
      <c r="Z118" s="2">
        <v>1</v>
      </c>
      <c r="AA118" s="2">
        <v>1</v>
      </c>
      <c r="AB118" s="2">
        <v>3</v>
      </c>
      <c r="AC118" s="2">
        <v>1</v>
      </c>
      <c r="AD118" s="2">
        <v>1</v>
      </c>
      <c r="AE118" s="2">
        <v>0</v>
      </c>
      <c r="AF118" s="2">
        <v>0</v>
      </c>
      <c r="AG118" s="20">
        <f t="shared" si="1"/>
        <v>-500</v>
      </c>
    </row>
    <row r="119" spans="1:33" x14ac:dyDescent="0.25">
      <c r="A119">
        <v>118</v>
      </c>
      <c r="B119" s="2">
        <v>0</v>
      </c>
      <c r="C119" s="2">
        <v>10</v>
      </c>
      <c r="D119" s="2">
        <v>4</v>
      </c>
      <c r="E119" s="2">
        <v>0</v>
      </c>
      <c r="F119" s="2">
        <v>0</v>
      </c>
      <c r="G119" s="2">
        <v>1</v>
      </c>
      <c r="H119" s="2">
        <v>0</v>
      </c>
      <c r="I119" s="2">
        <v>0</v>
      </c>
      <c r="J119" s="2">
        <v>0</v>
      </c>
      <c r="K119" s="2">
        <v>2132</v>
      </c>
      <c r="L119" s="2">
        <v>4</v>
      </c>
      <c r="M119" s="2">
        <v>1</v>
      </c>
      <c r="N119" s="2">
        <v>2</v>
      </c>
      <c r="O119" s="2">
        <v>0</v>
      </c>
      <c r="P119" s="2">
        <v>0</v>
      </c>
      <c r="Q119" s="2">
        <v>0</v>
      </c>
      <c r="R119" s="2">
        <v>1</v>
      </c>
      <c r="S119" s="2">
        <v>0</v>
      </c>
      <c r="T119" s="2">
        <v>3</v>
      </c>
      <c r="U119" s="2">
        <v>1</v>
      </c>
      <c r="V119" s="2">
        <v>0</v>
      </c>
      <c r="W119" s="2">
        <v>27</v>
      </c>
      <c r="X119" s="2">
        <v>0</v>
      </c>
      <c r="Y119" s="2">
        <v>1</v>
      </c>
      <c r="Z119" s="2">
        <v>0</v>
      </c>
      <c r="AA119" s="2">
        <v>2</v>
      </c>
      <c r="AB119" s="2">
        <v>2</v>
      </c>
      <c r="AC119" s="2">
        <v>1</v>
      </c>
      <c r="AD119" s="2">
        <v>0</v>
      </c>
      <c r="AE119" s="2">
        <v>1</v>
      </c>
      <c r="AF119" s="2">
        <v>1</v>
      </c>
      <c r="AG119" s="20">
        <f t="shared" si="1"/>
        <v>100</v>
      </c>
    </row>
    <row r="120" spans="1:33" x14ac:dyDescent="0.25">
      <c r="A120">
        <v>119</v>
      </c>
      <c r="B120" s="2">
        <v>0</v>
      </c>
      <c r="C120" s="2">
        <v>33</v>
      </c>
      <c r="D120" s="2">
        <v>4</v>
      </c>
      <c r="E120" s="2">
        <v>0</v>
      </c>
      <c r="F120" s="2">
        <v>0</v>
      </c>
      <c r="G120" s="2">
        <v>1</v>
      </c>
      <c r="H120" s="2">
        <v>0</v>
      </c>
      <c r="I120" s="2">
        <v>0</v>
      </c>
      <c r="J120" s="2">
        <v>0</v>
      </c>
      <c r="K120" s="2">
        <v>4281</v>
      </c>
      <c r="L120" s="2">
        <v>2</v>
      </c>
      <c r="M120" s="2">
        <v>2</v>
      </c>
      <c r="N120" s="2">
        <v>1</v>
      </c>
      <c r="O120" s="2">
        <v>0</v>
      </c>
      <c r="P120" s="2">
        <v>0</v>
      </c>
      <c r="Q120" s="2">
        <v>0</v>
      </c>
      <c r="R120" s="2">
        <v>0</v>
      </c>
      <c r="S120" s="2">
        <v>0</v>
      </c>
      <c r="T120" s="2">
        <v>4</v>
      </c>
      <c r="U120" s="2">
        <v>0</v>
      </c>
      <c r="V120" s="2">
        <v>0</v>
      </c>
      <c r="W120" s="2">
        <v>23</v>
      </c>
      <c r="X120" s="2">
        <v>0</v>
      </c>
      <c r="Y120" s="2">
        <v>0</v>
      </c>
      <c r="Z120" s="2">
        <v>1</v>
      </c>
      <c r="AA120" s="2">
        <v>2</v>
      </c>
      <c r="AB120" s="2">
        <v>2</v>
      </c>
      <c r="AC120" s="2">
        <v>1</v>
      </c>
      <c r="AD120" s="2">
        <v>0</v>
      </c>
      <c r="AE120" s="2">
        <v>0</v>
      </c>
      <c r="AF120" s="2">
        <v>0</v>
      </c>
      <c r="AG120" s="20">
        <f t="shared" si="1"/>
        <v>-500</v>
      </c>
    </row>
    <row r="121" spans="1:33" x14ac:dyDescent="0.25">
      <c r="A121">
        <v>120</v>
      </c>
      <c r="B121" s="2">
        <v>1</v>
      </c>
      <c r="C121" s="2">
        <v>12</v>
      </c>
      <c r="D121" s="2">
        <v>4</v>
      </c>
      <c r="E121" s="2">
        <v>1</v>
      </c>
      <c r="F121" s="2">
        <v>0</v>
      </c>
      <c r="G121" s="2">
        <v>0</v>
      </c>
      <c r="H121" s="2">
        <v>0</v>
      </c>
      <c r="I121" s="2">
        <v>0</v>
      </c>
      <c r="J121" s="2">
        <v>0</v>
      </c>
      <c r="K121" s="2">
        <v>2366</v>
      </c>
      <c r="L121" s="2">
        <v>2</v>
      </c>
      <c r="M121" s="2">
        <v>3</v>
      </c>
      <c r="N121" s="2">
        <v>3</v>
      </c>
      <c r="O121" s="2">
        <v>1</v>
      </c>
      <c r="P121" s="2">
        <v>0</v>
      </c>
      <c r="Q121" s="2">
        <v>0</v>
      </c>
      <c r="R121" s="2">
        <v>0</v>
      </c>
      <c r="S121" s="2">
        <v>0</v>
      </c>
      <c r="T121" s="2">
        <v>3</v>
      </c>
      <c r="U121" s="2">
        <v>0</v>
      </c>
      <c r="V121" s="2">
        <v>0</v>
      </c>
      <c r="W121" s="2">
        <v>36</v>
      </c>
      <c r="X121" s="2">
        <v>0</v>
      </c>
      <c r="Y121" s="2">
        <v>0</v>
      </c>
      <c r="Z121" s="2">
        <v>1</v>
      </c>
      <c r="AA121" s="2">
        <v>1</v>
      </c>
      <c r="AB121" s="2">
        <v>3</v>
      </c>
      <c r="AC121" s="2">
        <v>1</v>
      </c>
      <c r="AD121" s="2">
        <v>1</v>
      </c>
      <c r="AE121" s="2">
        <v>0</v>
      </c>
      <c r="AF121" s="2">
        <v>1</v>
      </c>
      <c r="AG121" s="20">
        <f t="shared" si="1"/>
        <v>100</v>
      </c>
    </row>
    <row r="122" spans="1:33" x14ac:dyDescent="0.25">
      <c r="A122">
        <v>121</v>
      </c>
      <c r="B122" s="2">
        <v>0</v>
      </c>
      <c r="C122" s="2">
        <v>21</v>
      </c>
      <c r="D122" s="2">
        <v>2</v>
      </c>
      <c r="E122" s="2">
        <v>0</v>
      </c>
      <c r="F122" s="2">
        <v>0</v>
      </c>
      <c r="G122" s="2">
        <v>0</v>
      </c>
      <c r="H122" s="2">
        <v>1</v>
      </c>
      <c r="I122" s="2">
        <v>0</v>
      </c>
      <c r="J122" s="2">
        <v>0</v>
      </c>
      <c r="K122" s="2">
        <v>1835</v>
      </c>
      <c r="L122" s="2">
        <v>0</v>
      </c>
      <c r="M122" s="2">
        <v>2</v>
      </c>
      <c r="N122" s="2">
        <v>3</v>
      </c>
      <c r="O122" s="2">
        <v>0</v>
      </c>
      <c r="P122" s="2">
        <v>0</v>
      </c>
      <c r="Q122" s="2">
        <v>0</v>
      </c>
      <c r="R122" s="2">
        <v>0</v>
      </c>
      <c r="S122" s="2">
        <v>0</v>
      </c>
      <c r="T122" s="2">
        <v>2</v>
      </c>
      <c r="U122" s="2">
        <v>1</v>
      </c>
      <c r="V122" s="2">
        <v>0</v>
      </c>
      <c r="W122" s="2">
        <v>25</v>
      </c>
      <c r="X122" s="2">
        <v>0</v>
      </c>
      <c r="Y122" s="2">
        <v>0</v>
      </c>
      <c r="Z122" s="2">
        <v>1</v>
      </c>
      <c r="AA122" s="2">
        <v>2</v>
      </c>
      <c r="AB122" s="2">
        <v>2</v>
      </c>
      <c r="AC122" s="2">
        <v>1</v>
      </c>
      <c r="AD122" s="2">
        <v>1</v>
      </c>
      <c r="AE122" s="2">
        <v>0</v>
      </c>
      <c r="AF122" s="2">
        <v>0</v>
      </c>
      <c r="AG122" s="20">
        <f t="shared" si="1"/>
        <v>-500</v>
      </c>
    </row>
    <row r="123" spans="1:33" x14ac:dyDescent="0.25">
      <c r="A123">
        <v>122</v>
      </c>
      <c r="B123" s="2">
        <v>3</v>
      </c>
      <c r="C123" s="2">
        <v>24</v>
      </c>
      <c r="D123" s="2">
        <v>4</v>
      </c>
      <c r="E123" s="2">
        <v>0</v>
      </c>
      <c r="F123" s="2">
        <v>1</v>
      </c>
      <c r="G123" s="2">
        <v>0</v>
      </c>
      <c r="H123" s="2">
        <v>0</v>
      </c>
      <c r="I123" s="2">
        <v>0</v>
      </c>
      <c r="J123" s="2">
        <v>0</v>
      </c>
      <c r="K123" s="2">
        <v>3868</v>
      </c>
      <c r="L123" s="2">
        <v>0</v>
      </c>
      <c r="M123" s="2">
        <v>4</v>
      </c>
      <c r="N123" s="2">
        <v>4</v>
      </c>
      <c r="O123" s="2">
        <v>0</v>
      </c>
      <c r="P123" s="2">
        <v>0</v>
      </c>
      <c r="Q123" s="2">
        <v>0</v>
      </c>
      <c r="R123" s="2">
        <v>0</v>
      </c>
      <c r="S123" s="2">
        <v>0</v>
      </c>
      <c r="T123" s="2">
        <v>2</v>
      </c>
      <c r="U123" s="2">
        <v>0</v>
      </c>
      <c r="V123" s="2">
        <v>0</v>
      </c>
      <c r="W123" s="2">
        <v>41</v>
      </c>
      <c r="X123" s="2">
        <v>0</v>
      </c>
      <c r="Y123" s="2">
        <v>1</v>
      </c>
      <c r="Z123" s="2">
        <v>0</v>
      </c>
      <c r="AA123" s="2">
        <v>2</v>
      </c>
      <c r="AB123" s="2">
        <v>3</v>
      </c>
      <c r="AC123" s="2">
        <v>1</v>
      </c>
      <c r="AD123" s="2">
        <v>1</v>
      </c>
      <c r="AE123" s="2">
        <v>0</v>
      </c>
      <c r="AF123" s="2">
        <v>1</v>
      </c>
      <c r="AG123" s="20">
        <f t="shared" si="1"/>
        <v>100</v>
      </c>
    </row>
    <row r="124" spans="1:33" x14ac:dyDescent="0.25">
      <c r="A124">
        <v>123</v>
      </c>
      <c r="B124" s="2">
        <v>3</v>
      </c>
      <c r="C124" s="2">
        <v>12</v>
      </c>
      <c r="D124" s="2">
        <v>2</v>
      </c>
      <c r="E124" s="2">
        <v>0</v>
      </c>
      <c r="F124" s="2">
        <v>0</v>
      </c>
      <c r="G124" s="2">
        <v>1</v>
      </c>
      <c r="H124" s="2">
        <v>0</v>
      </c>
      <c r="I124" s="2">
        <v>0</v>
      </c>
      <c r="J124" s="2">
        <v>0</v>
      </c>
      <c r="K124" s="2">
        <v>1768</v>
      </c>
      <c r="L124" s="2">
        <v>0</v>
      </c>
      <c r="M124" s="2">
        <v>2</v>
      </c>
      <c r="N124" s="2">
        <v>3</v>
      </c>
      <c r="O124" s="2">
        <v>0</v>
      </c>
      <c r="P124" s="2">
        <v>1</v>
      </c>
      <c r="Q124" s="2">
        <v>0</v>
      </c>
      <c r="R124" s="2">
        <v>0</v>
      </c>
      <c r="S124" s="2">
        <v>0</v>
      </c>
      <c r="T124" s="2">
        <v>2</v>
      </c>
      <c r="U124" s="2">
        <v>1</v>
      </c>
      <c r="V124" s="2">
        <v>0</v>
      </c>
      <c r="W124" s="2">
        <v>24</v>
      </c>
      <c r="X124" s="2">
        <v>0</v>
      </c>
      <c r="Y124" s="2">
        <v>1</v>
      </c>
      <c r="Z124" s="2">
        <v>0</v>
      </c>
      <c r="AA124" s="2">
        <v>1</v>
      </c>
      <c r="AB124" s="2">
        <v>1</v>
      </c>
      <c r="AC124" s="2">
        <v>1</v>
      </c>
      <c r="AD124" s="2">
        <v>0</v>
      </c>
      <c r="AE124" s="2">
        <v>0</v>
      </c>
      <c r="AF124" s="2">
        <v>1</v>
      </c>
      <c r="AG124" s="20">
        <f t="shared" si="1"/>
        <v>100</v>
      </c>
    </row>
    <row r="125" spans="1:33" x14ac:dyDescent="0.25">
      <c r="A125">
        <v>124</v>
      </c>
      <c r="B125" s="2">
        <v>2</v>
      </c>
      <c r="C125" s="2">
        <v>10</v>
      </c>
      <c r="D125" s="2">
        <v>4</v>
      </c>
      <c r="E125" s="2">
        <v>1</v>
      </c>
      <c r="F125" s="2">
        <v>0</v>
      </c>
      <c r="G125" s="2">
        <v>0</v>
      </c>
      <c r="H125" s="2">
        <v>0</v>
      </c>
      <c r="I125" s="2">
        <v>0</v>
      </c>
      <c r="J125" s="2">
        <v>0</v>
      </c>
      <c r="K125" s="2">
        <v>781</v>
      </c>
      <c r="L125" s="2">
        <v>0</v>
      </c>
      <c r="M125" s="2">
        <v>4</v>
      </c>
      <c r="N125" s="2">
        <v>4</v>
      </c>
      <c r="O125" s="2">
        <v>0</v>
      </c>
      <c r="P125" s="2">
        <v>1</v>
      </c>
      <c r="Q125" s="2">
        <v>0</v>
      </c>
      <c r="R125" s="2">
        <v>0</v>
      </c>
      <c r="S125" s="2">
        <v>0</v>
      </c>
      <c r="T125" s="2">
        <v>4</v>
      </c>
      <c r="U125" s="2">
        <v>0</v>
      </c>
      <c r="V125" s="2">
        <v>1</v>
      </c>
      <c r="W125" s="2">
        <v>63</v>
      </c>
      <c r="X125" s="2">
        <v>0</v>
      </c>
      <c r="Y125" s="2">
        <v>0</v>
      </c>
      <c r="Z125" s="2">
        <v>0</v>
      </c>
      <c r="AA125" s="2">
        <v>2</v>
      </c>
      <c r="AB125" s="2">
        <v>2</v>
      </c>
      <c r="AC125" s="2">
        <v>1</v>
      </c>
      <c r="AD125" s="2">
        <v>1</v>
      </c>
      <c r="AE125" s="2">
        <v>0</v>
      </c>
      <c r="AF125" s="2">
        <v>1</v>
      </c>
      <c r="AG125" s="20">
        <f t="shared" si="1"/>
        <v>100</v>
      </c>
    </row>
    <row r="126" spans="1:33" x14ac:dyDescent="0.25">
      <c r="A126">
        <v>125</v>
      </c>
      <c r="B126" s="2">
        <v>1</v>
      </c>
      <c r="C126" s="2">
        <v>18</v>
      </c>
      <c r="D126" s="2">
        <v>2</v>
      </c>
      <c r="E126" s="2">
        <v>0</v>
      </c>
      <c r="F126" s="2">
        <v>0</v>
      </c>
      <c r="G126" s="2">
        <v>1</v>
      </c>
      <c r="H126" s="2">
        <v>0</v>
      </c>
      <c r="I126" s="2">
        <v>0</v>
      </c>
      <c r="J126" s="2">
        <v>0</v>
      </c>
      <c r="K126" s="2">
        <v>1924</v>
      </c>
      <c r="L126" s="2">
        <v>4</v>
      </c>
      <c r="M126" s="2">
        <v>1</v>
      </c>
      <c r="N126" s="2">
        <v>4</v>
      </c>
      <c r="O126" s="2">
        <v>0</v>
      </c>
      <c r="P126" s="2">
        <v>0</v>
      </c>
      <c r="Q126" s="2">
        <v>0</v>
      </c>
      <c r="R126" s="2">
        <v>0</v>
      </c>
      <c r="S126" s="2">
        <v>0</v>
      </c>
      <c r="T126" s="2">
        <v>3</v>
      </c>
      <c r="U126" s="2">
        <v>1</v>
      </c>
      <c r="V126" s="2">
        <v>0</v>
      </c>
      <c r="W126" s="2">
        <v>27</v>
      </c>
      <c r="X126" s="2">
        <v>0</v>
      </c>
      <c r="Y126" s="2">
        <v>1</v>
      </c>
      <c r="Z126" s="2">
        <v>0</v>
      </c>
      <c r="AA126" s="2">
        <v>1</v>
      </c>
      <c r="AB126" s="2">
        <v>2</v>
      </c>
      <c r="AC126" s="2">
        <v>1</v>
      </c>
      <c r="AD126" s="2">
        <v>0</v>
      </c>
      <c r="AE126" s="2">
        <v>0</v>
      </c>
      <c r="AF126" s="2">
        <v>0</v>
      </c>
      <c r="AG126" s="20">
        <f t="shared" si="1"/>
        <v>-500</v>
      </c>
    </row>
    <row r="127" spans="1:33" x14ac:dyDescent="0.25">
      <c r="A127">
        <v>126</v>
      </c>
      <c r="B127" s="2">
        <v>0</v>
      </c>
      <c r="C127" s="2">
        <v>12</v>
      </c>
      <c r="D127" s="2">
        <v>4</v>
      </c>
      <c r="E127" s="2">
        <v>1</v>
      </c>
      <c r="F127" s="2">
        <v>0</v>
      </c>
      <c r="G127" s="2">
        <v>0</v>
      </c>
      <c r="H127" s="2">
        <v>0</v>
      </c>
      <c r="I127" s="2">
        <v>0</v>
      </c>
      <c r="J127" s="2">
        <v>0</v>
      </c>
      <c r="K127" s="2">
        <v>2121</v>
      </c>
      <c r="L127" s="2">
        <v>0</v>
      </c>
      <c r="M127" s="2">
        <v>2</v>
      </c>
      <c r="N127" s="2">
        <v>4</v>
      </c>
      <c r="O127" s="2">
        <v>0</v>
      </c>
      <c r="P127" s="2">
        <v>1</v>
      </c>
      <c r="Q127" s="2">
        <v>0</v>
      </c>
      <c r="R127" s="2">
        <v>0</v>
      </c>
      <c r="S127" s="2">
        <v>0</v>
      </c>
      <c r="T127" s="2">
        <v>2</v>
      </c>
      <c r="U127" s="2">
        <v>0</v>
      </c>
      <c r="V127" s="2">
        <v>0</v>
      </c>
      <c r="W127" s="2">
        <v>30</v>
      </c>
      <c r="X127" s="2">
        <v>0</v>
      </c>
      <c r="Y127" s="2">
        <v>0</v>
      </c>
      <c r="Z127" s="2">
        <v>1</v>
      </c>
      <c r="AA127" s="2">
        <v>2</v>
      </c>
      <c r="AB127" s="2">
        <v>2</v>
      </c>
      <c r="AC127" s="2">
        <v>1</v>
      </c>
      <c r="AD127" s="2">
        <v>0</v>
      </c>
      <c r="AE127" s="2">
        <v>0</v>
      </c>
      <c r="AF127" s="2">
        <v>1</v>
      </c>
      <c r="AG127" s="20">
        <f t="shared" si="1"/>
        <v>100</v>
      </c>
    </row>
    <row r="128" spans="1:33" x14ac:dyDescent="0.25">
      <c r="A128">
        <v>127</v>
      </c>
      <c r="B128" s="2">
        <v>0</v>
      </c>
      <c r="C128" s="2">
        <v>12</v>
      </c>
      <c r="D128" s="2">
        <v>2</v>
      </c>
      <c r="E128" s="2">
        <v>0</v>
      </c>
      <c r="F128" s="2">
        <v>0</v>
      </c>
      <c r="G128" s="2">
        <v>0</v>
      </c>
      <c r="H128" s="2">
        <v>1</v>
      </c>
      <c r="I128" s="2">
        <v>0</v>
      </c>
      <c r="J128" s="2">
        <v>0</v>
      </c>
      <c r="K128" s="2">
        <v>701</v>
      </c>
      <c r="L128" s="2">
        <v>0</v>
      </c>
      <c r="M128" s="2">
        <v>2</v>
      </c>
      <c r="N128" s="2">
        <v>4</v>
      </c>
      <c r="O128" s="2">
        <v>0</v>
      </c>
      <c r="P128" s="2">
        <v>0</v>
      </c>
      <c r="Q128" s="2">
        <v>1</v>
      </c>
      <c r="R128" s="2">
        <v>0</v>
      </c>
      <c r="S128" s="2">
        <v>0</v>
      </c>
      <c r="T128" s="2">
        <v>2</v>
      </c>
      <c r="U128" s="2">
        <v>1</v>
      </c>
      <c r="V128" s="2">
        <v>0</v>
      </c>
      <c r="W128" s="2">
        <v>40</v>
      </c>
      <c r="X128" s="2">
        <v>0</v>
      </c>
      <c r="Y128" s="2">
        <v>0</v>
      </c>
      <c r="Z128" s="2">
        <v>1</v>
      </c>
      <c r="AA128" s="2">
        <v>1</v>
      </c>
      <c r="AB128" s="2">
        <v>1</v>
      </c>
      <c r="AC128" s="2">
        <v>1</v>
      </c>
      <c r="AD128" s="2">
        <v>0</v>
      </c>
      <c r="AE128" s="2">
        <v>0</v>
      </c>
      <c r="AF128" s="2">
        <v>1</v>
      </c>
      <c r="AG128" s="20">
        <f t="shared" si="1"/>
        <v>100</v>
      </c>
    </row>
    <row r="129" spans="1:33" x14ac:dyDescent="0.25">
      <c r="A129">
        <v>128</v>
      </c>
      <c r="B129" s="2">
        <v>1</v>
      </c>
      <c r="C129" s="2">
        <v>12</v>
      </c>
      <c r="D129" s="2">
        <v>2</v>
      </c>
      <c r="E129" s="2">
        <v>0</v>
      </c>
      <c r="F129" s="2">
        <v>0</v>
      </c>
      <c r="G129" s="2">
        <v>0</v>
      </c>
      <c r="H129" s="2">
        <v>0</v>
      </c>
      <c r="I129" s="2">
        <v>0</v>
      </c>
      <c r="J129" s="2">
        <v>0</v>
      </c>
      <c r="K129" s="2">
        <v>639</v>
      </c>
      <c r="L129" s="2">
        <v>0</v>
      </c>
      <c r="M129" s="2">
        <v>2</v>
      </c>
      <c r="N129" s="2">
        <v>4</v>
      </c>
      <c r="O129" s="2">
        <v>0</v>
      </c>
      <c r="P129" s="2">
        <v>1</v>
      </c>
      <c r="Q129" s="2">
        <v>0</v>
      </c>
      <c r="R129" s="2">
        <v>0</v>
      </c>
      <c r="S129" s="2">
        <v>0</v>
      </c>
      <c r="T129" s="2">
        <v>2</v>
      </c>
      <c r="U129" s="2">
        <v>0</v>
      </c>
      <c r="V129" s="2">
        <v>0</v>
      </c>
      <c r="W129" s="2">
        <v>30</v>
      </c>
      <c r="X129" s="2">
        <v>0</v>
      </c>
      <c r="Y129" s="2">
        <v>0</v>
      </c>
      <c r="Z129" s="2">
        <v>1</v>
      </c>
      <c r="AA129" s="2">
        <v>1</v>
      </c>
      <c r="AB129" s="2">
        <v>2</v>
      </c>
      <c r="AC129" s="2">
        <v>1</v>
      </c>
      <c r="AD129" s="2">
        <v>0</v>
      </c>
      <c r="AE129" s="2">
        <v>0</v>
      </c>
      <c r="AF129" s="2">
        <v>0</v>
      </c>
      <c r="AG129" s="20">
        <f t="shared" si="1"/>
        <v>-500</v>
      </c>
    </row>
    <row r="130" spans="1:33" x14ac:dyDescent="0.25">
      <c r="A130">
        <v>129</v>
      </c>
      <c r="B130" s="2">
        <v>1</v>
      </c>
      <c r="C130" s="2">
        <v>12</v>
      </c>
      <c r="D130" s="2">
        <v>4</v>
      </c>
      <c r="E130" s="2">
        <v>0</v>
      </c>
      <c r="F130" s="2">
        <v>1</v>
      </c>
      <c r="G130" s="2">
        <v>0</v>
      </c>
      <c r="H130" s="2">
        <v>0</v>
      </c>
      <c r="I130" s="2">
        <v>0</v>
      </c>
      <c r="J130" s="2">
        <v>0</v>
      </c>
      <c r="K130" s="2">
        <v>1860</v>
      </c>
      <c r="L130" s="2">
        <v>0</v>
      </c>
      <c r="M130" s="2">
        <v>0</v>
      </c>
      <c r="N130" s="2">
        <v>4</v>
      </c>
      <c r="O130" s="2">
        <v>0</v>
      </c>
      <c r="P130" s="2">
        <v>1</v>
      </c>
      <c r="Q130" s="2">
        <v>0</v>
      </c>
      <c r="R130" s="2">
        <v>0</v>
      </c>
      <c r="S130" s="2">
        <v>0</v>
      </c>
      <c r="T130" s="2">
        <v>2</v>
      </c>
      <c r="U130" s="2">
        <v>0</v>
      </c>
      <c r="V130" s="2">
        <v>0</v>
      </c>
      <c r="W130" s="2">
        <v>34</v>
      </c>
      <c r="X130" s="2">
        <v>0</v>
      </c>
      <c r="Y130" s="2">
        <v>0</v>
      </c>
      <c r="Z130" s="2">
        <v>1</v>
      </c>
      <c r="AA130" s="2">
        <v>2</v>
      </c>
      <c r="AB130" s="2">
        <v>3</v>
      </c>
      <c r="AC130" s="2">
        <v>1</v>
      </c>
      <c r="AD130" s="2">
        <v>1</v>
      </c>
      <c r="AE130" s="2">
        <v>0</v>
      </c>
      <c r="AF130" s="2">
        <v>1</v>
      </c>
      <c r="AG130" s="20">
        <f t="shared" si="1"/>
        <v>100</v>
      </c>
    </row>
    <row r="131" spans="1:33" x14ac:dyDescent="0.25">
      <c r="A131">
        <v>130</v>
      </c>
      <c r="B131" s="2">
        <v>0</v>
      </c>
      <c r="C131" s="2">
        <v>12</v>
      </c>
      <c r="D131" s="2">
        <v>4</v>
      </c>
      <c r="E131" s="2">
        <v>1</v>
      </c>
      <c r="F131" s="2">
        <v>0</v>
      </c>
      <c r="G131" s="2">
        <v>0</v>
      </c>
      <c r="H131" s="2">
        <v>0</v>
      </c>
      <c r="I131" s="2">
        <v>0</v>
      </c>
      <c r="J131" s="2">
        <v>0</v>
      </c>
      <c r="K131" s="2">
        <v>3499</v>
      </c>
      <c r="L131" s="2">
        <v>0</v>
      </c>
      <c r="M131" s="2">
        <v>2</v>
      </c>
      <c r="N131" s="2">
        <v>3</v>
      </c>
      <c r="O131" s="2">
        <v>0</v>
      </c>
      <c r="P131" s="2">
        <v>0</v>
      </c>
      <c r="Q131" s="2">
        <v>0</v>
      </c>
      <c r="R131" s="2">
        <v>1</v>
      </c>
      <c r="S131" s="2">
        <v>0</v>
      </c>
      <c r="T131" s="2">
        <v>2</v>
      </c>
      <c r="U131" s="2">
        <v>1</v>
      </c>
      <c r="V131" s="2">
        <v>0</v>
      </c>
      <c r="W131" s="2">
        <v>29</v>
      </c>
      <c r="X131" s="2">
        <v>0</v>
      </c>
      <c r="Y131" s="2">
        <v>0</v>
      </c>
      <c r="Z131" s="2">
        <v>1</v>
      </c>
      <c r="AA131" s="2">
        <v>2</v>
      </c>
      <c r="AB131" s="2">
        <v>2</v>
      </c>
      <c r="AC131" s="2">
        <v>1</v>
      </c>
      <c r="AD131" s="2">
        <v>0</v>
      </c>
      <c r="AE131" s="2">
        <v>0</v>
      </c>
      <c r="AF131" s="2">
        <v>0</v>
      </c>
      <c r="AG131" s="20">
        <f t="shared" si="1"/>
        <v>-500</v>
      </c>
    </row>
    <row r="132" spans="1:33" x14ac:dyDescent="0.25">
      <c r="A132">
        <v>131</v>
      </c>
      <c r="B132" s="2">
        <v>1</v>
      </c>
      <c r="C132" s="2">
        <v>48</v>
      </c>
      <c r="D132" s="2">
        <v>2</v>
      </c>
      <c r="E132" s="2">
        <v>1</v>
      </c>
      <c r="F132" s="2">
        <v>0</v>
      </c>
      <c r="G132" s="2">
        <v>0</v>
      </c>
      <c r="H132" s="2">
        <v>0</v>
      </c>
      <c r="I132" s="2">
        <v>0</v>
      </c>
      <c r="J132" s="2">
        <v>0</v>
      </c>
      <c r="K132" s="2">
        <v>8487</v>
      </c>
      <c r="L132" s="2">
        <v>4</v>
      </c>
      <c r="M132" s="2">
        <v>3</v>
      </c>
      <c r="N132" s="2">
        <v>1</v>
      </c>
      <c r="O132" s="2">
        <v>0</v>
      </c>
      <c r="P132" s="2">
        <v>0</v>
      </c>
      <c r="Q132" s="2">
        <v>0</v>
      </c>
      <c r="R132" s="2">
        <v>0</v>
      </c>
      <c r="S132" s="2">
        <v>0</v>
      </c>
      <c r="T132" s="2">
        <v>2</v>
      </c>
      <c r="U132" s="2">
        <v>0</v>
      </c>
      <c r="V132" s="2">
        <v>0</v>
      </c>
      <c r="W132" s="2">
        <v>24</v>
      </c>
      <c r="X132" s="2">
        <v>0</v>
      </c>
      <c r="Y132" s="2">
        <v>0</v>
      </c>
      <c r="Z132" s="2">
        <v>1</v>
      </c>
      <c r="AA132" s="2">
        <v>1</v>
      </c>
      <c r="AB132" s="2">
        <v>2</v>
      </c>
      <c r="AC132" s="2">
        <v>1</v>
      </c>
      <c r="AD132" s="2">
        <v>0</v>
      </c>
      <c r="AE132" s="2">
        <v>0</v>
      </c>
      <c r="AF132" s="2">
        <v>1</v>
      </c>
      <c r="AG132" s="20">
        <f t="shared" ref="AG132:AG195" si="2">IF(AF132=1,100,-500)</f>
        <v>100</v>
      </c>
    </row>
    <row r="133" spans="1:33" x14ac:dyDescent="0.25">
      <c r="A133">
        <v>132</v>
      </c>
      <c r="B133" s="2">
        <v>0</v>
      </c>
      <c r="C133" s="2">
        <v>36</v>
      </c>
      <c r="D133" s="2">
        <v>3</v>
      </c>
      <c r="E133" s="2">
        <v>0</v>
      </c>
      <c r="F133" s="2">
        <v>0</v>
      </c>
      <c r="G133" s="2">
        <v>0</v>
      </c>
      <c r="H133" s="2">
        <v>0</v>
      </c>
      <c r="I133" s="2">
        <v>1</v>
      </c>
      <c r="J133" s="2">
        <v>0</v>
      </c>
      <c r="K133" s="2">
        <v>6887</v>
      </c>
      <c r="L133" s="2">
        <v>0</v>
      </c>
      <c r="M133" s="2">
        <v>2</v>
      </c>
      <c r="N133" s="2">
        <v>4</v>
      </c>
      <c r="O133" s="2">
        <v>0</v>
      </c>
      <c r="P133" s="2">
        <v>1</v>
      </c>
      <c r="Q133" s="2">
        <v>0</v>
      </c>
      <c r="R133" s="2">
        <v>0</v>
      </c>
      <c r="S133" s="2">
        <v>0</v>
      </c>
      <c r="T133" s="2">
        <v>3</v>
      </c>
      <c r="U133" s="2">
        <v>0</v>
      </c>
      <c r="V133" s="2">
        <v>0</v>
      </c>
      <c r="W133" s="2">
        <v>29</v>
      </c>
      <c r="X133" s="2">
        <v>1</v>
      </c>
      <c r="Y133" s="2">
        <v>0</v>
      </c>
      <c r="Z133" s="2">
        <v>1</v>
      </c>
      <c r="AA133" s="2">
        <v>1</v>
      </c>
      <c r="AB133" s="2">
        <v>2</v>
      </c>
      <c r="AC133" s="2">
        <v>1</v>
      </c>
      <c r="AD133" s="2">
        <v>1</v>
      </c>
      <c r="AE133" s="2">
        <v>0</v>
      </c>
      <c r="AF133" s="2">
        <v>0</v>
      </c>
      <c r="AG133" s="20">
        <f t="shared" si="2"/>
        <v>-500</v>
      </c>
    </row>
    <row r="134" spans="1:33" x14ac:dyDescent="0.25">
      <c r="A134">
        <v>133</v>
      </c>
      <c r="B134" s="2">
        <v>3</v>
      </c>
      <c r="C134" s="2">
        <v>15</v>
      </c>
      <c r="D134" s="2">
        <v>2</v>
      </c>
      <c r="E134" s="2">
        <v>0</v>
      </c>
      <c r="F134" s="2">
        <v>0</v>
      </c>
      <c r="G134" s="2">
        <v>1</v>
      </c>
      <c r="H134" s="2">
        <v>0</v>
      </c>
      <c r="I134" s="2">
        <v>0</v>
      </c>
      <c r="J134" s="2">
        <v>0</v>
      </c>
      <c r="K134" s="2">
        <v>2708</v>
      </c>
      <c r="L134" s="2">
        <v>0</v>
      </c>
      <c r="M134" s="2">
        <v>1</v>
      </c>
      <c r="N134" s="2">
        <v>2</v>
      </c>
      <c r="O134" s="2">
        <v>0</v>
      </c>
      <c r="P134" s="2">
        <v>1</v>
      </c>
      <c r="Q134" s="2">
        <v>0</v>
      </c>
      <c r="R134" s="2">
        <v>0</v>
      </c>
      <c r="S134" s="2">
        <v>0</v>
      </c>
      <c r="T134" s="2">
        <v>3</v>
      </c>
      <c r="U134" s="2">
        <v>0</v>
      </c>
      <c r="V134" s="2">
        <v>0</v>
      </c>
      <c r="W134" s="2">
        <v>27</v>
      </c>
      <c r="X134" s="2">
        <v>1</v>
      </c>
      <c r="Y134" s="2">
        <v>0</v>
      </c>
      <c r="Z134" s="2">
        <v>1</v>
      </c>
      <c r="AA134" s="2">
        <v>2</v>
      </c>
      <c r="AB134" s="2">
        <v>1</v>
      </c>
      <c r="AC134" s="2">
        <v>1</v>
      </c>
      <c r="AD134" s="2">
        <v>0</v>
      </c>
      <c r="AE134" s="2">
        <v>0</v>
      </c>
      <c r="AF134" s="2">
        <v>1</v>
      </c>
      <c r="AG134" s="20">
        <f t="shared" si="2"/>
        <v>100</v>
      </c>
    </row>
    <row r="135" spans="1:33" x14ac:dyDescent="0.25">
      <c r="A135">
        <v>134</v>
      </c>
      <c r="B135" s="2">
        <v>3</v>
      </c>
      <c r="C135" s="2">
        <v>18</v>
      </c>
      <c r="D135" s="2">
        <v>2</v>
      </c>
      <c r="E135" s="2">
        <v>0</v>
      </c>
      <c r="F135" s="2">
        <v>0</v>
      </c>
      <c r="G135" s="2">
        <v>1</v>
      </c>
      <c r="H135" s="2">
        <v>0</v>
      </c>
      <c r="I135" s="2">
        <v>0</v>
      </c>
      <c r="J135" s="2">
        <v>0</v>
      </c>
      <c r="K135" s="2">
        <v>1984</v>
      </c>
      <c r="L135" s="2">
        <v>0</v>
      </c>
      <c r="M135" s="2">
        <v>2</v>
      </c>
      <c r="N135" s="2">
        <v>4</v>
      </c>
      <c r="O135" s="2">
        <v>0</v>
      </c>
      <c r="P135" s="2">
        <v>1</v>
      </c>
      <c r="Q135" s="2">
        <v>0</v>
      </c>
      <c r="R135" s="2">
        <v>0</v>
      </c>
      <c r="S135" s="2">
        <v>0</v>
      </c>
      <c r="T135" s="2">
        <v>4</v>
      </c>
      <c r="U135" s="2">
        <v>0</v>
      </c>
      <c r="V135" s="2">
        <v>1</v>
      </c>
      <c r="W135" s="2">
        <v>47</v>
      </c>
      <c r="X135" s="2">
        <v>1</v>
      </c>
      <c r="Y135" s="2">
        <v>0</v>
      </c>
      <c r="Z135" s="2">
        <v>0</v>
      </c>
      <c r="AA135" s="2">
        <v>2</v>
      </c>
      <c r="AB135" s="2">
        <v>2</v>
      </c>
      <c r="AC135" s="2">
        <v>1</v>
      </c>
      <c r="AD135" s="2">
        <v>0</v>
      </c>
      <c r="AE135" s="2">
        <v>0</v>
      </c>
      <c r="AF135" s="2">
        <v>1</v>
      </c>
      <c r="AG135" s="20">
        <f t="shared" si="2"/>
        <v>100</v>
      </c>
    </row>
    <row r="136" spans="1:33" x14ac:dyDescent="0.25">
      <c r="A136">
        <v>135</v>
      </c>
      <c r="B136" s="2">
        <v>3</v>
      </c>
      <c r="C136" s="2">
        <v>60</v>
      </c>
      <c r="D136" s="2">
        <v>2</v>
      </c>
      <c r="E136" s="2">
        <v>0</v>
      </c>
      <c r="F136" s="2">
        <v>0</v>
      </c>
      <c r="G136" s="2">
        <v>0</v>
      </c>
      <c r="H136" s="2">
        <v>1</v>
      </c>
      <c r="I136" s="2">
        <v>0</v>
      </c>
      <c r="J136" s="2">
        <v>0</v>
      </c>
      <c r="K136" s="2">
        <v>10144</v>
      </c>
      <c r="L136" s="2">
        <v>1</v>
      </c>
      <c r="M136" s="2">
        <v>3</v>
      </c>
      <c r="N136" s="2">
        <v>2</v>
      </c>
      <c r="O136" s="2">
        <v>0</v>
      </c>
      <c r="P136" s="2">
        <v>0</v>
      </c>
      <c r="Q136" s="2">
        <v>0</v>
      </c>
      <c r="R136" s="2">
        <v>0</v>
      </c>
      <c r="S136" s="2">
        <v>0</v>
      </c>
      <c r="T136" s="2">
        <v>4</v>
      </c>
      <c r="U136" s="2">
        <v>1</v>
      </c>
      <c r="V136" s="2">
        <v>0</v>
      </c>
      <c r="W136" s="2">
        <v>21</v>
      </c>
      <c r="X136" s="2">
        <v>0</v>
      </c>
      <c r="Y136" s="2">
        <v>0</v>
      </c>
      <c r="Z136" s="2">
        <v>1</v>
      </c>
      <c r="AA136" s="2">
        <v>1</v>
      </c>
      <c r="AB136" s="2">
        <v>2</v>
      </c>
      <c r="AC136" s="2">
        <v>1</v>
      </c>
      <c r="AD136" s="2">
        <v>1</v>
      </c>
      <c r="AE136" s="2">
        <v>0</v>
      </c>
      <c r="AF136" s="2">
        <v>1</v>
      </c>
      <c r="AG136" s="20">
        <f t="shared" si="2"/>
        <v>100</v>
      </c>
    </row>
    <row r="137" spans="1:33" x14ac:dyDescent="0.25">
      <c r="A137">
        <v>136</v>
      </c>
      <c r="B137" s="2">
        <v>3</v>
      </c>
      <c r="C137" s="2">
        <v>12</v>
      </c>
      <c r="D137" s="2">
        <v>4</v>
      </c>
      <c r="E137" s="2">
        <v>0</v>
      </c>
      <c r="F137" s="2">
        <v>0</v>
      </c>
      <c r="G137" s="2">
        <v>0</v>
      </c>
      <c r="H137" s="2">
        <v>1</v>
      </c>
      <c r="I137" s="2">
        <v>0</v>
      </c>
      <c r="J137" s="2">
        <v>0</v>
      </c>
      <c r="K137" s="2">
        <v>1240</v>
      </c>
      <c r="L137" s="2">
        <v>4</v>
      </c>
      <c r="M137" s="2">
        <v>4</v>
      </c>
      <c r="N137" s="2">
        <v>4</v>
      </c>
      <c r="O137" s="2">
        <v>0</v>
      </c>
      <c r="P137" s="2">
        <v>0</v>
      </c>
      <c r="Q137" s="2">
        <v>0</v>
      </c>
      <c r="R137" s="2">
        <v>0</v>
      </c>
      <c r="S137" s="2">
        <v>0</v>
      </c>
      <c r="T137" s="2">
        <v>2</v>
      </c>
      <c r="U137" s="2">
        <v>1</v>
      </c>
      <c r="V137" s="2">
        <v>0</v>
      </c>
      <c r="W137" s="2">
        <v>38</v>
      </c>
      <c r="X137" s="2">
        <v>0</v>
      </c>
      <c r="Y137" s="2">
        <v>0</v>
      </c>
      <c r="Z137" s="2">
        <v>1</v>
      </c>
      <c r="AA137" s="2">
        <v>2</v>
      </c>
      <c r="AB137" s="2">
        <v>2</v>
      </c>
      <c r="AC137" s="2">
        <v>1</v>
      </c>
      <c r="AD137" s="2">
        <v>1</v>
      </c>
      <c r="AE137" s="2">
        <v>0</v>
      </c>
      <c r="AF137" s="2">
        <v>1</v>
      </c>
      <c r="AG137" s="20">
        <f t="shared" si="2"/>
        <v>100</v>
      </c>
    </row>
    <row r="138" spans="1:33" x14ac:dyDescent="0.25">
      <c r="A138">
        <v>137</v>
      </c>
      <c r="B138" s="2">
        <v>3</v>
      </c>
      <c r="C138" s="2">
        <v>27</v>
      </c>
      <c r="D138" s="2">
        <v>3</v>
      </c>
      <c r="E138" s="2">
        <v>0</v>
      </c>
      <c r="F138" s="2">
        <v>1</v>
      </c>
      <c r="G138" s="2">
        <v>0</v>
      </c>
      <c r="H138" s="2">
        <v>0</v>
      </c>
      <c r="I138" s="2">
        <v>0</v>
      </c>
      <c r="J138" s="2">
        <v>0</v>
      </c>
      <c r="K138" s="2">
        <v>8613</v>
      </c>
      <c r="L138" s="2">
        <v>3</v>
      </c>
      <c r="M138" s="2">
        <v>2</v>
      </c>
      <c r="N138" s="2">
        <v>2</v>
      </c>
      <c r="O138" s="2">
        <v>0</v>
      </c>
      <c r="P138" s="2">
        <v>1</v>
      </c>
      <c r="Q138" s="2">
        <v>0</v>
      </c>
      <c r="R138" s="2">
        <v>0</v>
      </c>
      <c r="S138" s="2">
        <v>0</v>
      </c>
      <c r="T138" s="2">
        <v>2</v>
      </c>
      <c r="U138" s="2">
        <v>0</v>
      </c>
      <c r="V138" s="2">
        <v>0</v>
      </c>
      <c r="W138" s="2">
        <v>27</v>
      </c>
      <c r="X138" s="2">
        <v>0</v>
      </c>
      <c r="Y138" s="2">
        <v>0</v>
      </c>
      <c r="Z138" s="2">
        <v>1</v>
      </c>
      <c r="AA138" s="2">
        <v>2</v>
      </c>
      <c r="AB138" s="2">
        <v>2</v>
      </c>
      <c r="AC138" s="2">
        <v>1</v>
      </c>
      <c r="AD138" s="2">
        <v>0</v>
      </c>
      <c r="AE138" s="2">
        <v>0</v>
      </c>
      <c r="AF138" s="2">
        <v>1</v>
      </c>
      <c r="AG138" s="20">
        <f t="shared" si="2"/>
        <v>100</v>
      </c>
    </row>
    <row r="139" spans="1:33" x14ac:dyDescent="0.25">
      <c r="A139">
        <v>138</v>
      </c>
      <c r="B139" s="2">
        <v>1</v>
      </c>
      <c r="C139" s="2">
        <v>12</v>
      </c>
      <c r="D139" s="2">
        <v>2</v>
      </c>
      <c r="E139" s="2">
        <v>0</v>
      </c>
      <c r="F139" s="2">
        <v>0</v>
      </c>
      <c r="G139" s="2">
        <v>0</v>
      </c>
      <c r="H139" s="2">
        <v>1</v>
      </c>
      <c r="I139" s="2">
        <v>0</v>
      </c>
      <c r="J139" s="2">
        <v>0</v>
      </c>
      <c r="K139" s="2">
        <v>766</v>
      </c>
      <c r="L139" s="2">
        <v>2</v>
      </c>
      <c r="M139" s="2">
        <v>2</v>
      </c>
      <c r="N139" s="2">
        <v>4</v>
      </c>
      <c r="O139" s="2">
        <v>0</v>
      </c>
      <c r="P139" s="2">
        <v>1</v>
      </c>
      <c r="Q139" s="2">
        <v>0</v>
      </c>
      <c r="R139" s="2">
        <v>0</v>
      </c>
      <c r="S139" s="2">
        <v>0</v>
      </c>
      <c r="T139" s="2">
        <v>3</v>
      </c>
      <c r="U139" s="2">
        <v>1</v>
      </c>
      <c r="V139" s="2">
        <v>0</v>
      </c>
      <c r="W139" s="2">
        <v>66</v>
      </c>
      <c r="X139" s="2">
        <v>0</v>
      </c>
      <c r="Y139" s="2">
        <v>0</v>
      </c>
      <c r="Z139" s="2">
        <v>1</v>
      </c>
      <c r="AA139" s="2">
        <v>1</v>
      </c>
      <c r="AB139" s="2">
        <v>1</v>
      </c>
      <c r="AC139" s="2">
        <v>1</v>
      </c>
      <c r="AD139" s="2">
        <v>0</v>
      </c>
      <c r="AE139" s="2">
        <v>0</v>
      </c>
      <c r="AF139" s="2">
        <v>0</v>
      </c>
      <c r="AG139" s="20">
        <f t="shared" si="2"/>
        <v>-500</v>
      </c>
    </row>
    <row r="140" spans="1:33" x14ac:dyDescent="0.25">
      <c r="A140">
        <v>139</v>
      </c>
      <c r="B140" s="2">
        <v>1</v>
      </c>
      <c r="C140" s="2">
        <v>15</v>
      </c>
      <c r="D140" s="2">
        <v>4</v>
      </c>
      <c r="E140" s="2">
        <v>0</v>
      </c>
      <c r="F140" s="2">
        <v>0</v>
      </c>
      <c r="G140" s="2">
        <v>0</v>
      </c>
      <c r="H140" s="2">
        <v>1</v>
      </c>
      <c r="I140" s="2">
        <v>0</v>
      </c>
      <c r="J140" s="2">
        <v>0</v>
      </c>
      <c r="K140" s="2">
        <v>2728</v>
      </c>
      <c r="L140" s="2">
        <v>4</v>
      </c>
      <c r="M140" s="2">
        <v>3</v>
      </c>
      <c r="N140" s="2">
        <v>4</v>
      </c>
      <c r="O140" s="2">
        <v>0</v>
      </c>
      <c r="P140" s="2">
        <v>1</v>
      </c>
      <c r="Q140" s="2">
        <v>0</v>
      </c>
      <c r="R140" s="2">
        <v>0</v>
      </c>
      <c r="S140" s="2">
        <v>1</v>
      </c>
      <c r="T140" s="2">
        <v>2</v>
      </c>
      <c r="U140" s="2">
        <v>1</v>
      </c>
      <c r="V140" s="2">
        <v>0</v>
      </c>
      <c r="W140" s="2">
        <v>35</v>
      </c>
      <c r="X140" s="2">
        <v>1</v>
      </c>
      <c r="Y140" s="2">
        <v>0</v>
      </c>
      <c r="Z140" s="2">
        <v>1</v>
      </c>
      <c r="AA140" s="2">
        <v>3</v>
      </c>
      <c r="AB140" s="2">
        <v>2</v>
      </c>
      <c r="AC140" s="2">
        <v>1</v>
      </c>
      <c r="AD140" s="2">
        <v>1</v>
      </c>
      <c r="AE140" s="2">
        <v>0</v>
      </c>
      <c r="AF140" s="2">
        <v>1</v>
      </c>
      <c r="AG140" s="20">
        <f t="shared" si="2"/>
        <v>100</v>
      </c>
    </row>
    <row r="141" spans="1:33" x14ac:dyDescent="0.25">
      <c r="A141">
        <v>140</v>
      </c>
      <c r="B141" s="2">
        <v>2</v>
      </c>
      <c r="C141" s="2">
        <v>12</v>
      </c>
      <c r="D141" s="2">
        <v>2</v>
      </c>
      <c r="E141" s="2">
        <v>0</v>
      </c>
      <c r="F141" s="2">
        <v>0</v>
      </c>
      <c r="G141" s="2">
        <v>0</v>
      </c>
      <c r="H141" s="2">
        <v>1</v>
      </c>
      <c r="I141" s="2">
        <v>0</v>
      </c>
      <c r="J141" s="2">
        <v>0</v>
      </c>
      <c r="K141" s="2">
        <v>1881</v>
      </c>
      <c r="L141" s="2">
        <v>0</v>
      </c>
      <c r="M141" s="2">
        <v>2</v>
      </c>
      <c r="N141" s="2">
        <v>2</v>
      </c>
      <c r="O141" s="2">
        <v>0</v>
      </c>
      <c r="P141" s="2">
        <v>0</v>
      </c>
      <c r="Q141" s="2">
        <v>0</v>
      </c>
      <c r="R141" s="2">
        <v>0</v>
      </c>
      <c r="S141" s="2">
        <v>0</v>
      </c>
      <c r="T141" s="2">
        <v>2</v>
      </c>
      <c r="U141" s="2">
        <v>0</v>
      </c>
      <c r="V141" s="2">
        <v>0</v>
      </c>
      <c r="W141" s="2">
        <v>44</v>
      </c>
      <c r="X141" s="2">
        <v>0</v>
      </c>
      <c r="Y141" s="2">
        <v>1</v>
      </c>
      <c r="Z141" s="2">
        <v>0</v>
      </c>
      <c r="AA141" s="2">
        <v>1</v>
      </c>
      <c r="AB141" s="2">
        <v>1</v>
      </c>
      <c r="AC141" s="2">
        <v>1</v>
      </c>
      <c r="AD141" s="2">
        <v>1</v>
      </c>
      <c r="AE141" s="2">
        <v>0</v>
      </c>
      <c r="AF141" s="2">
        <v>1</v>
      </c>
      <c r="AG141" s="20">
        <f t="shared" si="2"/>
        <v>100</v>
      </c>
    </row>
    <row r="142" spans="1:33" x14ac:dyDescent="0.25">
      <c r="A142">
        <v>141</v>
      </c>
      <c r="B142" s="2">
        <v>2</v>
      </c>
      <c r="C142" s="2">
        <v>6</v>
      </c>
      <c r="D142" s="2">
        <v>2</v>
      </c>
      <c r="E142" s="2">
        <v>1</v>
      </c>
      <c r="F142" s="2">
        <v>0</v>
      </c>
      <c r="G142" s="2">
        <v>0</v>
      </c>
      <c r="H142" s="2">
        <v>0</v>
      </c>
      <c r="I142" s="2">
        <v>0</v>
      </c>
      <c r="J142" s="2">
        <v>0</v>
      </c>
      <c r="K142" s="2">
        <v>709</v>
      </c>
      <c r="L142" s="2">
        <v>3</v>
      </c>
      <c r="M142" s="2">
        <v>1</v>
      </c>
      <c r="N142" s="2">
        <v>2</v>
      </c>
      <c r="O142" s="2">
        <v>0</v>
      </c>
      <c r="P142" s="2">
        <v>0</v>
      </c>
      <c r="Q142" s="2">
        <v>1</v>
      </c>
      <c r="R142" s="2">
        <v>0</v>
      </c>
      <c r="S142" s="2">
        <v>0</v>
      </c>
      <c r="T142" s="2">
        <v>2</v>
      </c>
      <c r="U142" s="2">
        <v>1</v>
      </c>
      <c r="V142" s="2">
        <v>0</v>
      </c>
      <c r="W142" s="2">
        <v>27</v>
      </c>
      <c r="X142" s="2">
        <v>0</v>
      </c>
      <c r="Y142" s="2">
        <v>0</v>
      </c>
      <c r="Z142" s="2">
        <v>1</v>
      </c>
      <c r="AA142" s="2">
        <v>1</v>
      </c>
      <c r="AB142" s="2">
        <v>0</v>
      </c>
      <c r="AC142" s="2">
        <v>1</v>
      </c>
      <c r="AD142" s="2">
        <v>0</v>
      </c>
      <c r="AE142" s="2">
        <v>1</v>
      </c>
      <c r="AF142" s="2">
        <v>1</v>
      </c>
      <c r="AG142" s="20">
        <f t="shared" si="2"/>
        <v>100</v>
      </c>
    </row>
    <row r="143" spans="1:33" x14ac:dyDescent="0.25">
      <c r="A143">
        <v>142</v>
      </c>
      <c r="B143" s="2">
        <v>1</v>
      </c>
      <c r="C143" s="2">
        <v>36</v>
      </c>
      <c r="D143" s="2">
        <v>2</v>
      </c>
      <c r="E143" s="2">
        <v>0</v>
      </c>
      <c r="F143" s="2">
        <v>0</v>
      </c>
      <c r="G143" s="2">
        <v>0</v>
      </c>
      <c r="H143" s="2">
        <v>1</v>
      </c>
      <c r="I143" s="2">
        <v>0</v>
      </c>
      <c r="J143" s="2">
        <v>0</v>
      </c>
      <c r="K143" s="2">
        <v>4795</v>
      </c>
      <c r="L143" s="2">
        <v>0</v>
      </c>
      <c r="M143" s="2">
        <v>1</v>
      </c>
      <c r="N143" s="2">
        <v>4</v>
      </c>
      <c r="O143" s="2">
        <v>0</v>
      </c>
      <c r="P143" s="2">
        <v>0</v>
      </c>
      <c r="Q143" s="2">
        <v>0</v>
      </c>
      <c r="R143" s="2">
        <v>0</v>
      </c>
      <c r="S143" s="2">
        <v>0</v>
      </c>
      <c r="T143" s="2">
        <v>1</v>
      </c>
      <c r="U143" s="2">
        <v>0</v>
      </c>
      <c r="V143" s="2">
        <v>1</v>
      </c>
      <c r="W143" s="2">
        <v>30</v>
      </c>
      <c r="X143" s="2">
        <v>0</v>
      </c>
      <c r="Y143" s="2">
        <v>0</v>
      </c>
      <c r="Z143" s="2">
        <v>1</v>
      </c>
      <c r="AA143" s="2">
        <v>1</v>
      </c>
      <c r="AB143" s="2">
        <v>3</v>
      </c>
      <c r="AC143" s="2">
        <v>1</v>
      </c>
      <c r="AD143" s="2">
        <v>1</v>
      </c>
      <c r="AE143" s="2">
        <v>0</v>
      </c>
      <c r="AF143" s="2">
        <v>1</v>
      </c>
      <c r="AG143" s="20">
        <f t="shared" si="2"/>
        <v>100</v>
      </c>
    </row>
    <row r="144" spans="1:33" x14ac:dyDescent="0.25">
      <c r="A144">
        <v>143</v>
      </c>
      <c r="B144" s="2">
        <v>0</v>
      </c>
      <c r="C144" s="2">
        <v>27</v>
      </c>
      <c r="D144" s="2">
        <v>2</v>
      </c>
      <c r="E144" s="2">
        <v>0</v>
      </c>
      <c r="F144" s="2">
        <v>0</v>
      </c>
      <c r="G144" s="2">
        <v>0</v>
      </c>
      <c r="H144" s="2">
        <v>1</v>
      </c>
      <c r="I144" s="2">
        <v>0</v>
      </c>
      <c r="J144" s="2">
        <v>0</v>
      </c>
      <c r="K144" s="2">
        <v>3416</v>
      </c>
      <c r="L144" s="2">
        <v>0</v>
      </c>
      <c r="M144" s="2">
        <v>2</v>
      </c>
      <c r="N144" s="2">
        <v>3</v>
      </c>
      <c r="O144" s="2">
        <v>0</v>
      </c>
      <c r="P144" s="2">
        <v>1</v>
      </c>
      <c r="Q144" s="2">
        <v>0</v>
      </c>
      <c r="R144" s="2">
        <v>0</v>
      </c>
      <c r="S144" s="2">
        <v>0</v>
      </c>
      <c r="T144" s="2">
        <v>2</v>
      </c>
      <c r="U144" s="2">
        <v>0</v>
      </c>
      <c r="V144" s="2">
        <v>0</v>
      </c>
      <c r="W144" s="2">
        <v>27</v>
      </c>
      <c r="X144" s="2">
        <v>0</v>
      </c>
      <c r="Y144" s="2">
        <v>0</v>
      </c>
      <c r="Z144" s="2">
        <v>1</v>
      </c>
      <c r="AA144" s="2">
        <v>1</v>
      </c>
      <c r="AB144" s="2">
        <v>3</v>
      </c>
      <c r="AC144" s="2">
        <v>1</v>
      </c>
      <c r="AD144" s="2">
        <v>0</v>
      </c>
      <c r="AE144" s="2">
        <v>0</v>
      </c>
      <c r="AF144" s="2">
        <v>1</v>
      </c>
      <c r="AG144" s="20">
        <f t="shared" si="2"/>
        <v>100</v>
      </c>
    </row>
    <row r="145" spans="1:33" x14ac:dyDescent="0.25">
      <c r="A145">
        <v>144</v>
      </c>
      <c r="B145" s="2">
        <v>0</v>
      </c>
      <c r="C145" s="2">
        <v>18</v>
      </c>
      <c r="D145" s="2">
        <v>2</v>
      </c>
      <c r="E145" s="2">
        <v>0</v>
      </c>
      <c r="F145" s="2">
        <v>0</v>
      </c>
      <c r="G145" s="2">
        <v>1</v>
      </c>
      <c r="H145" s="2">
        <v>0</v>
      </c>
      <c r="I145" s="2">
        <v>0</v>
      </c>
      <c r="J145" s="2">
        <v>0</v>
      </c>
      <c r="K145" s="2">
        <v>2462</v>
      </c>
      <c r="L145" s="2">
        <v>0</v>
      </c>
      <c r="M145" s="2">
        <v>2</v>
      </c>
      <c r="N145" s="2">
        <v>2</v>
      </c>
      <c r="O145" s="2">
        <v>0</v>
      </c>
      <c r="P145" s="2">
        <v>1</v>
      </c>
      <c r="Q145" s="2">
        <v>0</v>
      </c>
      <c r="R145" s="2">
        <v>0</v>
      </c>
      <c r="S145" s="2">
        <v>0</v>
      </c>
      <c r="T145" s="2">
        <v>2</v>
      </c>
      <c r="U145" s="2">
        <v>0</v>
      </c>
      <c r="V145" s="2">
        <v>0</v>
      </c>
      <c r="W145" s="2">
        <v>22</v>
      </c>
      <c r="X145" s="2">
        <v>0</v>
      </c>
      <c r="Y145" s="2">
        <v>0</v>
      </c>
      <c r="Z145" s="2">
        <v>1</v>
      </c>
      <c r="AA145" s="2">
        <v>1</v>
      </c>
      <c r="AB145" s="2">
        <v>2</v>
      </c>
      <c r="AC145" s="2">
        <v>1</v>
      </c>
      <c r="AD145" s="2">
        <v>0</v>
      </c>
      <c r="AE145" s="2">
        <v>0</v>
      </c>
      <c r="AF145" s="2">
        <v>0</v>
      </c>
      <c r="AG145" s="20">
        <f t="shared" si="2"/>
        <v>-500</v>
      </c>
    </row>
    <row r="146" spans="1:33" x14ac:dyDescent="0.25">
      <c r="A146">
        <v>145</v>
      </c>
      <c r="B146" s="2">
        <v>3</v>
      </c>
      <c r="C146" s="2">
        <v>21</v>
      </c>
      <c r="D146" s="2">
        <v>4</v>
      </c>
      <c r="E146" s="2">
        <v>0</v>
      </c>
      <c r="F146" s="2">
        <v>0</v>
      </c>
      <c r="G146" s="2">
        <v>1</v>
      </c>
      <c r="H146" s="2">
        <v>0</v>
      </c>
      <c r="I146" s="2">
        <v>0</v>
      </c>
      <c r="J146" s="2">
        <v>0</v>
      </c>
      <c r="K146" s="2">
        <v>2288</v>
      </c>
      <c r="L146" s="2">
        <v>0</v>
      </c>
      <c r="M146" s="2">
        <v>1</v>
      </c>
      <c r="N146" s="2">
        <v>4</v>
      </c>
      <c r="O146" s="2">
        <v>0</v>
      </c>
      <c r="P146" s="2">
        <v>0</v>
      </c>
      <c r="Q146" s="2">
        <v>0</v>
      </c>
      <c r="R146" s="2">
        <v>0</v>
      </c>
      <c r="S146" s="2">
        <v>0</v>
      </c>
      <c r="T146" s="2">
        <v>4</v>
      </c>
      <c r="U146" s="2">
        <v>0</v>
      </c>
      <c r="V146" s="2">
        <v>0</v>
      </c>
      <c r="W146" s="2">
        <v>23</v>
      </c>
      <c r="X146" s="2">
        <v>0</v>
      </c>
      <c r="Y146" s="2">
        <v>0</v>
      </c>
      <c r="Z146" s="2">
        <v>1</v>
      </c>
      <c r="AA146" s="2">
        <v>1</v>
      </c>
      <c r="AB146" s="2">
        <v>2</v>
      </c>
      <c r="AC146" s="2">
        <v>1</v>
      </c>
      <c r="AD146" s="2">
        <v>1</v>
      </c>
      <c r="AE146" s="2">
        <v>0</v>
      </c>
      <c r="AF146" s="2">
        <v>1</v>
      </c>
      <c r="AG146" s="20">
        <f t="shared" si="2"/>
        <v>100</v>
      </c>
    </row>
    <row r="147" spans="1:33" x14ac:dyDescent="0.25">
      <c r="A147">
        <v>146</v>
      </c>
      <c r="B147" s="2">
        <v>1</v>
      </c>
      <c r="C147" s="2">
        <v>48</v>
      </c>
      <c r="D147" s="2">
        <v>1</v>
      </c>
      <c r="E147" s="2">
        <v>0</v>
      </c>
      <c r="F147" s="2">
        <v>0</v>
      </c>
      <c r="G147" s="2">
        <v>0</v>
      </c>
      <c r="H147" s="2">
        <v>0</v>
      </c>
      <c r="I147" s="2">
        <v>0</v>
      </c>
      <c r="J147" s="2">
        <v>1</v>
      </c>
      <c r="K147" s="2">
        <v>3566</v>
      </c>
      <c r="L147" s="2">
        <v>1</v>
      </c>
      <c r="M147" s="2">
        <v>3</v>
      </c>
      <c r="N147" s="2">
        <v>4</v>
      </c>
      <c r="O147" s="2">
        <v>0</v>
      </c>
      <c r="P147" s="2">
        <v>1</v>
      </c>
      <c r="Q147" s="2">
        <v>0</v>
      </c>
      <c r="R147" s="2">
        <v>0</v>
      </c>
      <c r="S147" s="2">
        <v>0</v>
      </c>
      <c r="T147" s="2">
        <v>2</v>
      </c>
      <c r="U147" s="2">
        <v>0</v>
      </c>
      <c r="V147" s="2">
        <v>0</v>
      </c>
      <c r="W147" s="2">
        <v>30</v>
      </c>
      <c r="X147" s="2">
        <v>0</v>
      </c>
      <c r="Y147" s="2">
        <v>0</v>
      </c>
      <c r="Z147" s="2">
        <v>1</v>
      </c>
      <c r="AA147" s="2">
        <v>1</v>
      </c>
      <c r="AB147" s="2">
        <v>2</v>
      </c>
      <c r="AC147" s="2">
        <v>1</v>
      </c>
      <c r="AD147" s="2">
        <v>0</v>
      </c>
      <c r="AE147" s="2">
        <v>0</v>
      </c>
      <c r="AF147" s="2">
        <v>1</v>
      </c>
      <c r="AG147" s="20">
        <f t="shared" si="2"/>
        <v>100</v>
      </c>
    </row>
    <row r="148" spans="1:33" x14ac:dyDescent="0.25">
      <c r="A148">
        <v>147</v>
      </c>
      <c r="B148" s="2">
        <v>0</v>
      </c>
      <c r="C148" s="2">
        <v>6</v>
      </c>
      <c r="D148" s="2">
        <v>4</v>
      </c>
      <c r="E148" s="2">
        <v>1</v>
      </c>
      <c r="F148" s="2">
        <v>0</v>
      </c>
      <c r="G148" s="2">
        <v>0</v>
      </c>
      <c r="H148" s="2">
        <v>0</v>
      </c>
      <c r="I148" s="2">
        <v>0</v>
      </c>
      <c r="J148" s="2">
        <v>0</v>
      </c>
      <c r="K148" s="2">
        <v>860</v>
      </c>
      <c r="L148" s="2">
        <v>0</v>
      </c>
      <c r="M148" s="2">
        <v>4</v>
      </c>
      <c r="N148" s="2">
        <v>1</v>
      </c>
      <c r="O148" s="2">
        <v>0</v>
      </c>
      <c r="P148" s="2">
        <v>0</v>
      </c>
      <c r="Q148" s="2">
        <v>0</v>
      </c>
      <c r="R148" s="2">
        <v>0</v>
      </c>
      <c r="S148" s="2">
        <v>0</v>
      </c>
      <c r="T148" s="2">
        <v>4</v>
      </c>
      <c r="U148" s="2">
        <v>0</v>
      </c>
      <c r="V148" s="2">
        <v>1</v>
      </c>
      <c r="W148" s="2">
        <v>39</v>
      </c>
      <c r="X148" s="2">
        <v>0</v>
      </c>
      <c r="Y148" s="2">
        <v>0</v>
      </c>
      <c r="Z148" s="2">
        <v>1</v>
      </c>
      <c r="AA148" s="2">
        <v>2</v>
      </c>
      <c r="AB148" s="2">
        <v>2</v>
      </c>
      <c r="AC148" s="2">
        <v>1</v>
      </c>
      <c r="AD148" s="2">
        <v>1</v>
      </c>
      <c r="AE148" s="2">
        <v>0</v>
      </c>
      <c r="AF148" s="2">
        <v>1</v>
      </c>
      <c r="AG148" s="20">
        <f t="shared" si="2"/>
        <v>100</v>
      </c>
    </row>
    <row r="149" spans="1:33" x14ac:dyDescent="0.25">
      <c r="A149">
        <v>148</v>
      </c>
      <c r="B149" s="2">
        <v>3</v>
      </c>
      <c r="C149" s="2">
        <v>12</v>
      </c>
      <c r="D149" s="2">
        <v>4</v>
      </c>
      <c r="E149" s="2">
        <v>1</v>
      </c>
      <c r="F149" s="2">
        <v>0</v>
      </c>
      <c r="G149" s="2">
        <v>0</v>
      </c>
      <c r="H149" s="2">
        <v>0</v>
      </c>
      <c r="I149" s="2">
        <v>0</v>
      </c>
      <c r="J149" s="2">
        <v>0</v>
      </c>
      <c r="K149" s="2">
        <v>682</v>
      </c>
      <c r="L149" s="2">
        <v>1</v>
      </c>
      <c r="M149" s="2">
        <v>3</v>
      </c>
      <c r="N149" s="2">
        <v>4</v>
      </c>
      <c r="O149" s="2">
        <v>0</v>
      </c>
      <c r="P149" s="2">
        <v>0</v>
      </c>
      <c r="Q149" s="2">
        <v>0</v>
      </c>
      <c r="R149" s="2">
        <v>0</v>
      </c>
      <c r="S149" s="2">
        <v>0</v>
      </c>
      <c r="T149" s="2">
        <v>3</v>
      </c>
      <c r="U149" s="2">
        <v>0</v>
      </c>
      <c r="V149" s="2">
        <v>0</v>
      </c>
      <c r="W149" s="2">
        <v>51</v>
      </c>
      <c r="X149" s="2">
        <v>0</v>
      </c>
      <c r="Y149" s="2">
        <v>0</v>
      </c>
      <c r="Z149" s="2">
        <v>1</v>
      </c>
      <c r="AA149" s="2">
        <v>2</v>
      </c>
      <c r="AB149" s="2">
        <v>2</v>
      </c>
      <c r="AC149" s="2">
        <v>1</v>
      </c>
      <c r="AD149" s="2">
        <v>1</v>
      </c>
      <c r="AE149" s="2">
        <v>0</v>
      </c>
      <c r="AF149" s="2">
        <v>1</v>
      </c>
      <c r="AG149" s="20">
        <f t="shared" si="2"/>
        <v>100</v>
      </c>
    </row>
    <row r="150" spans="1:33" x14ac:dyDescent="0.25">
      <c r="A150">
        <v>149</v>
      </c>
      <c r="B150" s="2">
        <v>0</v>
      </c>
      <c r="C150" s="2">
        <v>36</v>
      </c>
      <c r="D150" s="2">
        <v>4</v>
      </c>
      <c r="E150" s="2">
        <v>0</v>
      </c>
      <c r="F150" s="2">
        <v>0</v>
      </c>
      <c r="G150" s="2">
        <v>1</v>
      </c>
      <c r="H150" s="2">
        <v>0</v>
      </c>
      <c r="I150" s="2">
        <v>0</v>
      </c>
      <c r="J150" s="2">
        <v>0</v>
      </c>
      <c r="K150" s="2">
        <v>5371</v>
      </c>
      <c r="L150" s="2">
        <v>0</v>
      </c>
      <c r="M150" s="2">
        <v>2</v>
      </c>
      <c r="N150" s="2">
        <v>3</v>
      </c>
      <c r="O150" s="2">
        <v>0</v>
      </c>
      <c r="P150" s="2">
        <v>1</v>
      </c>
      <c r="Q150" s="2">
        <v>0</v>
      </c>
      <c r="R150" s="2">
        <v>0</v>
      </c>
      <c r="S150" s="2">
        <v>1</v>
      </c>
      <c r="T150" s="2">
        <v>2</v>
      </c>
      <c r="U150" s="2">
        <v>0</v>
      </c>
      <c r="V150" s="2">
        <v>0</v>
      </c>
      <c r="W150" s="2">
        <v>28</v>
      </c>
      <c r="X150" s="2">
        <v>0</v>
      </c>
      <c r="Y150" s="2">
        <v>0</v>
      </c>
      <c r="Z150" s="2">
        <v>1</v>
      </c>
      <c r="AA150" s="2">
        <v>2</v>
      </c>
      <c r="AB150" s="2">
        <v>2</v>
      </c>
      <c r="AC150" s="2">
        <v>1</v>
      </c>
      <c r="AD150" s="2">
        <v>0</v>
      </c>
      <c r="AE150" s="2">
        <v>0</v>
      </c>
      <c r="AF150" s="2">
        <v>1</v>
      </c>
      <c r="AG150" s="20">
        <f t="shared" si="2"/>
        <v>100</v>
      </c>
    </row>
    <row r="151" spans="1:33" x14ac:dyDescent="0.25">
      <c r="A151">
        <v>150</v>
      </c>
      <c r="B151" s="2">
        <v>3</v>
      </c>
      <c r="C151" s="2">
        <v>18</v>
      </c>
      <c r="D151" s="2">
        <v>4</v>
      </c>
      <c r="E151" s="2">
        <v>0</v>
      </c>
      <c r="F151" s="2">
        <v>0</v>
      </c>
      <c r="G151" s="2">
        <v>0</v>
      </c>
      <c r="H151" s="2">
        <v>1</v>
      </c>
      <c r="I151" s="2">
        <v>0</v>
      </c>
      <c r="J151" s="2">
        <v>0</v>
      </c>
      <c r="K151" s="2">
        <v>1582</v>
      </c>
      <c r="L151" s="2">
        <v>3</v>
      </c>
      <c r="M151" s="2">
        <v>4</v>
      </c>
      <c r="N151" s="2">
        <v>4</v>
      </c>
      <c r="O151" s="2">
        <v>0</v>
      </c>
      <c r="P151" s="2">
        <v>1</v>
      </c>
      <c r="Q151" s="2">
        <v>0</v>
      </c>
      <c r="R151" s="2">
        <v>0</v>
      </c>
      <c r="S151" s="2">
        <v>0</v>
      </c>
      <c r="T151" s="2">
        <v>4</v>
      </c>
      <c r="U151" s="2">
        <v>0</v>
      </c>
      <c r="V151" s="2">
        <v>0</v>
      </c>
      <c r="W151" s="2">
        <v>46</v>
      </c>
      <c r="X151" s="2">
        <v>0</v>
      </c>
      <c r="Y151" s="2">
        <v>0</v>
      </c>
      <c r="Z151" s="2">
        <v>1</v>
      </c>
      <c r="AA151" s="2">
        <v>2</v>
      </c>
      <c r="AB151" s="2">
        <v>2</v>
      </c>
      <c r="AC151" s="2">
        <v>1</v>
      </c>
      <c r="AD151" s="2">
        <v>0</v>
      </c>
      <c r="AE151" s="2">
        <v>0</v>
      </c>
      <c r="AF151" s="2">
        <v>1</v>
      </c>
      <c r="AG151" s="20">
        <f t="shared" si="2"/>
        <v>100</v>
      </c>
    </row>
    <row r="152" spans="1:33" x14ac:dyDescent="0.25">
      <c r="A152">
        <v>151</v>
      </c>
      <c r="B152" s="2">
        <v>3</v>
      </c>
      <c r="C152" s="2">
        <v>6</v>
      </c>
      <c r="D152" s="2">
        <v>2</v>
      </c>
      <c r="E152" s="2">
        <v>0</v>
      </c>
      <c r="F152" s="2">
        <v>0</v>
      </c>
      <c r="G152" s="2">
        <v>0</v>
      </c>
      <c r="H152" s="2">
        <v>1</v>
      </c>
      <c r="I152" s="2">
        <v>0</v>
      </c>
      <c r="J152" s="2">
        <v>0</v>
      </c>
      <c r="K152" s="2">
        <v>1346</v>
      </c>
      <c r="L152" s="2">
        <v>1</v>
      </c>
      <c r="M152" s="2">
        <v>4</v>
      </c>
      <c r="N152" s="2">
        <v>2</v>
      </c>
      <c r="O152" s="2">
        <v>0</v>
      </c>
      <c r="P152" s="2">
        <v>1</v>
      </c>
      <c r="Q152" s="2">
        <v>0</v>
      </c>
      <c r="R152" s="2">
        <v>0</v>
      </c>
      <c r="S152" s="2">
        <v>0</v>
      </c>
      <c r="T152" s="2">
        <v>4</v>
      </c>
      <c r="U152" s="2">
        <v>0</v>
      </c>
      <c r="V152" s="2">
        <v>1</v>
      </c>
      <c r="W152" s="2">
        <v>42</v>
      </c>
      <c r="X152" s="2">
        <v>1</v>
      </c>
      <c r="Y152" s="2">
        <v>0</v>
      </c>
      <c r="Z152" s="2">
        <v>0</v>
      </c>
      <c r="AA152" s="2">
        <v>1</v>
      </c>
      <c r="AB152" s="2">
        <v>2</v>
      </c>
      <c r="AC152" s="2">
        <v>2</v>
      </c>
      <c r="AD152" s="2">
        <v>1</v>
      </c>
      <c r="AE152" s="2">
        <v>0</v>
      </c>
      <c r="AF152" s="2">
        <v>1</v>
      </c>
      <c r="AG152" s="20">
        <f t="shared" si="2"/>
        <v>100</v>
      </c>
    </row>
    <row r="153" spans="1:33" x14ac:dyDescent="0.25">
      <c r="A153">
        <v>152</v>
      </c>
      <c r="B153" s="2">
        <v>3</v>
      </c>
      <c r="C153" s="2">
        <v>10</v>
      </c>
      <c r="D153" s="2">
        <v>2</v>
      </c>
      <c r="E153" s="2">
        <v>0</v>
      </c>
      <c r="F153" s="2">
        <v>0</v>
      </c>
      <c r="G153" s="2">
        <v>0</v>
      </c>
      <c r="H153" s="2">
        <v>1</v>
      </c>
      <c r="I153" s="2">
        <v>0</v>
      </c>
      <c r="J153" s="2">
        <v>0</v>
      </c>
      <c r="K153" s="2">
        <v>1924</v>
      </c>
      <c r="L153" s="2">
        <v>0</v>
      </c>
      <c r="M153" s="2">
        <v>2</v>
      </c>
      <c r="N153" s="2">
        <v>1</v>
      </c>
      <c r="O153" s="2">
        <v>0</v>
      </c>
      <c r="P153" s="2">
        <v>1</v>
      </c>
      <c r="Q153" s="2">
        <v>0</v>
      </c>
      <c r="R153" s="2">
        <v>0</v>
      </c>
      <c r="S153" s="2">
        <v>0</v>
      </c>
      <c r="T153" s="2">
        <v>4</v>
      </c>
      <c r="U153" s="2">
        <v>0</v>
      </c>
      <c r="V153" s="2">
        <v>0</v>
      </c>
      <c r="W153" s="2">
        <v>38</v>
      </c>
      <c r="X153" s="2">
        <v>0</v>
      </c>
      <c r="Y153" s="2">
        <v>0</v>
      </c>
      <c r="Z153" s="2">
        <v>1</v>
      </c>
      <c r="AA153" s="2">
        <v>1</v>
      </c>
      <c r="AB153" s="2">
        <v>2</v>
      </c>
      <c r="AC153" s="2">
        <v>1</v>
      </c>
      <c r="AD153" s="2">
        <v>1</v>
      </c>
      <c r="AE153" s="2">
        <v>1</v>
      </c>
      <c r="AF153" s="2">
        <v>1</v>
      </c>
      <c r="AG153" s="20">
        <f t="shared" si="2"/>
        <v>100</v>
      </c>
    </row>
    <row r="154" spans="1:33" x14ac:dyDescent="0.25">
      <c r="A154">
        <v>153</v>
      </c>
      <c r="B154" s="2">
        <v>2</v>
      </c>
      <c r="C154" s="2">
        <v>36</v>
      </c>
      <c r="D154" s="2">
        <v>2</v>
      </c>
      <c r="E154" s="2">
        <v>0</v>
      </c>
      <c r="F154" s="2">
        <v>0</v>
      </c>
      <c r="G154" s="2">
        <v>0</v>
      </c>
      <c r="H154" s="2">
        <v>1</v>
      </c>
      <c r="I154" s="2">
        <v>0</v>
      </c>
      <c r="J154" s="2">
        <v>0</v>
      </c>
      <c r="K154" s="2">
        <v>5848</v>
      </c>
      <c r="L154" s="2">
        <v>0</v>
      </c>
      <c r="M154" s="2">
        <v>2</v>
      </c>
      <c r="N154" s="2">
        <v>4</v>
      </c>
      <c r="O154" s="2">
        <v>0</v>
      </c>
      <c r="P154" s="2">
        <v>1</v>
      </c>
      <c r="Q154" s="2">
        <v>0</v>
      </c>
      <c r="R154" s="2">
        <v>0</v>
      </c>
      <c r="S154" s="2">
        <v>0</v>
      </c>
      <c r="T154" s="2">
        <v>1</v>
      </c>
      <c r="U154" s="2">
        <v>0</v>
      </c>
      <c r="V154" s="2">
        <v>0</v>
      </c>
      <c r="W154" s="2">
        <v>24</v>
      </c>
      <c r="X154" s="2">
        <v>0</v>
      </c>
      <c r="Y154" s="2">
        <v>0</v>
      </c>
      <c r="Z154" s="2">
        <v>1</v>
      </c>
      <c r="AA154" s="2">
        <v>1</v>
      </c>
      <c r="AB154" s="2">
        <v>2</v>
      </c>
      <c r="AC154" s="2">
        <v>1</v>
      </c>
      <c r="AD154" s="2">
        <v>0</v>
      </c>
      <c r="AE154" s="2">
        <v>0</v>
      </c>
      <c r="AF154" s="2">
        <v>1</v>
      </c>
      <c r="AG154" s="20">
        <f t="shared" si="2"/>
        <v>100</v>
      </c>
    </row>
    <row r="155" spans="1:33" x14ac:dyDescent="0.25">
      <c r="A155">
        <v>154</v>
      </c>
      <c r="B155" s="2">
        <v>1</v>
      </c>
      <c r="C155" s="2">
        <v>24</v>
      </c>
      <c r="D155" s="2">
        <v>4</v>
      </c>
      <c r="E155" s="2">
        <v>0</v>
      </c>
      <c r="F155" s="2">
        <v>1</v>
      </c>
      <c r="G155" s="2">
        <v>0</v>
      </c>
      <c r="H155" s="2">
        <v>0</v>
      </c>
      <c r="I155" s="2">
        <v>0</v>
      </c>
      <c r="J155" s="2">
        <v>0</v>
      </c>
      <c r="K155" s="2">
        <v>7758</v>
      </c>
      <c r="L155" s="2">
        <v>3</v>
      </c>
      <c r="M155" s="2">
        <v>4</v>
      </c>
      <c r="N155" s="2">
        <v>2</v>
      </c>
      <c r="O155" s="2">
        <v>0</v>
      </c>
      <c r="P155" s="2">
        <v>0</v>
      </c>
      <c r="Q155" s="2">
        <v>0</v>
      </c>
      <c r="R155" s="2">
        <v>0</v>
      </c>
      <c r="S155" s="2">
        <v>0</v>
      </c>
      <c r="T155" s="2">
        <v>4</v>
      </c>
      <c r="U155" s="2">
        <v>0</v>
      </c>
      <c r="V155" s="2">
        <v>1</v>
      </c>
      <c r="W155" s="2">
        <v>29</v>
      </c>
      <c r="X155" s="2">
        <v>0</v>
      </c>
      <c r="Y155" s="2">
        <v>1</v>
      </c>
      <c r="Z155" s="2">
        <v>0</v>
      </c>
      <c r="AA155" s="2">
        <v>1</v>
      </c>
      <c r="AB155" s="2">
        <v>2</v>
      </c>
      <c r="AC155" s="2">
        <v>1</v>
      </c>
      <c r="AD155" s="2">
        <v>0</v>
      </c>
      <c r="AE155" s="2">
        <v>0</v>
      </c>
      <c r="AF155" s="2">
        <v>1</v>
      </c>
      <c r="AG155" s="20">
        <f t="shared" si="2"/>
        <v>100</v>
      </c>
    </row>
    <row r="156" spans="1:33" x14ac:dyDescent="0.25">
      <c r="A156">
        <v>155</v>
      </c>
      <c r="B156" s="2">
        <v>1</v>
      </c>
      <c r="C156" s="2">
        <v>24</v>
      </c>
      <c r="D156" s="2">
        <v>3</v>
      </c>
      <c r="E156" s="2">
        <v>0</v>
      </c>
      <c r="F156" s="2">
        <v>0</v>
      </c>
      <c r="G156" s="2">
        <v>0</v>
      </c>
      <c r="H156" s="2">
        <v>0</v>
      </c>
      <c r="I156" s="2">
        <v>0</v>
      </c>
      <c r="J156" s="2">
        <v>1</v>
      </c>
      <c r="K156" s="2">
        <v>6967</v>
      </c>
      <c r="L156" s="2">
        <v>1</v>
      </c>
      <c r="M156" s="2">
        <v>3</v>
      </c>
      <c r="N156" s="2">
        <v>4</v>
      </c>
      <c r="O156" s="2">
        <v>0</v>
      </c>
      <c r="P156" s="2">
        <v>1</v>
      </c>
      <c r="Q156" s="2">
        <v>0</v>
      </c>
      <c r="R156" s="2">
        <v>0</v>
      </c>
      <c r="S156" s="2">
        <v>0</v>
      </c>
      <c r="T156" s="2">
        <v>4</v>
      </c>
      <c r="U156" s="2">
        <v>0</v>
      </c>
      <c r="V156" s="2">
        <v>0</v>
      </c>
      <c r="W156" s="2">
        <v>36</v>
      </c>
      <c r="X156" s="2">
        <v>0</v>
      </c>
      <c r="Y156" s="2">
        <v>1</v>
      </c>
      <c r="Z156" s="2">
        <v>0</v>
      </c>
      <c r="AA156" s="2">
        <v>1</v>
      </c>
      <c r="AB156" s="2">
        <v>3</v>
      </c>
      <c r="AC156" s="2">
        <v>1</v>
      </c>
      <c r="AD156" s="2">
        <v>1</v>
      </c>
      <c r="AE156" s="2">
        <v>0</v>
      </c>
      <c r="AF156" s="2">
        <v>1</v>
      </c>
      <c r="AG156" s="20">
        <f t="shared" si="2"/>
        <v>100</v>
      </c>
    </row>
    <row r="157" spans="1:33" x14ac:dyDescent="0.25">
      <c r="A157">
        <v>156</v>
      </c>
      <c r="B157" s="2">
        <v>0</v>
      </c>
      <c r="C157" s="2">
        <v>12</v>
      </c>
      <c r="D157" s="2">
        <v>2</v>
      </c>
      <c r="E157" s="2">
        <v>0</v>
      </c>
      <c r="F157" s="2">
        <v>0</v>
      </c>
      <c r="G157" s="2">
        <v>1</v>
      </c>
      <c r="H157" s="2">
        <v>0</v>
      </c>
      <c r="I157" s="2">
        <v>0</v>
      </c>
      <c r="J157" s="2">
        <v>0</v>
      </c>
      <c r="K157" s="2">
        <v>1282</v>
      </c>
      <c r="L157" s="2">
        <v>0</v>
      </c>
      <c r="M157" s="2">
        <v>2</v>
      </c>
      <c r="N157" s="2">
        <v>2</v>
      </c>
      <c r="O157" s="2">
        <v>0</v>
      </c>
      <c r="P157" s="2">
        <v>0</v>
      </c>
      <c r="Q157" s="2">
        <v>0</v>
      </c>
      <c r="R157" s="2">
        <v>0</v>
      </c>
      <c r="S157" s="2">
        <v>0</v>
      </c>
      <c r="T157" s="2">
        <v>4</v>
      </c>
      <c r="U157" s="2">
        <v>0</v>
      </c>
      <c r="V157" s="2">
        <v>0</v>
      </c>
      <c r="W157" s="2">
        <v>20</v>
      </c>
      <c r="X157" s="2">
        <v>0</v>
      </c>
      <c r="Y157" s="2">
        <v>1</v>
      </c>
      <c r="Z157" s="2">
        <v>0</v>
      </c>
      <c r="AA157" s="2">
        <v>1</v>
      </c>
      <c r="AB157" s="2">
        <v>2</v>
      </c>
      <c r="AC157" s="2">
        <v>1</v>
      </c>
      <c r="AD157" s="2">
        <v>0</v>
      </c>
      <c r="AE157" s="2">
        <v>0</v>
      </c>
      <c r="AF157" s="2">
        <v>0</v>
      </c>
      <c r="AG157" s="20">
        <f t="shared" si="2"/>
        <v>-500</v>
      </c>
    </row>
    <row r="158" spans="1:33" x14ac:dyDescent="0.25">
      <c r="A158">
        <v>157</v>
      </c>
      <c r="B158" s="2">
        <v>0</v>
      </c>
      <c r="C158" s="2">
        <v>9</v>
      </c>
      <c r="D158" s="2">
        <v>4</v>
      </c>
      <c r="E158" s="2">
        <v>0</v>
      </c>
      <c r="F158" s="2">
        <v>0</v>
      </c>
      <c r="G158" s="2">
        <v>0</v>
      </c>
      <c r="H158" s="2">
        <v>0</v>
      </c>
      <c r="I158" s="2">
        <v>0</v>
      </c>
      <c r="J158" s="2">
        <v>0</v>
      </c>
      <c r="K158" s="2">
        <v>1288</v>
      </c>
      <c r="L158" s="2">
        <v>1</v>
      </c>
      <c r="M158" s="2">
        <v>4</v>
      </c>
      <c r="N158" s="2">
        <v>3</v>
      </c>
      <c r="O158" s="2">
        <v>0</v>
      </c>
      <c r="P158" s="2">
        <v>1</v>
      </c>
      <c r="Q158" s="2">
        <v>0</v>
      </c>
      <c r="R158" s="2">
        <v>0</v>
      </c>
      <c r="S158" s="2">
        <v>1</v>
      </c>
      <c r="T158" s="2">
        <v>4</v>
      </c>
      <c r="U158" s="2">
        <v>1</v>
      </c>
      <c r="V158" s="2">
        <v>0</v>
      </c>
      <c r="W158" s="2">
        <v>48</v>
      </c>
      <c r="X158" s="2">
        <v>0</v>
      </c>
      <c r="Y158" s="2">
        <v>0</v>
      </c>
      <c r="Z158" s="2">
        <v>1</v>
      </c>
      <c r="AA158" s="2">
        <v>2</v>
      </c>
      <c r="AB158" s="2">
        <v>2</v>
      </c>
      <c r="AC158" s="2">
        <v>2</v>
      </c>
      <c r="AD158" s="2">
        <v>0</v>
      </c>
      <c r="AE158" s="2">
        <v>1</v>
      </c>
      <c r="AF158" s="2">
        <v>1</v>
      </c>
      <c r="AG158" s="20">
        <f t="shared" si="2"/>
        <v>100</v>
      </c>
    </row>
    <row r="159" spans="1:33" x14ac:dyDescent="0.25">
      <c r="A159">
        <v>158</v>
      </c>
      <c r="B159" s="2">
        <v>0</v>
      </c>
      <c r="C159" s="2">
        <v>12</v>
      </c>
      <c r="D159" s="2">
        <v>1</v>
      </c>
      <c r="E159" s="2">
        <v>0</v>
      </c>
      <c r="F159" s="2">
        <v>0</v>
      </c>
      <c r="G159" s="2">
        <v>0</v>
      </c>
      <c r="H159" s="2">
        <v>0</v>
      </c>
      <c r="I159" s="2">
        <v>0</v>
      </c>
      <c r="J159" s="2">
        <v>0</v>
      </c>
      <c r="K159" s="2">
        <v>339</v>
      </c>
      <c r="L159" s="2">
        <v>0</v>
      </c>
      <c r="M159" s="2">
        <v>4</v>
      </c>
      <c r="N159" s="2">
        <v>4</v>
      </c>
      <c r="O159" s="2">
        <v>0</v>
      </c>
      <c r="P159" s="2">
        <v>0</v>
      </c>
      <c r="Q159" s="2">
        <v>1</v>
      </c>
      <c r="R159" s="2">
        <v>0</v>
      </c>
      <c r="S159" s="2">
        <v>0</v>
      </c>
      <c r="T159" s="2">
        <v>1</v>
      </c>
      <c r="U159" s="2">
        <v>0</v>
      </c>
      <c r="V159" s="2">
        <v>0</v>
      </c>
      <c r="W159" s="2">
        <v>45</v>
      </c>
      <c r="X159" s="2">
        <v>1</v>
      </c>
      <c r="Y159" s="2">
        <v>0</v>
      </c>
      <c r="Z159" s="2">
        <v>1</v>
      </c>
      <c r="AA159" s="2">
        <v>1</v>
      </c>
      <c r="AB159" s="2">
        <v>1</v>
      </c>
      <c r="AC159" s="2">
        <v>1</v>
      </c>
      <c r="AD159" s="2">
        <v>0</v>
      </c>
      <c r="AE159" s="2">
        <v>0</v>
      </c>
      <c r="AF159" s="2">
        <v>1</v>
      </c>
      <c r="AG159" s="20">
        <f t="shared" si="2"/>
        <v>100</v>
      </c>
    </row>
    <row r="160" spans="1:33" x14ac:dyDescent="0.25">
      <c r="A160">
        <v>159</v>
      </c>
      <c r="B160" s="2">
        <v>1</v>
      </c>
      <c r="C160" s="2">
        <v>24</v>
      </c>
      <c r="D160" s="2">
        <v>2</v>
      </c>
      <c r="E160" s="2">
        <v>1</v>
      </c>
      <c r="F160" s="2">
        <v>0</v>
      </c>
      <c r="G160" s="2">
        <v>0</v>
      </c>
      <c r="H160" s="2">
        <v>0</v>
      </c>
      <c r="I160" s="2">
        <v>0</v>
      </c>
      <c r="J160" s="2">
        <v>0</v>
      </c>
      <c r="K160" s="2">
        <v>3512</v>
      </c>
      <c r="L160" s="2">
        <v>1</v>
      </c>
      <c r="M160" s="2">
        <v>3</v>
      </c>
      <c r="N160" s="2">
        <v>2</v>
      </c>
      <c r="O160" s="2">
        <v>0</v>
      </c>
      <c r="P160" s="2">
        <v>1</v>
      </c>
      <c r="Q160" s="2">
        <v>0</v>
      </c>
      <c r="R160" s="2">
        <v>0</v>
      </c>
      <c r="S160" s="2">
        <v>0</v>
      </c>
      <c r="T160" s="2">
        <v>3</v>
      </c>
      <c r="U160" s="2">
        <v>0</v>
      </c>
      <c r="V160" s="2">
        <v>0</v>
      </c>
      <c r="W160" s="2">
        <v>38</v>
      </c>
      <c r="X160" s="2">
        <v>1</v>
      </c>
      <c r="Y160" s="2">
        <v>0</v>
      </c>
      <c r="Z160" s="2">
        <v>1</v>
      </c>
      <c r="AA160" s="2">
        <v>2</v>
      </c>
      <c r="AB160" s="2">
        <v>2</v>
      </c>
      <c r="AC160" s="2">
        <v>1</v>
      </c>
      <c r="AD160" s="2">
        <v>1</v>
      </c>
      <c r="AE160" s="2">
        <v>0</v>
      </c>
      <c r="AF160" s="2">
        <v>1</v>
      </c>
      <c r="AG160" s="20">
        <f t="shared" si="2"/>
        <v>100</v>
      </c>
    </row>
    <row r="161" spans="1:33" x14ac:dyDescent="0.25">
      <c r="A161">
        <v>160</v>
      </c>
      <c r="B161" s="2">
        <v>3</v>
      </c>
      <c r="C161" s="2">
        <v>6</v>
      </c>
      <c r="D161" s="2">
        <v>4</v>
      </c>
      <c r="E161" s="2">
        <v>0</v>
      </c>
      <c r="F161" s="2">
        <v>0</v>
      </c>
      <c r="G161" s="2">
        <v>0</v>
      </c>
      <c r="H161" s="2">
        <v>1</v>
      </c>
      <c r="I161" s="2">
        <v>0</v>
      </c>
      <c r="J161" s="2">
        <v>0</v>
      </c>
      <c r="K161" s="2">
        <v>1898</v>
      </c>
      <c r="L161" s="2">
        <v>4</v>
      </c>
      <c r="M161" s="2">
        <v>2</v>
      </c>
      <c r="N161" s="2">
        <v>1</v>
      </c>
      <c r="O161" s="2">
        <v>0</v>
      </c>
      <c r="P161" s="2">
        <v>1</v>
      </c>
      <c r="Q161" s="2">
        <v>0</v>
      </c>
      <c r="R161" s="2">
        <v>0</v>
      </c>
      <c r="S161" s="2">
        <v>0</v>
      </c>
      <c r="T161" s="2">
        <v>2</v>
      </c>
      <c r="U161" s="2">
        <v>1</v>
      </c>
      <c r="V161" s="2">
        <v>0</v>
      </c>
      <c r="W161" s="2">
        <v>34</v>
      </c>
      <c r="X161" s="2">
        <v>0</v>
      </c>
      <c r="Y161" s="2">
        <v>0</v>
      </c>
      <c r="Z161" s="2">
        <v>1</v>
      </c>
      <c r="AA161" s="2">
        <v>2</v>
      </c>
      <c r="AB161" s="2">
        <v>1</v>
      </c>
      <c r="AC161" s="2">
        <v>2</v>
      </c>
      <c r="AD161" s="2">
        <v>0</v>
      </c>
      <c r="AE161" s="2">
        <v>0</v>
      </c>
      <c r="AF161" s="2">
        <v>1</v>
      </c>
      <c r="AG161" s="20">
        <f t="shared" si="2"/>
        <v>100</v>
      </c>
    </row>
    <row r="162" spans="1:33" x14ac:dyDescent="0.25">
      <c r="A162">
        <v>161</v>
      </c>
      <c r="B162" s="2">
        <v>3</v>
      </c>
      <c r="C162" s="2">
        <v>24</v>
      </c>
      <c r="D162" s="2">
        <v>4</v>
      </c>
      <c r="E162" s="2">
        <v>0</v>
      </c>
      <c r="F162" s="2">
        <v>0</v>
      </c>
      <c r="G162" s="2">
        <v>0</v>
      </c>
      <c r="H162" s="2">
        <v>1</v>
      </c>
      <c r="I162" s="2">
        <v>0</v>
      </c>
      <c r="J162" s="2">
        <v>0</v>
      </c>
      <c r="K162" s="2">
        <v>2872</v>
      </c>
      <c r="L162" s="2">
        <v>1</v>
      </c>
      <c r="M162" s="2">
        <v>4</v>
      </c>
      <c r="N162" s="2">
        <v>3</v>
      </c>
      <c r="O162" s="2">
        <v>0</v>
      </c>
      <c r="P162" s="2">
        <v>1</v>
      </c>
      <c r="Q162" s="2">
        <v>0</v>
      </c>
      <c r="R162" s="2">
        <v>0</v>
      </c>
      <c r="S162" s="2">
        <v>0</v>
      </c>
      <c r="T162" s="2">
        <v>4</v>
      </c>
      <c r="U162" s="2">
        <v>1</v>
      </c>
      <c r="V162" s="2">
        <v>0</v>
      </c>
      <c r="W162" s="2">
        <v>36</v>
      </c>
      <c r="X162" s="2">
        <v>0</v>
      </c>
      <c r="Y162" s="2">
        <v>0</v>
      </c>
      <c r="Z162" s="2">
        <v>1</v>
      </c>
      <c r="AA162" s="2">
        <v>1</v>
      </c>
      <c r="AB162" s="2">
        <v>2</v>
      </c>
      <c r="AC162" s="2">
        <v>2</v>
      </c>
      <c r="AD162" s="2">
        <v>1</v>
      </c>
      <c r="AE162" s="2">
        <v>0</v>
      </c>
      <c r="AF162" s="2">
        <v>1</v>
      </c>
      <c r="AG162" s="20">
        <f t="shared" si="2"/>
        <v>100</v>
      </c>
    </row>
    <row r="163" spans="1:33" x14ac:dyDescent="0.25">
      <c r="A163">
        <v>162</v>
      </c>
      <c r="B163" s="2">
        <v>3</v>
      </c>
      <c r="C163" s="2">
        <v>18</v>
      </c>
      <c r="D163" s="2">
        <v>4</v>
      </c>
      <c r="E163" s="2">
        <v>1</v>
      </c>
      <c r="F163" s="2">
        <v>0</v>
      </c>
      <c r="G163" s="2">
        <v>0</v>
      </c>
      <c r="H163" s="2">
        <v>0</v>
      </c>
      <c r="I163" s="2">
        <v>0</v>
      </c>
      <c r="J163" s="2">
        <v>0</v>
      </c>
      <c r="K163" s="2">
        <v>1055</v>
      </c>
      <c r="L163" s="2">
        <v>0</v>
      </c>
      <c r="M163" s="2">
        <v>1</v>
      </c>
      <c r="N163" s="2">
        <v>4</v>
      </c>
      <c r="O163" s="2">
        <v>0</v>
      </c>
      <c r="P163" s="2">
        <v>0</v>
      </c>
      <c r="Q163" s="2">
        <v>0</v>
      </c>
      <c r="R163" s="2">
        <v>0</v>
      </c>
      <c r="S163" s="2">
        <v>0</v>
      </c>
      <c r="T163" s="2">
        <v>1</v>
      </c>
      <c r="U163" s="2">
        <v>0</v>
      </c>
      <c r="V163" s="2">
        <v>0</v>
      </c>
      <c r="W163" s="2">
        <v>30</v>
      </c>
      <c r="X163" s="2">
        <v>0</v>
      </c>
      <c r="Y163" s="2">
        <v>0</v>
      </c>
      <c r="Z163" s="2">
        <v>1</v>
      </c>
      <c r="AA163" s="2">
        <v>2</v>
      </c>
      <c r="AB163" s="2">
        <v>2</v>
      </c>
      <c r="AC163" s="2">
        <v>1</v>
      </c>
      <c r="AD163" s="2">
        <v>0</v>
      </c>
      <c r="AE163" s="2">
        <v>0</v>
      </c>
      <c r="AF163" s="2">
        <v>1</v>
      </c>
      <c r="AG163" s="20">
        <f t="shared" si="2"/>
        <v>100</v>
      </c>
    </row>
    <row r="164" spans="1:33" x14ac:dyDescent="0.25">
      <c r="A164">
        <v>163</v>
      </c>
      <c r="B164" s="2">
        <v>3</v>
      </c>
      <c r="C164" s="2">
        <v>15</v>
      </c>
      <c r="D164" s="2">
        <v>2</v>
      </c>
      <c r="E164" s="2">
        <v>0</v>
      </c>
      <c r="F164" s="2">
        <v>0</v>
      </c>
      <c r="G164" s="2">
        <v>0</v>
      </c>
      <c r="H164" s="2">
        <v>0</v>
      </c>
      <c r="I164" s="2">
        <v>0</v>
      </c>
      <c r="J164" s="2">
        <v>0</v>
      </c>
      <c r="K164" s="2">
        <v>1262</v>
      </c>
      <c r="L164" s="2">
        <v>2</v>
      </c>
      <c r="M164" s="2">
        <v>3</v>
      </c>
      <c r="N164" s="2">
        <v>4</v>
      </c>
      <c r="O164" s="2">
        <v>0</v>
      </c>
      <c r="P164" s="2">
        <v>1</v>
      </c>
      <c r="Q164" s="2">
        <v>0</v>
      </c>
      <c r="R164" s="2">
        <v>0</v>
      </c>
      <c r="S164" s="2">
        <v>0</v>
      </c>
      <c r="T164" s="2">
        <v>3</v>
      </c>
      <c r="U164" s="2">
        <v>0</v>
      </c>
      <c r="V164" s="2">
        <v>0</v>
      </c>
      <c r="W164" s="2">
        <v>36</v>
      </c>
      <c r="X164" s="2">
        <v>0</v>
      </c>
      <c r="Y164" s="2">
        <v>0</v>
      </c>
      <c r="Z164" s="2">
        <v>1</v>
      </c>
      <c r="AA164" s="2">
        <v>2</v>
      </c>
      <c r="AB164" s="2">
        <v>2</v>
      </c>
      <c r="AC164" s="2">
        <v>1</v>
      </c>
      <c r="AD164" s="2">
        <v>1</v>
      </c>
      <c r="AE164" s="2">
        <v>0</v>
      </c>
      <c r="AF164" s="2">
        <v>1</v>
      </c>
      <c r="AG164" s="20">
        <f t="shared" si="2"/>
        <v>100</v>
      </c>
    </row>
    <row r="165" spans="1:33" x14ac:dyDescent="0.25">
      <c r="A165">
        <v>164</v>
      </c>
      <c r="B165" s="2">
        <v>1</v>
      </c>
      <c r="C165" s="2">
        <v>10</v>
      </c>
      <c r="D165" s="2">
        <v>2</v>
      </c>
      <c r="E165" s="2">
        <v>1</v>
      </c>
      <c r="F165" s="2">
        <v>0</v>
      </c>
      <c r="G165" s="2">
        <v>0</v>
      </c>
      <c r="H165" s="2">
        <v>0</v>
      </c>
      <c r="I165" s="2">
        <v>0</v>
      </c>
      <c r="J165" s="2">
        <v>0</v>
      </c>
      <c r="K165" s="2">
        <v>7308</v>
      </c>
      <c r="L165" s="2">
        <v>0</v>
      </c>
      <c r="M165" s="2">
        <v>0</v>
      </c>
      <c r="N165" s="2">
        <v>2</v>
      </c>
      <c r="O165" s="2">
        <v>0</v>
      </c>
      <c r="P165" s="2">
        <v>1</v>
      </c>
      <c r="Q165" s="2">
        <v>0</v>
      </c>
      <c r="R165" s="2">
        <v>0</v>
      </c>
      <c r="S165" s="2">
        <v>0</v>
      </c>
      <c r="T165" s="2">
        <v>4</v>
      </c>
      <c r="U165" s="2">
        <v>0</v>
      </c>
      <c r="V165" s="2">
        <v>1</v>
      </c>
      <c r="W165" s="2">
        <v>70</v>
      </c>
      <c r="X165" s="2">
        <v>1</v>
      </c>
      <c r="Y165" s="2">
        <v>0</v>
      </c>
      <c r="Z165" s="2">
        <v>0</v>
      </c>
      <c r="AA165" s="2">
        <v>1</v>
      </c>
      <c r="AB165" s="2">
        <v>3</v>
      </c>
      <c r="AC165" s="2">
        <v>1</v>
      </c>
      <c r="AD165" s="2">
        <v>1</v>
      </c>
      <c r="AE165" s="2">
        <v>0</v>
      </c>
      <c r="AF165" s="2">
        <v>1</v>
      </c>
      <c r="AG165" s="20">
        <f t="shared" si="2"/>
        <v>100</v>
      </c>
    </row>
    <row r="166" spans="1:33" x14ac:dyDescent="0.25">
      <c r="A166">
        <v>165</v>
      </c>
      <c r="B166" s="2">
        <v>3</v>
      </c>
      <c r="C166" s="2">
        <v>36</v>
      </c>
      <c r="D166" s="2">
        <v>2</v>
      </c>
      <c r="E166" s="2">
        <v>1</v>
      </c>
      <c r="F166" s="2">
        <v>0</v>
      </c>
      <c r="G166" s="2">
        <v>0</v>
      </c>
      <c r="H166" s="2">
        <v>0</v>
      </c>
      <c r="I166" s="2">
        <v>0</v>
      </c>
      <c r="J166" s="2">
        <v>0</v>
      </c>
      <c r="K166" s="2">
        <v>909</v>
      </c>
      <c r="L166" s="2">
        <v>2</v>
      </c>
      <c r="M166" s="2">
        <v>4</v>
      </c>
      <c r="N166" s="2">
        <v>4</v>
      </c>
      <c r="O166" s="2">
        <v>0</v>
      </c>
      <c r="P166" s="2">
        <v>1</v>
      </c>
      <c r="Q166" s="2">
        <v>0</v>
      </c>
      <c r="R166" s="2">
        <v>0</v>
      </c>
      <c r="S166" s="2">
        <v>0</v>
      </c>
      <c r="T166" s="2">
        <v>4</v>
      </c>
      <c r="U166" s="2">
        <v>0</v>
      </c>
      <c r="V166" s="2">
        <v>0</v>
      </c>
      <c r="W166" s="2">
        <v>36</v>
      </c>
      <c r="X166" s="2">
        <v>0</v>
      </c>
      <c r="Y166" s="2">
        <v>0</v>
      </c>
      <c r="Z166" s="2">
        <v>1</v>
      </c>
      <c r="AA166" s="2">
        <v>1</v>
      </c>
      <c r="AB166" s="2">
        <v>2</v>
      </c>
      <c r="AC166" s="2">
        <v>1</v>
      </c>
      <c r="AD166" s="2">
        <v>0</v>
      </c>
      <c r="AE166" s="2">
        <v>0</v>
      </c>
      <c r="AF166" s="2">
        <v>1</v>
      </c>
      <c r="AG166" s="20">
        <f t="shared" si="2"/>
        <v>100</v>
      </c>
    </row>
    <row r="167" spans="1:33" x14ac:dyDescent="0.25">
      <c r="A167">
        <v>166</v>
      </c>
      <c r="B167" s="2">
        <v>3</v>
      </c>
      <c r="C167" s="2">
        <v>6</v>
      </c>
      <c r="D167" s="2">
        <v>2</v>
      </c>
      <c r="E167" s="2">
        <v>0</v>
      </c>
      <c r="F167" s="2">
        <v>0</v>
      </c>
      <c r="G167" s="2">
        <v>1</v>
      </c>
      <c r="H167" s="2">
        <v>0</v>
      </c>
      <c r="I167" s="2">
        <v>0</v>
      </c>
      <c r="J167" s="2">
        <v>0</v>
      </c>
      <c r="K167" s="2">
        <v>2978</v>
      </c>
      <c r="L167" s="2">
        <v>2</v>
      </c>
      <c r="M167" s="2">
        <v>2</v>
      </c>
      <c r="N167" s="2">
        <v>1</v>
      </c>
      <c r="O167" s="2">
        <v>0</v>
      </c>
      <c r="P167" s="2">
        <v>1</v>
      </c>
      <c r="Q167" s="2">
        <v>0</v>
      </c>
      <c r="R167" s="2">
        <v>0</v>
      </c>
      <c r="S167" s="2">
        <v>0</v>
      </c>
      <c r="T167" s="2">
        <v>2</v>
      </c>
      <c r="U167" s="2">
        <v>0</v>
      </c>
      <c r="V167" s="2">
        <v>0</v>
      </c>
      <c r="W167" s="2">
        <v>32</v>
      </c>
      <c r="X167" s="2">
        <v>0</v>
      </c>
      <c r="Y167" s="2">
        <v>0</v>
      </c>
      <c r="Z167" s="2">
        <v>1</v>
      </c>
      <c r="AA167" s="2">
        <v>1</v>
      </c>
      <c r="AB167" s="2">
        <v>2</v>
      </c>
      <c r="AC167" s="2">
        <v>1</v>
      </c>
      <c r="AD167" s="2">
        <v>1</v>
      </c>
      <c r="AE167" s="2">
        <v>0</v>
      </c>
      <c r="AF167" s="2">
        <v>1</v>
      </c>
      <c r="AG167" s="20">
        <f t="shared" si="2"/>
        <v>100</v>
      </c>
    </row>
    <row r="168" spans="1:33" x14ac:dyDescent="0.25">
      <c r="A168">
        <v>167</v>
      </c>
      <c r="B168" s="2">
        <v>0</v>
      </c>
      <c r="C168" s="2">
        <v>18</v>
      </c>
      <c r="D168" s="2">
        <v>2</v>
      </c>
      <c r="E168" s="2">
        <v>0</v>
      </c>
      <c r="F168" s="2">
        <v>0</v>
      </c>
      <c r="G168" s="2">
        <v>1</v>
      </c>
      <c r="H168" s="2">
        <v>0</v>
      </c>
      <c r="I168" s="2">
        <v>0</v>
      </c>
      <c r="J168" s="2">
        <v>0</v>
      </c>
      <c r="K168" s="2">
        <v>1131</v>
      </c>
      <c r="L168" s="2">
        <v>0</v>
      </c>
      <c r="M168" s="2">
        <v>0</v>
      </c>
      <c r="N168" s="2">
        <v>4</v>
      </c>
      <c r="O168" s="2">
        <v>0</v>
      </c>
      <c r="P168" s="2">
        <v>0</v>
      </c>
      <c r="Q168" s="2">
        <v>0</v>
      </c>
      <c r="R168" s="2">
        <v>0</v>
      </c>
      <c r="S168" s="2">
        <v>0</v>
      </c>
      <c r="T168" s="2">
        <v>2</v>
      </c>
      <c r="U168" s="2">
        <v>0</v>
      </c>
      <c r="V168" s="2">
        <v>0</v>
      </c>
      <c r="W168" s="2">
        <v>33</v>
      </c>
      <c r="X168" s="2">
        <v>0</v>
      </c>
      <c r="Y168" s="2">
        <v>0</v>
      </c>
      <c r="Z168" s="2">
        <v>1</v>
      </c>
      <c r="AA168" s="2">
        <v>1</v>
      </c>
      <c r="AB168" s="2">
        <v>2</v>
      </c>
      <c r="AC168" s="2">
        <v>1</v>
      </c>
      <c r="AD168" s="2">
        <v>0</v>
      </c>
      <c r="AE168" s="2">
        <v>0</v>
      </c>
      <c r="AF168" s="2">
        <v>0</v>
      </c>
      <c r="AG168" s="20">
        <f t="shared" si="2"/>
        <v>-500</v>
      </c>
    </row>
    <row r="169" spans="1:33" x14ac:dyDescent="0.25">
      <c r="A169">
        <v>168</v>
      </c>
      <c r="B169" s="2">
        <v>1</v>
      </c>
      <c r="C169" s="2">
        <v>11</v>
      </c>
      <c r="D169" s="2">
        <v>2</v>
      </c>
      <c r="E169" s="2">
        <v>0</v>
      </c>
      <c r="F169" s="2">
        <v>0</v>
      </c>
      <c r="G169" s="2">
        <v>1</v>
      </c>
      <c r="H169" s="2">
        <v>0</v>
      </c>
      <c r="I169" s="2">
        <v>0</v>
      </c>
      <c r="J169" s="2">
        <v>0</v>
      </c>
      <c r="K169" s="2">
        <v>1577</v>
      </c>
      <c r="L169" s="2">
        <v>3</v>
      </c>
      <c r="M169" s="2">
        <v>1</v>
      </c>
      <c r="N169" s="2">
        <v>4</v>
      </c>
      <c r="O169" s="2">
        <v>0</v>
      </c>
      <c r="P169" s="2">
        <v>0</v>
      </c>
      <c r="Q169" s="2">
        <v>0</v>
      </c>
      <c r="R169" s="2">
        <v>0</v>
      </c>
      <c r="S169" s="2">
        <v>0</v>
      </c>
      <c r="T169" s="2">
        <v>1</v>
      </c>
      <c r="U169" s="2">
        <v>1</v>
      </c>
      <c r="V169" s="2">
        <v>0</v>
      </c>
      <c r="W169" s="2">
        <v>20</v>
      </c>
      <c r="X169" s="2">
        <v>0</v>
      </c>
      <c r="Y169" s="2">
        <v>0</v>
      </c>
      <c r="Z169" s="2">
        <v>1</v>
      </c>
      <c r="AA169" s="2">
        <v>1</v>
      </c>
      <c r="AB169" s="2">
        <v>2</v>
      </c>
      <c r="AC169" s="2">
        <v>1</v>
      </c>
      <c r="AD169" s="2">
        <v>0</v>
      </c>
      <c r="AE169" s="2">
        <v>0</v>
      </c>
      <c r="AF169" s="2">
        <v>1</v>
      </c>
      <c r="AG169" s="20">
        <f t="shared" si="2"/>
        <v>100</v>
      </c>
    </row>
    <row r="170" spans="1:33" x14ac:dyDescent="0.25">
      <c r="A170">
        <v>169</v>
      </c>
      <c r="B170" s="2">
        <v>3</v>
      </c>
      <c r="C170" s="2">
        <v>24</v>
      </c>
      <c r="D170" s="2">
        <v>2</v>
      </c>
      <c r="E170" s="2">
        <v>0</v>
      </c>
      <c r="F170" s="2">
        <v>0</v>
      </c>
      <c r="G170" s="2">
        <v>1</v>
      </c>
      <c r="H170" s="2">
        <v>0</v>
      </c>
      <c r="I170" s="2">
        <v>0</v>
      </c>
      <c r="J170" s="2">
        <v>0</v>
      </c>
      <c r="K170" s="2">
        <v>3972</v>
      </c>
      <c r="L170" s="2">
        <v>0</v>
      </c>
      <c r="M170" s="2">
        <v>3</v>
      </c>
      <c r="N170" s="2">
        <v>2</v>
      </c>
      <c r="O170" s="2">
        <v>0</v>
      </c>
      <c r="P170" s="2">
        <v>0</v>
      </c>
      <c r="Q170" s="2">
        <v>0</v>
      </c>
      <c r="R170" s="2">
        <v>0</v>
      </c>
      <c r="S170" s="2">
        <v>0</v>
      </c>
      <c r="T170" s="2">
        <v>4</v>
      </c>
      <c r="U170" s="2">
        <v>0</v>
      </c>
      <c r="V170" s="2">
        <v>0</v>
      </c>
      <c r="W170" s="2">
        <v>25</v>
      </c>
      <c r="X170" s="2">
        <v>0</v>
      </c>
      <c r="Y170" s="2">
        <v>1</v>
      </c>
      <c r="Z170" s="2">
        <v>0</v>
      </c>
      <c r="AA170" s="2">
        <v>1</v>
      </c>
      <c r="AB170" s="2">
        <v>2</v>
      </c>
      <c r="AC170" s="2">
        <v>1</v>
      </c>
      <c r="AD170" s="2">
        <v>1</v>
      </c>
      <c r="AE170" s="2">
        <v>0</v>
      </c>
      <c r="AF170" s="2">
        <v>1</v>
      </c>
      <c r="AG170" s="20">
        <f t="shared" si="2"/>
        <v>100</v>
      </c>
    </row>
    <row r="171" spans="1:33" x14ac:dyDescent="0.25">
      <c r="A171">
        <v>170</v>
      </c>
      <c r="B171" s="2">
        <v>1</v>
      </c>
      <c r="C171" s="2">
        <v>24</v>
      </c>
      <c r="D171" s="2">
        <v>4</v>
      </c>
      <c r="E171" s="2">
        <v>0</v>
      </c>
      <c r="F171" s="2">
        <v>0</v>
      </c>
      <c r="G171" s="2">
        <v>0</v>
      </c>
      <c r="H171" s="2">
        <v>0</v>
      </c>
      <c r="I171" s="2">
        <v>0</v>
      </c>
      <c r="J171" s="2">
        <v>1</v>
      </c>
      <c r="K171" s="2">
        <v>1935</v>
      </c>
      <c r="L171" s="2">
        <v>0</v>
      </c>
      <c r="M171" s="2">
        <v>4</v>
      </c>
      <c r="N171" s="2">
        <v>4</v>
      </c>
      <c r="O171" s="2">
        <v>1</v>
      </c>
      <c r="P171" s="2">
        <v>0</v>
      </c>
      <c r="Q171" s="2">
        <v>0</v>
      </c>
      <c r="R171" s="2">
        <v>0</v>
      </c>
      <c r="S171" s="2">
        <v>0</v>
      </c>
      <c r="T171" s="2">
        <v>4</v>
      </c>
      <c r="U171" s="2">
        <v>1</v>
      </c>
      <c r="V171" s="2">
        <v>0</v>
      </c>
      <c r="W171" s="2">
        <v>31</v>
      </c>
      <c r="X171" s="2">
        <v>0</v>
      </c>
      <c r="Y171" s="2">
        <v>0</v>
      </c>
      <c r="Z171" s="2">
        <v>1</v>
      </c>
      <c r="AA171" s="2">
        <v>2</v>
      </c>
      <c r="AB171" s="2">
        <v>2</v>
      </c>
      <c r="AC171" s="2">
        <v>1</v>
      </c>
      <c r="AD171" s="2">
        <v>1</v>
      </c>
      <c r="AE171" s="2">
        <v>0</v>
      </c>
      <c r="AF171" s="2">
        <v>0</v>
      </c>
      <c r="AG171" s="20">
        <f t="shared" si="2"/>
        <v>-500</v>
      </c>
    </row>
    <row r="172" spans="1:33" x14ac:dyDescent="0.25">
      <c r="A172">
        <v>171</v>
      </c>
      <c r="B172" s="2">
        <v>0</v>
      </c>
      <c r="C172" s="2">
        <v>15</v>
      </c>
      <c r="D172" s="2">
        <v>0</v>
      </c>
      <c r="E172" s="2">
        <v>1</v>
      </c>
      <c r="F172" s="2">
        <v>0</v>
      </c>
      <c r="G172" s="2">
        <v>0</v>
      </c>
      <c r="H172" s="2">
        <v>0</v>
      </c>
      <c r="I172" s="2">
        <v>0</v>
      </c>
      <c r="J172" s="2">
        <v>0</v>
      </c>
      <c r="K172" s="2">
        <v>950</v>
      </c>
      <c r="L172" s="2">
        <v>0</v>
      </c>
      <c r="M172" s="2">
        <v>4</v>
      </c>
      <c r="N172" s="2">
        <v>4</v>
      </c>
      <c r="O172" s="2">
        <v>0</v>
      </c>
      <c r="P172" s="2">
        <v>1</v>
      </c>
      <c r="Q172" s="2">
        <v>0</v>
      </c>
      <c r="R172" s="2">
        <v>0</v>
      </c>
      <c r="S172" s="2">
        <v>0</v>
      </c>
      <c r="T172" s="2">
        <v>3</v>
      </c>
      <c r="U172" s="2">
        <v>0</v>
      </c>
      <c r="V172" s="2">
        <v>0</v>
      </c>
      <c r="W172" s="2">
        <v>33</v>
      </c>
      <c r="X172" s="2">
        <v>0</v>
      </c>
      <c r="Y172" s="2">
        <v>1</v>
      </c>
      <c r="Z172" s="2">
        <v>0</v>
      </c>
      <c r="AA172" s="2">
        <v>2</v>
      </c>
      <c r="AB172" s="2">
        <v>2</v>
      </c>
      <c r="AC172" s="2">
        <v>2</v>
      </c>
      <c r="AD172" s="2">
        <v>0</v>
      </c>
      <c r="AE172" s="2">
        <v>0</v>
      </c>
      <c r="AF172" s="2">
        <v>0</v>
      </c>
      <c r="AG172" s="20">
        <f t="shared" si="2"/>
        <v>-500</v>
      </c>
    </row>
    <row r="173" spans="1:33" x14ac:dyDescent="0.25">
      <c r="A173">
        <v>172</v>
      </c>
      <c r="B173" s="2">
        <v>3</v>
      </c>
      <c r="C173" s="2">
        <v>12</v>
      </c>
      <c r="D173" s="2">
        <v>2</v>
      </c>
      <c r="E173" s="2">
        <v>0</v>
      </c>
      <c r="F173" s="2">
        <v>0</v>
      </c>
      <c r="G173" s="2">
        <v>1</v>
      </c>
      <c r="H173" s="2">
        <v>0</v>
      </c>
      <c r="I173" s="2">
        <v>0</v>
      </c>
      <c r="J173" s="2">
        <v>0</v>
      </c>
      <c r="K173" s="2">
        <v>763</v>
      </c>
      <c r="L173" s="2">
        <v>0</v>
      </c>
      <c r="M173" s="2">
        <v>2</v>
      </c>
      <c r="N173" s="2">
        <v>4</v>
      </c>
      <c r="O173" s="2">
        <v>0</v>
      </c>
      <c r="P173" s="2">
        <v>0</v>
      </c>
      <c r="Q173" s="2">
        <v>0</v>
      </c>
      <c r="R173" s="2">
        <v>0</v>
      </c>
      <c r="S173" s="2">
        <v>0</v>
      </c>
      <c r="T173" s="2">
        <v>1</v>
      </c>
      <c r="U173" s="2">
        <v>1</v>
      </c>
      <c r="V173" s="2">
        <v>0</v>
      </c>
      <c r="W173" s="2">
        <v>26</v>
      </c>
      <c r="X173" s="2">
        <v>0</v>
      </c>
      <c r="Y173" s="2">
        <v>0</v>
      </c>
      <c r="Z173" s="2">
        <v>1</v>
      </c>
      <c r="AA173" s="2">
        <v>1</v>
      </c>
      <c r="AB173" s="2">
        <v>2</v>
      </c>
      <c r="AC173" s="2">
        <v>1</v>
      </c>
      <c r="AD173" s="2">
        <v>1</v>
      </c>
      <c r="AE173" s="2">
        <v>0</v>
      </c>
      <c r="AF173" s="2">
        <v>1</v>
      </c>
      <c r="AG173" s="20">
        <f t="shared" si="2"/>
        <v>100</v>
      </c>
    </row>
    <row r="174" spans="1:33" x14ac:dyDescent="0.25">
      <c r="A174">
        <v>173</v>
      </c>
      <c r="B174" s="2">
        <v>1</v>
      </c>
      <c r="C174" s="2">
        <v>24</v>
      </c>
      <c r="D174" s="2">
        <v>3</v>
      </c>
      <c r="E174" s="2">
        <v>0</v>
      </c>
      <c r="F174" s="2">
        <v>0</v>
      </c>
      <c r="G174" s="2">
        <v>1</v>
      </c>
      <c r="H174" s="2">
        <v>0</v>
      </c>
      <c r="I174" s="2">
        <v>0</v>
      </c>
      <c r="J174" s="2">
        <v>0</v>
      </c>
      <c r="K174" s="2">
        <v>2064</v>
      </c>
      <c r="L174" s="2">
        <v>0</v>
      </c>
      <c r="M174" s="2">
        <v>0</v>
      </c>
      <c r="N174" s="2">
        <v>3</v>
      </c>
      <c r="O174" s="2">
        <v>0</v>
      </c>
      <c r="P174" s="2">
        <v>0</v>
      </c>
      <c r="Q174" s="2">
        <v>0</v>
      </c>
      <c r="R174" s="2">
        <v>0</v>
      </c>
      <c r="S174" s="2">
        <v>0</v>
      </c>
      <c r="T174" s="2">
        <v>2</v>
      </c>
      <c r="U174" s="2">
        <v>0</v>
      </c>
      <c r="V174" s="2">
        <v>0</v>
      </c>
      <c r="W174" s="2">
        <v>34</v>
      </c>
      <c r="X174" s="2">
        <v>0</v>
      </c>
      <c r="Y174" s="2">
        <v>0</v>
      </c>
      <c r="Z174" s="2">
        <v>1</v>
      </c>
      <c r="AA174" s="2">
        <v>1</v>
      </c>
      <c r="AB174" s="2">
        <v>3</v>
      </c>
      <c r="AC174" s="2">
        <v>1</v>
      </c>
      <c r="AD174" s="2">
        <v>1</v>
      </c>
      <c r="AE174" s="2">
        <v>0</v>
      </c>
      <c r="AF174" s="2">
        <v>0</v>
      </c>
      <c r="AG174" s="20">
        <f t="shared" si="2"/>
        <v>-500</v>
      </c>
    </row>
    <row r="175" spans="1:33" x14ac:dyDescent="0.25">
      <c r="A175">
        <v>174</v>
      </c>
      <c r="B175" s="2">
        <v>1</v>
      </c>
      <c r="C175" s="2">
        <v>8</v>
      </c>
      <c r="D175" s="2">
        <v>2</v>
      </c>
      <c r="E175" s="2">
        <v>0</v>
      </c>
      <c r="F175" s="2">
        <v>0</v>
      </c>
      <c r="G175" s="2">
        <v>0</v>
      </c>
      <c r="H175" s="2">
        <v>1</v>
      </c>
      <c r="I175" s="2">
        <v>0</v>
      </c>
      <c r="J175" s="2">
        <v>0</v>
      </c>
      <c r="K175" s="2">
        <v>1414</v>
      </c>
      <c r="L175" s="2">
        <v>0</v>
      </c>
      <c r="M175" s="2">
        <v>2</v>
      </c>
      <c r="N175" s="2">
        <v>4</v>
      </c>
      <c r="O175" s="2">
        <v>0</v>
      </c>
      <c r="P175" s="2">
        <v>1</v>
      </c>
      <c r="Q175" s="2">
        <v>0</v>
      </c>
      <c r="R175" s="2">
        <v>0</v>
      </c>
      <c r="S175" s="2">
        <v>1</v>
      </c>
      <c r="T175" s="2">
        <v>2</v>
      </c>
      <c r="U175" s="2">
        <v>1</v>
      </c>
      <c r="V175" s="2">
        <v>0</v>
      </c>
      <c r="W175" s="2">
        <v>33</v>
      </c>
      <c r="X175" s="2">
        <v>0</v>
      </c>
      <c r="Y175" s="2">
        <v>0</v>
      </c>
      <c r="Z175" s="2">
        <v>1</v>
      </c>
      <c r="AA175" s="2">
        <v>1</v>
      </c>
      <c r="AB175" s="2">
        <v>2</v>
      </c>
      <c r="AC175" s="2">
        <v>1</v>
      </c>
      <c r="AD175" s="2">
        <v>0</v>
      </c>
      <c r="AE175" s="2">
        <v>1</v>
      </c>
      <c r="AF175" s="2">
        <v>1</v>
      </c>
      <c r="AG175" s="20">
        <f t="shared" si="2"/>
        <v>100</v>
      </c>
    </row>
    <row r="176" spans="1:33" x14ac:dyDescent="0.25">
      <c r="A176">
        <v>175</v>
      </c>
      <c r="B176" s="2">
        <v>0</v>
      </c>
      <c r="C176" s="2">
        <v>21</v>
      </c>
      <c r="D176" s="2">
        <v>3</v>
      </c>
      <c r="E176" s="2">
        <v>0</v>
      </c>
      <c r="F176" s="2">
        <v>0</v>
      </c>
      <c r="G176" s="2">
        <v>0</v>
      </c>
      <c r="H176" s="2">
        <v>0</v>
      </c>
      <c r="I176" s="2">
        <v>1</v>
      </c>
      <c r="J176" s="2">
        <v>0</v>
      </c>
      <c r="K176" s="2">
        <v>3414</v>
      </c>
      <c r="L176" s="2">
        <v>0</v>
      </c>
      <c r="M176" s="2">
        <v>1</v>
      </c>
      <c r="N176" s="2">
        <v>2</v>
      </c>
      <c r="O176" s="2">
        <v>0</v>
      </c>
      <c r="P176" s="2">
        <v>1</v>
      </c>
      <c r="Q176" s="2">
        <v>0</v>
      </c>
      <c r="R176" s="2">
        <v>0</v>
      </c>
      <c r="S176" s="2">
        <v>0</v>
      </c>
      <c r="T176" s="2">
        <v>1</v>
      </c>
      <c r="U176" s="2">
        <v>0</v>
      </c>
      <c r="V176" s="2">
        <v>0</v>
      </c>
      <c r="W176" s="2">
        <v>26</v>
      </c>
      <c r="X176" s="2">
        <v>0</v>
      </c>
      <c r="Y176" s="2">
        <v>0</v>
      </c>
      <c r="Z176" s="2">
        <v>1</v>
      </c>
      <c r="AA176" s="2">
        <v>2</v>
      </c>
      <c r="AB176" s="2">
        <v>2</v>
      </c>
      <c r="AC176" s="2">
        <v>1</v>
      </c>
      <c r="AD176" s="2">
        <v>0</v>
      </c>
      <c r="AE176" s="2">
        <v>0</v>
      </c>
      <c r="AF176" s="2">
        <v>0</v>
      </c>
      <c r="AG176" s="20">
        <f t="shared" si="2"/>
        <v>-500</v>
      </c>
    </row>
    <row r="177" spans="1:33" x14ac:dyDescent="0.25">
      <c r="A177">
        <v>176</v>
      </c>
      <c r="B177" s="2">
        <v>3</v>
      </c>
      <c r="C177" s="2">
        <v>30</v>
      </c>
      <c r="D177" s="2">
        <v>1</v>
      </c>
      <c r="E177" s="2">
        <v>0</v>
      </c>
      <c r="F177" s="2">
        <v>1</v>
      </c>
      <c r="G177" s="2">
        <v>0</v>
      </c>
      <c r="H177" s="2">
        <v>0</v>
      </c>
      <c r="I177" s="2">
        <v>0</v>
      </c>
      <c r="J177" s="2">
        <v>0</v>
      </c>
      <c r="K177" s="2">
        <v>7485</v>
      </c>
      <c r="L177" s="2">
        <v>4</v>
      </c>
      <c r="M177" s="2">
        <v>0</v>
      </c>
      <c r="N177" s="2">
        <v>4</v>
      </c>
      <c r="O177" s="2">
        <v>0</v>
      </c>
      <c r="P177" s="2">
        <v>0</v>
      </c>
      <c r="Q177" s="2">
        <v>0</v>
      </c>
      <c r="R177" s="2">
        <v>0</v>
      </c>
      <c r="S177" s="2">
        <v>0</v>
      </c>
      <c r="T177" s="2">
        <v>1</v>
      </c>
      <c r="U177" s="2">
        <v>1</v>
      </c>
      <c r="V177" s="2">
        <v>0</v>
      </c>
      <c r="W177" s="2">
        <v>53</v>
      </c>
      <c r="X177" s="2">
        <v>1</v>
      </c>
      <c r="Y177" s="2">
        <v>0</v>
      </c>
      <c r="Z177" s="2">
        <v>1</v>
      </c>
      <c r="AA177" s="2">
        <v>1</v>
      </c>
      <c r="AB177" s="2">
        <v>3</v>
      </c>
      <c r="AC177" s="2">
        <v>1</v>
      </c>
      <c r="AD177" s="2">
        <v>1</v>
      </c>
      <c r="AE177" s="2">
        <v>0</v>
      </c>
      <c r="AF177" s="2">
        <v>0</v>
      </c>
      <c r="AG177" s="20">
        <f t="shared" si="2"/>
        <v>-500</v>
      </c>
    </row>
    <row r="178" spans="1:33" x14ac:dyDescent="0.25">
      <c r="A178">
        <v>177</v>
      </c>
      <c r="B178" s="2">
        <v>0</v>
      </c>
      <c r="C178" s="2">
        <v>12</v>
      </c>
      <c r="D178" s="2">
        <v>2</v>
      </c>
      <c r="E178" s="2">
        <v>0</v>
      </c>
      <c r="F178" s="2">
        <v>0</v>
      </c>
      <c r="G178" s="2">
        <v>1</v>
      </c>
      <c r="H178" s="2">
        <v>0</v>
      </c>
      <c r="I178" s="2">
        <v>0</v>
      </c>
      <c r="J178" s="2">
        <v>0</v>
      </c>
      <c r="K178" s="2">
        <v>2577</v>
      </c>
      <c r="L178" s="2">
        <v>0</v>
      </c>
      <c r="M178" s="2">
        <v>2</v>
      </c>
      <c r="N178" s="2">
        <v>2</v>
      </c>
      <c r="O178" s="2">
        <v>1</v>
      </c>
      <c r="P178" s="2">
        <v>0</v>
      </c>
      <c r="Q178" s="2">
        <v>0</v>
      </c>
      <c r="R178" s="2">
        <v>0</v>
      </c>
      <c r="S178" s="2">
        <v>0</v>
      </c>
      <c r="T178" s="2">
        <v>1</v>
      </c>
      <c r="U178" s="2">
        <v>0</v>
      </c>
      <c r="V178" s="2">
        <v>0</v>
      </c>
      <c r="W178" s="2">
        <v>42</v>
      </c>
      <c r="X178" s="2">
        <v>0</v>
      </c>
      <c r="Y178" s="2">
        <v>0</v>
      </c>
      <c r="Z178" s="2">
        <v>1</v>
      </c>
      <c r="AA178" s="2">
        <v>1</v>
      </c>
      <c r="AB178" s="2">
        <v>2</v>
      </c>
      <c r="AC178" s="2">
        <v>1</v>
      </c>
      <c r="AD178" s="2">
        <v>0</v>
      </c>
      <c r="AE178" s="2">
        <v>0</v>
      </c>
      <c r="AF178" s="2">
        <v>1</v>
      </c>
      <c r="AG178" s="20">
        <f t="shared" si="2"/>
        <v>100</v>
      </c>
    </row>
    <row r="179" spans="1:33" x14ac:dyDescent="0.25">
      <c r="A179">
        <v>178</v>
      </c>
      <c r="B179" s="2">
        <v>0</v>
      </c>
      <c r="C179" s="2">
        <v>6</v>
      </c>
      <c r="D179" s="2">
        <v>4</v>
      </c>
      <c r="E179" s="2">
        <v>0</v>
      </c>
      <c r="F179" s="2">
        <v>0</v>
      </c>
      <c r="G179" s="2">
        <v>0</v>
      </c>
      <c r="H179" s="2">
        <v>1</v>
      </c>
      <c r="I179" s="2">
        <v>0</v>
      </c>
      <c r="J179" s="2">
        <v>0</v>
      </c>
      <c r="K179" s="2">
        <v>338</v>
      </c>
      <c r="L179" s="2">
        <v>2</v>
      </c>
      <c r="M179" s="2">
        <v>4</v>
      </c>
      <c r="N179" s="2">
        <v>4</v>
      </c>
      <c r="O179" s="2">
        <v>0</v>
      </c>
      <c r="P179" s="2">
        <v>1</v>
      </c>
      <c r="Q179" s="2">
        <v>0</v>
      </c>
      <c r="R179" s="2">
        <v>0</v>
      </c>
      <c r="S179" s="2">
        <v>0</v>
      </c>
      <c r="T179" s="2">
        <v>4</v>
      </c>
      <c r="U179" s="2">
        <v>0</v>
      </c>
      <c r="V179" s="2">
        <v>0</v>
      </c>
      <c r="W179" s="2">
        <v>52</v>
      </c>
      <c r="X179" s="2">
        <v>0</v>
      </c>
      <c r="Y179" s="2">
        <v>0</v>
      </c>
      <c r="Z179" s="2">
        <v>1</v>
      </c>
      <c r="AA179" s="2">
        <v>2</v>
      </c>
      <c r="AB179" s="2">
        <v>2</v>
      </c>
      <c r="AC179" s="2">
        <v>1</v>
      </c>
      <c r="AD179" s="2">
        <v>0</v>
      </c>
      <c r="AE179" s="2">
        <v>0</v>
      </c>
      <c r="AF179" s="2">
        <v>1</v>
      </c>
      <c r="AG179" s="20">
        <f t="shared" si="2"/>
        <v>100</v>
      </c>
    </row>
    <row r="180" spans="1:33" x14ac:dyDescent="0.25">
      <c r="A180">
        <v>179</v>
      </c>
      <c r="B180" s="2">
        <v>3</v>
      </c>
      <c r="C180" s="2">
        <v>12</v>
      </c>
      <c r="D180" s="2">
        <v>2</v>
      </c>
      <c r="E180" s="2">
        <v>0</v>
      </c>
      <c r="F180" s="2">
        <v>0</v>
      </c>
      <c r="G180" s="2">
        <v>0</v>
      </c>
      <c r="H180" s="2">
        <v>1</v>
      </c>
      <c r="I180" s="2">
        <v>0</v>
      </c>
      <c r="J180" s="2">
        <v>0</v>
      </c>
      <c r="K180" s="2">
        <v>1963</v>
      </c>
      <c r="L180" s="2">
        <v>0</v>
      </c>
      <c r="M180" s="2">
        <v>3</v>
      </c>
      <c r="N180" s="2">
        <v>4</v>
      </c>
      <c r="O180" s="2">
        <v>0</v>
      </c>
      <c r="P180" s="2">
        <v>1</v>
      </c>
      <c r="Q180" s="2">
        <v>0</v>
      </c>
      <c r="R180" s="2">
        <v>0</v>
      </c>
      <c r="S180" s="2">
        <v>0</v>
      </c>
      <c r="T180" s="2">
        <v>2</v>
      </c>
      <c r="U180" s="2">
        <v>0</v>
      </c>
      <c r="V180" s="2">
        <v>0</v>
      </c>
      <c r="W180" s="2">
        <v>31</v>
      </c>
      <c r="X180" s="2">
        <v>0</v>
      </c>
      <c r="Y180" s="2">
        <v>1</v>
      </c>
      <c r="Z180" s="2">
        <v>0</v>
      </c>
      <c r="AA180" s="2">
        <v>2</v>
      </c>
      <c r="AB180" s="2">
        <v>3</v>
      </c>
      <c r="AC180" s="2">
        <v>2</v>
      </c>
      <c r="AD180" s="2">
        <v>1</v>
      </c>
      <c r="AE180" s="2">
        <v>0</v>
      </c>
      <c r="AF180" s="2">
        <v>1</v>
      </c>
      <c r="AG180" s="20">
        <f t="shared" si="2"/>
        <v>100</v>
      </c>
    </row>
    <row r="181" spans="1:33" x14ac:dyDescent="0.25">
      <c r="A181">
        <v>180</v>
      </c>
      <c r="B181" s="2">
        <v>0</v>
      </c>
      <c r="C181" s="2">
        <v>21</v>
      </c>
      <c r="D181" s="2">
        <v>4</v>
      </c>
      <c r="E181" s="2">
        <v>1</v>
      </c>
      <c r="F181" s="2">
        <v>0</v>
      </c>
      <c r="G181" s="2">
        <v>0</v>
      </c>
      <c r="H181" s="2">
        <v>0</v>
      </c>
      <c r="I181" s="2">
        <v>0</v>
      </c>
      <c r="J181" s="2">
        <v>0</v>
      </c>
      <c r="K181" s="2">
        <v>571</v>
      </c>
      <c r="L181" s="2">
        <v>0</v>
      </c>
      <c r="M181" s="2">
        <v>4</v>
      </c>
      <c r="N181" s="2">
        <v>4</v>
      </c>
      <c r="O181" s="2">
        <v>0</v>
      </c>
      <c r="P181" s="2">
        <v>1</v>
      </c>
      <c r="Q181" s="2">
        <v>0</v>
      </c>
      <c r="R181" s="2">
        <v>0</v>
      </c>
      <c r="S181" s="2">
        <v>0</v>
      </c>
      <c r="T181" s="2">
        <v>4</v>
      </c>
      <c r="U181" s="2">
        <v>1</v>
      </c>
      <c r="V181" s="2">
        <v>0</v>
      </c>
      <c r="W181" s="2">
        <v>65</v>
      </c>
      <c r="X181" s="2">
        <v>0</v>
      </c>
      <c r="Y181" s="2">
        <v>0</v>
      </c>
      <c r="Z181" s="2">
        <v>1</v>
      </c>
      <c r="AA181" s="2">
        <v>2</v>
      </c>
      <c r="AB181" s="2">
        <v>2</v>
      </c>
      <c r="AC181" s="2">
        <v>1</v>
      </c>
      <c r="AD181" s="2">
        <v>0</v>
      </c>
      <c r="AE181" s="2">
        <v>0</v>
      </c>
      <c r="AF181" s="2">
        <v>1</v>
      </c>
      <c r="AG181" s="20">
        <f t="shared" si="2"/>
        <v>100</v>
      </c>
    </row>
    <row r="182" spans="1:33" x14ac:dyDescent="0.25">
      <c r="A182">
        <v>181</v>
      </c>
      <c r="B182" s="2">
        <v>3</v>
      </c>
      <c r="C182" s="2">
        <v>36</v>
      </c>
      <c r="D182" s="2">
        <v>3</v>
      </c>
      <c r="E182" s="2">
        <v>0</v>
      </c>
      <c r="F182" s="2">
        <v>0</v>
      </c>
      <c r="G182" s="2">
        <v>0</v>
      </c>
      <c r="H182" s="2">
        <v>0</v>
      </c>
      <c r="I182" s="2">
        <v>0</v>
      </c>
      <c r="J182" s="2">
        <v>1</v>
      </c>
      <c r="K182" s="2">
        <v>9572</v>
      </c>
      <c r="L182" s="2">
        <v>0</v>
      </c>
      <c r="M182" s="2">
        <v>1</v>
      </c>
      <c r="N182" s="2">
        <v>1</v>
      </c>
      <c r="O182" s="2">
        <v>1</v>
      </c>
      <c r="P182" s="2">
        <v>0</v>
      </c>
      <c r="Q182" s="2">
        <v>0</v>
      </c>
      <c r="R182" s="2">
        <v>0</v>
      </c>
      <c r="S182" s="2">
        <v>0</v>
      </c>
      <c r="T182" s="2">
        <v>1</v>
      </c>
      <c r="U182" s="2">
        <v>0</v>
      </c>
      <c r="V182" s="2">
        <v>0</v>
      </c>
      <c r="W182" s="2">
        <v>28</v>
      </c>
      <c r="X182" s="2">
        <v>0</v>
      </c>
      <c r="Y182" s="2">
        <v>0</v>
      </c>
      <c r="Z182" s="2">
        <v>1</v>
      </c>
      <c r="AA182" s="2">
        <v>2</v>
      </c>
      <c r="AB182" s="2">
        <v>2</v>
      </c>
      <c r="AC182" s="2">
        <v>1</v>
      </c>
      <c r="AD182" s="2">
        <v>0</v>
      </c>
      <c r="AE182" s="2">
        <v>0</v>
      </c>
      <c r="AF182" s="2">
        <v>0</v>
      </c>
      <c r="AG182" s="20">
        <f t="shared" si="2"/>
        <v>-500</v>
      </c>
    </row>
    <row r="183" spans="1:33" x14ac:dyDescent="0.25">
      <c r="A183">
        <v>182</v>
      </c>
      <c r="B183" s="2">
        <v>1</v>
      </c>
      <c r="C183" s="2">
        <v>36</v>
      </c>
      <c r="D183" s="2">
        <v>3</v>
      </c>
      <c r="E183" s="2">
        <v>0</v>
      </c>
      <c r="F183" s="2">
        <v>0</v>
      </c>
      <c r="G183" s="2">
        <v>0</v>
      </c>
      <c r="H183" s="2">
        <v>0</v>
      </c>
      <c r="I183" s="2">
        <v>0</v>
      </c>
      <c r="J183" s="2">
        <v>1</v>
      </c>
      <c r="K183" s="2">
        <v>4455</v>
      </c>
      <c r="L183" s="2">
        <v>0</v>
      </c>
      <c r="M183" s="2">
        <v>2</v>
      </c>
      <c r="N183" s="2">
        <v>2</v>
      </c>
      <c r="O183" s="2">
        <v>1</v>
      </c>
      <c r="P183" s="2">
        <v>0</v>
      </c>
      <c r="Q183" s="2">
        <v>0</v>
      </c>
      <c r="R183" s="2">
        <v>0</v>
      </c>
      <c r="S183" s="2">
        <v>0</v>
      </c>
      <c r="T183" s="2">
        <v>2</v>
      </c>
      <c r="U183" s="2">
        <v>1</v>
      </c>
      <c r="V183" s="2">
        <v>0</v>
      </c>
      <c r="W183" s="2">
        <v>30</v>
      </c>
      <c r="X183" s="2">
        <v>1</v>
      </c>
      <c r="Y183" s="2">
        <v>0</v>
      </c>
      <c r="Z183" s="2">
        <v>1</v>
      </c>
      <c r="AA183" s="2">
        <v>2</v>
      </c>
      <c r="AB183" s="2">
        <v>3</v>
      </c>
      <c r="AC183" s="2">
        <v>1</v>
      </c>
      <c r="AD183" s="2">
        <v>1</v>
      </c>
      <c r="AE183" s="2">
        <v>0</v>
      </c>
      <c r="AF183" s="2">
        <v>0</v>
      </c>
      <c r="AG183" s="20">
        <f t="shared" si="2"/>
        <v>-500</v>
      </c>
    </row>
    <row r="184" spans="1:33" x14ac:dyDescent="0.25">
      <c r="A184">
        <v>183</v>
      </c>
      <c r="B184" s="2">
        <v>0</v>
      </c>
      <c r="C184" s="2">
        <v>21</v>
      </c>
      <c r="D184" s="2">
        <v>1</v>
      </c>
      <c r="E184" s="2">
        <v>1</v>
      </c>
      <c r="F184" s="2">
        <v>0</v>
      </c>
      <c r="G184" s="2">
        <v>0</v>
      </c>
      <c r="H184" s="2">
        <v>0</v>
      </c>
      <c r="I184" s="2">
        <v>0</v>
      </c>
      <c r="J184" s="2">
        <v>0</v>
      </c>
      <c r="K184" s="2">
        <v>1647</v>
      </c>
      <c r="L184" s="2">
        <v>4</v>
      </c>
      <c r="M184" s="2">
        <v>2</v>
      </c>
      <c r="N184" s="2">
        <v>4</v>
      </c>
      <c r="O184" s="2">
        <v>0</v>
      </c>
      <c r="P184" s="2">
        <v>1</v>
      </c>
      <c r="Q184" s="2">
        <v>0</v>
      </c>
      <c r="R184" s="2">
        <v>0</v>
      </c>
      <c r="S184" s="2">
        <v>0</v>
      </c>
      <c r="T184" s="2">
        <v>2</v>
      </c>
      <c r="U184" s="2">
        <v>0</v>
      </c>
      <c r="V184" s="2">
        <v>0</v>
      </c>
      <c r="W184" s="2">
        <v>40</v>
      </c>
      <c r="X184" s="2">
        <v>0</v>
      </c>
      <c r="Y184" s="2">
        <v>0</v>
      </c>
      <c r="Z184" s="2">
        <v>1</v>
      </c>
      <c r="AA184" s="2">
        <v>2</v>
      </c>
      <c r="AB184" s="2">
        <v>1</v>
      </c>
      <c r="AC184" s="2">
        <v>2</v>
      </c>
      <c r="AD184" s="2">
        <v>0</v>
      </c>
      <c r="AE184" s="2">
        <v>0</v>
      </c>
      <c r="AF184" s="2">
        <v>0</v>
      </c>
      <c r="AG184" s="20">
        <f t="shared" si="2"/>
        <v>-500</v>
      </c>
    </row>
    <row r="185" spans="1:33" x14ac:dyDescent="0.25">
      <c r="A185">
        <v>184</v>
      </c>
      <c r="B185" s="2">
        <v>3</v>
      </c>
      <c r="C185" s="2">
        <v>24</v>
      </c>
      <c r="D185" s="2">
        <v>4</v>
      </c>
      <c r="E185" s="2">
        <v>0</v>
      </c>
      <c r="F185" s="2">
        <v>0</v>
      </c>
      <c r="G185" s="2">
        <v>1</v>
      </c>
      <c r="H185" s="2">
        <v>0</v>
      </c>
      <c r="I185" s="2">
        <v>0</v>
      </c>
      <c r="J185" s="2">
        <v>0</v>
      </c>
      <c r="K185" s="2">
        <v>3777</v>
      </c>
      <c r="L185" s="2">
        <v>3</v>
      </c>
      <c r="M185" s="2">
        <v>2</v>
      </c>
      <c r="N185" s="2">
        <v>4</v>
      </c>
      <c r="O185" s="2">
        <v>0</v>
      </c>
      <c r="P185" s="2">
        <v>1</v>
      </c>
      <c r="Q185" s="2">
        <v>0</v>
      </c>
      <c r="R185" s="2">
        <v>0</v>
      </c>
      <c r="S185" s="2">
        <v>0</v>
      </c>
      <c r="T185" s="2">
        <v>4</v>
      </c>
      <c r="U185" s="2">
        <v>1</v>
      </c>
      <c r="V185" s="2">
        <v>0</v>
      </c>
      <c r="W185" s="2">
        <v>50</v>
      </c>
      <c r="X185" s="2">
        <v>0</v>
      </c>
      <c r="Y185" s="2">
        <v>0</v>
      </c>
      <c r="Z185" s="2">
        <v>1</v>
      </c>
      <c r="AA185" s="2">
        <v>1</v>
      </c>
      <c r="AB185" s="2">
        <v>2</v>
      </c>
      <c r="AC185" s="2">
        <v>1</v>
      </c>
      <c r="AD185" s="2">
        <v>1</v>
      </c>
      <c r="AE185" s="2">
        <v>0</v>
      </c>
      <c r="AF185" s="2">
        <v>1</v>
      </c>
      <c r="AG185" s="20">
        <f t="shared" si="2"/>
        <v>100</v>
      </c>
    </row>
    <row r="186" spans="1:33" x14ac:dyDescent="0.25">
      <c r="A186">
        <v>185</v>
      </c>
      <c r="B186" s="2">
        <v>1</v>
      </c>
      <c r="C186" s="2">
        <v>18</v>
      </c>
      <c r="D186" s="2">
        <v>4</v>
      </c>
      <c r="E186" s="2">
        <v>1</v>
      </c>
      <c r="F186" s="2">
        <v>0</v>
      </c>
      <c r="G186" s="2">
        <v>0</v>
      </c>
      <c r="H186" s="2">
        <v>0</v>
      </c>
      <c r="I186" s="2">
        <v>0</v>
      </c>
      <c r="J186" s="2">
        <v>0</v>
      </c>
      <c r="K186" s="2">
        <v>884</v>
      </c>
      <c r="L186" s="2">
        <v>0</v>
      </c>
      <c r="M186" s="2">
        <v>4</v>
      </c>
      <c r="N186" s="2">
        <v>4</v>
      </c>
      <c r="O186" s="2">
        <v>0</v>
      </c>
      <c r="P186" s="2">
        <v>1</v>
      </c>
      <c r="Q186" s="2">
        <v>0</v>
      </c>
      <c r="R186" s="2">
        <v>0</v>
      </c>
      <c r="S186" s="2">
        <v>0</v>
      </c>
      <c r="T186" s="2">
        <v>4</v>
      </c>
      <c r="U186" s="2">
        <v>0</v>
      </c>
      <c r="V186" s="2">
        <v>0</v>
      </c>
      <c r="W186" s="2">
        <v>36</v>
      </c>
      <c r="X186" s="2">
        <v>1</v>
      </c>
      <c r="Y186" s="2">
        <v>0</v>
      </c>
      <c r="Z186" s="2">
        <v>1</v>
      </c>
      <c r="AA186" s="2">
        <v>1</v>
      </c>
      <c r="AB186" s="2">
        <v>2</v>
      </c>
      <c r="AC186" s="2">
        <v>2</v>
      </c>
      <c r="AD186" s="2">
        <v>1</v>
      </c>
      <c r="AE186" s="2">
        <v>0</v>
      </c>
      <c r="AF186" s="2">
        <v>0</v>
      </c>
      <c r="AG186" s="20">
        <f t="shared" si="2"/>
        <v>-500</v>
      </c>
    </row>
    <row r="187" spans="1:33" x14ac:dyDescent="0.25">
      <c r="A187">
        <v>186</v>
      </c>
      <c r="B187" s="2">
        <v>3</v>
      </c>
      <c r="C187" s="2">
        <v>15</v>
      </c>
      <c r="D187" s="2">
        <v>4</v>
      </c>
      <c r="E187" s="2">
        <v>0</v>
      </c>
      <c r="F187" s="2">
        <v>0</v>
      </c>
      <c r="G187" s="2">
        <v>0</v>
      </c>
      <c r="H187" s="2">
        <v>1</v>
      </c>
      <c r="I187" s="2">
        <v>0</v>
      </c>
      <c r="J187" s="2">
        <v>0</v>
      </c>
      <c r="K187" s="2">
        <v>1360</v>
      </c>
      <c r="L187" s="2">
        <v>0</v>
      </c>
      <c r="M187" s="2">
        <v>2</v>
      </c>
      <c r="N187" s="2">
        <v>4</v>
      </c>
      <c r="O187" s="2">
        <v>0</v>
      </c>
      <c r="P187" s="2">
        <v>1</v>
      </c>
      <c r="Q187" s="2">
        <v>0</v>
      </c>
      <c r="R187" s="2">
        <v>0</v>
      </c>
      <c r="S187" s="2">
        <v>0</v>
      </c>
      <c r="T187" s="2">
        <v>2</v>
      </c>
      <c r="U187" s="2">
        <v>0</v>
      </c>
      <c r="V187" s="2">
        <v>0</v>
      </c>
      <c r="W187" s="2">
        <v>31</v>
      </c>
      <c r="X187" s="2">
        <v>0</v>
      </c>
      <c r="Y187" s="2">
        <v>0</v>
      </c>
      <c r="Z187" s="2">
        <v>1</v>
      </c>
      <c r="AA187" s="2">
        <v>2</v>
      </c>
      <c r="AB187" s="2">
        <v>2</v>
      </c>
      <c r="AC187" s="2">
        <v>1</v>
      </c>
      <c r="AD187" s="2">
        <v>0</v>
      </c>
      <c r="AE187" s="2">
        <v>0</v>
      </c>
      <c r="AF187" s="2">
        <v>1</v>
      </c>
      <c r="AG187" s="20">
        <f t="shared" si="2"/>
        <v>100</v>
      </c>
    </row>
    <row r="188" spans="1:33" x14ac:dyDescent="0.25">
      <c r="A188">
        <v>187</v>
      </c>
      <c r="B188" s="2">
        <v>1</v>
      </c>
      <c r="C188" s="2">
        <v>9</v>
      </c>
      <c r="D188" s="2">
        <v>1</v>
      </c>
      <c r="E188" s="2">
        <v>0</v>
      </c>
      <c r="F188" s="2">
        <v>1</v>
      </c>
      <c r="G188" s="2">
        <v>0</v>
      </c>
      <c r="H188" s="2">
        <v>0</v>
      </c>
      <c r="I188" s="2">
        <v>0</v>
      </c>
      <c r="J188" s="2">
        <v>0</v>
      </c>
      <c r="K188" s="2">
        <v>5129</v>
      </c>
      <c r="L188" s="2">
        <v>0</v>
      </c>
      <c r="M188" s="2">
        <v>4</v>
      </c>
      <c r="N188" s="2">
        <v>2</v>
      </c>
      <c r="O188" s="2">
        <v>0</v>
      </c>
      <c r="P188" s="2">
        <v>0</v>
      </c>
      <c r="Q188" s="2">
        <v>0</v>
      </c>
      <c r="R188" s="2">
        <v>0</v>
      </c>
      <c r="S188" s="2">
        <v>0</v>
      </c>
      <c r="T188" s="2">
        <v>4</v>
      </c>
      <c r="U188" s="2">
        <v>0</v>
      </c>
      <c r="V188" s="2">
        <v>1</v>
      </c>
      <c r="W188" s="2">
        <v>74</v>
      </c>
      <c r="X188" s="2">
        <v>1</v>
      </c>
      <c r="Y188" s="2">
        <v>0</v>
      </c>
      <c r="Z188" s="2">
        <v>0</v>
      </c>
      <c r="AA188" s="2">
        <v>1</v>
      </c>
      <c r="AB188" s="2">
        <v>3</v>
      </c>
      <c r="AC188" s="2">
        <v>2</v>
      </c>
      <c r="AD188" s="2">
        <v>1</v>
      </c>
      <c r="AE188" s="2">
        <v>0</v>
      </c>
      <c r="AF188" s="2">
        <v>0</v>
      </c>
      <c r="AG188" s="20">
        <f t="shared" si="2"/>
        <v>-500</v>
      </c>
    </row>
    <row r="189" spans="1:33" x14ac:dyDescent="0.25">
      <c r="A189">
        <v>188</v>
      </c>
      <c r="B189" s="2">
        <v>1</v>
      </c>
      <c r="C189" s="2">
        <v>16</v>
      </c>
      <c r="D189" s="2">
        <v>4</v>
      </c>
      <c r="E189" s="2">
        <v>1</v>
      </c>
      <c r="F189" s="2">
        <v>0</v>
      </c>
      <c r="G189" s="2">
        <v>0</v>
      </c>
      <c r="H189" s="2">
        <v>0</v>
      </c>
      <c r="I189" s="2">
        <v>0</v>
      </c>
      <c r="J189" s="2">
        <v>0</v>
      </c>
      <c r="K189" s="2">
        <v>1175</v>
      </c>
      <c r="L189" s="2">
        <v>0</v>
      </c>
      <c r="M189" s="2">
        <v>0</v>
      </c>
      <c r="N189" s="2">
        <v>2</v>
      </c>
      <c r="O189" s="2">
        <v>0</v>
      </c>
      <c r="P189" s="2">
        <v>1</v>
      </c>
      <c r="Q189" s="2">
        <v>0</v>
      </c>
      <c r="R189" s="2">
        <v>0</v>
      </c>
      <c r="S189" s="2">
        <v>0</v>
      </c>
      <c r="T189" s="2">
        <v>3</v>
      </c>
      <c r="U189" s="2">
        <v>0</v>
      </c>
      <c r="V189" s="2">
        <v>0</v>
      </c>
      <c r="W189" s="2">
        <v>68</v>
      </c>
      <c r="X189" s="2">
        <v>0</v>
      </c>
      <c r="Y189" s="2">
        <v>0</v>
      </c>
      <c r="Z189" s="2">
        <v>0</v>
      </c>
      <c r="AA189" s="2">
        <v>3</v>
      </c>
      <c r="AB189" s="2">
        <v>0</v>
      </c>
      <c r="AC189" s="2">
        <v>1</v>
      </c>
      <c r="AD189" s="2">
        <v>1</v>
      </c>
      <c r="AE189" s="2">
        <v>0</v>
      </c>
      <c r="AF189" s="2">
        <v>1</v>
      </c>
      <c r="AG189" s="20">
        <f t="shared" si="2"/>
        <v>100</v>
      </c>
    </row>
    <row r="190" spans="1:33" x14ac:dyDescent="0.25">
      <c r="A190">
        <v>189</v>
      </c>
      <c r="B190" s="2">
        <v>0</v>
      </c>
      <c r="C190" s="2">
        <v>12</v>
      </c>
      <c r="D190" s="2">
        <v>2</v>
      </c>
      <c r="E190" s="2">
        <v>0</v>
      </c>
      <c r="F190" s="2">
        <v>0</v>
      </c>
      <c r="G190" s="2">
        <v>0</v>
      </c>
      <c r="H190" s="2">
        <v>1</v>
      </c>
      <c r="I190" s="2">
        <v>0</v>
      </c>
      <c r="J190" s="2">
        <v>0</v>
      </c>
      <c r="K190" s="2">
        <v>674</v>
      </c>
      <c r="L190" s="2">
        <v>1</v>
      </c>
      <c r="M190" s="2">
        <v>3</v>
      </c>
      <c r="N190" s="2">
        <v>4</v>
      </c>
      <c r="O190" s="2">
        <v>0</v>
      </c>
      <c r="P190" s="2">
        <v>0</v>
      </c>
      <c r="Q190" s="2">
        <v>1</v>
      </c>
      <c r="R190" s="2">
        <v>0</v>
      </c>
      <c r="S190" s="2">
        <v>0</v>
      </c>
      <c r="T190" s="2">
        <v>1</v>
      </c>
      <c r="U190" s="2">
        <v>0</v>
      </c>
      <c r="V190" s="2">
        <v>0</v>
      </c>
      <c r="W190" s="2">
        <v>20</v>
      </c>
      <c r="X190" s="2">
        <v>0</v>
      </c>
      <c r="Y190" s="2">
        <v>0</v>
      </c>
      <c r="Z190" s="2">
        <v>1</v>
      </c>
      <c r="AA190" s="2">
        <v>1</v>
      </c>
      <c r="AB190" s="2">
        <v>2</v>
      </c>
      <c r="AC190" s="2">
        <v>1</v>
      </c>
      <c r="AD190" s="2">
        <v>0</v>
      </c>
      <c r="AE190" s="2">
        <v>0</v>
      </c>
      <c r="AF190" s="2">
        <v>0</v>
      </c>
      <c r="AG190" s="20">
        <f t="shared" si="2"/>
        <v>-500</v>
      </c>
    </row>
    <row r="191" spans="1:33" x14ac:dyDescent="0.25">
      <c r="A191">
        <v>190</v>
      </c>
      <c r="B191" s="2">
        <v>1</v>
      </c>
      <c r="C191" s="2">
        <v>18</v>
      </c>
      <c r="D191" s="2">
        <v>0</v>
      </c>
      <c r="E191" s="2">
        <v>0</v>
      </c>
      <c r="F191" s="2">
        <v>0</v>
      </c>
      <c r="G191" s="2">
        <v>1</v>
      </c>
      <c r="H191" s="2">
        <v>0</v>
      </c>
      <c r="I191" s="2">
        <v>0</v>
      </c>
      <c r="J191" s="2">
        <v>0</v>
      </c>
      <c r="K191" s="2">
        <v>3244</v>
      </c>
      <c r="L191" s="2">
        <v>0</v>
      </c>
      <c r="M191" s="2">
        <v>2</v>
      </c>
      <c r="N191" s="2">
        <v>1</v>
      </c>
      <c r="O191" s="2">
        <v>0</v>
      </c>
      <c r="P191" s="2">
        <v>0</v>
      </c>
      <c r="Q191" s="2">
        <v>0</v>
      </c>
      <c r="R191" s="2">
        <v>0</v>
      </c>
      <c r="S191" s="2">
        <v>0</v>
      </c>
      <c r="T191" s="2">
        <v>4</v>
      </c>
      <c r="U191" s="2">
        <v>0</v>
      </c>
      <c r="V191" s="2">
        <v>0</v>
      </c>
      <c r="W191" s="2">
        <v>33</v>
      </c>
      <c r="X191" s="2">
        <v>1</v>
      </c>
      <c r="Y191" s="2">
        <v>0</v>
      </c>
      <c r="Z191" s="2">
        <v>1</v>
      </c>
      <c r="AA191" s="2">
        <v>2</v>
      </c>
      <c r="AB191" s="2">
        <v>2</v>
      </c>
      <c r="AC191" s="2">
        <v>1</v>
      </c>
      <c r="AD191" s="2">
        <v>1</v>
      </c>
      <c r="AE191" s="2">
        <v>0</v>
      </c>
      <c r="AF191" s="2">
        <v>1</v>
      </c>
      <c r="AG191" s="20">
        <f t="shared" si="2"/>
        <v>100</v>
      </c>
    </row>
    <row r="192" spans="1:33" x14ac:dyDescent="0.25">
      <c r="A192">
        <v>191</v>
      </c>
      <c r="B192" s="2">
        <v>3</v>
      </c>
      <c r="C192" s="2">
        <v>24</v>
      </c>
      <c r="D192" s="2">
        <v>2</v>
      </c>
      <c r="E192" s="2">
        <v>0</v>
      </c>
      <c r="F192" s="2">
        <v>0</v>
      </c>
      <c r="G192" s="2">
        <v>0</v>
      </c>
      <c r="H192" s="2">
        <v>0</v>
      </c>
      <c r="I192" s="2">
        <v>0</v>
      </c>
      <c r="J192" s="2">
        <v>1</v>
      </c>
      <c r="K192" s="2">
        <v>4591</v>
      </c>
      <c r="L192" s="2">
        <v>3</v>
      </c>
      <c r="M192" s="2">
        <v>2</v>
      </c>
      <c r="N192" s="2">
        <v>2</v>
      </c>
      <c r="O192" s="2">
        <v>0</v>
      </c>
      <c r="P192" s="2">
        <v>1</v>
      </c>
      <c r="Q192" s="2">
        <v>0</v>
      </c>
      <c r="R192" s="2">
        <v>0</v>
      </c>
      <c r="S192" s="2">
        <v>0</v>
      </c>
      <c r="T192" s="2">
        <v>3</v>
      </c>
      <c r="U192" s="2">
        <v>0</v>
      </c>
      <c r="V192" s="2">
        <v>0</v>
      </c>
      <c r="W192" s="2">
        <v>54</v>
      </c>
      <c r="X192" s="2">
        <v>0</v>
      </c>
      <c r="Y192" s="2">
        <v>0</v>
      </c>
      <c r="Z192" s="2">
        <v>1</v>
      </c>
      <c r="AA192" s="2">
        <v>3</v>
      </c>
      <c r="AB192" s="2">
        <v>3</v>
      </c>
      <c r="AC192" s="2">
        <v>1</v>
      </c>
      <c r="AD192" s="2">
        <v>1</v>
      </c>
      <c r="AE192" s="2">
        <v>0</v>
      </c>
      <c r="AF192" s="2">
        <v>0</v>
      </c>
      <c r="AG192" s="20">
        <f t="shared" si="2"/>
        <v>-500</v>
      </c>
    </row>
    <row r="193" spans="1:33" x14ac:dyDescent="0.25">
      <c r="A193">
        <v>192</v>
      </c>
      <c r="B193" s="2">
        <v>1</v>
      </c>
      <c r="C193" s="2">
        <v>48</v>
      </c>
      <c r="D193" s="2">
        <v>0</v>
      </c>
      <c r="E193" s="2">
        <v>0</v>
      </c>
      <c r="F193" s="2">
        <v>0</v>
      </c>
      <c r="G193" s="2">
        <v>0</v>
      </c>
      <c r="H193" s="2">
        <v>0</v>
      </c>
      <c r="I193" s="2">
        <v>0</v>
      </c>
      <c r="J193" s="2">
        <v>1</v>
      </c>
      <c r="K193" s="2">
        <v>3844</v>
      </c>
      <c r="L193" s="2">
        <v>1</v>
      </c>
      <c r="M193" s="2">
        <v>3</v>
      </c>
      <c r="N193" s="2">
        <v>4</v>
      </c>
      <c r="O193" s="2">
        <v>0</v>
      </c>
      <c r="P193" s="2">
        <v>1</v>
      </c>
      <c r="Q193" s="2">
        <v>0</v>
      </c>
      <c r="R193" s="2">
        <v>0</v>
      </c>
      <c r="S193" s="2">
        <v>0</v>
      </c>
      <c r="T193" s="2">
        <v>4</v>
      </c>
      <c r="U193" s="2">
        <v>0</v>
      </c>
      <c r="V193" s="2">
        <v>1</v>
      </c>
      <c r="W193" s="2">
        <v>34</v>
      </c>
      <c r="X193" s="2">
        <v>0</v>
      </c>
      <c r="Y193" s="2">
        <v>0</v>
      </c>
      <c r="Z193" s="2">
        <v>0</v>
      </c>
      <c r="AA193" s="2">
        <v>1</v>
      </c>
      <c r="AB193" s="2">
        <v>1</v>
      </c>
      <c r="AC193" s="2">
        <v>2</v>
      </c>
      <c r="AD193" s="2">
        <v>0</v>
      </c>
      <c r="AE193" s="2">
        <v>0</v>
      </c>
      <c r="AF193" s="2">
        <v>0</v>
      </c>
      <c r="AG193" s="20">
        <f t="shared" si="2"/>
        <v>-500</v>
      </c>
    </row>
    <row r="194" spans="1:33" x14ac:dyDescent="0.25">
      <c r="A194">
        <v>193</v>
      </c>
      <c r="B194" s="2">
        <v>1</v>
      </c>
      <c r="C194" s="2">
        <v>27</v>
      </c>
      <c r="D194" s="2">
        <v>2</v>
      </c>
      <c r="E194" s="2">
        <v>0</v>
      </c>
      <c r="F194" s="2">
        <v>0</v>
      </c>
      <c r="G194" s="2">
        <v>0</v>
      </c>
      <c r="H194" s="2">
        <v>0</v>
      </c>
      <c r="I194" s="2">
        <v>0</v>
      </c>
      <c r="J194" s="2">
        <v>1</v>
      </c>
      <c r="K194" s="2">
        <v>3915</v>
      </c>
      <c r="L194" s="2">
        <v>0</v>
      </c>
      <c r="M194" s="2">
        <v>2</v>
      </c>
      <c r="N194" s="2">
        <v>4</v>
      </c>
      <c r="O194" s="2">
        <v>0</v>
      </c>
      <c r="P194" s="2">
        <v>1</v>
      </c>
      <c r="Q194" s="2">
        <v>0</v>
      </c>
      <c r="R194" s="2">
        <v>0</v>
      </c>
      <c r="S194" s="2">
        <v>0</v>
      </c>
      <c r="T194" s="2">
        <v>2</v>
      </c>
      <c r="U194" s="2">
        <v>0</v>
      </c>
      <c r="V194" s="2">
        <v>0</v>
      </c>
      <c r="W194" s="2">
        <v>36</v>
      </c>
      <c r="X194" s="2">
        <v>0</v>
      </c>
      <c r="Y194" s="2">
        <v>0</v>
      </c>
      <c r="Z194" s="2">
        <v>1</v>
      </c>
      <c r="AA194" s="2">
        <v>1</v>
      </c>
      <c r="AB194" s="2">
        <v>2</v>
      </c>
      <c r="AC194" s="2">
        <v>2</v>
      </c>
      <c r="AD194" s="2">
        <v>1</v>
      </c>
      <c r="AE194" s="2">
        <v>0</v>
      </c>
      <c r="AF194" s="2">
        <v>0</v>
      </c>
      <c r="AG194" s="20">
        <f t="shared" si="2"/>
        <v>-500</v>
      </c>
    </row>
    <row r="195" spans="1:33" x14ac:dyDescent="0.25">
      <c r="A195">
        <v>194</v>
      </c>
      <c r="B195" s="2">
        <v>3</v>
      </c>
      <c r="C195" s="2">
        <v>6</v>
      </c>
      <c r="D195" s="2">
        <v>2</v>
      </c>
      <c r="E195" s="2">
        <v>0</v>
      </c>
      <c r="F195" s="2">
        <v>0</v>
      </c>
      <c r="G195" s="2">
        <v>0</v>
      </c>
      <c r="H195" s="2">
        <v>1</v>
      </c>
      <c r="I195" s="2">
        <v>0</v>
      </c>
      <c r="J195" s="2">
        <v>0</v>
      </c>
      <c r="K195" s="2">
        <v>2108</v>
      </c>
      <c r="L195" s="2">
        <v>0</v>
      </c>
      <c r="M195" s="2">
        <v>3</v>
      </c>
      <c r="N195" s="2">
        <v>2</v>
      </c>
      <c r="O195" s="2">
        <v>0</v>
      </c>
      <c r="P195" s="2">
        <v>0</v>
      </c>
      <c r="Q195" s="2">
        <v>1</v>
      </c>
      <c r="R195" s="2">
        <v>0</v>
      </c>
      <c r="S195" s="2">
        <v>0</v>
      </c>
      <c r="T195" s="2">
        <v>2</v>
      </c>
      <c r="U195" s="2">
        <v>1</v>
      </c>
      <c r="V195" s="2">
        <v>0</v>
      </c>
      <c r="W195" s="2">
        <v>29</v>
      </c>
      <c r="X195" s="2">
        <v>0</v>
      </c>
      <c r="Y195" s="2">
        <v>1</v>
      </c>
      <c r="Z195" s="2">
        <v>0</v>
      </c>
      <c r="AA195" s="2">
        <v>1</v>
      </c>
      <c r="AB195" s="2">
        <v>2</v>
      </c>
      <c r="AC195" s="2">
        <v>1</v>
      </c>
      <c r="AD195" s="2">
        <v>0</v>
      </c>
      <c r="AE195" s="2">
        <v>0</v>
      </c>
      <c r="AF195" s="2">
        <v>1</v>
      </c>
      <c r="AG195" s="20">
        <f t="shared" si="2"/>
        <v>100</v>
      </c>
    </row>
    <row r="196" spans="1:33" x14ac:dyDescent="0.25">
      <c r="A196">
        <v>195</v>
      </c>
      <c r="B196" s="2">
        <v>1</v>
      </c>
      <c r="C196" s="2">
        <v>45</v>
      </c>
      <c r="D196" s="2">
        <v>2</v>
      </c>
      <c r="E196" s="2">
        <v>0</v>
      </c>
      <c r="F196" s="2">
        <v>0</v>
      </c>
      <c r="G196" s="2">
        <v>0</v>
      </c>
      <c r="H196" s="2">
        <v>1</v>
      </c>
      <c r="I196" s="2">
        <v>0</v>
      </c>
      <c r="J196" s="2">
        <v>0</v>
      </c>
      <c r="K196" s="2">
        <v>3031</v>
      </c>
      <c r="L196" s="2">
        <v>1</v>
      </c>
      <c r="M196" s="2">
        <v>2</v>
      </c>
      <c r="N196" s="2">
        <v>4</v>
      </c>
      <c r="O196" s="2">
        <v>0</v>
      </c>
      <c r="P196" s="2">
        <v>1</v>
      </c>
      <c r="Q196" s="2">
        <v>0</v>
      </c>
      <c r="R196" s="2">
        <v>0</v>
      </c>
      <c r="S196" s="2">
        <v>1</v>
      </c>
      <c r="T196" s="2">
        <v>4</v>
      </c>
      <c r="U196" s="2">
        <v>0</v>
      </c>
      <c r="V196" s="2">
        <v>0</v>
      </c>
      <c r="W196" s="2">
        <v>21</v>
      </c>
      <c r="X196" s="2">
        <v>0</v>
      </c>
      <c r="Y196" s="2">
        <v>1</v>
      </c>
      <c r="Z196" s="2">
        <v>0</v>
      </c>
      <c r="AA196" s="2">
        <v>1</v>
      </c>
      <c r="AB196" s="2">
        <v>2</v>
      </c>
      <c r="AC196" s="2">
        <v>1</v>
      </c>
      <c r="AD196" s="2">
        <v>0</v>
      </c>
      <c r="AE196" s="2">
        <v>0</v>
      </c>
      <c r="AF196" s="2">
        <v>0</v>
      </c>
      <c r="AG196" s="20">
        <f t="shared" ref="AG196:AG259" si="3">IF(AF196=1,100,-500)</f>
        <v>-500</v>
      </c>
    </row>
    <row r="197" spans="1:33" x14ac:dyDescent="0.25">
      <c r="A197">
        <v>196</v>
      </c>
      <c r="B197" s="2">
        <v>1</v>
      </c>
      <c r="C197" s="2">
        <v>9</v>
      </c>
      <c r="D197" s="2">
        <v>4</v>
      </c>
      <c r="E197" s="2">
        <v>0</v>
      </c>
      <c r="F197" s="2">
        <v>0</v>
      </c>
      <c r="G197" s="2">
        <v>0</v>
      </c>
      <c r="H197" s="2">
        <v>0</v>
      </c>
      <c r="I197" s="2">
        <v>1</v>
      </c>
      <c r="J197" s="2">
        <v>0</v>
      </c>
      <c r="K197" s="2">
        <v>1501</v>
      </c>
      <c r="L197" s="2">
        <v>0</v>
      </c>
      <c r="M197" s="2">
        <v>4</v>
      </c>
      <c r="N197" s="2">
        <v>2</v>
      </c>
      <c r="O197" s="2">
        <v>0</v>
      </c>
      <c r="P197" s="2">
        <v>0</v>
      </c>
      <c r="Q197" s="2">
        <v>0</v>
      </c>
      <c r="R197" s="2">
        <v>0</v>
      </c>
      <c r="S197" s="2">
        <v>0</v>
      </c>
      <c r="T197" s="2">
        <v>3</v>
      </c>
      <c r="U197" s="2">
        <v>0</v>
      </c>
      <c r="V197" s="2">
        <v>0</v>
      </c>
      <c r="W197" s="2">
        <v>34</v>
      </c>
      <c r="X197" s="2">
        <v>0</v>
      </c>
      <c r="Y197" s="2">
        <v>0</v>
      </c>
      <c r="Z197" s="2">
        <v>1</v>
      </c>
      <c r="AA197" s="2">
        <v>2</v>
      </c>
      <c r="AB197" s="2">
        <v>3</v>
      </c>
      <c r="AC197" s="2">
        <v>1</v>
      </c>
      <c r="AD197" s="2">
        <v>1</v>
      </c>
      <c r="AE197" s="2">
        <v>0</v>
      </c>
      <c r="AF197" s="2">
        <v>0</v>
      </c>
      <c r="AG197" s="20">
        <f t="shared" si="3"/>
        <v>-500</v>
      </c>
    </row>
    <row r="198" spans="1:33" x14ac:dyDescent="0.25">
      <c r="A198">
        <v>197</v>
      </c>
      <c r="B198" s="2">
        <v>3</v>
      </c>
      <c r="C198" s="2">
        <v>6</v>
      </c>
      <c r="D198" s="2">
        <v>4</v>
      </c>
      <c r="E198" s="2">
        <v>0</v>
      </c>
      <c r="F198" s="2">
        <v>0</v>
      </c>
      <c r="G198" s="2">
        <v>0</v>
      </c>
      <c r="H198" s="2">
        <v>1</v>
      </c>
      <c r="I198" s="2">
        <v>0</v>
      </c>
      <c r="J198" s="2">
        <v>0</v>
      </c>
      <c r="K198" s="2">
        <v>1382</v>
      </c>
      <c r="L198" s="2">
        <v>0</v>
      </c>
      <c r="M198" s="2">
        <v>2</v>
      </c>
      <c r="N198" s="2">
        <v>1</v>
      </c>
      <c r="O198" s="2">
        <v>0</v>
      </c>
      <c r="P198" s="2">
        <v>0</v>
      </c>
      <c r="Q198" s="2">
        <v>0</v>
      </c>
      <c r="R198" s="2">
        <v>0</v>
      </c>
      <c r="S198" s="2">
        <v>0</v>
      </c>
      <c r="T198" s="2">
        <v>1</v>
      </c>
      <c r="U198" s="2">
        <v>0</v>
      </c>
      <c r="V198" s="2">
        <v>0</v>
      </c>
      <c r="W198" s="2">
        <v>28</v>
      </c>
      <c r="X198" s="2">
        <v>0</v>
      </c>
      <c r="Y198" s="2">
        <v>0</v>
      </c>
      <c r="Z198" s="2">
        <v>1</v>
      </c>
      <c r="AA198" s="2">
        <v>2</v>
      </c>
      <c r="AB198" s="2">
        <v>2</v>
      </c>
      <c r="AC198" s="2">
        <v>1</v>
      </c>
      <c r="AD198" s="2">
        <v>1</v>
      </c>
      <c r="AE198" s="2">
        <v>0</v>
      </c>
      <c r="AF198" s="2">
        <v>1</v>
      </c>
      <c r="AG198" s="20">
        <f t="shared" si="3"/>
        <v>100</v>
      </c>
    </row>
    <row r="199" spans="1:33" x14ac:dyDescent="0.25">
      <c r="A199">
        <v>198</v>
      </c>
      <c r="B199" s="2">
        <v>1</v>
      </c>
      <c r="C199" s="2">
        <v>12</v>
      </c>
      <c r="D199" s="2">
        <v>2</v>
      </c>
      <c r="E199" s="2">
        <v>0</v>
      </c>
      <c r="F199" s="2">
        <v>0</v>
      </c>
      <c r="G199" s="2">
        <v>1</v>
      </c>
      <c r="H199" s="2">
        <v>0</v>
      </c>
      <c r="I199" s="2">
        <v>0</v>
      </c>
      <c r="J199" s="2">
        <v>0</v>
      </c>
      <c r="K199" s="2">
        <v>951</v>
      </c>
      <c r="L199" s="2">
        <v>1</v>
      </c>
      <c r="M199" s="2">
        <v>1</v>
      </c>
      <c r="N199" s="2">
        <v>4</v>
      </c>
      <c r="O199" s="2">
        <v>0</v>
      </c>
      <c r="P199" s="2">
        <v>0</v>
      </c>
      <c r="Q199" s="2">
        <v>0</v>
      </c>
      <c r="R199" s="2">
        <v>0</v>
      </c>
      <c r="S199" s="2">
        <v>0</v>
      </c>
      <c r="T199" s="2">
        <v>4</v>
      </c>
      <c r="U199" s="2">
        <v>0</v>
      </c>
      <c r="V199" s="2">
        <v>0</v>
      </c>
      <c r="W199" s="2">
        <v>27</v>
      </c>
      <c r="X199" s="2">
        <v>1</v>
      </c>
      <c r="Y199" s="2">
        <v>1</v>
      </c>
      <c r="Z199" s="2">
        <v>0</v>
      </c>
      <c r="AA199" s="2">
        <v>4</v>
      </c>
      <c r="AB199" s="2">
        <v>2</v>
      </c>
      <c r="AC199" s="2">
        <v>1</v>
      </c>
      <c r="AD199" s="2">
        <v>0</v>
      </c>
      <c r="AE199" s="2">
        <v>0</v>
      </c>
      <c r="AF199" s="2">
        <v>0</v>
      </c>
      <c r="AG199" s="20">
        <f t="shared" si="3"/>
        <v>-500</v>
      </c>
    </row>
    <row r="200" spans="1:33" x14ac:dyDescent="0.25">
      <c r="A200">
        <v>199</v>
      </c>
      <c r="B200" s="2">
        <v>1</v>
      </c>
      <c r="C200" s="2">
        <v>24</v>
      </c>
      <c r="D200" s="2">
        <v>2</v>
      </c>
      <c r="E200" s="2">
        <v>0</v>
      </c>
      <c r="F200" s="2">
        <v>1</v>
      </c>
      <c r="G200" s="2">
        <v>0</v>
      </c>
      <c r="H200" s="2">
        <v>0</v>
      </c>
      <c r="I200" s="2">
        <v>0</v>
      </c>
      <c r="J200" s="2">
        <v>0</v>
      </c>
      <c r="K200" s="2">
        <v>2760</v>
      </c>
      <c r="L200" s="2">
        <v>4</v>
      </c>
      <c r="M200" s="2">
        <v>4</v>
      </c>
      <c r="N200" s="2">
        <v>4</v>
      </c>
      <c r="O200" s="2">
        <v>0</v>
      </c>
      <c r="P200" s="2">
        <v>1</v>
      </c>
      <c r="Q200" s="2">
        <v>0</v>
      </c>
      <c r="R200" s="2">
        <v>0</v>
      </c>
      <c r="S200" s="2">
        <v>0</v>
      </c>
      <c r="T200" s="2">
        <v>4</v>
      </c>
      <c r="U200" s="2">
        <v>0</v>
      </c>
      <c r="V200" s="2">
        <v>1</v>
      </c>
      <c r="W200" s="2">
        <v>36</v>
      </c>
      <c r="X200" s="2">
        <v>1</v>
      </c>
      <c r="Y200" s="2">
        <v>0</v>
      </c>
      <c r="Z200" s="2">
        <v>0</v>
      </c>
      <c r="AA200" s="2">
        <v>1</v>
      </c>
      <c r="AB200" s="2">
        <v>2</v>
      </c>
      <c r="AC200" s="2">
        <v>1</v>
      </c>
      <c r="AD200" s="2">
        <v>1</v>
      </c>
      <c r="AE200" s="2">
        <v>0</v>
      </c>
      <c r="AF200" s="2">
        <v>1</v>
      </c>
      <c r="AG200" s="20">
        <f t="shared" si="3"/>
        <v>100</v>
      </c>
    </row>
    <row r="201" spans="1:33" x14ac:dyDescent="0.25">
      <c r="A201">
        <v>200</v>
      </c>
      <c r="B201" s="2">
        <v>1</v>
      </c>
      <c r="C201" s="2">
        <v>18</v>
      </c>
      <c r="D201" s="2">
        <v>3</v>
      </c>
      <c r="E201" s="2">
        <v>0</v>
      </c>
      <c r="F201" s="2">
        <v>0</v>
      </c>
      <c r="G201" s="2">
        <v>1</v>
      </c>
      <c r="H201" s="2">
        <v>0</v>
      </c>
      <c r="I201" s="2">
        <v>0</v>
      </c>
      <c r="J201" s="2">
        <v>0</v>
      </c>
      <c r="K201" s="2">
        <v>4297</v>
      </c>
      <c r="L201" s="2">
        <v>0</v>
      </c>
      <c r="M201" s="2">
        <v>4</v>
      </c>
      <c r="N201" s="2">
        <v>4</v>
      </c>
      <c r="O201" s="2">
        <v>1</v>
      </c>
      <c r="P201" s="2">
        <v>0</v>
      </c>
      <c r="Q201" s="2">
        <v>0</v>
      </c>
      <c r="R201" s="2">
        <v>0</v>
      </c>
      <c r="S201" s="2">
        <v>0</v>
      </c>
      <c r="T201" s="2">
        <v>3</v>
      </c>
      <c r="U201" s="2">
        <v>0</v>
      </c>
      <c r="V201" s="2">
        <v>1</v>
      </c>
      <c r="W201" s="2">
        <v>40</v>
      </c>
      <c r="X201" s="2">
        <v>0</v>
      </c>
      <c r="Y201" s="2">
        <v>0</v>
      </c>
      <c r="Z201" s="2">
        <v>1</v>
      </c>
      <c r="AA201" s="2">
        <v>1</v>
      </c>
      <c r="AB201" s="2">
        <v>3</v>
      </c>
      <c r="AC201" s="2">
        <v>1</v>
      </c>
      <c r="AD201" s="2">
        <v>1</v>
      </c>
      <c r="AE201" s="2">
        <v>0</v>
      </c>
      <c r="AF201" s="2">
        <v>0</v>
      </c>
      <c r="AG201" s="20">
        <f t="shared" si="3"/>
        <v>-500</v>
      </c>
    </row>
    <row r="202" spans="1:33" x14ac:dyDescent="0.25">
      <c r="A202">
        <v>201</v>
      </c>
      <c r="B202" s="2">
        <v>3</v>
      </c>
      <c r="C202" s="2">
        <v>9</v>
      </c>
      <c r="D202" s="2">
        <v>4</v>
      </c>
      <c r="E202" s="2">
        <v>0</v>
      </c>
      <c r="F202" s="2">
        <v>0</v>
      </c>
      <c r="G202" s="2">
        <v>0</v>
      </c>
      <c r="H202" s="2">
        <v>0</v>
      </c>
      <c r="I202" s="2">
        <v>1</v>
      </c>
      <c r="J202" s="2">
        <v>0</v>
      </c>
      <c r="K202" s="2">
        <v>936</v>
      </c>
      <c r="L202" s="2">
        <v>2</v>
      </c>
      <c r="M202" s="2">
        <v>4</v>
      </c>
      <c r="N202" s="2">
        <v>4</v>
      </c>
      <c r="O202" s="2">
        <v>0</v>
      </c>
      <c r="P202" s="2">
        <v>1</v>
      </c>
      <c r="Q202" s="2">
        <v>0</v>
      </c>
      <c r="R202" s="2">
        <v>0</v>
      </c>
      <c r="S202" s="2">
        <v>0</v>
      </c>
      <c r="T202" s="2">
        <v>2</v>
      </c>
      <c r="U202" s="2">
        <v>0</v>
      </c>
      <c r="V202" s="2">
        <v>0</v>
      </c>
      <c r="W202" s="2">
        <v>52</v>
      </c>
      <c r="X202" s="2">
        <v>0</v>
      </c>
      <c r="Y202" s="2">
        <v>0</v>
      </c>
      <c r="Z202" s="2">
        <v>1</v>
      </c>
      <c r="AA202" s="2">
        <v>2</v>
      </c>
      <c r="AB202" s="2">
        <v>2</v>
      </c>
      <c r="AC202" s="2">
        <v>1</v>
      </c>
      <c r="AD202" s="2">
        <v>1</v>
      </c>
      <c r="AE202" s="2">
        <v>0</v>
      </c>
      <c r="AF202" s="2">
        <v>1</v>
      </c>
      <c r="AG202" s="20">
        <f t="shared" si="3"/>
        <v>100</v>
      </c>
    </row>
    <row r="203" spans="1:33" x14ac:dyDescent="0.25">
      <c r="A203">
        <v>202</v>
      </c>
      <c r="B203" s="2">
        <v>0</v>
      </c>
      <c r="C203" s="2">
        <v>12</v>
      </c>
      <c r="D203" s="2">
        <v>2</v>
      </c>
      <c r="E203" s="2">
        <v>1</v>
      </c>
      <c r="F203" s="2">
        <v>0</v>
      </c>
      <c r="G203" s="2">
        <v>0</v>
      </c>
      <c r="H203" s="2">
        <v>0</v>
      </c>
      <c r="I203" s="2">
        <v>0</v>
      </c>
      <c r="J203" s="2">
        <v>0</v>
      </c>
      <c r="K203" s="2">
        <v>1168</v>
      </c>
      <c r="L203" s="2">
        <v>0</v>
      </c>
      <c r="M203" s="2">
        <v>2</v>
      </c>
      <c r="N203" s="2">
        <v>4</v>
      </c>
      <c r="O203" s="2">
        <v>0</v>
      </c>
      <c r="P203" s="2">
        <v>0</v>
      </c>
      <c r="Q203" s="2">
        <v>1</v>
      </c>
      <c r="R203" s="2">
        <v>0</v>
      </c>
      <c r="S203" s="2">
        <v>0</v>
      </c>
      <c r="T203" s="2">
        <v>3</v>
      </c>
      <c r="U203" s="2">
        <v>1</v>
      </c>
      <c r="V203" s="2">
        <v>0</v>
      </c>
      <c r="W203" s="2">
        <v>27</v>
      </c>
      <c r="X203" s="2">
        <v>0</v>
      </c>
      <c r="Y203" s="2">
        <v>0</v>
      </c>
      <c r="Z203" s="2">
        <v>1</v>
      </c>
      <c r="AA203" s="2">
        <v>1</v>
      </c>
      <c r="AB203" s="2">
        <v>1</v>
      </c>
      <c r="AC203" s="2">
        <v>1</v>
      </c>
      <c r="AD203" s="2">
        <v>0</v>
      </c>
      <c r="AE203" s="2">
        <v>0</v>
      </c>
      <c r="AF203" s="2">
        <v>1</v>
      </c>
      <c r="AG203" s="20">
        <f t="shared" si="3"/>
        <v>100</v>
      </c>
    </row>
    <row r="204" spans="1:33" x14ac:dyDescent="0.25">
      <c r="A204">
        <v>203</v>
      </c>
      <c r="B204" s="2">
        <v>3</v>
      </c>
      <c r="C204" s="2">
        <v>27</v>
      </c>
      <c r="D204" s="2">
        <v>3</v>
      </c>
      <c r="E204" s="2">
        <v>0</v>
      </c>
      <c r="F204" s="2">
        <v>0</v>
      </c>
      <c r="G204" s="2">
        <v>0</v>
      </c>
      <c r="H204" s="2">
        <v>0</v>
      </c>
      <c r="I204" s="2">
        <v>0</v>
      </c>
      <c r="J204" s="2">
        <v>1</v>
      </c>
      <c r="K204" s="2">
        <v>5117</v>
      </c>
      <c r="L204" s="2">
        <v>0</v>
      </c>
      <c r="M204" s="2">
        <v>3</v>
      </c>
      <c r="N204" s="2">
        <v>3</v>
      </c>
      <c r="O204" s="2">
        <v>0</v>
      </c>
      <c r="P204" s="2">
        <v>1</v>
      </c>
      <c r="Q204" s="2">
        <v>0</v>
      </c>
      <c r="R204" s="2">
        <v>0</v>
      </c>
      <c r="S204" s="2">
        <v>0</v>
      </c>
      <c r="T204" s="2">
        <v>4</v>
      </c>
      <c r="U204" s="2">
        <v>0</v>
      </c>
      <c r="V204" s="2">
        <v>0</v>
      </c>
      <c r="W204" s="2">
        <v>26</v>
      </c>
      <c r="X204" s="2">
        <v>0</v>
      </c>
      <c r="Y204" s="2">
        <v>0</v>
      </c>
      <c r="Z204" s="2">
        <v>1</v>
      </c>
      <c r="AA204" s="2">
        <v>2</v>
      </c>
      <c r="AB204" s="2">
        <v>2</v>
      </c>
      <c r="AC204" s="2">
        <v>1</v>
      </c>
      <c r="AD204" s="2">
        <v>0</v>
      </c>
      <c r="AE204" s="2">
        <v>0</v>
      </c>
      <c r="AF204" s="2">
        <v>1</v>
      </c>
      <c r="AG204" s="20">
        <f t="shared" si="3"/>
        <v>100</v>
      </c>
    </row>
    <row r="205" spans="1:33" x14ac:dyDescent="0.25">
      <c r="A205">
        <v>204</v>
      </c>
      <c r="B205" s="2">
        <v>0</v>
      </c>
      <c r="C205" s="2">
        <v>12</v>
      </c>
      <c r="D205" s="2">
        <v>2</v>
      </c>
      <c r="E205" s="2">
        <v>0</v>
      </c>
      <c r="F205" s="2">
        <v>0</v>
      </c>
      <c r="G205" s="2">
        <v>0</v>
      </c>
      <c r="H205" s="2">
        <v>0</v>
      </c>
      <c r="I205" s="2">
        <v>0</v>
      </c>
      <c r="J205" s="2">
        <v>0</v>
      </c>
      <c r="K205" s="2">
        <v>902</v>
      </c>
      <c r="L205" s="2">
        <v>0</v>
      </c>
      <c r="M205" s="2">
        <v>3</v>
      </c>
      <c r="N205" s="2">
        <v>4</v>
      </c>
      <c r="O205" s="2">
        <v>0</v>
      </c>
      <c r="P205" s="2">
        <v>0</v>
      </c>
      <c r="Q205" s="2">
        <v>1</v>
      </c>
      <c r="R205" s="2">
        <v>0</v>
      </c>
      <c r="S205" s="2">
        <v>0</v>
      </c>
      <c r="T205" s="2">
        <v>4</v>
      </c>
      <c r="U205" s="2">
        <v>0</v>
      </c>
      <c r="V205" s="2">
        <v>0</v>
      </c>
      <c r="W205" s="2">
        <v>21</v>
      </c>
      <c r="X205" s="2">
        <v>0</v>
      </c>
      <c r="Y205" s="2">
        <v>1</v>
      </c>
      <c r="Z205" s="2">
        <v>0</v>
      </c>
      <c r="AA205" s="2">
        <v>1</v>
      </c>
      <c r="AB205" s="2">
        <v>2</v>
      </c>
      <c r="AC205" s="2">
        <v>1</v>
      </c>
      <c r="AD205" s="2">
        <v>0</v>
      </c>
      <c r="AE205" s="2">
        <v>0</v>
      </c>
      <c r="AF205" s="2">
        <v>0</v>
      </c>
      <c r="AG205" s="20">
        <f t="shared" si="3"/>
        <v>-500</v>
      </c>
    </row>
    <row r="206" spans="1:33" x14ac:dyDescent="0.25">
      <c r="A206">
        <v>205</v>
      </c>
      <c r="B206" s="2">
        <v>3</v>
      </c>
      <c r="C206" s="2">
        <v>12</v>
      </c>
      <c r="D206" s="2">
        <v>4</v>
      </c>
      <c r="E206" s="2">
        <v>1</v>
      </c>
      <c r="F206" s="2">
        <v>0</v>
      </c>
      <c r="G206" s="2">
        <v>0</v>
      </c>
      <c r="H206" s="2">
        <v>0</v>
      </c>
      <c r="I206" s="2">
        <v>0</v>
      </c>
      <c r="J206" s="2">
        <v>0</v>
      </c>
      <c r="K206" s="2">
        <v>1495</v>
      </c>
      <c r="L206" s="2">
        <v>0</v>
      </c>
      <c r="M206" s="2">
        <v>4</v>
      </c>
      <c r="N206" s="2">
        <v>4</v>
      </c>
      <c r="O206" s="2">
        <v>0</v>
      </c>
      <c r="P206" s="2">
        <v>1</v>
      </c>
      <c r="Q206" s="2">
        <v>0</v>
      </c>
      <c r="R206" s="2">
        <v>0</v>
      </c>
      <c r="S206" s="2">
        <v>0</v>
      </c>
      <c r="T206" s="2">
        <v>1</v>
      </c>
      <c r="U206" s="2">
        <v>1</v>
      </c>
      <c r="V206" s="2">
        <v>0</v>
      </c>
      <c r="W206" s="2">
        <v>38</v>
      </c>
      <c r="X206" s="2">
        <v>0</v>
      </c>
      <c r="Y206" s="2">
        <v>0</v>
      </c>
      <c r="Z206" s="2">
        <v>1</v>
      </c>
      <c r="AA206" s="2">
        <v>2</v>
      </c>
      <c r="AB206" s="2">
        <v>1</v>
      </c>
      <c r="AC206" s="2">
        <v>2</v>
      </c>
      <c r="AD206" s="2">
        <v>0</v>
      </c>
      <c r="AE206" s="2">
        <v>0</v>
      </c>
      <c r="AF206" s="2">
        <v>1</v>
      </c>
      <c r="AG206" s="20">
        <f t="shared" si="3"/>
        <v>100</v>
      </c>
    </row>
    <row r="207" spans="1:33" x14ac:dyDescent="0.25">
      <c r="A207">
        <v>206</v>
      </c>
      <c r="B207" s="2">
        <v>0</v>
      </c>
      <c r="C207" s="2">
        <v>30</v>
      </c>
      <c r="D207" s="2">
        <v>4</v>
      </c>
      <c r="E207" s="2">
        <v>0</v>
      </c>
      <c r="F207" s="2">
        <v>1</v>
      </c>
      <c r="G207" s="2">
        <v>0</v>
      </c>
      <c r="H207" s="2">
        <v>0</v>
      </c>
      <c r="I207" s="2">
        <v>0</v>
      </c>
      <c r="J207" s="2">
        <v>0</v>
      </c>
      <c r="K207" s="2">
        <v>10623</v>
      </c>
      <c r="L207" s="2">
        <v>0</v>
      </c>
      <c r="M207" s="2">
        <v>4</v>
      </c>
      <c r="N207" s="2">
        <v>3</v>
      </c>
      <c r="O207" s="2">
        <v>0</v>
      </c>
      <c r="P207" s="2">
        <v>1</v>
      </c>
      <c r="Q207" s="2">
        <v>0</v>
      </c>
      <c r="R207" s="2">
        <v>0</v>
      </c>
      <c r="S207" s="2">
        <v>0</v>
      </c>
      <c r="T207" s="2">
        <v>4</v>
      </c>
      <c r="U207" s="2">
        <v>0</v>
      </c>
      <c r="V207" s="2">
        <v>1</v>
      </c>
      <c r="W207" s="2">
        <v>38</v>
      </c>
      <c r="X207" s="2">
        <v>0</v>
      </c>
      <c r="Y207" s="2">
        <v>0</v>
      </c>
      <c r="Z207" s="2">
        <v>0</v>
      </c>
      <c r="AA207" s="2">
        <v>3</v>
      </c>
      <c r="AB207" s="2">
        <v>3</v>
      </c>
      <c r="AC207" s="2">
        <v>2</v>
      </c>
      <c r="AD207" s="2">
        <v>1</v>
      </c>
      <c r="AE207" s="2">
        <v>0</v>
      </c>
      <c r="AF207" s="2">
        <v>1</v>
      </c>
      <c r="AG207" s="20">
        <f t="shared" si="3"/>
        <v>100</v>
      </c>
    </row>
    <row r="208" spans="1:33" x14ac:dyDescent="0.25">
      <c r="A208">
        <v>207</v>
      </c>
      <c r="B208" s="2">
        <v>3</v>
      </c>
      <c r="C208" s="2">
        <v>12</v>
      </c>
      <c r="D208" s="2">
        <v>4</v>
      </c>
      <c r="E208" s="2">
        <v>0</v>
      </c>
      <c r="F208" s="2">
        <v>0</v>
      </c>
      <c r="G208" s="2">
        <v>1</v>
      </c>
      <c r="H208" s="2">
        <v>0</v>
      </c>
      <c r="I208" s="2">
        <v>0</v>
      </c>
      <c r="J208" s="2">
        <v>0</v>
      </c>
      <c r="K208" s="2">
        <v>1935</v>
      </c>
      <c r="L208" s="2">
        <v>0</v>
      </c>
      <c r="M208" s="2">
        <v>4</v>
      </c>
      <c r="N208" s="2">
        <v>4</v>
      </c>
      <c r="O208" s="2">
        <v>0</v>
      </c>
      <c r="P208" s="2">
        <v>1</v>
      </c>
      <c r="Q208" s="2">
        <v>0</v>
      </c>
      <c r="R208" s="2">
        <v>0</v>
      </c>
      <c r="S208" s="2">
        <v>0</v>
      </c>
      <c r="T208" s="2">
        <v>4</v>
      </c>
      <c r="U208" s="2">
        <v>1</v>
      </c>
      <c r="V208" s="2">
        <v>0</v>
      </c>
      <c r="W208" s="2">
        <v>43</v>
      </c>
      <c r="X208" s="2">
        <v>0</v>
      </c>
      <c r="Y208" s="2">
        <v>0</v>
      </c>
      <c r="Z208" s="2">
        <v>1</v>
      </c>
      <c r="AA208" s="2">
        <v>3</v>
      </c>
      <c r="AB208" s="2">
        <v>2</v>
      </c>
      <c r="AC208" s="2">
        <v>1</v>
      </c>
      <c r="AD208" s="2">
        <v>1</v>
      </c>
      <c r="AE208" s="2">
        <v>0</v>
      </c>
      <c r="AF208" s="2">
        <v>1</v>
      </c>
      <c r="AG208" s="20">
        <f t="shared" si="3"/>
        <v>100</v>
      </c>
    </row>
    <row r="209" spans="1:33" x14ac:dyDescent="0.25">
      <c r="A209">
        <v>208</v>
      </c>
      <c r="B209" s="2">
        <v>1</v>
      </c>
      <c r="C209" s="2">
        <v>12</v>
      </c>
      <c r="D209" s="2">
        <v>4</v>
      </c>
      <c r="E209" s="2">
        <v>0</v>
      </c>
      <c r="F209" s="2">
        <v>0</v>
      </c>
      <c r="G209" s="2">
        <v>0</v>
      </c>
      <c r="H209" s="2">
        <v>0</v>
      </c>
      <c r="I209" s="2">
        <v>0</v>
      </c>
      <c r="J209" s="2">
        <v>0</v>
      </c>
      <c r="K209" s="2">
        <v>1424</v>
      </c>
      <c r="L209" s="2">
        <v>0</v>
      </c>
      <c r="M209" s="2">
        <v>3</v>
      </c>
      <c r="N209" s="2">
        <v>4</v>
      </c>
      <c r="O209" s="2">
        <v>0</v>
      </c>
      <c r="P209" s="2">
        <v>1</v>
      </c>
      <c r="Q209" s="2">
        <v>0</v>
      </c>
      <c r="R209" s="2">
        <v>0</v>
      </c>
      <c r="S209" s="2">
        <v>0</v>
      </c>
      <c r="T209" s="2">
        <v>3</v>
      </c>
      <c r="U209" s="2">
        <v>0</v>
      </c>
      <c r="V209" s="2">
        <v>0</v>
      </c>
      <c r="W209" s="2">
        <v>26</v>
      </c>
      <c r="X209" s="2">
        <v>0</v>
      </c>
      <c r="Y209" s="2">
        <v>0</v>
      </c>
      <c r="Z209" s="2">
        <v>1</v>
      </c>
      <c r="AA209" s="2">
        <v>1</v>
      </c>
      <c r="AB209" s="2">
        <v>2</v>
      </c>
      <c r="AC209" s="2">
        <v>1</v>
      </c>
      <c r="AD209" s="2">
        <v>0</v>
      </c>
      <c r="AE209" s="2">
        <v>0</v>
      </c>
      <c r="AF209" s="2">
        <v>1</v>
      </c>
      <c r="AG209" s="20">
        <f t="shared" si="3"/>
        <v>100</v>
      </c>
    </row>
    <row r="210" spans="1:33" x14ac:dyDescent="0.25">
      <c r="A210">
        <v>209</v>
      </c>
      <c r="B210" s="2">
        <v>0</v>
      </c>
      <c r="C210" s="2">
        <v>24</v>
      </c>
      <c r="D210" s="2">
        <v>2</v>
      </c>
      <c r="E210" s="2">
        <v>0</v>
      </c>
      <c r="F210" s="2">
        <v>0</v>
      </c>
      <c r="G210" s="2">
        <v>0</v>
      </c>
      <c r="H210" s="2">
        <v>0</v>
      </c>
      <c r="I210" s="2">
        <v>0</v>
      </c>
      <c r="J210" s="2">
        <v>1</v>
      </c>
      <c r="K210" s="2">
        <v>6568</v>
      </c>
      <c r="L210" s="2">
        <v>0</v>
      </c>
      <c r="M210" s="2">
        <v>2</v>
      </c>
      <c r="N210" s="2">
        <v>2</v>
      </c>
      <c r="O210" s="2">
        <v>0</v>
      </c>
      <c r="P210" s="2">
        <v>0</v>
      </c>
      <c r="Q210" s="2">
        <v>1</v>
      </c>
      <c r="R210" s="2">
        <v>0</v>
      </c>
      <c r="S210" s="2">
        <v>0</v>
      </c>
      <c r="T210" s="2">
        <v>2</v>
      </c>
      <c r="U210" s="2">
        <v>0</v>
      </c>
      <c r="V210" s="2">
        <v>0</v>
      </c>
      <c r="W210" s="2">
        <v>21</v>
      </c>
      <c r="X210" s="2">
        <v>1</v>
      </c>
      <c r="Y210" s="2">
        <v>0</v>
      </c>
      <c r="Z210" s="2">
        <v>1</v>
      </c>
      <c r="AA210" s="2">
        <v>1</v>
      </c>
      <c r="AB210" s="2">
        <v>1</v>
      </c>
      <c r="AC210" s="2">
        <v>1</v>
      </c>
      <c r="AD210" s="2">
        <v>0</v>
      </c>
      <c r="AE210" s="2">
        <v>0</v>
      </c>
      <c r="AF210" s="2">
        <v>1</v>
      </c>
      <c r="AG210" s="20">
        <f t="shared" si="3"/>
        <v>100</v>
      </c>
    </row>
    <row r="211" spans="1:33" x14ac:dyDescent="0.25">
      <c r="A211">
        <v>210</v>
      </c>
      <c r="B211" s="2">
        <v>3</v>
      </c>
      <c r="C211" s="2">
        <v>12</v>
      </c>
      <c r="D211" s="2">
        <v>2</v>
      </c>
      <c r="E211" s="2">
        <v>0</v>
      </c>
      <c r="F211" s="2">
        <v>1</v>
      </c>
      <c r="G211" s="2">
        <v>0</v>
      </c>
      <c r="H211" s="2">
        <v>0</v>
      </c>
      <c r="I211" s="2">
        <v>0</v>
      </c>
      <c r="J211" s="2">
        <v>0</v>
      </c>
      <c r="K211" s="2">
        <v>1413</v>
      </c>
      <c r="L211" s="2">
        <v>3</v>
      </c>
      <c r="M211" s="2">
        <v>3</v>
      </c>
      <c r="N211" s="2">
        <v>3</v>
      </c>
      <c r="O211" s="2">
        <v>0</v>
      </c>
      <c r="P211" s="2">
        <v>1</v>
      </c>
      <c r="Q211" s="2">
        <v>0</v>
      </c>
      <c r="R211" s="2">
        <v>0</v>
      </c>
      <c r="S211" s="2">
        <v>0</v>
      </c>
      <c r="T211" s="2">
        <v>2</v>
      </c>
      <c r="U211" s="2">
        <v>0</v>
      </c>
      <c r="V211" s="2">
        <v>0</v>
      </c>
      <c r="W211" s="2">
        <v>55</v>
      </c>
      <c r="X211" s="2">
        <v>0</v>
      </c>
      <c r="Y211" s="2">
        <v>0</v>
      </c>
      <c r="Z211" s="2">
        <v>1</v>
      </c>
      <c r="AA211" s="2">
        <v>1</v>
      </c>
      <c r="AB211" s="2">
        <v>2</v>
      </c>
      <c r="AC211" s="2">
        <v>1</v>
      </c>
      <c r="AD211" s="2">
        <v>0</v>
      </c>
      <c r="AE211" s="2">
        <v>1</v>
      </c>
      <c r="AF211" s="2">
        <v>1</v>
      </c>
      <c r="AG211" s="20">
        <f t="shared" si="3"/>
        <v>100</v>
      </c>
    </row>
    <row r="212" spans="1:33" x14ac:dyDescent="0.25">
      <c r="A212">
        <v>211</v>
      </c>
      <c r="B212" s="2">
        <v>3</v>
      </c>
      <c r="C212" s="2">
        <v>9</v>
      </c>
      <c r="D212" s="2">
        <v>4</v>
      </c>
      <c r="E212" s="2">
        <v>0</v>
      </c>
      <c r="F212" s="2">
        <v>0</v>
      </c>
      <c r="G212" s="2">
        <v>0</v>
      </c>
      <c r="H212" s="2">
        <v>1</v>
      </c>
      <c r="I212" s="2">
        <v>0</v>
      </c>
      <c r="J212" s="2">
        <v>0</v>
      </c>
      <c r="K212" s="2">
        <v>3074</v>
      </c>
      <c r="L212" s="2">
        <v>4</v>
      </c>
      <c r="M212" s="2">
        <v>2</v>
      </c>
      <c r="N212" s="2">
        <v>1</v>
      </c>
      <c r="O212" s="2">
        <v>0</v>
      </c>
      <c r="P212" s="2">
        <v>1</v>
      </c>
      <c r="Q212" s="2">
        <v>0</v>
      </c>
      <c r="R212" s="2">
        <v>0</v>
      </c>
      <c r="S212" s="2">
        <v>0</v>
      </c>
      <c r="T212" s="2">
        <v>2</v>
      </c>
      <c r="U212" s="2">
        <v>1</v>
      </c>
      <c r="V212" s="2">
        <v>0</v>
      </c>
      <c r="W212" s="2">
        <v>33</v>
      </c>
      <c r="X212" s="2">
        <v>0</v>
      </c>
      <c r="Y212" s="2">
        <v>0</v>
      </c>
      <c r="Z212" s="2">
        <v>1</v>
      </c>
      <c r="AA212" s="2">
        <v>2</v>
      </c>
      <c r="AB212" s="2">
        <v>2</v>
      </c>
      <c r="AC212" s="2">
        <v>2</v>
      </c>
      <c r="AD212" s="2">
        <v>0</v>
      </c>
      <c r="AE212" s="2">
        <v>0</v>
      </c>
      <c r="AF212" s="2">
        <v>1</v>
      </c>
      <c r="AG212" s="20">
        <f t="shared" si="3"/>
        <v>100</v>
      </c>
    </row>
    <row r="213" spans="1:33" x14ac:dyDescent="0.25">
      <c r="A213">
        <v>212</v>
      </c>
      <c r="B213" s="2">
        <v>3</v>
      </c>
      <c r="C213" s="2">
        <v>36</v>
      </c>
      <c r="D213" s="2">
        <v>2</v>
      </c>
      <c r="E213" s="2">
        <v>0</v>
      </c>
      <c r="F213" s="2">
        <v>0</v>
      </c>
      <c r="G213" s="2">
        <v>0</v>
      </c>
      <c r="H213" s="2">
        <v>1</v>
      </c>
      <c r="I213" s="2">
        <v>0</v>
      </c>
      <c r="J213" s="2">
        <v>0</v>
      </c>
      <c r="K213" s="2">
        <v>3835</v>
      </c>
      <c r="L213" s="2">
        <v>4</v>
      </c>
      <c r="M213" s="2">
        <v>4</v>
      </c>
      <c r="N213" s="2">
        <v>2</v>
      </c>
      <c r="O213" s="2">
        <v>0</v>
      </c>
      <c r="P213" s="2">
        <v>0</v>
      </c>
      <c r="Q213" s="2">
        <v>0</v>
      </c>
      <c r="R213" s="2">
        <v>0</v>
      </c>
      <c r="S213" s="2">
        <v>0</v>
      </c>
      <c r="T213" s="2">
        <v>4</v>
      </c>
      <c r="U213" s="2">
        <v>1</v>
      </c>
      <c r="V213" s="2">
        <v>0</v>
      </c>
      <c r="W213" s="2">
        <v>45</v>
      </c>
      <c r="X213" s="2">
        <v>0</v>
      </c>
      <c r="Y213" s="2">
        <v>0</v>
      </c>
      <c r="Z213" s="2">
        <v>1</v>
      </c>
      <c r="AA213" s="2">
        <v>1</v>
      </c>
      <c r="AB213" s="2">
        <v>1</v>
      </c>
      <c r="AC213" s="2">
        <v>1</v>
      </c>
      <c r="AD213" s="2">
        <v>1</v>
      </c>
      <c r="AE213" s="2">
        <v>0</v>
      </c>
      <c r="AF213" s="2">
        <v>1</v>
      </c>
      <c r="AG213" s="20">
        <f t="shared" si="3"/>
        <v>100</v>
      </c>
    </row>
    <row r="214" spans="1:33" x14ac:dyDescent="0.25">
      <c r="A214">
        <v>213</v>
      </c>
      <c r="B214" s="2">
        <v>0</v>
      </c>
      <c r="C214" s="2">
        <v>27</v>
      </c>
      <c r="D214" s="2">
        <v>0</v>
      </c>
      <c r="E214" s="2">
        <v>0</v>
      </c>
      <c r="F214" s="2">
        <v>0</v>
      </c>
      <c r="G214" s="2">
        <v>0</v>
      </c>
      <c r="H214" s="2">
        <v>0</v>
      </c>
      <c r="I214" s="2">
        <v>0</v>
      </c>
      <c r="J214" s="2">
        <v>1</v>
      </c>
      <c r="K214" s="2">
        <v>5293</v>
      </c>
      <c r="L214" s="2">
        <v>0</v>
      </c>
      <c r="M214" s="2">
        <v>0</v>
      </c>
      <c r="N214" s="2">
        <v>2</v>
      </c>
      <c r="O214" s="2">
        <v>0</v>
      </c>
      <c r="P214" s="2">
        <v>1</v>
      </c>
      <c r="Q214" s="2">
        <v>0</v>
      </c>
      <c r="R214" s="2">
        <v>0</v>
      </c>
      <c r="S214" s="2">
        <v>0</v>
      </c>
      <c r="T214" s="2">
        <v>4</v>
      </c>
      <c r="U214" s="2">
        <v>0</v>
      </c>
      <c r="V214" s="2">
        <v>0</v>
      </c>
      <c r="W214" s="2">
        <v>50</v>
      </c>
      <c r="X214" s="2">
        <v>1</v>
      </c>
      <c r="Y214" s="2">
        <v>0</v>
      </c>
      <c r="Z214" s="2">
        <v>1</v>
      </c>
      <c r="AA214" s="2">
        <v>2</v>
      </c>
      <c r="AB214" s="2">
        <v>2</v>
      </c>
      <c r="AC214" s="2">
        <v>1</v>
      </c>
      <c r="AD214" s="2">
        <v>1</v>
      </c>
      <c r="AE214" s="2">
        <v>0</v>
      </c>
      <c r="AF214" s="2">
        <v>0</v>
      </c>
      <c r="AG214" s="20">
        <f t="shared" si="3"/>
        <v>-500</v>
      </c>
    </row>
    <row r="215" spans="1:33" x14ac:dyDescent="0.25">
      <c r="A215">
        <v>214</v>
      </c>
      <c r="B215" s="2">
        <v>2</v>
      </c>
      <c r="C215" s="2">
        <v>30</v>
      </c>
      <c r="D215" s="2">
        <v>3</v>
      </c>
      <c r="E215" s="2">
        <v>0</v>
      </c>
      <c r="F215" s="2">
        <v>0</v>
      </c>
      <c r="G215" s="2">
        <v>0</v>
      </c>
      <c r="H215" s="2">
        <v>0</v>
      </c>
      <c r="I215" s="2">
        <v>0</v>
      </c>
      <c r="J215" s="2">
        <v>1</v>
      </c>
      <c r="K215" s="2">
        <v>1908</v>
      </c>
      <c r="L215" s="2">
        <v>0</v>
      </c>
      <c r="M215" s="2">
        <v>4</v>
      </c>
      <c r="N215" s="2">
        <v>4</v>
      </c>
      <c r="O215" s="2">
        <v>0</v>
      </c>
      <c r="P215" s="2">
        <v>1</v>
      </c>
      <c r="Q215" s="2">
        <v>0</v>
      </c>
      <c r="R215" s="2">
        <v>0</v>
      </c>
      <c r="S215" s="2">
        <v>0</v>
      </c>
      <c r="T215" s="2">
        <v>4</v>
      </c>
      <c r="U215" s="2">
        <v>1</v>
      </c>
      <c r="V215" s="2">
        <v>0</v>
      </c>
      <c r="W215" s="2">
        <v>66</v>
      </c>
      <c r="X215" s="2">
        <v>0</v>
      </c>
      <c r="Y215" s="2">
        <v>0</v>
      </c>
      <c r="Z215" s="2">
        <v>1</v>
      </c>
      <c r="AA215" s="2">
        <v>1</v>
      </c>
      <c r="AB215" s="2">
        <v>3</v>
      </c>
      <c r="AC215" s="2">
        <v>1</v>
      </c>
      <c r="AD215" s="2">
        <v>1</v>
      </c>
      <c r="AE215" s="2">
        <v>0</v>
      </c>
      <c r="AF215" s="2">
        <v>0</v>
      </c>
      <c r="AG215" s="20">
        <f t="shared" si="3"/>
        <v>-500</v>
      </c>
    </row>
    <row r="216" spans="1:33" x14ac:dyDescent="0.25">
      <c r="A216">
        <v>215</v>
      </c>
      <c r="B216" s="2">
        <v>3</v>
      </c>
      <c r="C216" s="2">
        <v>36</v>
      </c>
      <c r="D216" s="2">
        <v>4</v>
      </c>
      <c r="E216" s="2">
        <v>0</v>
      </c>
      <c r="F216" s="2">
        <v>0</v>
      </c>
      <c r="G216" s="2">
        <v>0</v>
      </c>
      <c r="H216" s="2">
        <v>1</v>
      </c>
      <c r="I216" s="2">
        <v>0</v>
      </c>
      <c r="J216" s="2">
        <v>0</v>
      </c>
      <c r="K216" s="2">
        <v>3342</v>
      </c>
      <c r="L216" s="2">
        <v>4</v>
      </c>
      <c r="M216" s="2">
        <v>4</v>
      </c>
      <c r="N216" s="2">
        <v>4</v>
      </c>
      <c r="O216" s="2">
        <v>0</v>
      </c>
      <c r="P216" s="2">
        <v>1</v>
      </c>
      <c r="Q216" s="2">
        <v>0</v>
      </c>
      <c r="R216" s="2">
        <v>0</v>
      </c>
      <c r="S216" s="2">
        <v>0</v>
      </c>
      <c r="T216" s="2">
        <v>2</v>
      </c>
      <c r="U216" s="2">
        <v>0</v>
      </c>
      <c r="V216" s="2">
        <v>0</v>
      </c>
      <c r="W216" s="2">
        <v>51</v>
      </c>
      <c r="X216" s="2">
        <v>0</v>
      </c>
      <c r="Y216" s="2">
        <v>0</v>
      </c>
      <c r="Z216" s="2">
        <v>1</v>
      </c>
      <c r="AA216" s="2">
        <v>1</v>
      </c>
      <c r="AB216" s="2">
        <v>2</v>
      </c>
      <c r="AC216" s="2">
        <v>1</v>
      </c>
      <c r="AD216" s="2">
        <v>1</v>
      </c>
      <c r="AE216" s="2">
        <v>0</v>
      </c>
      <c r="AF216" s="2">
        <v>1</v>
      </c>
      <c r="AG216" s="20">
        <f t="shared" si="3"/>
        <v>100</v>
      </c>
    </row>
    <row r="217" spans="1:33" x14ac:dyDescent="0.25">
      <c r="A217">
        <v>216</v>
      </c>
      <c r="B217" s="2">
        <v>1</v>
      </c>
      <c r="C217" s="2">
        <v>6</v>
      </c>
      <c r="D217" s="2">
        <v>4</v>
      </c>
      <c r="E217" s="2">
        <v>0</v>
      </c>
      <c r="F217" s="2">
        <v>0</v>
      </c>
      <c r="G217" s="2">
        <v>0</v>
      </c>
      <c r="H217" s="2">
        <v>0</v>
      </c>
      <c r="I217" s="2">
        <v>0</v>
      </c>
      <c r="J217" s="2">
        <v>0</v>
      </c>
      <c r="K217" s="2">
        <v>932</v>
      </c>
      <c r="L217" s="2">
        <v>4</v>
      </c>
      <c r="M217" s="2">
        <v>3</v>
      </c>
      <c r="N217" s="2">
        <v>1</v>
      </c>
      <c r="O217" s="2">
        <v>0</v>
      </c>
      <c r="P217" s="2">
        <v>0</v>
      </c>
      <c r="Q217" s="2">
        <v>0</v>
      </c>
      <c r="R217" s="2">
        <v>0</v>
      </c>
      <c r="S217" s="2">
        <v>0</v>
      </c>
      <c r="T217" s="2">
        <v>3</v>
      </c>
      <c r="U217" s="2">
        <v>0</v>
      </c>
      <c r="V217" s="2">
        <v>0</v>
      </c>
      <c r="W217" s="2">
        <v>39</v>
      </c>
      <c r="X217" s="2">
        <v>0</v>
      </c>
      <c r="Y217" s="2">
        <v>0</v>
      </c>
      <c r="Z217" s="2">
        <v>1</v>
      </c>
      <c r="AA217" s="2">
        <v>2</v>
      </c>
      <c r="AB217" s="2">
        <v>1</v>
      </c>
      <c r="AC217" s="2">
        <v>1</v>
      </c>
      <c r="AD217" s="2">
        <v>0</v>
      </c>
      <c r="AE217" s="2">
        <v>0</v>
      </c>
      <c r="AF217" s="2">
        <v>1</v>
      </c>
      <c r="AG217" s="20">
        <f t="shared" si="3"/>
        <v>100</v>
      </c>
    </row>
    <row r="218" spans="1:33" x14ac:dyDescent="0.25">
      <c r="A218">
        <v>217</v>
      </c>
      <c r="B218" s="2">
        <v>0</v>
      </c>
      <c r="C218" s="2">
        <v>18</v>
      </c>
      <c r="D218" s="2">
        <v>0</v>
      </c>
      <c r="E218" s="2">
        <v>0</v>
      </c>
      <c r="F218" s="2">
        <v>0</v>
      </c>
      <c r="G218" s="2">
        <v>0</v>
      </c>
      <c r="H218" s="2">
        <v>0</v>
      </c>
      <c r="I218" s="2">
        <v>0</v>
      </c>
      <c r="J218" s="2">
        <v>1</v>
      </c>
      <c r="K218" s="2">
        <v>3104</v>
      </c>
      <c r="L218" s="2">
        <v>0</v>
      </c>
      <c r="M218" s="2">
        <v>3</v>
      </c>
      <c r="N218" s="2">
        <v>3</v>
      </c>
      <c r="O218" s="2">
        <v>0</v>
      </c>
      <c r="P218" s="2">
        <v>1</v>
      </c>
      <c r="Q218" s="2">
        <v>0</v>
      </c>
      <c r="R218" s="2">
        <v>0</v>
      </c>
      <c r="S218" s="2">
        <v>0</v>
      </c>
      <c r="T218" s="2">
        <v>1</v>
      </c>
      <c r="U218" s="2">
        <v>0</v>
      </c>
      <c r="V218" s="2">
        <v>0</v>
      </c>
      <c r="W218" s="2">
        <v>31</v>
      </c>
      <c r="X218" s="2">
        <v>1</v>
      </c>
      <c r="Y218" s="2">
        <v>0</v>
      </c>
      <c r="Z218" s="2">
        <v>1</v>
      </c>
      <c r="AA218" s="2">
        <v>1</v>
      </c>
      <c r="AB218" s="2">
        <v>2</v>
      </c>
      <c r="AC218" s="2">
        <v>1</v>
      </c>
      <c r="AD218" s="2">
        <v>1</v>
      </c>
      <c r="AE218" s="2">
        <v>0</v>
      </c>
      <c r="AF218" s="2">
        <v>1</v>
      </c>
      <c r="AG218" s="20">
        <f t="shared" si="3"/>
        <v>100</v>
      </c>
    </row>
    <row r="219" spans="1:33" x14ac:dyDescent="0.25">
      <c r="A219">
        <v>218</v>
      </c>
      <c r="B219" s="2">
        <v>2</v>
      </c>
      <c r="C219" s="2">
        <v>36</v>
      </c>
      <c r="D219" s="2">
        <v>2</v>
      </c>
      <c r="E219" s="2">
        <v>0</v>
      </c>
      <c r="F219" s="2">
        <v>0</v>
      </c>
      <c r="G219" s="2">
        <v>0</v>
      </c>
      <c r="H219" s="2">
        <v>1</v>
      </c>
      <c r="I219" s="2">
        <v>0</v>
      </c>
      <c r="J219" s="2">
        <v>0</v>
      </c>
      <c r="K219" s="2">
        <v>3913</v>
      </c>
      <c r="L219" s="2">
        <v>0</v>
      </c>
      <c r="M219" s="2">
        <v>2</v>
      </c>
      <c r="N219" s="2">
        <v>2</v>
      </c>
      <c r="O219" s="2">
        <v>0</v>
      </c>
      <c r="P219" s="2">
        <v>1</v>
      </c>
      <c r="Q219" s="2">
        <v>0</v>
      </c>
      <c r="R219" s="2">
        <v>0</v>
      </c>
      <c r="S219" s="2">
        <v>0</v>
      </c>
      <c r="T219" s="2">
        <v>2</v>
      </c>
      <c r="U219" s="2">
        <v>1</v>
      </c>
      <c r="V219" s="2">
        <v>0</v>
      </c>
      <c r="W219" s="2">
        <v>23</v>
      </c>
      <c r="X219" s="2">
        <v>0</v>
      </c>
      <c r="Y219" s="2">
        <v>0</v>
      </c>
      <c r="Z219" s="2">
        <v>1</v>
      </c>
      <c r="AA219" s="2">
        <v>1</v>
      </c>
      <c r="AB219" s="2">
        <v>2</v>
      </c>
      <c r="AC219" s="2">
        <v>1</v>
      </c>
      <c r="AD219" s="2">
        <v>1</v>
      </c>
      <c r="AE219" s="2">
        <v>0</v>
      </c>
      <c r="AF219" s="2">
        <v>1</v>
      </c>
      <c r="AG219" s="20">
        <f t="shared" si="3"/>
        <v>100</v>
      </c>
    </row>
    <row r="220" spans="1:33" x14ac:dyDescent="0.25">
      <c r="A220">
        <v>219</v>
      </c>
      <c r="B220" s="2">
        <v>0</v>
      </c>
      <c r="C220" s="2">
        <v>24</v>
      </c>
      <c r="D220" s="2">
        <v>2</v>
      </c>
      <c r="E220" s="2">
        <v>0</v>
      </c>
      <c r="F220" s="2">
        <v>0</v>
      </c>
      <c r="G220" s="2">
        <v>1</v>
      </c>
      <c r="H220" s="2">
        <v>0</v>
      </c>
      <c r="I220" s="2">
        <v>0</v>
      </c>
      <c r="J220" s="2">
        <v>0</v>
      </c>
      <c r="K220" s="2">
        <v>3021</v>
      </c>
      <c r="L220" s="2">
        <v>0</v>
      </c>
      <c r="M220" s="2">
        <v>2</v>
      </c>
      <c r="N220" s="2">
        <v>2</v>
      </c>
      <c r="O220" s="2">
        <v>1</v>
      </c>
      <c r="P220" s="2">
        <v>0</v>
      </c>
      <c r="Q220" s="2">
        <v>0</v>
      </c>
      <c r="R220" s="2">
        <v>0</v>
      </c>
      <c r="S220" s="2">
        <v>0</v>
      </c>
      <c r="T220" s="2">
        <v>2</v>
      </c>
      <c r="U220" s="2">
        <v>1</v>
      </c>
      <c r="V220" s="2">
        <v>0</v>
      </c>
      <c r="W220" s="2">
        <v>24</v>
      </c>
      <c r="X220" s="2">
        <v>0</v>
      </c>
      <c r="Y220" s="2">
        <v>1</v>
      </c>
      <c r="Z220" s="2">
        <v>0</v>
      </c>
      <c r="AA220" s="2">
        <v>1</v>
      </c>
      <c r="AB220" s="2">
        <v>1</v>
      </c>
      <c r="AC220" s="2">
        <v>1</v>
      </c>
      <c r="AD220" s="2">
        <v>0</v>
      </c>
      <c r="AE220" s="2">
        <v>0</v>
      </c>
      <c r="AF220" s="2">
        <v>1</v>
      </c>
      <c r="AG220" s="20">
        <f t="shared" si="3"/>
        <v>100</v>
      </c>
    </row>
    <row r="221" spans="1:33" x14ac:dyDescent="0.25">
      <c r="A221">
        <v>220</v>
      </c>
      <c r="B221" s="2">
        <v>3</v>
      </c>
      <c r="C221" s="2">
        <v>10</v>
      </c>
      <c r="D221" s="2">
        <v>2</v>
      </c>
      <c r="E221" s="2">
        <v>1</v>
      </c>
      <c r="F221" s="2">
        <v>0</v>
      </c>
      <c r="G221" s="2">
        <v>0</v>
      </c>
      <c r="H221" s="2">
        <v>0</v>
      </c>
      <c r="I221" s="2">
        <v>0</v>
      </c>
      <c r="J221" s="2">
        <v>0</v>
      </c>
      <c r="K221" s="2">
        <v>1364</v>
      </c>
      <c r="L221" s="2">
        <v>0</v>
      </c>
      <c r="M221" s="2">
        <v>2</v>
      </c>
      <c r="N221" s="2">
        <v>2</v>
      </c>
      <c r="O221" s="2">
        <v>0</v>
      </c>
      <c r="P221" s="2">
        <v>0</v>
      </c>
      <c r="Q221" s="2">
        <v>0</v>
      </c>
      <c r="R221" s="2">
        <v>0</v>
      </c>
      <c r="S221" s="2">
        <v>0</v>
      </c>
      <c r="T221" s="2">
        <v>4</v>
      </c>
      <c r="U221" s="2">
        <v>0</v>
      </c>
      <c r="V221" s="2">
        <v>0</v>
      </c>
      <c r="W221" s="2">
        <v>64</v>
      </c>
      <c r="X221" s="2">
        <v>0</v>
      </c>
      <c r="Y221" s="2">
        <v>0</v>
      </c>
      <c r="Z221" s="2">
        <v>1</v>
      </c>
      <c r="AA221" s="2">
        <v>1</v>
      </c>
      <c r="AB221" s="2">
        <v>2</v>
      </c>
      <c r="AC221" s="2">
        <v>1</v>
      </c>
      <c r="AD221" s="2">
        <v>1</v>
      </c>
      <c r="AE221" s="2">
        <v>0</v>
      </c>
      <c r="AF221" s="2">
        <v>1</v>
      </c>
      <c r="AG221" s="20">
        <f t="shared" si="3"/>
        <v>100</v>
      </c>
    </row>
    <row r="222" spans="1:33" x14ac:dyDescent="0.25">
      <c r="A222">
        <v>221</v>
      </c>
      <c r="B222" s="2">
        <v>1</v>
      </c>
      <c r="C222" s="2">
        <v>12</v>
      </c>
      <c r="D222" s="2">
        <v>2</v>
      </c>
      <c r="E222" s="2">
        <v>0</v>
      </c>
      <c r="F222" s="2">
        <v>0</v>
      </c>
      <c r="G222" s="2">
        <v>0</v>
      </c>
      <c r="H222" s="2">
        <v>1</v>
      </c>
      <c r="I222" s="2">
        <v>0</v>
      </c>
      <c r="J222" s="2">
        <v>0</v>
      </c>
      <c r="K222" s="2">
        <v>625</v>
      </c>
      <c r="L222" s="2">
        <v>0</v>
      </c>
      <c r="M222" s="2">
        <v>1</v>
      </c>
      <c r="N222" s="2">
        <v>4</v>
      </c>
      <c r="O222" s="2">
        <v>0</v>
      </c>
      <c r="P222" s="2">
        <v>0</v>
      </c>
      <c r="Q222" s="2">
        <v>1</v>
      </c>
      <c r="R222" s="2">
        <v>0</v>
      </c>
      <c r="S222" s="2">
        <v>1</v>
      </c>
      <c r="T222" s="2">
        <v>1</v>
      </c>
      <c r="U222" s="2">
        <v>1</v>
      </c>
      <c r="V222" s="2">
        <v>0</v>
      </c>
      <c r="W222" s="2">
        <v>26</v>
      </c>
      <c r="X222" s="2">
        <v>1</v>
      </c>
      <c r="Y222" s="2">
        <v>0</v>
      </c>
      <c r="Z222" s="2">
        <v>1</v>
      </c>
      <c r="AA222" s="2">
        <v>1</v>
      </c>
      <c r="AB222" s="2">
        <v>1</v>
      </c>
      <c r="AC222" s="2">
        <v>1</v>
      </c>
      <c r="AD222" s="2">
        <v>0</v>
      </c>
      <c r="AE222" s="2">
        <v>0</v>
      </c>
      <c r="AF222" s="2">
        <v>1</v>
      </c>
      <c r="AG222" s="20">
        <f t="shared" si="3"/>
        <v>100</v>
      </c>
    </row>
    <row r="223" spans="1:33" x14ac:dyDescent="0.25">
      <c r="A223">
        <v>222</v>
      </c>
      <c r="B223" s="2">
        <v>0</v>
      </c>
      <c r="C223" s="2">
        <v>12</v>
      </c>
      <c r="D223" s="2">
        <v>2</v>
      </c>
      <c r="E223" s="2">
        <v>0</v>
      </c>
      <c r="F223" s="2">
        <v>0</v>
      </c>
      <c r="G223" s="2">
        <v>0</v>
      </c>
      <c r="H223" s="2">
        <v>0</v>
      </c>
      <c r="I223" s="2">
        <v>1</v>
      </c>
      <c r="J223" s="2">
        <v>0</v>
      </c>
      <c r="K223" s="2">
        <v>1200</v>
      </c>
      <c r="L223" s="2">
        <v>4</v>
      </c>
      <c r="M223" s="2">
        <v>2</v>
      </c>
      <c r="N223" s="2">
        <v>4</v>
      </c>
      <c r="O223" s="2">
        <v>0</v>
      </c>
      <c r="P223" s="2">
        <v>0</v>
      </c>
      <c r="Q223" s="2">
        <v>0</v>
      </c>
      <c r="R223" s="2">
        <v>0</v>
      </c>
      <c r="S223" s="2">
        <v>0</v>
      </c>
      <c r="T223" s="2">
        <v>4</v>
      </c>
      <c r="U223" s="2">
        <v>0</v>
      </c>
      <c r="V223" s="2">
        <v>0</v>
      </c>
      <c r="W223" s="2">
        <v>23</v>
      </c>
      <c r="X223" s="2">
        <v>1</v>
      </c>
      <c r="Y223" s="2">
        <v>1</v>
      </c>
      <c r="Z223" s="2">
        <v>0</v>
      </c>
      <c r="AA223" s="2">
        <v>1</v>
      </c>
      <c r="AB223" s="2">
        <v>2</v>
      </c>
      <c r="AC223" s="2">
        <v>1</v>
      </c>
      <c r="AD223" s="2">
        <v>1</v>
      </c>
      <c r="AE223" s="2">
        <v>0</v>
      </c>
      <c r="AF223" s="2">
        <v>1</v>
      </c>
      <c r="AG223" s="20">
        <f t="shared" si="3"/>
        <v>100</v>
      </c>
    </row>
    <row r="224" spans="1:33" x14ac:dyDescent="0.25">
      <c r="A224">
        <v>223</v>
      </c>
      <c r="B224" s="2">
        <v>3</v>
      </c>
      <c r="C224" s="2">
        <v>12</v>
      </c>
      <c r="D224" s="2">
        <v>2</v>
      </c>
      <c r="E224" s="2">
        <v>0</v>
      </c>
      <c r="F224" s="2">
        <v>0</v>
      </c>
      <c r="G224" s="2">
        <v>0</v>
      </c>
      <c r="H224" s="2">
        <v>1</v>
      </c>
      <c r="I224" s="2">
        <v>0</v>
      </c>
      <c r="J224" s="2">
        <v>0</v>
      </c>
      <c r="K224" s="2">
        <v>707</v>
      </c>
      <c r="L224" s="2">
        <v>0</v>
      </c>
      <c r="M224" s="2">
        <v>2</v>
      </c>
      <c r="N224" s="2">
        <v>4</v>
      </c>
      <c r="O224" s="2">
        <v>0</v>
      </c>
      <c r="P224" s="2">
        <v>1</v>
      </c>
      <c r="Q224" s="2">
        <v>0</v>
      </c>
      <c r="R224" s="2">
        <v>0</v>
      </c>
      <c r="S224" s="2">
        <v>0</v>
      </c>
      <c r="T224" s="2">
        <v>2</v>
      </c>
      <c r="U224" s="2">
        <v>1</v>
      </c>
      <c r="V224" s="2">
        <v>0</v>
      </c>
      <c r="W224" s="2">
        <v>30</v>
      </c>
      <c r="X224" s="2">
        <v>1</v>
      </c>
      <c r="Y224" s="2">
        <v>0</v>
      </c>
      <c r="Z224" s="2">
        <v>1</v>
      </c>
      <c r="AA224" s="2">
        <v>2</v>
      </c>
      <c r="AB224" s="2">
        <v>2</v>
      </c>
      <c r="AC224" s="2">
        <v>1</v>
      </c>
      <c r="AD224" s="2">
        <v>0</v>
      </c>
      <c r="AE224" s="2">
        <v>0</v>
      </c>
      <c r="AF224" s="2">
        <v>1</v>
      </c>
      <c r="AG224" s="20">
        <f t="shared" si="3"/>
        <v>100</v>
      </c>
    </row>
    <row r="225" spans="1:33" x14ac:dyDescent="0.25">
      <c r="A225">
        <v>224</v>
      </c>
      <c r="B225" s="2">
        <v>3</v>
      </c>
      <c r="C225" s="2">
        <v>24</v>
      </c>
      <c r="D225" s="2">
        <v>3</v>
      </c>
      <c r="E225" s="2">
        <v>0</v>
      </c>
      <c r="F225" s="2">
        <v>0</v>
      </c>
      <c r="G225" s="2">
        <v>0</v>
      </c>
      <c r="H225" s="2">
        <v>0</v>
      </c>
      <c r="I225" s="2">
        <v>0</v>
      </c>
      <c r="J225" s="2">
        <v>1</v>
      </c>
      <c r="K225" s="2">
        <v>2978</v>
      </c>
      <c r="L225" s="2">
        <v>4</v>
      </c>
      <c r="M225" s="2">
        <v>2</v>
      </c>
      <c r="N225" s="2">
        <v>4</v>
      </c>
      <c r="O225" s="2">
        <v>0</v>
      </c>
      <c r="P225" s="2">
        <v>1</v>
      </c>
      <c r="Q225" s="2">
        <v>0</v>
      </c>
      <c r="R225" s="2">
        <v>0</v>
      </c>
      <c r="S225" s="2">
        <v>0</v>
      </c>
      <c r="T225" s="2">
        <v>4</v>
      </c>
      <c r="U225" s="2">
        <v>1</v>
      </c>
      <c r="V225" s="2">
        <v>0</v>
      </c>
      <c r="W225" s="2">
        <v>32</v>
      </c>
      <c r="X225" s="2">
        <v>0</v>
      </c>
      <c r="Y225" s="2">
        <v>0</v>
      </c>
      <c r="Z225" s="2">
        <v>1</v>
      </c>
      <c r="AA225" s="2">
        <v>2</v>
      </c>
      <c r="AB225" s="2">
        <v>2</v>
      </c>
      <c r="AC225" s="2">
        <v>2</v>
      </c>
      <c r="AD225" s="2">
        <v>1</v>
      </c>
      <c r="AE225" s="2">
        <v>0</v>
      </c>
      <c r="AF225" s="2">
        <v>1</v>
      </c>
      <c r="AG225" s="20">
        <f t="shared" si="3"/>
        <v>100</v>
      </c>
    </row>
    <row r="226" spans="1:33" x14ac:dyDescent="0.25">
      <c r="A226">
        <v>225</v>
      </c>
      <c r="B226" s="2">
        <v>3</v>
      </c>
      <c r="C226" s="2">
        <v>15</v>
      </c>
      <c r="D226" s="2">
        <v>2</v>
      </c>
      <c r="E226" s="2">
        <v>0</v>
      </c>
      <c r="F226" s="2">
        <v>1</v>
      </c>
      <c r="G226" s="2">
        <v>0</v>
      </c>
      <c r="H226" s="2">
        <v>0</v>
      </c>
      <c r="I226" s="2">
        <v>0</v>
      </c>
      <c r="J226" s="2">
        <v>0</v>
      </c>
      <c r="K226" s="2">
        <v>4657</v>
      </c>
      <c r="L226" s="2">
        <v>0</v>
      </c>
      <c r="M226" s="2">
        <v>2</v>
      </c>
      <c r="N226" s="2">
        <v>3</v>
      </c>
      <c r="O226" s="2">
        <v>0</v>
      </c>
      <c r="P226" s="2">
        <v>1</v>
      </c>
      <c r="Q226" s="2">
        <v>0</v>
      </c>
      <c r="R226" s="2">
        <v>0</v>
      </c>
      <c r="S226" s="2">
        <v>0</v>
      </c>
      <c r="T226" s="2">
        <v>2</v>
      </c>
      <c r="U226" s="2">
        <v>0</v>
      </c>
      <c r="V226" s="2">
        <v>0</v>
      </c>
      <c r="W226" s="2">
        <v>30</v>
      </c>
      <c r="X226" s="2">
        <v>0</v>
      </c>
      <c r="Y226" s="2">
        <v>0</v>
      </c>
      <c r="Z226" s="2">
        <v>1</v>
      </c>
      <c r="AA226" s="2">
        <v>1</v>
      </c>
      <c r="AB226" s="2">
        <v>2</v>
      </c>
      <c r="AC226" s="2">
        <v>1</v>
      </c>
      <c r="AD226" s="2">
        <v>1</v>
      </c>
      <c r="AE226" s="2">
        <v>0</v>
      </c>
      <c r="AF226" s="2">
        <v>1</v>
      </c>
      <c r="AG226" s="20">
        <f t="shared" si="3"/>
        <v>100</v>
      </c>
    </row>
    <row r="227" spans="1:33" x14ac:dyDescent="0.25">
      <c r="A227">
        <v>226</v>
      </c>
      <c r="B227" s="2">
        <v>3</v>
      </c>
      <c r="C227" s="2">
        <v>36</v>
      </c>
      <c r="D227" s="2">
        <v>0</v>
      </c>
      <c r="E227" s="2">
        <v>0</v>
      </c>
      <c r="F227" s="2">
        <v>0</v>
      </c>
      <c r="G227" s="2">
        <v>0</v>
      </c>
      <c r="H227" s="2">
        <v>0</v>
      </c>
      <c r="I227" s="2">
        <v>0</v>
      </c>
      <c r="J227" s="2">
        <v>0</v>
      </c>
      <c r="K227" s="2">
        <v>2613</v>
      </c>
      <c r="L227" s="2">
        <v>0</v>
      </c>
      <c r="M227" s="2">
        <v>2</v>
      </c>
      <c r="N227" s="2">
        <v>4</v>
      </c>
      <c r="O227" s="2">
        <v>0</v>
      </c>
      <c r="P227" s="2">
        <v>1</v>
      </c>
      <c r="Q227" s="2">
        <v>0</v>
      </c>
      <c r="R227" s="2">
        <v>0</v>
      </c>
      <c r="S227" s="2">
        <v>0</v>
      </c>
      <c r="T227" s="2">
        <v>2</v>
      </c>
      <c r="U227" s="2">
        <v>0</v>
      </c>
      <c r="V227" s="2">
        <v>0</v>
      </c>
      <c r="W227" s="2">
        <v>27</v>
      </c>
      <c r="X227" s="2">
        <v>0</v>
      </c>
      <c r="Y227" s="2">
        <v>0</v>
      </c>
      <c r="Z227" s="2">
        <v>1</v>
      </c>
      <c r="AA227" s="2">
        <v>2</v>
      </c>
      <c r="AB227" s="2">
        <v>2</v>
      </c>
      <c r="AC227" s="2">
        <v>1</v>
      </c>
      <c r="AD227" s="2">
        <v>0</v>
      </c>
      <c r="AE227" s="2">
        <v>0</v>
      </c>
      <c r="AF227" s="2">
        <v>1</v>
      </c>
      <c r="AG227" s="20">
        <f t="shared" si="3"/>
        <v>100</v>
      </c>
    </row>
    <row r="228" spans="1:33" x14ac:dyDescent="0.25">
      <c r="A228">
        <v>227</v>
      </c>
      <c r="B228" s="2">
        <v>1</v>
      </c>
      <c r="C228" s="2">
        <v>48</v>
      </c>
      <c r="D228" s="2">
        <v>2</v>
      </c>
      <c r="E228" s="2">
        <v>0</v>
      </c>
      <c r="F228" s="2">
        <v>0</v>
      </c>
      <c r="G228" s="2">
        <v>0</v>
      </c>
      <c r="H228" s="2">
        <v>1</v>
      </c>
      <c r="I228" s="2">
        <v>0</v>
      </c>
      <c r="J228" s="2">
        <v>0</v>
      </c>
      <c r="K228" s="2">
        <v>10961</v>
      </c>
      <c r="L228" s="2">
        <v>3</v>
      </c>
      <c r="M228" s="2">
        <v>3</v>
      </c>
      <c r="N228" s="2">
        <v>1</v>
      </c>
      <c r="O228" s="2">
        <v>0</v>
      </c>
      <c r="P228" s="2">
        <v>1</v>
      </c>
      <c r="Q228" s="2">
        <v>0</v>
      </c>
      <c r="R228" s="2">
        <v>1</v>
      </c>
      <c r="S228" s="2">
        <v>0</v>
      </c>
      <c r="T228" s="2">
        <v>2</v>
      </c>
      <c r="U228" s="2">
        <v>0</v>
      </c>
      <c r="V228" s="2">
        <v>1</v>
      </c>
      <c r="W228" s="2">
        <v>27</v>
      </c>
      <c r="X228" s="2">
        <v>1</v>
      </c>
      <c r="Y228" s="2">
        <v>0</v>
      </c>
      <c r="Z228" s="2">
        <v>1</v>
      </c>
      <c r="AA228" s="2">
        <v>2</v>
      </c>
      <c r="AB228" s="2">
        <v>2</v>
      </c>
      <c r="AC228" s="2">
        <v>1</v>
      </c>
      <c r="AD228" s="2">
        <v>1</v>
      </c>
      <c r="AE228" s="2">
        <v>0</v>
      </c>
      <c r="AF228" s="2">
        <v>0</v>
      </c>
      <c r="AG228" s="20">
        <f t="shared" si="3"/>
        <v>-500</v>
      </c>
    </row>
    <row r="229" spans="1:33" x14ac:dyDescent="0.25">
      <c r="A229">
        <v>228</v>
      </c>
      <c r="B229" s="2">
        <v>0</v>
      </c>
      <c r="C229" s="2">
        <v>12</v>
      </c>
      <c r="D229" s="2">
        <v>2</v>
      </c>
      <c r="E229" s="2">
        <v>0</v>
      </c>
      <c r="F229" s="2">
        <v>0</v>
      </c>
      <c r="G229" s="2">
        <v>1</v>
      </c>
      <c r="H229" s="2">
        <v>0</v>
      </c>
      <c r="I229" s="2">
        <v>0</v>
      </c>
      <c r="J229" s="2">
        <v>0</v>
      </c>
      <c r="K229" s="2">
        <v>7865</v>
      </c>
      <c r="L229" s="2">
        <v>0</v>
      </c>
      <c r="M229" s="2">
        <v>4</v>
      </c>
      <c r="N229" s="2">
        <v>4</v>
      </c>
      <c r="O229" s="2">
        <v>0</v>
      </c>
      <c r="P229" s="2">
        <v>1</v>
      </c>
      <c r="Q229" s="2">
        <v>0</v>
      </c>
      <c r="R229" s="2">
        <v>0</v>
      </c>
      <c r="S229" s="2">
        <v>0</v>
      </c>
      <c r="T229" s="2">
        <v>4</v>
      </c>
      <c r="U229" s="2">
        <v>0</v>
      </c>
      <c r="V229" s="2">
        <v>1</v>
      </c>
      <c r="W229" s="2">
        <v>53</v>
      </c>
      <c r="X229" s="2">
        <v>0</v>
      </c>
      <c r="Y229" s="2">
        <v>0</v>
      </c>
      <c r="Z229" s="2">
        <v>0</v>
      </c>
      <c r="AA229" s="2">
        <v>1</v>
      </c>
      <c r="AB229" s="2">
        <v>3</v>
      </c>
      <c r="AC229" s="2">
        <v>1</v>
      </c>
      <c r="AD229" s="2">
        <v>1</v>
      </c>
      <c r="AE229" s="2">
        <v>0</v>
      </c>
      <c r="AF229" s="2">
        <v>0</v>
      </c>
      <c r="AG229" s="20">
        <f t="shared" si="3"/>
        <v>-500</v>
      </c>
    </row>
    <row r="230" spans="1:33" x14ac:dyDescent="0.25">
      <c r="A230">
        <v>229</v>
      </c>
      <c r="B230" s="2">
        <v>3</v>
      </c>
      <c r="C230" s="2">
        <v>9</v>
      </c>
      <c r="D230" s="2">
        <v>2</v>
      </c>
      <c r="E230" s="2">
        <v>0</v>
      </c>
      <c r="F230" s="2">
        <v>0</v>
      </c>
      <c r="G230" s="2">
        <v>0</v>
      </c>
      <c r="H230" s="2">
        <v>1</v>
      </c>
      <c r="I230" s="2">
        <v>0</v>
      </c>
      <c r="J230" s="2">
        <v>0</v>
      </c>
      <c r="K230" s="2">
        <v>1478</v>
      </c>
      <c r="L230" s="2">
        <v>0</v>
      </c>
      <c r="M230" s="2">
        <v>3</v>
      </c>
      <c r="N230" s="2">
        <v>4</v>
      </c>
      <c r="O230" s="2">
        <v>0</v>
      </c>
      <c r="P230" s="2">
        <v>1</v>
      </c>
      <c r="Q230" s="2">
        <v>0</v>
      </c>
      <c r="R230" s="2">
        <v>0</v>
      </c>
      <c r="S230" s="2">
        <v>0</v>
      </c>
      <c r="T230" s="2">
        <v>2</v>
      </c>
      <c r="U230" s="2">
        <v>0</v>
      </c>
      <c r="V230" s="2">
        <v>0</v>
      </c>
      <c r="W230" s="2">
        <v>22</v>
      </c>
      <c r="X230" s="2">
        <v>0</v>
      </c>
      <c r="Y230" s="2">
        <v>0</v>
      </c>
      <c r="Z230" s="2">
        <v>1</v>
      </c>
      <c r="AA230" s="2">
        <v>1</v>
      </c>
      <c r="AB230" s="2">
        <v>2</v>
      </c>
      <c r="AC230" s="2">
        <v>1</v>
      </c>
      <c r="AD230" s="2">
        <v>0</v>
      </c>
      <c r="AE230" s="2">
        <v>0</v>
      </c>
      <c r="AF230" s="2">
        <v>0</v>
      </c>
      <c r="AG230" s="20">
        <f t="shared" si="3"/>
        <v>-500</v>
      </c>
    </row>
    <row r="231" spans="1:33" x14ac:dyDescent="0.25">
      <c r="A231">
        <v>230</v>
      </c>
      <c r="B231" s="2">
        <v>0</v>
      </c>
      <c r="C231" s="2">
        <v>24</v>
      </c>
      <c r="D231" s="2">
        <v>2</v>
      </c>
      <c r="E231" s="2">
        <v>0</v>
      </c>
      <c r="F231" s="2">
        <v>0</v>
      </c>
      <c r="G231" s="2">
        <v>1</v>
      </c>
      <c r="H231" s="2">
        <v>0</v>
      </c>
      <c r="I231" s="2">
        <v>0</v>
      </c>
      <c r="J231" s="2">
        <v>0</v>
      </c>
      <c r="K231" s="2">
        <v>3149</v>
      </c>
      <c r="L231" s="2">
        <v>0</v>
      </c>
      <c r="M231" s="2">
        <v>1</v>
      </c>
      <c r="N231" s="2">
        <v>4</v>
      </c>
      <c r="O231" s="2">
        <v>0</v>
      </c>
      <c r="P231" s="2">
        <v>1</v>
      </c>
      <c r="Q231" s="2">
        <v>0</v>
      </c>
      <c r="R231" s="2">
        <v>0</v>
      </c>
      <c r="S231" s="2">
        <v>0</v>
      </c>
      <c r="T231" s="2">
        <v>1</v>
      </c>
      <c r="U231" s="2">
        <v>0</v>
      </c>
      <c r="V231" s="2">
        <v>1</v>
      </c>
      <c r="W231" s="2">
        <v>22</v>
      </c>
      <c r="X231" s="2">
        <v>1</v>
      </c>
      <c r="Y231" s="2">
        <v>0</v>
      </c>
      <c r="Z231" s="2">
        <v>0</v>
      </c>
      <c r="AA231" s="2">
        <v>1</v>
      </c>
      <c r="AB231" s="2">
        <v>2</v>
      </c>
      <c r="AC231" s="2">
        <v>1</v>
      </c>
      <c r="AD231" s="2">
        <v>0</v>
      </c>
      <c r="AE231" s="2">
        <v>0</v>
      </c>
      <c r="AF231" s="2">
        <v>1</v>
      </c>
      <c r="AG231" s="20">
        <f t="shared" si="3"/>
        <v>100</v>
      </c>
    </row>
    <row r="232" spans="1:33" x14ac:dyDescent="0.25">
      <c r="A232">
        <v>231</v>
      </c>
      <c r="B232" s="2">
        <v>2</v>
      </c>
      <c r="C232" s="2">
        <v>36</v>
      </c>
      <c r="D232" s="2">
        <v>2</v>
      </c>
      <c r="E232" s="2">
        <v>0</v>
      </c>
      <c r="F232" s="2">
        <v>0</v>
      </c>
      <c r="G232" s="2">
        <v>0</v>
      </c>
      <c r="H232" s="2">
        <v>1</v>
      </c>
      <c r="I232" s="2">
        <v>0</v>
      </c>
      <c r="J232" s="2">
        <v>0</v>
      </c>
      <c r="K232" s="2">
        <v>4210</v>
      </c>
      <c r="L232" s="2">
        <v>0</v>
      </c>
      <c r="M232" s="2">
        <v>2</v>
      </c>
      <c r="N232" s="2">
        <v>4</v>
      </c>
      <c r="O232" s="2">
        <v>0</v>
      </c>
      <c r="P232" s="2">
        <v>1</v>
      </c>
      <c r="Q232" s="2">
        <v>0</v>
      </c>
      <c r="R232" s="2">
        <v>0</v>
      </c>
      <c r="S232" s="2">
        <v>0</v>
      </c>
      <c r="T232" s="2">
        <v>2</v>
      </c>
      <c r="U232" s="2">
        <v>0</v>
      </c>
      <c r="V232" s="2">
        <v>0</v>
      </c>
      <c r="W232" s="2">
        <v>26</v>
      </c>
      <c r="X232" s="2">
        <v>0</v>
      </c>
      <c r="Y232" s="2">
        <v>0</v>
      </c>
      <c r="Z232" s="2">
        <v>1</v>
      </c>
      <c r="AA232" s="2">
        <v>1</v>
      </c>
      <c r="AB232" s="2">
        <v>2</v>
      </c>
      <c r="AC232" s="2">
        <v>1</v>
      </c>
      <c r="AD232" s="2">
        <v>0</v>
      </c>
      <c r="AE232" s="2">
        <v>0</v>
      </c>
      <c r="AF232" s="2">
        <v>0</v>
      </c>
      <c r="AG232" s="20">
        <f t="shared" si="3"/>
        <v>-500</v>
      </c>
    </row>
    <row r="233" spans="1:33" x14ac:dyDescent="0.25">
      <c r="A233">
        <v>232</v>
      </c>
      <c r="B233" s="2">
        <v>3</v>
      </c>
      <c r="C233" s="2">
        <v>9</v>
      </c>
      <c r="D233" s="2">
        <v>2</v>
      </c>
      <c r="E233" s="2">
        <v>1</v>
      </c>
      <c r="F233" s="2">
        <v>0</v>
      </c>
      <c r="G233" s="2">
        <v>0</v>
      </c>
      <c r="H233" s="2">
        <v>0</v>
      </c>
      <c r="I233" s="2">
        <v>0</v>
      </c>
      <c r="J233" s="2">
        <v>0</v>
      </c>
      <c r="K233" s="2">
        <v>2507</v>
      </c>
      <c r="L233" s="2">
        <v>2</v>
      </c>
      <c r="M233" s="2">
        <v>4</v>
      </c>
      <c r="N233" s="2">
        <v>2</v>
      </c>
      <c r="O233" s="2">
        <v>0</v>
      </c>
      <c r="P233" s="2">
        <v>1</v>
      </c>
      <c r="Q233" s="2">
        <v>0</v>
      </c>
      <c r="R233" s="2">
        <v>0</v>
      </c>
      <c r="S233" s="2">
        <v>0</v>
      </c>
      <c r="T233" s="2">
        <v>4</v>
      </c>
      <c r="U233" s="2">
        <v>0</v>
      </c>
      <c r="V233" s="2">
        <v>1</v>
      </c>
      <c r="W233" s="2">
        <v>51</v>
      </c>
      <c r="X233" s="2">
        <v>0</v>
      </c>
      <c r="Y233" s="2">
        <v>0</v>
      </c>
      <c r="Z233" s="2">
        <v>0</v>
      </c>
      <c r="AA233" s="2">
        <v>1</v>
      </c>
      <c r="AB233" s="2">
        <v>1</v>
      </c>
      <c r="AC233" s="2">
        <v>1</v>
      </c>
      <c r="AD233" s="2">
        <v>0</v>
      </c>
      <c r="AE233" s="2">
        <v>0</v>
      </c>
      <c r="AF233" s="2">
        <v>1</v>
      </c>
      <c r="AG233" s="20">
        <f t="shared" si="3"/>
        <v>100</v>
      </c>
    </row>
    <row r="234" spans="1:33" x14ac:dyDescent="0.25">
      <c r="A234">
        <v>233</v>
      </c>
      <c r="B234" s="2">
        <v>3</v>
      </c>
      <c r="C234" s="2">
        <v>12</v>
      </c>
      <c r="D234" s="2">
        <v>2</v>
      </c>
      <c r="E234" s="2">
        <v>0</v>
      </c>
      <c r="F234" s="2">
        <v>0</v>
      </c>
      <c r="G234" s="2">
        <v>0</v>
      </c>
      <c r="H234" s="2">
        <v>1</v>
      </c>
      <c r="I234" s="2">
        <v>0</v>
      </c>
      <c r="J234" s="2">
        <v>0</v>
      </c>
      <c r="K234" s="2">
        <v>2141</v>
      </c>
      <c r="L234" s="2">
        <v>1</v>
      </c>
      <c r="M234" s="2">
        <v>3</v>
      </c>
      <c r="N234" s="2">
        <v>3</v>
      </c>
      <c r="O234" s="2">
        <v>0</v>
      </c>
      <c r="P234" s="2">
        <v>1</v>
      </c>
      <c r="Q234" s="2">
        <v>0</v>
      </c>
      <c r="R234" s="2">
        <v>0</v>
      </c>
      <c r="S234" s="2">
        <v>0</v>
      </c>
      <c r="T234" s="2">
        <v>1</v>
      </c>
      <c r="U234" s="2">
        <v>0</v>
      </c>
      <c r="V234" s="2">
        <v>1</v>
      </c>
      <c r="W234" s="2">
        <v>35</v>
      </c>
      <c r="X234" s="2">
        <v>0</v>
      </c>
      <c r="Y234" s="2">
        <v>0</v>
      </c>
      <c r="Z234" s="2">
        <v>1</v>
      </c>
      <c r="AA234" s="2">
        <v>1</v>
      </c>
      <c r="AB234" s="2">
        <v>2</v>
      </c>
      <c r="AC234" s="2">
        <v>1</v>
      </c>
      <c r="AD234" s="2">
        <v>0</v>
      </c>
      <c r="AE234" s="2">
        <v>0</v>
      </c>
      <c r="AF234" s="2">
        <v>1</v>
      </c>
      <c r="AG234" s="20">
        <f t="shared" si="3"/>
        <v>100</v>
      </c>
    </row>
    <row r="235" spans="1:33" x14ac:dyDescent="0.25">
      <c r="A235">
        <v>234</v>
      </c>
      <c r="B235" s="2">
        <v>1</v>
      </c>
      <c r="C235" s="2">
        <v>18</v>
      </c>
      <c r="D235" s="2">
        <v>2</v>
      </c>
      <c r="E235" s="2">
        <v>0</v>
      </c>
      <c r="F235" s="2">
        <v>0</v>
      </c>
      <c r="G235" s="2">
        <v>0</v>
      </c>
      <c r="H235" s="2">
        <v>1</v>
      </c>
      <c r="I235" s="2">
        <v>0</v>
      </c>
      <c r="J235" s="2">
        <v>0</v>
      </c>
      <c r="K235" s="2">
        <v>866</v>
      </c>
      <c r="L235" s="2">
        <v>0</v>
      </c>
      <c r="M235" s="2">
        <v>2</v>
      </c>
      <c r="N235" s="2">
        <v>4</v>
      </c>
      <c r="O235" s="2">
        <v>0</v>
      </c>
      <c r="P235" s="2">
        <v>0</v>
      </c>
      <c r="Q235" s="2">
        <v>1</v>
      </c>
      <c r="R235" s="2">
        <v>0</v>
      </c>
      <c r="S235" s="2">
        <v>1</v>
      </c>
      <c r="T235" s="2">
        <v>2</v>
      </c>
      <c r="U235" s="2">
        <v>1</v>
      </c>
      <c r="V235" s="2">
        <v>0</v>
      </c>
      <c r="W235" s="2">
        <v>25</v>
      </c>
      <c r="X235" s="2">
        <v>0</v>
      </c>
      <c r="Y235" s="2">
        <v>0</v>
      </c>
      <c r="Z235" s="2">
        <v>1</v>
      </c>
      <c r="AA235" s="2">
        <v>1</v>
      </c>
      <c r="AB235" s="2">
        <v>1</v>
      </c>
      <c r="AC235" s="2">
        <v>1</v>
      </c>
      <c r="AD235" s="2">
        <v>0</v>
      </c>
      <c r="AE235" s="2">
        <v>0</v>
      </c>
      <c r="AF235" s="2">
        <v>1</v>
      </c>
      <c r="AG235" s="20">
        <f t="shared" si="3"/>
        <v>100</v>
      </c>
    </row>
    <row r="236" spans="1:33" x14ac:dyDescent="0.25">
      <c r="A236">
        <v>235</v>
      </c>
      <c r="B236" s="2">
        <v>3</v>
      </c>
      <c r="C236" s="2">
        <v>4</v>
      </c>
      <c r="D236" s="2">
        <v>4</v>
      </c>
      <c r="E236" s="2">
        <v>0</v>
      </c>
      <c r="F236" s="2">
        <v>0</v>
      </c>
      <c r="G236" s="2">
        <v>0</v>
      </c>
      <c r="H236" s="2">
        <v>1</v>
      </c>
      <c r="I236" s="2">
        <v>0</v>
      </c>
      <c r="J236" s="2">
        <v>0</v>
      </c>
      <c r="K236" s="2">
        <v>1544</v>
      </c>
      <c r="L236" s="2">
        <v>0</v>
      </c>
      <c r="M236" s="2">
        <v>3</v>
      </c>
      <c r="N236" s="2">
        <v>2</v>
      </c>
      <c r="O236" s="2">
        <v>0</v>
      </c>
      <c r="P236" s="2">
        <v>1</v>
      </c>
      <c r="Q236" s="2">
        <v>0</v>
      </c>
      <c r="R236" s="2">
        <v>0</v>
      </c>
      <c r="S236" s="2">
        <v>0</v>
      </c>
      <c r="T236" s="2">
        <v>1</v>
      </c>
      <c r="U236" s="2">
        <v>1</v>
      </c>
      <c r="V236" s="2">
        <v>0</v>
      </c>
      <c r="W236" s="2">
        <v>42</v>
      </c>
      <c r="X236" s="2">
        <v>0</v>
      </c>
      <c r="Y236" s="2">
        <v>0</v>
      </c>
      <c r="Z236" s="2">
        <v>1</v>
      </c>
      <c r="AA236" s="2">
        <v>3</v>
      </c>
      <c r="AB236" s="2">
        <v>1</v>
      </c>
      <c r="AC236" s="2">
        <v>2</v>
      </c>
      <c r="AD236" s="2">
        <v>0</v>
      </c>
      <c r="AE236" s="2">
        <v>0</v>
      </c>
      <c r="AF236" s="2">
        <v>1</v>
      </c>
      <c r="AG236" s="20">
        <f t="shared" si="3"/>
        <v>100</v>
      </c>
    </row>
    <row r="237" spans="1:33" x14ac:dyDescent="0.25">
      <c r="A237">
        <v>236</v>
      </c>
      <c r="B237" s="2">
        <v>0</v>
      </c>
      <c r="C237" s="2">
        <v>24</v>
      </c>
      <c r="D237" s="2">
        <v>2</v>
      </c>
      <c r="E237" s="2">
        <v>0</v>
      </c>
      <c r="F237" s="2">
        <v>0</v>
      </c>
      <c r="G237" s="2">
        <v>0</v>
      </c>
      <c r="H237" s="2">
        <v>1</v>
      </c>
      <c r="I237" s="2">
        <v>0</v>
      </c>
      <c r="J237" s="2">
        <v>0</v>
      </c>
      <c r="K237" s="2">
        <v>1823</v>
      </c>
      <c r="L237" s="2">
        <v>0</v>
      </c>
      <c r="M237" s="2">
        <v>0</v>
      </c>
      <c r="N237" s="2">
        <v>4</v>
      </c>
      <c r="O237" s="2">
        <v>0</v>
      </c>
      <c r="P237" s="2">
        <v>1</v>
      </c>
      <c r="Q237" s="2">
        <v>0</v>
      </c>
      <c r="R237" s="2">
        <v>0</v>
      </c>
      <c r="S237" s="2">
        <v>0</v>
      </c>
      <c r="T237" s="2">
        <v>2</v>
      </c>
      <c r="U237" s="2">
        <v>0</v>
      </c>
      <c r="V237" s="2">
        <v>0</v>
      </c>
      <c r="W237" s="2">
        <v>30</v>
      </c>
      <c r="X237" s="2">
        <v>1</v>
      </c>
      <c r="Y237" s="2">
        <v>0</v>
      </c>
      <c r="Z237" s="2">
        <v>1</v>
      </c>
      <c r="AA237" s="2">
        <v>1</v>
      </c>
      <c r="AB237" s="2">
        <v>3</v>
      </c>
      <c r="AC237" s="2">
        <v>2</v>
      </c>
      <c r="AD237" s="2">
        <v>0</v>
      </c>
      <c r="AE237" s="2">
        <v>0</v>
      </c>
      <c r="AF237" s="2">
        <v>0</v>
      </c>
      <c r="AG237" s="20">
        <f t="shared" si="3"/>
        <v>-500</v>
      </c>
    </row>
    <row r="238" spans="1:33" x14ac:dyDescent="0.25">
      <c r="A238">
        <v>237</v>
      </c>
      <c r="B238" s="2">
        <v>1</v>
      </c>
      <c r="C238" s="2">
        <v>6</v>
      </c>
      <c r="D238" s="2">
        <v>2</v>
      </c>
      <c r="E238" s="2">
        <v>1</v>
      </c>
      <c r="F238" s="2">
        <v>0</v>
      </c>
      <c r="G238" s="2">
        <v>0</v>
      </c>
      <c r="H238" s="2">
        <v>0</v>
      </c>
      <c r="I238" s="2">
        <v>0</v>
      </c>
      <c r="J238" s="2">
        <v>0</v>
      </c>
      <c r="K238" s="2">
        <v>14555</v>
      </c>
      <c r="L238" s="2">
        <v>4</v>
      </c>
      <c r="M238" s="2">
        <v>0</v>
      </c>
      <c r="N238" s="2">
        <v>1</v>
      </c>
      <c r="O238" s="2">
        <v>0</v>
      </c>
      <c r="P238" s="2">
        <v>1</v>
      </c>
      <c r="Q238" s="2">
        <v>0</v>
      </c>
      <c r="R238" s="2">
        <v>0</v>
      </c>
      <c r="S238" s="2">
        <v>0</v>
      </c>
      <c r="T238" s="2">
        <v>2</v>
      </c>
      <c r="U238" s="2">
        <v>0</v>
      </c>
      <c r="V238" s="2">
        <v>0</v>
      </c>
      <c r="W238" s="2">
        <v>23</v>
      </c>
      <c r="X238" s="2">
        <v>0</v>
      </c>
      <c r="Y238" s="2">
        <v>0</v>
      </c>
      <c r="Z238" s="2">
        <v>1</v>
      </c>
      <c r="AA238" s="2">
        <v>1</v>
      </c>
      <c r="AB238" s="2">
        <v>0</v>
      </c>
      <c r="AC238" s="2">
        <v>1</v>
      </c>
      <c r="AD238" s="2">
        <v>1</v>
      </c>
      <c r="AE238" s="2">
        <v>0</v>
      </c>
      <c r="AF238" s="2">
        <v>0</v>
      </c>
      <c r="AG238" s="20">
        <f t="shared" si="3"/>
        <v>-500</v>
      </c>
    </row>
    <row r="239" spans="1:33" x14ac:dyDescent="0.25">
      <c r="A239">
        <v>238</v>
      </c>
      <c r="B239" s="2">
        <v>1</v>
      </c>
      <c r="C239" s="2">
        <v>21</v>
      </c>
      <c r="D239" s="2">
        <v>2</v>
      </c>
      <c r="E239" s="2">
        <v>0</v>
      </c>
      <c r="F239" s="2">
        <v>0</v>
      </c>
      <c r="G239" s="2">
        <v>0</v>
      </c>
      <c r="H239" s="2">
        <v>0</v>
      </c>
      <c r="I239" s="2">
        <v>0</v>
      </c>
      <c r="J239" s="2">
        <v>1</v>
      </c>
      <c r="K239" s="2">
        <v>2767</v>
      </c>
      <c r="L239" s="2">
        <v>1</v>
      </c>
      <c r="M239" s="2">
        <v>4</v>
      </c>
      <c r="N239" s="2">
        <v>4</v>
      </c>
      <c r="O239" s="2">
        <v>1</v>
      </c>
      <c r="P239" s="2">
        <v>0</v>
      </c>
      <c r="Q239" s="2">
        <v>0</v>
      </c>
      <c r="R239" s="2">
        <v>0</v>
      </c>
      <c r="S239" s="2">
        <v>0</v>
      </c>
      <c r="T239" s="2">
        <v>2</v>
      </c>
      <c r="U239" s="2">
        <v>0</v>
      </c>
      <c r="V239" s="2">
        <v>0</v>
      </c>
      <c r="W239" s="2">
        <v>61</v>
      </c>
      <c r="X239" s="2">
        <v>1</v>
      </c>
      <c r="Y239" s="2">
        <v>1</v>
      </c>
      <c r="Z239" s="2">
        <v>0</v>
      </c>
      <c r="AA239" s="2">
        <v>2</v>
      </c>
      <c r="AB239" s="2">
        <v>1</v>
      </c>
      <c r="AC239" s="2">
        <v>1</v>
      </c>
      <c r="AD239" s="2">
        <v>0</v>
      </c>
      <c r="AE239" s="2">
        <v>0</v>
      </c>
      <c r="AF239" s="2">
        <v>0</v>
      </c>
      <c r="AG239" s="20">
        <f t="shared" si="3"/>
        <v>-500</v>
      </c>
    </row>
    <row r="240" spans="1:33" x14ac:dyDescent="0.25">
      <c r="A240">
        <v>239</v>
      </c>
      <c r="B240" s="2">
        <v>3</v>
      </c>
      <c r="C240" s="2">
        <v>12</v>
      </c>
      <c r="D240" s="2">
        <v>4</v>
      </c>
      <c r="E240" s="2">
        <v>0</v>
      </c>
      <c r="F240" s="2">
        <v>0</v>
      </c>
      <c r="G240" s="2">
        <v>0</v>
      </c>
      <c r="H240" s="2">
        <v>1</v>
      </c>
      <c r="I240" s="2">
        <v>0</v>
      </c>
      <c r="J240" s="2">
        <v>0</v>
      </c>
      <c r="K240" s="2">
        <v>1291</v>
      </c>
      <c r="L240" s="2">
        <v>0</v>
      </c>
      <c r="M240" s="2">
        <v>2</v>
      </c>
      <c r="N240" s="2">
        <v>4</v>
      </c>
      <c r="O240" s="2">
        <v>0</v>
      </c>
      <c r="P240" s="2">
        <v>0</v>
      </c>
      <c r="Q240" s="2">
        <v>0</v>
      </c>
      <c r="R240" s="2">
        <v>0</v>
      </c>
      <c r="S240" s="2">
        <v>0</v>
      </c>
      <c r="T240" s="2">
        <v>2</v>
      </c>
      <c r="U240" s="2">
        <v>0</v>
      </c>
      <c r="V240" s="2">
        <v>0</v>
      </c>
      <c r="W240" s="2">
        <v>35</v>
      </c>
      <c r="X240" s="2">
        <v>0</v>
      </c>
      <c r="Y240" s="2">
        <v>0</v>
      </c>
      <c r="Z240" s="2">
        <v>1</v>
      </c>
      <c r="AA240" s="2">
        <v>2</v>
      </c>
      <c r="AB240" s="2">
        <v>2</v>
      </c>
      <c r="AC240" s="2">
        <v>1</v>
      </c>
      <c r="AD240" s="2">
        <v>0</v>
      </c>
      <c r="AE240" s="2">
        <v>0</v>
      </c>
      <c r="AF240" s="2">
        <v>1</v>
      </c>
      <c r="AG240" s="20">
        <f t="shared" si="3"/>
        <v>100</v>
      </c>
    </row>
    <row r="241" spans="1:33" x14ac:dyDescent="0.25">
      <c r="A241">
        <v>240</v>
      </c>
      <c r="B241" s="2">
        <v>0</v>
      </c>
      <c r="C241" s="2">
        <v>30</v>
      </c>
      <c r="D241" s="2">
        <v>2</v>
      </c>
      <c r="E241" s="2">
        <v>0</v>
      </c>
      <c r="F241" s="2">
        <v>0</v>
      </c>
      <c r="G241" s="2">
        <v>0</v>
      </c>
      <c r="H241" s="2">
        <v>1</v>
      </c>
      <c r="I241" s="2">
        <v>0</v>
      </c>
      <c r="J241" s="2">
        <v>0</v>
      </c>
      <c r="K241" s="2">
        <v>2522</v>
      </c>
      <c r="L241" s="2">
        <v>0</v>
      </c>
      <c r="M241" s="2">
        <v>4</v>
      </c>
      <c r="N241" s="2">
        <v>1</v>
      </c>
      <c r="O241" s="2">
        <v>0</v>
      </c>
      <c r="P241" s="2">
        <v>1</v>
      </c>
      <c r="Q241" s="2">
        <v>0</v>
      </c>
      <c r="R241" s="2">
        <v>0</v>
      </c>
      <c r="S241" s="2">
        <v>1</v>
      </c>
      <c r="T241" s="2">
        <v>3</v>
      </c>
      <c r="U241" s="2">
        <v>0</v>
      </c>
      <c r="V241" s="2">
        <v>0</v>
      </c>
      <c r="W241" s="2">
        <v>39</v>
      </c>
      <c r="X241" s="2">
        <v>0</v>
      </c>
      <c r="Y241" s="2">
        <v>0</v>
      </c>
      <c r="Z241" s="2">
        <v>1</v>
      </c>
      <c r="AA241" s="2">
        <v>1</v>
      </c>
      <c r="AB241" s="2">
        <v>2</v>
      </c>
      <c r="AC241" s="2">
        <v>2</v>
      </c>
      <c r="AD241" s="2">
        <v>0</v>
      </c>
      <c r="AE241" s="2">
        <v>0</v>
      </c>
      <c r="AF241" s="2">
        <v>1</v>
      </c>
      <c r="AG241" s="20">
        <f t="shared" si="3"/>
        <v>100</v>
      </c>
    </row>
    <row r="242" spans="1:33" x14ac:dyDescent="0.25">
      <c r="A242">
        <v>241</v>
      </c>
      <c r="B242" s="2">
        <v>0</v>
      </c>
      <c r="C242" s="2">
        <v>24</v>
      </c>
      <c r="D242" s="2">
        <v>2</v>
      </c>
      <c r="E242" s="2">
        <v>1</v>
      </c>
      <c r="F242" s="2">
        <v>0</v>
      </c>
      <c r="G242" s="2">
        <v>0</v>
      </c>
      <c r="H242" s="2">
        <v>0</v>
      </c>
      <c r="I242" s="2">
        <v>0</v>
      </c>
      <c r="J242" s="2">
        <v>0</v>
      </c>
      <c r="K242" s="2">
        <v>915</v>
      </c>
      <c r="L242" s="2">
        <v>4</v>
      </c>
      <c r="M242" s="2">
        <v>4</v>
      </c>
      <c r="N242" s="2">
        <v>4</v>
      </c>
      <c r="O242" s="2">
        <v>0</v>
      </c>
      <c r="P242" s="2">
        <v>0</v>
      </c>
      <c r="Q242" s="2">
        <v>0</v>
      </c>
      <c r="R242" s="2">
        <v>0</v>
      </c>
      <c r="S242" s="2">
        <v>0</v>
      </c>
      <c r="T242" s="2">
        <v>2</v>
      </c>
      <c r="U242" s="2">
        <v>0</v>
      </c>
      <c r="V242" s="2">
        <v>0</v>
      </c>
      <c r="W242" s="2">
        <v>29</v>
      </c>
      <c r="X242" s="2">
        <v>1</v>
      </c>
      <c r="Y242" s="2">
        <v>0</v>
      </c>
      <c r="Z242" s="2">
        <v>1</v>
      </c>
      <c r="AA242" s="2">
        <v>1</v>
      </c>
      <c r="AB242" s="2">
        <v>2</v>
      </c>
      <c r="AC242" s="2">
        <v>1</v>
      </c>
      <c r="AD242" s="2">
        <v>0</v>
      </c>
      <c r="AE242" s="2">
        <v>0</v>
      </c>
      <c r="AF242" s="2">
        <v>0</v>
      </c>
      <c r="AG242" s="20">
        <f t="shared" si="3"/>
        <v>-500</v>
      </c>
    </row>
    <row r="243" spans="1:33" x14ac:dyDescent="0.25">
      <c r="A243">
        <v>242</v>
      </c>
      <c r="B243" s="2">
        <v>3</v>
      </c>
      <c r="C243" s="2">
        <v>6</v>
      </c>
      <c r="D243" s="2">
        <v>2</v>
      </c>
      <c r="E243" s="2">
        <v>0</v>
      </c>
      <c r="F243" s="2">
        <v>0</v>
      </c>
      <c r="G243" s="2">
        <v>0</v>
      </c>
      <c r="H243" s="2">
        <v>1</v>
      </c>
      <c r="I243" s="2">
        <v>0</v>
      </c>
      <c r="J243" s="2">
        <v>0</v>
      </c>
      <c r="K243" s="2">
        <v>1595</v>
      </c>
      <c r="L243" s="2">
        <v>0</v>
      </c>
      <c r="M243" s="2">
        <v>3</v>
      </c>
      <c r="N243" s="2">
        <v>3</v>
      </c>
      <c r="O243" s="2">
        <v>0</v>
      </c>
      <c r="P243" s="2">
        <v>1</v>
      </c>
      <c r="Q243" s="2">
        <v>0</v>
      </c>
      <c r="R243" s="2">
        <v>0</v>
      </c>
      <c r="S243" s="2">
        <v>0</v>
      </c>
      <c r="T243" s="2">
        <v>2</v>
      </c>
      <c r="U243" s="2">
        <v>0</v>
      </c>
      <c r="V243" s="2">
        <v>0</v>
      </c>
      <c r="W243" s="2">
        <v>51</v>
      </c>
      <c r="X243" s="2">
        <v>0</v>
      </c>
      <c r="Y243" s="2">
        <v>0</v>
      </c>
      <c r="Z243" s="2">
        <v>1</v>
      </c>
      <c r="AA243" s="2">
        <v>1</v>
      </c>
      <c r="AB243" s="2">
        <v>2</v>
      </c>
      <c r="AC243" s="2">
        <v>2</v>
      </c>
      <c r="AD243" s="2">
        <v>0</v>
      </c>
      <c r="AE243" s="2">
        <v>0</v>
      </c>
      <c r="AF243" s="2">
        <v>1</v>
      </c>
      <c r="AG243" s="20">
        <f t="shared" si="3"/>
        <v>100</v>
      </c>
    </row>
    <row r="244" spans="1:33" x14ac:dyDescent="0.25">
      <c r="A244">
        <v>243</v>
      </c>
      <c r="B244" s="2">
        <v>0</v>
      </c>
      <c r="C244" s="2">
        <v>48</v>
      </c>
      <c r="D244" s="2">
        <v>0</v>
      </c>
      <c r="E244" s="2">
        <v>0</v>
      </c>
      <c r="F244" s="2">
        <v>1</v>
      </c>
      <c r="G244" s="2">
        <v>0</v>
      </c>
      <c r="H244" s="2">
        <v>0</v>
      </c>
      <c r="I244" s="2">
        <v>0</v>
      </c>
      <c r="J244" s="2">
        <v>0</v>
      </c>
      <c r="K244" s="2">
        <v>4605</v>
      </c>
      <c r="L244" s="2">
        <v>0</v>
      </c>
      <c r="M244" s="2">
        <v>4</v>
      </c>
      <c r="N244" s="2">
        <v>3</v>
      </c>
      <c r="O244" s="2">
        <v>0</v>
      </c>
      <c r="P244" s="2">
        <v>1</v>
      </c>
      <c r="Q244" s="2">
        <v>0</v>
      </c>
      <c r="R244" s="2">
        <v>0</v>
      </c>
      <c r="S244" s="2">
        <v>0</v>
      </c>
      <c r="T244" s="2">
        <v>4</v>
      </c>
      <c r="U244" s="2">
        <v>0</v>
      </c>
      <c r="V244" s="2">
        <v>1</v>
      </c>
      <c r="W244" s="2">
        <v>24</v>
      </c>
      <c r="X244" s="2">
        <v>0</v>
      </c>
      <c r="Y244" s="2">
        <v>0</v>
      </c>
      <c r="Z244" s="2">
        <v>0</v>
      </c>
      <c r="AA244" s="2">
        <v>2</v>
      </c>
      <c r="AB244" s="2">
        <v>2</v>
      </c>
      <c r="AC244" s="2">
        <v>2</v>
      </c>
      <c r="AD244" s="2">
        <v>0</v>
      </c>
      <c r="AE244" s="2">
        <v>0</v>
      </c>
      <c r="AF244" s="2">
        <v>0</v>
      </c>
      <c r="AG244" s="20">
        <f t="shared" si="3"/>
        <v>-500</v>
      </c>
    </row>
    <row r="245" spans="1:33" x14ac:dyDescent="0.25">
      <c r="A245">
        <v>244</v>
      </c>
      <c r="B245" s="2">
        <v>3</v>
      </c>
      <c r="C245" s="2">
        <v>12</v>
      </c>
      <c r="D245" s="2">
        <v>4</v>
      </c>
      <c r="E245" s="2">
        <v>0</v>
      </c>
      <c r="F245" s="2">
        <v>0</v>
      </c>
      <c r="G245" s="2">
        <v>0</v>
      </c>
      <c r="H245" s="2">
        <v>0</v>
      </c>
      <c r="I245" s="2">
        <v>0</v>
      </c>
      <c r="J245" s="2">
        <v>1</v>
      </c>
      <c r="K245" s="2">
        <v>1185</v>
      </c>
      <c r="L245" s="2">
        <v>0</v>
      </c>
      <c r="M245" s="2">
        <v>2</v>
      </c>
      <c r="N245" s="2">
        <v>3</v>
      </c>
      <c r="O245" s="2">
        <v>0</v>
      </c>
      <c r="P245" s="2">
        <v>0</v>
      </c>
      <c r="Q245" s="2">
        <v>0</v>
      </c>
      <c r="R245" s="2">
        <v>0</v>
      </c>
      <c r="S245" s="2">
        <v>0</v>
      </c>
      <c r="T245" s="2">
        <v>2</v>
      </c>
      <c r="U245" s="2">
        <v>1</v>
      </c>
      <c r="V245" s="2">
        <v>0</v>
      </c>
      <c r="W245" s="2">
        <v>27</v>
      </c>
      <c r="X245" s="2">
        <v>0</v>
      </c>
      <c r="Y245" s="2">
        <v>0</v>
      </c>
      <c r="Z245" s="2">
        <v>1</v>
      </c>
      <c r="AA245" s="2">
        <v>2</v>
      </c>
      <c r="AB245" s="2">
        <v>2</v>
      </c>
      <c r="AC245" s="2">
        <v>1</v>
      </c>
      <c r="AD245" s="2">
        <v>0</v>
      </c>
      <c r="AE245" s="2">
        <v>0</v>
      </c>
      <c r="AF245" s="2">
        <v>1</v>
      </c>
      <c r="AG245" s="20">
        <f t="shared" si="3"/>
        <v>100</v>
      </c>
    </row>
    <row r="246" spans="1:33" x14ac:dyDescent="0.25">
      <c r="A246">
        <v>245</v>
      </c>
      <c r="B246" s="2">
        <v>3</v>
      </c>
      <c r="C246" s="2">
        <v>12</v>
      </c>
      <c r="D246" s="2">
        <v>1</v>
      </c>
      <c r="E246" s="2">
        <v>0</v>
      </c>
      <c r="F246" s="2">
        <v>0</v>
      </c>
      <c r="G246" s="2">
        <v>0</v>
      </c>
      <c r="H246" s="2">
        <v>0</v>
      </c>
      <c r="I246" s="2">
        <v>0</v>
      </c>
      <c r="J246" s="2">
        <v>0</v>
      </c>
      <c r="K246" s="2">
        <v>3447</v>
      </c>
      <c r="L246" s="2">
        <v>2</v>
      </c>
      <c r="M246" s="2">
        <v>2</v>
      </c>
      <c r="N246" s="2">
        <v>4</v>
      </c>
      <c r="O246" s="2">
        <v>0</v>
      </c>
      <c r="P246" s="2">
        <v>0</v>
      </c>
      <c r="Q246" s="2">
        <v>0</v>
      </c>
      <c r="R246" s="2">
        <v>0</v>
      </c>
      <c r="S246" s="2">
        <v>0</v>
      </c>
      <c r="T246" s="2">
        <v>3</v>
      </c>
      <c r="U246" s="2">
        <v>1</v>
      </c>
      <c r="V246" s="2">
        <v>0</v>
      </c>
      <c r="W246" s="2">
        <v>35</v>
      </c>
      <c r="X246" s="2">
        <v>0</v>
      </c>
      <c r="Y246" s="2">
        <v>0</v>
      </c>
      <c r="Z246" s="2">
        <v>1</v>
      </c>
      <c r="AA246" s="2">
        <v>1</v>
      </c>
      <c r="AB246" s="2">
        <v>1</v>
      </c>
      <c r="AC246" s="2">
        <v>2</v>
      </c>
      <c r="AD246" s="2">
        <v>0</v>
      </c>
      <c r="AE246" s="2">
        <v>0</v>
      </c>
      <c r="AF246" s="2">
        <v>1</v>
      </c>
      <c r="AG246" s="20">
        <f t="shared" si="3"/>
        <v>100</v>
      </c>
    </row>
    <row r="247" spans="1:33" x14ac:dyDescent="0.25">
      <c r="A247">
        <v>246</v>
      </c>
      <c r="B247" s="2">
        <v>3</v>
      </c>
      <c r="C247" s="2">
        <v>24</v>
      </c>
      <c r="D247" s="2">
        <v>2</v>
      </c>
      <c r="E247" s="2">
        <v>0</v>
      </c>
      <c r="F247" s="2">
        <v>0</v>
      </c>
      <c r="G247" s="2">
        <v>0</v>
      </c>
      <c r="H247" s="2">
        <v>0</v>
      </c>
      <c r="I247" s="2">
        <v>0</v>
      </c>
      <c r="J247" s="2">
        <v>1</v>
      </c>
      <c r="K247" s="2">
        <v>1258</v>
      </c>
      <c r="L247" s="2">
        <v>0</v>
      </c>
      <c r="M247" s="2">
        <v>3</v>
      </c>
      <c r="N247" s="2">
        <v>4</v>
      </c>
      <c r="O247" s="2">
        <v>0</v>
      </c>
      <c r="P247" s="2">
        <v>1</v>
      </c>
      <c r="Q247" s="2">
        <v>0</v>
      </c>
      <c r="R247" s="2">
        <v>0</v>
      </c>
      <c r="S247" s="2">
        <v>0</v>
      </c>
      <c r="T247" s="2">
        <v>1</v>
      </c>
      <c r="U247" s="2">
        <v>1</v>
      </c>
      <c r="V247" s="2">
        <v>0</v>
      </c>
      <c r="W247" s="2">
        <v>25</v>
      </c>
      <c r="X247" s="2">
        <v>0</v>
      </c>
      <c r="Y247" s="2">
        <v>0</v>
      </c>
      <c r="Z247" s="2">
        <v>1</v>
      </c>
      <c r="AA247" s="2">
        <v>1</v>
      </c>
      <c r="AB247" s="2">
        <v>2</v>
      </c>
      <c r="AC247" s="2">
        <v>1</v>
      </c>
      <c r="AD247" s="2">
        <v>1</v>
      </c>
      <c r="AE247" s="2">
        <v>0</v>
      </c>
      <c r="AF247" s="2">
        <v>1</v>
      </c>
      <c r="AG247" s="20">
        <f t="shared" si="3"/>
        <v>100</v>
      </c>
    </row>
    <row r="248" spans="1:33" x14ac:dyDescent="0.25">
      <c r="A248">
        <v>247</v>
      </c>
      <c r="B248" s="2">
        <v>3</v>
      </c>
      <c r="C248" s="2">
        <v>12</v>
      </c>
      <c r="D248" s="2">
        <v>4</v>
      </c>
      <c r="E248" s="2">
        <v>0</v>
      </c>
      <c r="F248" s="2">
        <v>0</v>
      </c>
      <c r="G248" s="2">
        <v>0</v>
      </c>
      <c r="H248" s="2">
        <v>1</v>
      </c>
      <c r="I248" s="2">
        <v>0</v>
      </c>
      <c r="J248" s="2">
        <v>0</v>
      </c>
      <c r="K248" s="2">
        <v>717</v>
      </c>
      <c r="L248" s="2">
        <v>0</v>
      </c>
      <c r="M248" s="2">
        <v>4</v>
      </c>
      <c r="N248" s="2">
        <v>4</v>
      </c>
      <c r="O248" s="2">
        <v>0</v>
      </c>
      <c r="P248" s="2">
        <v>1</v>
      </c>
      <c r="Q248" s="2">
        <v>0</v>
      </c>
      <c r="R248" s="2">
        <v>0</v>
      </c>
      <c r="S248" s="2">
        <v>0</v>
      </c>
      <c r="T248" s="2">
        <v>4</v>
      </c>
      <c r="U248" s="2">
        <v>1</v>
      </c>
      <c r="V248" s="2">
        <v>0</v>
      </c>
      <c r="W248" s="2">
        <v>52</v>
      </c>
      <c r="X248" s="2">
        <v>0</v>
      </c>
      <c r="Y248" s="2">
        <v>0</v>
      </c>
      <c r="Z248" s="2">
        <v>1</v>
      </c>
      <c r="AA248" s="2">
        <v>3</v>
      </c>
      <c r="AB248" s="2">
        <v>2</v>
      </c>
      <c r="AC248" s="2">
        <v>1</v>
      </c>
      <c r="AD248" s="2">
        <v>0</v>
      </c>
      <c r="AE248" s="2">
        <v>0</v>
      </c>
      <c r="AF248" s="2">
        <v>1</v>
      </c>
      <c r="AG248" s="20">
        <f t="shared" si="3"/>
        <v>100</v>
      </c>
    </row>
    <row r="249" spans="1:33" x14ac:dyDescent="0.25">
      <c r="A249">
        <v>248</v>
      </c>
      <c r="B249" s="2">
        <v>3</v>
      </c>
      <c r="C249" s="2">
        <v>6</v>
      </c>
      <c r="D249" s="2">
        <v>0</v>
      </c>
      <c r="E249" s="2">
        <v>1</v>
      </c>
      <c r="F249" s="2">
        <v>0</v>
      </c>
      <c r="G249" s="2">
        <v>0</v>
      </c>
      <c r="H249" s="2">
        <v>0</v>
      </c>
      <c r="I249" s="2">
        <v>0</v>
      </c>
      <c r="J249" s="2">
        <v>0</v>
      </c>
      <c r="K249" s="2">
        <v>1204</v>
      </c>
      <c r="L249" s="2">
        <v>1</v>
      </c>
      <c r="M249" s="2">
        <v>2</v>
      </c>
      <c r="N249" s="2">
        <v>4</v>
      </c>
      <c r="O249" s="2">
        <v>0</v>
      </c>
      <c r="P249" s="2">
        <v>1</v>
      </c>
      <c r="Q249" s="2">
        <v>0</v>
      </c>
      <c r="R249" s="2">
        <v>0</v>
      </c>
      <c r="S249" s="2">
        <v>0</v>
      </c>
      <c r="T249" s="2">
        <v>1</v>
      </c>
      <c r="U249" s="2">
        <v>0</v>
      </c>
      <c r="V249" s="2">
        <v>1</v>
      </c>
      <c r="W249" s="2">
        <v>35</v>
      </c>
      <c r="X249" s="2">
        <v>1</v>
      </c>
      <c r="Y249" s="2">
        <v>1</v>
      </c>
      <c r="Z249" s="2">
        <v>0</v>
      </c>
      <c r="AA249" s="2">
        <v>1</v>
      </c>
      <c r="AB249" s="2">
        <v>2</v>
      </c>
      <c r="AC249" s="2">
        <v>1</v>
      </c>
      <c r="AD249" s="2">
        <v>0</v>
      </c>
      <c r="AE249" s="2">
        <v>1</v>
      </c>
      <c r="AF249" s="2">
        <v>1</v>
      </c>
      <c r="AG249" s="20">
        <f t="shared" si="3"/>
        <v>100</v>
      </c>
    </row>
    <row r="250" spans="1:33" x14ac:dyDescent="0.25">
      <c r="A250">
        <v>249</v>
      </c>
      <c r="B250" s="2">
        <v>2</v>
      </c>
      <c r="C250" s="2">
        <v>24</v>
      </c>
      <c r="D250" s="2">
        <v>2</v>
      </c>
      <c r="E250" s="2">
        <v>0</v>
      </c>
      <c r="F250" s="2">
        <v>0</v>
      </c>
      <c r="G250" s="2">
        <v>1</v>
      </c>
      <c r="H250" s="2">
        <v>0</v>
      </c>
      <c r="I250" s="2">
        <v>0</v>
      </c>
      <c r="J250" s="2">
        <v>0</v>
      </c>
      <c r="K250" s="2">
        <v>1925</v>
      </c>
      <c r="L250" s="2">
        <v>0</v>
      </c>
      <c r="M250" s="2">
        <v>2</v>
      </c>
      <c r="N250" s="2">
        <v>2</v>
      </c>
      <c r="O250" s="2">
        <v>0</v>
      </c>
      <c r="P250" s="2">
        <v>1</v>
      </c>
      <c r="Q250" s="2">
        <v>0</v>
      </c>
      <c r="R250" s="2">
        <v>0</v>
      </c>
      <c r="S250" s="2">
        <v>0</v>
      </c>
      <c r="T250" s="2">
        <v>2</v>
      </c>
      <c r="U250" s="2">
        <v>1</v>
      </c>
      <c r="V250" s="2">
        <v>0</v>
      </c>
      <c r="W250" s="2">
        <v>26</v>
      </c>
      <c r="X250" s="2">
        <v>0</v>
      </c>
      <c r="Y250" s="2">
        <v>0</v>
      </c>
      <c r="Z250" s="2">
        <v>1</v>
      </c>
      <c r="AA250" s="2">
        <v>1</v>
      </c>
      <c r="AB250" s="2">
        <v>2</v>
      </c>
      <c r="AC250" s="2">
        <v>1</v>
      </c>
      <c r="AD250" s="2">
        <v>0</v>
      </c>
      <c r="AE250" s="2">
        <v>0</v>
      </c>
      <c r="AF250" s="2">
        <v>1</v>
      </c>
      <c r="AG250" s="20">
        <f t="shared" si="3"/>
        <v>100</v>
      </c>
    </row>
    <row r="251" spans="1:33" x14ac:dyDescent="0.25">
      <c r="A251">
        <v>250</v>
      </c>
      <c r="B251" s="2">
        <v>3</v>
      </c>
      <c r="C251" s="2">
        <v>18</v>
      </c>
      <c r="D251" s="2">
        <v>2</v>
      </c>
      <c r="E251" s="2">
        <v>0</v>
      </c>
      <c r="F251" s="2">
        <v>0</v>
      </c>
      <c r="G251" s="2">
        <v>0</v>
      </c>
      <c r="H251" s="2">
        <v>1</v>
      </c>
      <c r="I251" s="2">
        <v>0</v>
      </c>
      <c r="J251" s="2">
        <v>0</v>
      </c>
      <c r="K251" s="2">
        <v>433</v>
      </c>
      <c r="L251" s="2">
        <v>0</v>
      </c>
      <c r="M251" s="2">
        <v>0</v>
      </c>
      <c r="N251" s="2">
        <v>3</v>
      </c>
      <c r="O251" s="2">
        <v>0</v>
      </c>
      <c r="P251" s="2">
        <v>0</v>
      </c>
      <c r="Q251" s="2">
        <v>0</v>
      </c>
      <c r="R251" s="2">
        <v>1</v>
      </c>
      <c r="S251" s="2">
        <v>0</v>
      </c>
      <c r="T251" s="2">
        <v>4</v>
      </c>
      <c r="U251" s="2">
        <v>1</v>
      </c>
      <c r="V251" s="2">
        <v>0</v>
      </c>
      <c r="W251" s="2">
        <v>22</v>
      </c>
      <c r="X251" s="2">
        <v>0</v>
      </c>
      <c r="Y251" s="2">
        <v>1</v>
      </c>
      <c r="Z251" s="2">
        <v>0</v>
      </c>
      <c r="AA251" s="2">
        <v>1</v>
      </c>
      <c r="AB251" s="2">
        <v>2</v>
      </c>
      <c r="AC251" s="2">
        <v>1</v>
      </c>
      <c r="AD251" s="2">
        <v>0</v>
      </c>
      <c r="AE251" s="2">
        <v>0</v>
      </c>
      <c r="AF251" s="2">
        <v>0</v>
      </c>
      <c r="AG251" s="20">
        <f t="shared" si="3"/>
        <v>-500</v>
      </c>
    </row>
    <row r="252" spans="1:33" x14ac:dyDescent="0.25">
      <c r="A252">
        <v>251</v>
      </c>
      <c r="B252" s="2">
        <v>0</v>
      </c>
      <c r="C252" s="2">
        <v>6</v>
      </c>
      <c r="D252" s="2">
        <v>4</v>
      </c>
      <c r="E252" s="2">
        <v>1</v>
      </c>
      <c r="F252" s="2">
        <v>0</v>
      </c>
      <c r="G252" s="2">
        <v>0</v>
      </c>
      <c r="H252" s="2">
        <v>0</v>
      </c>
      <c r="I252" s="2">
        <v>0</v>
      </c>
      <c r="J252" s="2">
        <v>0</v>
      </c>
      <c r="K252" s="2">
        <v>666</v>
      </c>
      <c r="L252" s="2">
        <v>3</v>
      </c>
      <c r="M252" s="2">
        <v>3</v>
      </c>
      <c r="N252" s="2">
        <v>3</v>
      </c>
      <c r="O252" s="2">
        <v>0</v>
      </c>
      <c r="P252" s="2">
        <v>0</v>
      </c>
      <c r="Q252" s="2">
        <v>0</v>
      </c>
      <c r="R252" s="2">
        <v>0</v>
      </c>
      <c r="S252" s="2">
        <v>0</v>
      </c>
      <c r="T252" s="2">
        <v>4</v>
      </c>
      <c r="U252" s="2">
        <v>1</v>
      </c>
      <c r="V252" s="2">
        <v>0</v>
      </c>
      <c r="W252" s="2">
        <v>39</v>
      </c>
      <c r="X252" s="2">
        <v>0</v>
      </c>
      <c r="Y252" s="2">
        <v>0</v>
      </c>
      <c r="Z252" s="2">
        <v>1</v>
      </c>
      <c r="AA252" s="2">
        <v>2</v>
      </c>
      <c r="AB252" s="2">
        <v>1</v>
      </c>
      <c r="AC252" s="2">
        <v>1</v>
      </c>
      <c r="AD252" s="2">
        <v>1</v>
      </c>
      <c r="AE252" s="2">
        <v>0</v>
      </c>
      <c r="AF252" s="2">
        <v>1</v>
      </c>
      <c r="AG252" s="20">
        <f t="shared" si="3"/>
        <v>100</v>
      </c>
    </row>
    <row r="253" spans="1:33" x14ac:dyDescent="0.25">
      <c r="A253">
        <v>252</v>
      </c>
      <c r="B253" s="2">
        <v>2</v>
      </c>
      <c r="C253" s="2">
        <v>12</v>
      </c>
      <c r="D253" s="2">
        <v>2</v>
      </c>
      <c r="E253" s="2">
        <v>0</v>
      </c>
      <c r="F253" s="2">
        <v>0</v>
      </c>
      <c r="G253" s="2">
        <v>1</v>
      </c>
      <c r="H253" s="2">
        <v>0</v>
      </c>
      <c r="I253" s="2">
        <v>0</v>
      </c>
      <c r="J253" s="2">
        <v>0</v>
      </c>
      <c r="K253" s="2">
        <v>2251</v>
      </c>
      <c r="L253" s="2">
        <v>0</v>
      </c>
      <c r="M253" s="2">
        <v>2</v>
      </c>
      <c r="N253" s="2">
        <v>1</v>
      </c>
      <c r="O253" s="2">
        <v>0</v>
      </c>
      <c r="P253" s="2">
        <v>0</v>
      </c>
      <c r="Q253" s="2">
        <v>0</v>
      </c>
      <c r="R253" s="2">
        <v>0</v>
      </c>
      <c r="S253" s="2">
        <v>0</v>
      </c>
      <c r="T253" s="2">
        <v>2</v>
      </c>
      <c r="U253" s="2">
        <v>0</v>
      </c>
      <c r="V253" s="2">
        <v>0</v>
      </c>
      <c r="W253" s="2">
        <v>46</v>
      </c>
      <c r="X253" s="2">
        <v>0</v>
      </c>
      <c r="Y253" s="2">
        <v>0</v>
      </c>
      <c r="Z253" s="2">
        <v>1</v>
      </c>
      <c r="AA253" s="2">
        <v>1</v>
      </c>
      <c r="AB253" s="2">
        <v>1</v>
      </c>
      <c r="AC253" s="2">
        <v>1</v>
      </c>
      <c r="AD253" s="2">
        <v>0</v>
      </c>
      <c r="AE253" s="2">
        <v>0</v>
      </c>
      <c r="AF253" s="2">
        <v>1</v>
      </c>
      <c r="AG253" s="20">
        <f t="shared" si="3"/>
        <v>100</v>
      </c>
    </row>
    <row r="254" spans="1:33" x14ac:dyDescent="0.25">
      <c r="A254">
        <v>253</v>
      </c>
      <c r="B254" s="2">
        <v>1</v>
      </c>
      <c r="C254" s="2">
        <v>30</v>
      </c>
      <c r="D254" s="2">
        <v>2</v>
      </c>
      <c r="E254" s="2">
        <v>1</v>
      </c>
      <c r="F254" s="2">
        <v>0</v>
      </c>
      <c r="G254" s="2">
        <v>0</v>
      </c>
      <c r="H254" s="2">
        <v>0</v>
      </c>
      <c r="I254" s="2">
        <v>0</v>
      </c>
      <c r="J254" s="2">
        <v>0</v>
      </c>
      <c r="K254" s="2">
        <v>2150</v>
      </c>
      <c r="L254" s="2">
        <v>0</v>
      </c>
      <c r="M254" s="2">
        <v>2</v>
      </c>
      <c r="N254" s="2">
        <v>4</v>
      </c>
      <c r="O254" s="2">
        <v>0</v>
      </c>
      <c r="P254" s="2">
        <v>0</v>
      </c>
      <c r="Q254" s="2">
        <v>0</v>
      </c>
      <c r="R254" s="2">
        <v>0</v>
      </c>
      <c r="S254" s="2">
        <v>1</v>
      </c>
      <c r="T254" s="2">
        <v>2</v>
      </c>
      <c r="U254" s="2">
        <v>0</v>
      </c>
      <c r="V254" s="2">
        <v>1</v>
      </c>
      <c r="W254" s="2">
        <v>24</v>
      </c>
      <c r="X254" s="2">
        <v>1</v>
      </c>
      <c r="Y254" s="2">
        <v>0</v>
      </c>
      <c r="Z254" s="2">
        <v>1</v>
      </c>
      <c r="AA254" s="2">
        <v>1</v>
      </c>
      <c r="AB254" s="2">
        <v>2</v>
      </c>
      <c r="AC254" s="2">
        <v>1</v>
      </c>
      <c r="AD254" s="2">
        <v>0</v>
      </c>
      <c r="AE254" s="2">
        <v>0</v>
      </c>
      <c r="AF254" s="2">
        <v>0</v>
      </c>
      <c r="AG254" s="20">
        <f t="shared" si="3"/>
        <v>-500</v>
      </c>
    </row>
    <row r="255" spans="1:33" x14ac:dyDescent="0.25">
      <c r="A255">
        <v>254</v>
      </c>
      <c r="B255" s="2">
        <v>3</v>
      </c>
      <c r="C255" s="2">
        <v>24</v>
      </c>
      <c r="D255" s="2">
        <v>3</v>
      </c>
      <c r="E255" s="2">
        <v>0</v>
      </c>
      <c r="F255" s="2">
        <v>0</v>
      </c>
      <c r="G255" s="2">
        <v>1</v>
      </c>
      <c r="H255" s="2">
        <v>0</v>
      </c>
      <c r="I255" s="2">
        <v>0</v>
      </c>
      <c r="J255" s="2">
        <v>0</v>
      </c>
      <c r="K255" s="2">
        <v>4151</v>
      </c>
      <c r="L255" s="2">
        <v>1</v>
      </c>
      <c r="M255" s="2">
        <v>2</v>
      </c>
      <c r="N255" s="2">
        <v>2</v>
      </c>
      <c r="O255" s="2">
        <v>0</v>
      </c>
      <c r="P255" s="2">
        <v>1</v>
      </c>
      <c r="Q255" s="2">
        <v>0</v>
      </c>
      <c r="R255" s="2">
        <v>0</v>
      </c>
      <c r="S255" s="2">
        <v>0</v>
      </c>
      <c r="T255" s="2">
        <v>3</v>
      </c>
      <c r="U255" s="2">
        <v>0</v>
      </c>
      <c r="V255" s="2">
        <v>0</v>
      </c>
      <c r="W255" s="2">
        <v>35</v>
      </c>
      <c r="X255" s="2">
        <v>0</v>
      </c>
      <c r="Y255" s="2">
        <v>0</v>
      </c>
      <c r="Z255" s="2">
        <v>1</v>
      </c>
      <c r="AA255" s="2">
        <v>2</v>
      </c>
      <c r="AB255" s="2">
        <v>2</v>
      </c>
      <c r="AC255" s="2">
        <v>1</v>
      </c>
      <c r="AD255" s="2">
        <v>0</v>
      </c>
      <c r="AE255" s="2">
        <v>0</v>
      </c>
      <c r="AF255" s="2">
        <v>1</v>
      </c>
      <c r="AG255" s="20">
        <f t="shared" si="3"/>
        <v>100</v>
      </c>
    </row>
    <row r="256" spans="1:33" x14ac:dyDescent="0.25">
      <c r="A256">
        <v>255</v>
      </c>
      <c r="B256" s="2">
        <v>1</v>
      </c>
      <c r="C256" s="2">
        <v>9</v>
      </c>
      <c r="D256" s="2">
        <v>2</v>
      </c>
      <c r="E256" s="2">
        <v>0</v>
      </c>
      <c r="F256" s="2">
        <v>0</v>
      </c>
      <c r="G256" s="2">
        <v>1</v>
      </c>
      <c r="H256" s="2">
        <v>0</v>
      </c>
      <c r="I256" s="2">
        <v>0</v>
      </c>
      <c r="J256" s="2">
        <v>0</v>
      </c>
      <c r="K256" s="2">
        <v>2030</v>
      </c>
      <c r="L256" s="2">
        <v>4</v>
      </c>
      <c r="M256" s="2">
        <v>3</v>
      </c>
      <c r="N256" s="2">
        <v>2</v>
      </c>
      <c r="O256" s="2">
        <v>0</v>
      </c>
      <c r="P256" s="2">
        <v>1</v>
      </c>
      <c r="Q256" s="2">
        <v>0</v>
      </c>
      <c r="R256" s="2">
        <v>0</v>
      </c>
      <c r="S256" s="2">
        <v>0</v>
      </c>
      <c r="T256" s="2">
        <v>1</v>
      </c>
      <c r="U256" s="2">
        <v>0</v>
      </c>
      <c r="V256" s="2">
        <v>0</v>
      </c>
      <c r="W256" s="2">
        <v>24</v>
      </c>
      <c r="X256" s="2">
        <v>0</v>
      </c>
      <c r="Y256" s="2">
        <v>0</v>
      </c>
      <c r="Z256" s="2">
        <v>1</v>
      </c>
      <c r="AA256" s="2">
        <v>1</v>
      </c>
      <c r="AB256" s="2">
        <v>2</v>
      </c>
      <c r="AC256" s="2">
        <v>1</v>
      </c>
      <c r="AD256" s="2">
        <v>1</v>
      </c>
      <c r="AE256" s="2">
        <v>0</v>
      </c>
      <c r="AF256" s="2">
        <v>1</v>
      </c>
      <c r="AG256" s="20">
        <f t="shared" si="3"/>
        <v>100</v>
      </c>
    </row>
    <row r="257" spans="1:33" x14ac:dyDescent="0.25">
      <c r="A257">
        <v>256</v>
      </c>
      <c r="B257" s="2">
        <v>1</v>
      </c>
      <c r="C257" s="2">
        <v>60</v>
      </c>
      <c r="D257" s="2">
        <v>3</v>
      </c>
      <c r="E257" s="2">
        <v>0</v>
      </c>
      <c r="F257" s="2">
        <v>0</v>
      </c>
      <c r="G257" s="2">
        <v>0</v>
      </c>
      <c r="H257" s="2">
        <v>1</v>
      </c>
      <c r="I257" s="2">
        <v>0</v>
      </c>
      <c r="J257" s="2">
        <v>0</v>
      </c>
      <c r="K257" s="2">
        <v>7418</v>
      </c>
      <c r="L257" s="2">
        <v>4</v>
      </c>
      <c r="M257" s="2">
        <v>2</v>
      </c>
      <c r="N257" s="2">
        <v>1</v>
      </c>
      <c r="O257" s="2">
        <v>0</v>
      </c>
      <c r="P257" s="2">
        <v>1</v>
      </c>
      <c r="Q257" s="2">
        <v>0</v>
      </c>
      <c r="R257" s="2">
        <v>0</v>
      </c>
      <c r="S257" s="2">
        <v>0</v>
      </c>
      <c r="T257" s="2">
        <v>1</v>
      </c>
      <c r="U257" s="2">
        <v>1</v>
      </c>
      <c r="V257" s="2">
        <v>0</v>
      </c>
      <c r="W257" s="2">
        <v>27</v>
      </c>
      <c r="X257" s="2">
        <v>0</v>
      </c>
      <c r="Y257" s="2">
        <v>0</v>
      </c>
      <c r="Z257" s="2">
        <v>1</v>
      </c>
      <c r="AA257" s="2">
        <v>1</v>
      </c>
      <c r="AB257" s="2">
        <v>1</v>
      </c>
      <c r="AC257" s="2">
        <v>1</v>
      </c>
      <c r="AD257" s="2">
        <v>0</v>
      </c>
      <c r="AE257" s="2">
        <v>0</v>
      </c>
      <c r="AF257" s="2">
        <v>1</v>
      </c>
      <c r="AG257" s="20">
        <f t="shared" si="3"/>
        <v>100</v>
      </c>
    </row>
    <row r="258" spans="1:33" x14ac:dyDescent="0.25">
      <c r="A258">
        <v>257</v>
      </c>
      <c r="B258" s="2">
        <v>3</v>
      </c>
      <c r="C258" s="2">
        <v>24</v>
      </c>
      <c r="D258" s="2">
        <v>4</v>
      </c>
      <c r="E258" s="2">
        <v>0</v>
      </c>
      <c r="F258" s="2">
        <v>0</v>
      </c>
      <c r="G258" s="2">
        <v>0</v>
      </c>
      <c r="H258" s="2">
        <v>1</v>
      </c>
      <c r="I258" s="2">
        <v>0</v>
      </c>
      <c r="J258" s="2">
        <v>0</v>
      </c>
      <c r="K258" s="2">
        <v>2684</v>
      </c>
      <c r="L258" s="2">
        <v>0</v>
      </c>
      <c r="M258" s="2">
        <v>2</v>
      </c>
      <c r="N258" s="2">
        <v>4</v>
      </c>
      <c r="O258" s="2">
        <v>0</v>
      </c>
      <c r="P258" s="2">
        <v>1</v>
      </c>
      <c r="Q258" s="2">
        <v>0</v>
      </c>
      <c r="R258" s="2">
        <v>0</v>
      </c>
      <c r="S258" s="2">
        <v>0</v>
      </c>
      <c r="T258" s="2">
        <v>2</v>
      </c>
      <c r="U258" s="2">
        <v>1</v>
      </c>
      <c r="V258" s="2">
        <v>0</v>
      </c>
      <c r="W258" s="2">
        <v>35</v>
      </c>
      <c r="X258" s="2">
        <v>0</v>
      </c>
      <c r="Y258" s="2">
        <v>0</v>
      </c>
      <c r="Z258" s="2">
        <v>1</v>
      </c>
      <c r="AA258" s="2">
        <v>2</v>
      </c>
      <c r="AB258" s="2">
        <v>1</v>
      </c>
      <c r="AC258" s="2">
        <v>1</v>
      </c>
      <c r="AD258" s="2">
        <v>0</v>
      </c>
      <c r="AE258" s="2">
        <v>0</v>
      </c>
      <c r="AF258" s="2">
        <v>1</v>
      </c>
      <c r="AG258" s="20">
        <f t="shared" si="3"/>
        <v>100</v>
      </c>
    </row>
    <row r="259" spans="1:33" x14ac:dyDescent="0.25">
      <c r="A259">
        <v>258</v>
      </c>
      <c r="B259" s="2">
        <v>0</v>
      </c>
      <c r="C259" s="2">
        <v>12</v>
      </c>
      <c r="D259" s="2">
        <v>1</v>
      </c>
      <c r="E259" s="2">
        <v>0</v>
      </c>
      <c r="F259" s="2">
        <v>0</v>
      </c>
      <c r="G259" s="2">
        <v>0</v>
      </c>
      <c r="H259" s="2">
        <v>1</v>
      </c>
      <c r="I259" s="2">
        <v>0</v>
      </c>
      <c r="J259" s="2">
        <v>0</v>
      </c>
      <c r="K259" s="2">
        <v>2149</v>
      </c>
      <c r="L259" s="2">
        <v>0</v>
      </c>
      <c r="M259" s="2">
        <v>2</v>
      </c>
      <c r="N259" s="2">
        <v>4</v>
      </c>
      <c r="O259" s="2">
        <v>1</v>
      </c>
      <c r="P259" s="2">
        <v>0</v>
      </c>
      <c r="Q259" s="2">
        <v>0</v>
      </c>
      <c r="R259" s="2">
        <v>0</v>
      </c>
      <c r="S259" s="2">
        <v>0</v>
      </c>
      <c r="T259" s="2">
        <v>1</v>
      </c>
      <c r="U259" s="2">
        <v>0</v>
      </c>
      <c r="V259" s="2">
        <v>1</v>
      </c>
      <c r="W259" s="2">
        <v>29</v>
      </c>
      <c r="X259" s="2">
        <v>0</v>
      </c>
      <c r="Y259" s="2">
        <v>0</v>
      </c>
      <c r="Z259" s="2">
        <v>0</v>
      </c>
      <c r="AA259" s="2">
        <v>1</v>
      </c>
      <c r="AB259" s="2">
        <v>2</v>
      </c>
      <c r="AC259" s="2">
        <v>1</v>
      </c>
      <c r="AD259" s="2">
        <v>0</v>
      </c>
      <c r="AE259" s="2">
        <v>0</v>
      </c>
      <c r="AF259" s="2">
        <v>0</v>
      </c>
      <c r="AG259" s="20">
        <f t="shared" si="3"/>
        <v>-500</v>
      </c>
    </row>
    <row r="260" spans="1:33" x14ac:dyDescent="0.25">
      <c r="A260">
        <v>259</v>
      </c>
      <c r="B260" s="2">
        <v>3</v>
      </c>
      <c r="C260" s="2">
        <v>15</v>
      </c>
      <c r="D260" s="2">
        <v>2</v>
      </c>
      <c r="E260" s="2">
        <v>0</v>
      </c>
      <c r="F260" s="2">
        <v>1</v>
      </c>
      <c r="G260" s="2">
        <v>0</v>
      </c>
      <c r="H260" s="2">
        <v>0</v>
      </c>
      <c r="I260" s="2">
        <v>0</v>
      </c>
      <c r="J260" s="2">
        <v>0</v>
      </c>
      <c r="K260" s="2">
        <v>3812</v>
      </c>
      <c r="L260" s="2">
        <v>1</v>
      </c>
      <c r="M260" s="2">
        <v>1</v>
      </c>
      <c r="N260" s="2">
        <v>1</v>
      </c>
      <c r="O260" s="2">
        <v>0</v>
      </c>
      <c r="P260" s="2">
        <v>0</v>
      </c>
      <c r="Q260" s="2">
        <v>0</v>
      </c>
      <c r="R260" s="2">
        <v>0</v>
      </c>
      <c r="S260" s="2">
        <v>0</v>
      </c>
      <c r="T260" s="2">
        <v>4</v>
      </c>
      <c r="U260" s="2">
        <v>0</v>
      </c>
      <c r="V260" s="2">
        <v>0</v>
      </c>
      <c r="W260" s="2">
        <v>23</v>
      </c>
      <c r="X260" s="2">
        <v>0</v>
      </c>
      <c r="Y260" s="2">
        <v>0</v>
      </c>
      <c r="Z260" s="2">
        <v>1</v>
      </c>
      <c r="AA260" s="2">
        <v>1</v>
      </c>
      <c r="AB260" s="2">
        <v>2</v>
      </c>
      <c r="AC260" s="2">
        <v>1</v>
      </c>
      <c r="AD260" s="2">
        <v>1</v>
      </c>
      <c r="AE260" s="2">
        <v>0</v>
      </c>
      <c r="AF260" s="2">
        <v>1</v>
      </c>
      <c r="AG260" s="20">
        <f t="shared" ref="AG260:AG323" si="4">IF(AF260=1,100,-500)</f>
        <v>100</v>
      </c>
    </row>
    <row r="261" spans="1:33" x14ac:dyDescent="0.25">
      <c r="A261">
        <v>260</v>
      </c>
      <c r="B261" s="2">
        <v>3</v>
      </c>
      <c r="C261" s="2">
        <v>11</v>
      </c>
      <c r="D261" s="2">
        <v>4</v>
      </c>
      <c r="E261" s="2">
        <v>0</v>
      </c>
      <c r="F261" s="2">
        <v>0</v>
      </c>
      <c r="G261" s="2">
        <v>0</v>
      </c>
      <c r="H261" s="2">
        <v>1</v>
      </c>
      <c r="I261" s="2">
        <v>0</v>
      </c>
      <c r="J261" s="2">
        <v>0</v>
      </c>
      <c r="K261" s="2">
        <v>1154</v>
      </c>
      <c r="L261" s="2">
        <v>1</v>
      </c>
      <c r="M261" s="2">
        <v>0</v>
      </c>
      <c r="N261" s="2">
        <v>4</v>
      </c>
      <c r="O261" s="2">
        <v>0</v>
      </c>
      <c r="P261" s="2">
        <v>0</v>
      </c>
      <c r="Q261" s="2">
        <v>0</v>
      </c>
      <c r="R261" s="2">
        <v>0</v>
      </c>
      <c r="S261" s="2">
        <v>0</v>
      </c>
      <c r="T261" s="2">
        <v>4</v>
      </c>
      <c r="U261" s="2">
        <v>1</v>
      </c>
      <c r="V261" s="2">
        <v>0</v>
      </c>
      <c r="W261" s="2">
        <v>57</v>
      </c>
      <c r="X261" s="2">
        <v>0</v>
      </c>
      <c r="Y261" s="2">
        <v>0</v>
      </c>
      <c r="Z261" s="2">
        <v>1</v>
      </c>
      <c r="AA261" s="2">
        <v>3</v>
      </c>
      <c r="AB261" s="2">
        <v>1</v>
      </c>
      <c r="AC261" s="2">
        <v>1</v>
      </c>
      <c r="AD261" s="2">
        <v>0</v>
      </c>
      <c r="AE261" s="2">
        <v>0</v>
      </c>
      <c r="AF261" s="2">
        <v>1</v>
      </c>
      <c r="AG261" s="20">
        <f t="shared" si="4"/>
        <v>100</v>
      </c>
    </row>
    <row r="262" spans="1:33" x14ac:dyDescent="0.25">
      <c r="A262">
        <v>261</v>
      </c>
      <c r="B262" s="2">
        <v>0</v>
      </c>
      <c r="C262" s="2">
        <v>12</v>
      </c>
      <c r="D262" s="2">
        <v>2</v>
      </c>
      <c r="E262" s="2">
        <v>0</v>
      </c>
      <c r="F262" s="2">
        <v>0</v>
      </c>
      <c r="G262" s="2">
        <v>1</v>
      </c>
      <c r="H262" s="2">
        <v>0</v>
      </c>
      <c r="I262" s="2">
        <v>0</v>
      </c>
      <c r="J262" s="2">
        <v>0</v>
      </c>
      <c r="K262" s="2">
        <v>1657</v>
      </c>
      <c r="L262" s="2">
        <v>0</v>
      </c>
      <c r="M262" s="2">
        <v>2</v>
      </c>
      <c r="N262" s="2">
        <v>2</v>
      </c>
      <c r="O262" s="2">
        <v>0</v>
      </c>
      <c r="P262" s="2">
        <v>1</v>
      </c>
      <c r="Q262" s="2">
        <v>0</v>
      </c>
      <c r="R262" s="2">
        <v>0</v>
      </c>
      <c r="S262" s="2">
        <v>0</v>
      </c>
      <c r="T262" s="2">
        <v>2</v>
      </c>
      <c r="U262" s="2">
        <v>1</v>
      </c>
      <c r="V262" s="2">
        <v>0</v>
      </c>
      <c r="W262" s="2">
        <v>27</v>
      </c>
      <c r="X262" s="2">
        <v>0</v>
      </c>
      <c r="Y262" s="2">
        <v>0</v>
      </c>
      <c r="Z262" s="2">
        <v>1</v>
      </c>
      <c r="AA262" s="2">
        <v>1</v>
      </c>
      <c r="AB262" s="2">
        <v>2</v>
      </c>
      <c r="AC262" s="2">
        <v>1</v>
      </c>
      <c r="AD262" s="2">
        <v>0</v>
      </c>
      <c r="AE262" s="2">
        <v>0</v>
      </c>
      <c r="AF262" s="2">
        <v>1</v>
      </c>
      <c r="AG262" s="20">
        <f t="shared" si="4"/>
        <v>100</v>
      </c>
    </row>
    <row r="263" spans="1:33" x14ac:dyDescent="0.25">
      <c r="A263">
        <v>262</v>
      </c>
      <c r="B263" s="2">
        <v>0</v>
      </c>
      <c r="C263" s="2">
        <v>24</v>
      </c>
      <c r="D263" s="2">
        <v>2</v>
      </c>
      <c r="E263" s="2">
        <v>0</v>
      </c>
      <c r="F263" s="2">
        <v>0</v>
      </c>
      <c r="G263" s="2">
        <v>0</v>
      </c>
      <c r="H263" s="2">
        <v>1</v>
      </c>
      <c r="I263" s="2">
        <v>0</v>
      </c>
      <c r="J263" s="2">
        <v>0</v>
      </c>
      <c r="K263" s="2">
        <v>1603</v>
      </c>
      <c r="L263" s="2">
        <v>0</v>
      </c>
      <c r="M263" s="2">
        <v>4</v>
      </c>
      <c r="N263" s="2">
        <v>4</v>
      </c>
      <c r="O263" s="2">
        <v>0</v>
      </c>
      <c r="P263" s="2">
        <v>0</v>
      </c>
      <c r="Q263" s="2">
        <v>0</v>
      </c>
      <c r="R263" s="2">
        <v>0</v>
      </c>
      <c r="S263" s="2">
        <v>0</v>
      </c>
      <c r="T263" s="2">
        <v>4</v>
      </c>
      <c r="U263" s="2">
        <v>0</v>
      </c>
      <c r="V263" s="2">
        <v>0</v>
      </c>
      <c r="W263" s="2">
        <v>55</v>
      </c>
      <c r="X263" s="2">
        <v>0</v>
      </c>
      <c r="Y263" s="2">
        <v>0</v>
      </c>
      <c r="Z263" s="2">
        <v>1</v>
      </c>
      <c r="AA263" s="2">
        <v>1</v>
      </c>
      <c r="AB263" s="2">
        <v>2</v>
      </c>
      <c r="AC263" s="2">
        <v>1</v>
      </c>
      <c r="AD263" s="2">
        <v>0</v>
      </c>
      <c r="AE263" s="2">
        <v>0</v>
      </c>
      <c r="AF263" s="2">
        <v>1</v>
      </c>
      <c r="AG263" s="20">
        <f t="shared" si="4"/>
        <v>100</v>
      </c>
    </row>
    <row r="264" spans="1:33" x14ac:dyDescent="0.25">
      <c r="A264">
        <v>263</v>
      </c>
      <c r="B264" s="2">
        <v>0</v>
      </c>
      <c r="C264" s="2">
        <v>18</v>
      </c>
      <c r="D264" s="2">
        <v>4</v>
      </c>
      <c r="E264" s="2">
        <v>1</v>
      </c>
      <c r="F264" s="2">
        <v>0</v>
      </c>
      <c r="G264" s="2">
        <v>0</v>
      </c>
      <c r="H264" s="2">
        <v>0</v>
      </c>
      <c r="I264" s="2">
        <v>0</v>
      </c>
      <c r="J264" s="2">
        <v>0</v>
      </c>
      <c r="K264" s="2">
        <v>5302</v>
      </c>
      <c r="L264" s="2">
        <v>0</v>
      </c>
      <c r="M264" s="2">
        <v>4</v>
      </c>
      <c r="N264" s="2">
        <v>2</v>
      </c>
      <c r="O264" s="2">
        <v>0</v>
      </c>
      <c r="P264" s="2">
        <v>1</v>
      </c>
      <c r="Q264" s="2">
        <v>0</v>
      </c>
      <c r="R264" s="2">
        <v>0</v>
      </c>
      <c r="S264" s="2">
        <v>0</v>
      </c>
      <c r="T264" s="2">
        <v>4</v>
      </c>
      <c r="U264" s="2">
        <v>0</v>
      </c>
      <c r="V264" s="2">
        <v>1</v>
      </c>
      <c r="W264" s="2">
        <v>36</v>
      </c>
      <c r="X264" s="2">
        <v>0</v>
      </c>
      <c r="Y264" s="2">
        <v>0</v>
      </c>
      <c r="Z264" s="2">
        <v>0</v>
      </c>
      <c r="AA264" s="2">
        <v>3</v>
      </c>
      <c r="AB264" s="2">
        <v>3</v>
      </c>
      <c r="AC264" s="2">
        <v>1</v>
      </c>
      <c r="AD264" s="2">
        <v>1</v>
      </c>
      <c r="AE264" s="2">
        <v>0</v>
      </c>
      <c r="AF264" s="2">
        <v>1</v>
      </c>
      <c r="AG264" s="20">
        <f t="shared" si="4"/>
        <v>100</v>
      </c>
    </row>
    <row r="265" spans="1:33" x14ac:dyDescent="0.25">
      <c r="A265">
        <v>264</v>
      </c>
      <c r="B265" s="2">
        <v>3</v>
      </c>
      <c r="C265" s="2">
        <v>12</v>
      </c>
      <c r="D265" s="2">
        <v>4</v>
      </c>
      <c r="E265" s="2">
        <v>0</v>
      </c>
      <c r="F265" s="2">
        <v>0</v>
      </c>
      <c r="G265" s="2">
        <v>0</v>
      </c>
      <c r="H265" s="2">
        <v>0</v>
      </c>
      <c r="I265" s="2">
        <v>1</v>
      </c>
      <c r="J265" s="2">
        <v>0</v>
      </c>
      <c r="K265" s="2">
        <v>2748</v>
      </c>
      <c r="L265" s="2">
        <v>0</v>
      </c>
      <c r="M265" s="2">
        <v>4</v>
      </c>
      <c r="N265" s="2">
        <v>2</v>
      </c>
      <c r="O265" s="2">
        <v>0</v>
      </c>
      <c r="P265" s="2">
        <v>0</v>
      </c>
      <c r="Q265" s="2">
        <v>0</v>
      </c>
      <c r="R265" s="2">
        <v>0</v>
      </c>
      <c r="S265" s="2">
        <v>0</v>
      </c>
      <c r="T265" s="2">
        <v>4</v>
      </c>
      <c r="U265" s="2">
        <v>0</v>
      </c>
      <c r="V265" s="2">
        <v>1</v>
      </c>
      <c r="W265" s="2">
        <v>57</v>
      </c>
      <c r="X265" s="2">
        <v>1</v>
      </c>
      <c r="Y265" s="2">
        <v>0</v>
      </c>
      <c r="Z265" s="2">
        <v>0</v>
      </c>
      <c r="AA265" s="2">
        <v>3</v>
      </c>
      <c r="AB265" s="2">
        <v>1</v>
      </c>
      <c r="AC265" s="2">
        <v>1</v>
      </c>
      <c r="AD265" s="2">
        <v>0</v>
      </c>
      <c r="AE265" s="2">
        <v>0</v>
      </c>
      <c r="AF265" s="2">
        <v>1</v>
      </c>
      <c r="AG265" s="20">
        <f t="shared" si="4"/>
        <v>100</v>
      </c>
    </row>
    <row r="266" spans="1:33" x14ac:dyDescent="0.25">
      <c r="A266">
        <v>265</v>
      </c>
      <c r="B266" s="2">
        <v>3</v>
      </c>
      <c r="C266" s="2">
        <v>10</v>
      </c>
      <c r="D266" s="2">
        <v>4</v>
      </c>
      <c r="E266" s="2">
        <v>1</v>
      </c>
      <c r="F266" s="2">
        <v>0</v>
      </c>
      <c r="G266" s="2">
        <v>0</v>
      </c>
      <c r="H266" s="2">
        <v>0</v>
      </c>
      <c r="I266" s="2">
        <v>0</v>
      </c>
      <c r="J266" s="2">
        <v>0</v>
      </c>
      <c r="K266" s="2">
        <v>1231</v>
      </c>
      <c r="L266" s="2">
        <v>0</v>
      </c>
      <c r="M266" s="2">
        <v>4</v>
      </c>
      <c r="N266" s="2">
        <v>3</v>
      </c>
      <c r="O266" s="2">
        <v>0</v>
      </c>
      <c r="P266" s="2">
        <v>1</v>
      </c>
      <c r="Q266" s="2">
        <v>0</v>
      </c>
      <c r="R266" s="2">
        <v>0</v>
      </c>
      <c r="S266" s="2">
        <v>0</v>
      </c>
      <c r="T266" s="2">
        <v>4</v>
      </c>
      <c r="U266" s="2">
        <v>1</v>
      </c>
      <c r="V266" s="2">
        <v>0</v>
      </c>
      <c r="W266" s="2">
        <v>32</v>
      </c>
      <c r="X266" s="2">
        <v>0</v>
      </c>
      <c r="Y266" s="2">
        <v>0</v>
      </c>
      <c r="Z266" s="2">
        <v>1</v>
      </c>
      <c r="AA266" s="2">
        <v>2</v>
      </c>
      <c r="AB266" s="2">
        <v>1</v>
      </c>
      <c r="AC266" s="2">
        <v>2</v>
      </c>
      <c r="AD266" s="2">
        <v>0</v>
      </c>
      <c r="AE266" s="2">
        <v>1</v>
      </c>
      <c r="AF266" s="2">
        <v>1</v>
      </c>
      <c r="AG266" s="20">
        <f t="shared" si="4"/>
        <v>100</v>
      </c>
    </row>
    <row r="267" spans="1:33" x14ac:dyDescent="0.25">
      <c r="A267">
        <v>266</v>
      </c>
      <c r="B267" s="2">
        <v>1</v>
      </c>
      <c r="C267" s="2">
        <v>15</v>
      </c>
      <c r="D267" s="2">
        <v>2</v>
      </c>
      <c r="E267" s="2">
        <v>0</v>
      </c>
      <c r="F267" s="2">
        <v>0</v>
      </c>
      <c r="G267" s="2">
        <v>0</v>
      </c>
      <c r="H267" s="2">
        <v>1</v>
      </c>
      <c r="I267" s="2">
        <v>0</v>
      </c>
      <c r="J267" s="2">
        <v>0</v>
      </c>
      <c r="K267" s="2">
        <v>802</v>
      </c>
      <c r="L267" s="2">
        <v>0</v>
      </c>
      <c r="M267" s="2">
        <v>4</v>
      </c>
      <c r="N267" s="2">
        <v>4</v>
      </c>
      <c r="O267" s="2">
        <v>0</v>
      </c>
      <c r="P267" s="2">
        <v>1</v>
      </c>
      <c r="Q267" s="2">
        <v>0</v>
      </c>
      <c r="R267" s="2">
        <v>0</v>
      </c>
      <c r="S267" s="2">
        <v>0</v>
      </c>
      <c r="T267" s="2">
        <v>3</v>
      </c>
      <c r="U267" s="2">
        <v>0</v>
      </c>
      <c r="V267" s="2">
        <v>0</v>
      </c>
      <c r="W267" s="2">
        <v>37</v>
      </c>
      <c r="X267" s="2">
        <v>0</v>
      </c>
      <c r="Y267" s="2">
        <v>0</v>
      </c>
      <c r="Z267" s="2">
        <v>1</v>
      </c>
      <c r="AA267" s="2">
        <v>1</v>
      </c>
      <c r="AB267" s="2">
        <v>2</v>
      </c>
      <c r="AC267" s="2">
        <v>2</v>
      </c>
      <c r="AD267" s="2">
        <v>0</v>
      </c>
      <c r="AE267" s="2">
        <v>0</v>
      </c>
      <c r="AF267" s="2">
        <v>0</v>
      </c>
      <c r="AG267" s="20">
        <f t="shared" si="4"/>
        <v>-500</v>
      </c>
    </row>
    <row r="268" spans="1:33" x14ac:dyDescent="0.25">
      <c r="A268">
        <v>267</v>
      </c>
      <c r="B268" s="2">
        <v>3</v>
      </c>
      <c r="C268" s="2">
        <v>36</v>
      </c>
      <c r="D268" s="2">
        <v>4</v>
      </c>
      <c r="E268" s="2">
        <v>0</v>
      </c>
      <c r="F268" s="2">
        <v>0</v>
      </c>
      <c r="G268" s="2">
        <v>0</v>
      </c>
      <c r="H268" s="2">
        <v>0</v>
      </c>
      <c r="I268" s="2">
        <v>0</v>
      </c>
      <c r="J268" s="2">
        <v>1</v>
      </c>
      <c r="K268" s="2">
        <v>6304</v>
      </c>
      <c r="L268" s="2">
        <v>4</v>
      </c>
      <c r="M268" s="2">
        <v>4</v>
      </c>
      <c r="N268" s="2">
        <v>4</v>
      </c>
      <c r="O268" s="2">
        <v>0</v>
      </c>
      <c r="P268" s="2">
        <v>1</v>
      </c>
      <c r="Q268" s="2">
        <v>0</v>
      </c>
      <c r="R268" s="2">
        <v>0</v>
      </c>
      <c r="S268" s="2">
        <v>0</v>
      </c>
      <c r="T268" s="2">
        <v>4</v>
      </c>
      <c r="U268" s="2">
        <v>1</v>
      </c>
      <c r="V268" s="2">
        <v>0</v>
      </c>
      <c r="W268" s="2">
        <v>36</v>
      </c>
      <c r="X268" s="2">
        <v>0</v>
      </c>
      <c r="Y268" s="2">
        <v>0</v>
      </c>
      <c r="Z268" s="2">
        <v>1</v>
      </c>
      <c r="AA268" s="2">
        <v>2</v>
      </c>
      <c r="AB268" s="2">
        <v>2</v>
      </c>
      <c r="AC268" s="2">
        <v>1</v>
      </c>
      <c r="AD268" s="2">
        <v>0</v>
      </c>
      <c r="AE268" s="2">
        <v>0</v>
      </c>
      <c r="AF268" s="2">
        <v>1</v>
      </c>
      <c r="AG268" s="20">
        <f t="shared" si="4"/>
        <v>100</v>
      </c>
    </row>
    <row r="269" spans="1:33" x14ac:dyDescent="0.25">
      <c r="A269">
        <v>268</v>
      </c>
      <c r="B269" s="2">
        <v>3</v>
      </c>
      <c r="C269" s="2">
        <v>24</v>
      </c>
      <c r="D269" s="2">
        <v>2</v>
      </c>
      <c r="E269" s="2">
        <v>0</v>
      </c>
      <c r="F269" s="2">
        <v>0</v>
      </c>
      <c r="G269" s="2">
        <v>0</v>
      </c>
      <c r="H269" s="2">
        <v>1</v>
      </c>
      <c r="I269" s="2">
        <v>0</v>
      </c>
      <c r="J269" s="2">
        <v>0</v>
      </c>
      <c r="K269" s="2">
        <v>1533</v>
      </c>
      <c r="L269" s="2">
        <v>0</v>
      </c>
      <c r="M269" s="2">
        <v>1</v>
      </c>
      <c r="N269" s="2">
        <v>4</v>
      </c>
      <c r="O269" s="2">
        <v>0</v>
      </c>
      <c r="P269" s="2">
        <v>0</v>
      </c>
      <c r="Q269" s="2">
        <v>0</v>
      </c>
      <c r="R269" s="2">
        <v>0</v>
      </c>
      <c r="S269" s="2">
        <v>0</v>
      </c>
      <c r="T269" s="2">
        <v>3</v>
      </c>
      <c r="U269" s="2">
        <v>0</v>
      </c>
      <c r="V269" s="2">
        <v>0</v>
      </c>
      <c r="W269" s="2">
        <v>38</v>
      </c>
      <c r="X269" s="2">
        <v>1</v>
      </c>
      <c r="Y269" s="2">
        <v>0</v>
      </c>
      <c r="Z269" s="2">
        <v>1</v>
      </c>
      <c r="AA269" s="2">
        <v>1</v>
      </c>
      <c r="AB269" s="2">
        <v>2</v>
      </c>
      <c r="AC269" s="2">
        <v>1</v>
      </c>
      <c r="AD269" s="2">
        <v>1</v>
      </c>
      <c r="AE269" s="2">
        <v>0</v>
      </c>
      <c r="AF269" s="2">
        <v>1</v>
      </c>
      <c r="AG269" s="20">
        <f t="shared" si="4"/>
        <v>100</v>
      </c>
    </row>
    <row r="270" spans="1:33" x14ac:dyDescent="0.25">
      <c r="A270">
        <v>269</v>
      </c>
      <c r="B270" s="2">
        <v>0</v>
      </c>
      <c r="C270" s="2">
        <v>14</v>
      </c>
      <c r="D270" s="2">
        <v>2</v>
      </c>
      <c r="E270" s="2">
        <v>1</v>
      </c>
      <c r="F270" s="2">
        <v>0</v>
      </c>
      <c r="G270" s="2">
        <v>0</v>
      </c>
      <c r="H270" s="2">
        <v>0</v>
      </c>
      <c r="I270" s="2">
        <v>0</v>
      </c>
      <c r="J270" s="2">
        <v>0</v>
      </c>
      <c r="K270" s="2">
        <v>8978</v>
      </c>
      <c r="L270" s="2">
        <v>0</v>
      </c>
      <c r="M270" s="2">
        <v>4</v>
      </c>
      <c r="N270" s="2">
        <v>1</v>
      </c>
      <c r="O270" s="2">
        <v>1</v>
      </c>
      <c r="P270" s="2">
        <v>0</v>
      </c>
      <c r="Q270" s="2">
        <v>0</v>
      </c>
      <c r="R270" s="2">
        <v>0</v>
      </c>
      <c r="S270" s="2">
        <v>0</v>
      </c>
      <c r="T270" s="2">
        <v>4</v>
      </c>
      <c r="U270" s="2">
        <v>0</v>
      </c>
      <c r="V270" s="2">
        <v>0</v>
      </c>
      <c r="W270" s="2">
        <v>45</v>
      </c>
      <c r="X270" s="2">
        <v>0</v>
      </c>
      <c r="Y270" s="2">
        <v>0</v>
      </c>
      <c r="Z270" s="2">
        <v>1</v>
      </c>
      <c r="AA270" s="2">
        <v>1</v>
      </c>
      <c r="AB270" s="2">
        <v>3</v>
      </c>
      <c r="AC270" s="2">
        <v>1</v>
      </c>
      <c r="AD270" s="2">
        <v>1</v>
      </c>
      <c r="AE270" s="2">
        <v>1</v>
      </c>
      <c r="AF270" s="2">
        <v>0</v>
      </c>
      <c r="AG270" s="20">
        <f t="shared" si="4"/>
        <v>-500</v>
      </c>
    </row>
    <row r="271" spans="1:33" x14ac:dyDescent="0.25">
      <c r="A271">
        <v>270</v>
      </c>
      <c r="B271" s="2">
        <v>3</v>
      </c>
      <c r="C271" s="2">
        <v>24</v>
      </c>
      <c r="D271" s="2">
        <v>2</v>
      </c>
      <c r="E271" s="2">
        <v>0</v>
      </c>
      <c r="F271" s="2">
        <v>0</v>
      </c>
      <c r="G271" s="2">
        <v>0</v>
      </c>
      <c r="H271" s="2">
        <v>1</v>
      </c>
      <c r="I271" s="2">
        <v>0</v>
      </c>
      <c r="J271" s="2">
        <v>0</v>
      </c>
      <c r="K271" s="2">
        <v>999</v>
      </c>
      <c r="L271" s="2">
        <v>4</v>
      </c>
      <c r="M271" s="2">
        <v>4</v>
      </c>
      <c r="N271" s="2">
        <v>4</v>
      </c>
      <c r="O271" s="2">
        <v>0</v>
      </c>
      <c r="P271" s="2">
        <v>1</v>
      </c>
      <c r="Q271" s="2">
        <v>0</v>
      </c>
      <c r="R271" s="2">
        <v>0</v>
      </c>
      <c r="S271" s="2">
        <v>0</v>
      </c>
      <c r="T271" s="2">
        <v>2</v>
      </c>
      <c r="U271" s="2">
        <v>0</v>
      </c>
      <c r="V271" s="2">
        <v>0</v>
      </c>
      <c r="W271" s="2">
        <v>25</v>
      </c>
      <c r="X271" s="2">
        <v>0</v>
      </c>
      <c r="Y271" s="2">
        <v>0</v>
      </c>
      <c r="Z271" s="2">
        <v>1</v>
      </c>
      <c r="AA271" s="2">
        <v>2</v>
      </c>
      <c r="AB271" s="2">
        <v>2</v>
      </c>
      <c r="AC271" s="2">
        <v>1</v>
      </c>
      <c r="AD271" s="2">
        <v>0</v>
      </c>
      <c r="AE271" s="2">
        <v>0</v>
      </c>
      <c r="AF271" s="2">
        <v>1</v>
      </c>
      <c r="AG271" s="20">
        <f t="shared" si="4"/>
        <v>100</v>
      </c>
    </row>
    <row r="272" spans="1:33" x14ac:dyDescent="0.25">
      <c r="A272">
        <v>271</v>
      </c>
      <c r="B272" s="2">
        <v>3</v>
      </c>
      <c r="C272" s="2">
        <v>18</v>
      </c>
      <c r="D272" s="2">
        <v>2</v>
      </c>
      <c r="E272" s="2">
        <v>1</v>
      </c>
      <c r="F272" s="2">
        <v>0</v>
      </c>
      <c r="G272" s="2">
        <v>0</v>
      </c>
      <c r="H272" s="2">
        <v>0</v>
      </c>
      <c r="I272" s="2">
        <v>0</v>
      </c>
      <c r="J272" s="2">
        <v>0</v>
      </c>
      <c r="K272" s="2">
        <v>2662</v>
      </c>
      <c r="L272" s="2">
        <v>4</v>
      </c>
      <c r="M272" s="2">
        <v>3</v>
      </c>
      <c r="N272" s="2">
        <v>4</v>
      </c>
      <c r="O272" s="2">
        <v>0</v>
      </c>
      <c r="P272" s="2">
        <v>1</v>
      </c>
      <c r="Q272" s="2">
        <v>0</v>
      </c>
      <c r="R272" s="2">
        <v>0</v>
      </c>
      <c r="S272" s="2">
        <v>0</v>
      </c>
      <c r="T272" s="2">
        <v>3</v>
      </c>
      <c r="U272" s="2">
        <v>0</v>
      </c>
      <c r="V272" s="2">
        <v>0</v>
      </c>
      <c r="W272" s="2">
        <v>32</v>
      </c>
      <c r="X272" s="2">
        <v>0</v>
      </c>
      <c r="Y272" s="2">
        <v>0</v>
      </c>
      <c r="Z272" s="2">
        <v>1</v>
      </c>
      <c r="AA272" s="2">
        <v>1</v>
      </c>
      <c r="AB272" s="2">
        <v>2</v>
      </c>
      <c r="AC272" s="2">
        <v>1</v>
      </c>
      <c r="AD272" s="2">
        <v>0</v>
      </c>
      <c r="AE272" s="2">
        <v>1</v>
      </c>
      <c r="AF272" s="2">
        <v>1</v>
      </c>
      <c r="AG272" s="20">
        <f t="shared" si="4"/>
        <v>100</v>
      </c>
    </row>
    <row r="273" spans="1:33" x14ac:dyDescent="0.25">
      <c r="A273">
        <v>272</v>
      </c>
      <c r="B273" s="2">
        <v>3</v>
      </c>
      <c r="C273" s="2">
        <v>12</v>
      </c>
      <c r="D273" s="2">
        <v>4</v>
      </c>
      <c r="E273" s="2">
        <v>0</v>
      </c>
      <c r="F273" s="2">
        <v>0</v>
      </c>
      <c r="G273" s="2">
        <v>1</v>
      </c>
      <c r="H273" s="2">
        <v>0</v>
      </c>
      <c r="I273" s="2">
        <v>0</v>
      </c>
      <c r="J273" s="2">
        <v>0</v>
      </c>
      <c r="K273" s="2">
        <v>1402</v>
      </c>
      <c r="L273" s="2">
        <v>2</v>
      </c>
      <c r="M273" s="2">
        <v>3</v>
      </c>
      <c r="N273" s="2">
        <v>3</v>
      </c>
      <c r="O273" s="2">
        <v>0</v>
      </c>
      <c r="P273" s="2">
        <v>0</v>
      </c>
      <c r="Q273" s="2">
        <v>0</v>
      </c>
      <c r="R273" s="2">
        <v>0</v>
      </c>
      <c r="S273" s="2">
        <v>0</v>
      </c>
      <c r="T273" s="2">
        <v>4</v>
      </c>
      <c r="U273" s="2">
        <v>0</v>
      </c>
      <c r="V273" s="2">
        <v>0</v>
      </c>
      <c r="W273" s="2">
        <v>37</v>
      </c>
      <c r="X273" s="2">
        <v>0</v>
      </c>
      <c r="Y273" s="2">
        <v>1</v>
      </c>
      <c r="Z273" s="2">
        <v>0</v>
      </c>
      <c r="AA273" s="2">
        <v>1</v>
      </c>
      <c r="AB273" s="2">
        <v>2</v>
      </c>
      <c r="AC273" s="2">
        <v>1</v>
      </c>
      <c r="AD273" s="2">
        <v>1</v>
      </c>
      <c r="AE273" s="2">
        <v>0</v>
      </c>
      <c r="AF273" s="2">
        <v>1</v>
      </c>
      <c r="AG273" s="20">
        <f t="shared" si="4"/>
        <v>100</v>
      </c>
    </row>
    <row r="274" spans="1:33" x14ac:dyDescent="0.25">
      <c r="A274">
        <v>273</v>
      </c>
      <c r="B274" s="2">
        <v>1</v>
      </c>
      <c r="C274" s="2">
        <v>48</v>
      </c>
      <c r="D274" s="2">
        <v>1</v>
      </c>
      <c r="E274" s="2">
        <v>1</v>
      </c>
      <c r="F274" s="2">
        <v>0</v>
      </c>
      <c r="G274" s="2">
        <v>0</v>
      </c>
      <c r="H274" s="2">
        <v>0</v>
      </c>
      <c r="I274" s="2">
        <v>0</v>
      </c>
      <c r="J274" s="2">
        <v>0</v>
      </c>
      <c r="K274" s="2">
        <v>12169</v>
      </c>
      <c r="L274" s="2">
        <v>4</v>
      </c>
      <c r="M274" s="2">
        <v>0</v>
      </c>
      <c r="N274" s="2">
        <v>4</v>
      </c>
      <c r="O274" s="2">
        <v>0</v>
      </c>
      <c r="P274" s="2">
        <v>1</v>
      </c>
      <c r="Q274" s="2">
        <v>0</v>
      </c>
      <c r="R274" s="2">
        <v>1</v>
      </c>
      <c r="S274" s="2">
        <v>0</v>
      </c>
      <c r="T274" s="2">
        <v>4</v>
      </c>
      <c r="U274" s="2">
        <v>0</v>
      </c>
      <c r="V274" s="2">
        <v>1</v>
      </c>
      <c r="W274" s="2">
        <v>36</v>
      </c>
      <c r="X274" s="2">
        <v>0</v>
      </c>
      <c r="Y274" s="2">
        <v>0</v>
      </c>
      <c r="Z274" s="2">
        <v>0</v>
      </c>
      <c r="AA274" s="2">
        <v>1</v>
      </c>
      <c r="AB274" s="2">
        <v>3</v>
      </c>
      <c r="AC274" s="2">
        <v>1</v>
      </c>
      <c r="AD274" s="2">
        <v>1</v>
      </c>
      <c r="AE274" s="2">
        <v>0</v>
      </c>
      <c r="AF274" s="2">
        <v>1</v>
      </c>
      <c r="AG274" s="20">
        <f t="shared" si="4"/>
        <v>100</v>
      </c>
    </row>
    <row r="275" spans="1:33" x14ac:dyDescent="0.25">
      <c r="A275">
        <v>274</v>
      </c>
      <c r="B275" s="2">
        <v>1</v>
      </c>
      <c r="C275" s="2">
        <v>48</v>
      </c>
      <c r="D275" s="2">
        <v>2</v>
      </c>
      <c r="E275" s="2">
        <v>0</v>
      </c>
      <c r="F275" s="2">
        <v>0</v>
      </c>
      <c r="G275" s="2">
        <v>0</v>
      </c>
      <c r="H275" s="2">
        <v>1</v>
      </c>
      <c r="I275" s="2">
        <v>0</v>
      </c>
      <c r="J275" s="2">
        <v>0</v>
      </c>
      <c r="K275" s="2">
        <v>3060</v>
      </c>
      <c r="L275" s="2">
        <v>0</v>
      </c>
      <c r="M275" s="2">
        <v>3</v>
      </c>
      <c r="N275" s="2">
        <v>4</v>
      </c>
      <c r="O275" s="2">
        <v>0</v>
      </c>
      <c r="P275" s="2">
        <v>1</v>
      </c>
      <c r="Q275" s="2">
        <v>0</v>
      </c>
      <c r="R275" s="2">
        <v>0</v>
      </c>
      <c r="S275" s="2">
        <v>0</v>
      </c>
      <c r="T275" s="2">
        <v>4</v>
      </c>
      <c r="U275" s="2">
        <v>1</v>
      </c>
      <c r="V275" s="2">
        <v>0</v>
      </c>
      <c r="W275" s="2">
        <v>28</v>
      </c>
      <c r="X275" s="2">
        <v>0</v>
      </c>
      <c r="Y275" s="2">
        <v>0</v>
      </c>
      <c r="Z275" s="2">
        <v>1</v>
      </c>
      <c r="AA275" s="2">
        <v>2</v>
      </c>
      <c r="AB275" s="2">
        <v>2</v>
      </c>
      <c r="AC275" s="2">
        <v>1</v>
      </c>
      <c r="AD275" s="2">
        <v>0</v>
      </c>
      <c r="AE275" s="2">
        <v>0</v>
      </c>
      <c r="AF275" s="2">
        <v>0</v>
      </c>
      <c r="AG275" s="20">
        <f t="shared" si="4"/>
        <v>-500</v>
      </c>
    </row>
    <row r="276" spans="1:33" x14ac:dyDescent="0.25">
      <c r="A276">
        <v>275</v>
      </c>
      <c r="B276" s="2">
        <v>0</v>
      </c>
      <c r="C276" s="2">
        <v>30</v>
      </c>
      <c r="D276" s="2">
        <v>2</v>
      </c>
      <c r="E276" s="2">
        <v>0</v>
      </c>
      <c r="F276" s="2">
        <v>0</v>
      </c>
      <c r="G276" s="2">
        <v>0</v>
      </c>
      <c r="H276" s="2">
        <v>0</v>
      </c>
      <c r="I276" s="2">
        <v>0</v>
      </c>
      <c r="J276" s="2">
        <v>0</v>
      </c>
      <c r="K276" s="2">
        <v>11998</v>
      </c>
      <c r="L276" s="2">
        <v>0</v>
      </c>
      <c r="M276" s="2">
        <v>1</v>
      </c>
      <c r="N276" s="2">
        <v>1</v>
      </c>
      <c r="O276" s="2">
        <v>1</v>
      </c>
      <c r="P276" s="2">
        <v>0</v>
      </c>
      <c r="Q276" s="2">
        <v>0</v>
      </c>
      <c r="R276" s="2">
        <v>0</v>
      </c>
      <c r="S276" s="2">
        <v>0</v>
      </c>
      <c r="T276" s="2">
        <v>1</v>
      </c>
      <c r="U276" s="2">
        <v>0</v>
      </c>
      <c r="V276" s="2">
        <v>1</v>
      </c>
      <c r="W276" s="2">
        <v>34</v>
      </c>
      <c r="X276" s="2">
        <v>0</v>
      </c>
      <c r="Y276" s="2">
        <v>0</v>
      </c>
      <c r="Z276" s="2">
        <v>1</v>
      </c>
      <c r="AA276" s="2">
        <v>1</v>
      </c>
      <c r="AB276" s="2">
        <v>1</v>
      </c>
      <c r="AC276" s="2">
        <v>1</v>
      </c>
      <c r="AD276" s="2">
        <v>1</v>
      </c>
      <c r="AE276" s="2">
        <v>0</v>
      </c>
      <c r="AF276" s="2">
        <v>0</v>
      </c>
      <c r="AG276" s="20">
        <f t="shared" si="4"/>
        <v>-500</v>
      </c>
    </row>
    <row r="277" spans="1:33" x14ac:dyDescent="0.25">
      <c r="A277">
        <v>276</v>
      </c>
      <c r="B277" s="2">
        <v>3</v>
      </c>
      <c r="C277" s="2">
        <v>9</v>
      </c>
      <c r="D277" s="2">
        <v>2</v>
      </c>
      <c r="E277" s="2">
        <v>0</v>
      </c>
      <c r="F277" s="2">
        <v>0</v>
      </c>
      <c r="G277" s="2">
        <v>0</v>
      </c>
      <c r="H277" s="2">
        <v>1</v>
      </c>
      <c r="I277" s="2">
        <v>0</v>
      </c>
      <c r="J277" s="2">
        <v>0</v>
      </c>
      <c r="K277" s="2">
        <v>2697</v>
      </c>
      <c r="L277" s="2">
        <v>0</v>
      </c>
      <c r="M277" s="2">
        <v>2</v>
      </c>
      <c r="N277" s="2">
        <v>1</v>
      </c>
      <c r="O277" s="2">
        <v>0</v>
      </c>
      <c r="P277" s="2">
        <v>1</v>
      </c>
      <c r="Q277" s="2">
        <v>0</v>
      </c>
      <c r="R277" s="2">
        <v>0</v>
      </c>
      <c r="S277" s="2">
        <v>0</v>
      </c>
      <c r="T277" s="2">
        <v>2</v>
      </c>
      <c r="U277" s="2">
        <v>1</v>
      </c>
      <c r="V277" s="2">
        <v>0</v>
      </c>
      <c r="W277" s="2">
        <v>32</v>
      </c>
      <c r="X277" s="2">
        <v>0</v>
      </c>
      <c r="Y277" s="2">
        <v>0</v>
      </c>
      <c r="Z277" s="2">
        <v>1</v>
      </c>
      <c r="AA277" s="2">
        <v>1</v>
      </c>
      <c r="AB277" s="2">
        <v>2</v>
      </c>
      <c r="AC277" s="2">
        <v>2</v>
      </c>
      <c r="AD277" s="2">
        <v>0</v>
      </c>
      <c r="AE277" s="2">
        <v>0</v>
      </c>
      <c r="AF277" s="2">
        <v>1</v>
      </c>
      <c r="AG277" s="20">
        <f t="shared" si="4"/>
        <v>100</v>
      </c>
    </row>
    <row r="278" spans="1:33" x14ac:dyDescent="0.25">
      <c r="A278">
        <v>277</v>
      </c>
      <c r="B278" s="2">
        <v>3</v>
      </c>
      <c r="C278" s="2">
        <v>18</v>
      </c>
      <c r="D278" s="2">
        <v>4</v>
      </c>
      <c r="E278" s="2">
        <v>0</v>
      </c>
      <c r="F278" s="2">
        <v>0</v>
      </c>
      <c r="G278" s="2">
        <v>0</v>
      </c>
      <c r="H278" s="2">
        <v>1</v>
      </c>
      <c r="I278" s="2">
        <v>0</v>
      </c>
      <c r="J278" s="2">
        <v>0</v>
      </c>
      <c r="K278" s="2">
        <v>2404</v>
      </c>
      <c r="L278" s="2">
        <v>0</v>
      </c>
      <c r="M278" s="2">
        <v>2</v>
      </c>
      <c r="N278" s="2">
        <v>2</v>
      </c>
      <c r="O278" s="2">
        <v>0</v>
      </c>
      <c r="P278" s="2">
        <v>0</v>
      </c>
      <c r="Q278" s="2">
        <v>0</v>
      </c>
      <c r="R278" s="2">
        <v>0</v>
      </c>
      <c r="S278" s="2">
        <v>0</v>
      </c>
      <c r="T278" s="2">
        <v>2</v>
      </c>
      <c r="U278" s="2">
        <v>0</v>
      </c>
      <c r="V278" s="2">
        <v>0</v>
      </c>
      <c r="W278" s="2">
        <v>26</v>
      </c>
      <c r="X278" s="2">
        <v>0</v>
      </c>
      <c r="Y278" s="2">
        <v>0</v>
      </c>
      <c r="Z278" s="2">
        <v>1</v>
      </c>
      <c r="AA278" s="2">
        <v>2</v>
      </c>
      <c r="AB278" s="2">
        <v>2</v>
      </c>
      <c r="AC278" s="2">
        <v>1</v>
      </c>
      <c r="AD278" s="2">
        <v>0</v>
      </c>
      <c r="AE278" s="2">
        <v>0</v>
      </c>
      <c r="AF278" s="2">
        <v>1</v>
      </c>
      <c r="AG278" s="20">
        <f t="shared" si="4"/>
        <v>100</v>
      </c>
    </row>
    <row r="279" spans="1:33" x14ac:dyDescent="0.25">
      <c r="A279">
        <v>278</v>
      </c>
      <c r="B279" s="2">
        <v>0</v>
      </c>
      <c r="C279" s="2">
        <v>12</v>
      </c>
      <c r="D279" s="2">
        <v>2</v>
      </c>
      <c r="E279" s="2">
        <v>0</v>
      </c>
      <c r="F279" s="2">
        <v>0</v>
      </c>
      <c r="G279" s="2">
        <v>1</v>
      </c>
      <c r="H279" s="2">
        <v>0</v>
      </c>
      <c r="I279" s="2">
        <v>0</v>
      </c>
      <c r="J279" s="2">
        <v>0</v>
      </c>
      <c r="K279" s="2">
        <v>1262</v>
      </c>
      <c r="L279" s="2">
        <v>4</v>
      </c>
      <c r="M279" s="2">
        <v>4</v>
      </c>
      <c r="N279" s="2">
        <v>2</v>
      </c>
      <c r="O279" s="2">
        <v>1</v>
      </c>
      <c r="P279" s="2">
        <v>0</v>
      </c>
      <c r="Q279" s="2">
        <v>0</v>
      </c>
      <c r="R279" s="2">
        <v>0</v>
      </c>
      <c r="S279" s="2">
        <v>0</v>
      </c>
      <c r="T279" s="2">
        <v>4</v>
      </c>
      <c r="U279" s="2">
        <v>0</v>
      </c>
      <c r="V279" s="2">
        <v>0</v>
      </c>
      <c r="W279" s="2">
        <v>49</v>
      </c>
      <c r="X279" s="2">
        <v>0</v>
      </c>
      <c r="Y279" s="2">
        <v>0</v>
      </c>
      <c r="Z279" s="2">
        <v>1</v>
      </c>
      <c r="AA279" s="2">
        <v>1</v>
      </c>
      <c r="AB279" s="2">
        <v>1</v>
      </c>
      <c r="AC279" s="2">
        <v>1</v>
      </c>
      <c r="AD279" s="2">
        <v>1</v>
      </c>
      <c r="AE279" s="2">
        <v>0</v>
      </c>
      <c r="AF279" s="2">
        <v>1</v>
      </c>
      <c r="AG279" s="20">
        <f t="shared" si="4"/>
        <v>100</v>
      </c>
    </row>
    <row r="280" spans="1:33" x14ac:dyDescent="0.25">
      <c r="A280">
        <v>279</v>
      </c>
      <c r="B280" s="2">
        <v>3</v>
      </c>
      <c r="C280" s="2">
        <v>6</v>
      </c>
      <c r="D280" s="2">
        <v>2</v>
      </c>
      <c r="E280" s="2">
        <v>0</v>
      </c>
      <c r="F280" s="2">
        <v>0</v>
      </c>
      <c r="G280" s="2">
        <v>1</v>
      </c>
      <c r="H280" s="2">
        <v>0</v>
      </c>
      <c r="I280" s="2">
        <v>0</v>
      </c>
      <c r="J280" s="2">
        <v>0</v>
      </c>
      <c r="K280" s="2">
        <v>4611</v>
      </c>
      <c r="L280" s="2">
        <v>0</v>
      </c>
      <c r="M280" s="2">
        <v>1</v>
      </c>
      <c r="N280" s="2">
        <v>1</v>
      </c>
      <c r="O280" s="2">
        <v>0</v>
      </c>
      <c r="P280" s="2">
        <v>0</v>
      </c>
      <c r="Q280" s="2">
        <v>0</v>
      </c>
      <c r="R280" s="2">
        <v>0</v>
      </c>
      <c r="S280" s="2">
        <v>0</v>
      </c>
      <c r="T280" s="2">
        <v>4</v>
      </c>
      <c r="U280" s="2">
        <v>0</v>
      </c>
      <c r="V280" s="2">
        <v>0</v>
      </c>
      <c r="W280" s="2">
        <v>32</v>
      </c>
      <c r="X280" s="2">
        <v>0</v>
      </c>
      <c r="Y280" s="2">
        <v>0</v>
      </c>
      <c r="Z280" s="2">
        <v>1</v>
      </c>
      <c r="AA280" s="2">
        <v>1</v>
      </c>
      <c r="AB280" s="2">
        <v>2</v>
      </c>
      <c r="AC280" s="2">
        <v>1</v>
      </c>
      <c r="AD280" s="2">
        <v>0</v>
      </c>
      <c r="AE280" s="2">
        <v>0</v>
      </c>
      <c r="AF280" s="2">
        <v>0</v>
      </c>
      <c r="AG280" s="20">
        <f t="shared" si="4"/>
        <v>-500</v>
      </c>
    </row>
    <row r="281" spans="1:33" x14ac:dyDescent="0.25">
      <c r="A281">
        <v>280</v>
      </c>
      <c r="B281" s="2">
        <v>3</v>
      </c>
      <c r="C281" s="2">
        <v>24</v>
      </c>
      <c r="D281" s="2">
        <v>2</v>
      </c>
      <c r="E281" s="2">
        <v>0</v>
      </c>
      <c r="F281" s="2">
        <v>0</v>
      </c>
      <c r="G281" s="2">
        <v>0</v>
      </c>
      <c r="H281" s="2">
        <v>1</v>
      </c>
      <c r="I281" s="2">
        <v>0</v>
      </c>
      <c r="J281" s="2">
        <v>0</v>
      </c>
      <c r="K281" s="2">
        <v>1901</v>
      </c>
      <c r="L281" s="2">
        <v>1</v>
      </c>
      <c r="M281" s="2">
        <v>2</v>
      </c>
      <c r="N281" s="2">
        <v>4</v>
      </c>
      <c r="O281" s="2">
        <v>0</v>
      </c>
      <c r="P281" s="2">
        <v>1</v>
      </c>
      <c r="Q281" s="2">
        <v>0</v>
      </c>
      <c r="R281" s="2">
        <v>0</v>
      </c>
      <c r="S281" s="2">
        <v>0</v>
      </c>
      <c r="T281" s="2">
        <v>4</v>
      </c>
      <c r="U281" s="2">
        <v>0</v>
      </c>
      <c r="V281" s="2">
        <v>0</v>
      </c>
      <c r="W281" s="2">
        <v>29</v>
      </c>
      <c r="X281" s="2">
        <v>0</v>
      </c>
      <c r="Y281" s="2">
        <v>1</v>
      </c>
      <c r="Z281" s="2">
        <v>0</v>
      </c>
      <c r="AA281" s="2">
        <v>1</v>
      </c>
      <c r="AB281" s="2">
        <v>3</v>
      </c>
      <c r="AC281" s="2">
        <v>1</v>
      </c>
      <c r="AD281" s="2">
        <v>1</v>
      </c>
      <c r="AE281" s="2">
        <v>0</v>
      </c>
      <c r="AF281" s="2">
        <v>1</v>
      </c>
      <c r="AG281" s="20">
        <f t="shared" si="4"/>
        <v>100</v>
      </c>
    </row>
    <row r="282" spans="1:33" x14ac:dyDescent="0.25">
      <c r="A282">
        <v>281</v>
      </c>
      <c r="B282" s="2">
        <v>3</v>
      </c>
      <c r="C282" s="2">
        <v>15</v>
      </c>
      <c r="D282" s="2">
        <v>4</v>
      </c>
      <c r="E282" s="2">
        <v>0</v>
      </c>
      <c r="F282" s="2">
        <v>1</v>
      </c>
      <c r="G282" s="2">
        <v>0</v>
      </c>
      <c r="H282" s="2">
        <v>0</v>
      </c>
      <c r="I282" s="2">
        <v>0</v>
      </c>
      <c r="J282" s="2">
        <v>0</v>
      </c>
      <c r="K282" s="2">
        <v>3368</v>
      </c>
      <c r="L282" s="2">
        <v>3</v>
      </c>
      <c r="M282" s="2">
        <v>4</v>
      </c>
      <c r="N282" s="2">
        <v>3</v>
      </c>
      <c r="O282" s="2">
        <v>0</v>
      </c>
      <c r="P282" s="2">
        <v>1</v>
      </c>
      <c r="Q282" s="2">
        <v>0</v>
      </c>
      <c r="R282" s="2">
        <v>0</v>
      </c>
      <c r="S282" s="2">
        <v>0</v>
      </c>
      <c r="T282" s="2">
        <v>4</v>
      </c>
      <c r="U282" s="2">
        <v>0</v>
      </c>
      <c r="V282" s="2">
        <v>1</v>
      </c>
      <c r="W282" s="2">
        <v>23</v>
      </c>
      <c r="X282" s="2">
        <v>0</v>
      </c>
      <c r="Y282" s="2">
        <v>1</v>
      </c>
      <c r="Z282" s="2">
        <v>0</v>
      </c>
      <c r="AA282" s="2">
        <v>2</v>
      </c>
      <c r="AB282" s="2">
        <v>2</v>
      </c>
      <c r="AC282" s="2">
        <v>1</v>
      </c>
      <c r="AD282" s="2">
        <v>1</v>
      </c>
      <c r="AE282" s="2">
        <v>0</v>
      </c>
      <c r="AF282" s="2">
        <v>1</v>
      </c>
      <c r="AG282" s="20">
        <f t="shared" si="4"/>
        <v>100</v>
      </c>
    </row>
    <row r="283" spans="1:33" x14ac:dyDescent="0.25">
      <c r="A283">
        <v>282</v>
      </c>
      <c r="B283" s="2">
        <v>3</v>
      </c>
      <c r="C283" s="2">
        <v>12</v>
      </c>
      <c r="D283" s="2">
        <v>2</v>
      </c>
      <c r="E283" s="2">
        <v>0</v>
      </c>
      <c r="F283" s="2">
        <v>0</v>
      </c>
      <c r="G283" s="2">
        <v>1</v>
      </c>
      <c r="H283" s="2">
        <v>0</v>
      </c>
      <c r="I283" s="2">
        <v>0</v>
      </c>
      <c r="J283" s="2">
        <v>0</v>
      </c>
      <c r="K283" s="2">
        <v>1574</v>
      </c>
      <c r="L283" s="2">
        <v>0</v>
      </c>
      <c r="M283" s="2">
        <v>2</v>
      </c>
      <c r="N283" s="2">
        <v>4</v>
      </c>
      <c r="O283" s="2">
        <v>0</v>
      </c>
      <c r="P283" s="2">
        <v>1</v>
      </c>
      <c r="Q283" s="2">
        <v>0</v>
      </c>
      <c r="R283" s="2">
        <v>0</v>
      </c>
      <c r="S283" s="2">
        <v>0</v>
      </c>
      <c r="T283" s="2">
        <v>2</v>
      </c>
      <c r="U283" s="2">
        <v>1</v>
      </c>
      <c r="V283" s="2">
        <v>0</v>
      </c>
      <c r="W283" s="2">
        <v>50</v>
      </c>
      <c r="X283" s="2">
        <v>0</v>
      </c>
      <c r="Y283" s="2">
        <v>0</v>
      </c>
      <c r="Z283" s="2">
        <v>1</v>
      </c>
      <c r="AA283" s="2">
        <v>1</v>
      </c>
      <c r="AB283" s="2">
        <v>2</v>
      </c>
      <c r="AC283" s="2">
        <v>1</v>
      </c>
      <c r="AD283" s="2">
        <v>0</v>
      </c>
      <c r="AE283" s="2">
        <v>0</v>
      </c>
      <c r="AF283" s="2">
        <v>1</v>
      </c>
      <c r="AG283" s="20">
        <f t="shared" si="4"/>
        <v>100</v>
      </c>
    </row>
    <row r="284" spans="1:33" x14ac:dyDescent="0.25">
      <c r="A284">
        <v>283</v>
      </c>
      <c r="B284" s="2">
        <v>2</v>
      </c>
      <c r="C284" s="2">
        <v>18</v>
      </c>
      <c r="D284" s="2">
        <v>1</v>
      </c>
      <c r="E284" s="2">
        <v>0</v>
      </c>
      <c r="F284" s="2">
        <v>0</v>
      </c>
      <c r="G284" s="2">
        <v>0</v>
      </c>
      <c r="H284" s="2">
        <v>1</v>
      </c>
      <c r="I284" s="2">
        <v>0</v>
      </c>
      <c r="J284" s="2">
        <v>0</v>
      </c>
      <c r="K284" s="2">
        <v>1445</v>
      </c>
      <c r="L284" s="2">
        <v>4</v>
      </c>
      <c r="M284" s="2">
        <v>3</v>
      </c>
      <c r="N284" s="2">
        <v>4</v>
      </c>
      <c r="O284" s="2">
        <v>0</v>
      </c>
      <c r="P284" s="2">
        <v>1</v>
      </c>
      <c r="Q284" s="2">
        <v>0</v>
      </c>
      <c r="R284" s="2">
        <v>0</v>
      </c>
      <c r="S284" s="2">
        <v>0</v>
      </c>
      <c r="T284" s="2">
        <v>4</v>
      </c>
      <c r="U284" s="2">
        <v>0</v>
      </c>
      <c r="V284" s="2">
        <v>0</v>
      </c>
      <c r="W284" s="2">
        <v>49</v>
      </c>
      <c r="X284" s="2">
        <v>1</v>
      </c>
      <c r="Y284" s="2">
        <v>0</v>
      </c>
      <c r="Z284" s="2">
        <v>1</v>
      </c>
      <c r="AA284" s="2">
        <v>1</v>
      </c>
      <c r="AB284" s="2">
        <v>1</v>
      </c>
      <c r="AC284" s="2">
        <v>1</v>
      </c>
      <c r="AD284" s="2">
        <v>0</v>
      </c>
      <c r="AE284" s="2">
        <v>0</v>
      </c>
      <c r="AF284" s="2">
        <v>1</v>
      </c>
      <c r="AG284" s="20">
        <f t="shared" si="4"/>
        <v>100</v>
      </c>
    </row>
    <row r="285" spans="1:33" x14ac:dyDescent="0.25">
      <c r="A285">
        <v>284</v>
      </c>
      <c r="B285" s="2">
        <v>3</v>
      </c>
      <c r="C285" s="2">
        <v>15</v>
      </c>
      <c r="D285" s="2">
        <v>4</v>
      </c>
      <c r="E285" s="2">
        <v>0</v>
      </c>
      <c r="F285" s="2">
        <v>0</v>
      </c>
      <c r="G285" s="2">
        <v>1</v>
      </c>
      <c r="H285" s="2">
        <v>0</v>
      </c>
      <c r="I285" s="2">
        <v>0</v>
      </c>
      <c r="J285" s="2">
        <v>0</v>
      </c>
      <c r="K285" s="2">
        <v>1520</v>
      </c>
      <c r="L285" s="2">
        <v>4</v>
      </c>
      <c r="M285" s="2">
        <v>4</v>
      </c>
      <c r="N285" s="2">
        <v>4</v>
      </c>
      <c r="O285" s="2">
        <v>0</v>
      </c>
      <c r="P285" s="2">
        <v>1</v>
      </c>
      <c r="Q285" s="2">
        <v>0</v>
      </c>
      <c r="R285" s="2">
        <v>0</v>
      </c>
      <c r="S285" s="2">
        <v>0</v>
      </c>
      <c r="T285" s="2">
        <v>4</v>
      </c>
      <c r="U285" s="2">
        <v>0</v>
      </c>
      <c r="V285" s="2">
        <v>0</v>
      </c>
      <c r="W285" s="2">
        <v>63</v>
      </c>
      <c r="X285" s="2">
        <v>0</v>
      </c>
      <c r="Y285" s="2">
        <v>0</v>
      </c>
      <c r="Z285" s="2">
        <v>1</v>
      </c>
      <c r="AA285" s="2">
        <v>1</v>
      </c>
      <c r="AB285" s="2">
        <v>2</v>
      </c>
      <c r="AC285" s="2">
        <v>1</v>
      </c>
      <c r="AD285" s="2">
        <v>0</v>
      </c>
      <c r="AE285" s="2">
        <v>0</v>
      </c>
      <c r="AF285" s="2">
        <v>1</v>
      </c>
      <c r="AG285" s="20">
        <f t="shared" si="4"/>
        <v>100</v>
      </c>
    </row>
    <row r="286" spans="1:33" x14ac:dyDescent="0.25">
      <c r="A286">
        <v>285</v>
      </c>
      <c r="B286" s="2">
        <v>1</v>
      </c>
      <c r="C286" s="2">
        <v>24</v>
      </c>
      <c r="D286" s="2">
        <v>4</v>
      </c>
      <c r="E286" s="2">
        <v>1</v>
      </c>
      <c r="F286" s="2">
        <v>0</v>
      </c>
      <c r="G286" s="2">
        <v>0</v>
      </c>
      <c r="H286" s="2">
        <v>0</v>
      </c>
      <c r="I286" s="2">
        <v>0</v>
      </c>
      <c r="J286" s="2">
        <v>0</v>
      </c>
      <c r="K286" s="2">
        <v>3878</v>
      </c>
      <c r="L286" s="2">
        <v>1</v>
      </c>
      <c r="M286" s="2">
        <v>1</v>
      </c>
      <c r="N286" s="2">
        <v>4</v>
      </c>
      <c r="O286" s="2">
        <v>1</v>
      </c>
      <c r="P286" s="2">
        <v>0</v>
      </c>
      <c r="Q286" s="2">
        <v>0</v>
      </c>
      <c r="R286" s="2">
        <v>0</v>
      </c>
      <c r="S286" s="2">
        <v>0</v>
      </c>
      <c r="T286" s="2">
        <v>2</v>
      </c>
      <c r="U286" s="2">
        <v>0</v>
      </c>
      <c r="V286" s="2">
        <v>0</v>
      </c>
      <c r="W286" s="2">
        <v>37</v>
      </c>
      <c r="X286" s="2">
        <v>0</v>
      </c>
      <c r="Y286" s="2">
        <v>0</v>
      </c>
      <c r="Z286" s="2">
        <v>1</v>
      </c>
      <c r="AA286" s="2">
        <v>1</v>
      </c>
      <c r="AB286" s="2">
        <v>2</v>
      </c>
      <c r="AC286" s="2">
        <v>1</v>
      </c>
      <c r="AD286" s="2">
        <v>1</v>
      </c>
      <c r="AE286" s="2">
        <v>0</v>
      </c>
      <c r="AF286" s="2">
        <v>1</v>
      </c>
      <c r="AG286" s="20">
        <f t="shared" si="4"/>
        <v>100</v>
      </c>
    </row>
    <row r="287" spans="1:33" x14ac:dyDescent="0.25">
      <c r="A287">
        <v>286</v>
      </c>
      <c r="B287" s="2">
        <v>0</v>
      </c>
      <c r="C287" s="2">
        <v>47</v>
      </c>
      <c r="D287" s="2">
        <v>2</v>
      </c>
      <c r="E287" s="2">
        <v>1</v>
      </c>
      <c r="F287" s="2">
        <v>0</v>
      </c>
      <c r="G287" s="2">
        <v>0</v>
      </c>
      <c r="H287" s="2">
        <v>0</v>
      </c>
      <c r="I287" s="2">
        <v>0</v>
      </c>
      <c r="J287" s="2">
        <v>0</v>
      </c>
      <c r="K287" s="2">
        <v>10722</v>
      </c>
      <c r="L287" s="2">
        <v>0</v>
      </c>
      <c r="M287" s="2">
        <v>1</v>
      </c>
      <c r="N287" s="2">
        <v>1</v>
      </c>
      <c r="O287" s="2">
        <v>0</v>
      </c>
      <c r="P287" s="2">
        <v>0</v>
      </c>
      <c r="Q287" s="2">
        <v>0</v>
      </c>
      <c r="R287" s="2">
        <v>0</v>
      </c>
      <c r="S287" s="2">
        <v>0</v>
      </c>
      <c r="T287" s="2">
        <v>1</v>
      </c>
      <c r="U287" s="2">
        <v>1</v>
      </c>
      <c r="V287" s="2">
        <v>0</v>
      </c>
      <c r="W287" s="2">
        <v>35</v>
      </c>
      <c r="X287" s="2">
        <v>0</v>
      </c>
      <c r="Y287" s="2">
        <v>0</v>
      </c>
      <c r="Z287" s="2">
        <v>1</v>
      </c>
      <c r="AA287" s="2">
        <v>1</v>
      </c>
      <c r="AB287" s="2">
        <v>1</v>
      </c>
      <c r="AC287" s="2">
        <v>1</v>
      </c>
      <c r="AD287" s="2">
        <v>1</v>
      </c>
      <c r="AE287" s="2">
        <v>0</v>
      </c>
      <c r="AF287" s="2">
        <v>1</v>
      </c>
      <c r="AG287" s="20">
        <f t="shared" si="4"/>
        <v>100</v>
      </c>
    </row>
    <row r="288" spans="1:33" x14ac:dyDescent="0.25">
      <c r="A288">
        <v>287</v>
      </c>
      <c r="B288" s="2">
        <v>0</v>
      </c>
      <c r="C288" s="2">
        <v>48</v>
      </c>
      <c r="D288" s="2">
        <v>2</v>
      </c>
      <c r="E288" s="2">
        <v>0</v>
      </c>
      <c r="F288" s="2">
        <v>1</v>
      </c>
      <c r="G288" s="2">
        <v>0</v>
      </c>
      <c r="H288" s="2">
        <v>0</v>
      </c>
      <c r="I288" s="2">
        <v>0</v>
      </c>
      <c r="J288" s="2">
        <v>0</v>
      </c>
      <c r="K288" s="2">
        <v>4788</v>
      </c>
      <c r="L288" s="2">
        <v>0</v>
      </c>
      <c r="M288" s="2">
        <v>3</v>
      </c>
      <c r="N288" s="2">
        <v>4</v>
      </c>
      <c r="O288" s="2">
        <v>0</v>
      </c>
      <c r="P288" s="2">
        <v>1</v>
      </c>
      <c r="Q288" s="2">
        <v>0</v>
      </c>
      <c r="R288" s="2">
        <v>0</v>
      </c>
      <c r="S288" s="2">
        <v>0</v>
      </c>
      <c r="T288" s="2">
        <v>3</v>
      </c>
      <c r="U288" s="2">
        <v>0</v>
      </c>
      <c r="V288" s="2">
        <v>0</v>
      </c>
      <c r="W288" s="2">
        <v>26</v>
      </c>
      <c r="X288" s="2">
        <v>0</v>
      </c>
      <c r="Y288" s="2">
        <v>0</v>
      </c>
      <c r="Z288" s="2">
        <v>1</v>
      </c>
      <c r="AA288" s="2">
        <v>1</v>
      </c>
      <c r="AB288" s="2">
        <v>2</v>
      </c>
      <c r="AC288" s="2">
        <v>2</v>
      </c>
      <c r="AD288" s="2">
        <v>0</v>
      </c>
      <c r="AE288" s="2">
        <v>0</v>
      </c>
      <c r="AF288" s="2">
        <v>1</v>
      </c>
      <c r="AG288" s="20">
        <f t="shared" si="4"/>
        <v>100</v>
      </c>
    </row>
    <row r="289" spans="1:33" x14ac:dyDescent="0.25">
      <c r="A289">
        <v>288</v>
      </c>
      <c r="B289" s="2">
        <v>1</v>
      </c>
      <c r="C289" s="2">
        <v>48</v>
      </c>
      <c r="D289" s="2">
        <v>3</v>
      </c>
      <c r="E289" s="2">
        <v>0</v>
      </c>
      <c r="F289" s="2">
        <v>0</v>
      </c>
      <c r="G289" s="2">
        <v>0</v>
      </c>
      <c r="H289" s="2">
        <v>0</v>
      </c>
      <c r="I289" s="2">
        <v>0</v>
      </c>
      <c r="J289" s="2">
        <v>0</v>
      </c>
      <c r="K289" s="2">
        <v>7582</v>
      </c>
      <c r="L289" s="2">
        <v>1</v>
      </c>
      <c r="M289" s="2">
        <v>0</v>
      </c>
      <c r="N289" s="2">
        <v>2</v>
      </c>
      <c r="O289" s="2">
        <v>0</v>
      </c>
      <c r="P289" s="2">
        <v>1</v>
      </c>
      <c r="Q289" s="2">
        <v>0</v>
      </c>
      <c r="R289" s="2">
        <v>0</v>
      </c>
      <c r="S289" s="2">
        <v>0</v>
      </c>
      <c r="T289" s="2">
        <v>4</v>
      </c>
      <c r="U289" s="2">
        <v>0</v>
      </c>
      <c r="V289" s="2">
        <v>1</v>
      </c>
      <c r="W289" s="2">
        <v>31</v>
      </c>
      <c r="X289" s="2">
        <v>0</v>
      </c>
      <c r="Y289" s="2">
        <v>0</v>
      </c>
      <c r="Z289" s="2">
        <v>0</v>
      </c>
      <c r="AA289" s="2">
        <v>1</v>
      </c>
      <c r="AB289" s="2">
        <v>3</v>
      </c>
      <c r="AC289" s="2">
        <v>1</v>
      </c>
      <c r="AD289" s="2">
        <v>1</v>
      </c>
      <c r="AE289" s="2">
        <v>0</v>
      </c>
      <c r="AF289" s="2">
        <v>1</v>
      </c>
      <c r="AG289" s="20">
        <f t="shared" si="4"/>
        <v>100</v>
      </c>
    </row>
    <row r="290" spans="1:33" x14ac:dyDescent="0.25">
      <c r="A290">
        <v>289</v>
      </c>
      <c r="B290" s="2">
        <v>1</v>
      </c>
      <c r="C290" s="2">
        <v>12</v>
      </c>
      <c r="D290" s="2">
        <v>2</v>
      </c>
      <c r="E290" s="2">
        <v>0</v>
      </c>
      <c r="F290" s="2">
        <v>0</v>
      </c>
      <c r="G290" s="2">
        <v>0</v>
      </c>
      <c r="H290" s="2">
        <v>1</v>
      </c>
      <c r="I290" s="2">
        <v>0</v>
      </c>
      <c r="J290" s="2">
        <v>0</v>
      </c>
      <c r="K290" s="2">
        <v>1092</v>
      </c>
      <c r="L290" s="2">
        <v>0</v>
      </c>
      <c r="M290" s="2">
        <v>2</v>
      </c>
      <c r="N290" s="2">
        <v>4</v>
      </c>
      <c r="O290" s="2">
        <v>0</v>
      </c>
      <c r="P290" s="2">
        <v>0</v>
      </c>
      <c r="Q290" s="2">
        <v>0</v>
      </c>
      <c r="R290" s="2">
        <v>0</v>
      </c>
      <c r="S290" s="2">
        <v>1</v>
      </c>
      <c r="T290" s="2">
        <v>4</v>
      </c>
      <c r="U290" s="2">
        <v>1</v>
      </c>
      <c r="V290" s="2">
        <v>0</v>
      </c>
      <c r="W290" s="2">
        <v>49</v>
      </c>
      <c r="X290" s="2">
        <v>0</v>
      </c>
      <c r="Y290" s="2">
        <v>0</v>
      </c>
      <c r="Z290" s="2">
        <v>1</v>
      </c>
      <c r="AA290" s="2">
        <v>2</v>
      </c>
      <c r="AB290" s="2">
        <v>2</v>
      </c>
      <c r="AC290" s="2">
        <v>1</v>
      </c>
      <c r="AD290" s="2">
        <v>1</v>
      </c>
      <c r="AE290" s="2">
        <v>0</v>
      </c>
      <c r="AF290" s="2">
        <v>1</v>
      </c>
      <c r="AG290" s="20">
        <f t="shared" si="4"/>
        <v>100</v>
      </c>
    </row>
    <row r="291" spans="1:33" x14ac:dyDescent="0.25">
      <c r="A291">
        <v>290</v>
      </c>
      <c r="B291" s="2">
        <v>0</v>
      </c>
      <c r="C291" s="2">
        <v>24</v>
      </c>
      <c r="D291" s="2">
        <v>3</v>
      </c>
      <c r="E291" s="2">
        <v>0</v>
      </c>
      <c r="F291" s="2">
        <v>0</v>
      </c>
      <c r="G291" s="2">
        <v>0</v>
      </c>
      <c r="H291" s="2">
        <v>1</v>
      </c>
      <c r="I291" s="2">
        <v>0</v>
      </c>
      <c r="J291" s="2">
        <v>0</v>
      </c>
      <c r="K291" s="2">
        <v>1024</v>
      </c>
      <c r="L291" s="2">
        <v>0</v>
      </c>
      <c r="M291" s="2">
        <v>1</v>
      </c>
      <c r="N291" s="2">
        <v>4</v>
      </c>
      <c r="O291" s="2">
        <v>0</v>
      </c>
      <c r="P291" s="2">
        <v>0</v>
      </c>
      <c r="Q291" s="2">
        <v>1</v>
      </c>
      <c r="R291" s="2">
        <v>0</v>
      </c>
      <c r="S291" s="2">
        <v>0</v>
      </c>
      <c r="T291" s="2">
        <v>4</v>
      </c>
      <c r="U291" s="2">
        <v>1</v>
      </c>
      <c r="V291" s="2">
        <v>0</v>
      </c>
      <c r="W291" s="2">
        <v>48</v>
      </c>
      <c r="X291" s="2">
        <v>1</v>
      </c>
      <c r="Y291" s="2">
        <v>0</v>
      </c>
      <c r="Z291" s="2">
        <v>1</v>
      </c>
      <c r="AA291" s="2">
        <v>1</v>
      </c>
      <c r="AB291" s="2">
        <v>2</v>
      </c>
      <c r="AC291" s="2">
        <v>1</v>
      </c>
      <c r="AD291" s="2">
        <v>0</v>
      </c>
      <c r="AE291" s="2">
        <v>0</v>
      </c>
      <c r="AF291" s="2">
        <v>0</v>
      </c>
      <c r="AG291" s="20">
        <f t="shared" si="4"/>
        <v>-500</v>
      </c>
    </row>
    <row r="292" spans="1:33" x14ac:dyDescent="0.25">
      <c r="A292">
        <v>291</v>
      </c>
      <c r="B292" s="2">
        <v>3</v>
      </c>
      <c r="C292" s="2">
        <v>12</v>
      </c>
      <c r="D292" s="2">
        <v>2</v>
      </c>
      <c r="E292" s="2">
        <v>0</v>
      </c>
      <c r="F292" s="2">
        <v>0</v>
      </c>
      <c r="G292" s="2">
        <v>0</v>
      </c>
      <c r="H292" s="2">
        <v>0</v>
      </c>
      <c r="I292" s="2">
        <v>0</v>
      </c>
      <c r="J292" s="2">
        <v>1</v>
      </c>
      <c r="K292" s="2">
        <v>1076</v>
      </c>
      <c r="L292" s="2">
        <v>0</v>
      </c>
      <c r="M292" s="2">
        <v>2</v>
      </c>
      <c r="N292" s="2">
        <v>2</v>
      </c>
      <c r="O292" s="2">
        <v>0</v>
      </c>
      <c r="P292" s="2">
        <v>0</v>
      </c>
      <c r="Q292" s="2">
        <v>1</v>
      </c>
      <c r="R292" s="2">
        <v>0</v>
      </c>
      <c r="S292" s="2">
        <v>0</v>
      </c>
      <c r="T292" s="2">
        <v>2</v>
      </c>
      <c r="U292" s="2">
        <v>1</v>
      </c>
      <c r="V292" s="2">
        <v>0</v>
      </c>
      <c r="W292" s="2">
        <v>26</v>
      </c>
      <c r="X292" s="2">
        <v>0</v>
      </c>
      <c r="Y292" s="2">
        <v>0</v>
      </c>
      <c r="Z292" s="2">
        <v>1</v>
      </c>
      <c r="AA292" s="2">
        <v>1</v>
      </c>
      <c r="AB292" s="2">
        <v>2</v>
      </c>
      <c r="AC292" s="2">
        <v>1</v>
      </c>
      <c r="AD292" s="2">
        <v>1</v>
      </c>
      <c r="AE292" s="2">
        <v>1</v>
      </c>
      <c r="AF292" s="2">
        <v>1</v>
      </c>
      <c r="AG292" s="20">
        <f t="shared" si="4"/>
        <v>100</v>
      </c>
    </row>
    <row r="293" spans="1:33" x14ac:dyDescent="0.25">
      <c r="A293">
        <v>292</v>
      </c>
      <c r="B293" s="2">
        <v>1</v>
      </c>
      <c r="C293" s="2">
        <v>36</v>
      </c>
      <c r="D293" s="2">
        <v>2</v>
      </c>
      <c r="E293" s="2">
        <v>0</v>
      </c>
      <c r="F293" s="2">
        <v>1</v>
      </c>
      <c r="G293" s="2">
        <v>0</v>
      </c>
      <c r="H293" s="2">
        <v>0</v>
      </c>
      <c r="I293" s="2">
        <v>0</v>
      </c>
      <c r="J293" s="2">
        <v>0</v>
      </c>
      <c r="K293" s="2">
        <v>9398</v>
      </c>
      <c r="L293" s="2">
        <v>0</v>
      </c>
      <c r="M293" s="2">
        <v>1</v>
      </c>
      <c r="N293" s="2">
        <v>1</v>
      </c>
      <c r="O293" s="2">
        <v>0</v>
      </c>
      <c r="P293" s="2">
        <v>0</v>
      </c>
      <c r="Q293" s="2">
        <v>1</v>
      </c>
      <c r="R293" s="2">
        <v>0</v>
      </c>
      <c r="S293" s="2">
        <v>0</v>
      </c>
      <c r="T293" s="2">
        <v>4</v>
      </c>
      <c r="U293" s="2">
        <v>0</v>
      </c>
      <c r="V293" s="2">
        <v>0</v>
      </c>
      <c r="W293" s="2">
        <v>28</v>
      </c>
      <c r="X293" s="2">
        <v>0</v>
      </c>
      <c r="Y293" s="2">
        <v>1</v>
      </c>
      <c r="Z293" s="2">
        <v>0</v>
      </c>
      <c r="AA293" s="2">
        <v>1</v>
      </c>
      <c r="AB293" s="2">
        <v>3</v>
      </c>
      <c r="AC293" s="2">
        <v>1</v>
      </c>
      <c r="AD293" s="2">
        <v>1</v>
      </c>
      <c r="AE293" s="2">
        <v>0</v>
      </c>
      <c r="AF293" s="2">
        <v>0</v>
      </c>
      <c r="AG293" s="20">
        <f t="shared" si="4"/>
        <v>-500</v>
      </c>
    </row>
    <row r="294" spans="1:33" x14ac:dyDescent="0.25">
      <c r="A294">
        <v>293</v>
      </c>
      <c r="B294" s="2">
        <v>0</v>
      </c>
      <c r="C294" s="2">
        <v>24</v>
      </c>
      <c r="D294" s="2">
        <v>4</v>
      </c>
      <c r="E294" s="2">
        <v>0</v>
      </c>
      <c r="F294" s="2">
        <v>1</v>
      </c>
      <c r="G294" s="2">
        <v>0</v>
      </c>
      <c r="H294" s="2">
        <v>0</v>
      </c>
      <c r="I294" s="2">
        <v>0</v>
      </c>
      <c r="J294" s="2">
        <v>0</v>
      </c>
      <c r="K294" s="2">
        <v>6419</v>
      </c>
      <c r="L294" s="2">
        <v>0</v>
      </c>
      <c r="M294" s="2">
        <v>4</v>
      </c>
      <c r="N294" s="2">
        <v>2</v>
      </c>
      <c r="O294" s="2">
        <v>0</v>
      </c>
      <c r="P294" s="2">
        <v>0</v>
      </c>
      <c r="Q294" s="2">
        <v>0</v>
      </c>
      <c r="R294" s="2">
        <v>0</v>
      </c>
      <c r="S294" s="2">
        <v>0</v>
      </c>
      <c r="T294" s="2">
        <v>4</v>
      </c>
      <c r="U294" s="2">
        <v>0</v>
      </c>
      <c r="V294" s="2">
        <v>1</v>
      </c>
      <c r="W294" s="2">
        <v>44</v>
      </c>
      <c r="X294" s="2">
        <v>0</v>
      </c>
      <c r="Y294" s="2">
        <v>0</v>
      </c>
      <c r="Z294" s="2">
        <v>0</v>
      </c>
      <c r="AA294" s="2">
        <v>2</v>
      </c>
      <c r="AB294" s="2">
        <v>3</v>
      </c>
      <c r="AC294" s="2">
        <v>2</v>
      </c>
      <c r="AD294" s="2">
        <v>1</v>
      </c>
      <c r="AE294" s="2">
        <v>0</v>
      </c>
      <c r="AF294" s="2">
        <v>1</v>
      </c>
      <c r="AG294" s="20">
        <f t="shared" si="4"/>
        <v>100</v>
      </c>
    </row>
    <row r="295" spans="1:33" x14ac:dyDescent="0.25">
      <c r="A295">
        <v>294</v>
      </c>
      <c r="B295" s="2">
        <v>2</v>
      </c>
      <c r="C295" s="2">
        <v>42</v>
      </c>
      <c r="D295" s="2">
        <v>4</v>
      </c>
      <c r="E295" s="2">
        <v>0</v>
      </c>
      <c r="F295" s="2">
        <v>1</v>
      </c>
      <c r="G295" s="2">
        <v>0</v>
      </c>
      <c r="H295" s="2">
        <v>0</v>
      </c>
      <c r="I295" s="2">
        <v>0</v>
      </c>
      <c r="J295" s="2">
        <v>0</v>
      </c>
      <c r="K295" s="2">
        <v>4796</v>
      </c>
      <c r="L295" s="2">
        <v>0</v>
      </c>
      <c r="M295" s="2">
        <v>4</v>
      </c>
      <c r="N295" s="2">
        <v>4</v>
      </c>
      <c r="O295" s="2">
        <v>0</v>
      </c>
      <c r="P295" s="2">
        <v>1</v>
      </c>
      <c r="Q295" s="2">
        <v>0</v>
      </c>
      <c r="R295" s="2">
        <v>0</v>
      </c>
      <c r="S295" s="2">
        <v>0</v>
      </c>
      <c r="T295" s="2">
        <v>4</v>
      </c>
      <c r="U295" s="2">
        <v>0</v>
      </c>
      <c r="V295" s="2">
        <v>1</v>
      </c>
      <c r="W295" s="2">
        <v>56</v>
      </c>
      <c r="X295" s="2">
        <v>0</v>
      </c>
      <c r="Y295" s="2">
        <v>0</v>
      </c>
      <c r="Z295" s="2">
        <v>0</v>
      </c>
      <c r="AA295" s="2">
        <v>1</v>
      </c>
      <c r="AB295" s="2">
        <v>2</v>
      </c>
      <c r="AC295" s="2">
        <v>1</v>
      </c>
      <c r="AD295" s="2">
        <v>0</v>
      </c>
      <c r="AE295" s="2">
        <v>0</v>
      </c>
      <c r="AF295" s="2">
        <v>1</v>
      </c>
      <c r="AG295" s="20">
        <f t="shared" si="4"/>
        <v>100</v>
      </c>
    </row>
    <row r="296" spans="1:33" x14ac:dyDescent="0.25">
      <c r="A296">
        <v>295</v>
      </c>
      <c r="B296" s="2">
        <v>3</v>
      </c>
      <c r="C296" s="2">
        <v>48</v>
      </c>
      <c r="D296" s="2">
        <v>4</v>
      </c>
      <c r="E296" s="2">
        <v>0</v>
      </c>
      <c r="F296" s="2">
        <v>0</v>
      </c>
      <c r="G296" s="2">
        <v>0</v>
      </c>
      <c r="H296" s="2">
        <v>0</v>
      </c>
      <c r="I296" s="2">
        <v>0</v>
      </c>
      <c r="J296" s="2">
        <v>1</v>
      </c>
      <c r="K296" s="2">
        <v>7629</v>
      </c>
      <c r="L296" s="2">
        <v>4</v>
      </c>
      <c r="M296" s="2">
        <v>4</v>
      </c>
      <c r="N296" s="2">
        <v>4</v>
      </c>
      <c r="O296" s="2">
        <v>1</v>
      </c>
      <c r="P296" s="2">
        <v>0</v>
      </c>
      <c r="Q296" s="2">
        <v>0</v>
      </c>
      <c r="R296" s="2">
        <v>0</v>
      </c>
      <c r="S296" s="2">
        <v>0</v>
      </c>
      <c r="T296" s="2">
        <v>2</v>
      </c>
      <c r="U296" s="2">
        <v>0</v>
      </c>
      <c r="V296" s="2">
        <v>0</v>
      </c>
      <c r="W296" s="2">
        <v>46</v>
      </c>
      <c r="X296" s="2">
        <v>1</v>
      </c>
      <c r="Y296" s="2">
        <v>0</v>
      </c>
      <c r="Z296" s="2">
        <v>1</v>
      </c>
      <c r="AA296" s="2">
        <v>2</v>
      </c>
      <c r="AB296" s="2">
        <v>3</v>
      </c>
      <c r="AC296" s="2">
        <v>2</v>
      </c>
      <c r="AD296" s="2">
        <v>0</v>
      </c>
      <c r="AE296" s="2">
        <v>0</v>
      </c>
      <c r="AF296" s="2">
        <v>1</v>
      </c>
      <c r="AG296" s="20">
        <f t="shared" si="4"/>
        <v>100</v>
      </c>
    </row>
    <row r="297" spans="1:33" x14ac:dyDescent="0.25">
      <c r="A297">
        <v>296</v>
      </c>
      <c r="B297" s="2">
        <v>1</v>
      </c>
      <c r="C297" s="2">
        <v>48</v>
      </c>
      <c r="D297" s="2">
        <v>2</v>
      </c>
      <c r="E297" s="2">
        <v>0</v>
      </c>
      <c r="F297" s="2">
        <v>0</v>
      </c>
      <c r="G297" s="2">
        <v>1</v>
      </c>
      <c r="H297" s="2">
        <v>0</v>
      </c>
      <c r="I297" s="2">
        <v>0</v>
      </c>
      <c r="J297" s="2">
        <v>0</v>
      </c>
      <c r="K297" s="2">
        <v>9960</v>
      </c>
      <c r="L297" s="2">
        <v>0</v>
      </c>
      <c r="M297" s="2">
        <v>1</v>
      </c>
      <c r="N297" s="2">
        <v>1</v>
      </c>
      <c r="O297" s="2">
        <v>0</v>
      </c>
      <c r="P297" s="2">
        <v>0</v>
      </c>
      <c r="Q297" s="2">
        <v>0</v>
      </c>
      <c r="R297" s="2">
        <v>0</v>
      </c>
      <c r="S297" s="2">
        <v>0</v>
      </c>
      <c r="T297" s="2">
        <v>2</v>
      </c>
      <c r="U297" s="2">
        <v>0</v>
      </c>
      <c r="V297" s="2">
        <v>0</v>
      </c>
      <c r="W297" s="2">
        <v>26</v>
      </c>
      <c r="X297" s="2">
        <v>0</v>
      </c>
      <c r="Y297" s="2">
        <v>0</v>
      </c>
      <c r="Z297" s="2">
        <v>1</v>
      </c>
      <c r="AA297" s="2">
        <v>1</v>
      </c>
      <c r="AB297" s="2">
        <v>2</v>
      </c>
      <c r="AC297" s="2">
        <v>1</v>
      </c>
      <c r="AD297" s="2">
        <v>1</v>
      </c>
      <c r="AE297" s="2">
        <v>0</v>
      </c>
      <c r="AF297" s="2">
        <v>0</v>
      </c>
      <c r="AG297" s="20">
        <f t="shared" si="4"/>
        <v>-500</v>
      </c>
    </row>
    <row r="298" spans="1:33" x14ac:dyDescent="0.25">
      <c r="A298">
        <v>297</v>
      </c>
      <c r="B298" s="2">
        <v>3</v>
      </c>
      <c r="C298" s="2">
        <v>12</v>
      </c>
      <c r="D298" s="2">
        <v>2</v>
      </c>
      <c r="E298" s="2">
        <v>0</v>
      </c>
      <c r="F298" s="2">
        <v>1</v>
      </c>
      <c r="G298" s="2">
        <v>0</v>
      </c>
      <c r="H298" s="2">
        <v>0</v>
      </c>
      <c r="I298" s="2">
        <v>0</v>
      </c>
      <c r="J298" s="2">
        <v>0</v>
      </c>
      <c r="K298" s="2">
        <v>4675</v>
      </c>
      <c r="L298" s="2">
        <v>4</v>
      </c>
      <c r="M298" s="2">
        <v>1</v>
      </c>
      <c r="N298" s="2">
        <v>1</v>
      </c>
      <c r="O298" s="2">
        <v>0</v>
      </c>
      <c r="P298" s="2">
        <v>0</v>
      </c>
      <c r="Q298" s="2">
        <v>0</v>
      </c>
      <c r="R298" s="2">
        <v>0</v>
      </c>
      <c r="S298" s="2">
        <v>0</v>
      </c>
      <c r="T298" s="2">
        <v>4</v>
      </c>
      <c r="U298" s="2">
        <v>0</v>
      </c>
      <c r="V298" s="2">
        <v>0</v>
      </c>
      <c r="W298" s="2">
        <v>20</v>
      </c>
      <c r="X298" s="2">
        <v>0</v>
      </c>
      <c r="Y298" s="2">
        <v>1</v>
      </c>
      <c r="Z298" s="2">
        <v>0</v>
      </c>
      <c r="AA298" s="2">
        <v>1</v>
      </c>
      <c r="AB298" s="2">
        <v>2</v>
      </c>
      <c r="AC298" s="2">
        <v>1</v>
      </c>
      <c r="AD298" s="2">
        <v>0</v>
      </c>
      <c r="AE298" s="2">
        <v>0</v>
      </c>
      <c r="AF298" s="2">
        <v>1</v>
      </c>
      <c r="AG298" s="20">
        <f t="shared" si="4"/>
        <v>100</v>
      </c>
    </row>
    <row r="299" spans="1:33" x14ac:dyDescent="0.25">
      <c r="A299">
        <v>298</v>
      </c>
      <c r="B299" s="2">
        <v>3</v>
      </c>
      <c r="C299" s="2">
        <v>10</v>
      </c>
      <c r="D299" s="2">
        <v>2</v>
      </c>
      <c r="E299" s="2">
        <v>1</v>
      </c>
      <c r="F299" s="2">
        <v>0</v>
      </c>
      <c r="G299" s="2">
        <v>0</v>
      </c>
      <c r="H299" s="2">
        <v>0</v>
      </c>
      <c r="I299" s="2">
        <v>0</v>
      </c>
      <c r="J299" s="2">
        <v>0</v>
      </c>
      <c r="K299" s="2">
        <v>1287</v>
      </c>
      <c r="L299" s="2">
        <v>4</v>
      </c>
      <c r="M299" s="2">
        <v>4</v>
      </c>
      <c r="N299" s="2">
        <v>4</v>
      </c>
      <c r="O299" s="2">
        <v>0</v>
      </c>
      <c r="P299" s="2">
        <v>1</v>
      </c>
      <c r="Q299" s="2">
        <v>0</v>
      </c>
      <c r="R299" s="2">
        <v>1</v>
      </c>
      <c r="S299" s="2">
        <v>0</v>
      </c>
      <c r="T299" s="2">
        <v>2</v>
      </c>
      <c r="U299" s="2">
        <v>0</v>
      </c>
      <c r="V299" s="2">
        <v>0</v>
      </c>
      <c r="W299" s="2">
        <v>45</v>
      </c>
      <c r="X299" s="2">
        <v>0</v>
      </c>
      <c r="Y299" s="2">
        <v>0</v>
      </c>
      <c r="Z299" s="2">
        <v>1</v>
      </c>
      <c r="AA299" s="2">
        <v>1</v>
      </c>
      <c r="AB299" s="2">
        <v>1</v>
      </c>
      <c r="AC299" s="2">
        <v>1</v>
      </c>
      <c r="AD299" s="2">
        <v>0</v>
      </c>
      <c r="AE299" s="2">
        <v>1</v>
      </c>
      <c r="AF299" s="2">
        <v>1</v>
      </c>
      <c r="AG299" s="20">
        <f t="shared" si="4"/>
        <v>100</v>
      </c>
    </row>
    <row r="300" spans="1:33" x14ac:dyDescent="0.25">
      <c r="A300">
        <v>299</v>
      </c>
      <c r="B300" s="2">
        <v>3</v>
      </c>
      <c r="C300" s="2">
        <v>18</v>
      </c>
      <c r="D300" s="2">
        <v>2</v>
      </c>
      <c r="E300" s="2">
        <v>0</v>
      </c>
      <c r="F300" s="2">
        <v>0</v>
      </c>
      <c r="G300" s="2">
        <v>1</v>
      </c>
      <c r="H300" s="2">
        <v>0</v>
      </c>
      <c r="I300" s="2">
        <v>0</v>
      </c>
      <c r="J300" s="2">
        <v>0</v>
      </c>
      <c r="K300" s="2">
        <v>2515</v>
      </c>
      <c r="L300" s="2">
        <v>0</v>
      </c>
      <c r="M300" s="2">
        <v>2</v>
      </c>
      <c r="N300" s="2">
        <v>3</v>
      </c>
      <c r="O300" s="2">
        <v>0</v>
      </c>
      <c r="P300" s="2">
        <v>1</v>
      </c>
      <c r="Q300" s="2">
        <v>0</v>
      </c>
      <c r="R300" s="2">
        <v>0</v>
      </c>
      <c r="S300" s="2">
        <v>0</v>
      </c>
      <c r="T300" s="2">
        <v>4</v>
      </c>
      <c r="U300" s="2">
        <v>1</v>
      </c>
      <c r="V300" s="2">
        <v>0</v>
      </c>
      <c r="W300" s="2">
        <v>43</v>
      </c>
      <c r="X300" s="2">
        <v>0</v>
      </c>
      <c r="Y300" s="2">
        <v>0</v>
      </c>
      <c r="Z300" s="2">
        <v>1</v>
      </c>
      <c r="AA300" s="2">
        <v>1</v>
      </c>
      <c r="AB300" s="2">
        <v>2</v>
      </c>
      <c r="AC300" s="2">
        <v>1</v>
      </c>
      <c r="AD300" s="2">
        <v>1</v>
      </c>
      <c r="AE300" s="2">
        <v>0</v>
      </c>
      <c r="AF300" s="2">
        <v>1</v>
      </c>
      <c r="AG300" s="20">
        <f t="shared" si="4"/>
        <v>100</v>
      </c>
    </row>
    <row r="301" spans="1:33" x14ac:dyDescent="0.25">
      <c r="A301">
        <v>300</v>
      </c>
      <c r="B301" s="2">
        <v>1</v>
      </c>
      <c r="C301" s="2">
        <v>21</v>
      </c>
      <c r="D301" s="2">
        <v>4</v>
      </c>
      <c r="E301" s="2">
        <v>0</v>
      </c>
      <c r="F301" s="2">
        <v>0</v>
      </c>
      <c r="G301" s="2">
        <v>1</v>
      </c>
      <c r="H301" s="2">
        <v>0</v>
      </c>
      <c r="I301" s="2">
        <v>0</v>
      </c>
      <c r="J301" s="2">
        <v>0</v>
      </c>
      <c r="K301" s="2">
        <v>2745</v>
      </c>
      <c r="L301" s="2">
        <v>3</v>
      </c>
      <c r="M301" s="2">
        <v>3</v>
      </c>
      <c r="N301" s="2">
        <v>3</v>
      </c>
      <c r="O301" s="2">
        <v>0</v>
      </c>
      <c r="P301" s="2">
        <v>1</v>
      </c>
      <c r="Q301" s="2">
        <v>0</v>
      </c>
      <c r="R301" s="2">
        <v>0</v>
      </c>
      <c r="S301" s="2">
        <v>0</v>
      </c>
      <c r="T301" s="2">
        <v>2</v>
      </c>
      <c r="U301" s="2">
        <v>0</v>
      </c>
      <c r="V301" s="2">
        <v>0</v>
      </c>
      <c r="W301" s="2">
        <v>32</v>
      </c>
      <c r="X301" s="2">
        <v>0</v>
      </c>
      <c r="Y301" s="2">
        <v>0</v>
      </c>
      <c r="Z301" s="2">
        <v>1</v>
      </c>
      <c r="AA301" s="2">
        <v>2</v>
      </c>
      <c r="AB301" s="2">
        <v>2</v>
      </c>
      <c r="AC301" s="2">
        <v>1</v>
      </c>
      <c r="AD301" s="2">
        <v>1</v>
      </c>
      <c r="AE301" s="2">
        <v>0</v>
      </c>
      <c r="AF301" s="2">
        <v>1</v>
      </c>
      <c r="AG301" s="20">
        <f t="shared" si="4"/>
        <v>100</v>
      </c>
    </row>
    <row r="302" spans="1:33" x14ac:dyDescent="0.25">
      <c r="A302">
        <v>301</v>
      </c>
      <c r="B302" s="2">
        <v>3</v>
      </c>
      <c r="C302" s="2">
        <v>6</v>
      </c>
      <c r="D302" s="2">
        <v>2</v>
      </c>
      <c r="E302" s="2">
        <v>1</v>
      </c>
      <c r="F302" s="2">
        <v>0</v>
      </c>
      <c r="G302" s="2">
        <v>0</v>
      </c>
      <c r="H302" s="2">
        <v>0</v>
      </c>
      <c r="I302" s="2">
        <v>0</v>
      </c>
      <c r="J302" s="2">
        <v>0</v>
      </c>
      <c r="K302" s="2">
        <v>672</v>
      </c>
      <c r="L302" s="2">
        <v>0</v>
      </c>
      <c r="M302" s="2">
        <v>0</v>
      </c>
      <c r="N302" s="2">
        <v>1</v>
      </c>
      <c r="O302" s="2">
        <v>0</v>
      </c>
      <c r="P302" s="2">
        <v>0</v>
      </c>
      <c r="Q302" s="2">
        <v>0</v>
      </c>
      <c r="R302" s="2">
        <v>0</v>
      </c>
      <c r="S302" s="2">
        <v>0</v>
      </c>
      <c r="T302" s="2">
        <v>4</v>
      </c>
      <c r="U302" s="2">
        <v>1</v>
      </c>
      <c r="V302" s="2">
        <v>0</v>
      </c>
      <c r="W302" s="2">
        <v>54</v>
      </c>
      <c r="X302" s="2">
        <v>0</v>
      </c>
      <c r="Y302" s="2">
        <v>0</v>
      </c>
      <c r="Z302" s="2">
        <v>1</v>
      </c>
      <c r="AA302" s="2">
        <v>1</v>
      </c>
      <c r="AB302" s="2">
        <v>0</v>
      </c>
      <c r="AC302" s="2">
        <v>1</v>
      </c>
      <c r="AD302" s="2">
        <v>1</v>
      </c>
      <c r="AE302" s="2">
        <v>0</v>
      </c>
      <c r="AF302" s="2">
        <v>1</v>
      </c>
      <c r="AG302" s="20">
        <f t="shared" si="4"/>
        <v>100</v>
      </c>
    </row>
    <row r="303" spans="1:33" x14ac:dyDescent="0.25">
      <c r="A303">
        <v>302</v>
      </c>
      <c r="B303" s="2">
        <v>1</v>
      </c>
      <c r="C303" s="2">
        <v>36</v>
      </c>
      <c r="D303" s="2">
        <v>0</v>
      </c>
      <c r="E303" s="2">
        <v>0</v>
      </c>
      <c r="F303" s="2">
        <v>0</v>
      </c>
      <c r="G303" s="2">
        <v>0</v>
      </c>
      <c r="H303" s="2">
        <v>1</v>
      </c>
      <c r="I303" s="2">
        <v>0</v>
      </c>
      <c r="J303" s="2">
        <v>0</v>
      </c>
      <c r="K303" s="2">
        <v>3804</v>
      </c>
      <c r="L303" s="2">
        <v>0</v>
      </c>
      <c r="M303" s="2">
        <v>2</v>
      </c>
      <c r="N303" s="2">
        <v>4</v>
      </c>
      <c r="O303" s="2">
        <v>0</v>
      </c>
      <c r="P303" s="2">
        <v>0</v>
      </c>
      <c r="Q303" s="2">
        <v>0</v>
      </c>
      <c r="R303" s="2">
        <v>0</v>
      </c>
      <c r="S303" s="2">
        <v>0</v>
      </c>
      <c r="T303" s="2">
        <v>1</v>
      </c>
      <c r="U303" s="2">
        <v>0</v>
      </c>
      <c r="V303" s="2">
        <v>0</v>
      </c>
      <c r="W303" s="2">
        <v>42</v>
      </c>
      <c r="X303" s="2">
        <v>0</v>
      </c>
      <c r="Y303" s="2">
        <v>0</v>
      </c>
      <c r="Z303" s="2">
        <v>1</v>
      </c>
      <c r="AA303" s="2">
        <v>1</v>
      </c>
      <c r="AB303" s="2">
        <v>2</v>
      </c>
      <c r="AC303" s="2">
        <v>1</v>
      </c>
      <c r="AD303" s="2">
        <v>1</v>
      </c>
      <c r="AE303" s="2">
        <v>0</v>
      </c>
      <c r="AF303" s="2">
        <v>0</v>
      </c>
      <c r="AG303" s="20">
        <f t="shared" si="4"/>
        <v>-500</v>
      </c>
    </row>
    <row r="304" spans="1:33" x14ac:dyDescent="0.25">
      <c r="A304">
        <v>303</v>
      </c>
      <c r="B304" s="2">
        <v>2</v>
      </c>
      <c r="C304" s="2">
        <v>24</v>
      </c>
      <c r="D304" s="2">
        <v>4</v>
      </c>
      <c r="E304" s="2">
        <v>1</v>
      </c>
      <c r="F304" s="2">
        <v>0</v>
      </c>
      <c r="G304" s="2">
        <v>0</v>
      </c>
      <c r="H304" s="2">
        <v>0</v>
      </c>
      <c r="I304" s="2">
        <v>0</v>
      </c>
      <c r="J304" s="2">
        <v>0</v>
      </c>
      <c r="K304" s="2">
        <v>1344</v>
      </c>
      <c r="L304" s="2">
        <v>4</v>
      </c>
      <c r="M304" s="2">
        <v>3</v>
      </c>
      <c r="N304" s="2">
        <v>4</v>
      </c>
      <c r="O304" s="2">
        <v>0</v>
      </c>
      <c r="P304" s="2">
        <v>1</v>
      </c>
      <c r="Q304" s="2">
        <v>0</v>
      </c>
      <c r="R304" s="2">
        <v>0</v>
      </c>
      <c r="S304" s="2">
        <v>0</v>
      </c>
      <c r="T304" s="2">
        <v>2</v>
      </c>
      <c r="U304" s="2">
        <v>1</v>
      </c>
      <c r="V304" s="2">
        <v>0</v>
      </c>
      <c r="W304" s="2">
        <v>37</v>
      </c>
      <c r="X304" s="2">
        <v>1</v>
      </c>
      <c r="Y304" s="2">
        <v>0</v>
      </c>
      <c r="Z304" s="2">
        <v>1</v>
      </c>
      <c r="AA304" s="2">
        <v>2</v>
      </c>
      <c r="AB304" s="2">
        <v>1</v>
      </c>
      <c r="AC304" s="2">
        <v>2</v>
      </c>
      <c r="AD304" s="2">
        <v>0</v>
      </c>
      <c r="AE304" s="2">
        <v>0</v>
      </c>
      <c r="AF304" s="2">
        <v>0</v>
      </c>
      <c r="AG304" s="20">
        <f t="shared" si="4"/>
        <v>-500</v>
      </c>
    </row>
    <row r="305" spans="1:33" x14ac:dyDescent="0.25">
      <c r="A305">
        <v>304</v>
      </c>
      <c r="B305" s="2">
        <v>0</v>
      </c>
      <c r="C305" s="2">
        <v>10</v>
      </c>
      <c r="D305" s="2">
        <v>4</v>
      </c>
      <c r="E305" s="2">
        <v>1</v>
      </c>
      <c r="F305" s="2">
        <v>0</v>
      </c>
      <c r="G305" s="2">
        <v>0</v>
      </c>
      <c r="H305" s="2">
        <v>0</v>
      </c>
      <c r="I305" s="2">
        <v>0</v>
      </c>
      <c r="J305" s="2">
        <v>0</v>
      </c>
      <c r="K305" s="2">
        <v>1038</v>
      </c>
      <c r="L305" s="2">
        <v>0</v>
      </c>
      <c r="M305" s="2">
        <v>3</v>
      </c>
      <c r="N305" s="2">
        <v>4</v>
      </c>
      <c r="O305" s="2">
        <v>0</v>
      </c>
      <c r="P305" s="2">
        <v>1</v>
      </c>
      <c r="Q305" s="2">
        <v>0</v>
      </c>
      <c r="R305" s="2">
        <v>1</v>
      </c>
      <c r="S305" s="2">
        <v>0</v>
      </c>
      <c r="T305" s="2">
        <v>3</v>
      </c>
      <c r="U305" s="2">
        <v>0</v>
      </c>
      <c r="V305" s="2">
        <v>0</v>
      </c>
      <c r="W305" s="2">
        <v>49</v>
      </c>
      <c r="X305" s="2">
        <v>0</v>
      </c>
      <c r="Y305" s="2">
        <v>0</v>
      </c>
      <c r="Z305" s="2">
        <v>1</v>
      </c>
      <c r="AA305" s="2">
        <v>2</v>
      </c>
      <c r="AB305" s="2">
        <v>2</v>
      </c>
      <c r="AC305" s="2">
        <v>1</v>
      </c>
      <c r="AD305" s="2">
        <v>1</v>
      </c>
      <c r="AE305" s="2">
        <v>0</v>
      </c>
      <c r="AF305" s="2">
        <v>1</v>
      </c>
      <c r="AG305" s="20">
        <f t="shared" si="4"/>
        <v>100</v>
      </c>
    </row>
    <row r="306" spans="1:33" x14ac:dyDescent="0.25">
      <c r="A306">
        <v>305</v>
      </c>
      <c r="B306" s="2">
        <v>3</v>
      </c>
      <c r="C306" s="2">
        <v>48</v>
      </c>
      <c r="D306" s="2">
        <v>4</v>
      </c>
      <c r="E306" s="2">
        <v>1</v>
      </c>
      <c r="F306" s="2">
        <v>0</v>
      </c>
      <c r="G306" s="2">
        <v>0</v>
      </c>
      <c r="H306" s="2">
        <v>0</v>
      </c>
      <c r="I306" s="2">
        <v>0</v>
      </c>
      <c r="J306" s="2">
        <v>0</v>
      </c>
      <c r="K306" s="2">
        <v>10127</v>
      </c>
      <c r="L306" s="2">
        <v>2</v>
      </c>
      <c r="M306" s="2">
        <v>2</v>
      </c>
      <c r="N306" s="2">
        <v>2</v>
      </c>
      <c r="O306" s="2">
        <v>0</v>
      </c>
      <c r="P306" s="2">
        <v>1</v>
      </c>
      <c r="Q306" s="2">
        <v>0</v>
      </c>
      <c r="R306" s="2">
        <v>0</v>
      </c>
      <c r="S306" s="2">
        <v>0</v>
      </c>
      <c r="T306" s="2">
        <v>2</v>
      </c>
      <c r="U306" s="2">
        <v>0</v>
      </c>
      <c r="V306" s="2">
        <v>1</v>
      </c>
      <c r="W306" s="2">
        <v>44</v>
      </c>
      <c r="X306" s="2">
        <v>1</v>
      </c>
      <c r="Y306" s="2">
        <v>0</v>
      </c>
      <c r="Z306" s="2">
        <v>0</v>
      </c>
      <c r="AA306" s="2">
        <v>1</v>
      </c>
      <c r="AB306" s="2">
        <v>2</v>
      </c>
      <c r="AC306" s="2">
        <v>1</v>
      </c>
      <c r="AD306" s="2">
        <v>0</v>
      </c>
      <c r="AE306" s="2">
        <v>0</v>
      </c>
      <c r="AF306" s="2">
        <v>0</v>
      </c>
      <c r="AG306" s="20">
        <f t="shared" si="4"/>
        <v>-500</v>
      </c>
    </row>
    <row r="307" spans="1:33" x14ac:dyDescent="0.25">
      <c r="A307">
        <v>306</v>
      </c>
      <c r="B307" s="2">
        <v>3</v>
      </c>
      <c r="C307" s="2">
        <v>6</v>
      </c>
      <c r="D307" s="2">
        <v>2</v>
      </c>
      <c r="E307" s="2">
        <v>0</v>
      </c>
      <c r="F307" s="2">
        <v>0</v>
      </c>
      <c r="G307" s="2">
        <v>1</v>
      </c>
      <c r="H307" s="2">
        <v>0</v>
      </c>
      <c r="I307" s="2">
        <v>0</v>
      </c>
      <c r="J307" s="2">
        <v>0</v>
      </c>
      <c r="K307" s="2">
        <v>1543</v>
      </c>
      <c r="L307" s="2">
        <v>3</v>
      </c>
      <c r="M307" s="2">
        <v>2</v>
      </c>
      <c r="N307" s="2">
        <v>4</v>
      </c>
      <c r="O307" s="2">
        <v>1</v>
      </c>
      <c r="P307" s="2">
        <v>0</v>
      </c>
      <c r="Q307" s="2">
        <v>0</v>
      </c>
      <c r="R307" s="2">
        <v>0</v>
      </c>
      <c r="S307" s="2">
        <v>0</v>
      </c>
      <c r="T307" s="2">
        <v>2</v>
      </c>
      <c r="U307" s="2">
        <v>1</v>
      </c>
      <c r="V307" s="2">
        <v>0</v>
      </c>
      <c r="W307" s="2">
        <v>33</v>
      </c>
      <c r="X307" s="2">
        <v>0</v>
      </c>
      <c r="Y307" s="2">
        <v>0</v>
      </c>
      <c r="Z307" s="2">
        <v>1</v>
      </c>
      <c r="AA307" s="2">
        <v>1</v>
      </c>
      <c r="AB307" s="2">
        <v>2</v>
      </c>
      <c r="AC307" s="2">
        <v>1</v>
      </c>
      <c r="AD307" s="2">
        <v>0</v>
      </c>
      <c r="AE307" s="2">
        <v>0</v>
      </c>
      <c r="AF307" s="2">
        <v>1</v>
      </c>
      <c r="AG307" s="20">
        <f t="shared" si="4"/>
        <v>100</v>
      </c>
    </row>
    <row r="308" spans="1:33" x14ac:dyDescent="0.25">
      <c r="A308">
        <v>307</v>
      </c>
      <c r="B308" s="2">
        <v>3</v>
      </c>
      <c r="C308" s="2">
        <v>30</v>
      </c>
      <c r="D308" s="2">
        <v>2</v>
      </c>
      <c r="E308" s="2">
        <v>0</v>
      </c>
      <c r="F308" s="2">
        <v>1</v>
      </c>
      <c r="G308" s="2">
        <v>0</v>
      </c>
      <c r="H308" s="2">
        <v>0</v>
      </c>
      <c r="I308" s="2">
        <v>0</v>
      </c>
      <c r="J308" s="2">
        <v>0</v>
      </c>
      <c r="K308" s="2">
        <v>4811</v>
      </c>
      <c r="L308" s="2">
        <v>4</v>
      </c>
      <c r="M308" s="2">
        <v>3</v>
      </c>
      <c r="N308" s="2">
        <v>2</v>
      </c>
      <c r="O308" s="2">
        <v>0</v>
      </c>
      <c r="P308" s="2">
        <v>0</v>
      </c>
      <c r="Q308" s="2">
        <v>0</v>
      </c>
      <c r="R308" s="2">
        <v>0</v>
      </c>
      <c r="S308" s="2">
        <v>0</v>
      </c>
      <c r="T308" s="2">
        <v>4</v>
      </c>
      <c r="U308" s="2">
        <v>0</v>
      </c>
      <c r="V308" s="2">
        <v>0</v>
      </c>
      <c r="W308" s="2">
        <v>24</v>
      </c>
      <c r="X308" s="2">
        <v>1</v>
      </c>
      <c r="Y308" s="2">
        <v>1</v>
      </c>
      <c r="Z308" s="2">
        <v>0</v>
      </c>
      <c r="AA308" s="2">
        <v>1</v>
      </c>
      <c r="AB308" s="2">
        <v>1</v>
      </c>
      <c r="AC308" s="2">
        <v>1</v>
      </c>
      <c r="AD308" s="2">
        <v>0</v>
      </c>
      <c r="AE308" s="2">
        <v>0</v>
      </c>
      <c r="AF308" s="2">
        <v>1</v>
      </c>
      <c r="AG308" s="20">
        <f t="shared" si="4"/>
        <v>100</v>
      </c>
    </row>
    <row r="309" spans="1:33" x14ac:dyDescent="0.25">
      <c r="A309">
        <v>308</v>
      </c>
      <c r="B309" s="2">
        <v>0</v>
      </c>
      <c r="C309" s="2">
        <v>12</v>
      </c>
      <c r="D309" s="2">
        <v>2</v>
      </c>
      <c r="E309" s="2">
        <v>0</v>
      </c>
      <c r="F309" s="2">
        <v>0</v>
      </c>
      <c r="G309" s="2">
        <v>0</v>
      </c>
      <c r="H309" s="2">
        <v>1</v>
      </c>
      <c r="I309" s="2">
        <v>0</v>
      </c>
      <c r="J309" s="2">
        <v>0</v>
      </c>
      <c r="K309" s="2">
        <v>727</v>
      </c>
      <c r="L309" s="2">
        <v>1</v>
      </c>
      <c r="M309" s="2">
        <v>1</v>
      </c>
      <c r="N309" s="2">
        <v>4</v>
      </c>
      <c r="O309" s="2">
        <v>0</v>
      </c>
      <c r="P309" s="2">
        <v>0</v>
      </c>
      <c r="Q309" s="2">
        <v>1</v>
      </c>
      <c r="R309" s="2">
        <v>0</v>
      </c>
      <c r="S309" s="2">
        <v>0</v>
      </c>
      <c r="T309" s="2">
        <v>3</v>
      </c>
      <c r="U309" s="2">
        <v>0</v>
      </c>
      <c r="V309" s="2">
        <v>1</v>
      </c>
      <c r="W309" s="2">
        <v>33</v>
      </c>
      <c r="X309" s="2">
        <v>0</v>
      </c>
      <c r="Y309" s="2">
        <v>0</v>
      </c>
      <c r="Z309" s="2">
        <v>1</v>
      </c>
      <c r="AA309" s="2">
        <v>1</v>
      </c>
      <c r="AB309" s="2">
        <v>1</v>
      </c>
      <c r="AC309" s="2">
        <v>1</v>
      </c>
      <c r="AD309" s="2">
        <v>1</v>
      </c>
      <c r="AE309" s="2">
        <v>0</v>
      </c>
      <c r="AF309" s="2">
        <v>0</v>
      </c>
      <c r="AG309" s="20">
        <f t="shared" si="4"/>
        <v>-500</v>
      </c>
    </row>
    <row r="310" spans="1:33" x14ac:dyDescent="0.25">
      <c r="A310">
        <v>309</v>
      </c>
      <c r="B310" s="2">
        <v>1</v>
      </c>
      <c r="C310" s="2">
        <v>8</v>
      </c>
      <c r="D310" s="2">
        <v>2</v>
      </c>
      <c r="E310" s="2">
        <v>0</v>
      </c>
      <c r="F310" s="2">
        <v>0</v>
      </c>
      <c r="G310" s="2">
        <v>1</v>
      </c>
      <c r="H310" s="2">
        <v>0</v>
      </c>
      <c r="I310" s="2">
        <v>0</v>
      </c>
      <c r="J310" s="2">
        <v>0</v>
      </c>
      <c r="K310" s="2">
        <v>1237</v>
      </c>
      <c r="L310" s="2">
        <v>0</v>
      </c>
      <c r="M310" s="2">
        <v>2</v>
      </c>
      <c r="N310" s="2">
        <v>3</v>
      </c>
      <c r="O310" s="2">
        <v>0</v>
      </c>
      <c r="P310" s="2">
        <v>0</v>
      </c>
      <c r="Q310" s="2">
        <v>0</v>
      </c>
      <c r="R310" s="2">
        <v>0</v>
      </c>
      <c r="S310" s="2">
        <v>0</v>
      </c>
      <c r="T310" s="2">
        <v>4</v>
      </c>
      <c r="U310" s="2">
        <v>1</v>
      </c>
      <c r="V310" s="2">
        <v>0</v>
      </c>
      <c r="W310" s="2">
        <v>24</v>
      </c>
      <c r="X310" s="2">
        <v>0</v>
      </c>
      <c r="Y310" s="2">
        <v>0</v>
      </c>
      <c r="Z310" s="2">
        <v>1</v>
      </c>
      <c r="AA310" s="2">
        <v>1</v>
      </c>
      <c r="AB310" s="2">
        <v>2</v>
      </c>
      <c r="AC310" s="2">
        <v>1</v>
      </c>
      <c r="AD310" s="2">
        <v>0</v>
      </c>
      <c r="AE310" s="2">
        <v>0</v>
      </c>
      <c r="AF310" s="2">
        <v>0</v>
      </c>
      <c r="AG310" s="20">
        <f t="shared" si="4"/>
        <v>-500</v>
      </c>
    </row>
    <row r="311" spans="1:33" x14ac:dyDescent="0.25">
      <c r="A311">
        <v>310</v>
      </c>
      <c r="B311" s="2">
        <v>1</v>
      </c>
      <c r="C311" s="2">
        <v>9</v>
      </c>
      <c r="D311" s="2">
        <v>2</v>
      </c>
      <c r="E311" s="2">
        <v>1</v>
      </c>
      <c r="F311" s="2">
        <v>0</v>
      </c>
      <c r="G311" s="2">
        <v>0</v>
      </c>
      <c r="H311" s="2">
        <v>0</v>
      </c>
      <c r="I311" s="2">
        <v>0</v>
      </c>
      <c r="J311" s="2">
        <v>0</v>
      </c>
      <c r="K311" s="2">
        <v>276</v>
      </c>
      <c r="L311" s="2">
        <v>0</v>
      </c>
      <c r="M311" s="2">
        <v>2</v>
      </c>
      <c r="N311" s="2">
        <v>4</v>
      </c>
      <c r="O311" s="2">
        <v>0</v>
      </c>
      <c r="P311" s="2">
        <v>0</v>
      </c>
      <c r="Q311" s="2">
        <v>1</v>
      </c>
      <c r="R311" s="2">
        <v>0</v>
      </c>
      <c r="S311" s="2">
        <v>0</v>
      </c>
      <c r="T311" s="2">
        <v>4</v>
      </c>
      <c r="U311" s="2">
        <v>1</v>
      </c>
      <c r="V311" s="2">
        <v>0</v>
      </c>
      <c r="W311" s="2">
        <v>22</v>
      </c>
      <c r="X311" s="2">
        <v>0</v>
      </c>
      <c r="Y311" s="2">
        <v>1</v>
      </c>
      <c r="Z311" s="2">
        <v>0</v>
      </c>
      <c r="AA311" s="2">
        <v>1</v>
      </c>
      <c r="AB311" s="2">
        <v>1</v>
      </c>
      <c r="AC311" s="2">
        <v>1</v>
      </c>
      <c r="AD311" s="2">
        <v>0</v>
      </c>
      <c r="AE311" s="2">
        <v>0</v>
      </c>
      <c r="AF311" s="2">
        <v>1</v>
      </c>
      <c r="AG311" s="20">
        <f t="shared" si="4"/>
        <v>100</v>
      </c>
    </row>
    <row r="312" spans="1:33" x14ac:dyDescent="0.25">
      <c r="A312">
        <v>311</v>
      </c>
      <c r="B312" s="2">
        <v>1</v>
      </c>
      <c r="C312" s="2">
        <v>48</v>
      </c>
      <c r="D312" s="2">
        <v>2</v>
      </c>
      <c r="E312" s="2">
        <v>0</v>
      </c>
      <c r="F312" s="2">
        <v>0</v>
      </c>
      <c r="G312" s="2">
        <v>0</v>
      </c>
      <c r="H312" s="2">
        <v>0</v>
      </c>
      <c r="I312" s="2">
        <v>0</v>
      </c>
      <c r="J312" s="2">
        <v>0</v>
      </c>
      <c r="K312" s="2">
        <v>5381</v>
      </c>
      <c r="L312" s="2">
        <v>4</v>
      </c>
      <c r="M312" s="2">
        <v>0</v>
      </c>
      <c r="N312" s="2">
        <v>3</v>
      </c>
      <c r="O312" s="2">
        <v>0</v>
      </c>
      <c r="P312" s="2">
        <v>1</v>
      </c>
      <c r="Q312" s="2">
        <v>0</v>
      </c>
      <c r="R312" s="2">
        <v>0</v>
      </c>
      <c r="S312" s="2">
        <v>0</v>
      </c>
      <c r="T312" s="2">
        <v>4</v>
      </c>
      <c r="U312" s="2">
        <v>0</v>
      </c>
      <c r="V312" s="2">
        <v>1</v>
      </c>
      <c r="W312" s="2">
        <v>40</v>
      </c>
      <c r="X312" s="2">
        <v>1</v>
      </c>
      <c r="Y312" s="2">
        <v>0</v>
      </c>
      <c r="Z312" s="2">
        <v>0</v>
      </c>
      <c r="AA312" s="2">
        <v>1</v>
      </c>
      <c r="AB312" s="2">
        <v>0</v>
      </c>
      <c r="AC312" s="2">
        <v>1</v>
      </c>
      <c r="AD312" s="2">
        <v>1</v>
      </c>
      <c r="AE312" s="2">
        <v>0</v>
      </c>
      <c r="AF312" s="2">
        <v>1</v>
      </c>
      <c r="AG312" s="20">
        <f t="shared" si="4"/>
        <v>100</v>
      </c>
    </row>
    <row r="313" spans="1:33" x14ac:dyDescent="0.25">
      <c r="A313">
        <v>312</v>
      </c>
      <c r="B313" s="2">
        <v>3</v>
      </c>
      <c r="C313" s="2">
        <v>24</v>
      </c>
      <c r="D313" s="2">
        <v>2</v>
      </c>
      <c r="E313" s="2">
        <v>0</v>
      </c>
      <c r="F313" s="2">
        <v>0</v>
      </c>
      <c r="G313" s="2">
        <v>1</v>
      </c>
      <c r="H313" s="2">
        <v>0</v>
      </c>
      <c r="I313" s="2">
        <v>0</v>
      </c>
      <c r="J313" s="2">
        <v>0</v>
      </c>
      <c r="K313" s="2">
        <v>5511</v>
      </c>
      <c r="L313" s="2">
        <v>1</v>
      </c>
      <c r="M313" s="2">
        <v>2</v>
      </c>
      <c r="N313" s="2">
        <v>4</v>
      </c>
      <c r="O313" s="2">
        <v>0</v>
      </c>
      <c r="P313" s="2">
        <v>1</v>
      </c>
      <c r="Q313" s="2">
        <v>0</v>
      </c>
      <c r="R313" s="2">
        <v>0</v>
      </c>
      <c r="S313" s="2">
        <v>0</v>
      </c>
      <c r="T313" s="2">
        <v>1</v>
      </c>
      <c r="U313" s="2">
        <v>0</v>
      </c>
      <c r="V313" s="2">
        <v>0</v>
      </c>
      <c r="W313" s="2">
        <v>25</v>
      </c>
      <c r="X313" s="2">
        <v>1</v>
      </c>
      <c r="Y313" s="2">
        <v>0</v>
      </c>
      <c r="Z313" s="2">
        <v>1</v>
      </c>
      <c r="AA313" s="2">
        <v>1</v>
      </c>
      <c r="AB313" s="2">
        <v>2</v>
      </c>
      <c r="AC313" s="2">
        <v>1</v>
      </c>
      <c r="AD313" s="2">
        <v>0</v>
      </c>
      <c r="AE313" s="2">
        <v>0</v>
      </c>
      <c r="AF313" s="2">
        <v>1</v>
      </c>
      <c r="AG313" s="20">
        <f t="shared" si="4"/>
        <v>100</v>
      </c>
    </row>
    <row r="314" spans="1:33" x14ac:dyDescent="0.25">
      <c r="A314">
        <v>313</v>
      </c>
      <c r="B314" s="2">
        <v>2</v>
      </c>
      <c r="C314" s="2">
        <v>24</v>
      </c>
      <c r="D314" s="2">
        <v>2</v>
      </c>
      <c r="E314" s="2">
        <v>0</v>
      </c>
      <c r="F314" s="2">
        <v>0</v>
      </c>
      <c r="G314" s="2">
        <v>1</v>
      </c>
      <c r="H314" s="2">
        <v>0</v>
      </c>
      <c r="I314" s="2">
        <v>0</v>
      </c>
      <c r="J314" s="2">
        <v>0</v>
      </c>
      <c r="K314" s="2">
        <v>3749</v>
      </c>
      <c r="L314" s="2">
        <v>0</v>
      </c>
      <c r="M314" s="2">
        <v>1</v>
      </c>
      <c r="N314" s="2">
        <v>2</v>
      </c>
      <c r="O314" s="2">
        <v>0</v>
      </c>
      <c r="P314" s="2">
        <v>0</v>
      </c>
      <c r="Q314" s="2">
        <v>0</v>
      </c>
      <c r="R314" s="2">
        <v>0</v>
      </c>
      <c r="S314" s="2">
        <v>0</v>
      </c>
      <c r="T314" s="2">
        <v>4</v>
      </c>
      <c r="U314" s="2">
        <v>0</v>
      </c>
      <c r="V314" s="2">
        <v>0</v>
      </c>
      <c r="W314" s="2">
        <v>26</v>
      </c>
      <c r="X314" s="2">
        <v>0</v>
      </c>
      <c r="Y314" s="2">
        <v>0</v>
      </c>
      <c r="Z314" s="2">
        <v>1</v>
      </c>
      <c r="AA314" s="2">
        <v>1</v>
      </c>
      <c r="AB314" s="2">
        <v>2</v>
      </c>
      <c r="AC314" s="2">
        <v>1</v>
      </c>
      <c r="AD314" s="2">
        <v>0</v>
      </c>
      <c r="AE314" s="2">
        <v>0</v>
      </c>
      <c r="AF314" s="2">
        <v>1</v>
      </c>
      <c r="AG314" s="20">
        <f t="shared" si="4"/>
        <v>100</v>
      </c>
    </row>
    <row r="315" spans="1:33" x14ac:dyDescent="0.25">
      <c r="A315">
        <v>314</v>
      </c>
      <c r="B315" s="2">
        <v>1</v>
      </c>
      <c r="C315" s="2">
        <v>12</v>
      </c>
      <c r="D315" s="2">
        <v>2</v>
      </c>
      <c r="E315" s="2">
        <v>1</v>
      </c>
      <c r="F315" s="2">
        <v>0</v>
      </c>
      <c r="G315" s="2">
        <v>0</v>
      </c>
      <c r="H315" s="2">
        <v>0</v>
      </c>
      <c r="I315" s="2">
        <v>0</v>
      </c>
      <c r="J315" s="2">
        <v>0</v>
      </c>
      <c r="K315" s="2">
        <v>685</v>
      </c>
      <c r="L315" s="2">
        <v>0</v>
      </c>
      <c r="M315" s="2">
        <v>3</v>
      </c>
      <c r="N315" s="2">
        <v>2</v>
      </c>
      <c r="O315" s="2">
        <v>0</v>
      </c>
      <c r="P315" s="2">
        <v>0</v>
      </c>
      <c r="Q315" s="2">
        <v>1</v>
      </c>
      <c r="R315" s="2">
        <v>0</v>
      </c>
      <c r="S315" s="2">
        <v>0</v>
      </c>
      <c r="T315" s="2">
        <v>3</v>
      </c>
      <c r="U315" s="2">
        <v>0</v>
      </c>
      <c r="V315" s="2">
        <v>0</v>
      </c>
      <c r="W315" s="2">
        <v>25</v>
      </c>
      <c r="X315" s="2">
        <v>1</v>
      </c>
      <c r="Y315" s="2">
        <v>0</v>
      </c>
      <c r="Z315" s="2">
        <v>1</v>
      </c>
      <c r="AA315" s="2">
        <v>1</v>
      </c>
      <c r="AB315" s="2">
        <v>1</v>
      </c>
      <c r="AC315" s="2">
        <v>1</v>
      </c>
      <c r="AD315" s="2">
        <v>0</v>
      </c>
      <c r="AE315" s="2">
        <v>0</v>
      </c>
      <c r="AF315" s="2">
        <v>0</v>
      </c>
      <c r="AG315" s="20">
        <f t="shared" si="4"/>
        <v>-500</v>
      </c>
    </row>
    <row r="316" spans="1:33" x14ac:dyDescent="0.25">
      <c r="A316">
        <v>315</v>
      </c>
      <c r="B316" s="2">
        <v>2</v>
      </c>
      <c r="C316" s="2">
        <v>4</v>
      </c>
      <c r="D316" s="2">
        <v>2</v>
      </c>
      <c r="E316" s="2">
        <v>1</v>
      </c>
      <c r="F316" s="2">
        <v>0</v>
      </c>
      <c r="G316" s="2">
        <v>0</v>
      </c>
      <c r="H316" s="2">
        <v>0</v>
      </c>
      <c r="I316" s="2">
        <v>0</v>
      </c>
      <c r="J316" s="2">
        <v>0</v>
      </c>
      <c r="K316" s="2">
        <v>1494</v>
      </c>
      <c r="L316" s="2">
        <v>4</v>
      </c>
      <c r="M316" s="2">
        <v>1</v>
      </c>
      <c r="N316" s="2">
        <v>1</v>
      </c>
      <c r="O316" s="2">
        <v>0</v>
      </c>
      <c r="P316" s="2">
        <v>1</v>
      </c>
      <c r="Q316" s="2">
        <v>0</v>
      </c>
      <c r="R316" s="2">
        <v>0</v>
      </c>
      <c r="S316" s="2">
        <v>0</v>
      </c>
      <c r="T316" s="2">
        <v>2</v>
      </c>
      <c r="U316" s="2">
        <v>1</v>
      </c>
      <c r="V316" s="2">
        <v>0</v>
      </c>
      <c r="W316" s="2">
        <v>29</v>
      </c>
      <c r="X316" s="2">
        <v>0</v>
      </c>
      <c r="Y316" s="2">
        <v>0</v>
      </c>
      <c r="Z316" s="2">
        <v>1</v>
      </c>
      <c r="AA316" s="2">
        <v>1</v>
      </c>
      <c r="AB316" s="2">
        <v>1</v>
      </c>
      <c r="AC316" s="2">
        <v>2</v>
      </c>
      <c r="AD316" s="2">
        <v>0</v>
      </c>
      <c r="AE316" s="2">
        <v>1</v>
      </c>
      <c r="AF316" s="2">
        <v>1</v>
      </c>
      <c r="AG316" s="20">
        <f t="shared" si="4"/>
        <v>100</v>
      </c>
    </row>
    <row r="317" spans="1:33" x14ac:dyDescent="0.25">
      <c r="A317">
        <v>316</v>
      </c>
      <c r="B317" s="2">
        <v>0</v>
      </c>
      <c r="C317" s="2">
        <v>36</v>
      </c>
      <c r="D317" s="2">
        <v>1</v>
      </c>
      <c r="E317" s="2">
        <v>0</v>
      </c>
      <c r="F317" s="2">
        <v>0</v>
      </c>
      <c r="G317" s="2">
        <v>1</v>
      </c>
      <c r="H317" s="2">
        <v>0</v>
      </c>
      <c r="I317" s="2">
        <v>0</v>
      </c>
      <c r="J317" s="2">
        <v>0</v>
      </c>
      <c r="K317" s="2">
        <v>2746</v>
      </c>
      <c r="L317" s="2">
        <v>0</v>
      </c>
      <c r="M317" s="2">
        <v>4</v>
      </c>
      <c r="N317" s="2">
        <v>4</v>
      </c>
      <c r="O317" s="2">
        <v>0</v>
      </c>
      <c r="P317" s="2">
        <v>1</v>
      </c>
      <c r="Q317" s="2">
        <v>0</v>
      </c>
      <c r="R317" s="2">
        <v>0</v>
      </c>
      <c r="S317" s="2">
        <v>0</v>
      </c>
      <c r="T317" s="2">
        <v>4</v>
      </c>
      <c r="U317" s="2">
        <v>0</v>
      </c>
      <c r="V317" s="2">
        <v>0</v>
      </c>
      <c r="W317" s="2">
        <v>31</v>
      </c>
      <c r="X317" s="2">
        <v>1</v>
      </c>
      <c r="Y317" s="2">
        <v>0</v>
      </c>
      <c r="Z317" s="2">
        <v>1</v>
      </c>
      <c r="AA317" s="2">
        <v>1</v>
      </c>
      <c r="AB317" s="2">
        <v>2</v>
      </c>
      <c r="AC317" s="2">
        <v>1</v>
      </c>
      <c r="AD317" s="2">
        <v>0</v>
      </c>
      <c r="AE317" s="2">
        <v>0</v>
      </c>
      <c r="AF317" s="2">
        <v>0</v>
      </c>
      <c r="AG317" s="20">
        <f t="shared" si="4"/>
        <v>-500</v>
      </c>
    </row>
    <row r="318" spans="1:33" x14ac:dyDescent="0.25">
      <c r="A318">
        <v>317</v>
      </c>
      <c r="B318" s="2">
        <v>0</v>
      </c>
      <c r="C318" s="2">
        <v>12</v>
      </c>
      <c r="D318" s="2">
        <v>2</v>
      </c>
      <c r="E318" s="2">
        <v>0</v>
      </c>
      <c r="F318" s="2">
        <v>0</v>
      </c>
      <c r="G318" s="2">
        <v>1</v>
      </c>
      <c r="H318" s="2">
        <v>0</v>
      </c>
      <c r="I318" s="2">
        <v>0</v>
      </c>
      <c r="J318" s="2">
        <v>0</v>
      </c>
      <c r="K318" s="2">
        <v>708</v>
      </c>
      <c r="L318" s="2">
        <v>0</v>
      </c>
      <c r="M318" s="2">
        <v>2</v>
      </c>
      <c r="N318" s="2">
        <v>2</v>
      </c>
      <c r="O318" s="2">
        <v>0</v>
      </c>
      <c r="P318" s="2">
        <v>1</v>
      </c>
      <c r="Q318" s="2">
        <v>0</v>
      </c>
      <c r="R318" s="2">
        <v>0</v>
      </c>
      <c r="S318" s="2">
        <v>1</v>
      </c>
      <c r="T318" s="2">
        <v>3</v>
      </c>
      <c r="U318" s="2">
        <v>0</v>
      </c>
      <c r="V318" s="2">
        <v>0</v>
      </c>
      <c r="W318" s="2">
        <v>38</v>
      </c>
      <c r="X318" s="2">
        <v>0</v>
      </c>
      <c r="Y318" s="2">
        <v>0</v>
      </c>
      <c r="Z318" s="2">
        <v>1</v>
      </c>
      <c r="AA318" s="2">
        <v>1</v>
      </c>
      <c r="AB318" s="2">
        <v>1</v>
      </c>
      <c r="AC318" s="2">
        <v>2</v>
      </c>
      <c r="AD318" s="2">
        <v>0</v>
      </c>
      <c r="AE318" s="2">
        <v>0</v>
      </c>
      <c r="AF318" s="2">
        <v>1</v>
      </c>
      <c r="AG318" s="20">
        <f t="shared" si="4"/>
        <v>100</v>
      </c>
    </row>
    <row r="319" spans="1:33" x14ac:dyDescent="0.25">
      <c r="A319">
        <v>318</v>
      </c>
      <c r="B319" s="2">
        <v>1</v>
      </c>
      <c r="C319" s="2">
        <v>24</v>
      </c>
      <c r="D319" s="2">
        <v>2</v>
      </c>
      <c r="E319" s="2">
        <v>0</v>
      </c>
      <c r="F319" s="2">
        <v>0</v>
      </c>
      <c r="G319" s="2">
        <v>1</v>
      </c>
      <c r="H319" s="2">
        <v>0</v>
      </c>
      <c r="I319" s="2">
        <v>0</v>
      </c>
      <c r="J319" s="2">
        <v>0</v>
      </c>
      <c r="K319" s="2">
        <v>4351</v>
      </c>
      <c r="L319" s="2">
        <v>4</v>
      </c>
      <c r="M319" s="2">
        <v>2</v>
      </c>
      <c r="N319" s="2">
        <v>1</v>
      </c>
      <c r="O319" s="2">
        <v>0</v>
      </c>
      <c r="P319" s="2">
        <v>0</v>
      </c>
      <c r="Q319" s="2">
        <v>0</v>
      </c>
      <c r="R319" s="2">
        <v>0</v>
      </c>
      <c r="S319" s="2">
        <v>0</v>
      </c>
      <c r="T319" s="2">
        <v>4</v>
      </c>
      <c r="U319" s="2">
        <v>0</v>
      </c>
      <c r="V319" s="2">
        <v>0</v>
      </c>
      <c r="W319" s="2">
        <v>48</v>
      </c>
      <c r="X319" s="2">
        <v>0</v>
      </c>
      <c r="Y319" s="2">
        <v>0</v>
      </c>
      <c r="Z319" s="2">
        <v>1</v>
      </c>
      <c r="AA319" s="2">
        <v>1</v>
      </c>
      <c r="AB319" s="2">
        <v>1</v>
      </c>
      <c r="AC319" s="2">
        <v>1</v>
      </c>
      <c r="AD319" s="2">
        <v>1</v>
      </c>
      <c r="AE319" s="2">
        <v>0</v>
      </c>
      <c r="AF319" s="2">
        <v>1</v>
      </c>
      <c r="AG319" s="20">
        <f t="shared" si="4"/>
        <v>100</v>
      </c>
    </row>
    <row r="320" spans="1:33" x14ac:dyDescent="0.25">
      <c r="A320">
        <v>319</v>
      </c>
      <c r="B320" s="2">
        <v>3</v>
      </c>
      <c r="C320" s="2">
        <v>12</v>
      </c>
      <c r="D320" s="2">
        <v>4</v>
      </c>
      <c r="E320" s="2">
        <v>0</v>
      </c>
      <c r="F320" s="2">
        <v>0</v>
      </c>
      <c r="G320" s="2">
        <v>0</v>
      </c>
      <c r="H320" s="2">
        <v>0</v>
      </c>
      <c r="I320" s="2">
        <v>1</v>
      </c>
      <c r="J320" s="2">
        <v>0</v>
      </c>
      <c r="K320" s="2">
        <v>701</v>
      </c>
      <c r="L320" s="2">
        <v>0</v>
      </c>
      <c r="M320" s="2">
        <v>2</v>
      </c>
      <c r="N320" s="2">
        <v>4</v>
      </c>
      <c r="O320" s="2">
        <v>0</v>
      </c>
      <c r="P320" s="2">
        <v>1</v>
      </c>
      <c r="Q320" s="2">
        <v>0</v>
      </c>
      <c r="R320" s="2">
        <v>0</v>
      </c>
      <c r="S320" s="2">
        <v>0</v>
      </c>
      <c r="T320" s="2">
        <v>2</v>
      </c>
      <c r="U320" s="2">
        <v>0</v>
      </c>
      <c r="V320" s="2">
        <v>0</v>
      </c>
      <c r="W320" s="2">
        <v>32</v>
      </c>
      <c r="X320" s="2">
        <v>0</v>
      </c>
      <c r="Y320" s="2">
        <v>0</v>
      </c>
      <c r="Z320" s="2">
        <v>1</v>
      </c>
      <c r="AA320" s="2">
        <v>2</v>
      </c>
      <c r="AB320" s="2">
        <v>2</v>
      </c>
      <c r="AC320" s="2">
        <v>1</v>
      </c>
      <c r="AD320" s="2">
        <v>0</v>
      </c>
      <c r="AE320" s="2">
        <v>0</v>
      </c>
      <c r="AF320" s="2">
        <v>1</v>
      </c>
      <c r="AG320" s="20">
        <f t="shared" si="4"/>
        <v>100</v>
      </c>
    </row>
    <row r="321" spans="1:33" x14ac:dyDescent="0.25">
      <c r="A321">
        <v>320</v>
      </c>
      <c r="B321" s="2">
        <v>0</v>
      </c>
      <c r="C321" s="2">
        <v>15</v>
      </c>
      <c r="D321" s="2">
        <v>3</v>
      </c>
      <c r="E321" s="2">
        <v>0</v>
      </c>
      <c r="F321" s="2">
        <v>0</v>
      </c>
      <c r="G321" s="2">
        <v>1</v>
      </c>
      <c r="H321" s="2">
        <v>0</v>
      </c>
      <c r="I321" s="2">
        <v>0</v>
      </c>
      <c r="J321" s="2">
        <v>0</v>
      </c>
      <c r="K321" s="2">
        <v>3643</v>
      </c>
      <c r="L321" s="2">
        <v>0</v>
      </c>
      <c r="M321" s="2">
        <v>4</v>
      </c>
      <c r="N321" s="2">
        <v>1</v>
      </c>
      <c r="O321" s="2">
        <v>0</v>
      </c>
      <c r="P321" s="2">
        <v>0</v>
      </c>
      <c r="Q321" s="2">
        <v>0</v>
      </c>
      <c r="R321" s="2">
        <v>0</v>
      </c>
      <c r="S321" s="2">
        <v>0</v>
      </c>
      <c r="T321" s="2">
        <v>4</v>
      </c>
      <c r="U321" s="2">
        <v>0</v>
      </c>
      <c r="V321" s="2">
        <v>0</v>
      </c>
      <c r="W321" s="2">
        <v>27</v>
      </c>
      <c r="X321" s="2">
        <v>0</v>
      </c>
      <c r="Y321" s="2">
        <v>0</v>
      </c>
      <c r="Z321" s="2">
        <v>1</v>
      </c>
      <c r="AA321" s="2">
        <v>2</v>
      </c>
      <c r="AB321" s="2">
        <v>1</v>
      </c>
      <c r="AC321" s="2">
        <v>1</v>
      </c>
      <c r="AD321" s="2">
        <v>0</v>
      </c>
      <c r="AE321" s="2">
        <v>0</v>
      </c>
      <c r="AF321" s="2">
        <v>1</v>
      </c>
      <c r="AG321" s="20">
        <f t="shared" si="4"/>
        <v>100</v>
      </c>
    </row>
    <row r="322" spans="1:33" x14ac:dyDescent="0.25">
      <c r="A322">
        <v>321</v>
      </c>
      <c r="B322" s="2">
        <v>1</v>
      </c>
      <c r="C322" s="2">
        <v>30</v>
      </c>
      <c r="D322" s="2">
        <v>4</v>
      </c>
      <c r="E322" s="2">
        <v>1</v>
      </c>
      <c r="F322" s="2">
        <v>0</v>
      </c>
      <c r="G322" s="2">
        <v>0</v>
      </c>
      <c r="H322" s="2">
        <v>0</v>
      </c>
      <c r="I322" s="2">
        <v>0</v>
      </c>
      <c r="J322" s="2">
        <v>0</v>
      </c>
      <c r="K322" s="2">
        <v>4249</v>
      </c>
      <c r="L322" s="2">
        <v>0</v>
      </c>
      <c r="M322" s="2">
        <v>0</v>
      </c>
      <c r="N322" s="2">
        <v>4</v>
      </c>
      <c r="O322" s="2">
        <v>0</v>
      </c>
      <c r="P322" s="2">
        <v>0</v>
      </c>
      <c r="Q322" s="2">
        <v>1</v>
      </c>
      <c r="R322" s="2">
        <v>0</v>
      </c>
      <c r="S322" s="2">
        <v>0</v>
      </c>
      <c r="T322" s="2">
        <v>2</v>
      </c>
      <c r="U322" s="2">
        <v>0</v>
      </c>
      <c r="V322" s="2">
        <v>0</v>
      </c>
      <c r="W322" s="2">
        <v>28</v>
      </c>
      <c r="X322" s="2">
        <v>0</v>
      </c>
      <c r="Y322" s="2">
        <v>0</v>
      </c>
      <c r="Z322" s="2">
        <v>1</v>
      </c>
      <c r="AA322" s="2">
        <v>2</v>
      </c>
      <c r="AB322" s="2">
        <v>3</v>
      </c>
      <c r="AC322" s="2">
        <v>1</v>
      </c>
      <c r="AD322" s="2">
        <v>0</v>
      </c>
      <c r="AE322" s="2">
        <v>0</v>
      </c>
      <c r="AF322" s="2">
        <v>0</v>
      </c>
      <c r="AG322" s="20">
        <f t="shared" si="4"/>
        <v>-500</v>
      </c>
    </row>
    <row r="323" spans="1:33" x14ac:dyDescent="0.25">
      <c r="A323">
        <v>322</v>
      </c>
      <c r="B323" s="2">
        <v>0</v>
      </c>
      <c r="C323" s="2">
        <v>24</v>
      </c>
      <c r="D323" s="2">
        <v>2</v>
      </c>
      <c r="E323" s="2">
        <v>0</v>
      </c>
      <c r="F323" s="2">
        <v>0</v>
      </c>
      <c r="G323" s="2">
        <v>0</v>
      </c>
      <c r="H323" s="2">
        <v>1</v>
      </c>
      <c r="I323" s="2">
        <v>0</v>
      </c>
      <c r="J323" s="2">
        <v>0</v>
      </c>
      <c r="K323" s="2">
        <v>1938</v>
      </c>
      <c r="L323" s="2">
        <v>0</v>
      </c>
      <c r="M323" s="2">
        <v>1</v>
      </c>
      <c r="N323" s="2">
        <v>4</v>
      </c>
      <c r="O323" s="2">
        <v>1</v>
      </c>
      <c r="P323" s="2">
        <v>0</v>
      </c>
      <c r="Q323" s="2">
        <v>0</v>
      </c>
      <c r="R323" s="2">
        <v>0</v>
      </c>
      <c r="S323" s="2">
        <v>0</v>
      </c>
      <c r="T323" s="2">
        <v>3</v>
      </c>
      <c r="U323" s="2">
        <v>0</v>
      </c>
      <c r="V323" s="2">
        <v>0</v>
      </c>
      <c r="W323" s="2">
        <v>32</v>
      </c>
      <c r="X323" s="2">
        <v>0</v>
      </c>
      <c r="Y323" s="2">
        <v>0</v>
      </c>
      <c r="Z323" s="2">
        <v>1</v>
      </c>
      <c r="AA323" s="2">
        <v>1</v>
      </c>
      <c r="AB323" s="2">
        <v>2</v>
      </c>
      <c r="AC323" s="2">
        <v>1</v>
      </c>
      <c r="AD323" s="2">
        <v>0</v>
      </c>
      <c r="AE323" s="2">
        <v>0</v>
      </c>
      <c r="AF323" s="2">
        <v>0</v>
      </c>
      <c r="AG323" s="20">
        <f t="shared" si="4"/>
        <v>-500</v>
      </c>
    </row>
    <row r="324" spans="1:33" x14ac:dyDescent="0.25">
      <c r="A324">
        <v>323</v>
      </c>
      <c r="B324" s="2">
        <v>0</v>
      </c>
      <c r="C324" s="2">
        <v>24</v>
      </c>
      <c r="D324" s="2">
        <v>2</v>
      </c>
      <c r="E324" s="2">
        <v>0</v>
      </c>
      <c r="F324" s="2">
        <v>1</v>
      </c>
      <c r="G324" s="2">
        <v>0</v>
      </c>
      <c r="H324" s="2">
        <v>0</v>
      </c>
      <c r="I324" s="2">
        <v>0</v>
      </c>
      <c r="J324" s="2">
        <v>0</v>
      </c>
      <c r="K324" s="2">
        <v>2910</v>
      </c>
      <c r="L324" s="2">
        <v>0</v>
      </c>
      <c r="M324" s="2">
        <v>3</v>
      </c>
      <c r="N324" s="2">
        <v>2</v>
      </c>
      <c r="O324" s="2">
        <v>0</v>
      </c>
      <c r="P324" s="2">
        <v>1</v>
      </c>
      <c r="Q324" s="2">
        <v>0</v>
      </c>
      <c r="R324" s="2">
        <v>0</v>
      </c>
      <c r="S324" s="2">
        <v>0</v>
      </c>
      <c r="T324" s="2">
        <v>1</v>
      </c>
      <c r="U324" s="2">
        <v>0</v>
      </c>
      <c r="V324" s="2">
        <v>1</v>
      </c>
      <c r="W324" s="2">
        <v>34</v>
      </c>
      <c r="X324" s="2">
        <v>0</v>
      </c>
      <c r="Y324" s="2">
        <v>0</v>
      </c>
      <c r="Z324" s="2">
        <v>0</v>
      </c>
      <c r="AA324" s="2">
        <v>1</v>
      </c>
      <c r="AB324" s="2">
        <v>3</v>
      </c>
      <c r="AC324" s="2">
        <v>1</v>
      </c>
      <c r="AD324" s="2">
        <v>1</v>
      </c>
      <c r="AE324" s="2">
        <v>0</v>
      </c>
      <c r="AF324" s="2">
        <v>1</v>
      </c>
      <c r="AG324" s="20">
        <f t="shared" ref="AG324:AG387" si="5">IF(AF324=1,100,-500)</f>
        <v>100</v>
      </c>
    </row>
    <row r="325" spans="1:33" x14ac:dyDescent="0.25">
      <c r="A325">
        <v>324</v>
      </c>
      <c r="B325" s="2">
        <v>0</v>
      </c>
      <c r="C325" s="2">
        <v>18</v>
      </c>
      <c r="D325" s="2">
        <v>2</v>
      </c>
      <c r="E325" s="2">
        <v>0</v>
      </c>
      <c r="F325" s="2">
        <v>0</v>
      </c>
      <c r="G325" s="2">
        <v>1</v>
      </c>
      <c r="H325" s="2">
        <v>0</v>
      </c>
      <c r="I325" s="2">
        <v>0</v>
      </c>
      <c r="J325" s="2">
        <v>0</v>
      </c>
      <c r="K325" s="2">
        <v>2659</v>
      </c>
      <c r="L325" s="2">
        <v>3</v>
      </c>
      <c r="M325" s="2">
        <v>2</v>
      </c>
      <c r="N325" s="2">
        <v>4</v>
      </c>
      <c r="O325" s="2">
        <v>0</v>
      </c>
      <c r="P325" s="2">
        <v>1</v>
      </c>
      <c r="Q325" s="2">
        <v>0</v>
      </c>
      <c r="R325" s="2">
        <v>0</v>
      </c>
      <c r="S325" s="2">
        <v>0</v>
      </c>
      <c r="T325" s="2">
        <v>2</v>
      </c>
      <c r="U325" s="2">
        <v>0</v>
      </c>
      <c r="V325" s="2">
        <v>0</v>
      </c>
      <c r="W325" s="2">
        <v>28</v>
      </c>
      <c r="X325" s="2">
        <v>0</v>
      </c>
      <c r="Y325" s="2">
        <v>0</v>
      </c>
      <c r="Z325" s="2">
        <v>1</v>
      </c>
      <c r="AA325" s="2">
        <v>1</v>
      </c>
      <c r="AB325" s="2">
        <v>2</v>
      </c>
      <c r="AC325" s="2">
        <v>1</v>
      </c>
      <c r="AD325" s="2">
        <v>0</v>
      </c>
      <c r="AE325" s="2">
        <v>0</v>
      </c>
      <c r="AF325" s="2">
        <v>1</v>
      </c>
      <c r="AG325" s="20">
        <f t="shared" si="5"/>
        <v>100</v>
      </c>
    </row>
    <row r="326" spans="1:33" x14ac:dyDescent="0.25">
      <c r="A326">
        <v>325</v>
      </c>
      <c r="B326" s="2">
        <v>3</v>
      </c>
      <c r="C326" s="2">
        <v>18</v>
      </c>
      <c r="D326" s="2">
        <v>4</v>
      </c>
      <c r="E326" s="2">
        <v>1</v>
      </c>
      <c r="F326" s="2">
        <v>0</v>
      </c>
      <c r="G326" s="2">
        <v>0</v>
      </c>
      <c r="H326" s="2">
        <v>0</v>
      </c>
      <c r="I326" s="2">
        <v>0</v>
      </c>
      <c r="J326" s="2">
        <v>0</v>
      </c>
      <c r="K326" s="2">
        <v>1028</v>
      </c>
      <c r="L326" s="2">
        <v>0</v>
      </c>
      <c r="M326" s="2">
        <v>2</v>
      </c>
      <c r="N326" s="2">
        <v>4</v>
      </c>
      <c r="O326" s="2">
        <v>0</v>
      </c>
      <c r="P326" s="2">
        <v>0</v>
      </c>
      <c r="Q326" s="2">
        <v>0</v>
      </c>
      <c r="R326" s="2">
        <v>0</v>
      </c>
      <c r="S326" s="2">
        <v>0</v>
      </c>
      <c r="T326" s="2">
        <v>3</v>
      </c>
      <c r="U326" s="2">
        <v>1</v>
      </c>
      <c r="V326" s="2">
        <v>0</v>
      </c>
      <c r="W326" s="2">
        <v>36</v>
      </c>
      <c r="X326" s="2">
        <v>0</v>
      </c>
      <c r="Y326" s="2">
        <v>0</v>
      </c>
      <c r="Z326" s="2">
        <v>1</v>
      </c>
      <c r="AA326" s="2">
        <v>2</v>
      </c>
      <c r="AB326" s="2">
        <v>2</v>
      </c>
      <c r="AC326" s="2">
        <v>1</v>
      </c>
      <c r="AD326" s="2">
        <v>0</v>
      </c>
      <c r="AE326" s="2">
        <v>0</v>
      </c>
      <c r="AF326" s="2">
        <v>1</v>
      </c>
      <c r="AG326" s="20">
        <f t="shared" si="5"/>
        <v>100</v>
      </c>
    </row>
    <row r="327" spans="1:33" x14ac:dyDescent="0.25">
      <c r="A327">
        <v>326</v>
      </c>
      <c r="B327" s="2">
        <v>0</v>
      </c>
      <c r="C327" s="2">
        <v>8</v>
      </c>
      <c r="D327" s="2">
        <v>4</v>
      </c>
      <c r="E327" s="2">
        <v>1</v>
      </c>
      <c r="F327" s="2">
        <v>0</v>
      </c>
      <c r="G327" s="2">
        <v>0</v>
      </c>
      <c r="H327" s="2">
        <v>0</v>
      </c>
      <c r="I327" s="2">
        <v>0</v>
      </c>
      <c r="J327" s="2">
        <v>0</v>
      </c>
      <c r="K327" s="2">
        <v>3398</v>
      </c>
      <c r="L327" s="2">
        <v>0</v>
      </c>
      <c r="M327" s="2">
        <v>3</v>
      </c>
      <c r="N327" s="2">
        <v>1</v>
      </c>
      <c r="O327" s="2">
        <v>0</v>
      </c>
      <c r="P327" s="2">
        <v>1</v>
      </c>
      <c r="Q327" s="2">
        <v>0</v>
      </c>
      <c r="R327" s="2">
        <v>0</v>
      </c>
      <c r="S327" s="2">
        <v>0</v>
      </c>
      <c r="T327" s="2">
        <v>4</v>
      </c>
      <c r="U327" s="2">
        <v>1</v>
      </c>
      <c r="V327" s="2">
        <v>0</v>
      </c>
      <c r="W327" s="2">
        <v>39</v>
      </c>
      <c r="X327" s="2">
        <v>0</v>
      </c>
      <c r="Y327" s="2">
        <v>0</v>
      </c>
      <c r="Z327" s="2">
        <v>1</v>
      </c>
      <c r="AA327" s="2">
        <v>2</v>
      </c>
      <c r="AB327" s="2">
        <v>1</v>
      </c>
      <c r="AC327" s="2">
        <v>1</v>
      </c>
      <c r="AD327" s="2">
        <v>0</v>
      </c>
      <c r="AE327" s="2">
        <v>1</v>
      </c>
      <c r="AF327" s="2">
        <v>1</v>
      </c>
      <c r="AG327" s="20">
        <f t="shared" si="5"/>
        <v>100</v>
      </c>
    </row>
    <row r="328" spans="1:33" x14ac:dyDescent="0.25">
      <c r="A328">
        <v>327</v>
      </c>
      <c r="B328" s="2">
        <v>3</v>
      </c>
      <c r="C328" s="2">
        <v>12</v>
      </c>
      <c r="D328" s="2">
        <v>4</v>
      </c>
      <c r="E328" s="2">
        <v>0</v>
      </c>
      <c r="F328" s="2">
        <v>0</v>
      </c>
      <c r="G328" s="2">
        <v>1</v>
      </c>
      <c r="H328" s="2">
        <v>0</v>
      </c>
      <c r="I328" s="2">
        <v>0</v>
      </c>
      <c r="J328" s="2">
        <v>0</v>
      </c>
      <c r="K328" s="2">
        <v>5801</v>
      </c>
      <c r="L328" s="2">
        <v>4</v>
      </c>
      <c r="M328" s="2">
        <v>4</v>
      </c>
      <c r="N328" s="2">
        <v>2</v>
      </c>
      <c r="O328" s="2">
        <v>0</v>
      </c>
      <c r="P328" s="2">
        <v>1</v>
      </c>
      <c r="Q328" s="2">
        <v>0</v>
      </c>
      <c r="R328" s="2">
        <v>0</v>
      </c>
      <c r="S328" s="2">
        <v>0</v>
      </c>
      <c r="T328" s="2">
        <v>4</v>
      </c>
      <c r="U328" s="2">
        <v>0</v>
      </c>
      <c r="V328" s="2">
        <v>0</v>
      </c>
      <c r="W328" s="2">
        <v>49</v>
      </c>
      <c r="X328" s="2">
        <v>0</v>
      </c>
      <c r="Y328" s="2">
        <v>1</v>
      </c>
      <c r="Z328" s="2">
        <v>0</v>
      </c>
      <c r="AA328" s="2">
        <v>1</v>
      </c>
      <c r="AB328" s="2">
        <v>2</v>
      </c>
      <c r="AC328" s="2">
        <v>1</v>
      </c>
      <c r="AD328" s="2">
        <v>1</v>
      </c>
      <c r="AE328" s="2">
        <v>0</v>
      </c>
      <c r="AF328" s="2">
        <v>1</v>
      </c>
      <c r="AG328" s="20">
        <f t="shared" si="5"/>
        <v>100</v>
      </c>
    </row>
    <row r="329" spans="1:33" x14ac:dyDescent="0.25">
      <c r="A329">
        <v>328</v>
      </c>
      <c r="B329" s="2">
        <v>3</v>
      </c>
      <c r="C329" s="2">
        <v>24</v>
      </c>
      <c r="D329" s="2">
        <v>2</v>
      </c>
      <c r="E329" s="2">
        <v>1</v>
      </c>
      <c r="F329" s="2">
        <v>0</v>
      </c>
      <c r="G329" s="2">
        <v>0</v>
      </c>
      <c r="H329" s="2">
        <v>0</v>
      </c>
      <c r="I329" s="2">
        <v>0</v>
      </c>
      <c r="J329" s="2">
        <v>0</v>
      </c>
      <c r="K329" s="2">
        <v>1525</v>
      </c>
      <c r="L329" s="2">
        <v>3</v>
      </c>
      <c r="M329" s="2">
        <v>3</v>
      </c>
      <c r="N329" s="2">
        <v>4</v>
      </c>
      <c r="O329" s="2">
        <v>0</v>
      </c>
      <c r="P329" s="2">
        <v>0</v>
      </c>
      <c r="Q329" s="2">
        <v>0</v>
      </c>
      <c r="R329" s="2">
        <v>0</v>
      </c>
      <c r="S329" s="2">
        <v>0</v>
      </c>
      <c r="T329" s="2">
        <v>3</v>
      </c>
      <c r="U329" s="2">
        <v>0</v>
      </c>
      <c r="V329" s="2">
        <v>0</v>
      </c>
      <c r="W329" s="2">
        <v>34</v>
      </c>
      <c r="X329" s="2">
        <v>0</v>
      </c>
      <c r="Y329" s="2">
        <v>0</v>
      </c>
      <c r="Z329" s="2">
        <v>1</v>
      </c>
      <c r="AA329" s="2">
        <v>1</v>
      </c>
      <c r="AB329" s="2">
        <v>2</v>
      </c>
      <c r="AC329" s="2">
        <v>2</v>
      </c>
      <c r="AD329" s="2">
        <v>1</v>
      </c>
      <c r="AE329" s="2">
        <v>0</v>
      </c>
      <c r="AF329" s="2">
        <v>1</v>
      </c>
      <c r="AG329" s="20">
        <f t="shared" si="5"/>
        <v>100</v>
      </c>
    </row>
    <row r="330" spans="1:33" x14ac:dyDescent="0.25">
      <c r="A330">
        <v>329</v>
      </c>
      <c r="B330" s="2">
        <v>2</v>
      </c>
      <c r="C330" s="2">
        <v>36</v>
      </c>
      <c r="D330" s="2">
        <v>2</v>
      </c>
      <c r="E330" s="2">
        <v>0</v>
      </c>
      <c r="F330" s="2">
        <v>0</v>
      </c>
      <c r="G330" s="2">
        <v>0</v>
      </c>
      <c r="H330" s="2">
        <v>1</v>
      </c>
      <c r="I330" s="2">
        <v>0</v>
      </c>
      <c r="J330" s="2">
        <v>0</v>
      </c>
      <c r="K330" s="2">
        <v>4473</v>
      </c>
      <c r="L330" s="2">
        <v>0</v>
      </c>
      <c r="M330" s="2">
        <v>4</v>
      </c>
      <c r="N330" s="2">
        <v>4</v>
      </c>
      <c r="O330" s="2">
        <v>0</v>
      </c>
      <c r="P330" s="2">
        <v>1</v>
      </c>
      <c r="Q330" s="2">
        <v>0</v>
      </c>
      <c r="R330" s="2">
        <v>0</v>
      </c>
      <c r="S330" s="2">
        <v>0</v>
      </c>
      <c r="T330" s="2">
        <v>2</v>
      </c>
      <c r="U330" s="2">
        <v>0</v>
      </c>
      <c r="V330" s="2">
        <v>0</v>
      </c>
      <c r="W330" s="2">
        <v>31</v>
      </c>
      <c r="X330" s="2">
        <v>0</v>
      </c>
      <c r="Y330" s="2">
        <v>0</v>
      </c>
      <c r="Z330" s="2">
        <v>1</v>
      </c>
      <c r="AA330" s="2">
        <v>1</v>
      </c>
      <c r="AB330" s="2">
        <v>2</v>
      </c>
      <c r="AC330" s="2">
        <v>1</v>
      </c>
      <c r="AD330" s="2">
        <v>0</v>
      </c>
      <c r="AE330" s="2">
        <v>0</v>
      </c>
      <c r="AF330" s="2">
        <v>1</v>
      </c>
      <c r="AG330" s="20">
        <f t="shared" si="5"/>
        <v>100</v>
      </c>
    </row>
    <row r="331" spans="1:33" x14ac:dyDescent="0.25">
      <c r="A331">
        <v>330</v>
      </c>
      <c r="B331" s="2">
        <v>1</v>
      </c>
      <c r="C331" s="2">
        <v>6</v>
      </c>
      <c r="D331" s="2">
        <v>2</v>
      </c>
      <c r="E331" s="2">
        <v>0</v>
      </c>
      <c r="F331" s="2">
        <v>0</v>
      </c>
      <c r="G331" s="2">
        <v>0</v>
      </c>
      <c r="H331" s="2">
        <v>1</v>
      </c>
      <c r="I331" s="2">
        <v>0</v>
      </c>
      <c r="J331" s="2">
        <v>0</v>
      </c>
      <c r="K331" s="2">
        <v>1068</v>
      </c>
      <c r="L331" s="2">
        <v>0</v>
      </c>
      <c r="M331" s="2">
        <v>4</v>
      </c>
      <c r="N331" s="2">
        <v>4</v>
      </c>
      <c r="O331" s="2">
        <v>0</v>
      </c>
      <c r="P331" s="2">
        <v>1</v>
      </c>
      <c r="Q331" s="2">
        <v>0</v>
      </c>
      <c r="R331" s="2">
        <v>0</v>
      </c>
      <c r="S331" s="2">
        <v>0</v>
      </c>
      <c r="T331" s="2">
        <v>4</v>
      </c>
      <c r="U331" s="2">
        <v>0</v>
      </c>
      <c r="V331" s="2">
        <v>0</v>
      </c>
      <c r="W331" s="2">
        <v>28</v>
      </c>
      <c r="X331" s="2">
        <v>0</v>
      </c>
      <c r="Y331" s="2">
        <v>0</v>
      </c>
      <c r="Z331" s="2">
        <v>1</v>
      </c>
      <c r="AA331" s="2">
        <v>1</v>
      </c>
      <c r="AB331" s="2">
        <v>2</v>
      </c>
      <c r="AC331" s="2">
        <v>2</v>
      </c>
      <c r="AD331" s="2">
        <v>0</v>
      </c>
      <c r="AE331" s="2">
        <v>0</v>
      </c>
      <c r="AF331" s="2">
        <v>1</v>
      </c>
      <c r="AG331" s="20">
        <f t="shared" si="5"/>
        <v>100</v>
      </c>
    </row>
    <row r="332" spans="1:33" x14ac:dyDescent="0.25">
      <c r="A332">
        <v>331</v>
      </c>
      <c r="B332" s="2">
        <v>0</v>
      </c>
      <c r="C332" s="2">
        <v>24</v>
      </c>
      <c r="D332" s="2">
        <v>4</v>
      </c>
      <c r="E332" s="2">
        <v>0</v>
      </c>
      <c r="F332" s="2">
        <v>1</v>
      </c>
      <c r="G332" s="2">
        <v>0</v>
      </c>
      <c r="H332" s="2">
        <v>0</v>
      </c>
      <c r="I332" s="2">
        <v>0</v>
      </c>
      <c r="J332" s="2">
        <v>0</v>
      </c>
      <c r="K332" s="2">
        <v>6615</v>
      </c>
      <c r="L332" s="2">
        <v>0</v>
      </c>
      <c r="M332" s="2">
        <v>0</v>
      </c>
      <c r="N332" s="2">
        <v>2</v>
      </c>
      <c r="O332" s="2">
        <v>0</v>
      </c>
      <c r="P332" s="2">
        <v>1</v>
      </c>
      <c r="Q332" s="2">
        <v>0</v>
      </c>
      <c r="R332" s="2">
        <v>0</v>
      </c>
      <c r="S332" s="2">
        <v>0</v>
      </c>
      <c r="T332" s="2">
        <v>4</v>
      </c>
      <c r="U332" s="2">
        <v>0</v>
      </c>
      <c r="V332" s="2">
        <v>1</v>
      </c>
      <c r="W332" s="2">
        <v>75</v>
      </c>
      <c r="X332" s="2">
        <v>0</v>
      </c>
      <c r="Y332" s="2">
        <v>0</v>
      </c>
      <c r="Z332" s="2">
        <v>0</v>
      </c>
      <c r="AA332" s="2">
        <v>2</v>
      </c>
      <c r="AB332" s="2">
        <v>3</v>
      </c>
      <c r="AC332" s="2">
        <v>1</v>
      </c>
      <c r="AD332" s="2">
        <v>1</v>
      </c>
      <c r="AE332" s="2">
        <v>0</v>
      </c>
      <c r="AF332" s="2">
        <v>1</v>
      </c>
      <c r="AG332" s="20">
        <f t="shared" si="5"/>
        <v>100</v>
      </c>
    </row>
    <row r="333" spans="1:33" x14ac:dyDescent="0.25">
      <c r="A333">
        <v>332</v>
      </c>
      <c r="B333" s="2">
        <v>3</v>
      </c>
      <c r="C333" s="2">
        <v>18</v>
      </c>
      <c r="D333" s="2">
        <v>4</v>
      </c>
      <c r="E333" s="2">
        <v>0</v>
      </c>
      <c r="F333" s="2">
        <v>0</v>
      </c>
      <c r="G333" s="2">
        <v>0</v>
      </c>
      <c r="H333" s="2">
        <v>0</v>
      </c>
      <c r="I333" s="2">
        <v>1</v>
      </c>
      <c r="J333" s="2">
        <v>0</v>
      </c>
      <c r="K333" s="2">
        <v>1864</v>
      </c>
      <c r="L333" s="2">
        <v>1</v>
      </c>
      <c r="M333" s="2">
        <v>2</v>
      </c>
      <c r="N333" s="2">
        <v>4</v>
      </c>
      <c r="O333" s="2">
        <v>0</v>
      </c>
      <c r="P333" s="2">
        <v>0</v>
      </c>
      <c r="Q333" s="2">
        <v>0</v>
      </c>
      <c r="R333" s="2">
        <v>0</v>
      </c>
      <c r="S333" s="2">
        <v>0</v>
      </c>
      <c r="T333" s="2">
        <v>2</v>
      </c>
      <c r="U333" s="2">
        <v>1</v>
      </c>
      <c r="V333" s="2">
        <v>0</v>
      </c>
      <c r="W333" s="2">
        <v>30</v>
      </c>
      <c r="X333" s="2">
        <v>0</v>
      </c>
      <c r="Y333" s="2">
        <v>0</v>
      </c>
      <c r="Z333" s="2">
        <v>1</v>
      </c>
      <c r="AA333" s="2">
        <v>2</v>
      </c>
      <c r="AB333" s="2">
        <v>2</v>
      </c>
      <c r="AC333" s="2">
        <v>1</v>
      </c>
      <c r="AD333" s="2">
        <v>0</v>
      </c>
      <c r="AE333" s="2">
        <v>0</v>
      </c>
      <c r="AF333" s="2">
        <v>0</v>
      </c>
      <c r="AG333" s="20">
        <f t="shared" si="5"/>
        <v>-500</v>
      </c>
    </row>
    <row r="334" spans="1:33" x14ac:dyDescent="0.25">
      <c r="A334">
        <v>333</v>
      </c>
      <c r="B334" s="2">
        <v>1</v>
      </c>
      <c r="C334" s="2">
        <v>60</v>
      </c>
      <c r="D334" s="2">
        <v>2</v>
      </c>
      <c r="E334" s="2">
        <v>1</v>
      </c>
      <c r="F334" s="2">
        <v>0</v>
      </c>
      <c r="G334" s="2">
        <v>0</v>
      </c>
      <c r="H334" s="2">
        <v>0</v>
      </c>
      <c r="I334" s="2">
        <v>0</v>
      </c>
      <c r="J334" s="2">
        <v>0</v>
      </c>
      <c r="K334" s="2">
        <v>7408</v>
      </c>
      <c r="L334" s="2">
        <v>1</v>
      </c>
      <c r="M334" s="2">
        <v>1</v>
      </c>
      <c r="N334" s="2">
        <v>4</v>
      </c>
      <c r="O334" s="2">
        <v>0</v>
      </c>
      <c r="P334" s="2">
        <v>0</v>
      </c>
      <c r="Q334" s="2">
        <v>0</v>
      </c>
      <c r="R334" s="2">
        <v>0</v>
      </c>
      <c r="S334" s="2">
        <v>0</v>
      </c>
      <c r="T334" s="2">
        <v>2</v>
      </c>
      <c r="U334" s="2">
        <v>0</v>
      </c>
      <c r="V334" s="2">
        <v>0</v>
      </c>
      <c r="W334" s="2">
        <v>24</v>
      </c>
      <c r="X334" s="2">
        <v>0</v>
      </c>
      <c r="Y334" s="2">
        <v>0</v>
      </c>
      <c r="Z334" s="2">
        <v>1</v>
      </c>
      <c r="AA334" s="2">
        <v>1</v>
      </c>
      <c r="AB334" s="2">
        <v>3</v>
      </c>
      <c r="AC334" s="2">
        <v>1</v>
      </c>
      <c r="AD334" s="2">
        <v>0</v>
      </c>
      <c r="AE334" s="2">
        <v>0</v>
      </c>
      <c r="AF334" s="2">
        <v>0</v>
      </c>
      <c r="AG334" s="20">
        <f t="shared" si="5"/>
        <v>-500</v>
      </c>
    </row>
    <row r="335" spans="1:33" x14ac:dyDescent="0.25">
      <c r="A335">
        <v>334</v>
      </c>
      <c r="B335" s="2">
        <v>3</v>
      </c>
      <c r="C335" s="2">
        <v>48</v>
      </c>
      <c r="D335" s="2">
        <v>4</v>
      </c>
      <c r="E335" s="2">
        <v>0</v>
      </c>
      <c r="F335" s="2">
        <v>1</v>
      </c>
      <c r="G335" s="2">
        <v>0</v>
      </c>
      <c r="H335" s="2">
        <v>0</v>
      </c>
      <c r="I335" s="2">
        <v>0</v>
      </c>
      <c r="J335" s="2">
        <v>0</v>
      </c>
      <c r="K335" s="2">
        <v>11590</v>
      </c>
      <c r="L335" s="2">
        <v>1</v>
      </c>
      <c r="M335" s="2">
        <v>2</v>
      </c>
      <c r="N335" s="2">
        <v>2</v>
      </c>
      <c r="O335" s="2">
        <v>0</v>
      </c>
      <c r="P335" s="2">
        <v>0</v>
      </c>
      <c r="Q335" s="2">
        <v>0</v>
      </c>
      <c r="R335" s="2">
        <v>0</v>
      </c>
      <c r="S335" s="2">
        <v>0</v>
      </c>
      <c r="T335" s="2">
        <v>4</v>
      </c>
      <c r="U335" s="2">
        <v>0</v>
      </c>
      <c r="V335" s="2">
        <v>0</v>
      </c>
      <c r="W335" s="2">
        <v>24</v>
      </c>
      <c r="X335" s="2">
        <v>1</v>
      </c>
      <c r="Y335" s="2">
        <v>1</v>
      </c>
      <c r="Z335" s="2">
        <v>0</v>
      </c>
      <c r="AA335" s="2">
        <v>2</v>
      </c>
      <c r="AB335" s="2">
        <v>1</v>
      </c>
      <c r="AC335" s="2">
        <v>1</v>
      </c>
      <c r="AD335" s="2">
        <v>0</v>
      </c>
      <c r="AE335" s="2">
        <v>0</v>
      </c>
      <c r="AF335" s="2">
        <v>0</v>
      </c>
      <c r="AG335" s="20">
        <f t="shared" si="5"/>
        <v>-500</v>
      </c>
    </row>
    <row r="336" spans="1:33" x14ac:dyDescent="0.25">
      <c r="A336">
        <v>335</v>
      </c>
      <c r="B336" s="2">
        <v>0</v>
      </c>
      <c r="C336" s="2">
        <v>24</v>
      </c>
      <c r="D336" s="2">
        <v>0</v>
      </c>
      <c r="E336" s="2">
        <v>0</v>
      </c>
      <c r="F336" s="2">
        <v>0</v>
      </c>
      <c r="G336" s="2">
        <v>1</v>
      </c>
      <c r="H336" s="2">
        <v>0</v>
      </c>
      <c r="I336" s="2">
        <v>0</v>
      </c>
      <c r="J336" s="2">
        <v>0</v>
      </c>
      <c r="K336" s="2">
        <v>4110</v>
      </c>
      <c r="L336" s="2">
        <v>0</v>
      </c>
      <c r="M336" s="2">
        <v>4</v>
      </c>
      <c r="N336" s="2">
        <v>3</v>
      </c>
      <c r="O336" s="2">
        <v>0</v>
      </c>
      <c r="P336" s="2">
        <v>1</v>
      </c>
      <c r="Q336" s="2">
        <v>0</v>
      </c>
      <c r="R336" s="2">
        <v>0</v>
      </c>
      <c r="S336" s="2">
        <v>0</v>
      </c>
      <c r="T336" s="2">
        <v>4</v>
      </c>
      <c r="U336" s="2">
        <v>0</v>
      </c>
      <c r="V336" s="2">
        <v>1</v>
      </c>
      <c r="W336" s="2">
        <v>23</v>
      </c>
      <c r="X336" s="2">
        <v>1</v>
      </c>
      <c r="Y336" s="2">
        <v>1</v>
      </c>
      <c r="Z336" s="2">
        <v>0</v>
      </c>
      <c r="AA336" s="2">
        <v>2</v>
      </c>
      <c r="AB336" s="2">
        <v>2</v>
      </c>
      <c r="AC336" s="2">
        <v>2</v>
      </c>
      <c r="AD336" s="2">
        <v>0</v>
      </c>
      <c r="AE336" s="2">
        <v>0</v>
      </c>
      <c r="AF336" s="2">
        <v>0</v>
      </c>
      <c r="AG336" s="20">
        <f t="shared" si="5"/>
        <v>-500</v>
      </c>
    </row>
    <row r="337" spans="1:33" x14ac:dyDescent="0.25">
      <c r="A337">
        <v>336</v>
      </c>
      <c r="B337" s="2">
        <v>0</v>
      </c>
      <c r="C337" s="2">
        <v>6</v>
      </c>
      <c r="D337" s="2">
        <v>4</v>
      </c>
      <c r="E337" s="2">
        <v>0</v>
      </c>
      <c r="F337" s="2">
        <v>0</v>
      </c>
      <c r="G337" s="2">
        <v>1</v>
      </c>
      <c r="H337" s="2">
        <v>0</v>
      </c>
      <c r="I337" s="2">
        <v>0</v>
      </c>
      <c r="J337" s="2">
        <v>0</v>
      </c>
      <c r="K337" s="2">
        <v>3384</v>
      </c>
      <c r="L337" s="2">
        <v>0</v>
      </c>
      <c r="M337" s="2">
        <v>2</v>
      </c>
      <c r="N337" s="2">
        <v>1</v>
      </c>
      <c r="O337" s="2">
        <v>1</v>
      </c>
      <c r="P337" s="2">
        <v>0</v>
      </c>
      <c r="Q337" s="2">
        <v>0</v>
      </c>
      <c r="R337" s="2">
        <v>0</v>
      </c>
      <c r="S337" s="2">
        <v>0</v>
      </c>
      <c r="T337" s="2">
        <v>4</v>
      </c>
      <c r="U337" s="2">
        <v>1</v>
      </c>
      <c r="V337" s="2">
        <v>0</v>
      </c>
      <c r="W337" s="2">
        <v>44</v>
      </c>
      <c r="X337" s="2">
        <v>0</v>
      </c>
      <c r="Y337" s="2">
        <v>1</v>
      </c>
      <c r="Z337" s="2">
        <v>0</v>
      </c>
      <c r="AA337" s="2">
        <v>1</v>
      </c>
      <c r="AB337" s="2">
        <v>3</v>
      </c>
      <c r="AC337" s="2">
        <v>1</v>
      </c>
      <c r="AD337" s="2">
        <v>1</v>
      </c>
      <c r="AE337" s="2">
        <v>0</v>
      </c>
      <c r="AF337" s="2">
        <v>0</v>
      </c>
      <c r="AG337" s="20">
        <f t="shared" si="5"/>
        <v>-500</v>
      </c>
    </row>
    <row r="338" spans="1:33" x14ac:dyDescent="0.25">
      <c r="A338">
        <v>337</v>
      </c>
      <c r="B338" s="2">
        <v>1</v>
      </c>
      <c r="C338" s="2">
        <v>13</v>
      </c>
      <c r="D338" s="2">
        <v>2</v>
      </c>
      <c r="E338" s="2">
        <v>0</v>
      </c>
      <c r="F338" s="2">
        <v>0</v>
      </c>
      <c r="G338" s="2">
        <v>0</v>
      </c>
      <c r="H338" s="2">
        <v>1</v>
      </c>
      <c r="I338" s="2">
        <v>0</v>
      </c>
      <c r="J338" s="2">
        <v>0</v>
      </c>
      <c r="K338" s="2">
        <v>2101</v>
      </c>
      <c r="L338" s="2">
        <v>0</v>
      </c>
      <c r="M338" s="2">
        <v>1</v>
      </c>
      <c r="N338" s="2">
        <v>2</v>
      </c>
      <c r="O338" s="2">
        <v>0</v>
      </c>
      <c r="P338" s="2">
        <v>0</v>
      </c>
      <c r="Q338" s="2">
        <v>0</v>
      </c>
      <c r="R338" s="2">
        <v>0</v>
      </c>
      <c r="S338" s="2">
        <v>1</v>
      </c>
      <c r="T338" s="2">
        <v>4</v>
      </c>
      <c r="U338" s="2">
        <v>0</v>
      </c>
      <c r="V338" s="2">
        <v>0</v>
      </c>
      <c r="W338" s="2">
        <v>23</v>
      </c>
      <c r="X338" s="2">
        <v>0</v>
      </c>
      <c r="Y338" s="2">
        <v>0</v>
      </c>
      <c r="Z338" s="2">
        <v>1</v>
      </c>
      <c r="AA338" s="2">
        <v>1</v>
      </c>
      <c r="AB338" s="2">
        <v>1</v>
      </c>
      <c r="AC338" s="2">
        <v>1</v>
      </c>
      <c r="AD338" s="2">
        <v>0</v>
      </c>
      <c r="AE338" s="2">
        <v>0</v>
      </c>
      <c r="AF338" s="2">
        <v>1</v>
      </c>
      <c r="AG338" s="20">
        <f t="shared" si="5"/>
        <v>100</v>
      </c>
    </row>
    <row r="339" spans="1:33" x14ac:dyDescent="0.25">
      <c r="A339">
        <v>338</v>
      </c>
      <c r="B339" s="2">
        <v>0</v>
      </c>
      <c r="C339" s="2">
        <v>15</v>
      </c>
      <c r="D339" s="2">
        <v>2</v>
      </c>
      <c r="E339" s="2">
        <v>0</v>
      </c>
      <c r="F339" s="2">
        <v>0</v>
      </c>
      <c r="G339" s="2">
        <v>0</v>
      </c>
      <c r="H339" s="2">
        <v>0</v>
      </c>
      <c r="I339" s="2">
        <v>0</v>
      </c>
      <c r="J339" s="2">
        <v>0</v>
      </c>
      <c r="K339" s="2">
        <v>1275</v>
      </c>
      <c r="L339" s="2">
        <v>4</v>
      </c>
      <c r="M339" s="2">
        <v>2</v>
      </c>
      <c r="N339" s="2">
        <v>4</v>
      </c>
      <c r="O339" s="2">
        <v>0</v>
      </c>
      <c r="P339" s="2">
        <v>0</v>
      </c>
      <c r="Q339" s="2">
        <v>0</v>
      </c>
      <c r="R339" s="2">
        <v>0</v>
      </c>
      <c r="S339" s="2">
        <v>0</v>
      </c>
      <c r="T339" s="2">
        <v>2</v>
      </c>
      <c r="U339" s="2">
        <v>0</v>
      </c>
      <c r="V339" s="2">
        <v>0</v>
      </c>
      <c r="W339" s="2">
        <v>24</v>
      </c>
      <c r="X339" s="2">
        <v>0</v>
      </c>
      <c r="Y339" s="2">
        <v>1</v>
      </c>
      <c r="Z339" s="2">
        <v>0</v>
      </c>
      <c r="AA339" s="2">
        <v>1</v>
      </c>
      <c r="AB339" s="2">
        <v>2</v>
      </c>
      <c r="AC339" s="2">
        <v>1</v>
      </c>
      <c r="AD339" s="2">
        <v>0</v>
      </c>
      <c r="AE339" s="2">
        <v>0</v>
      </c>
      <c r="AF339" s="2">
        <v>0</v>
      </c>
      <c r="AG339" s="20">
        <f t="shared" si="5"/>
        <v>-500</v>
      </c>
    </row>
    <row r="340" spans="1:33" x14ac:dyDescent="0.25">
      <c r="A340">
        <v>339</v>
      </c>
      <c r="B340" s="2">
        <v>0</v>
      </c>
      <c r="C340" s="2">
        <v>24</v>
      </c>
      <c r="D340" s="2">
        <v>2</v>
      </c>
      <c r="E340" s="2">
        <v>0</v>
      </c>
      <c r="F340" s="2">
        <v>0</v>
      </c>
      <c r="G340" s="2">
        <v>1</v>
      </c>
      <c r="H340" s="2">
        <v>0</v>
      </c>
      <c r="I340" s="2">
        <v>0</v>
      </c>
      <c r="J340" s="2">
        <v>0</v>
      </c>
      <c r="K340" s="2">
        <v>4169</v>
      </c>
      <c r="L340" s="2">
        <v>0</v>
      </c>
      <c r="M340" s="2">
        <v>2</v>
      </c>
      <c r="N340" s="2">
        <v>4</v>
      </c>
      <c r="O340" s="2">
        <v>0</v>
      </c>
      <c r="P340" s="2">
        <v>1</v>
      </c>
      <c r="Q340" s="2">
        <v>0</v>
      </c>
      <c r="R340" s="2">
        <v>0</v>
      </c>
      <c r="S340" s="2">
        <v>0</v>
      </c>
      <c r="T340" s="2">
        <v>4</v>
      </c>
      <c r="U340" s="2">
        <v>0</v>
      </c>
      <c r="V340" s="2">
        <v>0</v>
      </c>
      <c r="W340" s="2">
        <v>28</v>
      </c>
      <c r="X340" s="2">
        <v>0</v>
      </c>
      <c r="Y340" s="2">
        <v>0</v>
      </c>
      <c r="Z340" s="2">
        <v>1</v>
      </c>
      <c r="AA340" s="2">
        <v>1</v>
      </c>
      <c r="AB340" s="2">
        <v>2</v>
      </c>
      <c r="AC340" s="2">
        <v>1</v>
      </c>
      <c r="AD340" s="2">
        <v>0</v>
      </c>
      <c r="AE340" s="2">
        <v>0</v>
      </c>
      <c r="AF340" s="2">
        <v>1</v>
      </c>
      <c r="AG340" s="20">
        <f t="shared" si="5"/>
        <v>100</v>
      </c>
    </row>
    <row r="341" spans="1:33" x14ac:dyDescent="0.25">
      <c r="A341">
        <v>340</v>
      </c>
      <c r="B341" s="2">
        <v>1</v>
      </c>
      <c r="C341" s="2">
        <v>10</v>
      </c>
      <c r="D341" s="2">
        <v>2</v>
      </c>
      <c r="E341" s="2">
        <v>0</v>
      </c>
      <c r="F341" s="2">
        <v>0</v>
      </c>
      <c r="G341" s="2">
        <v>1</v>
      </c>
      <c r="H341" s="2">
        <v>0</v>
      </c>
      <c r="I341" s="2">
        <v>0</v>
      </c>
      <c r="J341" s="2">
        <v>0</v>
      </c>
      <c r="K341" s="2">
        <v>1521</v>
      </c>
      <c r="L341" s="2">
        <v>0</v>
      </c>
      <c r="M341" s="2">
        <v>2</v>
      </c>
      <c r="N341" s="2">
        <v>4</v>
      </c>
      <c r="O341" s="2">
        <v>1</v>
      </c>
      <c r="P341" s="2">
        <v>0</v>
      </c>
      <c r="Q341" s="2">
        <v>0</v>
      </c>
      <c r="R341" s="2">
        <v>0</v>
      </c>
      <c r="S341" s="2">
        <v>0</v>
      </c>
      <c r="T341" s="2">
        <v>2</v>
      </c>
      <c r="U341" s="2">
        <v>0</v>
      </c>
      <c r="V341" s="2">
        <v>0</v>
      </c>
      <c r="W341" s="2">
        <v>31</v>
      </c>
      <c r="X341" s="2">
        <v>0</v>
      </c>
      <c r="Y341" s="2">
        <v>0</v>
      </c>
      <c r="Z341" s="2">
        <v>1</v>
      </c>
      <c r="AA341" s="2">
        <v>1</v>
      </c>
      <c r="AB341" s="2">
        <v>1</v>
      </c>
      <c r="AC341" s="2">
        <v>1</v>
      </c>
      <c r="AD341" s="2">
        <v>0</v>
      </c>
      <c r="AE341" s="2">
        <v>0</v>
      </c>
      <c r="AF341" s="2">
        <v>1</v>
      </c>
      <c r="AG341" s="20">
        <f t="shared" si="5"/>
        <v>100</v>
      </c>
    </row>
    <row r="342" spans="1:33" x14ac:dyDescent="0.25">
      <c r="A342">
        <v>341</v>
      </c>
      <c r="B342" s="2">
        <v>1</v>
      </c>
      <c r="C342" s="2">
        <v>24</v>
      </c>
      <c r="D342" s="2">
        <v>4</v>
      </c>
      <c r="E342" s="2">
        <v>0</v>
      </c>
      <c r="F342" s="2">
        <v>0</v>
      </c>
      <c r="G342" s="2">
        <v>0</v>
      </c>
      <c r="H342" s="2">
        <v>0</v>
      </c>
      <c r="I342" s="2">
        <v>1</v>
      </c>
      <c r="J342" s="2">
        <v>0</v>
      </c>
      <c r="K342" s="2">
        <v>5743</v>
      </c>
      <c r="L342" s="2">
        <v>0</v>
      </c>
      <c r="M342" s="2">
        <v>1</v>
      </c>
      <c r="N342" s="2">
        <v>2</v>
      </c>
      <c r="O342" s="2">
        <v>0</v>
      </c>
      <c r="P342" s="2">
        <v>0</v>
      </c>
      <c r="Q342" s="2">
        <v>0</v>
      </c>
      <c r="R342" s="2">
        <v>0</v>
      </c>
      <c r="S342" s="2">
        <v>0</v>
      </c>
      <c r="T342" s="2">
        <v>4</v>
      </c>
      <c r="U342" s="2">
        <v>0</v>
      </c>
      <c r="V342" s="2">
        <v>1</v>
      </c>
      <c r="W342" s="2">
        <v>24</v>
      </c>
      <c r="X342" s="2">
        <v>0</v>
      </c>
      <c r="Y342" s="2">
        <v>0</v>
      </c>
      <c r="Z342" s="2">
        <v>0</v>
      </c>
      <c r="AA342" s="2">
        <v>2</v>
      </c>
      <c r="AB342" s="2">
        <v>2</v>
      </c>
      <c r="AC342" s="2">
        <v>1</v>
      </c>
      <c r="AD342" s="2">
        <v>1</v>
      </c>
      <c r="AE342" s="2">
        <v>0</v>
      </c>
      <c r="AF342" s="2">
        <v>1</v>
      </c>
      <c r="AG342" s="20">
        <f t="shared" si="5"/>
        <v>100</v>
      </c>
    </row>
    <row r="343" spans="1:33" x14ac:dyDescent="0.25">
      <c r="A343">
        <v>342</v>
      </c>
      <c r="B343" s="2">
        <v>0</v>
      </c>
      <c r="C343" s="2">
        <v>21</v>
      </c>
      <c r="D343" s="2">
        <v>2</v>
      </c>
      <c r="E343" s="2">
        <v>0</v>
      </c>
      <c r="F343" s="2">
        <v>0</v>
      </c>
      <c r="G343" s="2">
        <v>1</v>
      </c>
      <c r="H343" s="2">
        <v>0</v>
      </c>
      <c r="I343" s="2">
        <v>0</v>
      </c>
      <c r="J343" s="2">
        <v>0</v>
      </c>
      <c r="K343" s="2">
        <v>3599</v>
      </c>
      <c r="L343" s="2">
        <v>0</v>
      </c>
      <c r="M343" s="2">
        <v>3</v>
      </c>
      <c r="N343" s="2">
        <v>1</v>
      </c>
      <c r="O343" s="2">
        <v>0</v>
      </c>
      <c r="P343" s="2">
        <v>0</v>
      </c>
      <c r="Q343" s="2">
        <v>0</v>
      </c>
      <c r="R343" s="2">
        <v>0</v>
      </c>
      <c r="S343" s="2">
        <v>0</v>
      </c>
      <c r="T343" s="2">
        <v>4</v>
      </c>
      <c r="U343" s="2">
        <v>0</v>
      </c>
      <c r="V343" s="2">
        <v>0</v>
      </c>
      <c r="W343" s="2">
        <v>26</v>
      </c>
      <c r="X343" s="2">
        <v>0</v>
      </c>
      <c r="Y343" s="2">
        <v>1</v>
      </c>
      <c r="Z343" s="2">
        <v>0</v>
      </c>
      <c r="AA343" s="2">
        <v>1</v>
      </c>
      <c r="AB343" s="2">
        <v>1</v>
      </c>
      <c r="AC343" s="2">
        <v>1</v>
      </c>
      <c r="AD343" s="2">
        <v>0</v>
      </c>
      <c r="AE343" s="2">
        <v>0</v>
      </c>
      <c r="AF343" s="2">
        <v>1</v>
      </c>
      <c r="AG343" s="20">
        <f t="shared" si="5"/>
        <v>100</v>
      </c>
    </row>
    <row r="344" spans="1:33" x14ac:dyDescent="0.25">
      <c r="A344">
        <v>343</v>
      </c>
      <c r="B344" s="2">
        <v>1</v>
      </c>
      <c r="C344" s="2">
        <v>18</v>
      </c>
      <c r="D344" s="2">
        <v>2</v>
      </c>
      <c r="E344" s="2">
        <v>0</v>
      </c>
      <c r="F344" s="2">
        <v>0</v>
      </c>
      <c r="G344" s="2">
        <v>0</v>
      </c>
      <c r="H344" s="2">
        <v>1</v>
      </c>
      <c r="I344" s="2">
        <v>0</v>
      </c>
      <c r="J344" s="2">
        <v>0</v>
      </c>
      <c r="K344" s="2">
        <v>3213</v>
      </c>
      <c r="L344" s="2">
        <v>2</v>
      </c>
      <c r="M344" s="2">
        <v>1</v>
      </c>
      <c r="N344" s="2">
        <v>1</v>
      </c>
      <c r="O344" s="2">
        <v>0</v>
      </c>
      <c r="P344" s="2">
        <v>0</v>
      </c>
      <c r="Q344" s="2">
        <v>1</v>
      </c>
      <c r="R344" s="2">
        <v>0</v>
      </c>
      <c r="S344" s="2">
        <v>0</v>
      </c>
      <c r="T344" s="2">
        <v>3</v>
      </c>
      <c r="U344" s="2">
        <v>1</v>
      </c>
      <c r="V344" s="2">
        <v>0</v>
      </c>
      <c r="W344" s="2">
        <v>25</v>
      </c>
      <c r="X344" s="2">
        <v>0</v>
      </c>
      <c r="Y344" s="2">
        <v>1</v>
      </c>
      <c r="Z344" s="2">
        <v>0</v>
      </c>
      <c r="AA344" s="2">
        <v>1</v>
      </c>
      <c r="AB344" s="2">
        <v>2</v>
      </c>
      <c r="AC344" s="2">
        <v>1</v>
      </c>
      <c r="AD344" s="2">
        <v>0</v>
      </c>
      <c r="AE344" s="2">
        <v>0</v>
      </c>
      <c r="AF344" s="2">
        <v>1</v>
      </c>
      <c r="AG344" s="20">
        <f t="shared" si="5"/>
        <v>100</v>
      </c>
    </row>
    <row r="345" spans="1:33" x14ac:dyDescent="0.25">
      <c r="A345">
        <v>344</v>
      </c>
      <c r="B345" s="2">
        <v>1</v>
      </c>
      <c r="C345" s="2">
        <v>18</v>
      </c>
      <c r="D345" s="2">
        <v>2</v>
      </c>
      <c r="E345" s="2">
        <v>0</v>
      </c>
      <c r="F345" s="2">
        <v>0</v>
      </c>
      <c r="G345" s="2">
        <v>0</v>
      </c>
      <c r="H345" s="2">
        <v>0</v>
      </c>
      <c r="I345" s="2">
        <v>0</v>
      </c>
      <c r="J345" s="2">
        <v>1</v>
      </c>
      <c r="K345" s="2">
        <v>4439</v>
      </c>
      <c r="L345" s="2">
        <v>0</v>
      </c>
      <c r="M345" s="2">
        <v>4</v>
      </c>
      <c r="N345" s="2">
        <v>1</v>
      </c>
      <c r="O345" s="2">
        <v>0</v>
      </c>
      <c r="P345" s="2">
        <v>1</v>
      </c>
      <c r="Q345" s="2">
        <v>0</v>
      </c>
      <c r="R345" s="2">
        <v>1</v>
      </c>
      <c r="S345" s="2">
        <v>0</v>
      </c>
      <c r="T345" s="2">
        <v>1</v>
      </c>
      <c r="U345" s="2">
        <v>1</v>
      </c>
      <c r="V345" s="2">
        <v>0</v>
      </c>
      <c r="W345" s="2">
        <v>33</v>
      </c>
      <c r="X345" s="2">
        <v>1</v>
      </c>
      <c r="Y345" s="2">
        <v>0</v>
      </c>
      <c r="Z345" s="2">
        <v>1</v>
      </c>
      <c r="AA345" s="2">
        <v>1</v>
      </c>
      <c r="AB345" s="2">
        <v>3</v>
      </c>
      <c r="AC345" s="2">
        <v>1</v>
      </c>
      <c r="AD345" s="2">
        <v>1</v>
      </c>
      <c r="AE345" s="2">
        <v>0</v>
      </c>
      <c r="AF345" s="2">
        <v>1</v>
      </c>
      <c r="AG345" s="20">
        <f t="shared" si="5"/>
        <v>100</v>
      </c>
    </row>
    <row r="346" spans="1:33" x14ac:dyDescent="0.25">
      <c r="A346">
        <v>345</v>
      </c>
      <c r="B346" s="2">
        <v>2</v>
      </c>
      <c r="C346" s="2">
        <v>10</v>
      </c>
      <c r="D346" s="2">
        <v>2</v>
      </c>
      <c r="E346" s="2">
        <v>1</v>
      </c>
      <c r="F346" s="2">
        <v>0</v>
      </c>
      <c r="G346" s="2">
        <v>0</v>
      </c>
      <c r="H346" s="2">
        <v>0</v>
      </c>
      <c r="I346" s="2">
        <v>0</v>
      </c>
      <c r="J346" s="2">
        <v>0</v>
      </c>
      <c r="K346" s="2">
        <v>3949</v>
      </c>
      <c r="L346" s="2">
        <v>0</v>
      </c>
      <c r="M346" s="2">
        <v>1</v>
      </c>
      <c r="N346" s="2">
        <v>1</v>
      </c>
      <c r="O346" s="2">
        <v>0</v>
      </c>
      <c r="P346" s="2">
        <v>1</v>
      </c>
      <c r="Q346" s="2">
        <v>0</v>
      </c>
      <c r="R346" s="2">
        <v>0</v>
      </c>
      <c r="S346" s="2">
        <v>1</v>
      </c>
      <c r="T346" s="2">
        <v>1</v>
      </c>
      <c r="U346" s="2">
        <v>0</v>
      </c>
      <c r="V346" s="2">
        <v>0</v>
      </c>
      <c r="W346" s="2">
        <v>37</v>
      </c>
      <c r="X346" s="2">
        <v>0</v>
      </c>
      <c r="Y346" s="2">
        <v>0</v>
      </c>
      <c r="Z346" s="2">
        <v>1</v>
      </c>
      <c r="AA346" s="2">
        <v>1</v>
      </c>
      <c r="AB346" s="2">
        <v>1</v>
      </c>
      <c r="AC346" s="2">
        <v>2</v>
      </c>
      <c r="AD346" s="2">
        <v>0</v>
      </c>
      <c r="AE346" s="2">
        <v>0</v>
      </c>
      <c r="AF346" s="2">
        <v>1</v>
      </c>
      <c r="AG346" s="20">
        <f t="shared" si="5"/>
        <v>100</v>
      </c>
    </row>
    <row r="347" spans="1:33" x14ac:dyDescent="0.25">
      <c r="A347">
        <v>346</v>
      </c>
      <c r="B347" s="2">
        <v>3</v>
      </c>
      <c r="C347" s="2">
        <v>15</v>
      </c>
      <c r="D347" s="2">
        <v>4</v>
      </c>
      <c r="E347" s="2">
        <v>0</v>
      </c>
      <c r="F347" s="2">
        <v>0</v>
      </c>
      <c r="G347" s="2">
        <v>0</v>
      </c>
      <c r="H347" s="2">
        <v>1</v>
      </c>
      <c r="I347" s="2">
        <v>0</v>
      </c>
      <c r="J347" s="2">
        <v>0</v>
      </c>
      <c r="K347" s="2">
        <v>1459</v>
      </c>
      <c r="L347" s="2">
        <v>0</v>
      </c>
      <c r="M347" s="2">
        <v>2</v>
      </c>
      <c r="N347" s="2">
        <v>4</v>
      </c>
      <c r="O347" s="2">
        <v>0</v>
      </c>
      <c r="P347" s="2">
        <v>0</v>
      </c>
      <c r="Q347" s="2">
        <v>0</v>
      </c>
      <c r="R347" s="2">
        <v>0</v>
      </c>
      <c r="S347" s="2">
        <v>0</v>
      </c>
      <c r="T347" s="2">
        <v>2</v>
      </c>
      <c r="U347" s="2">
        <v>0</v>
      </c>
      <c r="V347" s="2">
        <v>0</v>
      </c>
      <c r="W347" s="2">
        <v>43</v>
      </c>
      <c r="X347" s="2">
        <v>0</v>
      </c>
      <c r="Y347" s="2">
        <v>0</v>
      </c>
      <c r="Z347" s="2">
        <v>1</v>
      </c>
      <c r="AA347" s="2">
        <v>1</v>
      </c>
      <c r="AB347" s="2">
        <v>1</v>
      </c>
      <c r="AC347" s="2">
        <v>1</v>
      </c>
      <c r="AD347" s="2">
        <v>0</v>
      </c>
      <c r="AE347" s="2">
        <v>0</v>
      </c>
      <c r="AF347" s="2">
        <v>1</v>
      </c>
      <c r="AG347" s="20">
        <f t="shared" si="5"/>
        <v>100</v>
      </c>
    </row>
    <row r="348" spans="1:33" x14ac:dyDescent="0.25">
      <c r="A348">
        <v>347</v>
      </c>
      <c r="B348" s="2">
        <v>1</v>
      </c>
      <c r="C348" s="2">
        <v>13</v>
      </c>
      <c r="D348" s="2">
        <v>4</v>
      </c>
      <c r="E348" s="2">
        <v>0</v>
      </c>
      <c r="F348" s="2">
        <v>0</v>
      </c>
      <c r="G348" s="2">
        <v>0</v>
      </c>
      <c r="H348" s="2">
        <v>1</v>
      </c>
      <c r="I348" s="2">
        <v>0</v>
      </c>
      <c r="J348" s="2">
        <v>0</v>
      </c>
      <c r="K348" s="2">
        <v>882</v>
      </c>
      <c r="L348" s="2">
        <v>0</v>
      </c>
      <c r="M348" s="2">
        <v>1</v>
      </c>
      <c r="N348" s="2">
        <v>4</v>
      </c>
      <c r="O348" s="2">
        <v>0</v>
      </c>
      <c r="P348" s="2">
        <v>1</v>
      </c>
      <c r="Q348" s="2">
        <v>0</v>
      </c>
      <c r="R348" s="2">
        <v>0</v>
      </c>
      <c r="S348" s="2">
        <v>1</v>
      </c>
      <c r="T348" s="2">
        <v>4</v>
      </c>
      <c r="U348" s="2">
        <v>1</v>
      </c>
      <c r="V348" s="2">
        <v>0</v>
      </c>
      <c r="W348" s="2">
        <v>23</v>
      </c>
      <c r="X348" s="2">
        <v>0</v>
      </c>
      <c r="Y348" s="2">
        <v>0</v>
      </c>
      <c r="Z348" s="2">
        <v>1</v>
      </c>
      <c r="AA348" s="2">
        <v>2</v>
      </c>
      <c r="AB348" s="2">
        <v>2</v>
      </c>
      <c r="AC348" s="2">
        <v>1</v>
      </c>
      <c r="AD348" s="2">
        <v>0</v>
      </c>
      <c r="AE348" s="2">
        <v>0</v>
      </c>
      <c r="AF348" s="2">
        <v>1</v>
      </c>
      <c r="AG348" s="20">
        <f t="shared" si="5"/>
        <v>100</v>
      </c>
    </row>
    <row r="349" spans="1:33" x14ac:dyDescent="0.25">
      <c r="A349">
        <v>348</v>
      </c>
      <c r="B349" s="2">
        <v>1</v>
      </c>
      <c r="C349" s="2">
        <v>24</v>
      </c>
      <c r="D349" s="2">
        <v>2</v>
      </c>
      <c r="E349" s="2">
        <v>0</v>
      </c>
      <c r="F349" s="2">
        <v>0</v>
      </c>
      <c r="G349" s="2">
        <v>0</v>
      </c>
      <c r="H349" s="2">
        <v>1</v>
      </c>
      <c r="I349" s="2">
        <v>0</v>
      </c>
      <c r="J349" s="2">
        <v>0</v>
      </c>
      <c r="K349" s="2">
        <v>3758</v>
      </c>
      <c r="L349" s="2">
        <v>2</v>
      </c>
      <c r="M349" s="2">
        <v>0</v>
      </c>
      <c r="N349" s="2">
        <v>1</v>
      </c>
      <c r="O349" s="2">
        <v>0</v>
      </c>
      <c r="P349" s="2">
        <v>0</v>
      </c>
      <c r="Q349" s="2">
        <v>0</v>
      </c>
      <c r="R349" s="2">
        <v>0</v>
      </c>
      <c r="S349" s="2">
        <v>0</v>
      </c>
      <c r="T349" s="2">
        <v>4</v>
      </c>
      <c r="U349" s="2">
        <v>0</v>
      </c>
      <c r="V349" s="2">
        <v>1</v>
      </c>
      <c r="W349" s="2">
        <v>23</v>
      </c>
      <c r="X349" s="2">
        <v>0</v>
      </c>
      <c r="Y349" s="2">
        <v>1</v>
      </c>
      <c r="Z349" s="2">
        <v>0</v>
      </c>
      <c r="AA349" s="2">
        <v>1</v>
      </c>
      <c r="AB349" s="2">
        <v>0</v>
      </c>
      <c r="AC349" s="2">
        <v>1</v>
      </c>
      <c r="AD349" s="2">
        <v>0</v>
      </c>
      <c r="AE349" s="2">
        <v>0</v>
      </c>
      <c r="AF349" s="2">
        <v>1</v>
      </c>
      <c r="AG349" s="20">
        <f t="shared" si="5"/>
        <v>100</v>
      </c>
    </row>
    <row r="350" spans="1:33" x14ac:dyDescent="0.25">
      <c r="A350">
        <v>349</v>
      </c>
      <c r="B350" s="2">
        <v>3</v>
      </c>
      <c r="C350" s="2">
        <v>6</v>
      </c>
      <c r="D350" s="2">
        <v>3</v>
      </c>
      <c r="E350" s="2">
        <v>0</v>
      </c>
      <c r="F350" s="2">
        <v>0</v>
      </c>
      <c r="G350" s="2">
        <v>0</v>
      </c>
      <c r="H350" s="2">
        <v>0</v>
      </c>
      <c r="I350" s="2">
        <v>0</v>
      </c>
      <c r="J350" s="2">
        <v>1</v>
      </c>
      <c r="K350" s="2">
        <v>1743</v>
      </c>
      <c r="L350" s="2">
        <v>1</v>
      </c>
      <c r="M350" s="2">
        <v>2</v>
      </c>
      <c r="N350" s="2">
        <v>1</v>
      </c>
      <c r="O350" s="2">
        <v>0</v>
      </c>
      <c r="P350" s="2">
        <v>1</v>
      </c>
      <c r="Q350" s="2">
        <v>0</v>
      </c>
      <c r="R350" s="2">
        <v>0</v>
      </c>
      <c r="S350" s="2">
        <v>0</v>
      </c>
      <c r="T350" s="2">
        <v>2</v>
      </c>
      <c r="U350" s="2">
        <v>1</v>
      </c>
      <c r="V350" s="2">
        <v>0</v>
      </c>
      <c r="W350" s="2">
        <v>34</v>
      </c>
      <c r="X350" s="2">
        <v>0</v>
      </c>
      <c r="Y350" s="2">
        <v>0</v>
      </c>
      <c r="Z350" s="2">
        <v>1</v>
      </c>
      <c r="AA350" s="2">
        <v>2</v>
      </c>
      <c r="AB350" s="2">
        <v>1</v>
      </c>
      <c r="AC350" s="2">
        <v>1</v>
      </c>
      <c r="AD350" s="2">
        <v>0</v>
      </c>
      <c r="AE350" s="2">
        <v>0</v>
      </c>
      <c r="AF350" s="2">
        <v>1</v>
      </c>
      <c r="AG350" s="20">
        <f t="shared" si="5"/>
        <v>100</v>
      </c>
    </row>
    <row r="351" spans="1:33" x14ac:dyDescent="0.25">
      <c r="A351">
        <v>350</v>
      </c>
      <c r="B351" s="2">
        <v>1</v>
      </c>
      <c r="C351" s="2">
        <v>9</v>
      </c>
      <c r="D351" s="2">
        <v>4</v>
      </c>
      <c r="E351" s="2">
        <v>0</v>
      </c>
      <c r="F351" s="2">
        <v>0</v>
      </c>
      <c r="G351" s="2">
        <v>0</v>
      </c>
      <c r="H351" s="2">
        <v>0</v>
      </c>
      <c r="I351" s="2">
        <v>1</v>
      </c>
      <c r="J351" s="2">
        <v>0</v>
      </c>
      <c r="K351" s="2">
        <v>1136</v>
      </c>
      <c r="L351" s="2">
        <v>3</v>
      </c>
      <c r="M351" s="2">
        <v>4</v>
      </c>
      <c r="N351" s="2">
        <v>4</v>
      </c>
      <c r="O351" s="2">
        <v>0</v>
      </c>
      <c r="P351" s="2">
        <v>1</v>
      </c>
      <c r="Q351" s="2">
        <v>0</v>
      </c>
      <c r="R351" s="2">
        <v>0</v>
      </c>
      <c r="S351" s="2">
        <v>0</v>
      </c>
      <c r="T351" s="2">
        <v>3</v>
      </c>
      <c r="U351" s="2">
        <v>0</v>
      </c>
      <c r="V351" s="2">
        <v>1</v>
      </c>
      <c r="W351" s="2">
        <v>32</v>
      </c>
      <c r="X351" s="2">
        <v>0</v>
      </c>
      <c r="Y351" s="2">
        <v>0</v>
      </c>
      <c r="Z351" s="2">
        <v>0</v>
      </c>
      <c r="AA351" s="2">
        <v>2</v>
      </c>
      <c r="AB351" s="2">
        <v>2</v>
      </c>
      <c r="AC351" s="2">
        <v>2</v>
      </c>
      <c r="AD351" s="2">
        <v>0</v>
      </c>
      <c r="AE351" s="2">
        <v>0</v>
      </c>
      <c r="AF351" s="2">
        <v>0</v>
      </c>
      <c r="AG351" s="20">
        <f t="shared" si="5"/>
        <v>-500</v>
      </c>
    </row>
    <row r="352" spans="1:33" x14ac:dyDescent="0.25">
      <c r="A352">
        <v>351</v>
      </c>
      <c r="B352" s="2">
        <v>3</v>
      </c>
      <c r="C352" s="2">
        <v>9</v>
      </c>
      <c r="D352" s="2">
        <v>2</v>
      </c>
      <c r="E352" s="2">
        <v>0</v>
      </c>
      <c r="F352" s="2">
        <v>0</v>
      </c>
      <c r="G352" s="2">
        <v>0</v>
      </c>
      <c r="H352" s="2">
        <v>0</v>
      </c>
      <c r="I352" s="2">
        <v>0</v>
      </c>
      <c r="J352" s="2">
        <v>0</v>
      </c>
      <c r="K352" s="2">
        <v>1236</v>
      </c>
      <c r="L352" s="2">
        <v>0</v>
      </c>
      <c r="M352" s="2">
        <v>1</v>
      </c>
      <c r="N352" s="2">
        <v>1</v>
      </c>
      <c r="O352" s="2">
        <v>0</v>
      </c>
      <c r="P352" s="2">
        <v>0</v>
      </c>
      <c r="Q352" s="2">
        <v>0</v>
      </c>
      <c r="R352" s="2">
        <v>0</v>
      </c>
      <c r="S352" s="2">
        <v>0</v>
      </c>
      <c r="T352" s="2">
        <v>4</v>
      </c>
      <c r="U352" s="2">
        <v>1</v>
      </c>
      <c r="V352" s="2">
        <v>0</v>
      </c>
      <c r="W352" s="2">
        <v>23</v>
      </c>
      <c r="X352" s="2">
        <v>0</v>
      </c>
      <c r="Y352" s="2">
        <v>1</v>
      </c>
      <c r="Z352" s="2">
        <v>0</v>
      </c>
      <c r="AA352" s="2">
        <v>1</v>
      </c>
      <c r="AB352" s="2">
        <v>2</v>
      </c>
      <c r="AC352" s="2">
        <v>1</v>
      </c>
      <c r="AD352" s="2">
        <v>1</v>
      </c>
      <c r="AE352" s="2">
        <v>0</v>
      </c>
      <c r="AF352" s="2">
        <v>1</v>
      </c>
      <c r="AG352" s="20">
        <f t="shared" si="5"/>
        <v>100</v>
      </c>
    </row>
    <row r="353" spans="1:33" x14ac:dyDescent="0.25">
      <c r="A353">
        <v>352</v>
      </c>
      <c r="B353" s="2">
        <v>1</v>
      </c>
      <c r="C353" s="2">
        <v>9</v>
      </c>
      <c r="D353" s="2">
        <v>2</v>
      </c>
      <c r="E353" s="2">
        <v>0</v>
      </c>
      <c r="F353" s="2">
        <v>0</v>
      </c>
      <c r="G353" s="2">
        <v>1</v>
      </c>
      <c r="H353" s="2">
        <v>0</v>
      </c>
      <c r="I353" s="2">
        <v>0</v>
      </c>
      <c r="J353" s="2">
        <v>0</v>
      </c>
      <c r="K353" s="2">
        <v>959</v>
      </c>
      <c r="L353" s="2">
        <v>0</v>
      </c>
      <c r="M353" s="2">
        <v>2</v>
      </c>
      <c r="N353" s="2">
        <v>1</v>
      </c>
      <c r="O353" s="2">
        <v>0</v>
      </c>
      <c r="P353" s="2">
        <v>0</v>
      </c>
      <c r="Q353" s="2">
        <v>0</v>
      </c>
      <c r="R353" s="2">
        <v>0</v>
      </c>
      <c r="S353" s="2">
        <v>0</v>
      </c>
      <c r="T353" s="2">
        <v>2</v>
      </c>
      <c r="U353" s="2">
        <v>0</v>
      </c>
      <c r="V353" s="2">
        <v>0</v>
      </c>
      <c r="W353" s="2">
        <v>29</v>
      </c>
      <c r="X353" s="2">
        <v>0</v>
      </c>
      <c r="Y353" s="2">
        <v>0</v>
      </c>
      <c r="Z353" s="2">
        <v>1</v>
      </c>
      <c r="AA353" s="2">
        <v>1</v>
      </c>
      <c r="AB353" s="2">
        <v>2</v>
      </c>
      <c r="AC353" s="2">
        <v>1</v>
      </c>
      <c r="AD353" s="2">
        <v>0</v>
      </c>
      <c r="AE353" s="2">
        <v>1</v>
      </c>
      <c r="AF353" s="2">
        <v>0</v>
      </c>
      <c r="AG353" s="20">
        <f t="shared" si="5"/>
        <v>-500</v>
      </c>
    </row>
    <row r="354" spans="1:33" x14ac:dyDescent="0.25">
      <c r="A354">
        <v>353</v>
      </c>
      <c r="B354" s="2">
        <v>3</v>
      </c>
      <c r="C354" s="2">
        <v>18</v>
      </c>
      <c r="D354" s="2">
        <v>4</v>
      </c>
      <c r="E354" s="2">
        <v>0</v>
      </c>
      <c r="F354" s="2">
        <v>1</v>
      </c>
      <c r="G354" s="2">
        <v>0</v>
      </c>
      <c r="H354" s="2">
        <v>0</v>
      </c>
      <c r="I354" s="2">
        <v>0</v>
      </c>
      <c r="J354" s="2">
        <v>0</v>
      </c>
      <c r="K354" s="2">
        <v>3229</v>
      </c>
      <c r="L354" s="2">
        <v>4</v>
      </c>
      <c r="M354" s="2">
        <v>0</v>
      </c>
      <c r="N354" s="2">
        <v>2</v>
      </c>
      <c r="O354" s="2">
        <v>0</v>
      </c>
      <c r="P354" s="2">
        <v>1</v>
      </c>
      <c r="Q354" s="2">
        <v>0</v>
      </c>
      <c r="R354" s="2">
        <v>0</v>
      </c>
      <c r="S354" s="2">
        <v>0</v>
      </c>
      <c r="T354" s="2">
        <v>4</v>
      </c>
      <c r="U354" s="2">
        <v>0</v>
      </c>
      <c r="V354" s="2">
        <v>1</v>
      </c>
      <c r="W354" s="2">
        <v>38</v>
      </c>
      <c r="X354" s="2">
        <v>0</v>
      </c>
      <c r="Y354" s="2">
        <v>0</v>
      </c>
      <c r="Z354" s="2">
        <v>1</v>
      </c>
      <c r="AA354" s="2">
        <v>1</v>
      </c>
      <c r="AB354" s="2">
        <v>3</v>
      </c>
      <c r="AC354" s="2">
        <v>1</v>
      </c>
      <c r="AD354" s="2">
        <v>1</v>
      </c>
      <c r="AE354" s="2">
        <v>0</v>
      </c>
      <c r="AF354" s="2">
        <v>1</v>
      </c>
      <c r="AG354" s="20">
        <f t="shared" si="5"/>
        <v>100</v>
      </c>
    </row>
    <row r="355" spans="1:33" x14ac:dyDescent="0.25">
      <c r="A355">
        <v>354</v>
      </c>
      <c r="B355" s="2">
        <v>0</v>
      </c>
      <c r="C355" s="2">
        <v>12</v>
      </c>
      <c r="D355" s="2">
        <v>0</v>
      </c>
      <c r="E355" s="2">
        <v>0</v>
      </c>
      <c r="F355" s="2">
        <v>0</v>
      </c>
      <c r="G355" s="2">
        <v>0</v>
      </c>
      <c r="H355" s="2">
        <v>1</v>
      </c>
      <c r="I355" s="2">
        <v>0</v>
      </c>
      <c r="J355" s="2">
        <v>0</v>
      </c>
      <c r="K355" s="2">
        <v>6199</v>
      </c>
      <c r="L355" s="2">
        <v>0</v>
      </c>
      <c r="M355" s="2">
        <v>2</v>
      </c>
      <c r="N355" s="2">
        <v>4</v>
      </c>
      <c r="O355" s="2">
        <v>0</v>
      </c>
      <c r="P355" s="2">
        <v>1</v>
      </c>
      <c r="Q355" s="2">
        <v>0</v>
      </c>
      <c r="R355" s="2">
        <v>0</v>
      </c>
      <c r="S355" s="2">
        <v>0</v>
      </c>
      <c r="T355" s="2">
        <v>2</v>
      </c>
      <c r="U355" s="2">
        <v>0</v>
      </c>
      <c r="V355" s="2">
        <v>0</v>
      </c>
      <c r="W355" s="2">
        <v>28</v>
      </c>
      <c r="X355" s="2">
        <v>0</v>
      </c>
      <c r="Y355" s="2">
        <v>1</v>
      </c>
      <c r="Z355" s="2">
        <v>0</v>
      </c>
      <c r="AA355" s="2">
        <v>2</v>
      </c>
      <c r="AB355" s="2">
        <v>2</v>
      </c>
      <c r="AC355" s="2">
        <v>1</v>
      </c>
      <c r="AD355" s="2">
        <v>1</v>
      </c>
      <c r="AE355" s="2">
        <v>0</v>
      </c>
      <c r="AF355" s="2">
        <v>0</v>
      </c>
      <c r="AG355" s="20">
        <f t="shared" si="5"/>
        <v>-500</v>
      </c>
    </row>
    <row r="356" spans="1:33" x14ac:dyDescent="0.25">
      <c r="A356">
        <v>355</v>
      </c>
      <c r="B356" s="2">
        <v>3</v>
      </c>
      <c r="C356" s="2">
        <v>10</v>
      </c>
      <c r="D356" s="2">
        <v>2</v>
      </c>
      <c r="E356" s="2">
        <v>0</v>
      </c>
      <c r="F356" s="2">
        <v>0</v>
      </c>
      <c r="G356" s="2">
        <v>0</v>
      </c>
      <c r="H356" s="2">
        <v>0</v>
      </c>
      <c r="I356" s="2">
        <v>1</v>
      </c>
      <c r="J356" s="2">
        <v>0</v>
      </c>
      <c r="K356" s="2">
        <v>727</v>
      </c>
      <c r="L356" s="2">
        <v>2</v>
      </c>
      <c r="M356" s="2">
        <v>4</v>
      </c>
      <c r="N356" s="2">
        <v>4</v>
      </c>
      <c r="O356" s="2">
        <v>0</v>
      </c>
      <c r="P356" s="2">
        <v>1</v>
      </c>
      <c r="Q356" s="2">
        <v>0</v>
      </c>
      <c r="R356" s="2">
        <v>0</v>
      </c>
      <c r="S356" s="2">
        <v>0</v>
      </c>
      <c r="T356" s="2">
        <v>4</v>
      </c>
      <c r="U356" s="2">
        <v>0</v>
      </c>
      <c r="V356" s="2">
        <v>1</v>
      </c>
      <c r="W356" s="2">
        <v>46</v>
      </c>
      <c r="X356" s="2">
        <v>0</v>
      </c>
      <c r="Y356" s="2">
        <v>0</v>
      </c>
      <c r="Z356" s="2">
        <v>0</v>
      </c>
      <c r="AA356" s="2">
        <v>1</v>
      </c>
      <c r="AB356" s="2">
        <v>2</v>
      </c>
      <c r="AC356" s="2">
        <v>1</v>
      </c>
      <c r="AD356" s="2">
        <v>1</v>
      </c>
      <c r="AE356" s="2">
        <v>0</v>
      </c>
      <c r="AF356" s="2">
        <v>1</v>
      </c>
      <c r="AG356" s="20">
        <f t="shared" si="5"/>
        <v>100</v>
      </c>
    </row>
    <row r="357" spans="1:33" x14ac:dyDescent="0.25">
      <c r="A357">
        <v>356</v>
      </c>
      <c r="B357" s="2">
        <v>1</v>
      </c>
      <c r="C357" s="2">
        <v>24</v>
      </c>
      <c r="D357" s="2">
        <v>2</v>
      </c>
      <c r="E357" s="2">
        <v>1</v>
      </c>
      <c r="F357" s="2">
        <v>0</v>
      </c>
      <c r="G357" s="2">
        <v>0</v>
      </c>
      <c r="H357" s="2">
        <v>0</v>
      </c>
      <c r="I357" s="2">
        <v>0</v>
      </c>
      <c r="J357" s="2">
        <v>0</v>
      </c>
      <c r="K357" s="2">
        <v>1246</v>
      </c>
      <c r="L357" s="2">
        <v>0</v>
      </c>
      <c r="M357" s="2">
        <v>1</v>
      </c>
      <c r="N357" s="2">
        <v>4</v>
      </c>
      <c r="O357" s="2">
        <v>0</v>
      </c>
      <c r="P357" s="2">
        <v>1</v>
      </c>
      <c r="Q357" s="2">
        <v>0</v>
      </c>
      <c r="R357" s="2">
        <v>0</v>
      </c>
      <c r="S357" s="2">
        <v>0</v>
      </c>
      <c r="T357" s="2">
        <v>2</v>
      </c>
      <c r="U357" s="2">
        <v>1</v>
      </c>
      <c r="V357" s="2">
        <v>0</v>
      </c>
      <c r="W357" s="2">
        <v>23</v>
      </c>
      <c r="X357" s="2">
        <v>1</v>
      </c>
      <c r="Y357" s="2">
        <v>0</v>
      </c>
      <c r="Z357" s="2">
        <v>1</v>
      </c>
      <c r="AA357" s="2">
        <v>1</v>
      </c>
      <c r="AB357" s="2">
        <v>1</v>
      </c>
      <c r="AC357" s="2">
        <v>1</v>
      </c>
      <c r="AD357" s="2">
        <v>0</v>
      </c>
      <c r="AE357" s="2">
        <v>0</v>
      </c>
      <c r="AF357" s="2">
        <v>0</v>
      </c>
      <c r="AG357" s="20">
        <f t="shared" si="5"/>
        <v>-500</v>
      </c>
    </row>
    <row r="358" spans="1:33" x14ac:dyDescent="0.25">
      <c r="A358">
        <v>357</v>
      </c>
      <c r="B358" s="2">
        <v>3</v>
      </c>
      <c r="C358" s="2">
        <v>12</v>
      </c>
      <c r="D358" s="2">
        <v>4</v>
      </c>
      <c r="E358" s="2">
        <v>0</v>
      </c>
      <c r="F358" s="2">
        <v>0</v>
      </c>
      <c r="G358" s="2">
        <v>0</v>
      </c>
      <c r="H358" s="2">
        <v>1</v>
      </c>
      <c r="I358" s="2">
        <v>0</v>
      </c>
      <c r="J358" s="2">
        <v>0</v>
      </c>
      <c r="K358" s="2">
        <v>2331</v>
      </c>
      <c r="L358" s="2">
        <v>4</v>
      </c>
      <c r="M358" s="2">
        <v>4</v>
      </c>
      <c r="N358" s="2">
        <v>1</v>
      </c>
      <c r="O358" s="2">
        <v>0</v>
      </c>
      <c r="P358" s="2">
        <v>1</v>
      </c>
      <c r="Q358" s="2">
        <v>0</v>
      </c>
      <c r="R358" s="2">
        <v>1</v>
      </c>
      <c r="S358" s="2">
        <v>0</v>
      </c>
      <c r="T358" s="2">
        <v>4</v>
      </c>
      <c r="U358" s="2">
        <v>1</v>
      </c>
      <c r="V358" s="2">
        <v>0</v>
      </c>
      <c r="W358" s="2">
        <v>49</v>
      </c>
      <c r="X358" s="2">
        <v>0</v>
      </c>
      <c r="Y358" s="2">
        <v>0</v>
      </c>
      <c r="Z358" s="2">
        <v>1</v>
      </c>
      <c r="AA358" s="2">
        <v>1</v>
      </c>
      <c r="AB358" s="2">
        <v>2</v>
      </c>
      <c r="AC358" s="2">
        <v>1</v>
      </c>
      <c r="AD358" s="2">
        <v>1</v>
      </c>
      <c r="AE358" s="2">
        <v>0</v>
      </c>
      <c r="AF358" s="2">
        <v>1</v>
      </c>
      <c r="AG358" s="20">
        <f t="shared" si="5"/>
        <v>100</v>
      </c>
    </row>
    <row r="359" spans="1:33" x14ac:dyDescent="0.25">
      <c r="A359">
        <v>358</v>
      </c>
      <c r="B359" s="2">
        <v>3</v>
      </c>
      <c r="C359" s="2">
        <v>36</v>
      </c>
      <c r="D359" s="2">
        <v>3</v>
      </c>
      <c r="E359" s="2">
        <v>0</v>
      </c>
      <c r="F359" s="2">
        <v>0</v>
      </c>
      <c r="G359" s="2">
        <v>0</v>
      </c>
      <c r="H359" s="2">
        <v>1</v>
      </c>
      <c r="I359" s="2">
        <v>0</v>
      </c>
      <c r="J359" s="2">
        <v>0</v>
      </c>
      <c r="K359" s="2">
        <v>4463</v>
      </c>
      <c r="L359" s="2">
        <v>0</v>
      </c>
      <c r="M359" s="2">
        <v>2</v>
      </c>
      <c r="N359" s="2">
        <v>4</v>
      </c>
      <c r="O359" s="2">
        <v>0</v>
      </c>
      <c r="P359" s="2">
        <v>1</v>
      </c>
      <c r="Q359" s="2">
        <v>0</v>
      </c>
      <c r="R359" s="2">
        <v>0</v>
      </c>
      <c r="S359" s="2">
        <v>0</v>
      </c>
      <c r="T359" s="2">
        <v>2</v>
      </c>
      <c r="U359" s="2">
        <v>0</v>
      </c>
      <c r="V359" s="2">
        <v>0</v>
      </c>
      <c r="W359" s="2">
        <v>26</v>
      </c>
      <c r="X359" s="2">
        <v>0</v>
      </c>
      <c r="Y359" s="2">
        <v>0</v>
      </c>
      <c r="Z359" s="2">
        <v>1</v>
      </c>
      <c r="AA359" s="2">
        <v>2</v>
      </c>
      <c r="AB359" s="2">
        <v>3</v>
      </c>
      <c r="AC359" s="2">
        <v>1</v>
      </c>
      <c r="AD359" s="2">
        <v>1</v>
      </c>
      <c r="AE359" s="2">
        <v>0</v>
      </c>
      <c r="AF359" s="2">
        <v>0</v>
      </c>
      <c r="AG359" s="20">
        <f t="shared" si="5"/>
        <v>-500</v>
      </c>
    </row>
    <row r="360" spans="1:33" x14ac:dyDescent="0.25">
      <c r="A360">
        <v>359</v>
      </c>
      <c r="B360" s="2">
        <v>3</v>
      </c>
      <c r="C360" s="2">
        <v>12</v>
      </c>
      <c r="D360" s="2">
        <v>2</v>
      </c>
      <c r="E360" s="2">
        <v>0</v>
      </c>
      <c r="F360" s="2">
        <v>0</v>
      </c>
      <c r="G360" s="2">
        <v>0</v>
      </c>
      <c r="H360" s="2">
        <v>1</v>
      </c>
      <c r="I360" s="2">
        <v>0</v>
      </c>
      <c r="J360" s="2">
        <v>0</v>
      </c>
      <c r="K360" s="2">
        <v>776</v>
      </c>
      <c r="L360" s="2">
        <v>0</v>
      </c>
      <c r="M360" s="2">
        <v>2</v>
      </c>
      <c r="N360" s="2">
        <v>4</v>
      </c>
      <c r="O360" s="2">
        <v>0</v>
      </c>
      <c r="P360" s="2">
        <v>0</v>
      </c>
      <c r="Q360" s="2">
        <v>1</v>
      </c>
      <c r="R360" s="2">
        <v>0</v>
      </c>
      <c r="S360" s="2">
        <v>0</v>
      </c>
      <c r="T360" s="2">
        <v>2</v>
      </c>
      <c r="U360" s="2">
        <v>1</v>
      </c>
      <c r="V360" s="2">
        <v>0</v>
      </c>
      <c r="W360" s="2">
        <v>28</v>
      </c>
      <c r="X360" s="2">
        <v>0</v>
      </c>
      <c r="Y360" s="2">
        <v>0</v>
      </c>
      <c r="Z360" s="2">
        <v>1</v>
      </c>
      <c r="AA360" s="2">
        <v>1</v>
      </c>
      <c r="AB360" s="2">
        <v>2</v>
      </c>
      <c r="AC360" s="2">
        <v>1</v>
      </c>
      <c r="AD360" s="2">
        <v>0</v>
      </c>
      <c r="AE360" s="2">
        <v>0</v>
      </c>
      <c r="AF360" s="2">
        <v>1</v>
      </c>
      <c r="AG360" s="20">
        <f t="shared" si="5"/>
        <v>100</v>
      </c>
    </row>
    <row r="361" spans="1:33" x14ac:dyDescent="0.25">
      <c r="A361">
        <v>360</v>
      </c>
      <c r="B361" s="2">
        <v>0</v>
      </c>
      <c r="C361" s="2">
        <v>30</v>
      </c>
      <c r="D361" s="2">
        <v>2</v>
      </c>
      <c r="E361" s="2">
        <v>0</v>
      </c>
      <c r="F361" s="2">
        <v>0</v>
      </c>
      <c r="G361" s="2">
        <v>1</v>
      </c>
      <c r="H361" s="2">
        <v>0</v>
      </c>
      <c r="I361" s="2">
        <v>0</v>
      </c>
      <c r="J361" s="2">
        <v>0</v>
      </c>
      <c r="K361" s="2">
        <v>2406</v>
      </c>
      <c r="L361" s="2">
        <v>0</v>
      </c>
      <c r="M361" s="2">
        <v>3</v>
      </c>
      <c r="N361" s="2">
        <v>4</v>
      </c>
      <c r="O361" s="2">
        <v>0</v>
      </c>
      <c r="P361" s="2">
        <v>0</v>
      </c>
      <c r="Q361" s="2">
        <v>0</v>
      </c>
      <c r="R361" s="2">
        <v>0</v>
      </c>
      <c r="S361" s="2">
        <v>0</v>
      </c>
      <c r="T361" s="2">
        <v>4</v>
      </c>
      <c r="U361" s="2">
        <v>1</v>
      </c>
      <c r="V361" s="2">
        <v>0</v>
      </c>
      <c r="W361" s="2">
        <v>23</v>
      </c>
      <c r="X361" s="2">
        <v>0</v>
      </c>
      <c r="Y361" s="2">
        <v>1</v>
      </c>
      <c r="Z361" s="2">
        <v>0</v>
      </c>
      <c r="AA361" s="2">
        <v>1</v>
      </c>
      <c r="AB361" s="2">
        <v>2</v>
      </c>
      <c r="AC361" s="2">
        <v>1</v>
      </c>
      <c r="AD361" s="2">
        <v>0</v>
      </c>
      <c r="AE361" s="2">
        <v>0</v>
      </c>
      <c r="AF361" s="2">
        <v>0</v>
      </c>
      <c r="AG361" s="20">
        <f t="shared" si="5"/>
        <v>-500</v>
      </c>
    </row>
    <row r="362" spans="1:33" x14ac:dyDescent="0.25">
      <c r="A362">
        <v>361</v>
      </c>
      <c r="B362" s="2">
        <v>1</v>
      </c>
      <c r="C362" s="2">
        <v>18</v>
      </c>
      <c r="D362" s="2">
        <v>2</v>
      </c>
      <c r="E362" s="2">
        <v>0</v>
      </c>
      <c r="F362" s="2">
        <v>0</v>
      </c>
      <c r="G362" s="2">
        <v>0</v>
      </c>
      <c r="H362" s="2">
        <v>0</v>
      </c>
      <c r="I362" s="2">
        <v>1</v>
      </c>
      <c r="J362" s="2">
        <v>0</v>
      </c>
      <c r="K362" s="2">
        <v>1239</v>
      </c>
      <c r="L362" s="2">
        <v>4</v>
      </c>
      <c r="M362" s="2">
        <v>2</v>
      </c>
      <c r="N362" s="2">
        <v>4</v>
      </c>
      <c r="O362" s="2">
        <v>0</v>
      </c>
      <c r="P362" s="2">
        <v>1</v>
      </c>
      <c r="Q362" s="2">
        <v>0</v>
      </c>
      <c r="R362" s="2">
        <v>0</v>
      </c>
      <c r="S362" s="2">
        <v>0</v>
      </c>
      <c r="T362" s="2">
        <v>4</v>
      </c>
      <c r="U362" s="2">
        <v>0</v>
      </c>
      <c r="V362" s="2">
        <v>1</v>
      </c>
      <c r="W362" s="2">
        <v>61</v>
      </c>
      <c r="X362" s="2">
        <v>0</v>
      </c>
      <c r="Y362" s="2">
        <v>0</v>
      </c>
      <c r="Z362" s="2">
        <v>0</v>
      </c>
      <c r="AA362" s="2">
        <v>1</v>
      </c>
      <c r="AB362" s="2">
        <v>2</v>
      </c>
      <c r="AC362" s="2">
        <v>1</v>
      </c>
      <c r="AD362" s="2">
        <v>0</v>
      </c>
      <c r="AE362" s="2">
        <v>0</v>
      </c>
      <c r="AF362" s="2">
        <v>1</v>
      </c>
      <c r="AG362" s="20">
        <f t="shared" si="5"/>
        <v>100</v>
      </c>
    </row>
    <row r="363" spans="1:33" x14ac:dyDescent="0.25">
      <c r="A363">
        <v>362</v>
      </c>
      <c r="B363" s="2">
        <v>2</v>
      </c>
      <c r="C363" s="2">
        <v>12</v>
      </c>
      <c r="D363" s="2">
        <v>2</v>
      </c>
      <c r="E363" s="2">
        <v>0</v>
      </c>
      <c r="F363" s="2">
        <v>0</v>
      </c>
      <c r="G363" s="2">
        <v>0</v>
      </c>
      <c r="H363" s="2">
        <v>1</v>
      </c>
      <c r="I363" s="2">
        <v>0</v>
      </c>
      <c r="J363" s="2">
        <v>0</v>
      </c>
      <c r="K363" s="2">
        <v>3399</v>
      </c>
      <c r="L363" s="2">
        <v>4</v>
      </c>
      <c r="M363" s="2">
        <v>4</v>
      </c>
      <c r="N363" s="2">
        <v>2</v>
      </c>
      <c r="O363" s="2">
        <v>0</v>
      </c>
      <c r="P363" s="2">
        <v>1</v>
      </c>
      <c r="Q363" s="2">
        <v>0</v>
      </c>
      <c r="R363" s="2">
        <v>0</v>
      </c>
      <c r="S363" s="2">
        <v>0</v>
      </c>
      <c r="T363" s="2">
        <v>3</v>
      </c>
      <c r="U363" s="2">
        <v>0</v>
      </c>
      <c r="V363" s="2">
        <v>0</v>
      </c>
      <c r="W363" s="2">
        <v>37</v>
      </c>
      <c r="X363" s="2">
        <v>0</v>
      </c>
      <c r="Y363" s="2">
        <v>0</v>
      </c>
      <c r="Z363" s="2">
        <v>1</v>
      </c>
      <c r="AA363" s="2">
        <v>1</v>
      </c>
      <c r="AB363" s="2">
        <v>3</v>
      </c>
      <c r="AC363" s="2">
        <v>1</v>
      </c>
      <c r="AD363" s="2">
        <v>0</v>
      </c>
      <c r="AE363" s="2">
        <v>0</v>
      </c>
      <c r="AF363" s="2">
        <v>1</v>
      </c>
      <c r="AG363" s="20">
        <f t="shared" si="5"/>
        <v>100</v>
      </c>
    </row>
    <row r="364" spans="1:33" x14ac:dyDescent="0.25">
      <c r="A364">
        <v>363</v>
      </c>
      <c r="B364" s="2">
        <v>2</v>
      </c>
      <c r="C364" s="2">
        <v>12</v>
      </c>
      <c r="D364" s="2">
        <v>3</v>
      </c>
      <c r="E364" s="2">
        <v>1</v>
      </c>
      <c r="F364" s="2">
        <v>0</v>
      </c>
      <c r="G364" s="2">
        <v>0</v>
      </c>
      <c r="H364" s="2">
        <v>0</v>
      </c>
      <c r="I364" s="2">
        <v>0</v>
      </c>
      <c r="J364" s="2">
        <v>0</v>
      </c>
      <c r="K364" s="2">
        <v>2247</v>
      </c>
      <c r="L364" s="2">
        <v>0</v>
      </c>
      <c r="M364" s="2">
        <v>2</v>
      </c>
      <c r="N364" s="2">
        <v>2</v>
      </c>
      <c r="O364" s="2">
        <v>0</v>
      </c>
      <c r="P364" s="2">
        <v>0</v>
      </c>
      <c r="Q364" s="2">
        <v>0</v>
      </c>
      <c r="R364" s="2">
        <v>0</v>
      </c>
      <c r="S364" s="2">
        <v>0</v>
      </c>
      <c r="T364" s="2">
        <v>2</v>
      </c>
      <c r="U364" s="2">
        <v>0</v>
      </c>
      <c r="V364" s="2">
        <v>0</v>
      </c>
      <c r="W364" s="2">
        <v>36</v>
      </c>
      <c r="X364" s="2">
        <v>1</v>
      </c>
      <c r="Y364" s="2">
        <v>0</v>
      </c>
      <c r="Z364" s="2">
        <v>1</v>
      </c>
      <c r="AA364" s="2">
        <v>2</v>
      </c>
      <c r="AB364" s="2">
        <v>2</v>
      </c>
      <c r="AC364" s="2">
        <v>1</v>
      </c>
      <c r="AD364" s="2">
        <v>1</v>
      </c>
      <c r="AE364" s="2">
        <v>0</v>
      </c>
      <c r="AF364" s="2">
        <v>1</v>
      </c>
      <c r="AG364" s="20">
        <f t="shared" si="5"/>
        <v>100</v>
      </c>
    </row>
    <row r="365" spans="1:33" x14ac:dyDescent="0.25">
      <c r="A365">
        <v>364</v>
      </c>
      <c r="B365" s="2">
        <v>3</v>
      </c>
      <c r="C365" s="2">
        <v>6</v>
      </c>
      <c r="D365" s="2">
        <v>2</v>
      </c>
      <c r="E365" s="2">
        <v>0</v>
      </c>
      <c r="F365" s="2">
        <v>0</v>
      </c>
      <c r="G365" s="2">
        <v>1</v>
      </c>
      <c r="H365" s="2">
        <v>0</v>
      </c>
      <c r="I365" s="2">
        <v>0</v>
      </c>
      <c r="J365" s="2">
        <v>0</v>
      </c>
      <c r="K365" s="2">
        <v>1766</v>
      </c>
      <c r="L365" s="2">
        <v>0</v>
      </c>
      <c r="M365" s="2">
        <v>2</v>
      </c>
      <c r="N365" s="2">
        <v>1</v>
      </c>
      <c r="O365" s="2">
        <v>0</v>
      </c>
      <c r="P365" s="2">
        <v>0</v>
      </c>
      <c r="Q365" s="2">
        <v>1</v>
      </c>
      <c r="R365" s="2">
        <v>0</v>
      </c>
      <c r="S365" s="2">
        <v>0</v>
      </c>
      <c r="T365" s="2">
        <v>2</v>
      </c>
      <c r="U365" s="2">
        <v>0</v>
      </c>
      <c r="V365" s="2">
        <v>0</v>
      </c>
      <c r="W365" s="2">
        <v>21</v>
      </c>
      <c r="X365" s="2">
        <v>0</v>
      </c>
      <c r="Y365" s="2">
        <v>1</v>
      </c>
      <c r="Z365" s="2">
        <v>0</v>
      </c>
      <c r="AA365" s="2">
        <v>1</v>
      </c>
      <c r="AB365" s="2">
        <v>2</v>
      </c>
      <c r="AC365" s="2">
        <v>1</v>
      </c>
      <c r="AD365" s="2">
        <v>0</v>
      </c>
      <c r="AE365" s="2">
        <v>0</v>
      </c>
      <c r="AF365" s="2">
        <v>1</v>
      </c>
      <c r="AG365" s="20">
        <f t="shared" si="5"/>
        <v>100</v>
      </c>
    </row>
    <row r="366" spans="1:33" x14ac:dyDescent="0.25">
      <c r="A366">
        <v>365</v>
      </c>
      <c r="B366" s="2">
        <v>0</v>
      </c>
      <c r="C366" s="2">
        <v>18</v>
      </c>
      <c r="D366" s="2">
        <v>2</v>
      </c>
      <c r="E366" s="2">
        <v>0</v>
      </c>
      <c r="F366" s="2">
        <v>0</v>
      </c>
      <c r="G366" s="2">
        <v>1</v>
      </c>
      <c r="H366" s="2">
        <v>0</v>
      </c>
      <c r="I366" s="2">
        <v>0</v>
      </c>
      <c r="J366" s="2">
        <v>0</v>
      </c>
      <c r="K366" s="2">
        <v>2473</v>
      </c>
      <c r="L366" s="2">
        <v>0</v>
      </c>
      <c r="M366" s="2">
        <v>0</v>
      </c>
      <c r="N366" s="2">
        <v>4</v>
      </c>
      <c r="O366" s="2">
        <v>0</v>
      </c>
      <c r="P366" s="2">
        <v>1</v>
      </c>
      <c r="Q366" s="2">
        <v>0</v>
      </c>
      <c r="R366" s="2">
        <v>0</v>
      </c>
      <c r="S366" s="2">
        <v>0</v>
      </c>
      <c r="T366" s="2">
        <v>1</v>
      </c>
      <c r="U366" s="2">
        <v>0</v>
      </c>
      <c r="V366" s="2">
        <v>0</v>
      </c>
      <c r="W366" s="2">
        <v>25</v>
      </c>
      <c r="X366" s="2">
        <v>0</v>
      </c>
      <c r="Y366" s="2">
        <v>0</v>
      </c>
      <c r="Z366" s="2">
        <v>1</v>
      </c>
      <c r="AA366" s="2">
        <v>1</v>
      </c>
      <c r="AB366" s="2">
        <v>0</v>
      </c>
      <c r="AC366" s="2">
        <v>1</v>
      </c>
      <c r="AD366" s="2">
        <v>0</v>
      </c>
      <c r="AE366" s="2">
        <v>0</v>
      </c>
      <c r="AF366" s="2">
        <v>0</v>
      </c>
      <c r="AG366" s="20">
        <f t="shared" si="5"/>
        <v>-500</v>
      </c>
    </row>
    <row r="367" spans="1:33" x14ac:dyDescent="0.25">
      <c r="A367">
        <v>366</v>
      </c>
      <c r="B367" s="2">
        <v>3</v>
      </c>
      <c r="C367" s="2">
        <v>12</v>
      </c>
      <c r="D367" s="2">
        <v>2</v>
      </c>
      <c r="E367" s="2">
        <v>0</v>
      </c>
      <c r="F367" s="2">
        <v>0</v>
      </c>
      <c r="G367" s="2">
        <v>0</v>
      </c>
      <c r="H367" s="2">
        <v>0</v>
      </c>
      <c r="I367" s="2">
        <v>0</v>
      </c>
      <c r="J367" s="2">
        <v>1</v>
      </c>
      <c r="K367" s="2">
        <v>1542</v>
      </c>
      <c r="L367" s="2">
        <v>0</v>
      </c>
      <c r="M367" s="2">
        <v>3</v>
      </c>
      <c r="N367" s="2">
        <v>2</v>
      </c>
      <c r="O367" s="2">
        <v>0</v>
      </c>
      <c r="P367" s="2">
        <v>1</v>
      </c>
      <c r="Q367" s="2">
        <v>0</v>
      </c>
      <c r="R367" s="2">
        <v>0</v>
      </c>
      <c r="S367" s="2">
        <v>0</v>
      </c>
      <c r="T367" s="2">
        <v>4</v>
      </c>
      <c r="U367" s="2">
        <v>0</v>
      </c>
      <c r="V367" s="2">
        <v>0</v>
      </c>
      <c r="W367" s="2">
        <v>36</v>
      </c>
      <c r="X367" s="2">
        <v>0</v>
      </c>
      <c r="Y367" s="2">
        <v>0</v>
      </c>
      <c r="Z367" s="2">
        <v>1</v>
      </c>
      <c r="AA367" s="2">
        <v>1</v>
      </c>
      <c r="AB367" s="2">
        <v>2</v>
      </c>
      <c r="AC367" s="2">
        <v>1</v>
      </c>
      <c r="AD367" s="2">
        <v>1</v>
      </c>
      <c r="AE367" s="2">
        <v>0</v>
      </c>
      <c r="AF367" s="2">
        <v>1</v>
      </c>
      <c r="AG367" s="20">
        <f t="shared" si="5"/>
        <v>100</v>
      </c>
    </row>
    <row r="368" spans="1:33" x14ac:dyDescent="0.25">
      <c r="A368">
        <v>367</v>
      </c>
      <c r="B368" s="2">
        <v>3</v>
      </c>
      <c r="C368" s="2">
        <v>18</v>
      </c>
      <c r="D368" s="2">
        <v>4</v>
      </c>
      <c r="E368" s="2">
        <v>0</v>
      </c>
      <c r="F368" s="2">
        <v>1</v>
      </c>
      <c r="G368" s="2">
        <v>0</v>
      </c>
      <c r="H368" s="2">
        <v>0</v>
      </c>
      <c r="I368" s="2">
        <v>0</v>
      </c>
      <c r="J368" s="2">
        <v>0</v>
      </c>
      <c r="K368" s="2">
        <v>3850</v>
      </c>
      <c r="L368" s="2">
        <v>0</v>
      </c>
      <c r="M368" s="2">
        <v>3</v>
      </c>
      <c r="N368" s="2">
        <v>3</v>
      </c>
      <c r="O368" s="2">
        <v>0</v>
      </c>
      <c r="P368" s="2">
        <v>1</v>
      </c>
      <c r="Q368" s="2">
        <v>0</v>
      </c>
      <c r="R368" s="2">
        <v>0</v>
      </c>
      <c r="S368" s="2">
        <v>0</v>
      </c>
      <c r="T368" s="2">
        <v>1</v>
      </c>
      <c r="U368" s="2">
        <v>0</v>
      </c>
      <c r="V368" s="2">
        <v>0</v>
      </c>
      <c r="W368" s="2">
        <v>27</v>
      </c>
      <c r="X368" s="2">
        <v>0</v>
      </c>
      <c r="Y368" s="2">
        <v>0</v>
      </c>
      <c r="Z368" s="2">
        <v>1</v>
      </c>
      <c r="AA368" s="2">
        <v>2</v>
      </c>
      <c r="AB368" s="2">
        <v>2</v>
      </c>
      <c r="AC368" s="2">
        <v>1</v>
      </c>
      <c r="AD368" s="2">
        <v>0</v>
      </c>
      <c r="AE368" s="2">
        <v>0</v>
      </c>
      <c r="AF368" s="2">
        <v>1</v>
      </c>
      <c r="AG368" s="20">
        <f t="shared" si="5"/>
        <v>100</v>
      </c>
    </row>
    <row r="369" spans="1:33" x14ac:dyDescent="0.25">
      <c r="A369">
        <v>368</v>
      </c>
      <c r="B369" s="2">
        <v>0</v>
      </c>
      <c r="C369" s="2">
        <v>18</v>
      </c>
      <c r="D369" s="2">
        <v>2</v>
      </c>
      <c r="E369" s="2">
        <v>0</v>
      </c>
      <c r="F369" s="2">
        <v>0</v>
      </c>
      <c r="G369" s="2">
        <v>1</v>
      </c>
      <c r="H369" s="2">
        <v>0</v>
      </c>
      <c r="I369" s="2">
        <v>0</v>
      </c>
      <c r="J369" s="2">
        <v>0</v>
      </c>
      <c r="K369" s="2">
        <v>3650</v>
      </c>
      <c r="L369" s="2">
        <v>0</v>
      </c>
      <c r="M369" s="2">
        <v>1</v>
      </c>
      <c r="N369" s="2">
        <v>1</v>
      </c>
      <c r="O369" s="2">
        <v>0</v>
      </c>
      <c r="P369" s="2">
        <v>0</v>
      </c>
      <c r="Q369" s="2">
        <v>0</v>
      </c>
      <c r="R369" s="2">
        <v>0</v>
      </c>
      <c r="S369" s="2">
        <v>0</v>
      </c>
      <c r="T369" s="2">
        <v>4</v>
      </c>
      <c r="U369" s="2">
        <v>0</v>
      </c>
      <c r="V369" s="2">
        <v>0</v>
      </c>
      <c r="W369" s="2">
        <v>22</v>
      </c>
      <c r="X369" s="2">
        <v>0</v>
      </c>
      <c r="Y369" s="2">
        <v>1</v>
      </c>
      <c r="Z369" s="2">
        <v>0</v>
      </c>
      <c r="AA369" s="2">
        <v>1</v>
      </c>
      <c r="AB369" s="2">
        <v>2</v>
      </c>
      <c r="AC369" s="2">
        <v>1</v>
      </c>
      <c r="AD369" s="2">
        <v>0</v>
      </c>
      <c r="AE369" s="2">
        <v>0</v>
      </c>
      <c r="AF369" s="2">
        <v>1</v>
      </c>
      <c r="AG369" s="20">
        <f t="shared" si="5"/>
        <v>100</v>
      </c>
    </row>
    <row r="370" spans="1:33" x14ac:dyDescent="0.25">
      <c r="A370">
        <v>369</v>
      </c>
      <c r="B370" s="2">
        <v>0</v>
      </c>
      <c r="C370" s="2">
        <v>36</v>
      </c>
      <c r="D370" s="2">
        <v>2</v>
      </c>
      <c r="E370" s="2">
        <v>0</v>
      </c>
      <c r="F370" s="2">
        <v>0</v>
      </c>
      <c r="G370" s="2">
        <v>1</v>
      </c>
      <c r="H370" s="2">
        <v>0</v>
      </c>
      <c r="I370" s="2">
        <v>0</v>
      </c>
      <c r="J370" s="2">
        <v>0</v>
      </c>
      <c r="K370" s="2">
        <v>3446</v>
      </c>
      <c r="L370" s="2">
        <v>0</v>
      </c>
      <c r="M370" s="2">
        <v>4</v>
      </c>
      <c r="N370" s="2">
        <v>4</v>
      </c>
      <c r="O370" s="2">
        <v>0</v>
      </c>
      <c r="P370" s="2">
        <v>1</v>
      </c>
      <c r="Q370" s="2">
        <v>0</v>
      </c>
      <c r="R370" s="2">
        <v>0</v>
      </c>
      <c r="S370" s="2">
        <v>0</v>
      </c>
      <c r="T370" s="2">
        <v>2</v>
      </c>
      <c r="U370" s="2">
        <v>0</v>
      </c>
      <c r="V370" s="2">
        <v>0</v>
      </c>
      <c r="W370" s="2">
        <v>42</v>
      </c>
      <c r="X370" s="2">
        <v>0</v>
      </c>
      <c r="Y370" s="2">
        <v>0</v>
      </c>
      <c r="Z370" s="2">
        <v>1</v>
      </c>
      <c r="AA370" s="2">
        <v>1</v>
      </c>
      <c r="AB370" s="2">
        <v>2</v>
      </c>
      <c r="AC370" s="2">
        <v>2</v>
      </c>
      <c r="AD370" s="2">
        <v>0</v>
      </c>
      <c r="AE370" s="2">
        <v>0</v>
      </c>
      <c r="AF370" s="2">
        <v>0</v>
      </c>
      <c r="AG370" s="20">
        <f t="shared" si="5"/>
        <v>-500</v>
      </c>
    </row>
    <row r="371" spans="1:33" x14ac:dyDescent="0.25">
      <c r="A371">
        <v>370</v>
      </c>
      <c r="B371" s="2">
        <v>1</v>
      </c>
      <c r="C371" s="2">
        <v>18</v>
      </c>
      <c r="D371" s="2">
        <v>2</v>
      </c>
      <c r="E371" s="2">
        <v>0</v>
      </c>
      <c r="F371" s="2">
        <v>0</v>
      </c>
      <c r="G371" s="2">
        <v>1</v>
      </c>
      <c r="H371" s="2">
        <v>0</v>
      </c>
      <c r="I371" s="2">
        <v>0</v>
      </c>
      <c r="J371" s="2">
        <v>0</v>
      </c>
      <c r="K371" s="2">
        <v>3001</v>
      </c>
      <c r="L371" s="2">
        <v>0</v>
      </c>
      <c r="M371" s="2">
        <v>3</v>
      </c>
      <c r="N371" s="2">
        <v>2</v>
      </c>
      <c r="O371" s="2">
        <v>0</v>
      </c>
      <c r="P371" s="2">
        <v>0</v>
      </c>
      <c r="Q371" s="2">
        <v>0</v>
      </c>
      <c r="R371" s="2">
        <v>0</v>
      </c>
      <c r="S371" s="2">
        <v>0</v>
      </c>
      <c r="T371" s="2">
        <v>4</v>
      </c>
      <c r="U371" s="2">
        <v>1</v>
      </c>
      <c r="V371" s="2">
        <v>0</v>
      </c>
      <c r="W371" s="2">
        <v>40</v>
      </c>
      <c r="X371" s="2">
        <v>0</v>
      </c>
      <c r="Y371" s="2">
        <v>1</v>
      </c>
      <c r="Z371" s="2">
        <v>0</v>
      </c>
      <c r="AA371" s="2">
        <v>1</v>
      </c>
      <c r="AB371" s="2">
        <v>2</v>
      </c>
      <c r="AC371" s="2">
        <v>1</v>
      </c>
      <c r="AD371" s="2">
        <v>0</v>
      </c>
      <c r="AE371" s="2">
        <v>0</v>
      </c>
      <c r="AF371" s="2">
        <v>1</v>
      </c>
      <c r="AG371" s="20">
        <f t="shared" si="5"/>
        <v>100</v>
      </c>
    </row>
    <row r="372" spans="1:33" x14ac:dyDescent="0.25">
      <c r="A372">
        <v>371</v>
      </c>
      <c r="B372" s="2">
        <v>3</v>
      </c>
      <c r="C372" s="2">
        <v>36</v>
      </c>
      <c r="D372" s="2">
        <v>2</v>
      </c>
      <c r="E372" s="2">
        <v>1</v>
      </c>
      <c r="F372" s="2">
        <v>0</v>
      </c>
      <c r="G372" s="2">
        <v>0</v>
      </c>
      <c r="H372" s="2">
        <v>0</v>
      </c>
      <c r="I372" s="2">
        <v>0</v>
      </c>
      <c r="J372" s="2">
        <v>0</v>
      </c>
      <c r="K372" s="2">
        <v>3079</v>
      </c>
      <c r="L372" s="2">
        <v>4</v>
      </c>
      <c r="M372" s="2">
        <v>2</v>
      </c>
      <c r="N372" s="2">
        <v>4</v>
      </c>
      <c r="O372" s="2">
        <v>0</v>
      </c>
      <c r="P372" s="2">
        <v>1</v>
      </c>
      <c r="Q372" s="2">
        <v>0</v>
      </c>
      <c r="R372" s="2">
        <v>0</v>
      </c>
      <c r="S372" s="2">
        <v>0</v>
      </c>
      <c r="T372" s="2">
        <v>4</v>
      </c>
      <c r="U372" s="2">
        <v>1</v>
      </c>
      <c r="V372" s="2">
        <v>0</v>
      </c>
      <c r="W372" s="2">
        <v>36</v>
      </c>
      <c r="X372" s="2">
        <v>0</v>
      </c>
      <c r="Y372" s="2">
        <v>0</v>
      </c>
      <c r="Z372" s="2">
        <v>1</v>
      </c>
      <c r="AA372" s="2">
        <v>1</v>
      </c>
      <c r="AB372" s="2">
        <v>2</v>
      </c>
      <c r="AC372" s="2">
        <v>1</v>
      </c>
      <c r="AD372" s="2">
        <v>0</v>
      </c>
      <c r="AE372" s="2">
        <v>0</v>
      </c>
      <c r="AF372" s="2">
        <v>1</v>
      </c>
      <c r="AG372" s="20">
        <f t="shared" si="5"/>
        <v>100</v>
      </c>
    </row>
    <row r="373" spans="1:33" x14ac:dyDescent="0.25">
      <c r="A373">
        <v>372</v>
      </c>
      <c r="B373" s="2">
        <v>3</v>
      </c>
      <c r="C373" s="2">
        <v>18</v>
      </c>
      <c r="D373" s="2">
        <v>4</v>
      </c>
      <c r="E373" s="2">
        <v>0</v>
      </c>
      <c r="F373" s="2">
        <v>0</v>
      </c>
      <c r="G373" s="2">
        <v>0</v>
      </c>
      <c r="H373" s="2">
        <v>1</v>
      </c>
      <c r="I373" s="2">
        <v>0</v>
      </c>
      <c r="J373" s="2">
        <v>0</v>
      </c>
      <c r="K373" s="2">
        <v>6070</v>
      </c>
      <c r="L373" s="2">
        <v>0</v>
      </c>
      <c r="M373" s="2">
        <v>4</v>
      </c>
      <c r="N373" s="2">
        <v>3</v>
      </c>
      <c r="O373" s="2">
        <v>0</v>
      </c>
      <c r="P373" s="2">
        <v>1</v>
      </c>
      <c r="Q373" s="2">
        <v>0</v>
      </c>
      <c r="R373" s="2">
        <v>0</v>
      </c>
      <c r="S373" s="2">
        <v>0</v>
      </c>
      <c r="T373" s="2">
        <v>4</v>
      </c>
      <c r="U373" s="2">
        <v>0</v>
      </c>
      <c r="V373" s="2">
        <v>0</v>
      </c>
      <c r="W373" s="2">
        <v>33</v>
      </c>
      <c r="X373" s="2">
        <v>0</v>
      </c>
      <c r="Y373" s="2">
        <v>0</v>
      </c>
      <c r="Z373" s="2">
        <v>1</v>
      </c>
      <c r="AA373" s="2">
        <v>2</v>
      </c>
      <c r="AB373" s="2">
        <v>2</v>
      </c>
      <c r="AC373" s="2">
        <v>1</v>
      </c>
      <c r="AD373" s="2">
        <v>1</v>
      </c>
      <c r="AE373" s="2">
        <v>0</v>
      </c>
      <c r="AF373" s="2">
        <v>1</v>
      </c>
      <c r="AG373" s="20">
        <f t="shared" si="5"/>
        <v>100</v>
      </c>
    </row>
    <row r="374" spans="1:33" x14ac:dyDescent="0.25">
      <c r="A374">
        <v>373</v>
      </c>
      <c r="B374" s="2">
        <v>3</v>
      </c>
      <c r="C374" s="2">
        <v>10</v>
      </c>
      <c r="D374" s="2">
        <v>4</v>
      </c>
      <c r="E374" s="2">
        <v>0</v>
      </c>
      <c r="F374" s="2">
        <v>0</v>
      </c>
      <c r="G374" s="2">
        <v>1</v>
      </c>
      <c r="H374" s="2">
        <v>0</v>
      </c>
      <c r="I374" s="2">
        <v>0</v>
      </c>
      <c r="J374" s="2">
        <v>0</v>
      </c>
      <c r="K374" s="2">
        <v>2146</v>
      </c>
      <c r="L374" s="2">
        <v>0</v>
      </c>
      <c r="M374" s="2">
        <v>1</v>
      </c>
      <c r="N374" s="2">
        <v>1</v>
      </c>
      <c r="O374" s="2">
        <v>0</v>
      </c>
      <c r="P374" s="2">
        <v>0</v>
      </c>
      <c r="Q374" s="2">
        <v>0</v>
      </c>
      <c r="R374" s="2">
        <v>0</v>
      </c>
      <c r="S374" s="2">
        <v>0</v>
      </c>
      <c r="T374" s="2">
        <v>3</v>
      </c>
      <c r="U374" s="2">
        <v>1</v>
      </c>
      <c r="V374" s="2">
        <v>0</v>
      </c>
      <c r="W374" s="2">
        <v>23</v>
      </c>
      <c r="X374" s="2">
        <v>0</v>
      </c>
      <c r="Y374" s="2">
        <v>1</v>
      </c>
      <c r="Z374" s="2">
        <v>0</v>
      </c>
      <c r="AA374" s="2">
        <v>2</v>
      </c>
      <c r="AB374" s="2">
        <v>2</v>
      </c>
      <c r="AC374" s="2">
        <v>1</v>
      </c>
      <c r="AD374" s="2">
        <v>0</v>
      </c>
      <c r="AE374" s="2">
        <v>0</v>
      </c>
      <c r="AF374" s="2">
        <v>1</v>
      </c>
      <c r="AG374" s="20">
        <f t="shared" si="5"/>
        <v>100</v>
      </c>
    </row>
    <row r="375" spans="1:33" x14ac:dyDescent="0.25">
      <c r="A375">
        <v>374</v>
      </c>
      <c r="B375" s="2">
        <v>3</v>
      </c>
      <c r="C375" s="2">
        <v>60</v>
      </c>
      <c r="D375" s="2">
        <v>4</v>
      </c>
      <c r="E375" s="2">
        <v>1</v>
      </c>
      <c r="F375" s="2">
        <v>0</v>
      </c>
      <c r="G375" s="2">
        <v>0</v>
      </c>
      <c r="H375" s="2">
        <v>0</v>
      </c>
      <c r="I375" s="2">
        <v>0</v>
      </c>
      <c r="J375" s="2">
        <v>0</v>
      </c>
      <c r="K375" s="2">
        <v>13756</v>
      </c>
      <c r="L375" s="2">
        <v>4</v>
      </c>
      <c r="M375" s="2">
        <v>4</v>
      </c>
      <c r="N375" s="2">
        <v>2</v>
      </c>
      <c r="O375" s="2">
        <v>0</v>
      </c>
      <c r="P375" s="2">
        <v>1</v>
      </c>
      <c r="Q375" s="2">
        <v>0</v>
      </c>
      <c r="R375" s="2">
        <v>0</v>
      </c>
      <c r="S375" s="2">
        <v>0</v>
      </c>
      <c r="T375" s="2">
        <v>4</v>
      </c>
      <c r="U375" s="2">
        <v>0</v>
      </c>
      <c r="V375" s="2">
        <v>1</v>
      </c>
      <c r="W375" s="2">
        <v>63</v>
      </c>
      <c r="X375" s="2">
        <v>1</v>
      </c>
      <c r="Y375" s="2">
        <v>0</v>
      </c>
      <c r="Z375" s="2">
        <v>0</v>
      </c>
      <c r="AA375" s="2">
        <v>1</v>
      </c>
      <c r="AB375" s="2">
        <v>3</v>
      </c>
      <c r="AC375" s="2">
        <v>1</v>
      </c>
      <c r="AD375" s="2">
        <v>1</v>
      </c>
      <c r="AE375" s="2">
        <v>0</v>
      </c>
      <c r="AF375" s="2">
        <v>1</v>
      </c>
      <c r="AG375" s="20">
        <f t="shared" si="5"/>
        <v>100</v>
      </c>
    </row>
    <row r="376" spans="1:33" x14ac:dyDescent="0.25">
      <c r="A376">
        <v>375</v>
      </c>
      <c r="B376" s="2">
        <v>1</v>
      </c>
      <c r="C376" s="2">
        <v>60</v>
      </c>
      <c r="D376" s="2">
        <v>1</v>
      </c>
      <c r="E376" s="2">
        <v>0</v>
      </c>
      <c r="F376" s="2">
        <v>0</v>
      </c>
      <c r="G376" s="2">
        <v>0</v>
      </c>
      <c r="H376" s="2">
        <v>0</v>
      </c>
      <c r="I376" s="2">
        <v>0</v>
      </c>
      <c r="J376" s="2">
        <v>0</v>
      </c>
      <c r="K376" s="2">
        <v>14782</v>
      </c>
      <c r="L376" s="2">
        <v>1</v>
      </c>
      <c r="M376" s="2">
        <v>4</v>
      </c>
      <c r="N376" s="2">
        <v>3</v>
      </c>
      <c r="O376" s="2">
        <v>0</v>
      </c>
      <c r="P376" s="2">
        <v>0</v>
      </c>
      <c r="Q376" s="2">
        <v>0</v>
      </c>
      <c r="R376" s="2">
        <v>0</v>
      </c>
      <c r="S376" s="2">
        <v>0</v>
      </c>
      <c r="T376" s="2">
        <v>4</v>
      </c>
      <c r="U376" s="2">
        <v>0</v>
      </c>
      <c r="V376" s="2">
        <v>1</v>
      </c>
      <c r="W376" s="2">
        <v>60</v>
      </c>
      <c r="X376" s="2">
        <v>1</v>
      </c>
      <c r="Y376" s="2">
        <v>0</v>
      </c>
      <c r="Z376" s="2">
        <v>0</v>
      </c>
      <c r="AA376" s="2">
        <v>2</v>
      </c>
      <c r="AB376" s="2">
        <v>3</v>
      </c>
      <c r="AC376" s="2">
        <v>1</v>
      </c>
      <c r="AD376" s="2">
        <v>1</v>
      </c>
      <c r="AE376" s="2">
        <v>0</v>
      </c>
      <c r="AF376" s="2">
        <v>0</v>
      </c>
      <c r="AG376" s="20">
        <f t="shared" si="5"/>
        <v>-500</v>
      </c>
    </row>
    <row r="377" spans="1:33" x14ac:dyDescent="0.25">
      <c r="A377">
        <v>376</v>
      </c>
      <c r="B377" s="2">
        <v>0</v>
      </c>
      <c r="C377" s="2">
        <v>48</v>
      </c>
      <c r="D377" s="2">
        <v>1</v>
      </c>
      <c r="E377" s="2">
        <v>0</v>
      </c>
      <c r="F377" s="2">
        <v>0</v>
      </c>
      <c r="G377" s="2">
        <v>0</v>
      </c>
      <c r="H377" s="2">
        <v>0</v>
      </c>
      <c r="I377" s="2">
        <v>0</v>
      </c>
      <c r="J377" s="2">
        <v>1</v>
      </c>
      <c r="K377" s="2">
        <v>7685</v>
      </c>
      <c r="L377" s="2">
        <v>0</v>
      </c>
      <c r="M377" s="2">
        <v>3</v>
      </c>
      <c r="N377" s="2">
        <v>2</v>
      </c>
      <c r="O377" s="2">
        <v>0</v>
      </c>
      <c r="P377" s="2">
        <v>0</v>
      </c>
      <c r="Q377" s="2">
        <v>0</v>
      </c>
      <c r="R377" s="2">
        <v>0</v>
      </c>
      <c r="S377" s="2">
        <v>1</v>
      </c>
      <c r="T377" s="2">
        <v>4</v>
      </c>
      <c r="U377" s="2">
        <v>0</v>
      </c>
      <c r="V377" s="2">
        <v>0</v>
      </c>
      <c r="W377" s="2">
        <v>37</v>
      </c>
      <c r="X377" s="2">
        <v>0</v>
      </c>
      <c r="Y377" s="2">
        <v>1</v>
      </c>
      <c r="Z377" s="2">
        <v>0</v>
      </c>
      <c r="AA377" s="2">
        <v>1</v>
      </c>
      <c r="AB377" s="2">
        <v>2</v>
      </c>
      <c r="AC377" s="2">
        <v>1</v>
      </c>
      <c r="AD377" s="2">
        <v>0</v>
      </c>
      <c r="AE377" s="2">
        <v>0</v>
      </c>
      <c r="AF377" s="2">
        <v>0</v>
      </c>
      <c r="AG377" s="20">
        <f t="shared" si="5"/>
        <v>-500</v>
      </c>
    </row>
    <row r="378" spans="1:33" x14ac:dyDescent="0.25">
      <c r="A378">
        <v>377</v>
      </c>
      <c r="B378" s="2">
        <v>3</v>
      </c>
      <c r="C378" s="2">
        <v>18</v>
      </c>
      <c r="D378" s="2">
        <v>3</v>
      </c>
      <c r="E378" s="2">
        <v>0</v>
      </c>
      <c r="F378" s="2">
        <v>0</v>
      </c>
      <c r="G378" s="2">
        <v>0</v>
      </c>
      <c r="H378" s="2">
        <v>1</v>
      </c>
      <c r="I378" s="2">
        <v>0</v>
      </c>
      <c r="J378" s="2">
        <v>0</v>
      </c>
      <c r="K378" s="2">
        <v>2320</v>
      </c>
      <c r="L378" s="2">
        <v>0</v>
      </c>
      <c r="M378" s="2">
        <v>0</v>
      </c>
      <c r="N378" s="2">
        <v>2</v>
      </c>
      <c r="O378" s="2">
        <v>0</v>
      </c>
      <c r="P378" s="2">
        <v>0</v>
      </c>
      <c r="Q378" s="2">
        <v>1</v>
      </c>
      <c r="R378" s="2">
        <v>0</v>
      </c>
      <c r="S378" s="2">
        <v>0</v>
      </c>
      <c r="T378" s="2">
        <v>3</v>
      </c>
      <c r="U378" s="2">
        <v>1</v>
      </c>
      <c r="V378" s="2">
        <v>0</v>
      </c>
      <c r="W378" s="2">
        <v>34</v>
      </c>
      <c r="X378" s="2">
        <v>0</v>
      </c>
      <c r="Y378" s="2">
        <v>0</v>
      </c>
      <c r="Z378" s="2">
        <v>1</v>
      </c>
      <c r="AA378" s="2">
        <v>2</v>
      </c>
      <c r="AB378" s="2">
        <v>2</v>
      </c>
      <c r="AC378" s="2">
        <v>1</v>
      </c>
      <c r="AD378" s="2">
        <v>0</v>
      </c>
      <c r="AE378" s="2">
        <v>0</v>
      </c>
      <c r="AF378" s="2">
        <v>1</v>
      </c>
      <c r="AG378" s="20">
        <f t="shared" si="5"/>
        <v>100</v>
      </c>
    </row>
    <row r="379" spans="1:33" x14ac:dyDescent="0.25">
      <c r="A379">
        <v>378</v>
      </c>
      <c r="B379" s="2">
        <v>3</v>
      </c>
      <c r="C379" s="2">
        <v>7</v>
      </c>
      <c r="D379" s="2">
        <v>3</v>
      </c>
      <c r="E379" s="2">
        <v>0</v>
      </c>
      <c r="F379" s="2">
        <v>0</v>
      </c>
      <c r="G379" s="2">
        <v>0</v>
      </c>
      <c r="H379" s="2">
        <v>1</v>
      </c>
      <c r="I379" s="2">
        <v>0</v>
      </c>
      <c r="J379" s="2">
        <v>0</v>
      </c>
      <c r="K379" s="2">
        <v>846</v>
      </c>
      <c r="L379" s="2">
        <v>4</v>
      </c>
      <c r="M379" s="2">
        <v>4</v>
      </c>
      <c r="N379" s="2">
        <v>3</v>
      </c>
      <c r="O379" s="2">
        <v>0</v>
      </c>
      <c r="P379" s="2">
        <v>1</v>
      </c>
      <c r="Q379" s="2">
        <v>0</v>
      </c>
      <c r="R379" s="2">
        <v>0</v>
      </c>
      <c r="S379" s="2">
        <v>0</v>
      </c>
      <c r="T379" s="2">
        <v>4</v>
      </c>
      <c r="U379" s="2">
        <v>0</v>
      </c>
      <c r="V379" s="2">
        <v>1</v>
      </c>
      <c r="W379" s="2">
        <v>36</v>
      </c>
      <c r="X379" s="2">
        <v>0</v>
      </c>
      <c r="Y379" s="2">
        <v>0</v>
      </c>
      <c r="Z379" s="2">
        <v>0</v>
      </c>
      <c r="AA379" s="2">
        <v>1</v>
      </c>
      <c r="AB379" s="2">
        <v>2</v>
      </c>
      <c r="AC379" s="2">
        <v>1</v>
      </c>
      <c r="AD379" s="2">
        <v>0</v>
      </c>
      <c r="AE379" s="2">
        <v>0</v>
      </c>
      <c r="AF379" s="2">
        <v>1</v>
      </c>
      <c r="AG379" s="20">
        <f t="shared" si="5"/>
        <v>100</v>
      </c>
    </row>
    <row r="380" spans="1:33" x14ac:dyDescent="0.25">
      <c r="A380">
        <v>379</v>
      </c>
      <c r="B380" s="2">
        <v>1</v>
      </c>
      <c r="C380" s="2">
        <v>36</v>
      </c>
      <c r="D380" s="2">
        <v>2</v>
      </c>
      <c r="E380" s="2">
        <v>1</v>
      </c>
      <c r="F380" s="2">
        <v>0</v>
      </c>
      <c r="G380" s="2">
        <v>0</v>
      </c>
      <c r="H380" s="2">
        <v>0</v>
      </c>
      <c r="I380" s="2">
        <v>0</v>
      </c>
      <c r="J380" s="2">
        <v>0</v>
      </c>
      <c r="K380" s="2">
        <v>14318</v>
      </c>
      <c r="L380" s="2">
        <v>0</v>
      </c>
      <c r="M380" s="2">
        <v>4</v>
      </c>
      <c r="N380" s="2">
        <v>4</v>
      </c>
      <c r="O380" s="2">
        <v>0</v>
      </c>
      <c r="P380" s="2">
        <v>1</v>
      </c>
      <c r="Q380" s="2">
        <v>0</v>
      </c>
      <c r="R380" s="2">
        <v>0</v>
      </c>
      <c r="S380" s="2">
        <v>0</v>
      </c>
      <c r="T380" s="2">
        <v>2</v>
      </c>
      <c r="U380" s="2">
        <v>0</v>
      </c>
      <c r="V380" s="2">
        <v>1</v>
      </c>
      <c r="W380" s="2">
        <v>57</v>
      </c>
      <c r="X380" s="2">
        <v>0</v>
      </c>
      <c r="Y380" s="2">
        <v>0</v>
      </c>
      <c r="Z380" s="2">
        <v>0</v>
      </c>
      <c r="AA380" s="2">
        <v>1</v>
      </c>
      <c r="AB380" s="2">
        <v>3</v>
      </c>
      <c r="AC380" s="2">
        <v>1</v>
      </c>
      <c r="AD380" s="2">
        <v>1</v>
      </c>
      <c r="AE380" s="2">
        <v>0</v>
      </c>
      <c r="AF380" s="2">
        <v>0</v>
      </c>
      <c r="AG380" s="20">
        <f t="shared" si="5"/>
        <v>-500</v>
      </c>
    </row>
    <row r="381" spans="1:33" x14ac:dyDescent="0.25">
      <c r="A381">
        <v>380</v>
      </c>
      <c r="B381" s="2">
        <v>3</v>
      </c>
      <c r="C381" s="2">
        <v>6</v>
      </c>
      <c r="D381" s="2">
        <v>4</v>
      </c>
      <c r="E381" s="2">
        <v>1</v>
      </c>
      <c r="F381" s="2">
        <v>0</v>
      </c>
      <c r="G381" s="2">
        <v>0</v>
      </c>
      <c r="H381" s="2">
        <v>0</v>
      </c>
      <c r="I381" s="2">
        <v>0</v>
      </c>
      <c r="J381" s="2">
        <v>0</v>
      </c>
      <c r="K381" s="2">
        <v>362</v>
      </c>
      <c r="L381" s="2">
        <v>1</v>
      </c>
      <c r="M381" s="2">
        <v>2</v>
      </c>
      <c r="N381" s="2">
        <v>4</v>
      </c>
      <c r="O381" s="2">
        <v>0</v>
      </c>
      <c r="P381" s="2">
        <v>0</v>
      </c>
      <c r="Q381" s="2">
        <v>0</v>
      </c>
      <c r="R381" s="2">
        <v>0</v>
      </c>
      <c r="S381" s="2">
        <v>0</v>
      </c>
      <c r="T381" s="2">
        <v>4</v>
      </c>
      <c r="U381" s="2">
        <v>0</v>
      </c>
      <c r="V381" s="2">
        <v>0</v>
      </c>
      <c r="W381" s="2">
        <v>52</v>
      </c>
      <c r="X381" s="2">
        <v>0</v>
      </c>
      <c r="Y381" s="2">
        <v>0</v>
      </c>
      <c r="Z381" s="2">
        <v>1</v>
      </c>
      <c r="AA381" s="2">
        <v>2</v>
      </c>
      <c r="AB381" s="2">
        <v>1</v>
      </c>
      <c r="AC381" s="2">
        <v>1</v>
      </c>
      <c r="AD381" s="2">
        <v>0</v>
      </c>
      <c r="AE381" s="2">
        <v>0</v>
      </c>
      <c r="AF381" s="2">
        <v>1</v>
      </c>
      <c r="AG381" s="20">
        <f t="shared" si="5"/>
        <v>100</v>
      </c>
    </row>
    <row r="382" spans="1:33" x14ac:dyDescent="0.25">
      <c r="A382">
        <v>381</v>
      </c>
      <c r="B382" s="2">
        <v>0</v>
      </c>
      <c r="C382" s="2">
        <v>20</v>
      </c>
      <c r="D382" s="2">
        <v>2</v>
      </c>
      <c r="E382" s="2">
        <v>0</v>
      </c>
      <c r="F382" s="2">
        <v>0</v>
      </c>
      <c r="G382" s="2">
        <v>1</v>
      </c>
      <c r="H382" s="2">
        <v>0</v>
      </c>
      <c r="I382" s="2">
        <v>0</v>
      </c>
      <c r="J382" s="2">
        <v>0</v>
      </c>
      <c r="K382" s="2">
        <v>2212</v>
      </c>
      <c r="L382" s="2">
        <v>4</v>
      </c>
      <c r="M382" s="2">
        <v>3</v>
      </c>
      <c r="N382" s="2">
        <v>4</v>
      </c>
      <c r="O382" s="2">
        <v>0</v>
      </c>
      <c r="P382" s="2">
        <v>1</v>
      </c>
      <c r="Q382" s="2">
        <v>0</v>
      </c>
      <c r="R382" s="2">
        <v>0</v>
      </c>
      <c r="S382" s="2">
        <v>0</v>
      </c>
      <c r="T382" s="2">
        <v>4</v>
      </c>
      <c r="U382" s="2">
        <v>0</v>
      </c>
      <c r="V382" s="2">
        <v>0</v>
      </c>
      <c r="W382" s="2">
        <v>39</v>
      </c>
      <c r="X382" s="2">
        <v>0</v>
      </c>
      <c r="Y382" s="2">
        <v>0</v>
      </c>
      <c r="Z382" s="2">
        <v>1</v>
      </c>
      <c r="AA382" s="2">
        <v>1</v>
      </c>
      <c r="AB382" s="2">
        <v>2</v>
      </c>
      <c r="AC382" s="2">
        <v>1</v>
      </c>
      <c r="AD382" s="2">
        <v>1</v>
      </c>
      <c r="AE382" s="2">
        <v>0</v>
      </c>
      <c r="AF382" s="2">
        <v>1</v>
      </c>
      <c r="AG382" s="20">
        <f t="shared" si="5"/>
        <v>100</v>
      </c>
    </row>
    <row r="383" spans="1:33" x14ac:dyDescent="0.25">
      <c r="A383">
        <v>382</v>
      </c>
      <c r="B383" s="2">
        <v>1</v>
      </c>
      <c r="C383" s="2">
        <v>18</v>
      </c>
      <c r="D383" s="2">
        <v>2</v>
      </c>
      <c r="E383" s="2">
        <v>0</v>
      </c>
      <c r="F383" s="2">
        <v>1</v>
      </c>
      <c r="G383" s="2">
        <v>0</v>
      </c>
      <c r="H383" s="2">
        <v>0</v>
      </c>
      <c r="I383" s="2">
        <v>0</v>
      </c>
      <c r="J383" s="2">
        <v>0</v>
      </c>
      <c r="K383" s="2">
        <v>12976</v>
      </c>
      <c r="L383" s="2">
        <v>0</v>
      </c>
      <c r="M383" s="2">
        <v>0</v>
      </c>
      <c r="N383" s="2">
        <v>3</v>
      </c>
      <c r="O383" s="2">
        <v>0</v>
      </c>
      <c r="P383" s="2">
        <v>0</v>
      </c>
      <c r="Q383" s="2">
        <v>0</v>
      </c>
      <c r="R383" s="2">
        <v>0</v>
      </c>
      <c r="S383" s="2">
        <v>0</v>
      </c>
      <c r="T383" s="2">
        <v>4</v>
      </c>
      <c r="U383" s="2">
        <v>0</v>
      </c>
      <c r="V383" s="2">
        <v>1</v>
      </c>
      <c r="W383" s="2">
        <v>38</v>
      </c>
      <c r="X383" s="2">
        <v>0</v>
      </c>
      <c r="Y383" s="2">
        <v>0</v>
      </c>
      <c r="Z383" s="2">
        <v>0</v>
      </c>
      <c r="AA383" s="2">
        <v>1</v>
      </c>
      <c r="AB383" s="2">
        <v>3</v>
      </c>
      <c r="AC383" s="2">
        <v>1</v>
      </c>
      <c r="AD383" s="2">
        <v>1</v>
      </c>
      <c r="AE383" s="2">
        <v>0</v>
      </c>
      <c r="AF383" s="2">
        <v>0</v>
      </c>
      <c r="AG383" s="20">
        <f t="shared" si="5"/>
        <v>-500</v>
      </c>
    </row>
    <row r="384" spans="1:33" x14ac:dyDescent="0.25">
      <c r="A384">
        <v>383</v>
      </c>
      <c r="B384" s="2">
        <v>3</v>
      </c>
      <c r="C384" s="2">
        <v>22</v>
      </c>
      <c r="D384" s="2">
        <v>2</v>
      </c>
      <c r="E384" s="2">
        <v>1</v>
      </c>
      <c r="F384" s="2">
        <v>0</v>
      </c>
      <c r="G384" s="2">
        <v>0</v>
      </c>
      <c r="H384" s="2">
        <v>0</v>
      </c>
      <c r="I384" s="2">
        <v>0</v>
      </c>
      <c r="J384" s="2">
        <v>0</v>
      </c>
      <c r="K384" s="2">
        <v>1283</v>
      </c>
      <c r="L384" s="2">
        <v>4</v>
      </c>
      <c r="M384" s="2">
        <v>3</v>
      </c>
      <c r="N384" s="2">
        <v>4</v>
      </c>
      <c r="O384" s="2">
        <v>0</v>
      </c>
      <c r="P384" s="2">
        <v>0</v>
      </c>
      <c r="Q384" s="2">
        <v>0</v>
      </c>
      <c r="R384" s="2">
        <v>0</v>
      </c>
      <c r="S384" s="2">
        <v>0</v>
      </c>
      <c r="T384" s="2">
        <v>4</v>
      </c>
      <c r="U384" s="2">
        <v>0</v>
      </c>
      <c r="V384" s="2">
        <v>0</v>
      </c>
      <c r="W384" s="2">
        <v>25</v>
      </c>
      <c r="X384" s="2">
        <v>0</v>
      </c>
      <c r="Y384" s="2">
        <v>1</v>
      </c>
      <c r="Z384" s="2">
        <v>0</v>
      </c>
      <c r="AA384" s="2">
        <v>1</v>
      </c>
      <c r="AB384" s="2">
        <v>2</v>
      </c>
      <c r="AC384" s="2">
        <v>1</v>
      </c>
      <c r="AD384" s="2">
        <v>0</v>
      </c>
      <c r="AE384" s="2">
        <v>0</v>
      </c>
      <c r="AF384" s="2">
        <v>1</v>
      </c>
      <c r="AG384" s="20">
        <f t="shared" si="5"/>
        <v>100</v>
      </c>
    </row>
    <row r="385" spans="1:33" x14ac:dyDescent="0.25">
      <c r="A385">
        <v>384</v>
      </c>
      <c r="B385" s="2">
        <v>2</v>
      </c>
      <c r="C385" s="2">
        <v>12</v>
      </c>
      <c r="D385" s="2">
        <v>2</v>
      </c>
      <c r="E385" s="2">
        <v>1</v>
      </c>
      <c r="F385" s="2">
        <v>0</v>
      </c>
      <c r="G385" s="2">
        <v>0</v>
      </c>
      <c r="H385" s="2">
        <v>0</v>
      </c>
      <c r="I385" s="2">
        <v>0</v>
      </c>
      <c r="J385" s="2">
        <v>0</v>
      </c>
      <c r="K385" s="2">
        <v>1330</v>
      </c>
      <c r="L385" s="2">
        <v>0</v>
      </c>
      <c r="M385" s="2">
        <v>1</v>
      </c>
      <c r="N385" s="2">
        <v>4</v>
      </c>
      <c r="O385" s="2">
        <v>0</v>
      </c>
      <c r="P385" s="2">
        <v>1</v>
      </c>
      <c r="Q385" s="2">
        <v>0</v>
      </c>
      <c r="R385" s="2">
        <v>0</v>
      </c>
      <c r="S385" s="2">
        <v>0</v>
      </c>
      <c r="T385" s="2">
        <v>1</v>
      </c>
      <c r="U385" s="2">
        <v>1</v>
      </c>
      <c r="V385" s="2">
        <v>0</v>
      </c>
      <c r="W385" s="2">
        <v>26</v>
      </c>
      <c r="X385" s="2">
        <v>0</v>
      </c>
      <c r="Y385" s="2">
        <v>0</v>
      </c>
      <c r="Z385" s="2">
        <v>1</v>
      </c>
      <c r="AA385" s="2">
        <v>1</v>
      </c>
      <c r="AB385" s="2">
        <v>2</v>
      </c>
      <c r="AC385" s="2">
        <v>1</v>
      </c>
      <c r="AD385" s="2">
        <v>0</v>
      </c>
      <c r="AE385" s="2">
        <v>0</v>
      </c>
      <c r="AF385" s="2">
        <v>1</v>
      </c>
      <c r="AG385" s="20">
        <f t="shared" si="5"/>
        <v>100</v>
      </c>
    </row>
    <row r="386" spans="1:33" x14ac:dyDescent="0.25">
      <c r="A386">
        <v>385</v>
      </c>
      <c r="B386" s="2">
        <v>3</v>
      </c>
      <c r="C386" s="2">
        <v>30</v>
      </c>
      <c r="D386" s="2">
        <v>3</v>
      </c>
      <c r="E386" s="2">
        <v>0</v>
      </c>
      <c r="F386" s="2">
        <v>0</v>
      </c>
      <c r="G386" s="2">
        <v>0</v>
      </c>
      <c r="H386" s="2">
        <v>0</v>
      </c>
      <c r="I386" s="2">
        <v>0</v>
      </c>
      <c r="J386" s="2">
        <v>1</v>
      </c>
      <c r="K386" s="2">
        <v>4272</v>
      </c>
      <c r="L386" s="2">
        <v>1</v>
      </c>
      <c r="M386" s="2">
        <v>2</v>
      </c>
      <c r="N386" s="2">
        <v>2</v>
      </c>
      <c r="O386" s="2">
        <v>0</v>
      </c>
      <c r="P386" s="2">
        <v>1</v>
      </c>
      <c r="Q386" s="2">
        <v>0</v>
      </c>
      <c r="R386" s="2">
        <v>0</v>
      </c>
      <c r="S386" s="2">
        <v>0</v>
      </c>
      <c r="T386" s="2">
        <v>2</v>
      </c>
      <c r="U386" s="2">
        <v>0</v>
      </c>
      <c r="V386" s="2">
        <v>0</v>
      </c>
      <c r="W386" s="2">
        <v>26</v>
      </c>
      <c r="X386" s="2">
        <v>0</v>
      </c>
      <c r="Y386" s="2">
        <v>0</v>
      </c>
      <c r="Z386" s="2">
        <v>1</v>
      </c>
      <c r="AA386" s="2">
        <v>2</v>
      </c>
      <c r="AB386" s="2">
        <v>1</v>
      </c>
      <c r="AC386" s="2">
        <v>1</v>
      </c>
      <c r="AD386" s="2">
        <v>0</v>
      </c>
      <c r="AE386" s="2">
        <v>0</v>
      </c>
      <c r="AF386" s="2">
        <v>1</v>
      </c>
      <c r="AG386" s="20">
        <f t="shared" si="5"/>
        <v>100</v>
      </c>
    </row>
    <row r="387" spans="1:33" x14ac:dyDescent="0.25">
      <c r="A387">
        <v>386</v>
      </c>
      <c r="B387" s="2">
        <v>3</v>
      </c>
      <c r="C387" s="2">
        <v>18</v>
      </c>
      <c r="D387" s="2">
        <v>4</v>
      </c>
      <c r="E387" s="2">
        <v>0</v>
      </c>
      <c r="F387" s="2">
        <v>0</v>
      </c>
      <c r="G387" s="2">
        <v>0</v>
      </c>
      <c r="H387" s="2">
        <v>1</v>
      </c>
      <c r="I387" s="2">
        <v>0</v>
      </c>
      <c r="J387" s="2">
        <v>0</v>
      </c>
      <c r="K387" s="2">
        <v>2238</v>
      </c>
      <c r="L387" s="2">
        <v>0</v>
      </c>
      <c r="M387" s="2">
        <v>2</v>
      </c>
      <c r="N387" s="2">
        <v>2</v>
      </c>
      <c r="O387" s="2">
        <v>0</v>
      </c>
      <c r="P387" s="2">
        <v>0</v>
      </c>
      <c r="Q387" s="2">
        <v>0</v>
      </c>
      <c r="R387" s="2">
        <v>0</v>
      </c>
      <c r="S387" s="2">
        <v>0</v>
      </c>
      <c r="T387" s="2">
        <v>1</v>
      </c>
      <c r="U387" s="2">
        <v>0</v>
      </c>
      <c r="V387" s="2">
        <v>0</v>
      </c>
      <c r="W387" s="2">
        <v>25</v>
      </c>
      <c r="X387" s="2">
        <v>0</v>
      </c>
      <c r="Y387" s="2">
        <v>0</v>
      </c>
      <c r="Z387" s="2">
        <v>1</v>
      </c>
      <c r="AA387" s="2">
        <v>2</v>
      </c>
      <c r="AB387" s="2">
        <v>2</v>
      </c>
      <c r="AC387" s="2">
        <v>1</v>
      </c>
      <c r="AD387" s="2">
        <v>0</v>
      </c>
      <c r="AE387" s="2">
        <v>0</v>
      </c>
      <c r="AF387" s="2">
        <v>1</v>
      </c>
      <c r="AG387" s="20">
        <f t="shared" si="5"/>
        <v>100</v>
      </c>
    </row>
    <row r="388" spans="1:33" x14ac:dyDescent="0.25">
      <c r="A388">
        <v>387</v>
      </c>
      <c r="B388" s="2">
        <v>3</v>
      </c>
      <c r="C388" s="2">
        <v>18</v>
      </c>
      <c r="D388" s="2">
        <v>2</v>
      </c>
      <c r="E388" s="2">
        <v>0</v>
      </c>
      <c r="F388" s="2">
        <v>0</v>
      </c>
      <c r="G388" s="2">
        <v>0</v>
      </c>
      <c r="H388" s="2">
        <v>1</v>
      </c>
      <c r="I388" s="2">
        <v>0</v>
      </c>
      <c r="J388" s="2">
        <v>0</v>
      </c>
      <c r="K388" s="2">
        <v>1126</v>
      </c>
      <c r="L388" s="2">
        <v>4</v>
      </c>
      <c r="M388" s="2">
        <v>1</v>
      </c>
      <c r="N388" s="2">
        <v>4</v>
      </c>
      <c r="O388" s="2">
        <v>0</v>
      </c>
      <c r="P388" s="2">
        <v>0</v>
      </c>
      <c r="Q388" s="2">
        <v>0</v>
      </c>
      <c r="R388" s="2">
        <v>0</v>
      </c>
      <c r="S388" s="2">
        <v>0</v>
      </c>
      <c r="T388" s="2">
        <v>2</v>
      </c>
      <c r="U388" s="2">
        <v>1</v>
      </c>
      <c r="V388" s="2">
        <v>0</v>
      </c>
      <c r="W388" s="2">
        <v>21</v>
      </c>
      <c r="X388" s="2">
        <v>0</v>
      </c>
      <c r="Y388" s="2">
        <v>1</v>
      </c>
      <c r="Z388" s="2">
        <v>0</v>
      </c>
      <c r="AA388" s="2">
        <v>1</v>
      </c>
      <c r="AB388" s="2">
        <v>2</v>
      </c>
      <c r="AC388" s="2">
        <v>1</v>
      </c>
      <c r="AD388" s="2">
        <v>1</v>
      </c>
      <c r="AE388" s="2">
        <v>0</v>
      </c>
      <c r="AF388" s="2">
        <v>1</v>
      </c>
      <c r="AG388" s="20">
        <f t="shared" ref="AG388:AG451" si="6">IF(AF388=1,100,-500)</f>
        <v>100</v>
      </c>
    </row>
    <row r="389" spans="1:33" x14ac:dyDescent="0.25">
      <c r="A389">
        <v>388</v>
      </c>
      <c r="B389" s="2">
        <v>1</v>
      </c>
      <c r="C389" s="2">
        <v>18</v>
      </c>
      <c r="D389" s="2">
        <v>4</v>
      </c>
      <c r="E389" s="2">
        <v>0</v>
      </c>
      <c r="F389" s="2">
        <v>0</v>
      </c>
      <c r="G389" s="2">
        <v>1</v>
      </c>
      <c r="H389" s="2">
        <v>0</v>
      </c>
      <c r="I389" s="2">
        <v>0</v>
      </c>
      <c r="J389" s="2">
        <v>0</v>
      </c>
      <c r="K389" s="2">
        <v>7374</v>
      </c>
      <c r="L389" s="2">
        <v>0</v>
      </c>
      <c r="M389" s="2">
        <v>0</v>
      </c>
      <c r="N389" s="2">
        <v>4</v>
      </c>
      <c r="O389" s="2">
        <v>0</v>
      </c>
      <c r="P389" s="2">
        <v>1</v>
      </c>
      <c r="Q389" s="2">
        <v>0</v>
      </c>
      <c r="R389" s="2">
        <v>0</v>
      </c>
      <c r="S389" s="2">
        <v>0</v>
      </c>
      <c r="T389" s="2">
        <v>4</v>
      </c>
      <c r="U389" s="2">
        <v>0</v>
      </c>
      <c r="V389" s="2">
        <v>0</v>
      </c>
      <c r="W389" s="2">
        <v>40</v>
      </c>
      <c r="X389" s="2">
        <v>1</v>
      </c>
      <c r="Y389" s="2">
        <v>0</v>
      </c>
      <c r="Z389" s="2">
        <v>1</v>
      </c>
      <c r="AA389" s="2">
        <v>2</v>
      </c>
      <c r="AB389" s="2">
        <v>3</v>
      </c>
      <c r="AC389" s="2">
        <v>1</v>
      </c>
      <c r="AD389" s="2">
        <v>1</v>
      </c>
      <c r="AE389" s="2">
        <v>0</v>
      </c>
      <c r="AF389" s="2">
        <v>1</v>
      </c>
      <c r="AG389" s="20">
        <f t="shared" si="6"/>
        <v>100</v>
      </c>
    </row>
    <row r="390" spans="1:33" x14ac:dyDescent="0.25">
      <c r="A390">
        <v>389</v>
      </c>
      <c r="B390" s="2">
        <v>1</v>
      </c>
      <c r="C390" s="2">
        <v>15</v>
      </c>
      <c r="D390" s="2">
        <v>4</v>
      </c>
      <c r="E390" s="2">
        <v>0</v>
      </c>
      <c r="F390" s="2">
        <v>0</v>
      </c>
      <c r="G390" s="2">
        <v>0</v>
      </c>
      <c r="H390" s="2">
        <v>0</v>
      </c>
      <c r="I390" s="2">
        <v>0</v>
      </c>
      <c r="J390" s="2">
        <v>1</v>
      </c>
      <c r="K390" s="2">
        <v>2326</v>
      </c>
      <c r="L390" s="2">
        <v>2</v>
      </c>
      <c r="M390" s="2">
        <v>2</v>
      </c>
      <c r="N390" s="2">
        <v>2</v>
      </c>
      <c r="O390" s="2">
        <v>0</v>
      </c>
      <c r="P390" s="2">
        <v>1</v>
      </c>
      <c r="Q390" s="2">
        <v>0</v>
      </c>
      <c r="R390" s="2">
        <v>0</v>
      </c>
      <c r="S390" s="2">
        <v>0</v>
      </c>
      <c r="T390" s="2">
        <v>4</v>
      </c>
      <c r="U390" s="2">
        <v>0</v>
      </c>
      <c r="V390" s="2">
        <v>0</v>
      </c>
      <c r="W390" s="2">
        <v>27</v>
      </c>
      <c r="X390" s="2">
        <v>1</v>
      </c>
      <c r="Y390" s="2">
        <v>0</v>
      </c>
      <c r="Z390" s="2">
        <v>1</v>
      </c>
      <c r="AA390" s="2">
        <v>1</v>
      </c>
      <c r="AB390" s="2">
        <v>2</v>
      </c>
      <c r="AC390" s="2">
        <v>1</v>
      </c>
      <c r="AD390" s="2">
        <v>0</v>
      </c>
      <c r="AE390" s="2">
        <v>0</v>
      </c>
      <c r="AF390" s="2">
        <v>1</v>
      </c>
      <c r="AG390" s="20">
        <f t="shared" si="6"/>
        <v>100</v>
      </c>
    </row>
    <row r="391" spans="1:33" x14ac:dyDescent="0.25">
      <c r="A391">
        <v>390</v>
      </c>
      <c r="B391" s="2">
        <v>3</v>
      </c>
      <c r="C391" s="2">
        <v>9</v>
      </c>
      <c r="D391" s="2">
        <v>2</v>
      </c>
      <c r="E391" s="2">
        <v>0</v>
      </c>
      <c r="F391" s="2">
        <v>0</v>
      </c>
      <c r="G391" s="2">
        <v>0</v>
      </c>
      <c r="H391" s="2">
        <v>0</v>
      </c>
      <c r="I391" s="2">
        <v>0</v>
      </c>
      <c r="J391" s="2">
        <v>1</v>
      </c>
      <c r="K391" s="2">
        <v>1449</v>
      </c>
      <c r="L391" s="2">
        <v>0</v>
      </c>
      <c r="M391" s="2">
        <v>3</v>
      </c>
      <c r="N391" s="2">
        <v>3</v>
      </c>
      <c r="O391" s="2">
        <v>0</v>
      </c>
      <c r="P391" s="2">
        <v>0</v>
      </c>
      <c r="Q391" s="2">
        <v>0</v>
      </c>
      <c r="R391" s="2">
        <v>0</v>
      </c>
      <c r="S391" s="2">
        <v>0</v>
      </c>
      <c r="T391" s="2">
        <v>2</v>
      </c>
      <c r="U391" s="2">
        <v>0</v>
      </c>
      <c r="V391" s="2">
        <v>0</v>
      </c>
      <c r="W391" s="2">
        <v>27</v>
      </c>
      <c r="X391" s="2">
        <v>0</v>
      </c>
      <c r="Y391" s="2">
        <v>0</v>
      </c>
      <c r="Z391" s="2">
        <v>1</v>
      </c>
      <c r="AA391" s="2">
        <v>2</v>
      </c>
      <c r="AB391" s="2">
        <v>2</v>
      </c>
      <c r="AC391" s="2">
        <v>1</v>
      </c>
      <c r="AD391" s="2">
        <v>0</v>
      </c>
      <c r="AE391" s="2">
        <v>0</v>
      </c>
      <c r="AF391" s="2">
        <v>1</v>
      </c>
      <c r="AG391" s="20">
        <f t="shared" si="6"/>
        <v>100</v>
      </c>
    </row>
    <row r="392" spans="1:33" x14ac:dyDescent="0.25">
      <c r="A392">
        <v>391</v>
      </c>
      <c r="B392" s="2">
        <v>3</v>
      </c>
      <c r="C392" s="2">
        <v>18</v>
      </c>
      <c r="D392" s="2">
        <v>2</v>
      </c>
      <c r="E392" s="2">
        <v>1</v>
      </c>
      <c r="F392" s="2">
        <v>0</v>
      </c>
      <c r="G392" s="2">
        <v>0</v>
      </c>
      <c r="H392" s="2">
        <v>0</v>
      </c>
      <c r="I392" s="2">
        <v>0</v>
      </c>
      <c r="J392" s="2">
        <v>0</v>
      </c>
      <c r="K392" s="2">
        <v>1820</v>
      </c>
      <c r="L392" s="2">
        <v>0</v>
      </c>
      <c r="M392" s="2">
        <v>2</v>
      </c>
      <c r="N392" s="2">
        <v>2</v>
      </c>
      <c r="O392" s="2">
        <v>0</v>
      </c>
      <c r="P392" s="2">
        <v>0</v>
      </c>
      <c r="Q392" s="2">
        <v>1</v>
      </c>
      <c r="R392" s="2">
        <v>0</v>
      </c>
      <c r="S392" s="2">
        <v>0</v>
      </c>
      <c r="T392" s="2">
        <v>2</v>
      </c>
      <c r="U392" s="2">
        <v>0</v>
      </c>
      <c r="V392" s="2">
        <v>0</v>
      </c>
      <c r="W392" s="2">
        <v>30</v>
      </c>
      <c r="X392" s="2">
        <v>0</v>
      </c>
      <c r="Y392" s="2">
        <v>0</v>
      </c>
      <c r="Z392" s="2">
        <v>1</v>
      </c>
      <c r="AA392" s="2">
        <v>1</v>
      </c>
      <c r="AB392" s="2">
        <v>3</v>
      </c>
      <c r="AC392" s="2">
        <v>1</v>
      </c>
      <c r="AD392" s="2">
        <v>1</v>
      </c>
      <c r="AE392" s="2">
        <v>0</v>
      </c>
      <c r="AF392" s="2">
        <v>1</v>
      </c>
      <c r="AG392" s="20">
        <f t="shared" si="6"/>
        <v>100</v>
      </c>
    </row>
    <row r="393" spans="1:33" x14ac:dyDescent="0.25">
      <c r="A393">
        <v>392</v>
      </c>
      <c r="B393" s="2">
        <v>1</v>
      </c>
      <c r="C393" s="2">
        <v>12</v>
      </c>
      <c r="D393" s="2">
        <v>2</v>
      </c>
      <c r="E393" s="2">
        <v>0</v>
      </c>
      <c r="F393" s="2">
        <v>0</v>
      </c>
      <c r="G393" s="2">
        <v>1</v>
      </c>
      <c r="H393" s="2">
        <v>0</v>
      </c>
      <c r="I393" s="2">
        <v>0</v>
      </c>
      <c r="J393" s="2">
        <v>0</v>
      </c>
      <c r="K393" s="2">
        <v>983</v>
      </c>
      <c r="L393" s="2">
        <v>3</v>
      </c>
      <c r="M393" s="2">
        <v>1</v>
      </c>
      <c r="N393" s="2">
        <v>1</v>
      </c>
      <c r="O393" s="2">
        <v>0</v>
      </c>
      <c r="P393" s="2">
        <v>0</v>
      </c>
      <c r="Q393" s="2">
        <v>0</v>
      </c>
      <c r="R393" s="2">
        <v>0</v>
      </c>
      <c r="S393" s="2">
        <v>0</v>
      </c>
      <c r="T393" s="2">
        <v>4</v>
      </c>
      <c r="U393" s="2">
        <v>1</v>
      </c>
      <c r="V393" s="2">
        <v>0</v>
      </c>
      <c r="W393" s="2">
        <v>19</v>
      </c>
      <c r="X393" s="2">
        <v>0</v>
      </c>
      <c r="Y393" s="2">
        <v>1</v>
      </c>
      <c r="Z393" s="2">
        <v>0</v>
      </c>
      <c r="AA393" s="2">
        <v>1</v>
      </c>
      <c r="AB393" s="2">
        <v>1</v>
      </c>
      <c r="AC393" s="2">
        <v>1</v>
      </c>
      <c r="AD393" s="2">
        <v>0</v>
      </c>
      <c r="AE393" s="2">
        <v>0</v>
      </c>
      <c r="AF393" s="2">
        <v>1</v>
      </c>
      <c r="AG393" s="20">
        <f t="shared" si="6"/>
        <v>100</v>
      </c>
    </row>
    <row r="394" spans="1:33" x14ac:dyDescent="0.25">
      <c r="A394">
        <v>393</v>
      </c>
      <c r="B394" s="2">
        <v>0</v>
      </c>
      <c r="C394" s="2">
        <v>36</v>
      </c>
      <c r="D394" s="2">
        <v>2</v>
      </c>
      <c r="E394" s="2">
        <v>1</v>
      </c>
      <c r="F394" s="2">
        <v>0</v>
      </c>
      <c r="G394" s="2">
        <v>0</v>
      </c>
      <c r="H394" s="2">
        <v>0</v>
      </c>
      <c r="I394" s="2">
        <v>0</v>
      </c>
      <c r="J394" s="2">
        <v>0</v>
      </c>
      <c r="K394" s="2">
        <v>3249</v>
      </c>
      <c r="L394" s="2">
        <v>0</v>
      </c>
      <c r="M394" s="2">
        <v>3</v>
      </c>
      <c r="N394" s="2">
        <v>2</v>
      </c>
      <c r="O394" s="2">
        <v>0</v>
      </c>
      <c r="P394" s="2">
        <v>1</v>
      </c>
      <c r="Q394" s="2">
        <v>0</v>
      </c>
      <c r="R394" s="2">
        <v>0</v>
      </c>
      <c r="S394" s="2">
        <v>0</v>
      </c>
      <c r="T394" s="2">
        <v>4</v>
      </c>
      <c r="U394" s="2">
        <v>0</v>
      </c>
      <c r="V394" s="2">
        <v>1</v>
      </c>
      <c r="W394" s="2">
        <v>39</v>
      </c>
      <c r="X394" s="2">
        <v>1</v>
      </c>
      <c r="Y394" s="2">
        <v>0</v>
      </c>
      <c r="Z394" s="2">
        <v>0</v>
      </c>
      <c r="AA394" s="2">
        <v>1</v>
      </c>
      <c r="AB394" s="2">
        <v>3</v>
      </c>
      <c r="AC394" s="2">
        <v>2</v>
      </c>
      <c r="AD394" s="2">
        <v>1</v>
      </c>
      <c r="AE394" s="2">
        <v>0</v>
      </c>
      <c r="AF394" s="2">
        <v>1</v>
      </c>
      <c r="AG394" s="20">
        <f t="shared" si="6"/>
        <v>100</v>
      </c>
    </row>
    <row r="395" spans="1:33" x14ac:dyDescent="0.25">
      <c r="A395">
        <v>394</v>
      </c>
      <c r="B395" s="2">
        <v>0</v>
      </c>
      <c r="C395" s="2">
        <v>6</v>
      </c>
      <c r="D395" s="2">
        <v>4</v>
      </c>
      <c r="E395" s="2">
        <v>0</v>
      </c>
      <c r="F395" s="2">
        <v>0</v>
      </c>
      <c r="G395" s="2">
        <v>0</v>
      </c>
      <c r="H395" s="2">
        <v>1</v>
      </c>
      <c r="I395" s="2">
        <v>0</v>
      </c>
      <c r="J395" s="2">
        <v>0</v>
      </c>
      <c r="K395" s="2">
        <v>1957</v>
      </c>
      <c r="L395" s="2">
        <v>0</v>
      </c>
      <c r="M395" s="2">
        <v>3</v>
      </c>
      <c r="N395" s="2">
        <v>1</v>
      </c>
      <c r="O395" s="2">
        <v>0</v>
      </c>
      <c r="P395" s="2">
        <v>0</v>
      </c>
      <c r="Q395" s="2">
        <v>0</v>
      </c>
      <c r="R395" s="2">
        <v>0</v>
      </c>
      <c r="S395" s="2">
        <v>0</v>
      </c>
      <c r="T395" s="2">
        <v>4</v>
      </c>
      <c r="U395" s="2">
        <v>0</v>
      </c>
      <c r="V395" s="2">
        <v>0</v>
      </c>
      <c r="W395" s="2">
        <v>31</v>
      </c>
      <c r="X395" s="2">
        <v>0</v>
      </c>
      <c r="Y395" s="2">
        <v>0</v>
      </c>
      <c r="Z395" s="2">
        <v>1</v>
      </c>
      <c r="AA395" s="2">
        <v>1</v>
      </c>
      <c r="AB395" s="2">
        <v>2</v>
      </c>
      <c r="AC395" s="2">
        <v>1</v>
      </c>
      <c r="AD395" s="2">
        <v>0</v>
      </c>
      <c r="AE395" s="2">
        <v>0</v>
      </c>
      <c r="AF395" s="2">
        <v>1</v>
      </c>
      <c r="AG395" s="20">
        <f t="shared" si="6"/>
        <v>100</v>
      </c>
    </row>
    <row r="396" spans="1:33" x14ac:dyDescent="0.25">
      <c r="A396">
        <v>395</v>
      </c>
      <c r="B396" s="2">
        <v>3</v>
      </c>
      <c r="C396" s="2">
        <v>9</v>
      </c>
      <c r="D396" s="2">
        <v>4</v>
      </c>
      <c r="E396" s="2">
        <v>0</v>
      </c>
      <c r="F396" s="2">
        <v>0</v>
      </c>
      <c r="G396" s="2">
        <v>1</v>
      </c>
      <c r="H396" s="2">
        <v>0</v>
      </c>
      <c r="I396" s="2">
        <v>0</v>
      </c>
      <c r="J396" s="2">
        <v>0</v>
      </c>
      <c r="K396" s="2">
        <v>2406</v>
      </c>
      <c r="L396" s="2">
        <v>0</v>
      </c>
      <c r="M396" s="2">
        <v>0</v>
      </c>
      <c r="N396" s="2">
        <v>2</v>
      </c>
      <c r="O396" s="2">
        <v>0</v>
      </c>
      <c r="P396" s="2">
        <v>1</v>
      </c>
      <c r="Q396" s="2">
        <v>0</v>
      </c>
      <c r="R396" s="2">
        <v>0</v>
      </c>
      <c r="S396" s="2">
        <v>0</v>
      </c>
      <c r="T396" s="2">
        <v>3</v>
      </c>
      <c r="U396" s="2">
        <v>0</v>
      </c>
      <c r="V396" s="2">
        <v>0</v>
      </c>
      <c r="W396" s="2">
        <v>31</v>
      </c>
      <c r="X396" s="2">
        <v>0</v>
      </c>
      <c r="Y396" s="2">
        <v>0</v>
      </c>
      <c r="Z396" s="2">
        <v>1</v>
      </c>
      <c r="AA396" s="2">
        <v>1</v>
      </c>
      <c r="AB396" s="2">
        <v>3</v>
      </c>
      <c r="AC396" s="2">
        <v>1</v>
      </c>
      <c r="AD396" s="2">
        <v>0</v>
      </c>
      <c r="AE396" s="2">
        <v>0</v>
      </c>
      <c r="AF396" s="2">
        <v>1</v>
      </c>
      <c r="AG396" s="20">
        <f t="shared" si="6"/>
        <v>100</v>
      </c>
    </row>
    <row r="397" spans="1:33" x14ac:dyDescent="0.25">
      <c r="A397">
        <v>396</v>
      </c>
      <c r="B397" s="2">
        <v>1</v>
      </c>
      <c r="C397" s="2">
        <v>39</v>
      </c>
      <c r="D397" s="2">
        <v>3</v>
      </c>
      <c r="E397" s="2">
        <v>0</v>
      </c>
      <c r="F397" s="2">
        <v>0</v>
      </c>
      <c r="G397" s="2">
        <v>0</v>
      </c>
      <c r="H397" s="2">
        <v>0</v>
      </c>
      <c r="I397" s="2">
        <v>1</v>
      </c>
      <c r="J397" s="2">
        <v>0</v>
      </c>
      <c r="K397" s="2">
        <v>11760</v>
      </c>
      <c r="L397" s="2">
        <v>1</v>
      </c>
      <c r="M397" s="2">
        <v>3</v>
      </c>
      <c r="N397" s="2">
        <v>2</v>
      </c>
      <c r="O397" s="2">
        <v>0</v>
      </c>
      <c r="P397" s="2">
        <v>1</v>
      </c>
      <c r="Q397" s="2">
        <v>0</v>
      </c>
      <c r="R397" s="2">
        <v>0</v>
      </c>
      <c r="S397" s="2">
        <v>0</v>
      </c>
      <c r="T397" s="2">
        <v>3</v>
      </c>
      <c r="U397" s="2">
        <v>0</v>
      </c>
      <c r="V397" s="2">
        <v>1</v>
      </c>
      <c r="W397" s="2">
        <v>32</v>
      </c>
      <c r="X397" s="2">
        <v>0</v>
      </c>
      <c r="Y397" s="2">
        <v>1</v>
      </c>
      <c r="Z397" s="2">
        <v>0</v>
      </c>
      <c r="AA397" s="2">
        <v>1</v>
      </c>
      <c r="AB397" s="2">
        <v>2</v>
      </c>
      <c r="AC397" s="2">
        <v>1</v>
      </c>
      <c r="AD397" s="2">
        <v>1</v>
      </c>
      <c r="AE397" s="2">
        <v>0</v>
      </c>
      <c r="AF397" s="2">
        <v>1</v>
      </c>
      <c r="AG397" s="20">
        <f t="shared" si="6"/>
        <v>100</v>
      </c>
    </row>
    <row r="398" spans="1:33" x14ac:dyDescent="0.25">
      <c r="A398">
        <v>397</v>
      </c>
      <c r="B398" s="2">
        <v>0</v>
      </c>
      <c r="C398" s="2">
        <v>12</v>
      </c>
      <c r="D398" s="2">
        <v>2</v>
      </c>
      <c r="E398" s="2">
        <v>0</v>
      </c>
      <c r="F398" s="2">
        <v>0</v>
      </c>
      <c r="G398" s="2">
        <v>1</v>
      </c>
      <c r="H398" s="2">
        <v>0</v>
      </c>
      <c r="I398" s="2">
        <v>0</v>
      </c>
      <c r="J398" s="2">
        <v>0</v>
      </c>
      <c r="K398" s="2">
        <v>2578</v>
      </c>
      <c r="L398" s="2">
        <v>0</v>
      </c>
      <c r="M398" s="2">
        <v>0</v>
      </c>
      <c r="N398" s="2">
        <v>3</v>
      </c>
      <c r="O398" s="2">
        <v>0</v>
      </c>
      <c r="P398" s="2">
        <v>0</v>
      </c>
      <c r="Q398" s="2">
        <v>0</v>
      </c>
      <c r="R398" s="2">
        <v>0</v>
      </c>
      <c r="S398" s="2">
        <v>0</v>
      </c>
      <c r="T398" s="2">
        <v>4</v>
      </c>
      <c r="U398" s="2">
        <v>0</v>
      </c>
      <c r="V398" s="2">
        <v>1</v>
      </c>
      <c r="W398" s="2">
        <v>55</v>
      </c>
      <c r="X398" s="2">
        <v>0</v>
      </c>
      <c r="Y398" s="2">
        <v>0</v>
      </c>
      <c r="Z398" s="2">
        <v>0</v>
      </c>
      <c r="AA398" s="2">
        <v>1</v>
      </c>
      <c r="AB398" s="2">
        <v>3</v>
      </c>
      <c r="AC398" s="2">
        <v>1</v>
      </c>
      <c r="AD398" s="2">
        <v>0</v>
      </c>
      <c r="AE398" s="2">
        <v>0</v>
      </c>
      <c r="AF398" s="2">
        <v>1</v>
      </c>
      <c r="AG398" s="20">
        <f t="shared" si="6"/>
        <v>100</v>
      </c>
    </row>
    <row r="399" spans="1:33" x14ac:dyDescent="0.25">
      <c r="A399">
        <v>398</v>
      </c>
      <c r="B399" s="2">
        <v>0</v>
      </c>
      <c r="C399" s="2">
        <v>36</v>
      </c>
      <c r="D399" s="2">
        <v>4</v>
      </c>
      <c r="E399" s="2">
        <v>0</v>
      </c>
      <c r="F399" s="2">
        <v>0</v>
      </c>
      <c r="G399" s="2">
        <v>1</v>
      </c>
      <c r="H399" s="2">
        <v>0</v>
      </c>
      <c r="I399" s="2">
        <v>0</v>
      </c>
      <c r="J399" s="2">
        <v>0</v>
      </c>
      <c r="K399" s="2">
        <v>2348</v>
      </c>
      <c r="L399" s="2">
        <v>0</v>
      </c>
      <c r="M399" s="2">
        <v>2</v>
      </c>
      <c r="N399" s="2">
        <v>3</v>
      </c>
      <c r="O399" s="2">
        <v>0</v>
      </c>
      <c r="P399" s="2">
        <v>0</v>
      </c>
      <c r="Q399" s="2">
        <v>1</v>
      </c>
      <c r="R399" s="2">
        <v>0</v>
      </c>
      <c r="S399" s="2">
        <v>0</v>
      </c>
      <c r="T399" s="2">
        <v>2</v>
      </c>
      <c r="U399" s="2">
        <v>0</v>
      </c>
      <c r="V399" s="2">
        <v>0</v>
      </c>
      <c r="W399" s="2">
        <v>46</v>
      </c>
      <c r="X399" s="2">
        <v>0</v>
      </c>
      <c r="Y399" s="2">
        <v>0</v>
      </c>
      <c r="Z399" s="2">
        <v>1</v>
      </c>
      <c r="AA399" s="2">
        <v>2</v>
      </c>
      <c r="AB399" s="2">
        <v>2</v>
      </c>
      <c r="AC399" s="2">
        <v>1</v>
      </c>
      <c r="AD399" s="2">
        <v>1</v>
      </c>
      <c r="AE399" s="2">
        <v>0</v>
      </c>
      <c r="AF399" s="2">
        <v>1</v>
      </c>
      <c r="AG399" s="20">
        <f t="shared" si="6"/>
        <v>100</v>
      </c>
    </row>
    <row r="400" spans="1:33" x14ac:dyDescent="0.25">
      <c r="A400">
        <v>399</v>
      </c>
      <c r="B400" s="2">
        <v>1</v>
      </c>
      <c r="C400" s="2">
        <v>12</v>
      </c>
      <c r="D400" s="2">
        <v>2</v>
      </c>
      <c r="E400" s="2">
        <v>1</v>
      </c>
      <c r="F400" s="2">
        <v>0</v>
      </c>
      <c r="G400" s="2">
        <v>0</v>
      </c>
      <c r="H400" s="2">
        <v>0</v>
      </c>
      <c r="I400" s="2">
        <v>0</v>
      </c>
      <c r="J400" s="2">
        <v>0</v>
      </c>
      <c r="K400" s="2">
        <v>1223</v>
      </c>
      <c r="L400" s="2">
        <v>0</v>
      </c>
      <c r="M400" s="2">
        <v>4</v>
      </c>
      <c r="N400" s="2">
        <v>1</v>
      </c>
      <c r="O400" s="2">
        <v>1</v>
      </c>
      <c r="P400" s="2">
        <v>0</v>
      </c>
      <c r="Q400" s="2">
        <v>0</v>
      </c>
      <c r="R400" s="2">
        <v>0</v>
      </c>
      <c r="S400" s="2">
        <v>0</v>
      </c>
      <c r="T400" s="2">
        <v>1</v>
      </c>
      <c r="U400" s="2">
        <v>1</v>
      </c>
      <c r="V400" s="2">
        <v>0</v>
      </c>
      <c r="W400" s="2">
        <v>46</v>
      </c>
      <c r="X400" s="2">
        <v>0</v>
      </c>
      <c r="Y400" s="2">
        <v>1</v>
      </c>
      <c r="Z400" s="2">
        <v>0</v>
      </c>
      <c r="AA400" s="2">
        <v>2</v>
      </c>
      <c r="AB400" s="2">
        <v>2</v>
      </c>
      <c r="AC400" s="2">
        <v>1</v>
      </c>
      <c r="AD400" s="2">
        <v>0</v>
      </c>
      <c r="AE400" s="2">
        <v>0</v>
      </c>
      <c r="AF400" s="2">
        <v>0</v>
      </c>
      <c r="AG400" s="20">
        <f t="shared" si="6"/>
        <v>-500</v>
      </c>
    </row>
    <row r="401" spans="1:33" x14ac:dyDescent="0.25">
      <c r="A401">
        <v>400</v>
      </c>
      <c r="B401" s="2">
        <v>3</v>
      </c>
      <c r="C401" s="2">
        <v>24</v>
      </c>
      <c r="D401" s="2">
        <v>4</v>
      </c>
      <c r="E401" s="2">
        <v>0</v>
      </c>
      <c r="F401" s="2">
        <v>0</v>
      </c>
      <c r="G401" s="2">
        <v>0</v>
      </c>
      <c r="H401" s="2">
        <v>1</v>
      </c>
      <c r="I401" s="2">
        <v>0</v>
      </c>
      <c r="J401" s="2">
        <v>0</v>
      </c>
      <c r="K401" s="2">
        <v>1516</v>
      </c>
      <c r="L401" s="2">
        <v>3</v>
      </c>
      <c r="M401" s="2">
        <v>2</v>
      </c>
      <c r="N401" s="2">
        <v>4</v>
      </c>
      <c r="O401" s="2">
        <v>0</v>
      </c>
      <c r="P401" s="2">
        <v>0</v>
      </c>
      <c r="Q401" s="2">
        <v>0</v>
      </c>
      <c r="R401" s="2">
        <v>0</v>
      </c>
      <c r="S401" s="2">
        <v>0</v>
      </c>
      <c r="T401" s="2">
        <v>1</v>
      </c>
      <c r="U401" s="2">
        <v>1</v>
      </c>
      <c r="V401" s="2">
        <v>0</v>
      </c>
      <c r="W401" s="2">
        <v>43</v>
      </c>
      <c r="X401" s="2">
        <v>0</v>
      </c>
      <c r="Y401" s="2">
        <v>0</v>
      </c>
      <c r="Z401" s="2">
        <v>1</v>
      </c>
      <c r="AA401" s="2">
        <v>2</v>
      </c>
      <c r="AB401" s="2">
        <v>1</v>
      </c>
      <c r="AC401" s="2">
        <v>1</v>
      </c>
      <c r="AD401" s="2">
        <v>0</v>
      </c>
      <c r="AE401" s="2">
        <v>0</v>
      </c>
      <c r="AF401" s="2">
        <v>1</v>
      </c>
      <c r="AG401" s="20">
        <f t="shared" si="6"/>
        <v>100</v>
      </c>
    </row>
    <row r="402" spans="1:33" x14ac:dyDescent="0.25">
      <c r="A402">
        <v>401</v>
      </c>
      <c r="B402" s="2">
        <v>3</v>
      </c>
      <c r="C402" s="2">
        <v>18</v>
      </c>
      <c r="D402" s="2">
        <v>2</v>
      </c>
      <c r="E402" s="2">
        <v>0</v>
      </c>
      <c r="F402" s="2">
        <v>0</v>
      </c>
      <c r="G402" s="2">
        <v>0</v>
      </c>
      <c r="H402" s="2">
        <v>1</v>
      </c>
      <c r="I402" s="2">
        <v>0</v>
      </c>
      <c r="J402" s="2">
        <v>0</v>
      </c>
      <c r="K402" s="2">
        <v>1473</v>
      </c>
      <c r="L402" s="2">
        <v>0</v>
      </c>
      <c r="M402" s="2">
        <v>1</v>
      </c>
      <c r="N402" s="2">
        <v>3</v>
      </c>
      <c r="O402" s="2">
        <v>0</v>
      </c>
      <c r="P402" s="2">
        <v>0</v>
      </c>
      <c r="Q402" s="2">
        <v>1</v>
      </c>
      <c r="R402" s="2">
        <v>0</v>
      </c>
      <c r="S402" s="2">
        <v>0</v>
      </c>
      <c r="T402" s="2">
        <v>4</v>
      </c>
      <c r="U402" s="2">
        <v>1</v>
      </c>
      <c r="V402" s="2">
        <v>0</v>
      </c>
      <c r="W402" s="2">
        <v>39</v>
      </c>
      <c r="X402" s="2">
        <v>0</v>
      </c>
      <c r="Y402" s="2">
        <v>0</v>
      </c>
      <c r="Z402" s="2">
        <v>1</v>
      </c>
      <c r="AA402" s="2">
        <v>1</v>
      </c>
      <c r="AB402" s="2">
        <v>2</v>
      </c>
      <c r="AC402" s="2">
        <v>1</v>
      </c>
      <c r="AD402" s="2">
        <v>1</v>
      </c>
      <c r="AE402" s="2">
        <v>0</v>
      </c>
      <c r="AF402" s="2">
        <v>1</v>
      </c>
      <c r="AG402" s="20">
        <f t="shared" si="6"/>
        <v>100</v>
      </c>
    </row>
    <row r="403" spans="1:33" x14ac:dyDescent="0.25">
      <c r="A403">
        <v>402</v>
      </c>
      <c r="B403" s="2">
        <v>1</v>
      </c>
      <c r="C403" s="2">
        <v>18</v>
      </c>
      <c r="D403" s="2">
        <v>4</v>
      </c>
      <c r="E403" s="2">
        <v>0</v>
      </c>
      <c r="F403" s="2">
        <v>0</v>
      </c>
      <c r="G403" s="2">
        <v>0</v>
      </c>
      <c r="H403" s="2">
        <v>0</v>
      </c>
      <c r="I403" s="2">
        <v>0</v>
      </c>
      <c r="J403" s="2">
        <v>1</v>
      </c>
      <c r="K403" s="2">
        <v>1887</v>
      </c>
      <c r="L403" s="2">
        <v>4</v>
      </c>
      <c r="M403" s="2">
        <v>2</v>
      </c>
      <c r="N403" s="2">
        <v>4</v>
      </c>
      <c r="O403" s="2">
        <v>0</v>
      </c>
      <c r="P403" s="2">
        <v>0</v>
      </c>
      <c r="Q403" s="2">
        <v>1</v>
      </c>
      <c r="R403" s="2">
        <v>0</v>
      </c>
      <c r="S403" s="2">
        <v>0</v>
      </c>
      <c r="T403" s="2">
        <v>4</v>
      </c>
      <c r="U403" s="2">
        <v>1</v>
      </c>
      <c r="V403" s="2">
        <v>0</v>
      </c>
      <c r="W403" s="2">
        <v>28</v>
      </c>
      <c r="X403" s="2">
        <v>1</v>
      </c>
      <c r="Y403" s="2">
        <v>0</v>
      </c>
      <c r="Z403" s="2">
        <v>1</v>
      </c>
      <c r="AA403" s="2">
        <v>2</v>
      </c>
      <c r="AB403" s="2">
        <v>2</v>
      </c>
      <c r="AC403" s="2">
        <v>1</v>
      </c>
      <c r="AD403" s="2">
        <v>0</v>
      </c>
      <c r="AE403" s="2">
        <v>0</v>
      </c>
      <c r="AF403" s="2">
        <v>1</v>
      </c>
      <c r="AG403" s="20">
        <f t="shared" si="6"/>
        <v>100</v>
      </c>
    </row>
    <row r="404" spans="1:33" x14ac:dyDescent="0.25">
      <c r="A404">
        <v>403</v>
      </c>
      <c r="B404" s="2">
        <v>3</v>
      </c>
      <c r="C404" s="2">
        <v>24</v>
      </c>
      <c r="D404" s="2">
        <v>3</v>
      </c>
      <c r="E404" s="2">
        <v>0</v>
      </c>
      <c r="F404" s="2">
        <v>0</v>
      </c>
      <c r="G404" s="2">
        <v>0</v>
      </c>
      <c r="H404" s="2">
        <v>0</v>
      </c>
      <c r="I404" s="2">
        <v>0</v>
      </c>
      <c r="J404" s="2">
        <v>1</v>
      </c>
      <c r="K404" s="2">
        <v>8648</v>
      </c>
      <c r="L404" s="2">
        <v>0</v>
      </c>
      <c r="M404" s="2">
        <v>1</v>
      </c>
      <c r="N404" s="2">
        <v>2</v>
      </c>
      <c r="O404" s="2">
        <v>0</v>
      </c>
      <c r="P404" s="2">
        <v>1</v>
      </c>
      <c r="Q404" s="2">
        <v>0</v>
      </c>
      <c r="R404" s="2">
        <v>0</v>
      </c>
      <c r="S404" s="2">
        <v>0</v>
      </c>
      <c r="T404" s="2">
        <v>2</v>
      </c>
      <c r="U404" s="2">
        <v>0</v>
      </c>
      <c r="V404" s="2">
        <v>0</v>
      </c>
      <c r="W404" s="2">
        <v>27</v>
      </c>
      <c r="X404" s="2">
        <v>1</v>
      </c>
      <c r="Y404" s="2">
        <v>0</v>
      </c>
      <c r="Z404" s="2">
        <v>1</v>
      </c>
      <c r="AA404" s="2">
        <v>2</v>
      </c>
      <c r="AB404" s="2">
        <v>2</v>
      </c>
      <c r="AC404" s="2">
        <v>1</v>
      </c>
      <c r="AD404" s="2">
        <v>1</v>
      </c>
      <c r="AE404" s="2">
        <v>0</v>
      </c>
      <c r="AF404" s="2">
        <v>0</v>
      </c>
      <c r="AG404" s="20">
        <f t="shared" si="6"/>
        <v>-500</v>
      </c>
    </row>
    <row r="405" spans="1:33" x14ac:dyDescent="0.25">
      <c r="A405">
        <v>404</v>
      </c>
      <c r="B405" s="2">
        <v>3</v>
      </c>
      <c r="C405" s="2">
        <v>14</v>
      </c>
      <c r="D405" s="2">
        <v>3</v>
      </c>
      <c r="E405" s="2">
        <v>1</v>
      </c>
      <c r="F405" s="2">
        <v>0</v>
      </c>
      <c r="G405" s="2">
        <v>0</v>
      </c>
      <c r="H405" s="2">
        <v>0</v>
      </c>
      <c r="I405" s="2">
        <v>0</v>
      </c>
      <c r="J405" s="2">
        <v>0</v>
      </c>
      <c r="K405" s="2">
        <v>802</v>
      </c>
      <c r="L405" s="2">
        <v>0</v>
      </c>
      <c r="M405" s="2">
        <v>2</v>
      </c>
      <c r="N405" s="2">
        <v>4</v>
      </c>
      <c r="O405" s="2">
        <v>0</v>
      </c>
      <c r="P405" s="2">
        <v>1</v>
      </c>
      <c r="Q405" s="2">
        <v>0</v>
      </c>
      <c r="R405" s="2">
        <v>0</v>
      </c>
      <c r="S405" s="2">
        <v>0</v>
      </c>
      <c r="T405" s="2">
        <v>2</v>
      </c>
      <c r="U405" s="2">
        <v>0</v>
      </c>
      <c r="V405" s="2">
        <v>0</v>
      </c>
      <c r="W405" s="2">
        <v>27</v>
      </c>
      <c r="X405" s="2">
        <v>0</v>
      </c>
      <c r="Y405" s="2">
        <v>0</v>
      </c>
      <c r="Z405" s="2">
        <v>1</v>
      </c>
      <c r="AA405" s="2">
        <v>2</v>
      </c>
      <c r="AB405" s="2">
        <v>1</v>
      </c>
      <c r="AC405" s="2">
        <v>1</v>
      </c>
      <c r="AD405" s="2">
        <v>0</v>
      </c>
      <c r="AE405" s="2">
        <v>0</v>
      </c>
      <c r="AF405" s="2">
        <v>1</v>
      </c>
      <c r="AG405" s="20">
        <f t="shared" si="6"/>
        <v>100</v>
      </c>
    </row>
    <row r="406" spans="1:33" x14ac:dyDescent="0.25">
      <c r="A406">
        <v>405</v>
      </c>
      <c r="B406" s="2">
        <v>1</v>
      </c>
      <c r="C406" s="2">
        <v>18</v>
      </c>
      <c r="D406" s="2">
        <v>3</v>
      </c>
      <c r="E406" s="2">
        <v>1</v>
      </c>
      <c r="F406" s="2">
        <v>0</v>
      </c>
      <c r="G406" s="2">
        <v>0</v>
      </c>
      <c r="H406" s="2">
        <v>0</v>
      </c>
      <c r="I406" s="2">
        <v>0</v>
      </c>
      <c r="J406" s="2">
        <v>0</v>
      </c>
      <c r="K406" s="2">
        <v>2899</v>
      </c>
      <c r="L406" s="2">
        <v>4</v>
      </c>
      <c r="M406" s="2">
        <v>4</v>
      </c>
      <c r="N406" s="2">
        <v>4</v>
      </c>
      <c r="O406" s="2">
        <v>0</v>
      </c>
      <c r="P406" s="2">
        <v>1</v>
      </c>
      <c r="Q406" s="2">
        <v>0</v>
      </c>
      <c r="R406" s="2">
        <v>0</v>
      </c>
      <c r="S406" s="2">
        <v>0</v>
      </c>
      <c r="T406" s="2">
        <v>4</v>
      </c>
      <c r="U406" s="2">
        <v>0</v>
      </c>
      <c r="V406" s="2">
        <v>0</v>
      </c>
      <c r="W406" s="2">
        <v>43</v>
      </c>
      <c r="X406" s="2">
        <v>0</v>
      </c>
      <c r="Y406" s="2">
        <v>0</v>
      </c>
      <c r="Z406" s="2">
        <v>1</v>
      </c>
      <c r="AA406" s="2">
        <v>1</v>
      </c>
      <c r="AB406" s="2">
        <v>2</v>
      </c>
      <c r="AC406" s="2">
        <v>2</v>
      </c>
      <c r="AD406" s="2">
        <v>0</v>
      </c>
      <c r="AE406" s="2">
        <v>0</v>
      </c>
      <c r="AF406" s="2">
        <v>1</v>
      </c>
      <c r="AG406" s="20">
        <f t="shared" si="6"/>
        <v>100</v>
      </c>
    </row>
    <row r="407" spans="1:33" x14ac:dyDescent="0.25">
      <c r="A407">
        <v>406</v>
      </c>
      <c r="B407" s="2">
        <v>1</v>
      </c>
      <c r="C407" s="2">
        <v>24</v>
      </c>
      <c r="D407" s="2">
        <v>2</v>
      </c>
      <c r="E407" s="2">
        <v>0</v>
      </c>
      <c r="F407" s="2">
        <v>0</v>
      </c>
      <c r="G407" s="2">
        <v>0</v>
      </c>
      <c r="H407" s="2">
        <v>1</v>
      </c>
      <c r="I407" s="2">
        <v>0</v>
      </c>
      <c r="J407" s="2">
        <v>0</v>
      </c>
      <c r="K407" s="2">
        <v>2039</v>
      </c>
      <c r="L407" s="2">
        <v>0</v>
      </c>
      <c r="M407" s="2">
        <v>1</v>
      </c>
      <c r="N407" s="2">
        <v>1</v>
      </c>
      <c r="O407" s="2">
        <v>0</v>
      </c>
      <c r="P407" s="2">
        <v>0</v>
      </c>
      <c r="Q407" s="2">
        <v>1</v>
      </c>
      <c r="R407" s="2">
        <v>0</v>
      </c>
      <c r="S407" s="2">
        <v>0</v>
      </c>
      <c r="T407" s="2">
        <v>1</v>
      </c>
      <c r="U407" s="2">
        <v>0</v>
      </c>
      <c r="V407" s="2">
        <v>0</v>
      </c>
      <c r="W407" s="2">
        <v>22</v>
      </c>
      <c r="X407" s="2">
        <v>0</v>
      </c>
      <c r="Y407" s="2">
        <v>0</v>
      </c>
      <c r="Z407" s="2">
        <v>1</v>
      </c>
      <c r="AA407" s="2">
        <v>1</v>
      </c>
      <c r="AB407" s="2">
        <v>2</v>
      </c>
      <c r="AC407" s="2">
        <v>1</v>
      </c>
      <c r="AD407" s="2">
        <v>1</v>
      </c>
      <c r="AE407" s="2">
        <v>0</v>
      </c>
      <c r="AF407" s="2">
        <v>0</v>
      </c>
      <c r="AG407" s="20">
        <f t="shared" si="6"/>
        <v>-500</v>
      </c>
    </row>
    <row r="408" spans="1:33" x14ac:dyDescent="0.25">
      <c r="A408">
        <v>407</v>
      </c>
      <c r="B408" s="2">
        <v>3</v>
      </c>
      <c r="C408" s="2">
        <v>24</v>
      </c>
      <c r="D408" s="2">
        <v>4</v>
      </c>
      <c r="E408" s="2">
        <v>0</v>
      </c>
      <c r="F408" s="2">
        <v>1</v>
      </c>
      <c r="G408" s="2">
        <v>0</v>
      </c>
      <c r="H408" s="2">
        <v>0</v>
      </c>
      <c r="I408" s="2">
        <v>0</v>
      </c>
      <c r="J408" s="2">
        <v>0</v>
      </c>
      <c r="K408" s="2">
        <v>2197</v>
      </c>
      <c r="L408" s="2">
        <v>4</v>
      </c>
      <c r="M408" s="2">
        <v>3</v>
      </c>
      <c r="N408" s="2">
        <v>4</v>
      </c>
      <c r="O408" s="2">
        <v>0</v>
      </c>
      <c r="P408" s="2">
        <v>1</v>
      </c>
      <c r="Q408" s="2">
        <v>0</v>
      </c>
      <c r="R408" s="2">
        <v>0</v>
      </c>
      <c r="S408" s="2">
        <v>0</v>
      </c>
      <c r="T408" s="2">
        <v>4</v>
      </c>
      <c r="U408" s="2">
        <v>0</v>
      </c>
      <c r="V408" s="2">
        <v>0</v>
      </c>
      <c r="W408" s="2">
        <v>43</v>
      </c>
      <c r="X408" s="2">
        <v>0</v>
      </c>
      <c r="Y408" s="2">
        <v>0</v>
      </c>
      <c r="Z408" s="2">
        <v>1</v>
      </c>
      <c r="AA408" s="2">
        <v>2</v>
      </c>
      <c r="AB408" s="2">
        <v>2</v>
      </c>
      <c r="AC408" s="2">
        <v>2</v>
      </c>
      <c r="AD408" s="2">
        <v>1</v>
      </c>
      <c r="AE408" s="2">
        <v>0</v>
      </c>
      <c r="AF408" s="2">
        <v>1</v>
      </c>
      <c r="AG408" s="20">
        <f t="shared" si="6"/>
        <v>100</v>
      </c>
    </row>
    <row r="409" spans="1:33" x14ac:dyDescent="0.25">
      <c r="A409">
        <v>408</v>
      </c>
      <c r="B409" s="2">
        <v>0</v>
      </c>
      <c r="C409" s="2">
        <v>15</v>
      </c>
      <c r="D409" s="2">
        <v>2</v>
      </c>
      <c r="E409" s="2">
        <v>0</v>
      </c>
      <c r="F409" s="2">
        <v>0</v>
      </c>
      <c r="G409" s="2">
        <v>0</v>
      </c>
      <c r="H409" s="2">
        <v>1</v>
      </c>
      <c r="I409" s="2">
        <v>0</v>
      </c>
      <c r="J409" s="2">
        <v>0</v>
      </c>
      <c r="K409" s="2">
        <v>1053</v>
      </c>
      <c r="L409" s="2">
        <v>0</v>
      </c>
      <c r="M409" s="2">
        <v>1</v>
      </c>
      <c r="N409" s="2">
        <v>4</v>
      </c>
      <c r="O409" s="2">
        <v>0</v>
      </c>
      <c r="P409" s="2">
        <v>0</v>
      </c>
      <c r="Q409" s="2">
        <v>1</v>
      </c>
      <c r="R409" s="2">
        <v>0</v>
      </c>
      <c r="S409" s="2">
        <v>0</v>
      </c>
      <c r="T409" s="2">
        <v>2</v>
      </c>
      <c r="U409" s="2">
        <v>1</v>
      </c>
      <c r="V409" s="2">
        <v>0</v>
      </c>
      <c r="W409" s="2">
        <v>27</v>
      </c>
      <c r="X409" s="2">
        <v>0</v>
      </c>
      <c r="Y409" s="2">
        <v>0</v>
      </c>
      <c r="Z409" s="2">
        <v>1</v>
      </c>
      <c r="AA409" s="2">
        <v>1</v>
      </c>
      <c r="AB409" s="2">
        <v>2</v>
      </c>
      <c r="AC409" s="2">
        <v>1</v>
      </c>
      <c r="AD409" s="2">
        <v>0</v>
      </c>
      <c r="AE409" s="2">
        <v>1</v>
      </c>
      <c r="AF409" s="2">
        <v>1</v>
      </c>
      <c r="AG409" s="20">
        <f t="shared" si="6"/>
        <v>100</v>
      </c>
    </row>
    <row r="410" spans="1:33" x14ac:dyDescent="0.25">
      <c r="A410">
        <v>409</v>
      </c>
      <c r="B410" s="2">
        <v>3</v>
      </c>
      <c r="C410" s="2">
        <v>24</v>
      </c>
      <c r="D410" s="2">
        <v>2</v>
      </c>
      <c r="E410" s="2">
        <v>0</v>
      </c>
      <c r="F410" s="2">
        <v>0</v>
      </c>
      <c r="G410" s="2">
        <v>0</v>
      </c>
      <c r="H410" s="2">
        <v>1</v>
      </c>
      <c r="I410" s="2">
        <v>0</v>
      </c>
      <c r="J410" s="2">
        <v>0</v>
      </c>
      <c r="K410" s="2">
        <v>3235</v>
      </c>
      <c r="L410" s="2">
        <v>2</v>
      </c>
      <c r="M410" s="2">
        <v>4</v>
      </c>
      <c r="N410" s="2">
        <v>3</v>
      </c>
      <c r="O410" s="2">
        <v>1</v>
      </c>
      <c r="P410" s="2">
        <v>0</v>
      </c>
      <c r="Q410" s="2">
        <v>0</v>
      </c>
      <c r="R410" s="2">
        <v>0</v>
      </c>
      <c r="S410" s="2">
        <v>0</v>
      </c>
      <c r="T410" s="2">
        <v>2</v>
      </c>
      <c r="U410" s="2">
        <v>0</v>
      </c>
      <c r="V410" s="2">
        <v>0</v>
      </c>
      <c r="W410" s="2">
        <v>26</v>
      </c>
      <c r="X410" s="2">
        <v>0</v>
      </c>
      <c r="Y410" s="2">
        <v>0</v>
      </c>
      <c r="Z410" s="2">
        <v>1</v>
      </c>
      <c r="AA410" s="2">
        <v>1</v>
      </c>
      <c r="AB410" s="2">
        <v>3</v>
      </c>
      <c r="AC410" s="2">
        <v>1</v>
      </c>
      <c r="AD410" s="2">
        <v>1</v>
      </c>
      <c r="AE410" s="2">
        <v>0</v>
      </c>
      <c r="AF410" s="2">
        <v>1</v>
      </c>
      <c r="AG410" s="20">
        <f t="shared" si="6"/>
        <v>100</v>
      </c>
    </row>
    <row r="411" spans="1:33" x14ac:dyDescent="0.25">
      <c r="A411">
        <v>410</v>
      </c>
      <c r="B411" s="2">
        <v>2</v>
      </c>
      <c r="C411" s="2">
        <v>12</v>
      </c>
      <c r="D411" s="2">
        <v>4</v>
      </c>
      <c r="E411" s="2">
        <v>1</v>
      </c>
      <c r="F411" s="2">
        <v>0</v>
      </c>
      <c r="G411" s="2">
        <v>0</v>
      </c>
      <c r="H411" s="2">
        <v>0</v>
      </c>
      <c r="I411" s="2">
        <v>0</v>
      </c>
      <c r="J411" s="2">
        <v>0</v>
      </c>
      <c r="K411" s="2">
        <v>939</v>
      </c>
      <c r="L411" s="2">
        <v>2</v>
      </c>
      <c r="M411" s="2">
        <v>3</v>
      </c>
      <c r="N411" s="2">
        <v>4</v>
      </c>
      <c r="O411" s="2">
        <v>0</v>
      </c>
      <c r="P411" s="2">
        <v>0</v>
      </c>
      <c r="Q411" s="2">
        <v>1</v>
      </c>
      <c r="R411" s="2">
        <v>0</v>
      </c>
      <c r="S411" s="2">
        <v>0</v>
      </c>
      <c r="T411" s="2">
        <v>2</v>
      </c>
      <c r="U411" s="2">
        <v>1</v>
      </c>
      <c r="V411" s="2">
        <v>0</v>
      </c>
      <c r="W411" s="2">
        <v>28</v>
      </c>
      <c r="X411" s="2">
        <v>0</v>
      </c>
      <c r="Y411" s="2">
        <v>0</v>
      </c>
      <c r="Z411" s="2">
        <v>1</v>
      </c>
      <c r="AA411" s="2">
        <v>3</v>
      </c>
      <c r="AB411" s="2">
        <v>2</v>
      </c>
      <c r="AC411" s="2">
        <v>1</v>
      </c>
      <c r="AD411" s="2">
        <v>1</v>
      </c>
      <c r="AE411" s="2">
        <v>0</v>
      </c>
      <c r="AF411" s="2">
        <v>0</v>
      </c>
      <c r="AG411" s="20">
        <f t="shared" si="6"/>
        <v>-500</v>
      </c>
    </row>
    <row r="412" spans="1:33" x14ac:dyDescent="0.25">
      <c r="A412">
        <v>411</v>
      </c>
      <c r="B412" s="2">
        <v>1</v>
      </c>
      <c r="C412" s="2">
        <v>24</v>
      </c>
      <c r="D412" s="2">
        <v>2</v>
      </c>
      <c r="E412" s="2">
        <v>0</v>
      </c>
      <c r="F412" s="2">
        <v>0</v>
      </c>
      <c r="G412" s="2">
        <v>0</v>
      </c>
      <c r="H412" s="2">
        <v>1</v>
      </c>
      <c r="I412" s="2">
        <v>0</v>
      </c>
      <c r="J412" s="2">
        <v>0</v>
      </c>
      <c r="K412" s="2">
        <v>1967</v>
      </c>
      <c r="L412" s="2">
        <v>0</v>
      </c>
      <c r="M412" s="2">
        <v>4</v>
      </c>
      <c r="N412" s="2">
        <v>4</v>
      </c>
      <c r="O412" s="2">
        <v>0</v>
      </c>
      <c r="P412" s="2">
        <v>0</v>
      </c>
      <c r="Q412" s="2">
        <v>0</v>
      </c>
      <c r="R412" s="2">
        <v>0</v>
      </c>
      <c r="S412" s="2">
        <v>0</v>
      </c>
      <c r="T412" s="2">
        <v>4</v>
      </c>
      <c r="U412" s="2">
        <v>0</v>
      </c>
      <c r="V412" s="2">
        <v>0</v>
      </c>
      <c r="W412" s="2">
        <v>20</v>
      </c>
      <c r="X412" s="2">
        <v>0</v>
      </c>
      <c r="Y412" s="2">
        <v>0</v>
      </c>
      <c r="Z412" s="2">
        <v>1</v>
      </c>
      <c r="AA412" s="2">
        <v>1</v>
      </c>
      <c r="AB412" s="2">
        <v>2</v>
      </c>
      <c r="AC412" s="2">
        <v>1</v>
      </c>
      <c r="AD412" s="2">
        <v>1</v>
      </c>
      <c r="AE412" s="2">
        <v>0</v>
      </c>
      <c r="AF412" s="2">
        <v>1</v>
      </c>
      <c r="AG412" s="20">
        <f t="shared" si="6"/>
        <v>100</v>
      </c>
    </row>
    <row r="413" spans="1:33" x14ac:dyDescent="0.25">
      <c r="A413">
        <v>412</v>
      </c>
      <c r="B413" s="2">
        <v>3</v>
      </c>
      <c r="C413" s="2">
        <v>33</v>
      </c>
      <c r="D413" s="2">
        <v>4</v>
      </c>
      <c r="E413" s="2">
        <v>0</v>
      </c>
      <c r="F413" s="2">
        <v>1</v>
      </c>
      <c r="G413" s="2">
        <v>0</v>
      </c>
      <c r="H413" s="2">
        <v>0</v>
      </c>
      <c r="I413" s="2">
        <v>0</v>
      </c>
      <c r="J413" s="2">
        <v>0</v>
      </c>
      <c r="K413" s="2">
        <v>7253</v>
      </c>
      <c r="L413" s="2">
        <v>0</v>
      </c>
      <c r="M413" s="2">
        <v>3</v>
      </c>
      <c r="N413" s="2">
        <v>3</v>
      </c>
      <c r="O413" s="2">
        <v>0</v>
      </c>
      <c r="P413" s="2">
        <v>1</v>
      </c>
      <c r="Q413" s="2">
        <v>0</v>
      </c>
      <c r="R413" s="2">
        <v>0</v>
      </c>
      <c r="S413" s="2">
        <v>0</v>
      </c>
      <c r="T413" s="2">
        <v>2</v>
      </c>
      <c r="U413" s="2">
        <v>0</v>
      </c>
      <c r="V413" s="2">
        <v>0</v>
      </c>
      <c r="W413" s="2">
        <v>35</v>
      </c>
      <c r="X413" s="2">
        <v>0</v>
      </c>
      <c r="Y413" s="2">
        <v>0</v>
      </c>
      <c r="Z413" s="2">
        <v>1</v>
      </c>
      <c r="AA413" s="2">
        <v>2</v>
      </c>
      <c r="AB413" s="2">
        <v>3</v>
      </c>
      <c r="AC413" s="2">
        <v>1</v>
      </c>
      <c r="AD413" s="2">
        <v>1</v>
      </c>
      <c r="AE413" s="2">
        <v>0</v>
      </c>
      <c r="AF413" s="2">
        <v>1</v>
      </c>
      <c r="AG413" s="20">
        <f t="shared" si="6"/>
        <v>100</v>
      </c>
    </row>
    <row r="414" spans="1:33" x14ac:dyDescent="0.25">
      <c r="A414">
        <v>413</v>
      </c>
      <c r="B414" s="2">
        <v>3</v>
      </c>
      <c r="C414" s="2">
        <v>12</v>
      </c>
      <c r="D414" s="2">
        <v>4</v>
      </c>
      <c r="E414" s="2">
        <v>0</v>
      </c>
      <c r="F414" s="2">
        <v>0</v>
      </c>
      <c r="G414" s="2">
        <v>0</v>
      </c>
      <c r="H414" s="2">
        <v>0</v>
      </c>
      <c r="I414" s="2">
        <v>0</v>
      </c>
      <c r="J414" s="2">
        <v>1</v>
      </c>
      <c r="K414" s="2">
        <v>2292</v>
      </c>
      <c r="L414" s="2">
        <v>0</v>
      </c>
      <c r="M414" s="2">
        <v>0</v>
      </c>
      <c r="N414" s="2">
        <v>4</v>
      </c>
      <c r="O414" s="2">
        <v>0</v>
      </c>
      <c r="P414" s="2">
        <v>1</v>
      </c>
      <c r="Q414" s="2">
        <v>0</v>
      </c>
      <c r="R414" s="2">
        <v>0</v>
      </c>
      <c r="S414" s="2">
        <v>0</v>
      </c>
      <c r="T414" s="2">
        <v>2</v>
      </c>
      <c r="U414" s="2">
        <v>0</v>
      </c>
      <c r="V414" s="2">
        <v>0</v>
      </c>
      <c r="W414" s="2">
        <v>42</v>
      </c>
      <c r="X414" s="2">
        <v>1</v>
      </c>
      <c r="Y414" s="2">
        <v>0</v>
      </c>
      <c r="Z414" s="2">
        <v>1</v>
      </c>
      <c r="AA414" s="2">
        <v>2</v>
      </c>
      <c r="AB414" s="2">
        <v>3</v>
      </c>
      <c r="AC414" s="2">
        <v>1</v>
      </c>
      <c r="AD414" s="2">
        <v>1</v>
      </c>
      <c r="AE414" s="2">
        <v>0</v>
      </c>
      <c r="AF414" s="2">
        <v>0</v>
      </c>
      <c r="AG414" s="20">
        <f t="shared" si="6"/>
        <v>-500</v>
      </c>
    </row>
    <row r="415" spans="1:33" x14ac:dyDescent="0.25">
      <c r="A415">
        <v>414</v>
      </c>
      <c r="B415" s="2">
        <v>3</v>
      </c>
      <c r="C415" s="2">
        <v>10</v>
      </c>
      <c r="D415" s="2">
        <v>2</v>
      </c>
      <c r="E415" s="2">
        <v>1</v>
      </c>
      <c r="F415" s="2">
        <v>0</v>
      </c>
      <c r="G415" s="2">
        <v>0</v>
      </c>
      <c r="H415" s="2">
        <v>0</v>
      </c>
      <c r="I415" s="2">
        <v>0</v>
      </c>
      <c r="J415" s="2">
        <v>0</v>
      </c>
      <c r="K415" s="2">
        <v>1597</v>
      </c>
      <c r="L415" s="2">
        <v>2</v>
      </c>
      <c r="M415" s="2">
        <v>2</v>
      </c>
      <c r="N415" s="2">
        <v>3</v>
      </c>
      <c r="O415" s="2">
        <v>0</v>
      </c>
      <c r="P415" s="2">
        <v>1</v>
      </c>
      <c r="Q415" s="2">
        <v>0</v>
      </c>
      <c r="R415" s="2">
        <v>0</v>
      </c>
      <c r="S415" s="2">
        <v>0</v>
      </c>
      <c r="T415" s="2">
        <v>2</v>
      </c>
      <c r="U415" s="2">
        <v>0</v>
      </c>
      <c r="V415" s="2">
        <v>1</v>
      </c>
      <c r="W415" s="2">
        <v>40</v>
      </c>
      <c r="X415" s="2">
        <v>0</v>
      </c>
      <c r="Y415" s="2">
        <v>1</v>
      </c>
      <c r="Z415" s="2">
        <v>0</v>
      </c>
      <c r="AA415" s="2">
        <v>1</v>
      </c>
      <c r="AB415" s="2">
        <v>1</v>
      </c>
      <c r="AC415" s="2">
        <v>2</v>
      </c>
      <c r="AD415" s="2">
        <v>0</v>
      </c>
      <c r="AE415" s="2">
        <v>1</v>
      </c>
      <c r="AF415" s="2">
        <v>1</v>
      </c>
      <c r="AG415" s="20">
        <f t="shared" si="6"/>
        <v>100</v>
      </c>
    </row>
    <row r="416" spans="1:33" x14ac:dyDescent="0.25">
      <c r="A416">
        <v>415</v>
      </c>
      <c r="B416" s="2">
        <v>0</v>
      </c>
      <c r="C416" s="2">
        <v>24</v>
      </c>
      <c r="D416" s="2">
        <v>2</v>
      </c>
      <c r="E416" s="2">
        <v>1</v>
      </c>
      <c r="F416" s="2">
        <v>0</v>
      </c>
      <c r="G416" s="2">
        <v>0</v>
      </c>
      <c r="H416" s="2">
        <v>0</v>
      </c>
      <c r="I416" s="2">
        <v>0</v>
      </c>
      <c r="J416" s="2">
        <v>0</v>
      </c>
      <c r="K416" s="2">
        <v>1381</v>
      </c>
      <c r="L416" s="2">
        <v>4</v>
      </c>
      <c r="M416" s="2">
        <v>2</v>
      </c>
      <c r="N416" s="2">
        <v>4</v>
      </c>
      <c r="O416" s="2">
        <v>0</v>
      </c>
      <c r="P416" s="2">
        <v>0</v>
      </c>
      <c r="Q416" s="2">
        <v>0</v>
      </c>
      <c r="R416" s="2">
        <v>0</v>
      </c>
      <c r="S416" s="2">
        <v>0</v>
      </c>
      <c r="T416" s="2">
        <v>2</v>
      </c>
      <c r="U416" s="2">
        <v>0</v>
      </c>
      <c r="V416" s="2">
        <v>0</v>
      </c>
      <c r="W416" s="2">
        <v>35</v>
      </c>
      <c r="X416" s="2">
        <v>0</v>
      </c>
      <c r="Y416" s="2">
        <v>0</v>
      </c>
      <c r="Z416" s="2">
        <v>1</v>
      </c>
      <c r="AA416" s="2">
        <v>1</v>
      </c>
      <c r="AB416" s="2">
        <v>2</v>
      </c>
      <c r="AC416" s="2">
        <v>1</v>
      </c>
      <c r="AD416" s="2">
        <v>0</v>
      </c>
      <c r="AE416" s="2">
        <v>0</v>
      </c>
      <c r="AF416" s="2">
        <v>0</v>
      </c>
      <c r="AG416" s="20">
        <f t="shared" si="6"/>
        <v>-500</v>
      </c>
    </row>
    <row r="417" spans="1:33" x14ac:dyDescent="0.25">
      <c r="A417">
        <v>416</v>
      </c>
      <c r="B417" s="2">
        <v>3</v>
      </c>
      <c r="C417" s="2">
        <v>36</v>
      </c>
      <c r="D417" s="2">
        <v>4</v>
      </c>
      <c r="E417" s="2">
        <v>0</v>
      </c>
      <c r="F417" s="2">
        <v>1</v>
      </c>
      <c r="G417" s="2">
        <v>0</v>
      </c>
      <c r="H417" s="2">
        <v>0</v>
      </c>
      <c r="I417" s="2">
        <v>0</v>
      </c>
      <c r="J417" s="2">
        <v>0</v>
      </c>
      <c r="K417" s="2">
        <v>5842</v>
      </c>
      <c r="L417" s="2">
        <v>0</v>
      </c>
      <c r="M417" s="2">
        <v>4</v>
      </c>
      <c r="N417" s="2">
        <v>2</v>
      </c>
      <c r="O417" s="2">
        <v>0</v>
      </c>
      <c r="P417" s="2">
        <v>1</v>
      </c>
      <c r="Q417" s="2">
        <v>0</v>
      </c>
      <c r="R417" s="2">
        <v>0</v>
      </c>
      <c r="S417" s="2">
        <v>0</v>
      </c>
      <c r="T417" s="2">
        <v>2</v>
      </c>
      <c r="U417" s="2">
        <v>0</v>
      </c>
      <c r="V417" s="2">
        <v>0</v>
      </c>
      <c r="W417" s="2">
        <v>35</v>
      </c>
      <c r="X417" s="2">
        <v>0</v>
      </c>
      <c r="Y417" s="2">
        <v>0</v>
      </c>
      <c r="Z417" s="2">
        <v>1</v>
      </c>
      <c r="AA417" s="2">
        <v>2</v>
      </c>
      <c r="AB417" s="2">
        <v>2</v>
      </c>
      <c r="AC417" s="2">
        <v>2</v>
      </c>
      <c r="AD417" s="2">
        <v>1</v>
      </c>
      <c r="AE417" s="2">
        <v>0</v>
      </c>
      <c r="AF417" s="2">
        <v>1</v>
      </c>
      <c r="AG417" s="20">
        <f t="shared" si="6"/>
        <v>100</v>
      </c>
    </row>
    <row r="418" spans="1:33" x14ac:dyDescent="0.25">
      <c r="A418">
        <v>417</v>
      </c>
      <c r="B418" s="2">
        <v>0</v>
      </c>
      <c r="C418" s="2">
        <v>12</v>
      </c>
      <c r="D418" s="2">
        <v>2</v>
      </c>
      <c r="E418" s="2">
        <v>1</v>
      </c>
      <c r="F418" s="2">
        <v>0</v>
      </c>
      <c r="G418" s="2">
        <v>0</v>
      </c>
      <c r="H418" s="2">
        <v>0</v>
      </c>
      <c r="I418" s="2">
        <v>0</v>
      </c>
      <c r="J418" s="2">
        <v>0</v>
      </c>
      <c r="K418" s="2">
        <v>2579</v>
      </c>
      <c r="L418" s="2">
        <v>0</v>
      </c>
      <c r="M418" s="2">
        <v>1</v>
      </c>
      <c r="N418" s="2">
        <v>4</v>
      </c>
      <c r="O418" s="2">
        <v>0</v>
      </c>
      <c r="P418" s="2">
        <v>1</v>
      </c>
      <c r="Q418" s="2">
        <v>0</v>
      </c>
      <c r="R418" s="2">
        <v>0</v>
      </c>
      <c r="S418" s="2">
        <v>0</v>
      </c>
      <c r="T418" s="2">
        <v>1</v>
      </c>
      <c r="U418" s="2">
        <v>1</v>
      </c>
      <c r="V418" s="2">
        <v>0</v>
      </c>
      <c r="W418" s="2">
        <v>33</v>
      </c>
      <c r="X418" s="2">
        <v>0</v>
      </c>
      <c r="Y418" s="2">
        <v>0</v>
      </c>
      <c r="Z418" s="2">
        <v>1</v>
      </c>
      <c r="AA418" s="2">
        <v>1</v>
      </c>
      <c r="AB418" s="2">
        <v>1</v>
      </c>
      <c r="AC418" s="2">
        <v>2</v>
      </c>
      <c r="AD418" s="2">
        <v>0</v>
      </c>
      <c r="AE418" s="2">
        <v>0</v>
      </c>
      <c r="AF418" s="2">
        <v>0</v>
      </c>
      <c r="AG418" s="20">
        <f t="shared" si="6"/>
        <v>-500</v>
      </c>
    </row>
    <row r="419" spans="1:33" x14ac:dyDescent="0.25">
      <c r="A419">
        <v>418</v>
      </c>
      <c r="B419" s="2">
        <v>0</v>
      </c>
      <c r="C419" s="2">
        <v>18</v>
      </c>
      <c r="D419" s="2">
        <v>3</v>
      </c>
      <c r="E419" s="2">
        <v>0</v>
      </c>
      <c r="F419" s="2">
        <v>0</v>
      </c>
      <c r="G419" s="2">
        <v>0</v>
      </c>
      <c r="H419" s="2">
        <v>0</v>
      </c>
      <c r="I419" s="2">
        <v>1</v>
      </c>
      <c r="J419" s="2">
        <v>0</v>
      </c>
      <c r="K419" s="2">
        <v>8471</v>
      </c>
      <c r="L419" s="2">
        <v>4</v>
      </c>
      <c r="M419" s="2">
        <v>2</v>
      </c>
      <c r="N419" s="2">
        <v>1</v>
      </c>
      <c r="O419" s="2">
        <v>0</v>
      </c>
      <c r="P419" s="2">
        <v>0</v>
      </c>
      <c r="Q419" s="2">
        <v>0</v>
      </c>
      <c r="R419" s="2">
        <v>0</v>
      </c>
      <c r="S419" s="2">
        <v>0</v>
      </c>
      <c r="T419" s="2">
        <v>2</v>
      </c>
      <c r="U419" s="2">
        <v>0</v>
      </c>
      <c r="V419" s="2">
        <v>0</v>
      </c>
      <c r="W419" s="2">
        <v>23</v>
      </c>
      <c r="X419" s="2">
        <v>0</v>
      </c>
      <c r="Y419" s="2">
        <v>1</v>
      </c>
      <c r="Z419" s="2">
        <v>0</v>
      </c>
      <c r="AA419" s="2">
        <v>2</v>
      </c>
      <c r="AB419" s="2">
        <v>2</v>
      </c>
      <c r="AC419" s="2">
        <v>1</v>
      </c>
      <c r="AD419" s="2">
        <v>1</v>
      </c>
      <c r="AE419" s="2">
        <v>0</v>
      </c>
      <c r="AF419" s="2">
        <v>1</v>
      </c>
      <c r="AG419" s="20">
        <f t="shared" si="6"/>
        <v>100</v>
      </c>
    </row>
    <row r="420" spans="1:33" x14ac:dyDescent="0.25">
      <c r="A420">
        <v>419</v>
      </c>
      <c r="B420" s="2">
        <v>3</v>
      </c>
      <c r="C420" s="2">
        <v>21</v>
      </c>
      <c r="D420" s="2">
        <v>2</v>
      </c>
      <c r="E420" s="2">
        <v>1</v>
      </c>
      <c r="F420" s="2">
        <v>0</v>
      </c>
      <c r="G420" s="2">
        <v>0</v>
      </c>
      <c r="H420" s="2">
        <v>0</v>
      </c>
      <c r="I420" s="2">
        <v>0</v>
      </c>
      <c r="J420" s="2">
        <v>0</v>
      </c>
      <c r="K420" s="2">
        <v>2782</v>
      </c>
      <c r="L420" s="2">
        <v>2</v>
      </c>
      <c r="M420" s="2">
        <v>3</v>
      </c>
      <c r="N420" s="2">
        <v>1</v>
      </c>
      <c r="O420" s="2">
        <v>0</v>
      </c>
      <c r="P420" s="2">
        <v>0</v>
      </c>
      <c r="Q420" s="2">
        <v>0</v>
      </c>
      <c r="R420" s="2">
        <v>0</v>
      </c>
      <c r="S420" s="2">
        <v>0</v>
      </c>
      <c r="T420" s="2">
        <v>2</v>
      </c>
      <c r="U420" s="2">
        <v>0</v>
      </c>
      <c r="V420" s="2">
        <v>0</v>
      </c>
      <c r="W420" s="2">
        <v>31</v>
      </c>
      <c r="X420" s="2">
        <v>1</v>
      </c>
      <c r="Y420" s="2">
        <v>0</v>
      </c>
      <c r="Z420" s="2">
        <v>1</v>
      </c>
      <c r="AA420" s="2">
        <v>1</v>
      </c>
      <c r="AB420" s="2">
        <v>3</v>
      </c>
      <c r="AC420" s="2">
        <v>1</v>
      </c>
      <c r="AD420" s="2">
        <v>0</v>
      </c>
      <c r="AE420" s="2">
        <v>0</v>
      </c>
      <c r="AF420" s="2">
        <v>1</v>
      </c>
      <c r="AG420" s="20">
        <f t="shared" si="6"/>
        <v>100</v>
      </c>
    </row>
    <row r="421" spans="1:33" x14ac:dyDescent="0.25">
      <c r="A421">
        <v>420</v>
      </c>
      <c r="B421" s="2">
        <v>1</v>
      </c>
      <c r="C421" s="2">
        <v>18</v>
      </c>
      <c r="D421" s="2">
        <v>2</v>
      </c>
      <c r="E421" s="2">
        <v>1</v>
      </c>
      <c r="F421" s="2">
        <v>0</v>
      </c>
      <c r="G421" s="2">
        <v>0</v>
      </c>
      <c r="H421" s="2">
        <v>0</v>
      </c>
      <c r="I421" s="2">
        <v>0</v>
      </c>
      <c r="J421" s="2">
        <v>0</v>
      </c>
      <c r="K421" s="2">
        <v>1042</v>
      </c>
      <c r="L421" s="2">
        <v>4</v>
      </c>
      <c r="M421" s="2">
        <v>2</v>
      </c>
      <c r="N421" s="2">
        <v>4</v>
      </c>
      <c r="O421" s="2">
        <v>0</v>
      </c>
      <c r="P421" s="2">
        <v>0</v>
      </c>
      <c r="Q421" s="2">
        <v>0</v>
      </c>
      <c r="R421" s="2">
        <v>0</v>
      </c>
      <c r="S421" s="2">
        <v>0</v>
      </c>
      <c r="T421" s="2">
        <v>2</v>
      </c>
      <c r="U421" s="2">
        <v>0</v>
      </c>
      <c r="V421" s="2">
        <v>0</v>
      </c>
      <c r="W421" s="2">
        <v>33</v>
      </c>
      <c r="X421" s="2">
        <v>0</v>
      </c>
      <c r="Y421" s="2">
        <v>0</v>
      </c>
      <c r="Z421" s="2">
        <v>1</v>
      </c>
      <c r="AA421" s="2">
        <v>1</v>
      </c>
      <c r="AB421" s="2">
        <v>2</v>
      </c>
      <c r="AC421" s="2">
        <v>1</v>
      </c>
      <c r="AD421" s="2">
        <v>0</v>
      </c>
      <c r="AE421" s="2">
        <v>0</v>
      </c>
      <c r="AF421" s="2">
        <v>0</v>
      </c>
      <c r="AG421" s="20">
        <f t="shared" si="6"/>
        <v>-500</v>
      </c>
    </row>
    <row r="422" spans="1:33" x14ac:dyDescent="0.25">
      <c r="A422">
        <v>421</v>
      </c>
      <c r="B422" s="2">
        <v>3</v>
      </c>
      <c r="C422" s="2">
        <v>15</v>
      </c>
      <c r="D422" s="2">
        <v>2</v>
      </c>
      <c r="E422" s="2">
        <v>1</v>
      </c>
      <c r="F422" s="2">
        <v>0</v>
      </c>
      <c r="G422" s="2">
        <v>0</v>
      </c>
      <c r="H422" s="2">
        <v>0</v>
      </c>
      <c r="I422" s="2">
        <v>0</v>
      </c>
      <c r="J422" s="2">
        <v>0</v>
      </c>
      <c r="K422" s="2">
        <v>3186</v>
      </c>
      <c r="L422" s="2">
        <v>3</v>
      </c>
      <c r="M422" s="2">
        <v>3</v>
      </c>
      <c r="N422" s="2">
        <v>2</v>
      </c>
      <c r="O422" s="2">
        <v>0</v>
      </c>
      <c r="P422" s="2">
        <v>0</v>
      </c>
      <c r="Q422" s="2">
        <v>0</v>
      </c>
      <c r="R422" s="2">
        <v>0</v>
      </c>
      <c r="S422" s="2">
        <v>0</v>
      </c>
      <c r="T422" s="2">
        <v>3</v>
      </c>
      <c r="U422" s="2">
        <v>0</v>
      </c>
      <c r="V422" s="2">
        <v>0</v>
      </c>
      <c r="W422" s="2">
        <v>20</v>
      </c>
      <c r="X422" s="2">
        <v>0</v>
      </c>
      <c r="Y422" s="2">
        <v>1</v>
      </c>
      <c r="Z422" s="2">
        <v>0</v>
      </c>
      <c r="AA422" s="2">
        <v>1</v>
      </c>
      <c r="AB422" s="2">
        <v>2</v>
      </c>
      <c r="AC422" s="2">
        <v>1</v>
      </c>
      <c r="AD422" s="2">
        <v>0</v>
      </c>
      <c r="AE422" s="2">
        <v>0</v>
      </c>
      <c r="AF422" s="2">
        <v>1</v>
      </c>
      <c r="AG422" s="20">
        <f t="shared" si="6"/>
        <v>100</v>
      </c>
    </row>
    <row r="423" spans="1:33" x14ac:dyDescent="0.25">
      <c r="A423">
        <v>422</v>
      </c>
      <c r="B423" s="2">
        <v>1</v>
      </c>
      <c r="C423" s="2">
        <v>12</v>
      </c>
      <c r="D423" s="2">
        <v>2</v>
      </c>
      <c r="E423" s="2">
        <v>0</v>
      </c>
      <c r="F423" s="2">
        <v>1</v>
      </c>
      <c r="G423" s="2">
        <v>0</v>
      </c>
      <c r="H423" s="2">
        <v>0</v>
      </c>
      <c r="I423" s="2">
        <v>0</v>
      </c>
      <c r="J423" s="2">
        <v>0</v>
      </c>
      <c r="K423" s="2">
        <v>2028</v>
      </c>
      <c r="L423" s="2">
        <v>4</v>
      </c>
      <c r="M423" s="2">
        <v>2</v>
      </c>
      <c r="N423" s="2">
        <v>4</v>
      </c>
      <c r="O423" s="2">
        <v>0</v>
      </c>
      <c r="P423" s="2">
        <v>1</v>
      </c>
      <c r="Q423" s="2">
        <v>0</v>
      </c>
      <c r="R423" s="2">
        <v>0</v>
      </c>
      <c r="S423" s="2">
        <v>0</v>
      </c>
      <c r="T423" s="2">
        <v>2</v>
      </c>
      <c r="U423" s="2">
        <v>0</v>
      </c>
      <c r="V423" s="2">
        <v>0</v>
      </c>
      <c r="W423" s="2">
        <v>30</v>
      </c>
      <c r="X423" s="2">
        <v>0</v>
      </c>
      <c r="Y423" s="2">
        <v>0</v>
      </c>
      <c r="Z423" s="2">
        <v>1</v>
      </c>
      <c r="AA423" s="2">
        <v>1</v>
      </c>
      <c r="AB423" s="2">
        <v>2</v>
      </c>
      <c r="AC423" s="2">
        <v>1</v>
      </c>
      <c r="AD423" s="2">
        <v>0</v>
      </c>
      <c r="AE423" s="2">
        <v>0</v>
      </c>
      <c r="AF423" s="2">
        <v>1</v>
      </c>
      <c r="AG423" s="20">
        <f t="shared" si="6"/>
        <v>100</v>
      </c>
    </row>
    <row r="424" spans="1:33" x14ac:dyDescent="0.25">
      <c r="A424">
        <v>423</v>
      </c>
      <c r="B424" s="2">
        <v>1</v>
      </c>
      <c r="C424" s="2">
        <v>12</v>
      </c>
      <c r="D424" s="2">
        <v>4</v>
      </c>
      <c r="E424" s="2">
        <v>1</v>
      </c>
      <c r="F424" s="2">
        <v>0</v>
      </c>
      <c r="G424" s="2">
        <v>0</v>
      </c>
      <c r="H424" s="2">
        <v>0</v>
      </c>
      <c r="I424" s="2">
        <v>0</v>
      </c>
      <c r="J424" s="2">
        <v>0</v>
      </c>
      <c r="K424" s="2">
        <v>958</v>
      </c>
      <c r="L424" s="2">
        <v>0</v>
      </c>
      <c r="M424" s="2">
        <v>3</v>
      </c>
      <c r="N424" s="2">
        <v>2</v>
      </c>
      <c r="O424" s="2">
        <v>0</v>
      </c>
      <c r="P424" s="2">
        <v>1</v>
      </c>
      <c r="Q424" s="2">
        <v>0</v>
      </c>
      <c r="R424" s="2">
        <v>0</v>
      </c>
      <c r="S424" s="2">
        <v>0</v>
      </c>
      <c r="T424" s="2">
        <v>3</v>
      </c>
      <c r="U424" s="2">
        <v>1</v>
      </c>
      <c r="V424" s="2">
        <v>0</v>
      </c>
      <c r="W424" s="2">
        <v>47</v>
      </c>
      <c r="X424" s="2">
        <v>0</v>
      </c>
      <c r="Y424" s="2">
        <v>0</v>
      </c>
      <c r="Z424" s="2">
        <v>1</v>
      </c>
      <c r="AA424" s="2">
        <v>2</v>
      </c>
      <c r="AB424" s="2">
        <v>1</v>
      </c>
      <c r="AC424" s="2">
        <v>2</v>
      </c>
      <c r="AD424" s="2">
        <v>0</v>
      </c>
      <c r="AE424" s="2">
        <v>0</v>
      </c>
      <c r="AF424" s="2">
        <v>1</v>
      </c>
      <c r="AG424" s="20">
        <f t="shared" si="6"/>
        <v>100</v>
      </c>
    </row>
    <row r="425" spans="1:33" x14ac:dyDescent="0.25">
      <c r="A425">
        <v>424</v>
      </c>
      <c r="B425" s="2">
        <v>3</v>
      </c>
      <c r="C425" s="2">
        <v>21</v>
      </c>
      <c r="D425" s="2">
        <v>3</v>
      </c>
      <c r="E425" s="2">
        <v>0</v>
      </c>
      <c r="F425" s="2">
        <v>0</v>
      </c>
      <c r="G425" s="2">
        <v>1</v>
      </c>
      <c r="H425" s="2">
        <v>0</v>
      </c>
      <c r="I425" s="2">
        <v>0</v>
      </c>
      <c r="J425" s="2">
        <v>0</v>
      </c>
      <c r="K425" s="2">
        <v>1591</v>
      </c>
      <c r="L425" s="2">
        <v>1</v>
      </c>
      <c r="M425" s="2">
        <v>3</v>
      </c>
      <c r="N425" s="2">
        <v>4</v>
      </c>
      <c r="O425" s="2">
        <v>0</v>
      </c>
      <c r="P425" s="2">
        <v>1</v>
      </c>
      <c r="Q425" s="2">
        <v>0</v>
      </c>
      <c r="R425" s="2">
        <v>0</v>
      </c>
      <c r="S425" s="2">
        <v>0</v>
      </c>
      <c r="T425" s="2">
        <v>3</v>
      </c>
      <c r="U425" s="2">
        <v>1</v>
      </c>
      <c r="V425" s="2">
        <v>0</v>
      </c>
      <c r="W425" s="2">
        <v>34</v>
      </c>
      <c r="X425" s="2">
        <v>0</v>
      </c>
      <c r="Y425" s="2">
        <v>0</v>
      </c>
      <c r="Z425" s="2">
        <v>1</v>
      </c>
      <c r="AA425" s="2">
        <v>2</v>
      </c>
      <c r="AB425" s="2">
        <v>3</v>
      </c>
      <c r="AC425" s="2">
        <v>1</v>
      </c>
      <c r="AD425" s="2">
        <v>0</v>
      </c>
      <c r="AE425" s="2">
        <v>0</v>
      </c>
      <c r="AF425" s="2">
        <v>1</v>
      </c>
      <c r="AG425" s="20">
        <f t="shared" si="6"/>
        <v>100</v>
      </c>
    </row>
    <row r="426" spans="1:33" x14ac:dyDescent="0.25">
      <c r="A426">
        <v>425</v>
      </c>
      <c r="B426" s="2">
        <v>1</v>
      </c>
      <c r="C426" s="2">
        <v>12</v>
      </c>
      <c r="D426" s="2">
        <v>2</v>
      </c>
      <c r="E426" s="2">
        <v>0</v>
      </c>
      <c r="F426" s="2">
        <v>0</v>
      </c>
      <c r="G426" s="2">
        <v>1</v>
      </c>
      <c r="H426" s="2">
        <v>0</v>
      </c>
      <c r="I426" s="2">
        <v>0</v>
      </c>
      <c r="J426" s="2">
        <v>0</v>
      </c>
      <c r="K426" s="2">
        <v>2762</v>
      </c>
      <c r="L426" s="2">
        <v>4</v>
      </c>
      <c r="M426" s="2">
        <v>4</v>
      </c>
      <c r="N426" s="2">
        <v>1</v>
      </c>
      <c r="O426" s="2">
        <v>0</v>
      </c>
      <c r="P426" s="2">
        <v>0</v>
      </c>
      <c r="Q426" s="2">
        <v>0</v>
      </c>
      <c r="R426" s="2">
        <v>0</v>
      </c>
      <c r="S426" s="2">
        <v>0</v>
      </c>
      <c r="T426" s="2">
        <v>2</v>
      </c>
      <c r="U426" s="2">
        <v>0</v>
      </c>
      <c r="V426" s="2">
        <v>0</v>
      </c>
      <c r="W426" s="2">
        <v>25</v>
      </c>
      <c r="X426" s="2">
        <v>1</v>
      </c>
      <c r="Y426" s="2">
        <v>0</v>
      </c>
      <c r="Z426" s="2">
        <v>1</v>
      </c>
      <c r="AA426" s="2">
        <v>1</v>
      </c>
      <c r="AB426" s="2">
        <v>2</v>
      </c>
      <c r="AC426" s="2">
        <v>1</v>
      </c>
      <c r="AD426" s="2">
        <v>1</v>
      </c>
      <c r="AE426" s="2">
        <v>0</v>
      </c>
      <c r="AF426" s="2">
        <v>0</v>
      </c>
      <c r="AG426" s="20">
        <f t="shared" si="6"/>
        <v>-500</v>
      </c>
    </row>
    <row r="427" spans="1:33" x14ac:dyDescent="0.25">
      <c r="A427">
        <v>426</v>
      </c>
      <c r="B427" s="2">
        <v>1</v>
      </c>
      <c r="C427" s="2">
        <v>18</v>
      </c>
      <c r="D427" s="2">
        <v>2</v>
      </c>
      <c r="E427" s="2">
        <v>0</v>
      </c>
      <c r="F427" s="2">
        <v>1</v>
      </c>
      <c r="G427" s="2">
        <v>0</v>
      </c>
      <c r="H427" s="2">
        <v>0</v>
      </c>
      <c r="I427" s="2">
        <v>0</v>
      </c>
      <c r="J427" s="2">
        <v>0</v>
      </c>
      <c r="K427" s="2">
        <v>2779</v>
      </c>
      <c r="L427" s="2">
        <v>0</v>
      </c>
      <c r="M427" s="2">
        <v>2</v>
      </c>
      <c r="N427" s="2">
        <v>1</v>
      </c>
      <c r="O427" s="2">
        <v>0</v>
      </c>
      <c r="P427" s="2">
        <v>0</v>
      </c>
      <c r="Q427" s="2">
        <v>1</v>
      </c>
      <c r="R427" s="2">
        <v>0</v>
      </c>
      <c r="S427" s="2">
        <v>0</v>
      </c>
      <c r="T427" s="2">
        <v>3</v>
      </c>
      <c r="U427" s="2">
        <v>0</v>
      </c>
      <c r="V427" s="2">
        <v>0</v>
      </c>
      <c r="W427" s="2">
        <v>21</v>
      </c>
      <c r="X427" s="2">
        <v>0</v>
      </c>
      <c r="Y427" s="2">
        <v>1</v>
      </c>
      <c r="Z427" s="2">
        <v>0</v>
      </c>
      <c r="AA427" s="2">
        <v>1</v>
      </c>
      <c r="AB427" s="2">
        <v>2</v>
      </c>
      <c r="AC427" s="2">
        <v>1</v>
      </c>
      <c r="AD427" s="2">
        <v>1</v>
      </c>
      <c r="AE427" s="2">
        <v>0</v>
      </c>
      <c r="AF427" s="2">
        <v>1</v>
      </c>
      <c r="AG427" s="20">
        <f t="shared" si="6"/>
        <v>100</v>
      </c>
    </row>
    <row r="428" spans="1:33" x14ac:dyDescent="0.25">
      <c r="A428">
        <v>427</v>
      </c>
      <c r="B428" s="2">
        <v>3</v>
      </c>
      <c r="C428" s="2">
        <v>28</v>
      </c>
      <c r="D428" s="2">
        <v>4</v>
      </c>
      <c r="E428" s="2">
        <v>0</v>
      </c>
      <c r="F428" s="2">
        <v>0</v>
      </c>
      <c r="G428" s="2">
        <v>0</v>
      </c>
      <c r="H428" s="2">
        <v>1</v>
      </c>
      <c r="I428" s="2">
        <v>0</v>
      </c>
      <c r="J428" s="2">
        <v>0</v>
      </c>
      <c r="K428" s="2">
        <v>2743</v>
      </c>
      <c r="L428" s="2">
        <v>0</v>
      </c>
      <c r="M428" s="2">
        <v>4</v>
      </c>
      <c r="N428" s="2">
        <v>4</v>
      </c>
      <c r="O428" s="2">
        <v>0</v>
      </c>
      <c r="P428" s="2">
        <v>1</v>
      </c>
      <c r="Q428" s="2">
        <v>0</v>
      </c>
      <c r="R428" s="2">
        <v>0</v>
      </c>
      <c r="S428" s="2">
        <v>0</v>
      </c>
      <c r="T428" s="2">
        <v>2</v>
      </c>
      <c r="U428" s="2">
        <v>0</v>
      </c>
      <c r="V428" s="2">
        <v>0</v>
      </c>
      <c r="W428" s="2">
        <v>29</v>
      </c>
      <c r="X428" s="2">
        <v>0</v>
      </c>
      <c r="Y428" s="2">
        <v>0</v>
      </c>
      <c r="Z428" s="2">
        <v>1</v>
      </c>
      <c r="AA428" s="2">
        <v>2</v>
      </c>
      <c r="AB428" s="2">
        <v>2</v>
      </c>
      <c r="AC428" s="2">
        <v>1</v>
      </c>
      <c r="AD428" s="2">
        <v>0</v>
      </c>
      <c r="AE428" s="2">
        <v>0</v>
      </c>
      <c r="AF428" s="2">
        <v>1</v>
      </c>
      <c r="AG428" s="20">
        <f t="shared" si="6"/>
        <v>100</v>
      </c>
    </row>
    <row r="429" spans="1:33" x14ac:dyDescent="0.25">
      <c r="A429">
        <v>428</v>
      </c>
      <c r="B429" s="2">
        <v>3</v>
      </c>
      <c r="C429" s="2">
        <v>18</v>
      </c>
      <c r="D429" s="2">
        <v>4</v>
      </c>
      <c r="E429" s="2">
        <v>0</v>
      </c>
      <c r="F429" s="2">
        <v>0</v>
      </c>
      <c r="G429" s="2">
        <v>0</v>
      </c>
      <c r="H429" s="2">
        <v>1</v>
      </c>
      <c r="I429" s="2">
        <v>0</v>
      </c>
      <c r="J429" s="2">
        <v>0</v>
      </c>
      <c r="K429" s="2">
        <v>1149</v>
      </c>
      <c r="L429" s="2">
        <v>3</v>
      </c>
      <c r="M429" s="2">
        <v>2</v>
      </c>
      <c r="N429" s="2">
        <v>4</v>
      </c>
      <c r="O429" s="2">
        <v>0</v>
      </c>
      <c r="P429" s="2">
        <v>1</v>
      </c>
      <c r="Q429" s="2">
        <v>0</v>
      </c>
      <c r="R429" s="2">
        <v>0</v>
      </c>
      <c r="S429" s="2">
        <v>0</v>
      </c>
      <c r="T429" s="2">
        <v>3</v>
      </c>
      <c r="U429" s="2">
        <v>1</v>
      </c>
      <c r="V429" s="2">
        <v>0</v>
      </c>
      <c r="W429" s="2">
        <v>46</v>
      </c>
      <c r="X429" s="2">
        <v>0</v>
      </c>
      <c r="Y429" s="2">
        <v>0</v>
      </c>
      <c r="Z429" s="2">
        <v>1</v>
      </c>
      <c r="AA429" s="2">
        <v>2</v>
      </c>
      <c r="AB429" s="2">
        <v>2</v>
      </c>
      <c r="AC429" s="2">
        <v>1</v>
      </c>
      <c r="AD429" s="2">
        <v>0</v>
      </c>
      <c r="AE429" s="2">
        <v>0</v>
      </c>
      <c r="AF429" s="2">
        <v>1</v>
      </c>
      <c r="AG429" s="20">
        <f t="shared" si="6"/>
        <v>100</v>
      </c>
    </row>
    <row r="430" spans="1:33" x14ac:dyDescent="0.25">
      <c r="A430">
        <v>429</v>
      </c>
      <c r="B430" s="2">
        <v>3</v>
      </c>
      <c r="C430" s="2">
        <v>9</v>
      </c>
      <c r="D430" s="2">
        <v>2</v>
      </c>
      <c r="E430" s="2">
        <v>0</v>
      </c>
      <c r="F430" s="2">
        <v>0</v>
      </c>
      <c r="G430" s="2">
        <v>1</v>
      </c>
      <c r="H430" s="2">
        <v>0</v>
      </c>
      <c r="I430" s="2">
        <v>0</v>
      </c>
      <c r="J430" s="2">
        <v>0</v>
      </c>
      <c r="K430" s="2">
        <v>1313</v>
      </c>
      <c r="L430" s="2">
        <v>0</v>
      </c>
      <c r="M430" s="2">
        <v>4</v>
      </c>
      <c r="N430" s="2">
        <v>1</v>
      </c>
      <c r="O430" s="2">
        <v>0</v>
      </c>
      <c r="P430" s="2">
        <v>1</v>
      </c>
      <c r="Q430" s="2">
        <v>0</v>
      </c>
      <c r="R430" s="2">
        <v>0</v>
      </c>
      <c r="S430" s="2">
        <v>0</v>
      </c>
      <c r="T430" s="2">
        <v>4</v>
      </c>
      <c r="U430" s="2">
        <v>0</v>
      </c>
      <c r="V430" s="2">
        <v>0</v>
      </c>
      <c r="W430" s="2">
        <v>20</v>
      </c>
      <c r="X430" s="2">
        <v>0</v>
      </c>
      <c r="Y430" s="2">
        <v>0</v>
      </c>
      <c r="Z430" s="2">
        <v>1</v>
      </c>
      <c r="AA430" s="2">
        <v>1</v>
      </c>
      <c r="AB430" s="2">
        <v>2</v>
      </c>
      <c r="AC430" s="2">
        <v>1</v>
      </c>
      <c r="AD430" s="2">
        <v>0</v>
      </c>
      <c r="AE430" s="2">
        <v>0</v>
      </c>
      <c r="AF430" s="2">
        <v>1</v>
      </c>
      <c r="AG430" s="20">
        <f t="shared" si="6"/>
        <v>100</v>
      </c>
    </row>
    <row r="431" spans="1:33" x14ac:dyDescent="0.25">
      <c r="A431">
        <v>430</v>
      </c>
      <c r="B431" s="2">
        <v>0</v>
      </c>
      <c r="C431" s="2">
        <v>18</v>
      </c>
      <c r="D431" s="2">
        <v>4</v>
      </c>
      <c r="E431" s="2">
        <v>0</v>
      </c>
      <c r="F431" s="2">
        <v>0</v>
      </c>
      <c r="G431" s="2">
        <v>0</v>
      </c>
      <c r="H431" s="2">
        <v>0</v>
      </c>
      <c r="I431" s="2">
        <v>0</v>
      </c>
      <c r="J431" s="2">
        <v>0</v>
      </c>
      <c r="K431" s="2">
        <v>1190</v>
      </c>
      <c r="L431" s="2">
        <v>0</v>
      </c>
      <c r="M431" s="2">
        <v>0</v>
      </c>
      <c r="N431" s="2">
        <v>2</v>
      </c>
      <c r="O431" s="2">
        <v>0</v>
      </c>
      <c r="P431" s="2">
        <v>0</v>
      </c>
      <c r="Q431" s="2">
        <v>0</v>
      </c>
      <c r="R431" s="2">
        <v>0</v>
      </c>
      <c r="S431" s="2">
        <v>0</v>
      </c>
      <c r="T431" s="2">
        <v>4</v>
      </c>
      <c r="U431" s="2">
        <v>0</v>
      </c>
      <c r="V431" s="2">
        <v>1</v>
      </c>
      <c r="W431" s="2">
        <v>55</v>
      </c>
      <c r="X431" s="2">
        <v>0</v>
      </c>
      <c r="Y431" s="2">
        <v>0</v>
      </c>
      <c r="Z431" s="2">
        <v>0</v>
      </c>
      <c r="AA431" s="2">
        <v>3</v>
      </c>
      <c r="AB431" s="2">
        <v>0</v>
      </c>
      <c r="AC431" s="2">
        <v>2</v>
      </c>
      <c r="AD431" s="2">
        <v>0</v>
      </c>
      <c r="AE431" s="2">
        <v>0</v>
      </c>
      <c r="AF431" s="2">
        <v>0</v>
      </c>
      <c r="AG431" s="20">
        <f t="shared" si="6"/>
        <v>-500</v>
      </c>
    </row>
    <row r="432" spans="1:33" x14ac:dyDescent="0.25">
      <c r="A432">
        <v>431</v>
      </c>
      <c r="B432" s="2">
        <v>3</v>
      </c>
      <c r="C432" s="2">
        <v>5</v>
      </c>
      <c r="D432" s="2">
        <v>2</v>
      </c>
      <c r="E432" s="2">
        <v>0</v>
      </c>
      <c r="F432" s="2">
        <v>0</v>
      </c>
      <c r="G432" s="2">
        <v>0</v>
      </c>
      <c r="H432" s="2">
        <v>0</v>
      </c>
      <c r="I432" s="2">
        <v>0</v>
      </c>
      <c r="J432" s="2">
        <v>1</v>
      </c>
      <c r="K432" s="2">
        <v>3448</v>
      </c>
      <c r="L432" s="2">
        <v>0</v>
      </c>
      <c r="M432" s="2">
        <v>3</v>
      </c>
      <c r="N432" s="2">
        <v>1</v>
      </c>
      <c r="O432" s="2">
        <v>0</v>
      </c>
      <c r="P432" s="2">
        <v>1</v>
      </c>
      <c r="Q432" s="2">
        <v>0</v>
      </c>
      <c r="R432" s="2">
        <v>0</v>
      </c>
      <c r="S432" s="2">
        <v>0</v>
      </c>
      <c r="T432" s="2">
        <v>4</v>
      </c>
      <c r="U432" s="2">
        <v>1</v>
      </c>
      <c r="V432" s="2">
        <v>0</v>
      </c>
      <c r="W432" s="2">
        <v>74</v>
      </c>
      <c r="X432" s="2">
        <v>0</v>
      </c>
      <c r="Y432" s="2">
        <v>0</v>
      </c>
      <c r="Z432" s="2">
        <v>1</v>
      </c>
      <c r="AA432" s="2">
        <v>1</v>
      </c>
      <c r="AB432" s="2">
        <v>1</v>
      </c>
      <c r="AC432" s="2">
        <v>1</v>
      </c>
      <c r="AD432" s="2">
        <v>0</v>
      </c>
      <c r="AE432" s="2">
        <v>0</v>
      </c>
      <c r="AF432" s="2">
        <v>1</v>
      </c>
      <c r="AG432" s="20">
        <f t="shared" si="6"/>
        <v>100</v>
      </c>
    </row>
    <row r="433" spans="1:33" x14ac:dyDescent="0.25">
      <c r="A433">
        <v>432</v>
      </c>
      <c r="B433" s="2">
        <v>1</v>
      </c>
      <c r="C433" s="2">
        <v>24</v>
      </c>
      <c r="D433" s="2">
        <v>2</v>
      </c>
      <c r="E433" s="2">
        <v>0</v>
      </c>
      <c r="F433" s="2">
        <v>0</v>
      </c>
      <c r="G433" s="2">
        <v>0</v>
      </c>
      <c r="H433" s="2">
        <v>0</v>
      </c>
      <c r="I433" s="2">
        <v>0</v>
      </c>
      <c r="J433" s="2">
        <v>0</v>
      </c>
      <c r="K433" s="2">
        <v>11328</v>
      </c>
      <c r="L433" s="2">
        <v>0</v>
      </c>
      <c r="M433" s="2">
        <v>2</v>
      </c>
      <c r="N433" s="2">
        <v>2</v>
      </c>
      <c r="O433" s="2">
        <v>0</v>
      </c>
      <c r="P433" s="2">
        <v>1</v>
      </c>
      <c r="Q433" s="2">
        <v>0</v>
      </c>
      <c r="R433" s="2">
        <v>1</v>
      </c>
      <c r="S433" s="2">
        <v>0</v>
      </c>
      <c r="T433" s="2">
        <v>3</v>
      </c>
      <c r="U433" s="2">
        <v>0</v>
      </c>
      <c r="V433" s="2">
        <v>0</v>
      </c>
      <c r="W433" s="2">
        <v>29</v>
      </c>
      <c r="X433" s="2">
        <v>1</v>
      </c>
      <c r="Y433" s="2">
        <v>0</v>
      </c>
      <c r="Z433" s="2">
        <v>1</v>
      </c>
      <c r="AA433" s="2">
        <v>2</v>
      </c>
      <c r="AB433" s="2">
        <v>3</v>
      </c>
      <c r="AC433" s="2">
        <v>1</v>
      </c>
      <c r="AD433" s="2">
        <v>1</v>
      </c>
      <c r="AE433" s="2">
        <v>0</v>
      </c>
      <c r="AF433" s="2">
        <v>0</v>
      </c>
      <c r="AG433" s="20">
        <f t="shared" si="6"/>
        <v>-500</v>
      </c>
    </row>
    <row r="434" spans="1:33" x14ac:dyDescent="0.25">
      <c r="A434">
        <v>433</v>
      </c>
      <c r="B434" s="2">
        <v>0</v>
      </c>
      <c r="C434" s="2">
        <v>6</v>
      </c>
      <c r="D434" s="2">
        <v>4</v>
      </c>
      <c r="E434" s="2">
        <v>0</v>
      </c>
      <c r="F434" s="2">
        <v>0</v>
      </c>
      <c r="G434" s="2">
        <v>1</v>
      </c>
      <c r="H434" s="2">
        <v>0</v>
      </c>
      <c r="I434" s="2">
        <v>0</v>
      </c>
      <c r="J434" s="2">
        <v>0</v>
      </c>
      <c r="K434" s="2">
        <v>1872</v>
      </c>
      <c r="L434" s="2">
        <v>0</v>
      </c>
      <c r="M434" s="2">
        <v>0</v>
      </c>
      <c r="N434" s="2">
        <v>4</v>
      </c>
      <c r="O434" s="2">
        <v>0</v>
      </c>
      <c r="P434" s="2">
        <v>1</v>
      </c>
      <c r="Q434" s="2">
        <v>0</v>
      </c>
      <c r="R434" s="2">
        <v>0</v>
      </c>
      <c r="S434" s="2">
        <v>0</v>
      </c>
      <c r="T434" s="2">
        <v>4</v>
      </c>
      <c r="U434" s="2">
        <v>0</v>
      </c>
      <c r="V434" s="2">
        <v>1</v>
      </c>
      <c r="W434" s="2">
        <v>36</v>
      </c>
      <c r="X434" s="2">
        <v>0</v>
      </c>
      <c r="Y434" s="2">
        <v>0</v>
      </c>
      <c r="Z434" s="2">
        <v>0</v>
      </c>
      <c r="AA434" s="2">
        <v>3</v>
      </c>
      <c r="AB434" s="2">
        <v>3</v>
      </c>
      <c r="AC434" s="2">
        <v>1</v>
      </c>
      <c r="AD434" s="2">
        <v>1</v>
      </c>
      <c r="AE434" s="2">
        <v>0</v>
      </c>
      <c r="AF434" s="2">
        <v>1</v>
      </c>
      <c r="AG434" s="20">
        <f t="shared" si="6"/>
        <v>100</v>
      </c>
    </row>
    <row r="435" spans="1:33" x14ac:dyDescent="0.25">
      <c r="A435">
        <v>434</v>
      </c>
      <c r="B435" s="2">
        <v>3</v>
      </c>
      <c r="C435" s="2">
        <v>24</v>
      </c>
      <c r="D435" s="2">
        <v>4</v>
      </c>
      <c r="E435" s="2">
        <v>0</v>
      </c>
      <c r="F435" s="2">
        <v>0</v>
      </c>
      <c r="G435" s="2">
        <v>0</v>
      </c>
      <c r="H435" s="2">
        <v>0</v>
      </c>
      <c r="I435" s="2">
        <v>0</v>
      </c>
      <c r="J435" s="2">
        <v>0</v>
      </c>
      <c r="K435" s="2">
        <v>2058</v>
      </c>
      <c r="L435" s="2">
        <v>0</v>
      </c>
      <c r="M435" s="2">
        <v>2</v>
      </c>
      <c r="N435" s="2">
        <v>4</v>
      </c>
      <c r="O435" s="2">
        <v>1</v>
      </c>
      <c r="P435" s="2">
        <v>0</v>
      </c>
      <c r="Q435" s="2">
        <v>0</v>
      </c>
      <c r="R435" s="2">
        <v>0</v>
      </c>
      <c r="S435" s="2">
        <v>0</v>
      </c>
      <c r="T435" s="2">
        <v>2</v>
      </c>
      <c r="U435" s="2">
        <v>1</v>
      </c>
      <c r="V435" s="2">
        <v>0</v>
      </c>
      <c r="W435" s="2">
        <v>33</v>
      </c>
      <c r="X435" s="2">
        <v>0</v>
      </c>
      <c r="Y435" s="2">
        <v>0</v>
      </c>
      <c r="Z435" s="2">
        <v>1</v>
      </c>
      <c r="AA435" s="2">
        <v>2</v>
      </c>
      <c r="AB435" s="2">
        <v>2</v>
      </c>
      <c r="AC435" s="2">
        <v>1</v>
      </c>
      <c r="AD435" s="2">
        <v>1</v>
      </c>
      <c r="AE435" s="2">
        <v>0</v>
      </c>
      <c r="AF435" s="2">
        <v>1</v>
      </c>
      <c r="AG435" s="20">
        <f t="shared" si="6"/>
        <v>100</v>
      </c>
    </row>
    <row r="436" spans="1:33" x14ac:dyDescent="0.25">
      <c r="A436">
        <v>435</v>
      </c>
      <c r="B436" s="2">
        <v>0</v>
      </c>
      <c r="C436" s="2">
        <v>9</v>
      </c>
      <c r="D436" s="2">
        <v>2</v>
      </c>
      <c r="E436" s="2">
        <v>0</v>
      </c>
      <c r="F436" s="2">
        <v>0</v>
      </c>
      <c r="G436" s="2">
        <v>1</v>
      </c>
      <c r="H436" s="2">
        <v>0</v>
      </c>
      <c r="I436" s="2">
        <v>0</v>
      </c>
      <c r="J436" s="2">
        <v>0</v>
      </c>
      <c r="K436" s="2">
        <v>2136</v>
      </c>
      <c r="L436" s="2">
        <v>0</v>
      </c>
      <c r="M436" s="2">
        <v>2</v>
      </c>
      <c r="N436" s="2">
        <v>3</v>
      </c>
      <c r="O436" s="2">
        <v>0</v>
      </c>
      <c r="P436" s="2">
        <v>1</v>
      </c>
      <c r="Q436" s="2">
        <v>0</v>
      </c>
      <c r="R436" s="2">
        <v>0</v>
      </c>
      <c r="S436" s="2">
        <v>0</v>
      </c>
      <c r="T436" s="2">
        <v>2</v>
      </c>
      <c r="U436" s="2">
        <v>1</v>
      </c>
      <c r="V436" s="2">
        <v>0</v>
      </c>
      <c r="W436" s="2">
        <v>25</v>
      </c>
      <c r="X436" s="2">
        <v>0</v>
      </c>
      <c r="Y436" s="2">
        <v>0</v>
      </c>
      <c r="Z436" s="2">
        <v>1</v>
      </c>
      <c r="AA436" s="2">
        <v>1</v>
      </c>
      <c r="AB436" s="2">
        <v>2</v>
      </c>
      <c r="AC436" s="2">
        <v>1</v>
      </c>
      <c r="AD436" s="2">
        <v>0</v>
      </c>
      <c r="AE436" s="2">
        <v>0</v>
      </c>
      <c r="AF436" s="2">
        <v>1</v>
      </c>
      <c r="AG436" s="20">
        <f t="shared" si="6"/>
        <v>100</v>
      </c>
    </row>
    <row r="437" spans="1:33" x14ac:dyDescent="0.25">
      <c r="A437">
        <v>436</v>
      </c>
      <c r="B437" s="2">
        <v>1</v>
      </c>
      <c r="C437" s="2">
        <v>12</v>
      </c>
      <c r="D437" s="2">
        <v>2</v>
      </c>
      <c r="E437" s="2">
        <v>0</v>
      </c>
      <c r="F437" s="2">
        <v>0</v>
      </c>
      <c r="G437" s="2">
        <v>0</v>
      </c>
      <c r="H437" s="2">
        <v>1</v>
      </c>
      <c r="I437" s="2">
        <v>0</v>
      </c>
      <c r="J437" s="2">
        <v>0</v>
      </c>
      <c r="K437" s="2">
        <v>1484</v>
      </c>
      <c r="L437" s="2">
        <v>4</v>
      </c>
      <c r="M437" s="2">
        <v>2</v>
      </c>
      <c r="N437" s="2">
        <v>2</v>
      </c>
      <c r="O437" s="2">
        <v>0</v>
      </c>
      <c r="P437" s="2">
        <v>0</v>
      </c>
      <c r="Q437" s="2">
        <v>1</v>
      </c>
      <c r="R437" s="2">
        <v>0</v>
      </c>
      <c r="S437" s="2">
        <v>0</v>
      </c>
      <c r="T437" s="2">
        <v>1</v>
      </c>
      <c r="U437" s="2">
        <v>1</v>
      </c>
      <c r="V437" s="2">
        <v>0</v>
      </c>
      <c r="W437" s="2">
        <v>25</v>
      </c>
      <c r="X437" s="2">
        <v>0</v>
      </c>
      <c r="Y437" s="2">
        <v>0</v>
      </c>
      <c r="Z437" s="2">
        <v>1</v>
      </c>
      <c r="AA437" s="2">
        <v>1</v>
      </c>
      <c r="AB437" s="2">
        <v>2</v>
      </c>
      <c r="AC437" s="2">
        <v>1</v>
      </c>
      <c r="AD437" s="2">
        <v>1</v>
      </c>
      <c r="AE437" s="2">
        <v>0</v>
      </c>
      <c r="AF437" s="2">
        <v>0</v>
      </c>
      <c r="AG437" s="20">
        <f t="shared" si="6"/>
        <v>-500</v>
      </c>
    </row>
    <row r="438" spans="1:33" x14ac:dyDescent="0.25">
      <c r="A438">
        <v>437</v>
      </c>
      <c r="B438" s="2">
        <v>3</v>
      </c>
      <c r="C438" s="2">
        <v>6</v>
      </c>
      <c r="D438" s="2">
        <v>2</v>
      </c>
      <c r="E438" s="2">
        <v>0</v>
      </c>
      <c r="F438" s="2">
        <v>0</v>
      </c>
      <c r="G438" s="2">
        <v>0</v>
      </c>
      <c r="H438" s="2">
        <v>0</v>
      </c>
      <c r="I438" s="2">
        <v>0</v>
      </c>
      <c r="J438" s="2">
        <v>0</v>
      </c>
      <c r="K438" s="2">
        <v>660</v>
      </c>
      <c r="L438" s="2">
        <v>2</v>
      </c>
      <c r="M438" s="2">
        <v>3</v>
      </c>
      <c r="N438" s="2">
        <v>2</v>
      </c>
      <c r="O438" s="2">
        <v>0</v>
      </c>
      <c r="P438" s="2">
        <v>0</v>
      </c>
      <c r="Q438" s="2">
        <v>1</v>
      </c>
      <c r="R438" s="2">
        <v>0</v>
      </c>
      <c r="S438" s="2">
        <v>0</v>
      </c>
      <c r="T438" s="2">
        <v>4</v>
      </c>
      <c r="U438" s="2">
        <v>1</v>
      </c>
      <c r="V438" s="2">
        <v>0</v>
      </c>
      <c r="W438" s="2">
        <v>23</v>
      </c>
      <c r="X438" s="2">
        <v>0</v>
      </c>
      <c r="Y438" s="2">
        <v>1</v>
      </c>
      <c r="Z438" s="2">
        <v>0</v>
      </c>
      <c r="AA438" s="2">
        <v>1</v>
      </c>
      <c r="AB438" s="2">
        <v>1</v>
      </c>
      <c r="AC438" s="2">
        <v>1</v>
      </c>
      <c r="AD438" s="2">
        <v>0</v>
      </c>
      <c r="AE438" s="2">
        <v>0</v>
      </c>
      <c r="AF438" s="2">
        <v>1</v>
      </c>
      <c r="AG438" s="20">
        <f t="shared" si="6"/>
        <v>100</v>
      </c>
    </row>
    <row r="439" spans="1:33" x14ac:dyDescent="0.25">
      <c r="A439">
        <v>438</v>
      </c>
      <c r="B439" s="2">
        <v>3</v>
      </c>
      <c r="C439" s="2">
        <v>24</v>
      </c>
      <c r="D439" s="2">
        <v>4</v>
      </c>
      <c r="E439" s="2">
        <v>1</v>
      </c>
      <c r="F439" s="2">
        <v>0</v>
      </c>
      <c r="G439" s="2">
        <v>0</v>
      </c>
      <c r="H439" s="2">
        <v>0</v>
      </c>
      <c r="I439" s="2">
        <v>0</v>
      </c>
      <c r="J439" s="2">
        <v>0</v>
      </c>
      <c r="K439" s="2">
        <v>1287</v>
      </c>
      <c r="L439" s="2">
        <v>3</v>
      </c>
      <c r="M439" s="2">
        <v>4</v>
      </c>
      <c r="N439" s="2">
        <v>4</v>
      </c>
      <c r="O439" s="2">
        <v>0</v>
      </c>
      <c r="P439" s="2">
        <v>0</v>
      </c>
      <c r="Q439" s="2">
        <v>0</v>
      </c>
      <c r="R439" s="2">
        <v>0</v>
      </c>
      <c r="S439" s="2">
        <v>0</v>
      </c>
      <c r="T439" s="2">
        <v>4</v>
      </c>
      <c r="U439" s="2">
        <v>1</v>
      </c>
      <c r="V439" s="2">
        <v>0</v>
      </c>
      <c r="W439" s="2">
        <v>37</v>
      </c>
      <c r="X439" s="2">
        <v>0</v>
      </c>
      <c r="Y439" s="2">
        <v>0</v>
      </c>
      <c r="Z439" s="2">
        <v>1</v>
      </c>
      <c r="AA439" s="2">
        <v>2</v>
      </c>
      <c r="AB439" s="2">
        <v>2</v>
      </c>
      <c r="AC439" s="2">
        <v>1</v>
      </c>
      <c r="AD439" s="2">
        <v>1</v>
      </c>
      <c r="AE439" s="2">
        <v>0</v>
      </c>
      <c r="AF439" s="2">
        <v>1</v>
      </c>
      <c r="AG439" s="20">
        <f t="shared" si="6"/>
        <v>100</v>
      </c>
    </row>
    <row r="440" spans="1:33" x14ac:dyDescent="0.25">
      <c r="A440">
        <v>439</v>
      </c>
      <c r="B440" s="2">
        <v>0</v>
      </c>
      <c r="C440" s="2">
        <v>42</v>
      </c>
      <c r="D440" s="2">
        <v>4</v>
      </c>
      <c r="E440" s="2">
        <v>0</v>
      </c>
      <c r="F440" s="2">
        <v>0</v>
      </c>
      <c r="G440" s="2">
        <v>0</v>
      </c>
      <c r="H440" s="2">
        <v>0</v>
      </c>
      <c r="I440" s="2">
        <v>0</v>
      </c>
      <c r="J440" s="2">
        <v>0</v>
      </c>
      <c r="K440" s="2">
        <v>3394</v>
      </c>
      <c r="L440" s="2">
        <v>0</v>
      </c>
      <c r="M440" s="2">
        <v>0</v>
      </c>
      <c r="N440" s="2">
        <v>4</v>
      </c>
      <c r="O440" s="2">
        <v>0</v>
      </c>
      <c r="P440" s="2">
        <v>1</v>
      </c>
      <c r="Q440" s="2">
        <v>0</v>
      </c>
      <c r="R440" s="2">
        <v>1</v>
      </c>
      <c r="S440" s="2">
        <v>0</v>
      </c>
      <c r="T440" s="2">
        <v>4</v>
      </c>
      <c r="U440" s="2">
        <v>0</v>
      </c>
      <c r="V440" s="2">
        <v>0</v>
      </c>
      <c r="W440" s="2">
        <v>65</v>
      </c>
      <c r="X440" s="2">
        <v>0</v>
      </c>
      <c r="Y440" s="2">
        <v>0</v>
      </c>
      <c r="Z440" s="2">
        <v>1</v>
      </c>
      <c r="AA440" s="2">
        <v>2</v>
      </c>
      <c r="AB440" s="2">
        <v>0</v>
      </c>
      <c r="AC440" s="2">
        <v>1</v>
      </c>
      <c r="AD440" s="2">
        <v>0</v>
      </c>
      <c r="AE440" s="2">
        <v>0</v>
      </c>
      <c r="AF440" s="2">
        <v>1</v>
      </c>
      <c r="AG440" s="20">
        <f t="shared" si="6"/>
        <v>100</v>
      </c>
    </row>
    <row r="441" spans="1:33" x14ac:dyDescent="0.25">
      <c r="A441">
        <v>440</v>
      </c>
      <c r="B441" s="2">
        <v>2</v>
      </c>
      <c r="C441" s="2">
        <v>12</v>
      </c>
      <c r="D441" s="2">
        <v>1</v>
      </c>
      <c r="E441" s="2">
        <v>0</v>
      </c>
      <c r="F441" s="2">
        <v>0</v>
      </c>
      <c r="G441" s="2">
        <v>0</v>
      </c>
      <c r="H441" s="2">
        <v>0</v>
      </c>
      <c r="I441" s="2">
        <v>0</v>
      </c>
      <c r="J441" s="2">
        <v>1</v>
      </c>
      <c r="K441" s="2">
        <v>609</v>
      </c>
      <c r="L441" s="2">
        <v>0</v>
      </c>
      <c r="M441" s="2">
        <v>1</v>
      </c>
      <c r="N441" s="2">
        <v>4</v>
      </c>
      <c r="O441" s="2">
        <v>0</v>
      </c>
      <c r="P441" s="2">
        <v>0</v>
      </c>
      <c r="Q441" s="2">
        <v>0</v>
      </c>
      <c r="R441" s="2">
        <v>0</v>
      </c>
      <c r="S441" s="2">
        <v>0</v>
      </c>
      <c r="T441" s="2">
        <v>1</v>
      </c>
      <c r="U441" s="2">
        <v>1</v>
      </c>
      <c r="V441" s="2">
        <v>0</v>
      </c>
      <c r="W441" s="2">
        <v>26</v>
      </c>
      <c r="X441" s="2">
        <v>0</v>
      </c>
      <c r="Y441" s="2">
        <v>0</v>
      </c>
      <c r="Z441" s="2">
        <v>1</v>
      </c>
      <c r="AA441" s="2">
        <v>1</v>
      </c>
      <c r="AB441" s="2">
        <v>0</v>
      </c>
      <c r="AC441" s="2">
        <v>1</v>
      </c>
      <c r="AD441" s="2">
        <v>0</v>
      </c>
      <c r="AE441" s="2">
        <v>0</v>
      </c>
      <c r="AF441" s="2">
        <v>0</v>
      </c>
      <c r="AG441" s="20">
        <f t="shared" si="6"/>
        <v>-500</v>
      </c>
    </row>
    <row r="442" spans="1:33" x14ac:dyDescent="0.25">
      <c r="A442">
        <v>441</v>
      </c>
      <c r="B442" s="2">
        <v>3</v>
      </c>
      <c r="C442" s="2">
        <v>12</v>
      </c>
      <c r="D442" s="2">
        <v>2</v>
      </c>
      <c r="E442" s="2">
        <v>1</v>
      </c>
      <c r="F442" s="2">
        <v>0</v>
      </c>
      <c r="G442" s="2">
        <v>0</v>
      </c>
      <c r="H442" s="2">
        <v>0</v>
      </c>
      <c r="I442" s="2">
        <v>0</v>
      </c>
      <c r="J442" s="2">
        <v>0</v>
      </c>
      <c r="K442" s="2">
        <v>1884</v>
      </c>
      <c r="L442" s="2">
        <v>0</v>
      </c>
      <c r="M442" s="2">
        <v>4</v>
      </c>
      <c r="N442" s="2">
        <v>4</v>
      </c>
      <c r="O442" s="2">
        <v>0</v>
      </c>
      <c r="P442" s="2">
        <v>1</v>
      </c>
      <c r="Q442" s="2">
        <v>0</v>
      </c>
      <c r="R442" s="2">
        <v>0</v>
      </c>
      <c r="S442" s="2">
        <v>0</v>
      </c>
      <c r="T442" s="2">
        <v>4</v>
      </c>
      <c r="U442" s="2">
        <v>0</v>
      </c>
      <c r="V442" s="2">
        <v>0</v>
      </c>
      <c r="W442" s="2">
        <v>39</v>
      </c>
      <c r="X442" s="2">
        <v>0</v>
      </c>
      <c r="Y442" s="2">
        <v>0</v>
      </c>
      <c r="Z442" s="2">
        <v>1</v>
      </c>
      <c r="AA442" s="2">
        <v>1</v>
      </c>
      <c r="AB442" s="2">
        <v>3</v>
      </c>
      <c r="AC442" s="2">
        <v>1</v>
      </c>
      <c r="AD442" s="2">
        <v>1</v>
      </c>
      <c r="AE442" s="2">
        <v>0</v>
      </c>
      <c r="AF442" s="2">
        <v>1</v>
      </c>
      <c r="AG442" s="20">
        <f t="shared" si="6"/>
        <v>100</v>
      </c>
    </row>
    <row r="443" spans="1:33" x14ac:dyDescent="0.25">
      <c r="A443">
        <v>442</v>
      </c>
      <c r="B443" s="2">
        <v>0</v>
      </c>
      <c r="C443" s="2">
        <v>12</v>
      </c>
      <c r="D443" s="2">
        <v>2</v>
      </c>
      <c r="E443" s="2">
        <v>0</v>
      </c>
      <c r="F443" s="2">
        <v>0</v>
      </c>
      <c r="G443" s="2">
        <v>1</v>
      </c>
      <c r="H443" s="2">
        <v>0</v>
      </c>
      <c r="I443" s="2">
        <v>0</v>
      </c>
      <c r="J443" s="2">
        <v>0</v>
      </c>
      <c r="K443" s="2">
        <v>1620</v>
      </c>
      <c r="L443" s="2">
        <v>0</v>
      </c>
      <c r="M443" s="2">
        <v>2</v>
      </c>
      <c r="N443" s="2">
        <v>2</v>
      </c>
      <c r="O443" s="2">
        <v>0</v>
      </c>
      <c r="P443" s="2">
        <v>0</v>
      </c>
      <c r="Q443" s="2">
        <v>0</v>
      </c>
      <c r="R443" s="2">
        <v>1</v>
      </c>
      <c r="S443" s="2">
        <v>0</v>
      </c>
      <c r="T443" s="2">
        <v>3</v>
      </c>
      <c r="U443" s="2">
        <v>0</v>
      </c>
      <c r="V443" s="2">
        <v>0</v>
      </c>
      <c r="W443" s="2">
        <v>30</v>
      </c>
      <c r="X443" s="2">
        <v>0</v>
      </c>
      <c r="Y443" s="2">
        <v>0</v>
      </c>
      <c r="Z443" s="2">
        <v>1</v>
      </c>
      <c r="AA443" s="2">
        <v>1</v>
      </c>
      <c r="AB443" s="2">
        <v>2</v>
      </c>
      <c r="AC443" s="2">
        <v>1</v>
      </c>
      <c r="AD443" s="2">
        <v>0</v>
      </c>
      <c r="AE443" s="2">
        <v>0</v>
      </c>
      <c r="AF443" s="2">
        <v>1</v>
      </c>
      <c r="AG443" s="20">
        <f t="shared" si="6"/>
        <v>100</v>
      </c>
    </row>
    <row r="444" spans="1:33" x14ac:dyDescent="0.25">
      <c r="A444">
        <v>443</v>
      </c>
      <c r="B444" s="2">
        <v>1</v>
      </c>
      <c r="C444" s="2">
        <v>20</v>
      </c>
      <c r="D444" s="2">
        <v>3</v>
      </c>
      <c r="E444" s="2">
        <v>0</v>
      </c>
      <c r="F444" s="2">
        <v>0</v>
      </c>
      <c r="G444" s="2">
        <v>0</v>
      </c>
      <c r="H444" s="2">
        <v>0</v>
      </c>
      <c r="I444" s="2">
        <v>0</v>
      </c>
      <c r="J444" s="2">
        <v>0</v>
      </c>
      <c r="K444" s="2">
        <v>2629</v>
      </c>
      <c r="L444" s="2">
        <v>0</v>
      </c>
      <c r="M444" s="2">
        <v>2</v>
      </c>
      <c r="N444" s="2">
        <v>2</v>
      </c>
      <c r="O444" s="2">
        <v>0</v>
      </c>
      <c r="P444" s="2">
        <v>1</v>
      </c>
      <c r="Q444" s="2">
        <v>0</v>
      </c>
      <c r="R444" s="2">
        <v>0</v>
      </c>
      <c r="S444" s="2">
        <v>0</v>
      </c>
      <c r="T444" s="2">
        <v>3</v>
      </c>
      <c r="U444" s="2">
        <v>0</v>
      </c>
      <c r="V444" s="2">
        <v>0</v>
      </c>
      <c r="W444" s="2">
        <v>29</v>
      </c>
      <c r="X444" s="2">
        <v>1</v>
      </c>
      <c r="Y444" s="2">
        <v>0</v>
      </c>
      <c r="Z444" s="2">
        <v>1</v>
      </c>
      <c r="AA444" s="2">
        <v>2</v>
      </c>
      <c r="AB444" s="2">
        <v>2</v>
      </c>
      <c r="AC444" s="2">
        <v>1</v>
      </c>
      <c r="AD444" s="2">
        <v>1</v>
      </c>
      <c r="AE444" s="2">
        <v>0</v>
      </c>
      <c r="AF444" s="2">
        <v>1</v>
      </c>
      <c r="AG444" s="20">
        <f t="shared" si="6"/>
        <v>100</v>
      </c>
    </row>
    <row r="445" spans="1:33" x14ac:dyDescent="0.25">
      <c r="A445">
        <v>444</v>
      </c>
      <c r="B445" s="2">
        <v>3</v>
      </c>
      <c r="C445" s="2">
        <v>12</v>
      </c>
      <c r="D445" s="2">
        <v>2</v>
      </c>
      <c r="E445" s="2">
        <v>0</v>
      </c>
      <c r="F445" s="2">
        <v>0</v>
      </c>
      <c r="G445" s="2">
        <v>0</v>
      </c>
      <c r="H445" s="2">
        <v>0</v>
      </c>
      <c r="I445" s="2">
        <v>1</v>
      </c>
      <c r="J445" s="2">
        <v>0</v>
      </c>
      <c r="K445" s="2">
        <v>719</v>
      </c>
      <c r="L445" s="2">
        <v>0</v>
      </c>
      <c r="M445" s="2">
        <v>4</v>
      </c>
      <c r="N445" s="2">
        <v>4</v>
      </c>
      <c r="O445" s="2">
        <v>0</v>
      </c>
      <c r="P445" s="2">
        <v>1</v>
      </c>
      <c r="Q445" s="2">
        <v>0</v>
      </c>
      <c r="R445" s="2">
        <v>0</v>
      </c>
      <c r="S445" s="2">
        <v>0</v>
      </c>
      <c r="T445" s="2">
        <v>4</v>
      </c>
      <c r="U445" s="2">
        <v>0</v>
      </c>
      <c r="V445" s="2">
        <v>0</v>
      </c>
      <c r="W445" s="2">
        <v>41</v>
      </c>
      <c r="X445" s="2">
        <v>1</v>
      </c>
      <c r="Y445" s="2">
        <v>0</v>
      </c>
      <c r="Z445" s="2">
        <v>1</v>
      </c>
      <c r="AA445" s="2">
        <v>1</v>
      </c>
      <c r="AB445" s="2">
        <v>1</v>
      </c>
      <c r="AC445" s="2">
        <v>2</v>
      </c>
      <c r="AD445" s="2">
        <v>0</v>
      </c>
      <c r="AE445" s="2">
        <v>0</v>
      </c>
      <c r="AF445" s="2">
        <v>0</v>
      </c>
      <c r="AG445" s="20">
        <f t="shared" si="6"/>
        <v>-500</v>
      </c>
    </row>
    <row r="446" spans="1:33" x14ac:dyDescent="0.25">
      <c r="A446">
        <v>445</v>
      </c>
      <c r="B446" s="2">
        <v>1</v>
      </c>
      <c r="C446" s="2">
        <v>48</v>
      </c>
      <c r="D446" s="2">
        <v>4</v>
      </c>
      <c r="E446" s="2">
        <v>0</v>
      </c>
      <c r="F446" s="2">
        <v>0</v>
      </c>
      <c r="G446" s="2">
        <v>1</v>
      </c>
      <c r="H446" s="2">
        <v>0</v>
      </c>
      <c r="I446" s="2">
        <v>0</v>
      </c>
      <c r="J446" s="2">
        <v>0</v>
      </c>
      <c r="K446" s="2">
        <v>5096</v>
      </c>
      <c r="L446" s="2">
        <v>0</v>
      </c>
      <c r="M446" s="2">
        <v>2</v>
      </c>
      <c r="N446" s="2">
        <v>2</v>
      </c>
      <c r="O446" s="2">
        <v>0</v>
      </c>
      <c r="P446" s="2">
        <v>0</v>
      </c>
      <c r="Q446" s="2">
        <v>0</v>
      </c>
      <c r="R446" s="2">
        <v>0</v>
      </c>
      <c r="S446" s="2">
        <v>0</v>
      </c>
      <c r="T446" s="2">
        <v>3</v>
      </c>
      <c r="U446" s="2">
        <v>0</v>
      </c>
      <c r="V446" s="2">
        <v>0</v>
      </c>
      <c r="W446" s="2">
        <v>30</v>
      </c>
      <c r="X446" s="2">
        <v>0</v>
      </c>
      <c r="Y446" s="2">
        <v>0</v>
      </c>
      <c r="Z446" s="2">
        <v>1</v>
      </c>
      <c r="AA446" s="2">
        <v>1</v>
      </c>
      <c r="AB446" s="2">
        <v>3</v>
      </c>
      <c r="AC446" s="2">
        <v>1</v>
      </c>
      <c r="AD446" s="2">
        <v>1</v>
      </c>
      <c r="AE446" s="2">
        <v>0</v>
      </c>
      <c r="AF446" s="2">
        <v>0</v>
      </c>
      <c r="AG446" s="20">
        <f t="shared" si="6"/>
        <v>-500</v>
      </c>
    </row>
    <row r="447" spans="1:33" x14ac:dyDescent="0.25">
      <c r="A447">
        <v>446</v>
      </c>
      <c r="B447" s="2">
        <v>3</v>
      </c>
      <c r="C447" s="2">
        <v>9</v>
      </c>
      <c r="D447" s="2">
        <v>4</v>
      </c>
      <c r="E447" s="2">
        <v>0</v>
      </c>
      <c r="F447" s="2">
        <v>0</v>
      </c>
      <c r="G447" s="2">
        <v>0</v>
      </c>
      <c r="H447" s="2">
        <v>0</v>
      </c>
      <c r="I447" s="2">
        <v>1</v>
      </c>
      <c r="J447" s="2">
        <v>0</v>
      </c>
      <c r="K447" s="2">
        <v>1244</v>
      </c>
      <c r="L447" s="2">
        <v>4</v>
      </c>
      <c r="M447" s="2">
        <v>4</v>
      </c>
      <c r="N447" s="2">
        <v>4</v>
      </c>
      <c r="O447" s="2">
        <v>0</v>
      </c>
      <c r="P447" s="2">
        <v>0</v>
      </c>
      <c r="Q447" s="2">
        <v>0</v>
      </c>
      <c r="R447" s="2">
        <v>0</v>
      </c>
      <c r="S447" s="2">
        <v>0</v>
      </c>
      <c r="T447" s="2">
        <v>4</v>
      </c>
      <c r="U447" s="2">
        <v>0</v>
      </c>
      <c r="V447" s="2">
        <v>0</v>
      </c>
      <c r="W447" s="2">
        <v>41</v>
      </c>
      <c r="X447" s="2">
        <v>0</v>
      </c>
      <c r="Y447" s="2">
        <v>1</v>
      </c>
      <c r="Z447" s="2">
        <v>0</v>
      </c>
      <c r="AA447" s="2">
        <v>2</v>
      </c>
      <c r="AB447" s="2">
        <v>1</v>
      </c>
      <c r="AC447" s="2">
        <v>1</v>
      </c>
      <c r="AD447" s="2">
        <v>0</v>
      </c>
      <c r="AE447" s="2">
        <v>0</v>
      </c>
      <c r="AF447" s="2">
        <v>1</v>
      </c>
      <c r="AG447" s="20">
        <f t="shared" si="6"/>
        <v>100</v>
      </c>
    </row>
    <row r="448" spans="1:33" x14ac:dyDescent="0.25">
      <c r="A448">
        <v>447</v>
      </c>
      <c r="B448" s="2">
        <v>0</v>
      </c>
      <c r="C448" s="2">
        <v>36</v>
      </c>
      <c r="D448" s="2">
        <v>2</v>
      </c>
      <c r="E448" s="2">
        <v>1</v>
      </c>
      <c r="F448" s="2">
        <v>0</v>
      </c>
      <c r="G448" s="2">
        <v>0</v>
      </c>
      <c r="H448" s="2">
        <v>0</v>
      </c>
      <c r="I448" s="2">
        <v>0</v>
      </c>
      <c r="J448" s="2">
        <v>0</v>
      </c>
      <c r="K448" s="2">
        <v>1842</v>
      </c>
      <c r="L448" s="2">
        <v>0</v>
      </c>
      <c r="M448" s="2">
        <v>1</v>
      </c>
      <c r="N448" s="2">
        <v>4</v>
      </c>
      <c r="O448" s="2">
        <v>0</v>
      </c>
      <c r="P448" s="2">
        <v>0</v>
      </c>
      <c r="Q448" s="2">
        <v>0</v>
      </c>
      <c r="R448" s="2">
        <v>0</v>
      </c>
      <c r="S448" s="2">
        <v>0</v>
      </c>
      <c r="T448" s="2">
        <v>4</v>
      </c>
      <c r="U448" s="2">
        <v>0</v>
      </c>
      <c r="V448" s="2">
        <v>0</v>
      </c>
      <c r="W448" s="2">
        <v>34</v>
      </c>
      <c r="X448" s="2">
        <v>0</v>
      </c>
      <c r="Y448" s="2">
        <v>0</v>
      </c>
      <c r="Z448" s="2">
        <v>1</v>
      </c>
      <c r="AA448" s="2">
        <v>1</v>
      </c>
      <c r="AB448" s="2">
        <v>2</v>
      </c>
      <c r="AC448" s="2">
        <v>1</v>
      </c>
      <c r="AD448" s="2">
        <v>1</v>
      </c>
      <c r="AE448" s="2">
        <v>0</v>
      </c>
      <c r="AF448" s="2">
        <v>0</v>
      </c>
      <c r="AG448" s="20">
        <f t="shared" si="6"/>
        <v>-500</v>
      </c>
    </row>
    <row r="449" spans="1:33" x14ac:dyDescent="0.25">
      <c r="A449">
        <v>448</v>
      </c>
      <c r="B449" s="2">
        <v>1</v>
      </c>
      <c r="C449" s="2">
        <v>7</v>
      </c>
      <c r="D449" s="2">
        <v>2</v>
      </c>
      <c r="E449" s="2">
        <v>0</v>
      </c>
      <c r="F449" s="2">
        <v>0</v>
      </c>
      <c r="G449" s="2">
        <v>0</v>
      </c>
      <c r="H449" s="2">
        <v>1</v>
      </c>
      <c r="I449" s="2">
        <v>0</v>
      </c>
      <c r="J449" s="2">
        <v>0</v>
      </c>
      <c r="K449" s="2">
        <v>2576</v>
      </c>
      <c r="L449" s="2">
        <v>0</v>
      </c>
      <c r="M449" s="2">
        <v>2</v>
      </c>
      <c r="N449" s="2">
        <v>2</v>
      </c>
      <c r="O449" s="2">
        <v>0</v>
      </c>
      <c r="P449" s="2">
        <v>1</v>
      </c>
      <c r="Q449" s="2">
        <v>0</v>
      </c>
      <c r="R449" s="2">
        <v>0</v>
      </c>
      <c r="S449" s="2">
        <v>1</v>
      </c>
      <c r="T449" s="2">
        <v>2</v>
      </c>
      <c r="U449" s="2">
        <v>1</v>
      </c>
      <c r="V449" s="2">
        <v>0</v>
      </c>
      <c r="W449" s="2">
        <v>35</v>
      </c>
      <c r="X449" s="2">
        <v>0</v>
      </c>
      <c r="Y449" s="2">
        <v>0</v>
      </c>
      <c r="Z449" s="2">
        <v>1</v>
      </c>
      <c r="AA449" s="2">
        <v>1</v>
      </c>
      <c r="AB449" s="2">
        <v>2</v>
      </c>
      <c r="AC449" s="2">
        <v>1</v>
      </c>
      <c r="AD449" s="2">
        <v>0</v>
      </c>
      <c r="AE449" s="2">
        <v>0</v>
      </c>
      <c r="AF449" s="2">
        <v>1</v>
      </c>
      <c r="AG449" s="20">
        <f t="shared" si="6"/>
        <v>100</v>
      </c>
    </row>
    <row r="450" spans="1:33" x14ac:dyDescent="0.25">
      <c r="A450">
        <v>449</v>
      </c>
      <c r="B450" s="2">
        <v>2</v>
      </c>
      <c r="C450" s="2">
        <v>12</v>
      </c>
      <c r="D450" s="2">
        <v>2</v>
      </c>
      <c r="E450" s="2">
        <v>0</v>
      </c>
      <c r="F450" s="2">
        <v>0</v>
      </c>
      <c r="G450" s="2">
        <v>1</v>
      </c>
      <c r="H450" s="2">
        <v>0</v>
      </c>
      <c r="I450" s="2">
        <v>0</v>
      </c>
      <c r="J450" s="2">
        <v>0</v>
      </c>
      <c r="K450" s="2">
        <v>1424</v>
      </c>
      <c r="L450" s="2">
        <v>4</v>
      </c>
      <c r="M450" s="2">
        <v>4</v>
      </c>
      <c r="N450" s="2">
        <v>3</v>
      </c>
      <c r="O450" s="2">
        <v>0</v>
      </c>
      <c r="P450" s="2">
        <v>0</v>
      </c>
      <c r="Q450" s="2">
        <v>0</v>
      </c>
      <c r="R450" s="2">
        <v>0</v>
      </c>
      <c r="S450" s="2">
        <v>0</v>
      </c>
      <c r="T450" s="2">
        <v>4</v>
      </c>
      <c r="U450" s="2">
        <v>1</v>
      </c>
      <c r="V450" s="2">
        <v>0</v>
      </c>
      <c r="W450" s="2">
        <v>55</v>
      </c>
      <c r="X450" s="2">
        <v>0</v>
      </c>
      <c r="Y450" s="2">
        <v>0</v>
      </c>
      <c r="Z450" s="2">
        <v>1</v>
      </c>
      <c r="AA450" s="2">
        <v>1</v>
      </c>
      <c r="AB450" s="2">
        <v>3</v>
      </c>
      <c r="AC450" s="2">
        <v>1</v>
      </c>
      <c r="AD450" s="2">
        <v>1</v>
      </c>
      <c r="AE450" s="2">
        <v>0</v>
      </c>
      <c r="AF450" s="2">
        <v>1</v>
      </c>
      <c r="AG450" s="20">
        <f t="shared" si="6"/>
        <v>100</v>
      </c>
    </row>
    <row r="451" spans="1:33" x14ac:dyDescent="0.25">
      <c r="A451">
        <v>450</v>
      </c>
      <c r="B451" s="2">
        <v>1</v>
      </c>
      <c r="C451" s="2">
        <v>15</v>
      </c>
      <c r="D451" s="2">
        <v>3</v>
      </c>
      <c r="E451" s="2">
        <v>0</v>
      </c>
      <c r="F451" s="2">
        <v>0</v>
      </c>
      <c r="G451" s="2">
        <v>0</v>
      </c>
      <c r="H451" s="2">
        <v>0</v>
      </c>
      <c r="I451" s="2">
        <v>0</v>
      </c>
      <c r="J451" s="2">
        <v>0</v>
      </c>
      <c r="K451" s="2">
        <v>1512</v>
      </c>
      <c r="L451" s="2">
        <v>3</v>
      </c>
      <c r="M451" s="2">
        <v>2</v>
      </c>
      <c r="N451" s="2">
        <v>3</v>
      </c>
      <c r="O451" s="2">
        <v>0</v>
      </c>
      <c r="P451" s="2">
        <v>0</v>
      </c>
      <c r="Q451" s="2">
        <v>1</v>
      </c>
      <c r="R451" s="2">
        <v>0</v>
      </c>
      <c r="S451" s="2">
        <v>0</v>
      </c>
      <c r="T451" s="2">
        <v>3</v>
      </c>
      <c r="U451" s="2">
        <v>0</v>
      </c>
      <c r="V451" s="2">
        <v>0</v>
      </c>
      <c r="W451" s="2">
        <v>61</v>
      </c>
      <c r="X451" s="2">
        <v>1</v>
      </c>
      <c r="Y451" s="2">
        <v>0</v>
      </c>
      <c r="Z451" s="2">
        <v>1</v>
      </c>
      <c r="AA451" s="2">
        <v>2</v>
      </c>
      <c r="AB451" s="2">
        <v>2</v>
      </c>
      <c r="AC451" s="2">
        <v>1</v>
      </c>
      <c r="AD451" s="2">
        <v>0</v>
      </c>
      <c r="AE451" s="2">
        <v>0</v>
      </c>
      <c r="AF451" s="2">
        <v>0</v>
      </c>
      <c r="AG451" s="20">
        <f t="shared" si="6"/>
        <v>-500</v>
      </c>
    </row>
    <row r="452" spans="1:33" x14ac:dyDescent="0.25">
      <c r="A452">
        <v>451</v>
      </c>
      <c r="B452" s="2">
        <v>3</v>
      </c>
      <c r="C452" s="2">
        <v>36</v>
      </c>
      <c r="D452" s="2">
        <v>4</v>
      </c>
      <c r="E452" s="2">
        <v>0</v>
      </c>
      <c r="F452" s="2">
        <v>1</v>
      </c>
      <c r="G452" s="2">
        <v>0</v>
      </c>
      <c r="H452" s="2">
        <v>0</v>
      </c>
      <c r="I452" s="2">
        <v>0</v>
      </c>
      <c r="J452" s="2">
        <v>0</v>
      </c>
      <c r="K452" s="2">
        <v>11054</v>
      </c>
      <c r="L452" s="2">
        <v>4</v>
      </c>
      <c r="M452" s="2">
        <v>2</v>
      </c>
      <c r="N452" s="2">
        <v>4</v>
      </c>
      <c r="O452" s="2">
        <v>0</v>
      </c>
      <c r="P452" s="2">
        <v>1</v>
      </c>
      <c r="Q452" s="2">
        <v>0</v>
      </c>
      <c r="R452" s="2">
        <v>0</v>
      </c>
      <c r="S452" s="2">
        <v>0</v>
      </c>
      <c r="T452" s="2">
        <v>2</v>
      </c>
      <c r="U452" s="2">
        <v>0</v>
      </c>
      <c r="V452" s="2">
        <v>0</v>
      </c>
      <c r="W452" s="2">
        <v>30</v>
      </c>
      <c r="X452" s="2">
        <v>0</v>
      </c>
      <c r="Y452" s="2">
        <v>0</v>
      </c>
      <c r="Z452" s="2">
        <v>1</v>
      </c>
      <c r="AA452" s="2">
        <v>1</v>
      </c>
      <c r="AB452" s="2">
        <v>3</v>
      </c>
      <c r="AC452" s="2">
        <v>1</v>
      </c>
      <c r="AD452" s="2">
        <v>1</v>
      </c>
      <c r="AE452" s="2">
        <v>0</v>
      </c>
      <c r="AF452" s="2">
        <v>1</v>
      </c>
      <c r="AG452" s="20">
        <f t="shared" ref="AG452:AG515" si="7">IF(AF452=1,100,-500)</f>
        <v>100</v>
      </c>
    </row>
    <row r="453" spans="1:33" x14ac:dyDescent="0.25">
      <c r="A453">
        <v>452</v>
      </c>
      <c r="B453" s="2">
        <v>3</v>
      </c>
      <c r="C453" s="2">
        <v>6</v>
      </c>
      <c r="D453" s="2">
        <v>2</v>
      </c>
      <c r="E453" s="2">
        <v>0</v>
      </c>
      <c r="F453" s="2">
        <v>0</v>
      </c>
      <c r="G453" s="2">
        <v>0</v>
      </c>
      <c r="H453" s="2">
        <v>1</v>
      </c>
      <c r="I453" s="2">
        <v>0</v>
      </c>
      <c r="J453" s="2">
        <v>0</v>
      </c>
      <c r="K453" s="2">
        <v>518</v>
      </c>
      <c r="L453" s="2">
        <v>0</v>
      </c>
      <c r="M453" s="2">
        <v>2</v>
      </c>
      <c r="N453" s="2">
        <v>3</v>
      </c>
      <c r="O453" s="2">
        <v>0</v>
      </c>
      <c r="P453" s="2">
        <v>0</v>
      </c>
      <c r="Q453" s="2">
        <v>0</v>
      </c>
      <c r="R453" s="2">
        <v>0</v>
      </c>
      <c r="S453" s="2">
        <v>0</v>
      </c>
      <c r="T453" s="2">
        <v>1</v>
      </c>
      <c r="U453" s="2">
        <v>1</v>
      </c>
      <c r="V453" s="2">
        <v>0</v>
      </c>
      <c r="W453" s="2">
        <v>29</v>
      </c>
      <c r="X453" s="2">
        <v>0</v>
      </c>
      <c r="Y453" s="2">
        <v>0</v>
      </c>
      <c r="Z453" s="2">
        <v>1</v>
      </c>
      <c r="AA453" s="2">
        <v>1</v>
      </c>
      <c r="AB453" s="2">
        <v>2</v>
      </c>
      <c r="AC453" s="2">
        <v>1</v>
      </c>
      <c r="AD453" s="2">
        <v>0</v>
      </c>
      <c r="AE453" s="2">
        <v>0</v>
      </c>
      <c r="AF453" s="2">
        <v>1</v>
      </c>
      <c r="AG453" s="20">
        <f t="shared" si="7"/>
        <v>100</v>
      </c>
    </row>
    <row r="454" spans="1:33" x14ac:dyDescent="0.25">
      <c r="A454">
        <v>453</v>
      </c>
      <c r="B454" s="2">
        <v>3</v>
      </c>
      <c r="C454" s="2">
        <v>12</v>
      </c>
      <c r="D454" s="2">
        <v>0</v>
      </c>
      <c r="E454" s="2">
        <v>0</v>
      </c>
      <c r="F454" s="2">
        <v>0</v>
      </c>
      <c r="G454" s="2">
        <v>1</v>
      </c>
      <c r="H454" s="2">
        <v>0</v>
      </c>
      <c r="I454" s="2">
        <v>0</v>
      </c>
      <c r="J454" s="2">
        <v>0</v>
      </c>
      <c r="K454" s="2">
        <v>2759</v>
      </c>
      <c r="L454" s="2">
        <v>0</v>
      </c>
      <c r="M454" s="2">
        <v>4</v>
      </c>
      <c r="N454" s="2">
        <v>2</v>
      </c>
      <c r="O454" s="2">
        <v>0</v>
      </c>
      <c r="P454" s="2">
        <v>1</v>
      </c>
      <c r="Q454" s="2">
        <v>0</v>
      </c>
      <c r="R454" s="2">
        <v>0</v>
      </c>
      <c r="S454" s="2">
        <v>0</v>
      </c>
      <c r="T454" s="2">
        <v>4</v>
      </c>
      <c r="U454" s="2">
        <v>0</v>
      </c>
      <c r="V454" s="2">
        <v>0</v>
      </c>
      <c r="W454" s="2">
        <v>34</v>
      </c>
      <c r="X454" s="2">
        <v>0</v>
      </c>
      <c r="Y454" s="2">
        <v>0</v>
      </c>
      <c r="Z454" s="2">
        <v>1</v>
      </c>
      <c r="AA454" s="2">
        <v>2</v>
      </c>
      <c r="AB454" s="2">
        <v>2</v>
      </c>
      <c r="AC454" s="2">
        <v>1</v>
      </c>
      <c r="AD454" s="2">
        <v>0</v>
      </c>
      <c r="AE454" s="2">
        <v>0</v>
      </c>
      <c r="AF454" s="2">
        <v>1</v>
      </c>
      <c r="AG454" s="20">
        <f t="shared" si="7"/>
        <v>100</v>
      </c>
    </row>
    <row r="455" spans="1:33" x14ac:dyDescent="0.25">
      <c r="A455">
        <v>454</v>
      </c>
      <c r="B455" s="2">
        <v>3</v>
      </c>
      <c r="C455" s="2">
        <v>24</v>
      </c>
      <c r="D455" s="2">
        <v>2</v>
      </c>
      <c r="E455" s="2">
        <v>0</v>
      </c>
      <c r="F455" s="2">
        <v>1</v>
      </c>
      <c r="G455" s="2">
        <v>0</v>
      </c>
      <c r="H455" s="2">
        <v>0</v>
      </c>
      <c r="I455" s="2">
        <v>0</v>
      </c>
      <c r="J455" s="2">
        <v>0</v>
      </c>
      <c r="K455" s="2">
        <v>2670</v>
      </c>
      <c r="L455" s="2">
        <v>0</v>
      </c>
      <c r="M455" s="2">
        <v>4</v>
      </c>
      <c r="N455" s="2">
        <v>4</v>
      </c>
      <c r="O455" s="2">
        <v>0</v>
      </c>
      <c r="P455" s="2">
        <v>1</v>
      </c>
      <c r="Q455" s="2">
        <v>0</v>
      </c>
      <c r="R455" s="2">
        <v>0</v>
      </c>
      <c r="S455" s="2">
        <v>0</v>
      </c>
      <c r="T455" s="2">
        <v>4</v>
      </c>
      <c r="U455" s="2">
        <v>0</v>
      </c>
      <c r="V455" s="2">
        <v>0</v>
      </c>
      <c r="W455" s="2">
        <v>35</v>
      </c>
      <c r="X455" s="2">
        <v>0</v>
      </c>
      <c r="Y455" s="2">
        <v>0</v>
      </c>
      <c r="Z455" s="2">
        <v>1</v>
      </c>
      <c r="AA455" s="2">
        <v>1</v>
      </c>
      <c r="AB455" s="2">
        <v>3</v>
      </c>
      <c r="AC455" s="2">
        <v>1</v>
      </c>
      <c r="AD455" s="2">
        <v>1</v>
      </c>
      <c r="AE455" s="2">
        <v>0</v>
      </c>
      <c r="AF455" s="2">
        <v>1</v>
      </c>
      <c r="AG455" s="20">
        <f t="shared" si="7"/>
        <v>100</v>
      </c>
    </row>
    <row r="456" spans="1:33" x14ac:dyDescent="0.25">
      <c r="A456">
        <v>455</v>
      </c>
      <c r="B456" s="2">
        <v>0</v>
      </c>
      <c r="C456" s="2">
        <v>24</v>
      </c>
      <c r="D456" s="2">
        <v>2</v>
      </c>
      <c r="E456" s="2">
        <v>1</v>
      </c>
      <c r="F456" s="2">
        <v>0</v>
      </c>
      <c r="G456" s="2">
        <v>0</v>
      </c>
      <c r="H456" s="2">
        <v>0</v>
      </c>
      <c r="I456" s="2">
        <v>0</v>
      </c>
      <c r="J456" s="2">
        <v>0</v>
      </c>
      <c r="K456" s="2">
        <v>4817</v>
      </c>
      <c r="L456" s="2">
        <v>0</v>
      </c>
      <c r="M456" s="2">
        <v>3</v>
      </c>
      <c r="N456" s="2">
        <v>2</v>
      </c>
      <c r="O456" s="2">
        <v>0</v>
      </c>
      <c r="P456" s="2">
        <v>1</v>
      </c>
      <c r="Q456" s="2">
        <v>0</v>
      </c>
      <c r="R456" s="2">
        <v>1</v>
      </c>
      <c r="S456" s="2">
        <v>0</v>
      </c>
      <c r="T456" s="2">
        <v>3</v>
      </c>
      <c r="U456" s="2">
        <v>0</v>
      </c>
      <c r="V456" s="2">
        <v>0</v>
      </c>
      <c r="W456" s="2">
        <v>31</v>
      </c>
      <c r="X456" s="2">
        <v>0</v>
      </c>
      <c r="Y456" s="2">
        <v>0</v>
      </c>
      <c r="Z456" s="2">
        <v>1</v>
      </c>
      <c r="AA456" s="2">
        <v>1</v>
      </c>
      <c r="AB456" s="2">
        <v>2</v>
      </c>
      <c r="AC456" s="2">
        <v>1</v>
      </c>
      <c r="AD456" s="2">
        <v>1</v>
      </c>
      <c r="AE456" s="2">
        <v>0</v>
      </c>
      <c r="AF456" s="2">
        <v>0</v>
      </c>
      <c r="AG456" s="20">
        <f t="shared" si="7"/>
        <v>-500</v>
      </c>
    </row>
    <row r="457" spans="1:33" x14ac:dyDescent="0.25">
      <c r="A457">
        <v>456</v>
      </c>
      <c r="B457" s="2">
        <v>3</v>
      </c>
      <c r="C457" s="2">
        <v>24</v>
      </c>
      <c r="D457" s="2">
        <v>2</v>
      </c>
      <c r="E457" s="2">
        <v>0</v>
      </c>
      <c r="F457" s="2">
        <v>1</v>
      </c>
      <c r="G457" s="2">
        <v>0</v>
      </c>
      <c r="H457" s="2">
        <v>0</v>
      </c>
      <c r="I457" s="2">
        <v>0</v>
      </c>
      <c r="J457" s="2">
        <v>0</v>
      </c>
      <c r="K457" s="2">
        <v>2679</v>
      </c>
      <c r="L457" s="2">
        <v>0</v>
      </c>
      <c r="M457" s="2">
        <v>1</v>
      </c>
      <c r="N457" s="2">
        <v>4</v>
      </c>
      <c r="O457" s="2">
        <v>0</v>
      </c>
      <c r="P457" s="2">
        <v>0</v>
      </c>
      <c r="Q457" s="2">
        <v>0</v>
      </c>
      <c r="R457" s="2">
        <v>0</v>
      </c>
      <c r="S457" s="2">
        <v>0</v>
      </c>
      <c r="T457" s="2">
        <v>1</v>
      </c>
      <c r="U457" s="2">
        <v>0</v>
      </c>
      <c r="V457" s="2">
        <v>1</v>
      </c>
      <c r="W457" s="2">
        <v>29</v>
      </c>
      <c r="X457" s="2">
        <v>0</v>
      </c>
      <c r="Y457" s="2">
        <v>0</v>
      </c>
      <c r="Z457" s="2">
        <v>1</v>
      </c>
      <c r="AA457" s="2">
        <v>1</v>
      </c>
      <c r="AB457" s="2">
        <v>3</v>
      </c>
      <c r="AC457" s="2">
        <v>1</v>
      </c>
      <c r="AD457" s="2">
        <v>1</v>
      </c>
      <c r="AE457" s="2">
        <v>0</v>
      </c>
      <c r="AF457" s="2">
        <v>1</v>
      </c>
      <c r="AG457" s="20">
        <f t="shared" si="7"/>
        <v>100</v>
      </c>
    </row>
    <row r="458" spans="1:33" x14ac:dyDescent="0.25">
      <c r="A458">
        <v>457</v>
      </c>
      <c r="B458" s="2">
        <v>0</v>
      </c>
      <c r="C458" s="2">
        <v>11</v>
      </c>
      <c r="D458" s="2">
        <v>4</v>
      </c>
      <c r="E458" s="2">
        <v>1</v>
      </c>
      <c r="F458" s="2">
        <v>0</v>
      </c>
      <c r="G458" s="2">
        <v>0</v>
      </c>
      <c r="H458" s="2">
        <v>0</v>
      </c>
      <c r="I458" s="2">
        <v>0</v>
      </c>
      <c r="J458" s="2">
        <v>0</v>
      </c>
      <c r="K458" s="2">
        <v>3905</v>
      </c>
      <c r="L458" s="2">
        <v>0</v>
      </c>
      <c r="M458" s="2">
        <v>2</v>
      </c>
      <c r="N458" s="2">
        <v>2</v>
      </c>
      <c r="O458" s="2">
        <v>0</v>
      </c>
      <c r="P458" s="2">
        <v>1</v>
      </c>
      <c r="Q458" s="2">
        <v>0</v>
      </c>
      <c r="R458" s="2">
        <v>0</v>
      </c>
      <c r="S458" s="2">
        <v>0</v>
      </c>
      <c r="T458" s="2">
        <v>2</v>
      </c>
      <c r="U458" s="2">
        <v>1</v>
      </c>
      <c r="V458" s="2">
        <v>0</v>
      </c>
      <c r="W458" s="2">
        <v>36</v>
      </c>
      <c r="X458" s="2">
        <v>0</v>
      </c>
      <c r="Y458" s="2">
        <v>1</v>
      </c>
      <c r="Z458" s="2">
        <v>0</v>
      </c>
      <c r="AA458" s="2">
        <v>2</v>
      </c>
      <c r="AB458" s="2">
        <v>2</v>
      </c>
      <c r="AC458" s="2">
        <v>2</v>
      </c>
      <c r="AD458" s="2">
        <v>0</v>
      </c>
      <c r="AE458" s="2">
        <v>0</v>
      </c>
      <c r="AF458" s="2">
        <v>1</v>
      </c>
      <c r="AG458" s="20">
        <f t="shared" si="7"/>
        <v>100</v>
      </c>
    </row>
    <row r="459" spans="1:33" x14ac:dyDescent="0.25">
      <c r="A459">
        <v>458</v>
      </c>
      <c r="B459" s="2">
        <v>0</v>
      </c>
      <c r="C459" s="2">
        <v>12</v>
      </c>
      <c r="D459" s="2">
        <v>2</v>
      </c>
      <c r="E459" s="2">
        <v>0</v>
      </c>
      <c r="F459" s="2">
        <v>1</v>
      </c>
      <c r="G459" s="2">
        <v>0</v>
      </c>
      <c r="H459" s="2">
        <v>0</v>
      </c>
      <c r="I459" s="2">
        <v>0</v>
      </c>
      <c r="J459" s="2">
        <v>0</v>
      </c>
      <c r="K459" s="2">
        <v>3386</v>
      </c>
      <c r="L459" s="2">
        <v>0</v>
      </c>
      <c r="M459" s="2">
        <v>4</v>
      </c>
      <c r="N459" s="2">
        <v>3</v>
      </c>
      <c r="O459" s="2">
        <v>0</v>
      </c>
      <c r="P459" s="2">
        <v>1</v>
      </c>
      <c r="Q459" s="2">
        <v>0</v>
      </c>
      <c r="R459" s="2">
        <v>0</v>
      </c>
      <c r="S459" s="2">
        <v>0</v>
      </c>
      <c r="T459" s="2">
        <v>4</v>
      </c>
      <c r="U459" s="2">
        <v>0</v>
      </c>
      <c r="V459" s="2">
        <v>1</v>
      </c>
      <c r="W459" s="2">
        <v>35</v>
      </c>
      <c r="X459" s="2">
        <v>0</v>
      </c>
      <c r="Y459" s="2">
        <v>0</v>
      </c>
      <c r="Z459" s="2">
        <v>0</v>
      </c>
      <c r="AA459" s="2">
        <v>1</v>
      </c>
      <c r="AB459" s="2">
        <v>2</v>
      </c>
      <c r="AC459" s="2">
        <v>1</v>
      </c>
      <c r="AD459" s="2">
        <v>1</v>
      </c>
      <c r="AE459" s="2">
        <v>0</v>
      </c>
      <c r="AF459" s="2">
        <v>0</v>
      </c>
      <c r="AG459" s="20">
        <f t="shared" si="7"/>
        <v>-500</v>
      </c>
    </row>
    <row r="460" spans="1:33" x14ac:dyDescent="0.25">
      <c r="A460">
        <v>459</v>
      </c>
      <c r="B460" s="2">
        <v>0</v>
      </c>
      <c r="C460" s="2">
        <v>6</v>
      </c>
      <c r="D460" s="2">
        <v>2</v>
      </c>
      <c r="E460" s="2">
        <v>0</v>
      </c>
      <c r="F460" s="2">
        <v>0</v>
      </c>
      <c r="G460" s="2">
        <v>0</v>
      </c>
      <c r="H460" s="2">
        <v>0</v>
      </c>
      <c r="I460" s="2">
        <v>0</v>
      </c>
      <c r="J460" s="2">
        <v>0</v>
      </c>
      <c r="K460" s="2">
        <v>343</v>
      </c>
      <c r="L460" s="2">
        <v>0</v>
      </c>
      <c r="M460" s="2">
        <v>1</v>
      </c>
      <c r="N460" s="2">
        <v>4</v>
      </c>
      <c r="O460" s="2">
        <v>0</v>
      </c>
      <c r="P460" s="2">
        <v>0</v>
      </c>
      <c r="Q460" s="2">
        <v>0</v>
      </c>
      <c r="R460" s="2">
        <v>0</v>
      </c>
      <c r="S460" s="2">
        <v>0</v>
      </c>
      <c r="T460" s="2">
        <v>1</v>
      </c>
      <c r="U460" s="2">
        <v>1</v>
      </c>
      <c r="V460" s="2">
        <v>0</v>
      </c>
      <c r="W460" s="2">
        <v>27</v>
      </c>
      <c r="X460" s="2">
        <v>0</v>
      </c>
      <c r="Y460" s="2">
        <v>0</v>
      </c>
      <c r="Z460" s="2">
        <v>1</v>
      </c>
      <c r="AA460" s="2">
        <v>1</v>
      </c>
      <c r="AB460" s="2">
        <v>2</v>
      </c>
      <c r="AC460" s="2">
        <v>1</v>
      </c>
      <c r="AD460" s="2">
        <v>0</v>
      </c>
      <c r="AE460" s="2">
        <v>0</v>
      </c>
      <c r="AF460" s="2">
        <v>1</v>
      </c>
      <c r="AG460" s="20">
        <f t="shared" si="7"/>
        <v>100</v>
      </c>
    </row>
    <row r="461" spans="1:33" x14ac:dyDescent="0.25">
      <c r="A461">
        <v>460</v>
      </c>
      <c r="B461" s="2">
        <v>3</v>
      </c>
      <c r="C461" s="2">
        <v>18</v>
      </c>
      <c r="D461" s="2">
        <v>2</v>
      </c>
      <c r="E461" s="2">
        <v>0</v>
      </c>
      <c r="F461" s="2">
        <v>0</v>
      </c>
      <c r="G461" s="2">
        <v>0</v>
      </c>
      <c r="H461" s="2">
        <v>1</v>
      </c>
      <c r="I461" s="2">
        <v>0</v>
      </c>
      <c r="J461" s="2">
        <v>0</v>
      </c>
      <c r="K461" s="2">
        <v>4594</v>
      </c>
      <c r="L461" s="2">
        <v>0</v>
      </c>
      <c r="M461" s="2">
        <v>1</v>
      </c>
      <c r="N461" s="2">
        <v>3</v>
      </c>
      <c r="O461" s="2">
        <v>0</v>
      </c>
      <c r="P461" s="2">
        <v>1</v>
      </c>
      <c r="Q461" s="2">
        <v>0</v>
      </c>
      <c r="R461" s="2">
        <v>0</v>
      </c>
      <c r="S461" s="2">
        <v>0</v>
      </c>
      <c r="T461" s="2">
        <v>2</v>
      </c>
      <c r="U461" s="2">
        <v>0</v>
      </c>
      <c r="V461" s="2">
        <v>0</v>
      </c>
      <c r="W461" s="2">
        <v>32</v>
      </c>
      <c r="X461" s="2">
        <v>0</v>
      </c>
      <c r="Y461" s="2">
        <v>0</v>
      </c>
      <c r="Z461" s="2">
        <v>1</v>
      </c>
      <c r="AA461" s="2">
        <v>1</v>
      </c>
      <c r="AB461" s="2">
        <v>2</v>
      </c>
      <c r="AC461" s="2">
        <v>1</v>
      </c>
      <c r="AD461" s="2">
        <v>1</v>
      </c>
      <c r="AE461" s="2">
        <v>0</v>
      </c>
      <c r="AF461" s="2">
        <v>1</v>
      </c>
      <c r="AG461" s="20">
        <f t="shared" si="7"/>
        <v>100</v>
      </c>
    </row>
    <row r="462" spans="1:33" x14ac:dyDescent="0.25">
      <c r="A462">
        <v>461</v>
      </c>
      <c r="B462" s="2">
        <v>0</v>
      </c>
      <c r="C462" s="2">
        <v>36</v>
      </c>
      <c r="D462" s="2">
        <v>2</v>
      </c>
      <c r="E462" s="2">
        <v>0</v>
      </c>
      <c r="F462" s="2">
        <v>0</v>
      </c>
      <c r="G462" s="2">
        <v>1</v>
      </c>
      <c r="H462" s="2">
        <v>0</v>
      </c>
      <c r="I462" s="2">
        <v>0</v>
      </c>
      <c r="J462" s="2">
        <v>0</v>
      </c>
      <c r="K462" s="2">
        <v>3620</v>
      </c>
      <c r="L462" s="2">
        <v>0</v>
      </c>
      <c r="M462" s="2">
        <v>2</v>
      </c>
      <c r="N462" s="2">
        <v>1</v>
      </c>
      <c r="O462" s="2">
        <v>0</v>
      </c>
      <c r="P462" s="2">
        <v>1</v>
      </c>
      <c r="Q462" s="2">
        <v>0</v>
      </c>
      <c r="R462" s="2">
        <v>0</v>
      </c>
      <c r="S462" s="2">
        <v>1</v>
      </c>
      <c r="T462" s="2">
        <v>2</v>
      </c>
      <c r="U462" s="2">
        <v>0</v>
      </c>
      <c r="V462" s="2">
        <v>0</v>
      </c>
      <c r="W462" s="2">
        <v>37</v>
      </c>
      <c r="X462" s="2">
        <v>0</v>
      </c>
      <c r="Y462" s="2">
        <v>0</v>
      </c>
      <c r="Z462" s="2">
        <v>1</v>
      </c>
      <c r="AA462" s="2">
        <v>1</v>
      </c>
      <c r="AB462" s="2">
        <v>2</v>
      </c>
      <c r="AC462" s="2">
        <v>2</v>
      </c>
      <c r="AD462" s="2">
        <v>0</v>
      </c>
      <c r="AE462" s="2">
        <v>0</v>
      </c>
      <c r="AF462" s="2">
        <v>1</v>
      </c>
      <c r="AG462" s="20">
        <f t="shared" si="7"/>
        <v>100</v>
      </c>
    </row>
    <row r="463" spans="1:33" x14ac:dyDescent="0.25">
      <c r="A463">
        <v>462</v>
      </c>
      <c r="B463" s="2">
        <v>0</v>
      </c>
      <c r="C463" s="2">
        <v>15</v>
      </c>
      <c r="D463" s="2">
        <v>2</v>
      </c>
      <c r="E463" s="2">
        <v>1</v>
      </c>
      <c r="F463" s="2">
        <v>0</v>
      </c>
      <c r="G463" s="2">
        <v>0</v>
      </c>
      <c r="H463" s="2">
        <v>0</v>
      </c>
      <c r="I463" s="2">
        <v>0</v>
      </c>
      <c r="J463" s="2">
        <v>0</v>
      </c>
      <c r="K463" s="2">
        <v>1721</v>
      </c>
      <c r="L463" s="2">
        <v>0</v>
      </c>
      <c r="M463" s="2">
        <v>1</v>
      </c>
      <c r="N463" s="2">
        <v>2</v>
      </c>
      <c r="O463" s="2">
        <v>0</v>
      </c>
      <c r="P463" s="2">
        <v>1</v>
      </c>
      <c r="Q463" s="2">
        <v>0</v>
      </c>
      <c r="R463" s="2">
        <v>0</v>
      </c>
      <c r="S463" s="2">
        <v>0</v>
      </c>
      <c r="T463" s="2">
        <v>3</v>
      </c>
      <c r="U463" s="2">
        <v>1</v>
      </c>
      <c r="V463" s="2">
        <v>0</v>
      </c>
      <c r="W463" s="2">
        <v>36</v>
      </c>
      <c r="X463" s="2">
        <v>0</v>
      </c>
      <c r="Y463" s="2">
        <v>0</v>
      </c>
      <c r="Z463" s="2">
        <v>1</v>
      </c>
      <c r="AA463" s="2">
        <v>1</v>
      </c>
      <c r="AB463" s="2">
        <v>2</v>
      </c>
      <c r="AC463" s="2">
        <v>1</v>
      </c>
      <c r="AD463" s="2">
        <v>0</v>
      </c>
      <c r="AE463" s="2">
        <v>0</v>
      </c>
      <c r="AF463" s="2">
        <v>1</v>
      </c>
      <c r="AG463" s="20">
        <f t="shared" si="7"/>
        <v>100</v>
      </c>
    </row>
    <row r="464" spans="1:33" x14ac:dyDescent="0.25">
      <c r="A464">
        <v>463</v>
      </c>
      <c r="B464" s="2">
        <v>1</v>
      </c>
      <c r="C464" s="2">
        <v>12</v>
      </c>
      <c r="D464" s="2">
        <v>2</v>
      </c>
      <c r="E464" s="2">
        <v>0</v>
      </c>
      <c r="F464" s="2">
        <v>0</v>
      </c>
      <c r="G464" s="2">
        <v>1</v>
      </c>
      <c r="H464" s="2">
        <v>0</v>
      </c>
      <c r="I464" s="2">
        <v>0</v>
      </c>
      <c r="J464" s="2">
        <v>0</v>
      </c>
      <c r="K464" s="2">
        <v>3017</v>
      </c>
      <c r="L464" s="2">
        <v>0</v>
      </c>
      <c r="M464" s="2">
        <v>1</v>
      </c>
      <c r="N464" s="2">
        <v>3</v>
      </c>
      <c r="O464" s="2">
        <v>0</v>
      </c>
      <c r="P464" s="2">
        <v>0</v>
      </c>
      <c r="Q464" s="2">
        <v>0</v>
      </c>
      <c r="R464" s="2">
        <v>0</v>
      </c>
      <c r="S464" s="2">
        <v>0</v>
      </c>
      <c r="T464" s="2">
        <v>1</v>
      </c>
      <c r="U464" s="2">
        <v>1</v>
      </c>
      <c r="V464" s="2">
        <v>0</v>
      </c>
      <c r="W464" s="2">
        <v>34</v>
      </c>
      <c r="X464" s="2">
        <v>0</v>
      </c>
      <c r="Y464" s="2">
        <v>1</v>
      </c>
      <c r="Z464" s="2">
        <v>0</v>
      </c>
      <c r="AA464" s="2">
        <v>1</v>
      </c>
      <c r="AB464" s="2">
        <v>3</v>
      </c>
      <c r="AC464" s="2">
        <v>1</v>
      </c>
      <c r="AD464" s="2">
        <v>0</v>
      </c>
      <c r="AE464" s="2">
        <v>0</v>
      </c>
      <c r="AF464" s="2">
        <v>1</v>
      </c>
      <c r="AG464" s="20">
        <f t="shared" si="7"/>
        <v>100</v>
      </c>
    </row>
    <row r="465" spans="1:33" x14ac:dyDescent="0.25">
      <c r="A465">
        <v>464</v>
      </c>
      <c r="B465" s="2">
        <v>1</v>
      </c>
      <c r="C465" s="2">
        <v>12</v>
      </c>
      <c r="D465" s="2">
        <v>2</v>
      </c>
      <c r="E465" s="2">
        <v>0</v>
      </c>
      <c r="F465" s="2">
        <v>0</v>
      </c>
      <c r="G465" s="2">
        <v>0</v>
      </c>
      <c r="H465" s="2">
        <v>0</v>
      </c>
      <c r="I465" s="2">
        <v>0</v>
      </c>
      <c r="J465" s="2">
        <v>0</v>
      </c>
      <c r="K465" s="2">
        <v>754</v>
      </c>
      <c r="L465" s="2">
        <v>4</v>
      </c>
      <c r="M465" s="2">
        <v>4</v>
      </c>
      <c r="N465" s="2">
        <v>4</v>
      </c>
      <c r="O465" s="2">
        <v>0</v>
      </c>
      <c r="P465" s="2">
        <v>1</v>
      </c>
      <c r="Q465" s="2">
        <v>0</v>
      </c>
      <c r="R465" s="2">
        <v>0</v>
      </c>
      <c r="S465" s="2">
        <v>0</v>
      </c>
      <c r="T465" s="2">
        <v>4</v>
      </c>
      <c r="U465" s="2">
        <v>0</v>
      </c>
      <c r="V465" s="2">
        <v>0</v>
      </c>
      <c r="W465" s="2">
        <v>38</v>
      </c>
      <c r="X465" s="2">
        <v>0</v>
      </c>
      <c r="Y465" s="2">
        <v>0</v>
      </c>
      <c r="Z465" s="2">
        <v>1</v>
      </c>
      <c r="AA465" s="2">
        <v>2</v>
      </c>
      <c r="AB465" s="2">
        <v>2</v>
      </c>
      <c r="AC465" s="2">
        <v>1</v>
      </c>
      <c r="AD465" s="2">
        <v>0</v>
      </c>
      <c r="AE465" s="2">
        <v>0</v>
      </c>
      <c r="AF465" s="2">
        <v>1</v>
      </c>
      <c r="AG465" s="20">
        <f t="shared" si="7"/>
        <v>100</v>
      </c>
    </row>
    <row r="466" spans="1:33" x14ac:dyDescent="0.25">
      <c r="A466">
        <v>465</v>
      </c>
      <c r="B466" s="2">
        <v>3</v>
      </c>
      <c r="C466" s="2">
        <v>18</v>
      </c>
      <c r="D466" s="2">
        <v>2</v>
      </c>
      <c r="E466" s="2">
        <v>0</v>
      </c>
      <c r="F466" s="2">
        <v>0</v>
      </c>
      <c r="G466" s="2">
        <v>0</v>
      </c>
      <c r="H466" s="2">
        <v>0</v>
      </c>
      <c r="I466" s="2">
        <v>0</v>
      </c>
      <c r="J466" s="2">
        <v>1</v>
      </c>
      <c r="K466" s="2">
        <v>1950</v>
      </c>
      <c r="L466" s="2">
        <v>0</v>
      </c>
      <c r="M466" s="2">
        <v>3</v>
      </c>
      <c r="N466" s="2">
        <v>4</v>
      </c>
      <c r="O466" s="2">
        <v>0</v>
      </c>
      <c r="P466" s="2">
        <v>1</v>
      </c>
      <c r="Q466" s="2">
        <v>0</v>
      </c>
      <c r="R466" s="2">
        <v>0</v>
      </c>
      <c r="S466" s="2">
        <v>0</v>
      </c>
      <c r="T466" s="2">
        <v>1</v>
      </c>
      <c r="U466" s="2">
        <v>0</v>
      </c>
      <c r="V466" s="2">
        <v>0</v>
      </c>
      <c r="W466" s="2">
        <v>34</v>
      </c>
      <c r="X466" s="2">
        <v>1</v>
      </c>
      <c r="Y466" s="2">
        <v>0</v>
      </c>
      <c r="Z466" s="2">
        <v>1</v>
      </c>
      <c r="AA466" s="2">
        <v>2</v>
      </c>
      <c r="AB466" s="2">
        <v>2</v>
      </c>
      <c r="AC466" s="2">
        <v>1</v>
      </c>
      <c r="AD466" s="2">
        <v>1</v>
      </c>
      <c r="AE466" s="2">
        <v>0</v>
      </c>
      <c r="AF466" s="2">
        <v>1</v>
      </c>
      <c r="AG466" s="20">
        <f t="shared" si="7"/>
        <v>100</v>
      </c>
    </row>
    <row r="467" spans="1:33" x14ac:dyDescent="0.25">
      <c r="A467">
        <v>466</v>
      </c>
      <c r="B467" s="2">
        <v>0</v>
      </c>
      <c r="C467" s="2">
        <v>24</v>
      </c>
      <c r="D467" s="2">
        <v>2</v>
      </c>
      <c r="E467" s="2">
        <v>0</v>
      </c>
      <c r="F467" s="2">
        <v>1</v>
      </c>
      <c r="G467" s="2">
        <v>0</v>
      </c>
      <c r="H467" s="2">
        <v>0</v>
      </c>
      <c r="I467" s="2">
        <v>0</v>
      </c>
      <c r="J467" s="2">
        <v>0</v>
      </c>
      <c r="K467" s="2">
        <v>2924</v>
      </c>
      <c r="L467" s="2">
        <v>0</v>
      </c>
      <c r="M467" s="2">
        <v>2</v>
      </c>
      <c r="N467" s="2">
        <v>3</v>
      </c>
      <c r="O467" s="2">
        <v>0</v>
      </c>
      <c r="P467" s="2">
        <v>1</v>
      </c>
      <c r="Q467" s="2">
        <v>0</v>
      </c>
      <c r="R467" s="2">
        <v>0</v>
      </c>
      <c r="S467" s="2">
        <v>1</v>
      </c>
      <c r="T467" s="2">
        <v>4</v>
      </c>
      <c r="U467" s="2">
        <v>0</v>
      </c>
      <c r="V467" s="2">
        <v>1</v>
      </c>
      <c r="W467" s="2">
        <v>63</v>
      </c>
      <c r="X467" s="2">
        <v>1</v>
      </c>
      <c r="Y467" s="2">
        <v>0</v>
      </c>
      <c r="Z467" s="2">
        <v>1</v>
      </c>
      <c r="AA467" s="2">
        <v>1</v>
      </c>
      <c r="AB467" s="2">
        <v>2</v>
      </c>
      <c r="AC467" s="2">
        <v>2</v>
      </c>
      <c r="AD467" s="2">
        <v>1</v>
      </c>
      <c r="AE467" s="2">
        <v>0</v>
      </c>
      <c r="AF467" s="2">
        <v>1</v>
      </c>
      <c r="AG467" s="20">
        <f t="shared" si="7"/>
        <v>100</v>
      </c>
    </row>
    <row r="468" spans="1:33" x14ac:dyDescent="0.25">
      <c r="A468">
        <v>467</v>
      </c>
      <c r="B468" s="2">
        <v>0</v>
      </c>
      <c r="C468" s="2">
        <v>24</v>
      </c>
      <c r="D468" s="2">
        <v>3</v>
      </c>
      <c r="E468" s="2">
        <v>0</v>
      </c>
      <c r="F468" s="2">
        <v>0</v>
      </c>
      <c r="G468" s="2">
        <v>0</v>
      </c>
      <c r="H468" s="2">
        <v>1</v>
      </c>
      <c r="I468" s="2">
        <v>0</v>
      </c>
      <c r="J468" s="2">
        <v>0</v>
      </c>
      <c r="K468" s="2">
        <v>1659</v>
      </c>
      <c r="L468" s="2">
        <v>0</v>
      </c>
      <c r="M468" s="2">
        <v>1</v>
      </c>
      <c r="N468" s="2">
        <v>4</v>
      </c>
      <c r="O468" s="2">
        <v>0</v>
      </c>
      <c r="P468" s="2">
        <v>0</v>
      </c>
      <c r="Q468" s="2">
        <v>0</v>
      </c>
      <c r="R468" s="2">
        <v>0</v>
      </c>
      <c r="S468" s="2">
        <v>0</v>
      </c>
      <c r="T468" s="2">
        <v>2</v>
      </c>
      <c r="U468" s="2">
        <v>0</v>
      </c>
      <c r="V468" s="2">
        <v>0</v>
      </c>
      <c r="W468" s="2">
        <v>29</v>
      </c>
      <c r="X468" s="2">
        <v>0</v>
      </c>
      <c r="Y468" s="2">
        <v>1</v>
      </c>
      <c r="Z468" s="2">
        <v>0</v>
      </c>
      <c r="AA468" s="2">
        <v>1</v>
      </c>
      <c r="AB468" s="2">
        <v>1</v>
      </c>
      <c r="AC468" s="2">
        <v>1</v>
      </c>
      <c r="AD468" s="2">
        <v>1</v>
      </c>
      <c r="AE468" s="2">
        <v>0</v>
      </c>
      <c r="AF468" s="2">
        <v>0</v>
      </c>
      <c r="AG468" s="20">
        <f t="shared" si="7"/>
        <v>-500</v>
      </c>
    </row>
    <row r="469" spans="1:33" x14ac:dyDescent="0.25">
      <c r="A469">
        <v>468</v>
      </c>
      <c r="B469" s="2">
        <v>3</v>
      </c>
      <c r="C469" s="2">
        <v>48</v>
      </c>
      <c r="D469" s="2">
        <v>3</v>
      </c>
      <c r="E469" s="2">
        <v>0</v>
      </c>
      <c r="F469" s="2">
        <v>0</v>
      </c>
      <c r="G469" s="2">
        <v>0</v>
      </c>
      <c r="H469" s="2">
        <v>1</v>
      </c>
      <c r="I469" s="2">
        <v>0</v>
      </c>
      <c r="J469" s="2">
        <v>0</v>
      </c>
      <c r="K469" s="2">
        <v>7238</v>
      </c>
      <c r="L469" s="2">
        <v>4</v>
      </c>
      <c r="M469" s="2">
        <v>4</v>
      </c>
      <c r="N469" s="2">
        <v>3</v>
      </c>
      <c r="O469" s="2">
        <v>0</v>
      </c>
      <c r="P469" s="2">
        <v>1</v>
      </c>
      <c r="Q469" s="2">
        <v>0</v>
      </c>
      <c r="R469" s="2">
        <v>0</v>
      </c>
      <c r="S469" s="2">
        <v>0</v>
      </c>
      <c r="T469" s="2">
        <v>3</v>
      </c>
      <c r="U469" s="2">
        <v>0</v>
      </c>
      <c r="V469" s="2">
        <v>0</v>
      </c>
      <c r="W469" s="2">
        <v>32</v>
      </c>
      <c r="X469" s="2">
        <v>1</v>
      </c>
      <c r="Y469" s="2">
        <v>0</v>
      </c>
      <c r="Z469" s="2">
        <v>1</v>
      </c>
      <c r="AA469" s="2">
        <v>2</v>
      </c>
      <c r="AB469" s="2">
        <v>2</v>
      </c>
      <c r="AC469" s="2">
        <v>2</v>
      </c>
      <c r="AD469" s="2">
        <v>0</v>
      </c>
      <c r="AE469" s="2">
        <v>0</v>
      </c>
      <c r="AF469" s="2">
        <v>1</v>
      </c>
      <c r="AG469" s="20">
        <f t="shared" si="7"/>
        <v>100</v>
      </c>
    </row>
    <row r="470" spans="1:33" x14ac:dyDescent="0.25">
      <c r="A470">
        <v>469</v>
      </c>
      <c r="B470" s="2">
        <v>3</v>
      </c>
      <c r="C470" s="2">
        <v>33</v>
      </c>
      <c r="D470" s="2">
        <v>3</v>
      </c>
      <c r="E470" s="2">
        <v>0</v>
      </c>
      <c r="F470" s="2">
        <v>0</v>
      </c>
      <c r="G470" s="2">
        <v>0</v>
      </c>
      <c r="H470" s="2">
        <v>0</v>
      </c>
      <c r="I470" s="2">
        <v>0</v>
      </c>
      <c r="J470" s="2">
        <v>1</v>
      </c>
      <c r="K470" s="2">
        <v>2764</v>
      </c>
      <c r="L470" s="2">
        <v>0</v>
      </c>
      <c r="M470" s="2">
        <v>2</v>
      </c>
      <c r="N470" s="2">
        <v>2</v>
      </c>
      <c r="O470" s="2">
        <v>0</v>
      </c>
      <c r="P470" s="2">
        <v>0</v>
      </c>
      <c r="Q470" s="2">
        <v>0</v>
      </c>
      <c r="R470" s="2">
        <v>0</v>
      </c>
      <c r="S470" s="2">
        <v>0</v>
      </c>
      <c r="T470" s="2">
        <v>2</v>
      </c>
      <c r="U470" s="2">
        <v>0</v>
      </c>
      <c r="V470" s="2">
        <v>0</v>
      </c>
      <c r="W470" s="2">
        <v>26</v>
      </c>
      <c r="X470" s="2">
        <v>0</v>
      </c>
      <c r="Y470" s="2">
        <v>0</v>
      </c>
      <c r="Z470" s="2">
        <v>1</v>
      </c>
      <c r="AA470" s="2">
        <v>2</v>
      </c>
      <c r="AB470" s="2">
        <v>2</v>
      </c>
      <c r="AC470" s="2">
        <v>1</v>
      </c>
      <c r="AD470" s="2">
        <v>1</v>
      </c>
      <c r="AE470" s="2">
        <v>0</v>
      </c>
      <c r="AF470" s="2">
        <v>1</v>
      </c>
      <c r="AG470" s="20">
        <f t="shared" si="7"/>
        <v>100</v>
      </c>
    </row>
    <row r="471" spans="1:33" x14ac:dyDescent="0.25">
      <c r="A471">
        <v>470</v>
      </c>
      <c r="B471" s="2">
        <v>3</v>
      </c>
      <c r="C471" s="2">
        <v>24</v>
      </c>
      <c r="D471" s="2">
        <v>3</v>
      </c>
      <c r="E471" s="2">
        <v>0</v>
      </c>
      <c r="F471" s="2">
        <v>1</v>
      </c>
      <c r="G471" s="2">
        <v>0</v>
      </c>
      <c r="H471" s="2">
        <v>0</v>
      </c>
      <c r="I471" s="2">
        <v>0</v>
      </c>
      <c r="J471" s="2">
        <v>0</v>
      </c>
      <c r="K471" s="2">
        <v>4679</v>
      </c>
      <c r="L471" s="2">
        <v>0</v>
      </c>
      <c r="M471" s="2">
        <v>3</v>
      </c>
      <c r="N471" s="2">
        <v>3</v>
      </c>
      <c r="O471" s="2">
        <v>0</v>
      </c>
      <c r="P471" s="2">
        <v>1</v>
      </c>
      <c r="Q471" s="2">
        <v>0</v>
      </c>
      <c r="R471" s="2">
        <v>0</v>
      </c>
      <c r="S471" s="2">
        <v>0</v>
      </c>
      <c r="T471" s="2">
        <v>3</v>
      </c>
      <c r="U471" s="2">
        <v>0</v>
      </c>
      <c r="V471" s="2">
        <v>0</v>
      </c>
      <c r="W471" s="2">
        <v>35</v>
      </c>
      <c r="X471" s="2">
        <v>0</v>
      </c>
      <c r="Y471" s="2">
        <v>0</v>
      </c>
      <c r="Z471" s="2">
        <v>1</v>
      </c>
      <c r="AA471" s="2">
        <v>2</v>
      </c>
      <c r="AB471" s="2">
        <v>1</v>
      </c>
      <c r="AC471" s="2">
        <v>1</v>
      </c>
      <c r="AD471" s="2">
        <v>1</v>
      </c>
      <c r="AE471" s="2">
        <v>0</v>
      </c>
      <c r="AF471" s="2">
        <v>1</v>
      </c>
      <c r="AG471" s="20">
        <f t="shared" si="7"/>
        <v>100</v>
      </c>
    </row>
    <row r="472" spans="1:33" x14ac:dyDescent="0.25">
      <c r="A472">
        <v>471</v>
      </c>
      <c r="B472" s="2">
        <v>1</v>
      </c>
      <c r="C472" s="2">
        <v>24</v>
      </c>
      <c r="D472" s="2">
        <v>2</v>
      </c>
      <c r="E472" s="2">
        <v>0</v>
      </c>
      <c r="F472" s="2">
        <v>0</v>
      </c>
      <c r="G472" s="2">
        <v>0</v>
      </c>
      <c r="H472" s="2">
        <v>1</v>
      </c>
      <c r="I472" s="2">
        <v>0</v>
      </c>
      <c r="J472" s="2">
        <v>0</v>
      </c>
      <c r="K472" s="2">
        <v>3092</v>
      </c>
      <c r="L472" s="2">
        <v>1</v>
      </c>
      <c r="M472" s="2">
        <v>1</v>
      </c>
      <c r="N472" s="2">
        <v>3</v>
      </c>
      <c r="O472" s="2">
        <v>0</v>
      </c>
      <c r="P472" s="2">
        <v>0</v>
      </c>
      <c r="Q472" s="2">
        <v>1</v>
      </c>
      <c r="R472" s="2">
        <v>0</v>
      </c>
      <c r="S472" s="2">
        <v>0</v>
      </c>
      <c r="T472" s="2">
        <v>2</v>
      </c>
      <c r="U472" s="2">
        <v>0</v>
      </c>
      <c r="V472" s="2">
        <v>0</v>
      </c>
      <c r="W472" s="2">
        <v>22</v>
      </c>
      <c r="X472" s="2">
        <v>0</v>
      </c>
      <c r="Y472" s="2">
        <v>1</v>
      </c>
      <c r="Z472" s="2">
        <v>0</v>
      </c>
      <c r="AA472" s="2">
        <v>1</v>
      </c>
      <c r="AB472" s="2">
        <v>2</v>
      </c>
      <c r="AC472" s="2">
        <v>1</v>
      </c>
      <c r="AD472" s="2">
        <v>1</v>
      </c>
      <c r="AE472" s="2">
        <v>0</v>
      </c>
      <c r="AF472" s="2">
        <v>0</v>
      </c>
      <c r="AG472" s="20">
        <f t="shared" si="7"/>
        <v>-500</v>
      </c>
    </row>
    <row r="473" spans="1:33" x14ac:dyDescent="0.25">
      <c r="A473">
        <v>472</v>
      </c>
      <c r="B473" s="2">
        <v>0</v>
      </c>
      <c r="C473" s="2">
        <v>6</v>
      </c>
      <c r="D473" s="2">
        <v>2</v>
      </c>
      <c r="E473" s="2">
        <v>0</v>
      </c>
      <c r="F473" s="2">
        <v>0</v>
      </c>
      <c r="G473" s="2">
        <v>0</v>
      </c>
      <c r="H473" s="2">
        <v>0</v>
      </c>
      <c r="I473" s="2">
        <v>1</v>
      </c>
      <c r="J473" s="2">
        <v>0</v>
      </c>
      <c r="K473" s="2">
        <v>448</v>
      </c>
      <c r="L473" s="2">
        <v>0</v>
      </c>
      <c r="M473" s="2">
        <v>1</v>
      </c>
      <c r="N473" s="2">
        <v>4</v>
      </c>
      <c r="O473" s="2">
        <v>0</v>
      </c>
      <c r="P473" s="2">
        <v>0</v>
      </c>
      <c r="Q473" s="2">
        <v>0</v>
      </c>
      <c r="R473" s="2">
        <v>0</v>
      </c>
      <c r="S473" s="2">
        <v>0</v>
      </c>
      <c r="T473" s="2">
        <v>4</v>
      </c>
      <c r="U473" s="2">
        <v>0</v>
      </c>
      <c r="V473" s="2">
        <v>0</v>
      </c>
      <c r="W473" s="2">
        <v>23</v>
      </c>
      <c r="X473" s="2">
        <v>0</v>
      </c>
      <c r="Y473" s="2">
        <v>0</v>
      </c>
      <c r="Z473" s="2">
        <v>1</v>
      </c>
      <c r="AA473" s="2">
        <v>1</v>
      </c>
      <c r="AB473" s="2">
        <v>2</v>
      </c>
      <c r="AC473" s="2">
        <v>1</v>
      </c>
      <c r="AD473" s="2">
        <v>0</v>
      </c>
      <c r="AE473" s="2">
        <v>0</v>
      </c>
      <c r="AF473" s="2">
        <v>0</v>
      </c>
      <c r="AG473" s="20">
        <f t="shared" si="7"/>
        <v>-500</v>
      </c>
    </row>
    <row r="474" spans="1:33" x14ac:dyDescent="0.25">
      <c r="A474">
        <v>473</v>
      </c>
      <c r="B474" s="2">
        <v>0</v>
      </c>
      <c r="C474" s="2">
        <v>9</v>
      </c>
      <c r="D474" s="2">
        <v>2</v>
      </c>
      <c r="E474" s="2">
        <v>1</v>
      </c>
      <c r="F474" s="2">
        <v>0</v>
      </c>
      <c r="G474" s="2">
        <v>0</v>
      </c>
      <c r="H474" s="2">
        <v>0</v>
      </c>
      <c r="I474" s="2">
        <v>0</v>
      </c>
      <c r="J474" s="2">
        <v>0</v>
      </c>
      <c r="K474" s="2">
        <v>654</v>
      </c>
      <c r="L474" s="2">
        <v>0</v>
      </c>
      <c r="M474" s="2">
        <v>2</v>
      </c>
      <c r="N474" s="2">
        <v>4</v>
      </c>
      <c r="O474" s="2">
        <v>0</v>
      </c>
      <c r="P474" s="2">
        <v>1</v>
      </c>
      <c r="Q474" s="2">
        <v>0</v>
      </c>
      <c r="R474" s="2">
        <v>0</v>
      </c>
      <c r="S474" s="2">
        <v>0</v>
      </c>
      <c r="T474" s="2">
        <v>3</v>
      </c>
      <c r="U474" s="2">
        <v>0</v>
      </c>
      <c r="V474" s="2">
        <v>0</v>
      </c>
      <c r="W474" s="2">
        <v>28</v>
      </c>
      <c r="X474" s="2">
        <v>0</v>
      </c>
      <c r="Y474" s="2">
        <v>0</v>
      </c>
      <c r="Z474" s="2">
        <v>1</v>
      </c>
      <c r="AA474" s="2">
        <v>1</v>
      </c>
      <c r="AB474" s="2">
        <v>1</v>
      </c>
      <c r="AC474" s="2">
        <v>1</v>
      </c>
      <c r="AD474" s="2">
        <v>0</v>
      </c>
      <c r="AE474" s="2">
        <v>0</v>
      </c>
      <c r="AF474" s="2">
        <v>0</v>
      </c>
      <c r="AG474" s="20">
        <f t="shared" si="7"/>
        <v>-500</v>
      </c>
    </row>
    <row r="475" spans="1:33" x14ac:dyDescent="0.25">
      <c r="A475">
        <v>474</v>
      </c>
      <c r="B475" s="2">
        <v>3</v>
      </c>
      <c r="C475" s="2">
        <v>6</v>
      </c>
      <c r="D475" s="2">
        <v>2</v>
      </c>
      <c r="E475" s="2">
        <v>0</v>
      </c>
      <c r="F475" s="2">
        <v>0</v>
      </c>
      <c r="G475" s="2">
        <v>0</v>
      </c>
      <c r="H475" s="2">
        <v>0</v>
      </c>
      <c r="I475" s="2">
        <v>0</v>
      </c>
      <c r="J475" s="2">
        <v>0</v>
      </c>
      <c r="K475" s="2">
        <v>1238</v>
      </c>
      <c r="L475" s="2">
        <v>4</v>
      </c>
      <c r="M475" s="2">
        <v>0</v>
      </c>
      <c r="N475" s="2">
        <v>4</v>
      </c>
      <c r="O475" s="2">
        <v>0</v>
      </c>
      <c r="P475" s="2">
        <v>1</v>
      </c>
      <c r="Q475" s="2">
        <v>0</v>
      </c>
      <c r="R475" s="2">
        <v>0</v>
      </c>
      <c r="S475" s="2">
        <v>0</v>
      </c>
      <c r="T475" s="2">
        <v>4</v>
      </c>
      <c r="U475" s="2">
        <v>0</v>
      </c>
      <c r="V475" s="2">
        <v>0</v>
      </c>
      <c r="W475" s="2">
        <v>36</v>
      </c>
      <c r="X475" s="2">
        <v>0</v>
      </c>
      <c r="Y475" s="2">
        <v>0</v>
      </c>
      <c r="Z475" s="2">
        <v>1</v>
      </c>
      <c r="AA475" s="2">
        <v>1</v>
      </c>
      <c r="AB475" s="2">
        <v>3</v>
      </c>
      <c r="AC475" s="2">
        <v>2</v>
      </c>
      <c r="AD475" s="2">
        <v>1</v>
      </c>
      <c r="AE475" s="2">
        <v>0</v>
      </c>
      <c r="AF475" s="2">
        <v>1</v>
      </c>
      <c r="AG475" s="20">
        <f t="shared" si="7"/>
        <v>100</v>
      </c>
    </row>
    <row r="476" spans="1:33" x14ac:dyDescent="0.25">
      <c r="A476">
        <v>475</v>
      </c>
      <c r="B476" s="2">
        <v>1</v>
      </c>
      <c r="C476" s="2">
        <v>18</v>
      </c>
      <c r="D476" s="2">
        <v>4</v>
      </c>
      <c r="E476" s="2">
        <v>0</v>
      </c>
      <c r="F476" s="2">
        <v>0</v>
      </c>
      <c r="G476" s="2">
        <v>0</v>
      </c>
      <c r="H476" s="2">
        <v>1</v>
      </c>
      <c r="I476" s="2">
        <v>0</v>
      </c>
      <c r="J476" s="2">
        <v>0</v>
      </c>
      <c r="K476" s="2">
        <v>1245</v>
      </c>
      <c r="L476" s="2">
        <v>0</v>
      </c>
      <c r="M476" s="2">
        <v>2</v>
      </c>
      <c r="N476" s="2">
        <v>4</v>
      </c>
      <c r="O476" s="2">
        <v>0</v>
      </c>
      <c r="P476" s="2">
        <v>0</v>
      </c>
      <c r="Q476" s="2">
        <v>1</v>
      </c>
      <c r="R476" s="2">
        <v>0</v>
      </c>
      <c r="S476" s="2">
        <v>0</v>
      </c>
      <c r="T476" s="2">
        <v>2</v>
      </c>
      <c r="U476" s="2">
        <v>0</v>
      </c>
      <c r="V476" s="2">
        <v>0</v>
      </c>
      <c r="W476" s="2">
        <v>33</v>
      </c>
      <c r="X476" s="2">
        <v>0</v>
      </c>
      <c r="Y476" s="2">
        <v>0</v>
      </c>
      <c r="Z476" s="2">
        <v>1</v>
      </c>
      <c r="AA476" s="2">
        <v>1</v>
      </c>
      <c r="AB476" s="2">
        <v>2</v>
      </c>
      <c r="AC476" s="2">
        <v>1</v>
      </c>
      <c r="AD476" s="2">
        <v>0</v>
      </c>
      <c r="AE476" s="2">
        <v>0</v>
      </c>
      <c r="AF476" s="2">
        <v>0</v>
      </c>
      <c r="AG476" s="20">
        <f t="shared" si="7"/>
        <v>-500</v>
      </c>
    </row>
    <row r="477" spans="1:33" x14ac:dyDescent="0.25">
      <c r="A477">
        <v>476</v>
      </c>
      <c r="B477" s="2">
        <v>0</v>
      </c>
      <c r="C477" s="2">
        <v>18</v>
      </c>
      <c r="D477" s="2">
        <v>0</v>
      </c>
      <c r="E477" s="2">
        <v>0</v>
      </c>
      <c r="F477" s="2">
        <v>0</v>
      </c>
      <c r="G477" s="2">
        <v>1</v>
      </c>
      <c r="H477" s="2">
        <v>0</v>
      </c>
      <c r="I477" s="2">
        <v>0</v>
      </c>
      <c r="J477" s="2">
        <v>0</v>
      </c>
      <c r="K477" s="2">
        <v>3114</v>
      </c>
      <c r="L477" s="2">
        <v>0</v>
      </c>
      <c r="M477" s="2">
        <v>1</v>
      </c>
      <c r="N477" s="2">
        <v>1</v>
      </c>
      <c r="O477" s="2">
        <v>0</v>
      </c>
      <c r="P477" s="2">
        <v>0</v>
      </c>
      <c r="Q477" s="2">
        <v>0</v>
      </c>
      <c r="R477" s="2">
        <v>0</v>
      </c>
      <c r="S477" s="2">
        <v>0</v>
      </c>
      <c r="T477" s="2">
        <v>4</v>
      </c>
      <c r="U477" s="2">
        <v>0</v>
      </c>
      <c r="V477" s="2">
        <v>0</v>
      </c>
      <c r="W477" s="2">
        <v>26</v>
      </c>
      <c r="X477" s="2">
        <v>0</v>
      </c>
      <c r="Y477" s="2">
        <v>1</v>
      </c>
      <c r="Z477" s="2">
        <v>0</v>
      </c>
      <c r="AA477" s="2">
        <v>1</v>
      </c>
      <c r="AB477" s="2">
        <v>2</v>
      </c>
      <c r="AC477" s="2">
        <v>1</v>
      </c>
      <c r="AD477" s="2">
        <v>0</v>
      </c>
      <c r="AE477" s="2">
        <v>0</v>
      </c>
      <c r="AF477" s="2">
        <v>0</v>
      </c>
      <c r="AG477" s="20">
        <f t="shared" si="7"/>
        <v>-500</v>
      </c>
    </row>
    <row r="478" spans="1:33" x14ac:dyDescent="0.25">
      <c r="A478">
        <v>477</v>
      </c>
      <c r="B478" s="2">
        <v>3</v>
      </c>
      <c r="C478" s="2">
        <v>39</v>
      </c>
      <c r="D478" s="2">
        <v>2</v>
      </c>
      <c r="E478" s="2">
        <v>0</v>
      </c>
      <c r="F478" s="2">
        <v>1</v>
      </c>
      <c r="G478" s="2">
        <v>0</v>
      </c>
      <c r="H478" s="2">
        <v>0</v>
      </c>
      <c r="I478" s="2">
        <v>0</v>
      </c>
      <c r="J478" s="2">
        <v>0</v>
      </c>
      <c r="K478" s="2">
        <v>2569</v>
      </c>
      <c r="L478" s="2">
        <v>2</v>
      </c>
      <c r="M478" s="2">
        <v>2</v>
      </c>
      <c r="N478" s="2">
        <v>4</v>
      </c>
      <c r="O478" s="2">
        <v>0</v>
      </c>
      <c r="P478" s="2">
        <v>1</v>
      </c>
      <c r="Q478" s="2">
        <v>0</v>
      </c>
      <c r="R478" s="2">
        <v>0</v>
      </c>
      <c r="S478" s="2">
        <v>0</v>
      </c>
      <c r="T478" s="2">
        <v>4</v>
      </c>
      <c r="U478" s="2">
        <v>0</v>
      </c>
      <c r="V478" s="2">
        <v>0</v>
      </c>
      <c r="W478" s="2">
        <v>24</v>
      </c>
      <c r="X478" s="2">
        <v>0</v>
      </c>
      <c r="Y478" s="2">
        <v>0</v>
      </c>
      <c r="Z478" s="2">
        <v>1</v>
      </c>
      <c r="AA478" s="2">
        <v>1</v>
      </c>
      <c r="AB478" s="2">
        <v>2</v>
      </c>
      <c r="AC478" s="2">
        <v>1</v>
      </c>
      <c r="AD478" s="2">
        <v>0</v>
      </c>
      <c r="AE478" s="2">
        <v>0</v>
      </c>
      <c r="AF478" s="2">
        <v>1</v>
      </c>
      <c r="AG478" s="20">
        <f t="shared" si="7"/>
        <v>100</v>
      </c>
    </row>
    <row r="479" spans="1:33" x14ac:dyDescent="0.25">
      <c r="A479">
        <v>478</v>
      </c>
      <c r="B479" s="2">
        <v>2</v>
      </c>
      <c r="C479" s="2">
        <v>24</v>
      </c>
      <c r="D479" s="2">
        <v>2</v>
      </c>
      <c r="E479" s="2">
        <v>0</v>
      </c>
      <c r="F479" s="2">
        <v>0</v>
      </c>
      <c r="G479" s="2">
        <v>0</v>
      </c>
      <c r="H479" s="2">
        <v>1</v>
      </c>
      <c r="I479" s="2">
        <v>0</v>
      </c>
      <c r="J479" s="2">
        <v>0</v>
      </c>
      <c r="K479" s="2">
        <v>5152</v>
      </c>
      <c r="L479" s="2">
        <v>0</v>
      </c>
      <c r="M479" s="2">
        <v>3</v>
      </c>
      <c r="N479" s="2">
        <v>4</v>
      </c>
      <c r="O479" s="2">
        <v>0</v>
      </c>
      <c r="P479" s="2">
        <v>1</v>
      </c>
      <c r="Q479" s="2">
        <v>0</v>
      </c>
      <c r="R479" s="2">
        <v>0</v>
      </c>
      <c r="S479" s="2">
        <v>0</v>
      </c>
      <c r="T479" s="2">
        <v>2</v>
      </c>
      <c r="U479" s="2">
        <v>0</v>
      </c>
      <c r="V479" s="2">
        <v>0</v>
      </c>
      <c r="W479" s="2">
        <v>25</v>
      </c>
      <c r="X479" s="2">
        <v>1</v>
      </c>
      <c r="Y479" s="2">
        <v>0</v>
      </c>
      <c r="Z479" s="2">
        <v>1</v>
      </c>
      <c r="AA479" s="2">
        <v>1</v>
      </c>
      <c r="AB479" s="2">
        <v>2</v>
      </c>
      <c r="AC479" s="2">
        <v>1</v>
      </c>
      <c r="AD479" s="2">
        <v>0</v>
      </c>
      <c r="AE479" s="2">
        <v>0</v>
      </c>
      <c r="AF479" s="2">
        <v>1</v>
      </c>
      <c r="AG479" s="20">
        <f t="shared" si="7"/>
        <v>100</v>
      </c>
    </row>
    <row r="480" spans="1:33" x14ac:dyDescent="0.25">
      <c r="A480">
        <v>479</v>
      </c>
      <c r="B480" s="2">
        <v>1</v>
      </c>
      <c r="C480" s="2">
        <v>12</v>
      </c>
      <c r="D480" s="2">
        <v>2</v>
      </c>
      <c r="E480" s="2">
        <v>0</v>
      </c>
      <c r="F480" s="2">
        <v>0</v>
      </c>
      <c r="G480" s="2">
        <v>0</v>
      </c>
      <c r="H480" s="2">
        <v>0</v>
      </c>
      <c r="I480" s="2">
        <v>0</v>
      </c>
      <c r="J480" s="2">
        <v>1</v>
      </c>
      <c r="K480" s="2">
        <v>1037</v>
      </c>
      <c r="L480" s="2">
        <v>1</v>
      </c>
      <c r="M480" s="2">
        <v>3</v>
      </c>
      <c r="N480" s="2">
        <v>3</v>
      </c>
      <c r="O480" s="2">
        <v>0</v>
      </c>
      <c r="P480" s="2">
        <v>1</v>
      </c>
      <c r="Q480" s="2">
        <v>0</v>
      </c>
      <c r="R480" s="2">
        <v>0</v>
      </c>
      <c r="S480" s="2">
        <v>0</v>
      </c>
      <c r="T480" s="2">
        <v>4</v>
      </c>
      <c r="U480" s="2">
        <v>1</v>
      </c>
      <c r="V480" s="2">
        <v>0</v>
      </c>
      <c r="W480" s="2">
        <v>39</v>
      </c>
      <c r="X480" s="2">
        <v>0</v>
      </c>
      <c r="Y480" s="2">
        <v>0</v>
      </c>
      <c r="Z480" s="2">
        <v>1</v>
      </c>
      <c r="AA480" s="2">
        <v>1</v>
      </c>
      <c r="AB480" s="2">
        <v>1</v>
      </c>
      <c r="AC480" s="2">
        <v>1</v>
      </c>
      <c r="AD480" s="2">
        <v>0</v>
      </c>
      <c r="AE480" s="2">
        <v>0</v>
      </c>
      <c r="AF480" s="2">
        <v>1</v>
      </c>
      <c r="AG480" s="20">
        <f t="shared" si="7"/>
        <v>100</v>
      </c>
    </row>
    <row r="481" spans="1:33" x14ac:dyDescent="0.25">
      <c r="A481">
        <v>480</v>
      </c>
      <c r="B481" s="2">
        <v>0</v>
      </c>
      <c r="C481" s="2">
        <v>15</v>
      </c>
      <c r="D481" s="2">
        <v>4</v>
      </c>
      <c r="E481" s="2">
        <v>0</v>
      </c>
      <c r="F481" s="2">
        <v>0</v>
      </c>
      <c r="G481" s="2">
        <v>1</v>
      </c>
      <c r="H481" s="2">
        <v>0</v>
      </c>
      <c r="I481" s="2">
        <v>0</v>
      </c>
      <c r="J481" s="2">
        <v>0</v>
      </c>
      <c r="K481" s="2">
        <v>1478</v>
      </c>
      <c r="L481" s="2">
        <v>0</v>
      </c>
      <c r="M481" s="2">
        <v>4</v>
      </c>
      <c r="N481" s="2">
        <v>4</v>
      </c>
      <c r="O481" s="2">
        <v>0</v>
      </c>
      <c r="P481" s="2">
        <v>1</v>
      </c>
      <c r="Q481" s="2">
        <v>0</v>
      </c>
      <c r="R481" s="2">
        <v>0</v>
      </c>
      <c r="S481" s="2">
        <v>0</v>
      </c>
      <c r="T481" s="2">
        <v>4</v>
      </c>
      <c r="U481" s="2">
        <v>0</v>
      </c>
      <c r="V481" s="2">
        <v>0</v>
      </c>
      <c r="W481" s="2">
        <v>44</v>
      </c>
      <c r="X481" s="2">
        <v>0</v>
      </c>
      <c r="Y481" s="2">
        <v>0</v>
      </c>
      <c r="Z481" s="2">
        <v>1</v>
      </c>
      <c r="AA481" s="2">
        <v>2</v>
      </c>
      <c r="AB481" s="2">
        <v>2</v>
      </c>
      <c r="AC481" s="2">
        <v>2</v>
      </c>
      <c r="AD481" s="2">
        <v>1</v>
      </c>
      <c r="AE481" s="2">
        <v>0</v>
      </c>
      <c r="AF481" s="2">
        <v>1</v>
      </c>
      <c r="AG481" s="20">
        <f t="shared" si="7"/>
        <v>100</v>
      </c>
    </row>
    <row r="482" spans="1:33" x14ac:dyDescent="0.25">
      <c r="A482">
        <v>481</v>
      </c>
      <c r="B482" s="2">
        <v>1</v>
      </c>
      <c r="C482" s="2">
        <v>12</v>
      </c>
      <c r="D482" s="2">
        <v>4</v>
      </c>
      <c r="E482" s="2">
        <v>0</v>
      </c>
      <c r="F482" s="2">
        <v>0</v>
      </c>
      <c r="G482" s="2">
        <v>0</v>
      </c>
      <c r="H482" s="2">
        <v>1</v>
      </c>
      <c r="I482" s="2">
        <v>0</v>
      </c>
      <c r="J482" s="2">
        <v>0</v>
      </c>
      <c r="K482" s="2">
        <v>3573</v>
      </c>
      <c r="L482" s="2">
        <v>0</v>
      </c>
      <c r="M482" s="2">
        <v>2</v>
      </c>
      <c r="N482" s="2">
        <v>1</v>
      </c>
      <c r="O482" s="2">
        <v>0</v>
      </c>
      <c r="P482" s="2">
        <v>0</v>
      </c>
      <c r="Q482" s="2">
        <v>0</v>
      </c>
      <c r="R482" s="2">
        <v>0</v>
      </c>
      <c r="S482" s="2">
        <v>0</v>
      </c>
      <c r="T482" s="2">
        <v>1</v>
      </c>
      <c r="U482" s="2">
        <v>1</v>
      </c>
      <c r="V482" s="2">
        <v>0</v>
      </c>
      <c r="W482" s="2">
        <v>23</v>
      </c>
      <c r="X482" s="2">
        <v>0</v>
      </c>
      <c r="Y482" s="2">
        <v>0</v>
      </c>
      <c r="Z482" s="2">
        <v>1</v>
      </c>
      <c r="AA482" s="2">
        <v>1</v>
      </c>
      <c r="AB482" s="2">
        <v>1</v>
      </c>
      <c r="AC482" s="2">
        <v>1</v>
      </c>
      <c r="AD482" s="2">
        <v>0</v>
      </c>
      <c r="AE482" s="2">
        <v>0</v>
      </c>
      <c r="AF482" s="2">
        <v>1</v>
      </c>
      <c r="AG482" s="20">
        <f t="shared" si="7"/>
        <v>100</v>
      </c>
    </row>
    <row r="483" spans="1:33" x14ac:dyDescent="0.25">
      <c r="A483">
        <v>482</v>
      </c>
      <c r="B483" s="2">
        <v>1</v>
      </c>
      <c r="C483" s="2">
        <v>24</v>
      </c>
      <c r="D483" s="2">
        <v>2</v>
      </c>
      <c r="E483" s="2">
        <v>1</v>
      </c>
      <c r="F483" s="2">
        <v>0</v>
      </c>
      <c r="G483" s="2">
        <v>0</v>
      </c>
      <c r="H483" s="2">
        <v>0</v>
      </c>
      <c r="I483" s="2">
        <v>0</v>
      </c>
      <c r="J483" s="2">
        <v>0</v>
      </c>
      <c r="K483" s="2">
        <v>1201</v>
      </c>
      <c r="L483" s="2">
        <v>0</v>
      </c>
      <c r="M483" s="2">
        <v>1</v>
      </c>
      <c r="N483" s="2">
        <v>4</v>
      </c>
      <c r="O483" s="2">
        <v>0</v>
      </c>
      <c r="P483" s="2">
        <v>1</v>
      </c>
      <c r="Q483" s="2">
        <v>0</v>
      </c>
      <c r="R483" s="2">
        <v>0</v>
      </c>
      <c r="S483" s="2">
        <v>0</v>
      </c>
      <c r="T483" s="2">
        <v>1</v>
      </c>
      <c r="U483" s="2">
        <v>0</v>
      </c>
      <c r="V483" s="2">
        <v>0</v>
      </c>
      <c r="W483" s="2">
        <v>26</v>
      </c>
      <c r="X483" s="2">
        <v>0</v>
      </c>
      <c r="Y483" s="2">
        <v>0</v>
      </c>
      <c r="Z483" s="2">
        <v>1</v>
      </c>
      <c r="AA483" s="2">
        <v>1</v>
      </c>
      <c r="AB483" s="2">
        <v>2</v>
      </c>
      <c r="AC483" s="2">
        <v>1</v>
      </c>
      <c r="AD483" s="2">
        <v>0</v>
      </c>
      <c r="AE483" s="2">
        <v>0</v>
      </c>
      <c r="AF483" s="2">
        <v>1</v>
      </c>
      <c r="AG483" s="20">
        <f t="shared" si="7"/>
        <v>100</v>
      </c>
    </row>
    <row r="484" spans="1:33" x14ac:dyDescent="0.25">
      <c r="A484">
        <v>483</v>
      </c>
      <c r="B484" s="2">
        <v>0</v>
      </c>
      <c r="C484" s="2">
        <v>30</v>
      </c>
      <c r="D484" s="2">
        <v>2</v>
      </c>
      <c r="E484" s="2">
        <v>0</v>
      </c>
      <c r="F484" s="2">
        <v>0</v>
      </c>
      <c r="G484" s="2">
        <v>1</v>
      </c>
      <c r="H484" s="2">
        <v>0</v>
      </c>
      <c r="I484" s="2">
        <v>0</v>
      </c>
      <c r="J484" s="2">
        <v>0</v>
      </c>
      <c r="K484" s="2">
        <v>3622</v>
      </c>
      <c r="L484" s="2">
        <v>3</v>
      </c>
      <c r="M484" s="2">
        <v>4</v>
      </c>
      <c r="N484" s="2">
        <v>4</v>
      </c>
      <c r="O484" s="2">
        <v>0</v>
      </c>
      <c r="P484" s="2">
        <v>0</v>
      </c>
      <c r="Q484" s="2">
        <v>0</v>
      </c>
      <c r="R484" s="2">
        <v>0</v>
      </c>
      <c r="S484" s="2">
        <v>0</v>
      </c>
      <c r="T484" s="2">
        <v>4</v>
      </c>
      <c r="U484" s="2">
        <v>0</v>
      </c>
      <c r="V484" s="2">
        <v>0</v>
      </c>
      <c r="W484" s="2">
        <v>57</v>
      </c>
      <c r="X484" s="2">
        <v>0</v>
      </c>
      <c r="Y484" s="2">
        <v>1</v>
      </c>
      <c r="Z484" s="2">
        <v>0</v>
      </c>
      <c r="AA484" s="2">
        <v>2</v>
      </c>
      <c r="AB484" s="2">
        <v>2</v>
      </c>
      <c r="AC484" s="2">
        <v>1</v>
      </c>
      <c r="AD484" s="2">
        <v>1</v>
      </c>
      <c r="AE484" s="2">
        <v>0</v>
      </c>
      <c r="AF484" s="2">
        <v>1</v>
      </c>
      <c r="AG484" s="20">
        <f t="shared" si="7"/>
        <v>100</v>
      </c>
    </row>
    <row r="485" spans="1:33" x14ac:dyDescent="0.25">
      <c r="A485">
        <v>484</v>
      </c>
      <c r="B485" s="2">
        <v>3</v>
      </c>
      <c r="C485" s="2">
        <v>15</v>
      </c>
      <c r="D485" s="2">
        <v>3</v>
      </c>
      <c r="E485" s="2">
        <v>0</v>
      </c>
      <c r="F485" s="2">
        <v>0</v>
      </c>
      <c r="G485" s="2">
        <v>1</v>
      </c>
      <c r="H485" s="2">
        <v>0</v>
      </c>
      <c r="I485" s="2">
        <v>0</v>
      </c>
      <c r="J485" s="2">
        <v>0</v>
      </c>
      <c r="K485" s="2">
        <v>960</v>
      </c>
      <c r="L485" s="2">
        <v>3</v>
      </c>
      <c r="M485" s="2">
        <v>3</v>
      </c>
      <c r="N485" s="2">
        <v>3</v>
      </c>
      <c r="O485" s="2">
        <v>0</v>
      </c>
      <c r="P485" s="2">
        <v>0</v>
      </c>
      <c r="Q485" s="2">
        <v>0</v>
      </c>
      <c r="R485" s="2">
        <v>0</v>
      </c>
      <c r="S485" s="2">
        <v>0</v>
      </c>
      <c r="T485" s="2">
        <v>2</v>
      </c>
      <c r="U485" s="2">
        <v>0</v>
      </c>
      <c r="V485" s="2">
        <v>0</v>
      </c>
      <c r="W485" s="2">
        <v>30</v>
      </c>
      <c r="X485" s="2">
        <v>0</v>
      </c>
      <c r="Y485" s="2">
        <v>0</v>
      </c>
      <c r="Z485" s="2">
        <v>1</v>
      </c>
      <c r="AA485" s="2">
        <v>2</v>
      </c>
      <c r="AB485" s="2">
        <v>2</v>
      </c>
      <c r="AC485" s="2">
        <v>1</v>
      </c>
      <c r="AD485" s="2">
        <v>0</v>
      </c>
      <c r="AE485" s="2">
        <v>0</v>
      </c>
      <c r="AF485" s="2">
        <v>1</v>
      </c>
      <c r="AG485" s="20">
        <f t="shared" si="7"/>
        <v>100</v>
      </c>
    </row>
    <row r="486" spans="1:33" x14ac:dyDescent="0.25">
      <c r="A486">
        <v>485</v>
      </c>
      <c r="B486" s="2">
        <v>3</v>
      </c>
      <c r="C486" s="2">
        <v>12</v>
      </c>
      <c r="D486" s="2">
        <v>4</v>
      </c>
      <c r="E486" s="2">
        <v>1</v>
      </c>
      <c r="F486" s="2">
        <v>0</v>
      </c>
      <c r="G486" s="2">
        <v>0</v>
      </c>
      <c r="H486" s="2">
        <v>0</v>
      </c>
      <c r="I486" s="2">
        <v>0</v>
      </c>
      <c r="J486" s="2">
        <v>0</v>
      </c>
      <c r="K486" s="2">
        <v>1163</v>
      </c>
      <c r="L486" s="2">
        <v>2</v>
      </c>
      <c r="M486" s="2">
        <v>2</v>
      </c>
      <c r="N486" s="2">
        <v>4</v>
      </c>
      <c r="O486" s="2">
        <v>0</v>
      </c>
      <c r="P486" s="2">
        <v>1</v>
      </c>
      <c r="Q486" s="2">
        <v>0</v>
      </c>
      <c r="R486" s="2">
        <v>0</v>
      </c>
      <c r="S486" s="2">
        <v>0</v>
      </c>
      <c r="T486" s="2">
        <v>4</v>
      </c>
      <c r="U486" s="2">
        <v>1</v>
      </c>
      <c r="V486" s="2">
        <v>0</v>
      </c>
      <c r="W486" s="2">
        <v>44</v>
      </c>
      <c r="X486" s="2">
        <v>0</v>
      </c>
      <c r="Y486" s="2">
        <v>0</v>
      </c>
      <c r="Z486" s="2">
        <v>1</v>
      </c>
      <c r="AA486" s="2">
        <v>1</v>
      </c>
      <c r="AB486" s="2">
        <v>2</v>
      </c>
      <c r="AC486" s="2">
        <v>1</v>
      </c>
      <c r="AD486" s="2">
        <v>1</v>
      </c>
      <c r="AE486" s="2">
        <v>0</v>
      </c>
      <c r="AF486" s="2">
        <v>1</v>
      </c>
      <c r="AG486" s="20">
        <f t="shared" si="7"/>
        <v>100</v>
      </c>
    </row>
    <row r="487" spans="1:33" x14ac:dyDescent="0.25">
      <c r="A487">
        <v>486</v>
      </c>
      <c r="B487" s="2">
        <v>1</v>
      </c>
      <c r="C487" s="2">
        <v>6</v>
      </c>
      <c r="D487" s="2">
        <v>3</v>
      </c>
      <c r="E487" s="2">
        <v>1</v>
      </c>
      <c r="F487" s="2">
        <v>0</v>
      </c>
      <c r="G487" s="2">
        <v>0</v>
      </c>
      <c r="H487" s="2">
        <v>0</v>
      </c>
      <c r="I487" s="2">
        <v>0</v>
      </c>
      <c r="J487" s="2">
        <v>0</v>
      </c>
      <c r="K487" s="2">
        <v>1209</v>
      </c>
      <c r="L487" s="2">
        <v>0</v>
      </c>
      <c r="M487" s="2">
        <v>0</v>
      </c>
      <c r="N487" s="2">
        <v>4</v>
      </c>
      <c r="O487" s="2">
        <v>0</v>
      </c>
      <c r="P487" s="2">
        <v>1</v>
      </c>
      <c r="Q487" s="2">
        <v>0</v>
      </c>
      <c r="R487" s="2">
        <v>0</v>
      </c>
      <c r="S487" s="2">
        <v>0</v>
      </c>
      <c r="T487" s="2">
        <v>4</v>
      </c>
      <c r="U487" s="2">
        <v>0</v>
      </c>
      <c r="V487" s="2">
        <v>0</v>
      </c>
      <c r="W487" s="2">
        <v>47</v>
      </c>
      <c r="X487" s="2">
        <v>0</v>
      </c>
      <c r="Y487" s="2">
        <v>0</v>
      </c>
      <c r="Z487" s="2">
        <v>1</v>
      </c>
      <c r="AA487" s="2">
        <v>1</v>
      </c>
      <c r="AB487" s="2">
        <v>3</v>
      </c>
      <c r="AC487" s="2">
        <v>1</v>
      </c>
      <c r="AD487" s="2">
        <v>1</v>
      </c>
      <c r="AE487" s="2">
        <v>0</v>
      </c>
      <c r="AF487" s="2">
        <v>0</v>
      </c>
      <c r="AG487" s="20">
        <f t="shared" si="7"/>
        <v>-500</v>
      </c>
    </row>
    <row r="488" spans="1:33" x14ac:dyDescent="0.25">
      <c r="A488">
        <v>487</v>
      </c>
      <c r="B488" s="2">
        <v>3</v>
      </c>
      <c r="C488" s="2">
        <v>12</v>
      </c>
      <c r="D488" s="2">
        <v>2</v>
      </c>
      <c r="E488" s="2">
        <v>0</v>
      </c>
      <c r="F488" s="2">
        <v>0</v>
      </c>
      <c r="G488" s="2">
        <v>0</v>
      </c>
      <c r="H488" s="2">
        <v>1</v>
      </c>
      <c r="I488" s="2">
        <v>0</v>
      </c>
      <c r="J488" s="2">
        <v>0</v>
      </c>
      <c r="K488" s="2">
        <v>3077</v>
      </c>
      <c r="L488" s="2">
        <v>0</v>
      </c>
      <c r="M488" s="2">
        <v>2</v>
      </c>
      <c r="N488" s="2">
        <v>2</v>
      </c>
      <c r="O488" s="2">
        <v>0</v>
      </c>
      <c r="P488" s="2">
        <v>1</v>
      </c>
      <c r="Q488" s="2">
        <v>0</v>
      </c>
      <c r="R488" s="2">
        <v>0</v>
      </c>
      <c r="S488" s="2">
        <v>0</v>
      </c>
      <c r="T488" s="2">
        <v>4</v>
      </c>
      <c r="U488" s="2">
        <v>0</v>
      </c>
      <c r="V488" s="2">
        <v>0</v>
      </c>
      <c r="W488" s="2">
        <v>52</v>
      </c>
      <c r="X488" s="2">
        <v>0</v>
      </c>
      <c r="Y488" s="2">
        <v>0</v>
      </c>
      <c r="Z488" s="2">
        <v>1</v>
      </c>
      <c r="AA488" s="2">
        <v>1</v>
      </c>
      <c r="AB488" s="2">
        <v>2</v>
      </c>
      <c r="AC488" s="2">
        <v>1</v>
      </c>
      <c r="AD488" s="2">
        <v>1</v>
      </c>
      <c r="AE488" s="2">
        <v>0</v>
      </c>
      <c r="AF488" s="2">
        <v>1</v>
      </c>
      <c r="AG488" s="20">
        <f t="shared" si="7"/>
        <v>100</v>
      </c>
    </row>
    <row r="489" spans="1:33" x14ac:dyDescent="0.25">
      <c r="A489">
        <v>488</v>
      </c>
      <c r="B489" s="2">
        <v>3</v>
      </c>
      <c r="C489" s="2">
        <v>24</v>
      </c>
      <c r="D489" s="2">
        <v>2</v>
      </c>
      <c r="E489" s="2">
        <v>1</v>
      </c>
      <c r="F489" s="2">
        <v>0</v>
      </c>
      <c r="G489" s="2">
        <v>0</v>
      </c>
      <c r="H489" s="2">
        <v>0</v>
      </c>
      <c r="I489" s="2">
        <v>0</v>
      </c>
      <c r="J489" s="2">
        <v>0</v>
      </c>
      <c r="K489" s="2">
        <v>3757</v>
      </c>
      <c r="L489" s="2">
        <v>0</v>
      </c>
      <c r="M489" s="2">
        <v>4</v>
      </c>
      <c r="N489" s="2">
        <v>4</v>
      </c>
      <c r="O489" s="2">
        <v>0</v>
      </c>
      <c r="P489" s="2">
        <v>0</v>
      </c>
      <c r="Q489" s="2">
        <v>0</v>
      </c>
      <c r="R489" s="2">
        <v>1</v>
      </c>
      <c r="S489" s="2">
        <v>0</v>
      </c>
      <c r="T489" s="2">
        <v>4</v>
      </c>
      <c r="U489" s="2">
        <v>0</v>
      </c>
      <c r="V489" s="2">
        <v>1</v>
      </c>
      <c r="W489" s="2">
        <v>62</v>
      </c>
      <c r="X489" s="2">
        <v>0</v>
      </c>
      <c r="Y489" s="2">
        <v>0</v>
      </c>
      <c r="Z489" s="2">
        <v>0</v>
      </c>
      <c r="AA489" s="2">
        <v>1</v>
      </c>
      <c r="AB489" s="2">
        <v>2</v>
      </c>
      <c r="AC489" s="2">
        <v>1</v>
      </c>
      <c r="AD489" s="2">
        <v>1</v>
      </c>
      <c r="AE489" s="2">
        <v>0</v>
      </c>
      <c r="AF489" s="2">
        <v>1</v>
      </c>
      <c r="AG489" s="20">
        <f t="shared" si="7"/>
        <v>100</v>
      </c>
    </row>
    <row r="490" spans="1:33" x14ac:dyDescent="0.25">
      <c r="A490">
        <v>489</v>
      </c>
      <c r="B490" s="2">
        <v>3</v>
      </c>
      <c r="C490" s="2">
        <v>10</v>
      </c>
      <c r="D490" s="2">
        <v>2</v>
      </c>
      <c r="E490" s="2">
        <v>1</v>
      </c>
      <c r="F490" s="2">
        <v>0</v>
      </c>
      <c r="G490" s="2">
        <v>0</v>
      </c>
      <c r="H490" s="2">
        <v>0</v>
      </c>
      <c r="I490" s="2">
        <v>0</v>
      </c>
      <c r="J490" s="2">
        <v>0</v>
      </c>
      <c r="K490" s="2">
        <v>1418</v>
      </c>
      <c r="L490" s="2">
        <v>1</v>
      </c>
      <c r="M490" s="2">
        <v>2</v>
      </c>
      <c r="N490" s="2">
        <v>3</v>
      </c>
      <c r="O490" s="2">
        <v>0</v>
      </c>
      <c r="P490" s="2">
        <v>1</v>
      </c>
      <c r="Q490" s="2">
        <v>0</v>
      </c>
      <c r="R490" s="2">
        <v>0</v>
      </c>
      <c r="S490" s="2">
        <v>0</v>
      </c>
      <c r="T490" s="2">
        <v>2</v>
      </c>
      <c r="U490" s="2">
        <v>1</v>
      </c>
      <c r="V490" s="2">
        <v>0</v>
      </c>
      <c r="W490" s="2">
        <v>35</v>
      </c>
      <c r="X490" s="2">
        <v>0</v>
      </c>
      <c r="Y490" s="2">
        <v>1</v>
      </c>
      <c r="Z490" s="2">
        <v>0</v>
      </c>
      <c r="AA490" s="2">
        <v>1</v>
      </c>
      <c r="AB490" s="2">
        <v>1</v>
      </c>
      <c r="AC490" s="2">
        <v>1</v>
      </c>
      <c r="AD490" s="2">
        <v>0</v>
      </c>
      <c r="AE490" s="2">
        <v>1</v>
      </c>
      <c r="AF490" s="2">
        <v>1</v>
      </c>
      <c r="AG490" s="20">
        <f t="shared" si="7"/>
        <v>100</v>
      </c>
    </row>
    <row r="491" spans="1:33" x14ac:dyDescent="0.25">
      <c r="A491">
        <v>490</v>
      </c>
      <c r="B491" s="2">
        <v>3</v>
      </c>
      <c r="C491" s="2">
        <v>6</v>
      </c>
      <c r="D491" s="2">
        <v>2</v>
      </c>
      <c r="E491" s="2">
        <v>1</v>
      </c>
      <c r="F491" s="2">
        <v>0</v>
      </c>
      <c r="G491" s="2">
        <v>0</v>
      </c>
      <c r="H491" s="2">
        <v>0</v>
      </c>
      <c r="I491" s="2">
        <v>0</v>
      </c>
      <c r="J491" s="2">
        <v>0</v>
      </c>
      <c r="K491" s="2">
        <v>3518</v>
      </c>
      <c r="L491" s="2">
        <v>0</v>
      </c>
      <c r="M491" s="2">
        <v>2</v>
      </c>
      <c r="N491" s="2">
        <v>2</v>
      </c>
      <c r="O491" s="2">
        <v>0</v>
      </c>
      <c r="P491" s="2">
        <v>1</v>
      </c>
      <c r="Q491" s="2">
        <v>0</v>
      </c>
      <c r="R491" s="2">
        <v>0</v>
      </c>
      <c r="S491" s="2">
        <v>1</v>
      </c>
      <c r="T491" s="2">
        <v>3</v>
      </c>
      <c r="U491" s="2">
        <v>0</v>
      </c>
      <c r="V491" s="2">
        <v>0</v>
      </c>
      <c r="W491" s="2">
        <v>26</v>
      </c>
      <c r="X491" s="2">
        <v>0</v>
      </c>
      <c r="Y491" s="2">
        <v>1</v>
      </c>
      <c r="Z491" s="2">
        <v>0</v>
      </c>
      <c r="AA491" s="2">
        <v>1</v>
      </c>
      <c r="AB491" s="2">
        <v>2</v>
      </c>
      <c r="AC491" s="2">
        <v>1</v>
      </c>
      <c r="AD491" s="2">
        <v>0</v>
      </c>
      <c r="AE491" s="2">
        <v>0</v>
      </c>
      <c r="AF491" s="2">
        <v>1</v>
      </c>
      <c r="AG491" s="20">
        <f t="shared" si="7"/>
        <v>100</v>
      </c>
    </row>
    <row r="492" spans="1:33" x14ac:dyDescent="0.25">
      <c r="A492">
        <v>491</v>
      </c>
      <c r="B492" s="2">
        <v>3</v>
      </c>
      <c r="C492" s="2">
        <v>12</v>
      </c>
      <c r="D492" s="2">
        <v>4</v>
      </c>
      <c r="E492" s="2">
        <v>0</v>
      </c>
      <c r="F492" s="2">
        <v>0</v>
      </c>
      <c r="G492" s="2">
        <v>0</v>
      </c>
      <c r="H492" s="2">
        <v>1</v>
      </c>
      <c r="I492" s="2">
        <v>0</v>
      </c>
      <c r="J492" s="2">
        <v>0</v>
      </c>
      <c r="K492" s="2">
        <v>1934</v>
      </c>
      <c r="L492" s="2">
        <v>0</v>
      </c>
      <c r="M492" s="2">
        <v>4</v>
      </c>
      <c r="N492" s="2">
        <v>2</v>
      </c>
      <c r="O492" s="2">
        <v>0</v>
      </c>
      <c r="P492" s="2">
        <v>1</v>
      </c>
      <c r="Q492" s="2">
        <v>0</v>
      </c>
      <c r="R492" s="2">
        <v>0</v>
      </c>
      <c r="S492" s="2">
        <v>0</v>
      </c>
      <c r="T492" s="2">
        <v>2</v>
      </c>
      <c r="U492" s="2">
        <v>0</v>
      </c>
      <c r="V492" s="2">
        <v>1</v>
      </c>
      <c r="W492" s="2">
        <v>26</v>
      </c>
      <c r="X492" s="2">
        <v>0</v>
      </c>
      <c r="Y492" s="2">
        <v>0</v>
      </c>
      <c r="Z492" s="2">
        <v>1</v>
      </c>
      <c r="AA492" s="2">
        <v>2</v>
      </c>
      <c r="AB492" s="2">
        <v>2</v>
      </c>
      <c r="AC492" s="2">
        <v>1</v>
      </c>
      <c r="AD492" s="2">
        <v>0</v>
      </c>
      <c r="AE492" s="2">
        <v>0</v>
      </c>
      <c r="AF492" s="2">
        <v>1</v>
      </c>
      <c r="AG492" s="20">
        <f t="shared" si="7"/>
        <v>100</v>
      </c>
    </row>
    <row r="493" spans="1:33" x14ac:dyDescent="0.25">
      <c r="A493">
        <v>492</v>
      </c>
      <c r="B493" s="2">
        <v>1</v>
      </c>
      <c r="C493" s="2">
        <v>27</v>
      </c>
      <c r="D493" s="2">
        <v>0</v>
      </c>
      <c r="E493" s="2">
        <v>0</v>
      </c>
      <c r="F493" s="2">
        <v>0</v>
      </c>
      <c r="G493" s="2">
        <v>0</v>
      </c>
      <c r="H493" s="2">
        <v>0</v>
      </c>
      <c r="I493" s="2">
        <v>0</v>
      </c>
      <c r="J493" s="2">
        <v>1</v>
      </c>
      <c r="K493" s="2">
        <v>8318</v>
      </c>
      <c r="L493" s="2">
        <v>0</v>
      </c>
      <c r="M493" s="2">
        <v>4</v>
      </c>
      <c r="N493" s="2">
        <v>2</v>
      </c>
      <c r="O493" s="2">
        <v>0</v>
      </c>
      <c r="P493" s="2">
        <v>0</v>
      </c>
      <c r="Q493" s="2">
        <v>0</v>
      </c>
      <c r="R493" s="2">
        <v>0</v>
      </c>
      <c r="S493" s="2">
        <v>0</v>
      </c>
      <c r="T493" s="2">
        <v>4</v>
      </c>
      <c r="U493" s="2">
        <v>0</v>
      </c>
      <c r="V493" s="2">
        <v>1</v>
      </c>
      <c r="W493" s="2">
        <v>42</v>
      </c>
      <c r="X493" s="2">
        <v>0</v>
      </c>
      <c r="Y493" s="2">
        <v>0</v>
      </c>
      <c r="Z493" s="2">
        <v>0</v>
      </c>
      <c r="AA493" s="2">
        <v>2</v>
      </c>
      <c r="AB493" s="2">
        <v>3</v>
      </c>
      <c r="AC493" s="2">
        <v>1</v>
      </c>
      <c r="AD493" s="2">
        <v>1</v>
      </c>
      <c r="AE493" s="2">
        <v>0</v>
      </c>
      <c r="AF493" s="2">
        <v>0</v>
      </c>
      <c r="AG493" s="20">
        <f t="shared" si="7"/>
        <v>-500</v>
      </c>
    </row>
    <row r="494" spans="1:33" x14ac:dyDescent="0.25">
      <c r="A494">
        <v>493</v>
      </c>
      <c r="B494" s="2">
        <v>3</v>
      </c>
      <c r="C494" s="2">
        <v>6</v>
      </c>
      <c r="D494" s="2">
        <v>4</v>
      </c>
      <c r="E494" s="2">
        <v>0</v>
      </c>
      <c r="F494" s="2">
        <v>0</v>
      </c>
      <c r="G494" s="2">
        <v>0</v>
      </c>
      <c r="H494" s="2">
        <v>1</v>
      </c>
      <c r="I494" s="2">
        <v>0</v>
      </c>
      <c r="J494" s="2">
        <v>0</v>
      </c>
      <c r="K494" s="2">
        <v>1237</v>
      </c>
      <c r="L494" s="2">
        <v>1</v>
      </c>
      <c r="M494" s="2">
        <v>2</v>
      </c>
      <c r="N494" s="2">
        <v>1</v>
      </c>
      <c r="O494" s="2">
        <v>0</v>
      </c>
      <c r="P494" s="2">
        <v>0</v>
      </c>
      <c r="Q494" s="2">
        <v>0</v>
      </c>
      <c r="R494" s="2">
        <v>0</v>
      </c>
      <c r="S494" s="2">
        <v>0</v>
      </c>
      <c r="T494" s="2">
        <v>1</v>
      </c>
      <c r="U494" s="2">
        <v>0</v>
      </c>
      <c r="V494" s="2">
        <v>0</v>
      </c>
      <c r="W494" s="2">
        <v>27</v>
      </c>
      <c r="X494" s="2">
        <v>0</v>
      </c>
      <c r="Y494" s="2">
        <v>0</v>
      </c>
      <c r="Z494" s="2">
        <v>1</v>
      </c>
      <c r="AA494" s="2">
        <v>2</v>
      </c>
      <c r="AB494" s="2">
        <v>2</v>
      </c>
      <c r="AC494" s="2">
        <v>1</v>
      </c>
      <c r="AD494" s="2">
        <v>0</v>
      </c>
      <c r="AE494" s="2">
        <v>0</v>
      </c>
      <c r="AF494" s="2">
        <v>1</v>
      </c>
      <c r="AG494" s="20">
        <f t="shared" si="7"/>
        <v>100</v>
      </c>
    </row>
    <row r="495" spans="1:33" x14ac:dyDescent="0.25">
      <c r="A495">
        <v>494</v>
      </c>
      <c r="B495" s="2">
        <v>1</v>
      </c>
      <c r="C495" s="2">
        <v>6</v>
      </c>
      <c r="D495" s="2">
        <v>2</v>
      </c>
      <c r="E495" s="2">
        <v>0</v>
      </c>
      <c r="F495" s="2">
        <v>0</v>
      </c>
      <c r="G495" s="2">
        <v>0</v>
      </c>
      <c r="H495" s="2">
        <v>1</v>
      </c>
      <c r="I495" s="2">
        <v>0</v>
      </c>
      <c r="J495" s="2">
        <v>0</v>
      </c>
      <c r="K495" s="2">
        <v>368</v>
      </c>
      <c r="L495" s="2">
        <v>4</v>
      </c>
      <c r="M495" s="2">
        <v>4</v>
      </c>
      <c r="N495" s="2">
        <v>4</v>
      </c>
      <c r="O495" s="2">
        <v>0</v>
      </c>
      <c r="P495" s="2">
        <v>1</v>
      </c>
      <c r="Q495" s="2">
        <v>0</v>
      </c>
      <c r="R495" s="2">
        <v>0</v>
      </c>
      <c r="S495" s="2">
        <v>0</v>
      </c>
      <c r="T495" s="2">
        <v>4</v>
      </c>
      <c r="U495" s="2">
        <v>0</v>
      </c>
      <c r="V495" s="2">
        <v>0</v>
      </c>
      <c r="W495" s="2">
        <v>38</v>
      </c>
      <c r="X495" s="2">
        <v>0</v>
      </c>
      <c r="Y495" s="2">
        <v>0</v>
      </c>
      <c r="Z495" s="2">
        <v>1</v>
      </c>
      <c r="AA495" s="2">
        <v>1</v>
      </c>
      <c r="AB495" s="2">
        <v>2</v>
      </c>
      <c r="AC495" s="2">
        <v>1</v>
      </c>
      <c r="AD495" s="2">
        <v>0</v>
      </c>
      <c r="AE495" s="2">
        <v>0</v>
      </c>
      <c r="AF495" s="2">
        <v>1</v>
      </c>
      <c r="AG495" s="20">
        <f t="shared" si="7"/>
        <v>100</v>
      </c>
    </row>
    <row r="496" spans="1:33" x14ac:dyDescent="0.25">
      <c r="A496">
        <v>495</v>
      </c>
      <c r="B496" s="2">
        <v>0</v>
      </c>
      <c r="C496" s="2">
        <v>12</v>
      </c>
      <c r="D496" s="2">
        <v>4</v>
      </c>
      <c r="E496" s="2">
        <v>1</v>
      </c>
      <c r="F496" s="2">
        <v>0</v>
      </c>
      <c r="G496" s="2">
        <v>0</v>
      </c>
      <c r="H496" s="2">
        <v>0</v>
      </c>
      <c r="I496" s="2">
        <v>0</v>
      </c>
      <c r="J496" s="2">
        <v>0</v>
      </c>
      <c r="K496" s="2">
        <v>2122</v>
      </c>
      <c r="L496" s="2">
        <v>0</v>
      </c>
      <c r="M496" s="2">
        <v>2</v>
      </c>
      <c r="N496" s="2">
        <v>3</v>
      </c>
      <c r="O496" s="2">
        <v>0</v>
      </c>
      <c r="P496" s="2">
        <v>1</v>
      </c>
      <c r="Q496" s="2">
        <v>0</v>
      </c>
      <c r="R496" s="2">
        <v>0</v>
      </c>
      <c r="S496" s="2">
        <v>0</v>
      </c>
      <c r="T496" s="2">
        <v>2</v>
      </c>
      <c r="U496" s="2">
        <v>1</v>
      </c>
      <c r="V496" s="2">
        <v>0</v>
      </c>
      <c r="W496" s="2">
        <v>39</v>
      </c>
      <c r="X496" s="2">
        <v>0</v>
      </c>
      <c r="Y496" s="2">
        <v>1</v>
      </c>
      <c r="Z496" s="2">
        <v>0</v>
      </c>
      <c r="AA496" s="2">
        <v>2</v>
      </c>
      <c r="AB496" s="2">
        <v>1</v>
      </c>
      <c r="AC496" s="2">
        <v>2</v>
      </c>
      <c r="AD496" s="2">
        <v>0</v>
      </c>
      <c r="AE496" s="2">
        <v>1</v>
      </c>
      <c r="AF496" s="2">
        <v>1</v>
      </c>
      <c r="AG496" s="20">
        <f t="shared" si="7"/>
        <v>100</v>
      </c>
    </row>
    <row r="497" spans="1:33" x14ac:dyDescent="0.25">
      <c r="A497">
        <v>496</v>
      </c>
      <c r="B497" s="2">
        <v>0</v>
      </c>
      <c r="C497" s="2">
        <v>24</v>
      </c>
      <c r="D497" s="2">
        <v>2</v>
      </c>
      <c r="E497" s="2">
        <v>0</v>
      </c>
      <c r="F497" s="2">
        <v>0</v>
      </c>
      <c r="G497" s="2">
        <v>1</v>
      </c>
      <c r="H497" s="2">
        <v>0</v>
      </c>
      <c r="I497" s="2">
        <v>0</v>
      </c>
      <c r="J497" s="2">
        <v>0</v>
      </c>
      <c r="K497" s="2">
        <v>2996</v>
      </c>
      <c r="L497" s="2">
        <v>4</v>
      </c>
      <c r="M497" s="2">
        <v>2</v>
      </c>
      <c r="N497" s="2">
        <v>2</v>
      </c>
      <c r="O497" s="2">
        <v>0</v>
      </c>
      <c r="P497" s="2">
        <v>0</v>
      </c>
      <c r="Q497" s="2">
        <v>1</v>
      </c>
      <c r="R497" s="2">
        <v>0</v>
      </c>
      <c r="S497" s="2">
        <v>0</v>
      </c>
      <c r="T497" s="2">
        <v>4</v>
      </c>
      <c r="U497" s="2">
        <v>0</v>
      </c>
      <c r="V497" s="2">
        <v>0</v>
      </c>
      <c r="W497" s="2">
        <v>20</v>
      </c>
      <c r="X497" s="2">
        <v>0</v>
      </c>
      <c r="Y497" s="2">
        <v>0</v>
      </c>
      <c r="Z497" s="2">
        <v>1</v>
      </c>
      <c r="AA497" s="2">
        <v>1</v>
      </c>
      <c r="AB497" s="2">
        <v>2</v>
      </c>
      <c r="AC497" s="2">
        <v>1</v>
      </c>
      <c r="AD497" s="2">
        <v>0</v>
      </c>
      <c r="AE497" s="2">
        <v>0</v>
      </c>
      <c r="AF497" s="2">
        <v>0</v>
      </c>
      <c r="AG497" s="20">
        <f t="shared" si="7"/>
        <v>-500</v>
      </c>
    </row>
    <row r="498" spans="1:33" x14ac:dyDescent="0.25">
      <c r="A498">
        <v>497</v>
      </c>
      <c r="B498" s="2">
        <v>1</v>
      </c>
      <c r="C498" s="2">
        <v>36</v>
      </c>
      <c r="D498" s="2">
        <v>2</v>
      </c>
      <c r="E498" s="2">
        <v>0</v>
      </c>
      <c r="F498" s="2">
        <v>0</v>
      </c>
      <c r="G498" s="2">
        <v>1</v>
      </c>
      <c r="H498" s="2">
        <v>0</v>
      </c>
      <c r="I498" s="2">
        <v>0</v>
      </c>
      <c r="J498" s="2">
        <v>0</v>
      </c>
      <c r="K498" s="2">
        <v>9034</v>
      </c>
      <c r="L498" s="2">
        <v>1</v>
      </c>
      <c r="M498" s="2">
        <v>1</v>
      </c>
      <c r="N498" s="2">
        <v>4</v>
      </c>
      <c r="O498" s="2">
        <v>0</v>
      </c>
      <c r="P498" s="2">
        <v>1</v>
      </c>
      <c r="Q498" s="2">
        <v>0</v>
      </c>
      <c r="R498" s="2">
        <v>1</v>
      </c>
      <c r="S498" s="2">
        <v>0</v>
      </c>
      <c r="T498" s="2">
        <v>1</v>
      </c>
      <c r="U498" s="2">
        <v>0</v>
      </c>
      <c r="V498" s="2">
        <v>1</v>
      </c>
      <c r="W498" s="2">
        <v>29</v>
      </c>
      <c r="X498" s="2">
        <v>0</v>
      </c>
      <c r="Y498" s="2">
        <v>1</v>
      </c>
      <c r="Z498" s="2">
        <v>0</v>
      </c>
      <c r="AA498" s="2">
        <v>1</v>
      </c>
      <c r="AB498" s="2">
        <v>3</v>
      </c>
      <c r="AC498" s="2">
        <v>1</v>
      </c>
      <c r="AD498" s="2">
        <v>1</v>
      </c>
      <c r="AE498" s="2">
        <v>0</v>
      </c>
      <c r="AF498" s="2">
        <v>0</v>
      </c>
      <c r="AG498" s="20">
        <f t="shared" si="7"/>
        <v>-500</v>
      </c>
    </row>
    <row r="499" spans="1:33" x14ac:dyDescent="0.25">
      <c r="A499">
        <v>498</v>
      </c>
      <c r="B499" s="2">
        <v>3</v>
      </c>
      <c r="C499" s="2">
        <v>24</v>
      </c>
      <c r="D499" s="2">
        <v>4</v>
      </c>
      <c r="E499" s="2">
        <v>0</v>
      </c>
      <c r="F499" s="2">
        <v>0</v>
      </c>
      <c r="G499" s="2">
        <v>1</v>
      </c>
      <c r="H499" s="2">
        <v>0</v>
      </c>
      <c r="I499" s="2">
        <v>0</v>
      </c>
      <c r="J499" s="2">
        <v>0</v>
      </c>
      <c r="K499" s="2">
        <v>1585</v>
      </c>
      <c r="L499" s="2">
        <v>0</v>
      </c>
      <c r="M499" s="2">
        <v>3</v>
      </c>
      <c r="N499" s="2">
        <v>4</v>
      </c>
      <c r="O499" s="2">
        <v>0</v>
      </c>
      <c r="P499" s="2">
        <v>1</v>
      </c>
      <c r="Q499" s="2">
        <v>0</v>
      </c>
      <c r="R499" s="2">
        <v>0</v>
      </c>
      <c r="S499" s="2">
        <v>0</v>
      </c>
      <c r="T499" s="2">
        <v>3</v>
      </c>
      <c r="U499" s="2">
        <v>0</v>
      </c>
      <c r="V499" s="2">
        <v>0</v>
      </c>
      <c r="W499" s="2">
        <v>40</v>
      </c>
      <c r="X499" s="2">
        <v>0</v>
      </c>
      <c r="Y499" s="2">
        <v>0</v>
      </c>
      <c r="Z499" s="2">
        <v>1</v>
      </c>
      <c r="AA499" s="2">
        <v>2</v>
      </c>
      <c r="AB499" s="2">
        <v>2</v>
      </c>
      <c r="AC499" s="2">
        <v>1</v>
      </c>
      <c r="AD499" s="2">
        <v>0</v>
      </c>
      <c r="AE499" s="2">
        <v>0</v>
      </c>
      <c r="AF499" s="2">
        <v>1</v>
      </c>
      <c r="AG499" s="20">
        <f t="shared" si="7"/>
        <v>100</v>
      </c>
    </row>
    <row r="500" spans="1:33" x14ac:dyDescent="0.25">
      <c r="A500">
        <v>499</v>
      </c>
      <c r="B500" s="2">
        <v>1</v>
      </c>
      <c r="C500" s="2">
        <v>18</v>
      </c>
      <c r="D500" s="2">
        <v>2</v>
      </c>
      <c r="E500" s="2">
        <v>0</v>
      </c>
      <c r="F500" s="2">
        <v>0</v>
      </c>
      <c r="G500" s="2">
        <v>0</v>
      </c>
      <c r="H500" s="2">
        <v>1</v>
      </c>
      <c r="I500" s="2">
        <v>0</v>
      </c>
      <c r="J500" s="2">
        <v>0</v>
      </c>
      <c r="K500" s="2">
        <v>1301</v>
      </c>
      <c r="L500" s="2">
        <v>0</v>
      </c>
      <c r="M500" s="2">
        <v>4</v>
      </c>
      <c r="N500" s="2">
        <v>4</v>
      </c>
      <c r="O500" s="2">
        <v>0</v>
      </c>
      <c r="P500" s="2">
        <v>0</v>
      </c>
      <c r="Q500" s="2">
        <v>1</v>
      </c>
      <c r="R500" s="2">
        <v>0</v>
      </c>
      <c r="S500" s="2">
        <v>1</v>
      </c>
      <c r="T500" s="2">
        <v>2</v>
      </c>
      <c r="U500" s="2">
        <v>1</v>
      </c>
      <c r="V500" s="2">
        <v>0</v>
      </c>
      <c r="W500" s="2">
        <v>32</v>
      </c>
      <c r="X500" s="2">
        <v>0</v>
      </c>
      <c r="Y500" s="2">
        <v>0</v>
      </c>
      <c r="Z500" s="2">
        <v>1</v>
      </c>
      <c r="AA500" s="2">
        <v>1</v>
      </c>
      <c r="AB500" s="2">
        <v>1</v>
      </c>
      <c r="AC500" s="2">
        <v>1</v>
      </c>
      <c r="AD500" s="2">
        <v>0</v>
      </c>
      <c r="AE500" s="2">
        <v>0</v>
      </c>
      <c r="AF500" s="2">
        <v>1</v>
      </c>
      <c r="AG500" s="20">
        <f t="shared" si="7"/>
        <v>100</v>
      </c>
    </row>
    <row r="501" spans="1:33" x14ac:dyDescent="0.25">
      <c r="A501">
        <v>500</v>
      </c>
      <c r="B501" s="2">
        <v>2</v>
      </c>
      <c r="C501" s="2">
        <v>6</v>
      </c>
      <c r="D501" s="2">
        <v>4</v>
      </c>
      <c r="E501" s="2">
        <v>1</v>
      </c>
      <c r="F501" s="2">
        <v>0</v>
      </c>
      <c r="G501" s="2">
        <v>0</v>
      </c>
      <c r="H501" s="2">
        <v>0</v>
      </c>
      <c r="I501" s="2">
        <v>0</v>
      </c>
      <c r="J501" s="2">
        <v>0</v>
      </c>
      <c r="K501" s="2">
        <v>1323</v>
      </c>
      <c r="L501" s="2">
        <v>1</v>
      </c>
      <c r="M501" s="2">
        <v>4</v>
      </c>
      <c r="N501" s="2">
        <v>2</v>
      </c>
      <c r="O501" s="2">
        <v>1</v>
      </c>
      <c r="P501" s="2">
        <v>0</v>
      </c>
      <c r="Q501" s="2">
        <v>0</v>
      </c>
      <c r="R501" s="2">
        <v>0</v>
      </c>
      <c r="S501" s="2">
        <v>0</v>
      </c>
      <c r="T501" s="2">
        <v>4</v>
      </c>
      <c r="U501" s="2">
        <v>0</v>
      </c>
      <c r="V501" s="2">
        <v>0</v>
      </c>
      <c r="W501" s="2">
        <v>28</v>
      </c>
      <c r="X501" s="2">
        <v>0</v>
      </c>
      <c r="Y501" s="2">
        <v>0</v>
      </c>
      <c r="Z501" s="2">
        <v>1</v>
      </c>
      <c r="AA501" s="2">
        <v>2</v>
      </c>
      <c r="AB501" s="2">
        <v>2</v>
      </c>
      <c r="AC501" s="2">
        <v>2</v>
      </c>
      <c r="AD501" s="2">
        <v>1</v>
      </c>
      <c r="AE501" s="2">
        <v>0</v>
      </c>
      <c r="AF501" s="2">
        <v>1</v>
      </c>
      <c r="AG501" s="20">
        <f t="shared" si="7"/>
        <v>100</v>
      </c>
    </row>
    <row r="502" spans="1:33" x14ac:dyDescent="0.25">
      <c r="A502">
        <v>501</v>
      </c>
      <c r="B502" s="2">
        <v>0</v>
      </c>
      <c r="C502" s="2">
        <v>24</v>
      </c>
      <c r="D502" s="2">
        <v>2</v>
      </c>
      <c r="E502" s="2">
        <v>1</v>
      </c>
      <c r="F502" s="2">
        <v>0</v>
      </c>
      <c r="G502" s="2">
        <v>0</v>
      </c>
      <c r="H502" s="2">
        <v>0</v>
      </c>
      <c r="I502" s="2">
        <v>0</v>
      </c>
      <c r="J502" s="2">
        <v>0</v>
      </c>
      <c r="K502" s="2">
        <v>3123</v>
      </c>
      <c r="L502" s="2">
        <v>0</v>
      </c>
      <c r="M502" s="2">
        <v>1</v>
      </c>
      <c r="N502" s="2">
        <v>4</v>
      </c>
      <c r="O502" s="2">
        <v>0</v>
      </c>
      <c r="P502" s="2">
        <v>0</v>
      </c>
      <c r="Q502" s="2">
        <v>0</v>
      </c>
      <c r="R502" s="2">
        <v>0</v>
      </c>
      <c r="S502" s="2">
        <v>0</v>
      </c>
      <c r="T502" s="2">
        <v>1</v>
      </c>
      <c r="U502" s="2">
        <v>0</v>
      </c>
      <c r="V502" s="2">
        <v>0</v>
      </c>
      <c r="W502" s="2">
        <v>27</v>
      </c>
      <c r="X502" s="2">
        <v>0</v>
      </c>
      <c r="Y502" s="2">
        <v>0</v>
      </c>
      <c r="Z502" s="2">
        <v>1</v>
      </c>
      <c r="AA502" s="2">
        <v>1</v>
      </c>
      <c r="AB502" s="2">
        <v>2</v>
      </c>
      <c r="AC502" s="2">
        <v>1</v>
      </c>
      <c r="AD502" s="2">
        <v>0</v>
      </c>
      <c r="AE502" s="2">
        <v>0</v>
      </c>
      <c r="AF502" s="2">
        <v>0</v>
      </c>
      <c r="AG502" s="20">
        <f t="shared" si="7"/>
        <v>-500</v>
      </c>
    </row>
    <row r="503" spans="1:33" x14ac:dyDescent="0.25">
      <c r="A503">
        <v>502</v>
      </c>
      <c r="B503" s="2">
        <v>0</v>
      </c>
      <c r="C503" s="2">
        <v>36</v>
      </c>
      <c r="D503" s="2">
        <v>2</v>
      </c>
      <c r="E503" s="2">
        <v>0</v>
      </c>
      <c r="F503" s="2">
        <v>1</v>
      </c>
      <c r="G503" s="2">
        <v>0</v>
      </c>
      <c r="H503" s="2">
        <v>0</v>
      </c>
      <c r="I503" s="2">
        <v>0</v>
      </c>
      <c r="J503" s="2">
        <v>0</v>
      </c>
      <c r="K503" s="2">
        <v>5493</v>
      </c>
      <c r="L503" s="2">
        <v>0</v>
      </c>
      <c r="M503" s="2">
        <v>4</v>
      </c>
      <c r="N503" s="2">
        <v>2</v>
      </c>
      <c r="O503" s="2">
        <v>0</v>
      </c>
      <c r="P503" s="2">
        <v>1</v>
      </c>
      <c r="Q503" s="2">
        <v>0</v>
      </c>
      <c r="R503" s="2">
        <v>0</v>
      </c>
      <c r="S503" s="2">
        <v>0</v>
      </c>
      <c r="T503" s="2">
        <v>4</v>
      </c>
      <c r="U503" s="2">
        <v>0</v>
      </c>
      <c r="V503" s="2">
        <v>1</v>
      </c>
      <c r="W503" s="2">
        <v>42</v>
      </c>
      <c r="X503" s="2">
        <v>0</v>
      </c>
      <c r="Y503" s="2">
        <v>0</v>
      </c>
      <c r="Z503" s="2">
        <v>0</v>
      </c>
      <c r="AA503" s="2">
        <v>1</v>
      </c>
      <c r="AB503" s="2">
        <v>2</v>
      </c>
      <c r="AC503" s="2">
        <v>2</v>
      </c>
      <c r="AD503" s="2">
        <v>0</v>
      </c>
      <c r="AE503" s="2">
        <v>0</v>
      </c>
      <c r="AF503" s="2">
        <v>1</v>
      </c>
      <c r="AG503" s="20">
        <f t="shared" si="7"/>
        <v>100</v>
      </c>
    </row>
    <row r="504" spans="1:33" x14ac:dyDescent="0.25">
      <c r="A504">
        <v>503</v>
      </c>
      <c r="B504" s="2">
        <v>2</v>
      </c>
      <c r="C504" s="2">
        <v>9</v>
      </c>
      <c r="D504" s="2">
        <v>2</v>
      </c>
      <c r="E504" s="2">
        <v>0</v>
      </c>
      <c r="F504" s="2">
        <v>0</v>
      </c>
      <c r="G504" s="2">
        <v>0</v>
      </c>
      <c r="H504" s="2">
        <v>1</v>
      </c>
      <c r="I504" s="2">
        <v>0</v>
      </c>
      <c r="J504" s="2">
        <v>0</v>
      </c>
      <c r="K504" s="2">
        <v>1126</v>
      </c>
      <c r="L504" s="2">
        <v>1</v>
      </c>
      <c r="M504" s="2">
        <v>4</v>
      </c>
      <c r="N504" s="2">
        <v>2</v>
      </c>
      <c r="O504" s="2">
        <v>1</v>
      </c>
      <c r="P504" s="2">
        <v>0</v>
      </c>
      <c r="Q504" s="2">
        <v>0</v>
      </c>
      <c r="R504" s="2">
        <v>0</v>
      </c>
      <c r="S504" s="2">
        <v>0</v>
      </c>
      <c r="T504" s="2">
        <v>4</v>
      </c>
      <c r="U504" s="2">
        <v>1</v>
      </c>
      <c r="V504" s="2">
        <v>0</v>
      </c>
      <c r="W504" s="2">
        <v>49</v>
      </c>
      <c r="X504" s="2">
        <v>0</v>
      </c>
      <c r="Y504" s="2">
        <v>0</v>
      </c>
      <c r="Z504" s="2">
        <v>1</v>
      </c>
      <c r="AA504" s="2">
        <v>1</v>
      </c>
      <c r="AB504" s="2">
        <v>2</v>
      </c>
      <c r="AC504" s="2">
        <v>1</v>
      </c>
      <c r="AD504" s="2">
        <v>0</v>
      </c>
      <c r="AE504" s="2">
        <v>0</v>
      </c>
      <c r="AF504" s="2">
        <v>1</v>
      </c>
      <c r="AG504" s="20">
        <f t="shared" si="7"/>
        <v>100</v>
      </c>
    </row>
    <row r="505" spans="1:33" x14ac:dyDescent="0.25">
      <c r="A505">
        <v>504</v>
      </c>
      <c r="B505" s="2">
        <v>1</v>
      </c>
      <c r="C505" s="2">
        <v>24</v>
      </c>
      <c r="D505" s="2">
        <v>4</v>
      </c>
      <c r="E505" s="2">
        <v>0</v>
      </c>
      <c r="F505" s="2">
        <v>0</v>
      </c>
      <c r="G505" s="2">
        <v>0</v>
      </c>
      <c r="H505" s="2">
        <v>1</v>
      </c>
      <c r="I505" s="2">
        <v>0</v>
      </c>
      <c r="J505" s="2">
        <v>0</v>
      </c>
      <c r="K505" s="2">
        <v>1216</v>
      </c>
      <c r="L505" s="2">
        <v>1</v>
      </c>
      <c r="M505" s="2">
        <v>1</v>
      </c>
      <c r="N505" s="2">
        <v>4</v>
      </c>
      <c r="O505" s="2">
        <v>0</v>
      </c>
      <c r="P505" s="2">
        <v>1</v>
      </c>
      <c r="Q505" s="2">
        <v>0</v>
      </c>
      <c r="R505" s="2">
        <v>0</v>
      </c>
      <c r="S505" s="2">
        <v>0</v>
      </c>
      <c r="T505" s="2">
        <v>4</v>
      </c>
      <c r="U505" s="2">
        <v>0</v>
      </c>
      <c r="V505" s="2">
        <v>1</v>
      </c>
      <c r="W505" s="2">
        <v>38</v>
      </c>
      <c r="X505" s="2">
        <v>1</v>
      </c>
      <c r="Y505" s="2">
        <v>0</v>
      </c>
      <c r="Z505" s="2">
        <v>1</v>
      </c>
      <c r="AA505" s="2">
        <v>2</v>
      </c>
      <c r="AB505" s="2">
        <v>2</v>
      </c>
      <c r="AC505" s="2">
        <v>2</v>
      </c>
      <c r="AD505" s="2">
        <v>0</v>
      </c>
      <c r="AE505" s="2">
        <v>0</v>
      </c>
      <c r="AF505" s="2">
        <v>0</v>
      </c>
      <c r="AG505" s="20">
        <f t="shared" si="7"/>
        <v>-500</v>
      </c>
    </row>
    <row r="506" spans="1:33" x14ac:dyDescent="0.25">
      <c r="A506">
        <v>505</v>
      </c>
      <c r="B506" s="2">
        <v>0</v>
      </c>
      <c r="C506" s="2">
        <v>24</v>
      </c>
      <c r="D506" s="2">
        <v>2</v>
      </c>
      <c r="E506" s="2">
        <v>1</v>
      </c>
      <c r="F506" s="2">
        <v>0</v>
      </c>
      <c r="G506" s="2">
        <v>0</v>
      </c>
      <c r="H506" s="2">
        <v>0</v>
      </c>
      <c r="I506" s="2">
        <v>0</v>
      </c>
      <c r="J506" s="2">
        <v>0</v>
      </c>
      <c r="K506" s="2">
        <v>1207</v>
      </c>
      <c r="L506" s="2">
        <v>0</v>
      </c>
      <c r="M506" s="2">
        <v>1</v>
      </c>
      <c r="N506" s="2">
        <v>4</v>
      </c>
      <c r="O506" s="2">
        <v>0</v>
      </c>
      <c r="P506" s="2">
        <v>0</v>
      </c>
      <c r="Q506" s="2">
        <v>0</v>
      </c>
      <c r="R506" s="2">
        <v>0</v>
      </c>
      <c r="S506" s="2">
        <v>0</v>
      </c>
      <c r="T506" s="2">
        <v>4</v>
      </c>
      <c r="U506" s="2">
        <v>0</v>
      </c>
      <c r="V506" s="2">
        <v>0</v>
      </c>
      <c r="W506" s="2">
        <v>24</v>
      </c>
      <c r="X506" s="2">
        <v>0</v>
      </c>
      <c r="Y506" s="2">
        <v>1</v>
      </c>
      <c r="Z506" s="2">
        <v>0</v>
      </c>
      <c r="AA506" s="2">
        <v>1</v>
      </c>
      <c r="AB506" s="2">
        <v>2</v>
      </c>
      <c r="AC506" s="2">
        <v>1</v>
      </c>
      <c r="AD506" s="2">
        <v>0</v>
      </c>
      <c r="AE506" s="2">
        <v>0</v>
      </c>
      <c r="AF506" s="2">
        <v>0</v>
      </c>
      <c r="AG506" s="20">
        <f t="shared" si="7"/>
        <v>-500</v>
      </c>
    </row>
    <row r="507" spans="1:33" x14ac:dyDescent="0.25">
      <c r="A507">
        <v>506</v>
      </c>
      <c r="B507" s="2">
        <v>3</v>
      </c>
      <c r="C507" s="2">
        <v>10</v>
      </c>
      <c r="D507" s="2">
        <v>2</v>
      </c>
      <c r="E507" s="2">
        <v>1</v>
      </c>
      <c r="F507" s="2">
        <v>0</v>
      </c>
      <c r="G507" s="2">
        <v>0</v>
      </c>
      <c r="H507" s="2">
        <v>0</v>
      </c>
      <c r="I507" s="2">
        <v>0</v>
      </c>
      <c r="J507" s="2">
        <v>0</v>
      </c>
      <c r="K507" s="2">
        <v>1309</v>
      </c>
      <c r="L507" s="2">
        <v>4</v>
      </c>
      <c r="M507" s="2">
        <v>2</v>
      </c>
      <c r="N507" s="2">
        <v>4</v>
      </c>
      <c r="O507" s="2">
        <v>0</v>
      </c>
      <c r="P507" s="2">
        <v>1</v>
      </c>
      <c r="Q507" s="2">
        <v>0</v>
      </c>
      <c r="R507" s="2">
        <v>0</v>
      </c>
      <c r="S507" s="2">
        <v>1</v>
      </c>
      <c r="T507" s="2">
        <v>4</v>
      </c>
      <c r="U507" s="2">
        <v>0</v>
      </c>
      <c r="V507" s="2">
        <v>0</v>
      </c>
      <c r="W507" s="2">
        <v>27</v>
      </c>
      <c r="X507" s="2">
        <v>0</v>
      </c>
      <c r="Y507" s="2">
        <v>0</v>
      </c>
      <c r="Z507" s="2">
        <v>1</v>
      </c>
      <c r="AA507" s="2">
        <v>1</v>
      </c>
      <c r="AB507" s="2">
        <v>1</v>
      </c>
      <c r="AC507" s="2">
        <v>1</v>
      </c>
      <c r="AD507" s="2">
        <v>0</v>
      </c>
      <c r="AE507" s="2">
        <v>0</v>
      </c>
      <c r="AF507" s="2">
        <v>0</v>
      </c>
      <c r="AG507" s="20">
        <f t="shared" si="7"/>
        <v>-500</v>
      </c>
    </row>
    <row r="508" spans="1:33" x14ac:dyDescent="0.25">
      <c r="A508">
        <v>507</v>
      </c>
      <c r="B508" s="2">
        <v>2</v>
      </c>
      <c r="C508" s="2">
        <v>15</v>
      </c>
      <c r="D508" s="2">
        <v>4</v>
      </c>
      <c r="E508" s="2">
        <v>0</v>
      </c>
      <c r="F508" s="2">
        <v>1</v>
      </c>
      <c r="G508" s="2">
        <v>0</v>
      </c>
      <c r="H508" s="2">
        <v>0</v>
      </c>
      <c r="I508" s="2">
        <v>0</v>
      </c>
      <c r="J508" s="2">
        <v>0</v>
      </c>
      <c r="K508" s="2">
        <v>2360</v>
      </c>
      <c r="L508" s="2">
        <v>2</v>
      </c>
      <c r="M508" s="2">
        <v>2</v>
      </c>
      <c r="N508" s="2">
        <v>2</v>
      </c>
      <c r="O508" s="2">
        <v>0</v>
      </c>
      <c r="P508" s="2">
        <v>1</v>
      </c>
      <c r="Q508" s="2">
        <v>0</v>
      </c>
      <c r="R508" s="2">
        <v>0</v>
      </c>
      <c r="S508" s="2">
        <v>0</v>
      </c>
      <c r="T508" s="2">
        <v>2</v>
      </c>
      <c r="U508" s="2">
        <v>0</v>
      </c>
      <c r="V508" s="2">
        <v>0</v>
      </c>
      <c r="W508" s="2">
        <v>36</v>
      </c>
      <c r="X508" s="2">
        <v>0</v>
      </c>
      <c r="Y508" s="2">
        <v>0</v>
      </c>
      <c r="Z508" s="2">
        <v>1</v>
      </c>
      <c r="AA508" s="2">
        <v>1</v>
      </c>
      <c r="AB508" s="2">
        <v>2</v>
      </c>
      <c r="AC508" s="2">
        <v>1</v>
      </c>
      <c r="AD508" s="2">
        <v>1</v>
      </c>
      <c r="AE508" s="2">
        <v>0</v>
      </c>
      <c r="AF508" s="2">
        <v>1</v>
      </c>
      <c r="AG508" s="20">
        <f t="shared" si="7"/>
        <v>100</v>
      </c>
    </row>
    <row r="509" spans="1:33" x14ac:dyDescent="0.25">
      <c r="A509">
        <v>508</v>
      </c>
      <c r="B509" s="2">
        <v>1</v>
      </c>
      <c r="C509" s="2">
        <v>15</v>
      </c>
      <c r="D509" s="2">
        <v>1</v>
      </c>
      <c r="E509" s="2">
        <v>1</v>
      </c>
      <c r="F509" s="2">
        <v>0</v>
      </c>
      <c r="G509" s="2">
        <v>0</v>
      </c>
      <c r="H509" s="2">
        <v>0</v>
      </c>
      <c r="I509" s="2">
        <v>0</v>
      </c>
      <c r="J509" s="2">
        <v>0</v>
      </c>
      <c r="K509" s="2">
        <v>6850</v>
      </c>
      <c r="L509" s="2">
        <v>1</v>
      </c>
      <c r="M509" s="2">
        <v>0</v>
      </c>
      <c r="N509" s="2">
        <v>1</v>
      </c>
      <c r="O509" s="2">
        <v>0</v>
      </c>
      <c r="P509" s="2">
        <v>1</v>
      </c>
      <c r="Q509" s="2">
        <v>0</v>
      </c>
      <c r="R509" s="2">
        <v>0</v>
      </c>
      <c r="S509" s="2">
        <v>0</v>
      </c>
      <c r="T509" s="2">
        <v>2</v>
      </c>
      <c r="U509" s="2">
        <v>0</v>
      </c>
      <c r="V509" s="2">
        <v>0</v>
      </c>
      <c r="W509" s="2">
        <v>34</v>
      </c>
      <c r="X509" s="2">
        <v>0</v>
      </c>
      <c r="Y509" s="2">
        <v>0</v>
      </c>
      <c r="Z509" s="2">
        <v>1</v>
      </c>
      <c r="AA509" s="2">
        <v>1</v>
      </c>
      <c r="AB509" s="2">
        <v>3</v>
      </c>
      <c r="AC509" s="2">
        <v>2</v>
      </c>
      <c r="AD509" s="2">
        <v>1</v>
      </c>
      <c r="AE509" s="2">
        <v>0</v>
      </c>
      <c r="AF509" s="2">
        <v>0</v>
      </c>
      <c r="AG509" s="20">
        <f t="shared" si="7"/>
        <v>-500</v>
      </c>
    </row>
    <row r="510" spans="1:33" x14ac:dyDescent="0.25">
      <c r="A510">
        <v>509</v>
      </c>
      <c r="B510" s="2">
        <v>3</v>
      </c>
      <c r="C510" s="2">
        <v>24</v>
      </c>
      <c r="D510" s="2">
        <v>2</v>
      </c>
      <c r="E510" s="2">
        <v>0</v>
      </c>
      <c r="F510" s="2">
        <v>0</v>
      </c>
      <c r="G510" s="2">
        <v>0</v>
      </c>
      <c r="H510" s="2">
        <v>1</v>
      </c>
      <c r="I510" s="2">
        <v>0</v>
      </c>
      <c r="J510" s="2">
        <v>0</v>
      </c>
      <c r="K510" s="2">
        <v>1413</v>
      </c>
      <c r="L510" s="2">
        <v>0</v>
      </c>
      <c r="M510" s="2">
        <v>2</v>
      </c>
      <c r="N510" s="2">
        <v>4</v>
      </c>
      <c r="O510" s="2">
        <v>0</v>
      </c>
      <c r="P510" s="2">
        <v>0</v>
      </c>
      <c r="Q510" s="2">
        <v>1</v>
      </c>
      <c r="R510" s="2">
        <v>0</v>
      </c>
      <c r="S510" s="2">
        <v>0</v>
      </c>
      <c r="T510" s="2">
        <v>2</v>
      </c>
      <c r="U510" s="2">
        <v>0</v>
      </c>
      <c r="V510" s="2">
        <v>0</v>
      </c>
      <c r="W510" s="2">
        <v>28</v>
      </c>
      <c r="X510" s="2">
        <v>0</v>
      </c>
      <c r="Y510" s="2">
        <v>0</v>
      </c>
      <c r="Z510" s="2">
        <v>1</v>
      </c>
      <c r="AA510" s="2">
        <v>1</v>
      </c>
      <c r="AB510" s="2">
        <v>2</v>
      </c>
      <c r="AC510" s="2">
        <v>1</v>
      </c>
      <c r="AD510" s="2">
        <v>0</v>
      </c>
      <c r="AE510" s="2">
        <v>0</v>
      </c>
      <c r="AF510" s="2">
        <v>1</v>
      </c>
      <c r="AG510" s="20">
        <f t="shared" si="7"/>
        <v>100</v>
      </c>
    </row>
    <row r="511" spans="1:33" x14ac:dyDescent="0.25">
      <c r="A511">
        <v>510</v>
      </c>
      <c r="B511" s="2">
        <v>3</v>
      </c>
      <c r="C511" s="2">
        <v>39</v>
      </c>
      <c r="D511" s="2">
        <v>2</v>
      </c>
      <c r="E511" s="2">
        <v>0</v>
      </c>
      <c r="F511" s="2">
        <v>1</v>
      </c>
      <c r="G511" s="2">
        <v>0</v>
      </c>
      <c r="H511" s="2">
        <v>0</v>
      </c>
      <c r="I511" s="2">
        <v>0</v>
      </c>
      <c r="J511" s="2">
        <v>0</v>
      </c>
      <c r="K511" s="2">
        <v>8588</v>
      </c>
      <c r="L511" s="2">
        <v>1</v>
      </c>
      <c r="M511" s="2">
        <v>4</v>
      </c>
      <c r="N511" s="2">
        <v>4</v>
      </c>
      <c r="O511" s="2">
        <v>0</v>
      </c>
      <c r="P511" s="2">
        <v>1</v>
      </c>
      <c r="Q511" s="2">
        <v>0</v>
      </c>
      <c r="R511" s="2">
        <v>0</v>
      </c>
      <c r="S511" s="2">
        <v>0</v>
      </c>
      <c r="T511" s="2">
        <v>2</v>
      </c>
      <c r="U511" s="2">
        <v>0</v>
      </c>
      <c r="V511" s="2">
        <v>0</v>
      </c>
      <c r="W511" s="2">
        <v>45</v>
      </c>
      <c r="X511" s="2">
        <v>0</v>
      </c>
      <c r="Y511" s="2">
        <v>0</v>
      </c>
      <c r="Z511" s="2">
        <v>1</v>
      </c>
      <c r="AA511" s="2">
        <v>1</v>
      </c>
      <c r="AB511" s="2">
        <v>3</v>
      </c>
      <c r="AC511" s="2">
        <v>1</v>
      </c>
      <c r="AD511" s="2">
        <v>1</v>
      </c>
      <c r="AE511" s="2">
        <v>0</v>
      </c>
      <c r="AF511" s="2">
        <v>1</v>
      </c>
      <c r="AG511" s="20">
        <f t="shared" si="7"/>
        <v>100</v>
      </c>
    </row>
    <row r="512" spans="1:33" x14ac:dyDescent="0.25">
      <c r="A512">
        <v>511</v>
      </c>
      <c r="B512" s="2">
        <v>0</v>
      </c>
      <c r="C512" s="2">
        <v>12</v>
      </c>
      <c r="D512" s="2">
        <v>2</v>
      </c>
      <c r="E512" s="2">
        <v>1</v>
      </c>
      <c r="F512" s="2">
        <v>0</v>
      </c>
      <c r="G512" s="2">
        <v>0</v>
      </c>
      <c r="H512" s="2">
        <v>0</v>
      </c>
      <c r="I512" s="2">
        <v>0</v>
      </c>
      <c r="J512" s="2">
        <v>0</v>
      </c>
      <c r="K512" s="2">
        <v>759</v>
      </c>
      <c r="L512" s="2">
        <v>0</v>
      </c>
      <c r="M512" s="2">
        <v>3</v>
      </c>
      <c r="N512" s="2">
        <v>4</v>
      </c>
      <c r="O512" s="2">
        <v>0</v>
      </c>
      <c r="P512" s="2">
        <v>1</v>
      </c>
      <c r="Q512" s="2">
        <v>0</v>
      </c>
      <c r="R512" s="2">
        <v>0</v>
      </c>
      <c r="S512" s="2">
        <v>0</v>
      </c>
      <c r="T512" s="2">
        <v>2</v>
      </c>
      <c r="U512" s="2">
        <v>1</v>
      </c>
      <c r="V512" s="2">
        <v>0</v>
      </c>
      <c r="W512" s="2">
        <v>26</v>
      </c>
      <c r="X512" s="2">
        <v>0</v>
      </c>
      <c r="Y512" s="2">
        <v>0</v>
      </c>
      <c r="Z512" s="2">
        <v>1</v>
      </c>
      <c r="AA512" s="2">
        <v>1</v>
      </c>
      <c r="AB512" s="2">
        <v>2</v>
      </c>
      <c r="AC512" s="2">
        <v>1</v>
      </c>
      <c r="AD512" s="2">
        <v>0</v>
      </c>
      <c r="AE512" s="2">
        <v>0</v>
      </c>
      <c r="AF512" s="2">
        <v>0</v>
      </c>
      <c r="AG512" s="20">
        <f t="shared" si="7"/>
        <v>-500</v>
      </c>
    </row>
    <row r="513" spans="1:33" x14ac:dyDescent="0.25">
      <c r="A513">
        <v>512</v>
      </c>
      <c r="B513" s="2">
        <v>3</v>
      </c>
      <c r="C513" s="2">
        <v>36</v>
      </c>
      <c r="D513" s="2">
        <v>2</v>
      </c>
      <c r="E513" s="2">
        <v>0</v>
      </c>
      <c r="F513" s="2">
        <v>1</v>
      </c>
      <c r="G513" s="2">
        <v>0</v>
      </c>
      <c r="H513" s="2">
        <v>0</v>
      </c>
      <c r="I513" s="2">
        <v>0</v>
      </c>
      <c r="J513" s="2">
        <v>0</v>
      </c>
      <c r="K513" s="2">
        <v>4686</v>
      </c>
      <c r="L513" s="2">
        <v>0</v>
      </c>
      <c r="M513" s="2">
        <v>2</v>
      </c>
      <c r="N513" s="2">
        <v>2</v>
      </c>
      <c r="O513" s="2">
        <v>0</v>
      </c>
      <c r="P513" s="2">
        <v>1</v>
      </c>
      <c r="Q513" s="2">
        <v>0</v>
      </c>
      <c r="R513" s="2">
        <v>0</v>
      </c>
      <c r="S513" s="2">
        <v>0</v>
      </c>
      <c r="T513" s="2">
        <v>2</v>
      </c>
      <c r="U513" s="2">
        <v>0</v>
      </c>
      <c r="V513" s="2">
        <v>1</v>
      </c>
      <c r="W513" s="2">
        <v>32</v>
      </c>
      <c r="X513" s="2">
        <v>0</v>
      </c>
      <c r="Y513" s="2">
        <v>0</v>
      </c>
      <c r="Z513" s="2">
        <v>0</v>
      </c>
      <c r="AA513" s="2">
        <v>1</v>
      </c>
      <c r="AB513" s="2">
        <v>3</v>
      </c>
      <c r="AC513" s="2">
        <v>1</v>
      </c>
      <c r="AD513" s="2">
        <v>1</v>
      </c>
      <c r="AE513" s="2">
        <v>0</v>
      </c>
      <c r="AF513" s="2">
        <v>1</v>
      </c>
      <c r="AG513" s="20">
        <f t="shared" si="7"/>
        <v>100</v>
      </c>
    </row>
    <row r="514" spans="1:33" x14ac:dyDescent="0.25">
      <c r="A514">
        <v>513</v>
      </c>
      <c r="B514" s="2">
        <v>2</v>
      </c>
      <c r="C514" s="2">
        <v>15</v>
      </c>
      <c r="D514" s="2">
        <v>2</v>
      </c>
      <c r="E514" s="2">
        <v>0</v>
      </c>
      <c r="F514" s="2">
        <v>0</v>
      </c>
      <c r="G514" s="2">
        <v>0</v>
      </c>
      <c r="H514" s="2">
        <v>0</v>
      </c>
      <c r="I514" s="2">
        <v>0</v>
      </c>
      <c r="J514" s="2">
        <v>1</v>
      </c>
      <c r="K514" s="2">
        <v>2687</v>
      </c>
      <c r="L514" s="2">
        <v>0</v>
      </c>
      <c r="M514" s="2">
        <v>3</v>
      </c>
      <c r="N514" s="2">
        <v>2</v>
      </c>
      <c r="O514" s="2">
        <v>0</v>
      </c>
      <c r="P514" s="2">
        <v>1</v>
      </c>
      <c r="Q514" s="2">
        <v>0</v>
      </c>
      <c r="R514" s="2">
        <v>0</v>
      </c>
      <c r="S514" s="2">
        <v>0</v>
      </c>
      <c r="T514" s="2">
        <v>4</v>
      </c>
      <c r="U514" s="2">
        <v>0</v>
      </c>
      <c r="V514" s="2">
        <v>0</v>
      </c>
      <c r="W514" s="2">
        <v>26</v>
      </c>
      <c r="X514" s="2">
        <v>0</v>
      </c>
      <c r="Y514" s="2">
        <v>1</v>
      </c>
      <c r="Z514" s="2">
        <v>0</v>
      </c>
      <c r="AA514" s="2">
        <v>1</v>
      </c>
      <c r="AB514" s="2">
        <v>2</v>
      </c>
      <c r="AC514" s="2">
        <v>1</v>
      </c>
      <c r="AD514" s="2">
        <v>1</v>
      </c>
      <c r="AE514" s="2">
        <v>0</v>
      </c>
      <c r="AF514" s="2">
        <v>1</v>
      </c>
      <c r="AG514" s="20">
        <f t="shared" si="7"/>
        <v>100</v>
      </c>
    </row>
    <row r="515" spans="1:33" x14ac:dyDescent="0.25">
      <c r="A515">
        <v>514</v>
      </c>
      <c r="B515" s="2">
        <v>1</v>
      </c>
      <c r="C515" s="2">
        <v>12</v>
      </c>
      <c r="D515" s="2">
        <v>3</v>
      </c>
      <c r="E515" s="2">
        <v>0</v>
      </c>
      <c r="F515" s="2">
        <v>0</v>
      </c>
      <c r="G515" s="2">
        <v>0</v>
      </c>
      <c r="H515" s="2">
        <v>1</v>
      </c>
      <c r="I515" s="2">
        <v>0</v>
      </c>
      <c r="J515" s="2">
        <v>0</v>
      </c>
      <c r="K515" s="2">
        <v>585</v>
      </c>
      <c r="L515" s="2">
        <v>0</v>
      </c>
      <c r="M515" s="2">
        <v>2</v>
      </c>
      <c r="N515" s="2">
        <v>4</v>
      </c>
      <c r="O515" s="2">
        <v>0</v>
      </c>
      <c r="P515" s="2">
        <v>0</v>
      </c>
      <c r="Q515" s="2">
        <v>1</v>
      </c>
      <c r="R515" s="2">
        <v>1</v>
      </c>
      <c r="S515" s="2">
        <v>0</v>
      </c>
      <c r="T515" s="2">
        <v>4</v>
      </c>
      <c r="U515" s="2">
        <v>1</v>
      </c>
      <c r="V515" s="2">
        <v>0</v>
      </c>
      <c r="W515" s="2">
        <v>20</v>
      </c>
      <c r="X515" s="2">
        <v>0</v>
      </c>
      <c r="Y515" s="2">
        <v>1</v>
      </c>
      <c r="Z515" s="2">
        <v>0</v>
      </c>
      <c r="AA515" s="2">
        <v>2</v>
      </c>
      <c r="AB515" s="2">
        <v>2</v>
      </c>
      <c r="AC515" s="2">
        <v>1</v>
      </c>
      <c r="AD515" s="2">
        <v>0</v>
      </c>
      <c r="AE515" s="2">
        <v>0</v>
      </c>
      <c r="AF515" s="2">
        <v>1</v>
      </c>
      <c r="AG515" s="20">
        <f t="shared" si="7"/>
        <v>100</v>
      </c>
    </row>
    <row r="516" spans="1:33" x14ac:dyDescent="0.25">
      <c r="A516">
        <v>515</v>
      </c>
      <c r="B516" s="2">
        <v>3</v>
      </c>
      <c r="C516" s="2">
        <v>24</v>
      </c>
      <c r="D516" s="2">
        <v>2</v>
      </c>
      <c r="E516" s="2">
        <v>1</v>
      </c>
      <c r="F516" s="2">
        <v>0</v>
      </c>
      <c r="G516" s="2">
        <v>0</v>
      </c>
      <c r="H516" s="2">
        <v>0</v>
      </c>
      <c r="I516" s="2">
        <v>0</v>
      </c>
      <c r="J516" s="2">
        <v>0</v>
      </c>
      <c r="K516" s="2">
        <v>2255</v>
      </c>
      <c r="L516" s="2">
        <v>4</v>
      </c>
      <c r="M516" s="2">
        <v>1</v>
      </c>
      <c r="N516" s="2">
        <v>4</v>
      </c>
      <c r="O516" s="2">
        <v>0</v>
      </c>
      <c r="P516" s="2">
        <v>1</v>
      </c>
      <c r="Q516" s="2">
        <v>0</v>
      </c>
      <c r="R516" s="2">
        <v>0</v>
      </c>
      <c r="S516" s="2">
        <v>0</v>
      </c>
      <c r="T516" s="2">
        <v>1</v>
      </c>
      <c r="U516" s="2">
        <v>0</v>
      </c>
      <c r="V516" s="2">
        <v>0</v>
      </c>
      <c r="W516" s="2">
        <v>54</v>
      </c>
      <c r="X516" s="2">
        <v>0</v>
      </c>
      <c r="Y516" s="2">
        <v>0</v>
      </c>
      <c r="Z516" s="2">
        <v>1</v>
      </c>
      <c r="AA516" s="2">
        <v>1</v>
      </c>
      <c r="AB516" s="2">
        <v>2</v>
      </c>
      <c r="AC516" s="2">
        <v>1</v>
      </c>
      <c r="AD516" s="2">
        <v>0</v>
      </c>
      <c r="AE516" s="2">
        <v>0</v>
      </c>
      <c r="AF516" s="2">
        <v>1</v>
      </c>
      <c r="AG516" s="20">
        <f t="shared" ref="AG516:AG579" si="8">IF(AF516=1,100,-500)</f>
        <v>100</v>
      </c>
    </row>
    <row r="517" spans="1:33" x14ac:dyDescent="0.25">
      <c r="A517">
        <v>516</v>
      </c>
      <c r="B517" s="2">
        <v>0</v>
      </c>
      <c r="C517" s="2">
        <v>6</v>
      </c>
      <c r="D517" s="2">
        <v>4</v>
      </c>
      <c r="E517" s="2">
        <v>1</v>
      </c>
      <c r="F517" s="2">
        <v>0</v>
      </c>
      <c r="G517" s="2">
        <v>0</v>
      </c>
      <c r="H517" s="2">
        <v>0</v>
      </c>
      <c r="I517" s="2">
        <v>0</v>
      </c>
      <c r="J517" s="2">
        <v>0</v>
      </c>
      <c r="K517" s="2">
        <v>609</v>
      </c>
      <c r="L517" s="2">
        <v>0</v>
      </c>
      <c r="M517" s="2">
        <v>3</v>
      </c>
      <c r="N517" s="2">
        <v>4</v>
      </c>
      <c r="O517" s="2">
        <v>0</v>
      </c>
      <c r="P517" s="2">
        <v>0</v>
      </c>
      <c r="Q517" s="2">
        <v>0</v>
      </c>
      <c r="R517" s="2">
        <v>0</v>
      </c>
      <c r="S517" s="2">
        <v>0</v>
      </c>
      <c r="T517" s="2">
        <v>3</v>
      </c>
      <c r="U517" s="2">
        <v>0</v>
      </c>
      <c r="V517" s="2">
        <v>0</v>
      </c>
      <c r="W517" s="2">
        <v>37</v>
      </c>
      <c r="X517" s="2">
        <v>0</v>
      </c>
      <c r="Y517" s="2">
        <v>0</v>
      </c>
      <c r="Z517" s="2">
        <v>1</v>
      </c>
      <c r="AA517" s="2">
        <v>2</v>
      </c>
      <c r="AB517" s="2">
        <v>2</v>
      </c>
      <c r="AC517" s="2">
        <v>1</v>
      </c>
      <c r="AD517" s="2">
        <v>0</v>
      </c>
      <c r="AE517" s="2">
        <v>1</v>
      </c>
      <c r="AF517" s="2">
        <v>1</v>
      </c>
      <c r="AG517" s="20">
        <f t="shared" si="8"/>
        <v>100</v>
      </c>
    </row>
    <row r="518" spans="1:33" x14ac:dyDescent="0.25">
      <c r="A518">
        <v>517</v>
      </c>
      <c r="B518" s="2">
        <v>0</v>
      </c>
      <c r="C518" s="2">
        <v>6</v>
      </c>
      <c r="D518" s="2">
        <v>4</v>
      </c>
      <c r="E518" s="2">
        <v>1</v>
      </c>
      <c r="F518" s="2">
        <v>0</v>
      </c>
      <c r="G518" s="2">
        <v>0</v>
      </c>
      <c r="H518" s="2">
        <v>0</v>
      </c>
      <c r="I518" s="2">
        <v>0</v>
      </c>
      <c r="J518" s="2">
        <v>0</v>
      </c>
      <c r="K518" s="2">
        <v>1361</v>
      </c>
      <c r="L518" s="2">
        <v>0</v>
      </c>
      <c r="M518" s="2">
        <v>1</v>
      </c>
      <c r="N518" s="2">
        <v>2</v>
      </c>
      <c r="O518" s="2">
        <v>0</v>
      </c>
      <c r="P518" s="2">
        <v>1</v>
      </c>
      <c r="Q518" s="2">
        <v>0</v>
      </c>
      <c r="R518" s="2">
        <v>0</v>
      </c>
      <c r="S518" s="2">
        <v>0</v>
      </c>
      <c r="T518" s="2">
        <v>4</v>
      </c>
      <c r="U518" s="2">
        <v>1</v>
      </c>
      <c r="V518" s="2">
        <v>0</v>
      </c>
      <c r="W518" s="2">
        <v>40</v>
      </c>
      <c r="X518" s="2">
        <v>0</v>
      </c>
      <c r="Y518" s="2">
        <v>0</v>
      </c>
      <c r="Z518" s="2">
        <v>1</v>
      </c>
      <c r="AA518" s="2">
        <v>1</v>
      </c>
      <c r="AB518" s="2">
        <v>1</v>
      </c>
      <c r="AC518" s="2">
        <v>2</v>
      </c>
      <c r="AD518" s="2">
        <v>0</v>
      </c>
      <c r="AE518" s="2">
        <v>1</v>
      </c>
      <c r="AF518" s="2">
        <v>1</v>
      </c>
      <c r="AG518" s="20">
        <f t="shared" si="8"/>
        <v>100</v>
      </c>
    </row>
    <row r="519" spans="1:33" x14ac:dyDescent="0.25">
      <c r="A519">
        <v>518</v>
      </c>
      <c r="B519" s="2">
        <v>3</v>
      </c>
      <c r="C519" s="2">
        <v>36</v>
      </c>
      <c r="D519" s="2">
        <v>4</v>
      </c>
      <c r="E519" s="2">
        <v>0</v>
      </c>
      <c r="F519" s="2">
        <v>0</v>
      </c>
      <c r="G519" s="2">
        <v>1</v>
      </c>
      <c r="H519" s="2">
        <v>0</v>
      </c>
      <c r="I519" s="2">
        <v>0</v>
      </c>
      <c r="J519" s="2">
        <v>0</v>
      </c>
      <c r="K519" s="2">
        <v>7127</v>
      </c>
      <c r="L519" s="2">
        <v>0</v>
      </c>
      <c r="M519" s="2">
        <v>1</v>
      </c>
      <c r="N519" s="2">
        <v>2</v>
      </c>
      <c r="O519" s="2">
        <v>0</v>
      </c>
      <c r="P519" s="2">
        <v>0</v>
      </c>
      <c r="Q519" s="2">
        <v>0</v>
      </c>
      <c r="R519" s="2">
        <v>0</v>
      </c>
      <c r="S519" s="2">
        <v>0</v>
      </c>
      <c r="T519" s="2">
        <v>4</v>
      </c>
      <c r="U519" s="2">
        <v>0</v>
      </c>
      <c r="V519" s="2">
        <v>0</v>
      </c>
      <c r="W519" s="2">
        <v>23</v>
      </c>
      <c r="X519" s="2">
        <v>0</v>
      </c>
      <c r="Y519" s="2">
        <v>1</v>
      </c>
      <c r="Z519" s="2">
        <v>0</v>
      </c>
      <c r="AA519" s="2">
        <v>2</v>
      </c>
      <c r="AB519" s="2">
        <v>2</v>
      </c>
      <c r="AC519" s="2">
        <v>1</v>
      </c>
      <c r="AD519" s="2">
        <v>1</v>
      </c>
      <c r="AE519" s="2">
        <v>0</v>
      </c>
      <c r="AF519" s="2">
        <v>0</v>
      </c>
      <c r="AG519" s="20">
        <f t="shared" si="8"/>
        <v>-500</v>
      </c>
    </row>
    <row r="520" spans="1:33" x14ac:dyDescent="0.25">
      <c r="A520">
        <v>519</v>
      </c>
      <c r="B520" s="2">
        <v>0</v>
      </c>
      <c r="C520" s="2">
        <v>6</v>
      </c>
      <c r="D520" s="2">
        <v>2</v>
      </c>
      <c r="E520" s="2">
        <v>1</v>
      </c>
      <c r="F520" s="2">
        <v>0</v>
      </c>
      <c r="G520" s="2">
        <v>0</v>
      </c>
      <c r="H520" s="2">
        <v>0</v>
      </c>
      <c r="I520" s="2">
        <v>0</v>
      </c>
      <c r="J520" s="2">
        <v>0</v>
      </c>
      <c r="K520" s="2">
        <v>1203</v>
      </c>
      <c r="L520" s="2">
        <v>1</v>
      </c>
      <c r="M520" s="2">
        <v>4</v>
      </c>
      <c r="N520" s="2">
        <v>3</v>
      </c>
      <c r="O520" s="2">
        <v>0</v>
      </c>
      <c r="P520" s="2">
        <v>1</v>
      </c>
      <c r="Q520" s="2">
        <v>0</v>
      </c>
      <c r="R520" s="2">
        <v>0</v>
      </c>
      <c r="S520" s="2">
        <v>0</v>
      </c>
      <c r="T520" s="2">
        <v>2</v>
      </c>
      <c r="U520" s="2">
        <v>0</v>
      </c>
      <c r="V520" s="2">
        <v>0</v>
      </c>
      <c r="W520" s="2">
        <v>43</v>
      </c>
      <c r="X520" s="2">
        <v>0</v>
      </c>
      <c r="Y520" s="2">
        <v>0</v>
      </c>
      <c r="Z520" s="2">
        <v>1</v>
      </c>
      <c r="AA520" s="2">
        <v>1</v>
      </c>
      <c r="AB520" s="2">
        <v>2</v>
      </c>
      <c r="AC520" s="2">
        <v>1</v>
      </c>
      <c r="AD520" s="2">
        <v>1</v>
      </c>
      <c r="AE520" s="2">
        <v>0</v>
      </c>
      <c r="AF520" s="2">
        <v>1</v>
      </c>
      <c r="AG520" s="20">
        <f t="shared" si="8"/>
        <v>100</v>
      </c>
    </row>
    <row r="521" spans="1:33" x14ac:dyDescent="0.25">
      <c r="A521">
        <v>520</v>
      </c>
      <c r="B521" s="2">
        <v>3</v>
      </c>
      <c r="C521" s="2">
        <v>6</v>
      </c>
      <c r="D521" s="2">
        <v>4</v>
      </c>
      <c r="E521" s="2">
        <v>0</v>
      </c>
      <c r="F521" s="2">
        <v>0</v>
      </c>
      <c r="G521" s="2">
        <v>0</v>
      </c>
      <c r="H521" s="2">
        <v>1</v>
      </c>
      <c r="I521" s="2">
        <v>0</v>
      </c>
      <c r="J521" s="2">
        <v>0</v>
      </c>
      <c r="K521" s="2">
        <v>700</v>
      </c>
      <c r="L521" s="2">
        <v>4</v>
      </c>
      <c r="M521" s="2">
        <v>4</v>
      </c>
      <c r="N521" s="2">
        <v>4</v>
      </c>
      <c r="O521" s="2">
        <v>0</v>
      </c>
      <c r="P521" s="2">
        <v>1</v>
      </c>
      <c r="Q521" s="2">
        <v>0</v>
      </c>
      <c r="R521" s="2">
        <v>0</v>
      </c>
      <c r="S521" s="2">
        <v>0</v>
      </c>
      <c r="T521" s="2">
        <v>4</v>
      </c>
      <c r="U521" s="2">
        <v>0</v>
      </c>
      <c r="V521" s="2">
        <v>1</v>
      </c>
      <c r="W521" s="2">
        <v>36</v>
      </c>
      <c r="X521" s="2">
        <v>0</v>
      </c>
      <c r="Y521" s="2">
        <v>0</v>
      </c>
      <c r="Z521" s="2">
        <v>0</v>
      </c>
      <c r="AA521" s="2">
        <v>2</v>
      </c>
      <c r="AB521" s="2">
        <v>2</v>
      </c>
      <c r="AC521" s="2">
        <v>1</v>
      </c>
      <c r="AD521" s="2">
        <v>0</v>
      </c>
      <c r="AE521" s="2">
        <v>0</v>
      </c>
      <c r="AF521" s="2">
        <v>1</v>
      </c>
      <c r="AG521" s="20">
        <f t="shared" si="8"/>
        <v>100</v>
      </c>
    </row>
    <row r="522" spans="1:33" x14ac:dyDescent="0.25">
      <c r="A522">
        <v>521</v>
      </c>
      <c r="B522" s="2">
        <v>3</v>
      </c>
      <c r="C522" s="2">
        <v>24</v>
      </c>
      <c r="D522" s="2">
        <v>4</v>
      </c>
      <c r="E522" s="2">
        <v>0</v>
      </c>
      <c r="F522" s="2">
        <v>0</v>
      </c>
      <c r="G522" s="2">
        <v>0</v>
      </c>
      <c r="H522" s="2">
        <v>0</v>
      </c>
      <c r="I522" s="2">
        <v>0</v>
      </c>
      <c r="J522" s="2">
        <v>0</v>
      </c>
      <c r="K522" s="2">
        <v>5507</v>
      </c>
      <c r="L522" s="2">
        <v>0</v>
      </c>
      <c r="M522" s="2">
        <v>4</v>
      </c>
      <c r="N522" s="2">
        <v>3</v>
      </c>
      <c r="O522" s="2">
        <v>0</v>
      </c>
      <c r="P522" s="2">
        <v>1</v>
      </c>
      <c r="Q522" s="2">
        <v>0</v>
      </c>
      <c r="R522" s="2">
        <v>0</v>
      </c>
      <c r="S522" s="2">
        <v>0</v>
      </c>
      <c r="T522" s="2">
        <v>4</v>
      </c>
      <c r="U522" s="2">
        <v>0</v>
      </c>
      <c r="V522" s="2">
        <v>1</v>
      </c>
      <c r="W522" s="2">
        <v>44</v>
      </c>
      <c r="X522" s="2">
        <v>0</v>
      </c>
      <c r="Y522" s="2">
        <v>0</v>
      </c>
      <c r="Z522" s="2">
        <v>0</v>
      </c>
      <c r="AA522" s="2">
        <v>2</v>
      </c>
      <c r="AB522" s="2">
        <v>2</v>
      </c>
      <c r="AC522" s="2">
        <v>1</v>
      </c>
      <c r="AD522" s="2">
        <v>0</v>
      </c>
      <c r="AE522" s="2">
        <v>0</v>
      </c>
      <c r="AF522" s="2">
        <v>1</v>
      </c>
      <c r="AG522" s="20">
        <f t="shared" si="8"/>
        <v>100</v>
      </c>
    </row>
    <row r="523" spans="1:33" x14ac:dyDescent="0.25">
      <c r="A523">
        <v>522</v>
      </c>
      <c r="B523" s="2">
        <v>0</v>
      </c>
      <c r="C523" s="2">
        <v>18</v>
      </c>
      <c r="D523" s="2">
        <v>2</v>
      </c>
      <c r="E523" s="2">
        <v>0</v>
      </c>
      <c r="F523" s="2">
        <v>0</v>
      </c>
      <c r="G523" s="2">
        <v>0</v>
      </c>
      <c r="H523" s="2">
        <v>1</v>
      </c>
      <c r="I523" s="2">
        <v>0</v>
      </c>
      <c r="J523" s="2">
        <v>0</v>
      </c>
      <c r="K523" s="2">
        <v>3190</v>
      </c>
      <c r="L523" s="2">
        <v>0</v>
      </c>
      <c r="M523" s="2">
        <v>2</v>
      </c>
      <c r="N523" s="2">
        <v>2</v>
      </c>
      <c r="O523" s="2">
        <v>0</v>
      </c>
      <c r="P523" s="2">
        <v>0</v>
      </c>
      <c r="Q523" s="2">
        <v>0</v>
      </c>
      <c r="R523" s="2">
        <v>0</v>
      </c>
      <c r="S523" s="2">
        <v>0</v>
      </c>
      <c r="T523" s="2">
        <v>2</v>
      </c>
      <c r="U523" s="2">
        <v>1</v>
      </c>
      <c r="V523" s="2">
        <v>0</v>
      </c>
      <c r="W523" s="2">
        <v>24</v>
      </c>
      <c r="X523" s="2">
        <v>0</v>
      </c>
      <c r="Y523" s="2">
        <v>0</v>
      </c>
      <c r="Z523" s="2">
        <v>1</v>
      </c>
      <c r="AA523" s="2">
        <v>1</v>
      </c>
      <c r="AB523" s="2">
        <v>2</v>
      </c>
      <c r="AC523" s="2">
        <v>1</v>
      </c>
      <c r="AD523" s="2">
        <v>0</v>
      </c>
      <c r="AE523" s="2">
        <v>0</v>
      </c>
      <c r="AF523" s="2">
        <v>0</v>
      </c>
      <c r="AG523" s="20">
        <f t="shared" si="8"/>
        <v>-500</v>
      </c>
    </row>
    <row r="524" spans="1:33" x14ac:dyDescent="0.25">
      <c r="A524">
        <v>523</v>
      </c>
      <c r="B524" s="2">
        <v>0</v>
      </c>
      <c r="C524" s="2">
        <v>48</v>
      </c>
      <c r="D524" s="2">
        <v>0</v>
      </c>
      <c r="E524" s="2">
        <v>0</v>
      </c>
      <c r="F524" s="2">
        <v>0</v>
      </c>
      <c r="G524" s="2">
        <v>1</v>
      </c>
      <c r="H524" s="2">
        <v>0</v>
      </c>
      <c r="I524" s="2">
        <v>0</v>
      </c>
      <c r="J524" s="2">
        <v>0</v>
      </c>
      <c r="K524" s="2">
        <v>7119</v>
      </c>
      <c r="L524" s="2">
        <v>0</v>
      </c>
      <c r="M524" s="2">
        <v>2</v>
      </c>
      <c r="N524" s="2">
        <v>3</v>
      </c>
      <c r="O524" s="2">
        <v>0</v>
      </c>
      <c r="P524" s="2">
        <v>1</v>
      </c>
      <c r="Q524" s="2">
        <v>0</v>
      </c>
      <c r="R524" s="2">
        <v>0</v>
      </c>
      <c r="S524" s="2">
        <v>0</v>
      </c>
      <c r="T524" s="2">
        <v>4</v>
      </c>
      <c r="U524" s="2">
        <v>0</v>
      </c>
      <c r="V524" s="2">
        <v>1</v>
      </c>
      <c r="W524" s="2">
        <v>53</v>
      </c>
      <c r="X524" s="2">
        <v>0</v>
      </c>
      <c r="Y524" s="2">
        <v>0</v>
      </c>
      <c r="Z524" s="2">
        <v>0</v>
      </c>
      <c r="AA524" s="2">
        <v>2</v>
      </c>
      <c r="AB524" s="2">
        <v>2</v>
      </c>
      <c r="AC524" s="2">
        <v>2</v>
      </c>
      <c r="AD524" s="2">
        <v>0</v>
      </c>
      <c r="AE524" s="2">
        <v>0</v>
      </c>
      <c r="AF524" s="2">
        <v>0</v>
      </c>
      <c r="AG524" s="20">
        <f t="shared" si="8"/>
        <v>-500</v>
      </c>
    </row>
    <row r="525" spans="1:33" x14ac:dyDescent="0.25">
      <c r="A525">
        <v>524</v>
      </c>
      <c r="B525" s="2">
        <v>3</v>
      </c>
      <c r="C525" s="2">
        <v>24</v>
      </c>
      <c r="D525" s="2">
        <v>2</v>
      </c>
      <c r="E525" s="2">
        <v>0</v>
      </c>
      <c r="F525" s="2">
        <v>1</v>
      </c>
      <c r="G525" s="2">
        <v>0</v>
      </c>
      <c r="H525" s="2">
        <v>0</v>
      </c>
      <c r="I525" s="2">
        <v>0</v>
      </c>
      <c r="J525" s="2">
        <v>0</v>
      </c>
      <c r="K525" s="2">
        <v>3488</v>
      </c>
      <c r="L525" s="2">
        <v>1</v>
      </c>
      <c r="M525" s="2">
        <v>3</v>
      </c>
      <c r="N525" s="2">
        <v>3</v>
      </c>
      <c r="O525" s="2">
        <v>0</v>
      </c>
      <c r="P525" s="2">
        <v>0</v>
      </c>
      <c r="Q525" s="2">
        <v>0</v>
      </c>
      <c r="R525" s="2">
        <v>0</v>
      </c>
      <c r="S525" s="2">
        <v>0</v>
      </c>
      <c r="T525" s="2">
        <v>4</v>
      </c>
      <c r="U525" s="2">
        <v>0</v>
      </c>
      <c r="V525" s="2">
        <v>0</v>
      </c>
      <c r="W525" s="2">
        <v>23</v>
      </c>
      <c r="X525" s="2">
        <v>0</v>
      </c>
      <c r="Y525" s="2">
        <v>0</v>
      </c>
      <c r="Z525" s="2">
        <v>1</v>
      </c>
      <c r="AA525" s="2">
        <v>1</v>
      </c>
      <c r="AB525" s="2">
        <v>2</v>
      </c>
      <c r="AC525" s="2">
        <v>1</v>
      </c>
      <c r="AD525" s="2">
        <v>0</v>
      </c>
      <c r="AE525" s="2">
        <v>0</v>
      </c>
      <c r="AF525" s="2">
        <v>1</v>
      </c>
      <c r="AG525" s="20">
        <f t="shared" si="8"/>
        <v>100</v>
      </c>
    </row>
    <row r="526" spans="1:33" x14ac:dyDescent="0.25">
      <c r="A526">
        <v>525</v>
      </c>
      <c r="B526" s="2">
        <v>1</v>
      </c>
      <c r="C526" s="2">
        <v>18</v>
      </c>
      <c r="D526" s="2">
        <v>2</v>
      </c>
      <c r="E526" s="2">
        <v>0</v>
      </c>
      <c r="F526" s="2">
        <v>0</v>
      </c>
      <c r="G526" s="2">
        <v>0</v>
      </c>
      <c r="H526" s="2">
        <v>1</v>
      </c>
      <c r="I526" s="2">
        <v>0</v>
      </c>
      <c r="J526" s="2">
        <v>0</v>
      </c>
      <c r="K526" s="2">
        <v>1113</v>
      </c>
      <c r="L526" s="2">
        <v>0</v>
      </c>
      <c r="M526" s="2">
        <v>2</v>
      </c>
      <c r="N526" s="2">
        <v>4</v>
      </c>
      <c r="O526" s="2">
        <v>0</v>
      </c>
      <c r="P526" s="2">
        <v>0</v>
      </c>
      <c r="Q526" s="2">
        <v>0</v>
      </c>
      <c r="R526" s="2">
        <v>0</v>
      </c>
      <c r="S526" s="2">
        <v>1</v>
      </c>
      <c r="T526" s="2">
        <v>4</v>
      </c>
      <c r="U526" s="2">
        <v>1</v>
      </c>
      <c r="V526" s="2">
        <v>0</v>
      </c>
      <c r="W526" s="2">
        <v>26</v>
      </c>
      <c r="X526" s="2">
        <v>0</v>
      </c>
      <c r="Y526" s="2">
        <v>0</v>
      </c>
      <c r="Z526" s="2">
        <v>1</v>
      </c>
      <c r="AA526" s="2">
        <v>1</v>
      </c>
      <c r="AB526" s="2">
        <v>1</v>
      </c>
      <c r="AC526" s="2">
        <v>2</v>
      </c>
      <c r="AD526" s="2">
        <v>0</v>
      </c>
      <c r="AE526" s="2">
        <v>0</v>
      </c>
      <c r="AF526" s="2">
        <v>1</v>
      </c>
      <c r="AG526" s="20">
        <f t="shared" si="8"/>
        <v>100</v>
      </c>
    </row>
    <row r="527" spans="1:33" x14ac:dyDescent="0.25">
      <c r="A527">
        <v>526</v>
      </c>
      <c r="B527" s="2">
        <v>1</v>
      </c>
      <c r="C527" s="2">
        <v>26</v>
      </c>
      <c r="D527" s="2">
        <v>2</v>
      </c>
      <c r="E527" s="2">
        <v>0</v>
      </c>
      <c r="F527" s="2">
        <v>1</v>
      </c>
      <c r="G527" s="2">
        <v>0</v>
      </c>
      <c r="H527" s="2">
        <v>0</v>
      </c>
      <c r="I527" s="2">
        <v>0</v>
      </c>
      <c r="J527" s="2">
        <v>0</v>
      </c>
      <c r="K527" s="2">
        <v>7966</v>
      </c>
      <c r="L527" s="2">
        <v>0</v>
      </c>
      <c r="M527" s="2">
        <v>1</v>
      </c>
      <c r="N527" s="2">
        <v>2</v>
      </c>
      <c r="O527" s="2">
        <v>0</v>
      </c>
      <c r="P527" s="2">
        <v>1</v>
      </c>
      <c r="Q527" s="2">
        <v>0</v>
      </c>
      <c r="R527" s="2">
        <v>0</v>
      </c>
      <c r="S527" s="2">
        <v>0</v>
      </c>
      <c r="T527" s="2">
        <v>3</v>
      </c>
      <c r="U527" s="2">
        <v>0</v>
      </c>
      <c r="V527" s="2">
        <v>0</v>
      </c>
      <c r="W527" s="2">
        <v>30</v>
      </c>
      <c r="X527" s="2">
        <v>0</v>
      </c>
      <c r="Y527" s="2">
        <v>0</v>
      </c>
      <c r="Z527" s="2">
        <v>1</v>
      </c>
      <c r="AA527" s="2">
        <v>2</v>
      </c>
      <c r="AB527" s="2">
        <v>2</v>
      </c>
      <c r="AC527" s="2">
        <v>1</v>
      </c>
      <c r="AD527" s="2">
        <v>0</v>
      </c>
      <c r="AE527" s="2">
        <v>0</v>
      </c>
      <c r="AF527" s="2">
        <v>1</v>
      </c>
      <c r="AG527" s="20">
        <f t="shared" si="8"/>
        <v>100</v>
      </c>
    </row>
    <row r="528" spans="1:33" x14ac:dyDescent="0.25">
      <c r="A528">
        <v>527</v>
      </c>
      <c r="B528" s="2">
        <v>3</v>
      </c>
      <c r="C528" s="2">
        <v>15</v>
      </c>
      <c r="D528" s="2">
        <v>4</v>
      </c>
      <c r="E528" s="2">
        <v>0</v>
      </c>
      <c r="F528" s="2">
        <v>0</v>
      </c>
      <c r="G528" s="2">
        <v>0</v>
      </c>
      <c r="H528" s="2">
        <v>0</v>
      </c>
      <c r="I528" s="2">
        <v>1</v>
      </c>
      <c r="J528" s="2">
        <v>0</v>
      </c>
      <c r="K528" s="2">
        <v>1532</v>
      </c>
      <c r="L528" s="2">
        <v>1</v>
      </c>
      <c r="M528" s="2">
        <v>2</v>
      </c>
      <c r="N528" s="2">
        <v>4</v>
      </c>
      <c r="O528" s="2">
        <v>0</v>
      </c>
      <c r="P528" s="2">
        <v>0</v>
      </c>
      <c r="Q528" s="2">
        <v>0</v>
      </c>
      <c r="R528" s="2">
        <v>0</v>
      </c>
      <c r="S528" s="2">
        <v>0</v>
      </c>
      <c r="T528" s="2">
        <v>3</v>
      </c>
      <c r="U528" s="2">
        <v>0</v>
      </c>
      <c r="V528" s="2">
        <v>0</v>
      </c>
      <c r="W528" s="2">
        <v>31</v>
      </c>
      <c r="X528" s="2">
        <v>0</v>
      </c>
      <c r="Y528" s="2">
        <v>0</v>
      </c>
      <c r="Z528" s="2">
        <v>1</v>
      </c>
      <c r="AA528" s="2">
        <v>1</v>
      </c>
      <c r="AB528" s="2">
        <v>2</v>
      </c>
      <c r="AC528" s="2">
        <v>1</v>
      </c>
      <c r="AD528" s="2">
        <v>0</v>
      </c>
      <c r="AE528" s="2">
        <v>0</v>
      </c>
      <c r="AF528" s="2">
        <v>1</v>
      </c>
      <c r="AG528" s="20">
        <f t="shared" si="8"/>
        <v>100</v>
      </c>
    </row>
    <row r="529" spans="1:33" x14ac:dyDescent="0.25">
      <c r="A529">
        <v>528</v>
      </c>
      <c r="B529" s="2">
        <v>3</v>
      </c>
      <c r="C529" s="2">
        <v>4</v>
      </c>
      <c r="D529" s="2">
        <v>4</v>
      </c>
      <c r="E529" s="2">
        <v>0</v>
      </c>
      <c r="F529" s="2">
        <v>0</v>
      </c>
      <c r="G529" s="2">
        <v>0</v>
      </c>
      <c r="H529" s="2">
        <v>1</v>
      </c>
      <c r="I529" s="2">
        <v>0</v>
      </c>
      <c r="J529" s="2">
        <v>0</v>
      </c>
      <c r="K529" s="2">
        <v>1503</v>
      </c>
      <c r="L529" s="2">
        <v>0</v>
      </c>
      <c r="M529" s="2">
        <v>3</v>
      </c>
      <c r="N529" s="2">
        <v>2</v>
      </c>
      <c r="O529" s="2">
        <v>0</v>
      </c>
      <c r="P529" s="2">
        <v>1</v>
      </c>
      <c r="Q529" s="2">
        <v>0</v>
      </c>
      <c r="R529" s="2">
        <v>0</v>
      </c>
      <c r="S529" s="2">
        <v>0</v>
      </c>
      <c r="T529" s="2">
        <v>1</v>
      </c>
      <c r="U529" s="2">
        <v>1</v>
      </c>
      <c r="V529" s="2">
        <v>0</v>
      </c>
      <c r="W529" s="2">
        <v>42</v>
      </c>
      <c r="X529" s="2">
        <v>0</v>
      </c>
      <c r="Y529" s="2">
        <v>0</v>
      </c>
      <c r="Z529" s="2">
        <v>1</v>
      </c>
      <c r="AA529" s="2">
        <v>2</v>
      </c>
      <c r="AB529" s="2">
        <v>1</v>
      </c>
      <c r="AC529" s="2">
        <v>2</v>
      </c>
      <c r="AD529" s="2">
        <v>0</v>
      </c>
      <c r="AE529" s="2">
        <v>0</v>
      </c>
      <c r="AF529" s="2">
        <v>1</v>
      </c>
      <c r="AG529" s="20">
        <f t="shared" si="8"/>
        <v>100</v>
      </c>
    </row>
    <row r="530" spans="1:33" x14ac:dyDescent="0.25">
      <c r="A530">
        <v>529</v>
      </c>
      <c r="B530" s="2">
        <v>0</v>
      </c>
      <c r="C530" s="2">
        <v>36</v>
      </c>
      <c r="D530" s="2">
        <v>2</v>
      </c>
      <c r="E530" s="2">
        <v>0</v>
      </c>
      <c r="F530" s="2">
        <v>0</v>
      </c>
      <c r="G530" s="2">
        <v>0</v>
      </c>
      <c r="H530" s="2">
        <v>1</v>
      </c>
      <c r="I530" s="2">
        <v>0</v>
      </c>
      <c r="J530" s="2">
        <v>0</v>
      </c>
      <c r="K530" s="2">
        <v>2302</v>
      </c>
      <c r="L530" s="2">
        <v>0</v>
      </c>
      <c r="M530" s="2">
        <v>2</v>
      </c>
      <c r="N530" s="2">
        <v>4</v>
      </c>
      <c r="O530" s="2">
        <v>1</v>
      </c>
      <c r="P530" s="2">
        <v>0</v>
      </c>
      <c r="Q530" s="2">
        <v>0</v>
      </c>
      <c r="R530" s="2">
        <v>0</v>
      </c>
      <c r="S530" s="2">
        <v>0</v>
      </c>
      <c r="T530" s="2">
        <v>4</v>
      </c>
      <c r="U530" s="2">
        <v>0</v>
      </c>
      <c r="V530" s="2">
        <v>0</v>
      </c>
      <c r="W530" s="2">
        <v>31</v>
      </c>
      <c r="X530" s="2">
        <v>0</v>
      </c>
      <c r="Y530" s="2">
        <v>1</v>
      </c>
      <c r="Z530" s="2">
        <v>0</v>
      </c>
      <c r="AA530" s="2">
        <v>1</v>
      </c>
      <c r="AB530" s="2">
        <v>2</v>
      </c>
      <c r="AC530" s="2">
        <v>1</v>
      </c>
      <c r="AD530" s="2">
        <v>0</v>
      </c>
      <c r="AE530" s="2">
        <v>0</v>
      </c>
      <c r="AF530" s="2">
        <v>0</v>
      </c>
      <c r="AG530" s="20">
        <f t="shared" si="8"/>
        <v>-500</v>
      </c>
    </row>
    <row r="531" spans="1:33" x14ac:dyDescent="0.25">
      <c r="A531">
        <v>530</v>
      </c>
      <c r="B531" s="2">
        <v>0</v>
      </c>
      <c r="C531" s="2">
        <v>6</v>
      </c>
      <c r="D531" s="2">
        <v>2</v>
      </c>
      <c r="E531" s="2">
        <v>1</v>
      </c>
      <c r="F531" s="2">
        <v>0</v>
      </c>
      <c r="G531" s="2">
        <v>0</v>
      </c>
      <c r="H531" s="2">
        <v>0</v>
      </c>
      <c r="I531" s="2">
        <v>0</v>
      </c>
      <c r="J531" s="2">
        <v>0</v>
      </c>
      <c r="K531" s="2">
        <v>662</v>
      </c>
      <c r="L531" s="2">
        <v>0</v>
      </c>
      <c r="M531" s="2">
        <v>1</v>
      </c>
      <c r="N531" s="2">
        <v>3</v>
      </c>
      <c r="O531" s="2">
        <v>0</v>
      </c>
      <c r="P531" s="2">
        <v>1</v>
      </c>
      <c r="Q531" s="2">
        <v>0</v>
      </c>
      <c r="R531" s="2">
        <v>0</v>
      </c>
      <c r="S531" s="2">
        <v>0</v>
      </c>
      <c r="T531" s="2">
        <v>4</v>
      </c>
      <c r="U531" s="2">
        <v>1</v>
      </c>
      <c r="V531" s="2">
        <v>0</v>
      </c>
      <c r="W531" s="2">
        <v>41</v>
      </c>
      <c r="X531" s="2">
        <v>0</v>
      </c>
      <c r="Y531" s="2">
        <v>0</v>
      </c>
      <c r="Z531" s="2">
        <v>1</v>
      </c>
      <c r="AA531" s="2">
        <v>1</v>
      </c>
      <c r="AB531" s="2">
        <v>1</v>
      </c>
      <c r="AC531" s="2">
        <v>2</v>
      </c>
      <c r="AD531" s="2">
        <v>1</v>
      </c>
      <c r="AE531" s="2">
        <v>0</v>
      </c>
      <c r="AF531" s="2">
        <v>1</v>
      </c>
      <c r="AG531" s="20">
        <f t="shared" si="8"/>
        <v>100</v>
      </c>
    </row>
    <row r="532" spans="1:33" x14ac:dyDescent="0.25">
      <c r="A532">
        <v>531</v>
      </c>
      <c r="B532" s="2">
        <v>1</v>
      </c>
      <c r="C532" s="2">
        <v>36</v>
      </c>
      <c r="D532" s="2">
        <v>2</v>
      </c>
      <c r="E532" s="2">
        <v>0</v>
      </c>
      <c r="F532" s="2">
        <v>0</v>
      </c>
      <c r="G532" s="2">
        <v>0</v>
      </c>
      <c r="H532" s="2">
        <v>0</v>
      </c>
      <c r="I532" s="2">
        <v>1</v>
      </c>
      <c r="J532" s="2">
        <v>0</v>
      </c>
      <c r="K532" s="2">
        <v>2273</v>
      </c>
      <c r="L532" s="2">
        <v>0</v>
      </c>
      <c r="M532" s="2">
        <v>3</v>
      </c>
      <c r="N532" s="2">
        <v>3</v>
      </c>
      <c r="O532" s="2">
        <v>0</v>
      </c>
      <c r="P532" s="2">
        <v>1</v>
      </c>
      <c r="Q532" s="2">
        <v>0</v>
      </c>
      <c r="R532" s="2">
        <v>0</v>
      </c>
      <c r="S532" s="2">
        <v>0</v>
      </c>
      <c r="T532" s="2">
        <v>1</v>
      </c>
      <c r="U532" s="2">
        <v>0</v>
      </c>
      <c r="V532" s="2">
        <v>0</v>
      </c>
      <c r="W532" s="2">
        <v>32</v>
      </c>
      <c r="X532" s="2">
        <v>0</v>
      </c>
      <c r="Y532" s="2">
        <v>0</v>
      </c>
      <c r="Z532" s="2">
        <v>1</v>
      </c>
      <c r="AA532" s="2">
        <v>2</v>
      </c>
      <c r="AB532" s="2">
        <v>2</v>
      </c>
      <c r="AC532" s="2">
        <v>2</v>
      </c>
      <c r="AD532" s="2">
        <v>0</v>
      </c>
      <c r="AE532" s="2">
        <v>0</v>
      </c>
      <c r="AF532" s="2">
        <v>1</v>
      </c>
      <c r="AG532" s="20">
        <f t="shared" si="8"/>
        <v>100</v>
      </c>
    </row>
    <row r="533" spans="1:33" x14ac:dyDescent="0.25">
      <c r="A533">
        <v>532</v>
      </c>
      <c r="B533" s="2">
        <v>1</v>
      </c>
      <c r="C533" s="2">
        <v>15</v>
      </c>
      <c r="D533" s="2">
        <v>2</v>
      </c>
      <c r="E533" s="2">
        <v>1</v>
      </c>
      <c r="F533" s="2">
        <v>0</v>
      </c>
      <c r="G533" s="2">
        <v>0</v>
      </c>
      <c r="H533" s="2">
        <v>0</v>
      </c>
      <c r="I533" s="2">
        <v>0</v>
      </c>
      <c r="J533" s="2">
        <v>0</v>
      </c>
      <c r="K533" s="2">
        <v>2631</v>
      </c>
      <c r="L533" s="2">
        <v>1</v>
      </c>
      <c r="M533" s="2">
        <v>2</v>
      </c>
      <c r="N533" s="2">
        <v>2</v>
      </c>
      <c r="O533" s="2">
        <v>0</v>
      </c>
      <c r="P533" s="2">
        <v>0</v>
      </c>
      <c r="Q533" s="2">
        <v>0</v>
      </c>
      <c r="R533" s="2">
        <v>0</v>
      </c>
      <c r="S533" s="2">
        <v>0</v>
      </c>
      <c r="T533" s="2">
        <v>4</v>
      </c>
      <c r="U533" s="2">
        <v>0</v>
      </c>
      <c r="V533" s="2">
        <v>0</v>
      </c>
      <c r="W533" s="2">
        <v>28</v>
      </c>
      <c r="X533" s="2">
        <v>0</v>
      </c>
      <c r="Y533" s="2">
        <v>1</v>
      </c>
      <c r="Z533" s="2">
        <v>0</v>
      </c>
      <c r="AA533" s="2">
        <v>2</v>
      </c>
      <c r="AB533" s="2">
        <v>2</v>
      </c>
      <c r="AC533" s="2">
        <v>1</v>
      </c>
      <c r="AD533" s="2">
        <v>1</v>
      </c>
      <c r="AE533" s="2">
        <v>0</v>
      </c>
      <c r="AF533" s="2">
        <v>0</v>
      </c>
      <c r="AG533" s="20">
        <f t="shared" si="8"/>
        <v>-500</v>
      </c>
    </row>
    <row r="534" spans="1:33" x14ac:dyDescent="0.25">
      <c r="A534">
        <v>533</v>
      </c>
      <c r="B534" s="2">
        <v>3</v>
      </c>
      <c r="C534" s="2">
        <v>12</v>
      </c>
      <c r="D534" s="2">
        <v>3</v>
      </c>
      <c r="E534" s="2">
        <v>0</v>
      </c>
      <c r="F534" s="2">
        <v>1</v>
      </c>
      <c r="G534" s="2">
        <v>0</v>
      </c>
      <c r="H534" s="2">
        <v>0</v>
      </c>
      <c r="I534" s="2">
        <v>0</v>
      </c>
      <c r="J534" s="2">
        <v>0</v>
      </c>
      <c r="K534" s="2">
        <v>1503</v>
      </c>
      <c r="L534" s="2">
        <v>0</v>
      </c>
      <c r="M534" s="2">
        <v>2</v>
      </c>
      <c r="N534" s="2">
        <v>4</v>
      </c>
      <c r="O534" s="2">
        <v>0</v>
      </c>
      <c r="P534" s="2">
        <v>0</v>
      </c>
      <c r="Q534" s="2">
        <v>1</v>
      </c>
      <c r="R534" s="2">
        <v>0</v>
      </c>
      <c r="S534" s="2">
        <v>0</v>
      </c>
      <c r="T534" s="2">
        <v>4</v>
      </c>
      <c r="U534" s="2">
        <v>1</v>
      </c>
      <c r="V534" s="2">
        <v>0</v>
      </c>
      <c r="W534" s="2">
        <v>41</v>
      </c>
      <c r="X534" s="2">
        <v>0</v>
      </c>
      <c r="Y534" s="2">
        <v>1</v>
      </c>
      <c r="Z534" s="2">
        <v>0</v>
      </c>
      <c r="AA534" s="2">
        <v>1</v>
      </c>
      <c r="AB534" s="2">
        <v>2</v>
      </c>
      <c r="AC534" s="2">
        <v>1</v>
      </c>
      <c r="AD534" s="2">
        <v>0</v>
      </c>
      <c r="AE534" s="2">
        <v>0</v>
      </c>
      <c r="AF534" s="2">
        <v>1</v>
      </c>
      <c r="AG534" s="20">
        <f t="shared" si="8"/>
        <v>100</v>
      </c>
    </row>
    <row r="535" spans="1:33" x14ac:dyDescent="0.25">
      <c r="A535">
        <v>534</v>
      </c>
      <c r="B535" s="2">
        <v>3</v>
      </c>
      <c r="C535" s="2">
        <v>24</v>
      </c>
      <c r="D535" s="2">
        <v>2</v>
      </c>
      <c r="E535" s="2">
        <v>0</v>
      </c>
      <c r="F535" s="2">
        <v>0</v>
      </c>
      <c r="G535" s="2">
        <v>0</v>
      </c>
      <c r="H535" s="2">
        <v>1</v>
      </c>
      <c r="I535" s="2">
        <v>0</v>
      </c>
      <c r="J535" s="2">
        <v>0</v>
      </c>
      <c r="K535" s="2">
        <v>1311</v>
      </c>
      <c r="L535" s="2">
        <v>1</v>
      </c>
      <c r="M535" s="2">
        <v>3</v>
      </c>
      <c r="N535" s="2">
        <v>4</v>
      </c>
      <c r="O535" s="2">
        <v>0</v>
      </c>
      <c r="P535" s="2">
        <v>0</v>
      </c>
      <c r="Q535" s="2">
        <v>1</v>
      </c>
      <c r="R535" s="2">
        <v>0</v>
      </c>
      <c r="S535" s="2">
        <v>0</v>
      </c>
      <c r="T535" s="2">
        <v>3</v>
      </c>
      <c r="U535" s="2">
        <v>0</v>
      </c>
      <c r="V535" s="2">
        <v>0</v>
      </c>
      <c r="W535" s="2">
        <v>26</v>
      </c>
      <c r="X535" s="2">
        <v>0</v>
      </c>
      <c r="Y535" s="2">
        <v>0</v>
      </c>
      <c r="Z535" s="2">
        <v>1</v>
      </c>
      <c r="AA535" s="2">
        <v>1</v>
      </c>
      <c r="AB535" s="2">
        <v>2</v>
      </c>
      <c r="AC535" s="2">
        <v>1</v>
      </c>
      <c r="AD535" s="2">
        <v>1</v>
      </c>
      <c r="AE535" s="2">
        <v>0</v>
      </c>
      <c r="AF535" s="2">
        <v>1</v>
      </c>
      <c r="AG535" s="20">
        <f t="shared" si="8"/>
        <v>100</v>
      </c>
    </row>
    <row r="536" spans="1:33" x14ac:dyDescent="0.25">
      <c r="A536">
        <v>535</v>
      </c>
      <c r="B536" s="2">
        <v>3</v>
      </c>
      <c r="C536" s="2">
        <v>24</v>
      </c>
      <c r="D536" s="2">
        <v>2</v>
      </c>
      <c r="E536" s="2">
        <v>0</v>
      </c>
      <c r="F536" s="2">
        <v>0</v>
      </c>
      <c r="G536" s="2">
        <v>0</v>
      </c>
      <c r="H536" s="2">
        <v>1</v>
      </c>
      <c r="I536" s="2">
        <v>0</v>
      </c>
      <c r="J536" s="2">
        <v>0</v>
      </c>
      <c r="K536" s="2">
        <v>3105</v>
      </c>
      <c r="L536" s="2">
        <v>4</v>
      </c>
      <c r="M536" s="2">
        <v>1</v>
      </c>
      <c r="N536" s="2">
        <v>4</v>
      </c>
      <c r="O536" s="2">
        <v>0</v>
      </c>
      <c r="P536" s="2">
        <v>1</v>
      </c>
      <c r="Q536" s="2">
        <v>0</v>
      </c>
      <c r="R536" s="2">
        <v>0</v>
      </c>
      <c r="S536" s="2">
        <v>0</v>
      </c>
      <c r="T536" s="2">
        <v>2</v>
      </c>
      <c r="U536" s="2">
        <v>0</v>
      </c>
      <c r="V536" s="2">
        <v>0</v>
      </c>
      <c r="W536" s="2">
        <v>25</v>
      </c>
      <c r="X536" s="2">
        <v>0</v>
      </c>
      <c r="Y536" s="2">
        <v>0</v>
      </c>
      <c r="Z536" s="2">
        <v>1</v>
      </c>
      <c r="AA536" s="2">
        <v>2</v>
      </c>
      <c r="AB536" s="2">
        <v>2</v>
      </c>
      <c r="AC536" s="2">
        <v>1</v>
      </c>
      <c r="AD536" s="2">
        <v>0</v>
      </c>
      <c r="AE536" s="2">
        <v>0</v>
      </c>
      <c r="AF536" s="2">
        <v>1</v>
      </c>
      <c r="AG536" s="20">
        <f t="shared" si="8"/>
        <v>100</v>
      </c>
    </row>
    <row r="537" spans="1:33" x14ac:dyDescent="0.25">
      <c r="A537">
        <v>536</v>
      </c>
      <c r="B537" s="2">
        <v>2</v>
      </c>
      <c r="C537" s="2">
        <v>21</v>
      </c>
      <c r="D537" s="2">
        <v>4</v>
      </c>
      <c r="E537" s="2">
        <v>0</v>
      </c>
      <c r="F537" s="2">
        <v>0</v>
      </c>
      <c r="G537" s="2">
        <v>0</v>
      </c>
      <c r="H537" s="2">
        <v>0</v>
      </c>
      <c r="I537" s="2">
        <v>1</v>
      </c>
      <c r="J537" s="2">
        <v>0</v>
      </c>
      <c r="K537" s="2">
        <v>2319</v>
      </c>
      <c r="L537" s="2">
        <v>0</v>
      </c>
      <c r="M537" s="2">
        <v>1</v>
      </c>
      <c r="N537" s="2">
        <v>2</v>
      </c>
      <c r="O537" s="2">
        <v>1</v>
      </c>
      <c r="P537" s="2">
        <v>0</v>
      </c>
      <c r="Q537" s="2">
        <v>0</v>
      </c>
      <c r="R537" s="2">
        <v>0</v>
      </c>
      <c r="S537" s="2">
        <v>0</v>
      </c>
      <c r="T537" s="2">
        <v>1</v>
      </c>
      <c r="U537" s="2">
        <v>0</v>
      </c>
      <c r="V537" s="2">
        <v>0</v>
      </c>
      <c r="W537" s="2">
        <v>33</v>
      </c>
      <c r="X537" s="2">
        <v>0</v>
      </c>
      <c r="Y537" s="2">
        <v>1</v>
      </c>
      <c r="Z537" s="2">
        <v>0</v>
      </c>
      <c r="AA537" s="2">
        <v>1</v>
      </c>
      <c r="AB537" s="2">
        <v>2</v>
      </c>
      <c r="AC537" s="2">
        <v>1</v>
      </c>
      <c r="AD537" s="2">
        <v>0</v>
      </c>
      <c r="AE537" s="2">
        <v>0</v>
      </c>
      <c r="AF537" s="2">
        <v>0</v>
      </c>
      <c r="AG537" s="20">
        <f t="shared" si="8"/>
        <v>-500</v>
      </c>
    </row>
    <row r="538" spans="1:33" x14ac:dyDescent="0.25">
      <c r="A538">
        <v>537</v>
      </c>
      <c r="B538" s="2">
        <v>0</v>
      </c>
      <c r="C538" s="2">
        <v>6</v>
      </c>
      <c r="D538" s="2">
        <v>2</v>
      </c>
      <c r="E538" s="2">
        <v>1</v>
      </c>
      <c r="F538" s="2">
        <v>0</v>
      </c>
      <c r="G538" s="2">
        <v>0</v>
      </c>
      <c r="H538" s="2">
        <v>0</v>
      </c>
      <c r="I538" s="2">
        <v>0</v>
      </c>
      <c r="J538" s="2">
        <v>0</v>
      </c>
      <c r="K538" s="2">
        <v>1374</v>
      </c>
      <c r="L538" s="2">
        <v>4</v>
      </c>
      <c r="M538" s="2">
        <v>0</v>
      </c>
      <c r="N538" s="2">
        <v>4</v>
      </c>
      <c r="O538" s="2">
        <v>0</v>
      </c>
      <c r="P538" s="2">
        <v>0</v>
      </c>
      <c r="Q538" s="2">
        <v>0</v>
      </c>
      <c r="R538" s="2">
        <v>0</v>
      </c>
      <c r="S538" s="2">
        <v>0</v>
      </c>
      <c r="T538" s="2">
        <v>3</v>
      </c>
      <c r="U538" s="2">
        <v>0</v>
      </c>
      <c r="V538" s="2">
        <v>0</v>
      </c>
      <c r="W538" s="2">
        <v>75</v>
      </c>
      <c r="X538" s="2">
        <v>0</v>
      </c>
      <c r="Y538" s="2">
        <v>0</v>
      </c>
      <c r="Z538" s="2">
        <v>1</v>
      </c>
      <c r="AA538" s="2">
        <v>1</v>
      </c>
      <c r="AB538" s="2">
        <v>3</v>
      </c>
      <c r="AC538" s="2">
        <v>1</v>
      </c>
      <c r="AD538" s="2">
        <v>1</v>
      </c>
      <c r="AE538" s="2">
        <v>0</v>
      </c>
      <c r="AF538" s="2">
        <v>1</v>
      </c>
      <c r="AG538" s="20">
        <f t="shared" si="8"/>
        <v>100</v>
      </c>
    </row>
    <row r="539" spans="1:33" x14ac:dyDescent="0.25">
      <c r="A539">
        <v>538</v>
      </c>
      <c r="B539" s="2">
        <v>1</v>
      </c>
      <c r="C539" s="2">
        <v>18</v>
      </c>
      <c r="D539" s="2">
        <v>4</v>
      </c>
      <c r="E539" s="2">
        <v>0</v>
      </c>
      <c r="F539" s="2">
        <v>0</v>
      </c>
      <c r="G539" s="2">
        <v>1</v>
      </c>
      <c r="H539" s="2">
        <v>0</v>
      </c>
      <c r="I539" s="2">
        <v>0</v>
      </c>
      <c r="J539" s="2">
        <v>0</v>
      </c>
      <c r="K539" s="2">
        <v>3612</v>
      </c>
      <c r="L539" s="2">
        <v>0</v>
      </c>
      <c r="M539" s="2">
        <v>4</v>
      </c>
      <c r="N539" s="2">
        <v>3</v>
      </c>
      <c r="O539" s="2">
        <v>0</v>
      </c>
      <c r="P539" s="2">
        <v>0</v>
      </c>
      <c r="Q539" s="2">
        <v>0</v>
      </c>
      <c r="R539" s="2">
        <v>0</v>
      </c>
      <c r="S539" s="2">
        <v>0</v>
      </c>
      <c r="T539" s="2">
        <v>4</v>
      </c>
      <c r="U539" s="2">
        <v>0</v>
      </c>
      <c r="V539" s="2">
        <v>0</v>
      </c>
      <c r="W539" s="2">
        <v>37</v>
      </c>
      <c r="X539" s="2">
        <v>0</v>
      </c>
      <c r="Y539" s="2">
        <v>0</v>
      </c>
      <c r="Z539" s="2">
        <v>1</v>
      </c>
      <c r="AA539" s="2">
        <v>1</v>
      </c>
      <c r="AB539" s="2">
        <v>2</v>
      </c>
      <c r="AC539" s="2">
        <v>1</v>
      </c>
      <c r="AD539" s="2">
        <v>1</v>
      </c>
      <c r="AE539" s="2">
        <v>0</v>
      </c>
      <c r="AF539" s="2">
        <v>1</v>
      </c>
      <c r="AG539" s="20">
        <f t="shared" si="8"/>
        <v>100</v>
      </c>
    </row>
    <row r="540" spans="1:33" x14ac:dyDescent="0.25">
      <c r="A540">
        <v>539</v>
      </c>
      <c r="B540" s="2">
        <v>0</v>
      </c>
      <c r="C540" s="2">
        <v>48</v>
      </c>
      <c r="D540" s="2">
        <v>2</v>
      </c>
      <c r="E540" s="2">
        <v>1</v>
      </c>
      <c r="F540" s="2">
        <v>0</v>
      </c>
      <c r="G540" s="2">
        <v>0</v>
      </c>
      <c r="H540" s="2">
        <v>0</v>
      </c>
      <c r="I540" s="2">
        <v>0</v>
      </c>
      <c r="J540" s="2">
        <v>0</v>
      </c>
      <c r="K540" s="2">
        <v>7763</v>
      </c>
      <c r="L540" s="2">
        <v>0</v>
      </c>
      <c r="M540" s="2">
        <v>4</v>
      </c>
      <c r="N540" s="2">
        <v>4</v>
      </c>
      <c r="O540" s="2">
        <v>0</v>
      </c>
      <c r="P540" s="2">
        <v>1</v>
      </c>
      <c r="Q540" s="2">
        <v>0</v>
      </c>
      <c r="R540" s="2">
        <v>0</v>
      </c>
      <c r="S540" s="2">
        <v>0</v>
      </c>
      <c r="T540" s="2">
        <v>4</v>
      </c>
      <c r="U540" s="2">
        <v>0</v>
      </c>
      <c r="V540" s="2">
        <v>1</v>
      </c>
      <c r="W540" s="2">
        <v>42</v>
      </c>
      <c r="X540" s="2">
        <v>1</v>
      </c>
      <c r="Y540" s="2">
        <v>0</v>
      </c>
      <c r="Z540" s="2">
        <v>0</v>
      </c>
      <c r="AA540" s="2">
        <v>1</v>
      </c>
      <c r="AB540" s="2">
        <v>3</v>
      </c>
      <c r="AC540" s="2">
        <v>1</v>
      </c>
      <c r="AD540" s="2">
        <v>0</v>
      </c>
      <c r="AE540" s="2">
        <v>0</v>
      </c>
      <c r="AF540" s="2">
        <v>0</v>
      </c>
      <c r="AG540" s="20">
        <f t="shared" si="8"/>
        <v>-500</v>
      </c>
    </row>
    <row r="541" spans="1:33" x14ac:dyDescent="0.25">
      <c r="A541">
        <v>540</v>
      </c>
      <c r="B541" s="2">
        <v>2</v>
      </c>
      <c r="C541" s="2">
        <v>18</v>
      </c>
      <c r="D541" s="2">
        <v>2</v>
      </c>
      <c r="E541" s="2">
        <v>0</v>
      </c>
      <c r="F541" s="2">
        <v>0</v>
      </c>
      <c r="G541" s="2">
        <v>1</v>
      </c>
      <c r="H541" s="2">
        <v>0</v>
      </c>
      <c r="I541" s="2">
        <v>0</v>
      </c>
      <c r="J541" s="2">
        <v>0</v>
      </c>
      <c r="K541" s="2">
        <v>3049</v>
      </c>
      <c r="L541" s="2">
        <v>0</v>
      </c>
      <c r="M541" s="2">
        <v>1</v>
      </c>
      <c r="N541" s="2">
        <v>1</v>
      </c>
      <c r="O541" s="2">
        <v>0</v>
      </c>
      <c r="P541" s="2">
        <v>0</v>
      </c>
      <c r="Q541" s="2">
        <v>0</v>
      </c>
      <c r="R541" s="2">
        <v>0</v>
      </c>
      <c r="S541" s="2">
        <v>0</v>
      </c>
      <c r="T541" s="2">
        <v>1</v>
      </c>
      <c r="U541" s="2">
        <v>0</v>
      </c>
      <c r="V541" s="2">
        <v>0</v>
      </c>
      <c r="W541" s="2">
        <v>45</v>
      </c>
      <c r="X541" s="2">
        <v>1</v>
      </c>
      <c r="Y541" s="2">
        <v>0</v>
      </c>
      <c r="Z541" s="2">
        <v>1</v>
      </c>
      <c r="AA541" s="2">
        <v>1</v>
      </c>
      <c r="AB541" s="2">
        <v>1</v>
      </c>
      <c r="AC541" s="2">
        <v>1</v>
      </c>
      <c r="AD541" s="2">
        <v>0</v>
      </c>
      <c r="AE541" s="2">
        <v>0</v>
      </c>
      <c r="AF541" s="2">
        <v>1</v>
      </c>
      <c r="AG541" s="20">
        <f t="shared" si="8"/>
        <v>100</v>
      </c>
    </row>
    <row r="542" spans="1:33" x14ac:dyDescent="0.25">
      <c r="A542">
        <v>541</v>
      </c>
      <c r="B542" s="2">
        <v>1</v>
      </c>
      <c r="C542" s="2">
        <v>12</v>
      </c>
      <c r="D542" s="2">
        <v>2</v>
      </c>
      <c r="E542" s="2">
        <v>0</v>
      </c>
      <c r="F542" s="2">
        <v>0</v>
      </c>
      <c r="G542" s="2">
        <v>0</v>
      </c>
      <c r="H542" s="2">
        <v>1</v>
      </c>
      <c r="I542" s="2">
        <v>0</v>
      </c>
      <c r="J542" s="2">
        <v>0</v>
      </c>
      <c r="K542" s="2">
        <v>1534</v>
      </c>
      <c r="L542" s="2">
        <v>0</v>
      </c>
      <c r="M542" s="2">
        <v>1</v>
      </c>
      <c r="N542" s="2">
        <v>1</v>
      </c>
      <c r="O542" s="2">
        <v>0</v>
      </c>
      <c r="P542" s="2">
        <v>0</v>
      </c>
      <c r="Q542" s="2">
        <v>1</v>
      </c>
      <c r="R542" s="2">
        <v>0</v>
      </c>
      <c r="S542" s="2">
        <v>0</v>
      </c>
      <c r="T542" s="2">
        <v>1</v>
      </c>
      <c r="U542" s="2">
        <v>1</v>
      </c>
      <c r="V542" s="2">
        <v>0</v>
      </c>
      <c r="W542" s="2">
        <v>23</v>
      </c>
      <c r="X542" s="2">
        <v>0</v>
      </c>
      <c r="Y542" s="2">
        <v>1</v>
      </c>
      <c r="Z542" s="2">
        <v>0</v>
      </c>
      <c r="AA542" s="2">
        <v>1</v>
      </c>
      <c r="AB542" s="2">
        <v>2</v>
      </c>
      <c r="AC542" s="2">
        <v>1</v>
      </c>
      <c r="AD542" s="2">
        <v>0</v>
      </c>
      <c r="AE542" s="2">
        <v>0</v>
      </c>
      <c r="AF542" s="2">
        <v>0</v>
      </c>
      <c r="AG542" s="20">
        <f t="shared" si="8"/>
        <v>-500</v>
      </c>
    </row>
    <row r="543" spans="1:33" x14ac:dyDescent="0.25">
      <c r="A543">
        <v>542</v>
      </c>
      <c r="B543" s="2">
        <v>3</v>
      </c>
      <c r="C543" s="2">
        <v>24</v>
      </c>
      <c r="D543" s="2">
        <v>3</v>
      </c>
      <c r="E543" s="2">
        <v>1</v>
      </c>
      <c r="F543" s="2">
        <v>0</v>
      </c>
      <c r="G543" s="2">
        <v>0</v>
      </c>
      <c r="H543" s="2">
        <v>0</v>
      </c>
      <c r="I543" s="2">
        <v>0</v>
      </c>
      <c r="J543" s="2">
        <v>0</v>
      </c>
      <c r="K543" s="2">
        <v>2032</v>
      </c>
      <c r="L543" s="2">
        <v>0</v>
      </c>
      <c r="M543" s="2">
        <v>4</v>
      </c>
      <c r="N543" s="2">
        <v>4</v>
      </c>
      <c r="O543" s="2">
        <v>0</v>
      </c>
      <c r="P543" s="2">
        <v>1</v>
      </c>
      <c r="Q543" s="2">
        <v>0</v>
      </c>
      <c r="R543" s="2">
        <v>0</v>
      </c>
      <c r="S543" s="2">
        <v>0</v>
      </c>
      <c r="T543" s="2">
        <v>4</v>
      </c>
      <c r="U543" s="2">
        <v>0</v>
      </c>
      <c r="V543" s="2">
        <v>1</v>
      </c>
      <c r="W543" s="2">
        <v>60</v>
      </c>
      <c r="X543" s="2">
        <v>0</v>
      </c>
      <c r="Y543" s="2">
        <v>0</v>
      </c>
      <c r="Z543" s="2">
        <v>0</v>
      </c>
      <c r="AA543" s="2">
        <v>2</v>
      </c>
      <c r="AB543" s="2">
        <v>2</v>
      </c>
      <c r="AC543" s="2">
        <v>1</v>
      </c>
      <c r="AD543" s="2">
        <v>1</v>
      </c>
      <c r="AE543" s="2">
        <v>0</v>
      </c>
      <c r="AF543" s="2">
        <v>1</v>
      </c>
      <c r="AG543" s="20">
        <f t="shared" si="8"/>
        <v>100</v>
      </c>
    </row>
    <row r="544" spans="1:33" x14ac:dyDescent="0.25">
      <c r="A544">
        <v>543</v>
      </c>
      <c r="B544" s="2">
        <v>0</v>
      </c>
      <c r="C544" s="2">
        <v>30</v>
      </c>
      <c r="D544" s="2">
        <v>2</v>
      </c>
      <c r="E544" s="2">
        <v>0</v>
      </c>
      <c r="F544" s="2">
        <v>0</v>
      </c>
      <c r="G544" s="2">
        <v>1</v>
      </c>
      <c r="H544" s="2">
        <v>0</v>
      </c>
      <c r="I544" s="2">
        <v>0</v>
      </c>
      <c r="J544" s="2">
        <v>0</v>
      </c>
      <c r="K544" s="2">
        <v>6350</v>
      </c>
      <c r="L544" s="2">
        <v>4</v>
      </c>
      <c r="M544" s="2">
        <v>4</v>
      </c>
      <c r="N544" s="2">
        <v>4</v>
      </c>
      <c r="O544" s="2">
        <v>0</v>
      </c>
      <c r="P544" s="2">
        <v>1</v>
      </c>
      <c r="Q544" s="2">
        <v>0</v>
      </c>
      <c r="R544" s="2">
        <v>0</v>
      </c>
      <c r="S544" s="2">
        <v>0</v>
      </c>
      <c r="T544" s="2">
        <v>4</v>
      </c>
      <c r="U544" s="2">
        <v>0</v>
      </c>
      <c r="V544" s="2">
        <v>0</v>
      </c>
      <c r="W544" s="2">
        <v>31</v>
      </c>
      <c r="X544" s="2">
        <v>0</v>
      </c>
      <c r="Y544" s="2">
        <v>0</v>
      </c>
      <c r="Z544" s="2">
        <v>1</v>
      </c>
      <c r="AA544" s="2">
        <v>1</v>
      </c>
      <c r="AB544" s="2">
        <v>2</v>
      </c>
      <c r="AC544" s="2">
        <v>1</v>
      </c>
      <c r="AD544" s="2">
        <v>0</v>
      </c>
      <c r="AE544" s="2">
        <v>0</v>
      </c>
      <c r="AF544" s="2">
        <v>0</v>
      </c>
      <c r="AG544" s="20">
        <f t="shared" si="8"/>
        <v>-500</v>
      </c>
    </row>
    <row r="545" spans="1:33" x14ac:dyDescent="0.25">
      <c r="A545">
        <v>544</v>
      </c>
      <c r="B545" s="2">
        <v>2</v>
      </c>
      <c r="C545" s="2">
        <v>18</v>
      </c>
      <c r="D545" s="2">
        <v>2</v>
      </c>
      <c r="E545" s="2">
        <v>0</v>
      </c>
      <c r="F545" s="2">
        <v>0</v>
      </c>
      <c r="G545" s="2">
        <v>1</v>
      </c>
      <c r="H545" s="2">
        <v>0</v>
      </c>
      <c r="I545" s="2">
        <v>0</v>
      </c>
      <c r="J545" s="2">
        <v>0</v>
      </c>
      <c r="K545" s="2">
        <v>2864</v>
      </c>
      <c r="L545" s="2">
        <v>0</v>
      </c>
      <c r="M545" s="2">
        <v>2</v>
      </c>
      <c r="N545" s="2">
        <v>2</v>
      </c>
      <c r="O545" s="2">
        <v>0</v>
      </c>
      <c r="P545" s="2">
        <v>1</v>
      </c>
      <c r="Q545" s="2">
        <v>0</v>
      </c>
      <c r="R545" s="2">
        <v>0</v>
      </c>
      <c r="S545" s="2">
        <v>0</v>
      </c>
      <c r="T545" s="2">
        <v>1</v>
      </c>
      <c r="U545" s="2">
        <v>1</v>
      </c>
      <c r="V545" s="2">
        <v>0</v>
      </c>
      <c r="W545" s="2">
        <v>34</v>
      </c>
      <c r="X545" s="2">
        <v>0</v>
      </c>
      <c r="Y545" s="2">
        <v>0</v>
      </c>
      <c r="Z545" s="2">
        <v>1</v>
      </c>
      <c r="AA545" s="2">
        <v>1</v>
      </c>
      <c r="AB545" s="2">
        <v>1</v>
      </c>
      <c r="AC545" s="2">
        <v>2</v>
      </c>
      <c r="AD545" s="2">
        <v>0</v>
      </c>
      <c r="AE545" s="2">
        <v>0</v>
      </c>
      <c r="AF545" s="2">
        <v>0</v>
      </c>
      <c r="AG545" s="20">
        <f t="shared" si="8"/>
        <v>-500</v>
      </c>
    </row>
    <row r="546" spans="1:33" x14ac:dyDescent="0.25">
      <c r="A546">
        <v>545</v>
      </c>
      <c r="B546" s="2">
        <v>3</v>
      </c>
      <c r="C546" s="2">
        <v>12</v>
      </c>
      <c r="D546" s="2">
        <v>4</v>
      </c>
      <c r="E546" s="2">
        <v>1</v>
      </c>
      <c r="F546" s="2">
        <v>0</v>
      </c>
      <c r="G546" s="2">
        <v>0</v>
      </c>
      <c r="H546" s="2">
        <v>0</v>
      </c>
      <c r="I546" s="2">
        <v>0</v>
      </c>
      <c r="J546" s="2">
        <v>0</v>
      </c>
      <c r="K546" s="2">
        <v>1255</v>
      </c>
      <c r="L546" s="2">
        <v>0</v>
      </c>
      <c r="M546" s="2">
        <v>4</v>
      </c>
      <c r="N546" s="2">
        <v>4</v>
      </c>
      <c r="O546" s="2">
        <v>0</v>
      </c>
      <c r="P546" s="2">
        <v>1</v>
      </c>
      <c r="Q546" s="2">
        <v>0</v>
      </c>
      <c r="R546" s="2">
        <v>0</v>
      </c>
      <c r="S546" s="2">
        <v>0</v>
      </c>
      <c r="T546" s="2">
        <v>4</v>
      </c>
      <c r="U546" s="2">
        <v>1</v>
      </c>
      <c r="V546" s="2">
        <v>0</v>
      </c>
      <c r="W546" s="2">
        <v>61</v>
      </c>
      <c r="X546" s="2">
        <v>0</v>
      </c>
      <c r="Y546" s="2">
        <v>0</v>
      </c>
      <c r="Z546" s="2">
        <v>1</v>
      </c>
      <c r="AA546" s="2">
        <v>2</v>
      </c>
      <c r="AB546" s="2">
        <v>1</v>
      </c>
      <c r="AC546" s="2">
        <v>1</v>
      </c>
      <c r="AD546" s="2">
        <v>0</v>
      </c>
      <c r="AE546" s="2">
        <v>0</v>
      </c>
      <c r="AF546" s="2">
        <v>1</v>
      </c>
      <c r="AG546" s="20">
        <f t="shared" si="8"/>
        <v>100</v>
      </c>
    </row>
    <row r="547" spans="1:33" x14ac:dyDescent="0.25">
      <c r="A547">
        <v>546</v>
      </c>
      <c r="B547" s="2">
        <v>0</v>
      </c>
      <c r="C547" s="2">
        <v>24</v>
      </c>
      <c r="D547" s="2">
        <v>3</v>
      </c>
      <c r="E547" s="2">
        <v>1</v>
      </c>
      <c r="F547" s="2">
        <v>0</v>
      </c>
      <c r="G547" s="2">
        <v>0</v>
      </c>
      <c r="H547" s="2">
        <v>0</v>
      </c>
      <c r="I547" s="2">
        <v>0</v>
      </c>
      <c r="J547" s="2">
        <v>0</v>
      </c>
      <c r="K547" s="2">
        <v>1333</v>
      </c>
      <c r="L547" s="2">
        <v>0</v>
      </c>
      <c r="M547" s="2">
        <v>0</v>
      </c>
      <c r="N547" s="2">
        <v>4</v>
      </c>
      <c r="O547" s="2">
        <v>0</v>
      </c>
      <c r="P547" s="2">
        <v>1</v>
      </c>
      <c r="Q547" s="2">
        <v>0</v>
      </c>
      <c r="R547" s="2">
        <v>0</v>
      </c>
      <c r="S547" s="2">
        <v>0</v>
      </c>
      <c r="T547" s="2">
        <v>2</v>
      </c>
      <c r="U547" s="2">
        <v>1</v>
      </c>
      <c r="V547" s="2">
        <v>0</v>
      </c>
      <c r="W547" s="2">
        <v>43</v>
      </c>
      <c r="X547" s="2">
        <v>0</v>
      </c>
      <c r="Y547" s="2">
        <v>0</v>
      </c>
      <c r="Z547" s="2">
        <v>0</v>
      </c>
      <c r="AA547" s="2">
        <v>2</v>
      </c>
      <c r="AB547" s="2">
        <v>2</v>
      </c>
      <c r="AC547" s="2">
        <v>2</v>
      </c>
      <c r="AD547" s="2">
        <v>0</v>
      </c>
      <c r="AE547" s="2">
        <v>0</v>
      </c>
      <c r="AF547" s="2">
        <v>0</v>
      </c>
      <c r="AG547" s="20">
        <f t="shared" si="8"/>
        <v>-500</v>
      </c>
    </row>
    <row r="548" spans="1:33" x14ac:dyDescent="0.25">
      <c r="A548">
        <v>547</v>
      </c>
      <c r="B548" s="2">
        <v>3</v>
      </c>
      <c r="C548" s="2">
        <v>24</v>
      </c>
      <c r="D548" s="2">
        <v>4</v>
      </c>
      <c r="E548" s="2">
        <v>1</v>
      </c>
      <c r="F548" s="2">
        <v>0</v>
      </c>
      <c r="G548" s="2">
        <v>0</v>
      </c>
      <c r="H548" s="2">
        <v>0</v>
      </c>
      <c r="I548" s="2">
        <v>0</v>
      </c>
      <c r="J548" s="2">
        <v>0</v>
      </c>
      <c r="K548" s="2">
        <v>2022</v>
      </c>
      <c r="L548" s="2">
        <v>0</v>
      </c>
      <c r="M548" s="2">
        <v>2</v>
      </c>
      <c r="N548" s="2">
        <v>4</v>
      </c>
      <c r="O548" s="2">
        <v>0</v>
      </c>
      <c r="P548" s="2">
        <v>0</v>
      </c>
      <c r="Q548" s="2">
        <v>0</v>
      </c>
      <c r="R548" s="2">
        <v>0</v>
      </c>
      <c r="S548" s="2">
        <v>0</v>
      </c>
      <c r="T548" s="2">
        <v>4</v>
      </c>
      <c r="U548" s="2">
        <v>0</v>
      </c>
      <c r="V548" s="2">
        <v>0</v>
      </c>
      <c r="W548" s="2">
        <v>37</v>
      </c>
      <c r="X548" s="2">
        <v>0</v>
      </c>
      <c r="Y548" s="2">
        <v>0</v>
      </c>
      <c r="Z548" s="2">
        <v>1</v>
      </c>
      <c r="AA548" s="2">
        <v>1</v>
      </c>
      <c r="AB548" s="2">
        <v>2</v>
      </c>
      <c r="AC548" s="2">
        <v>1</v>
      </c>
      <c r="AD548" s="2">
        <v>1</v>
      </c>
      <c r="AE548" s="2">
        <v>0</v>
      </c>
      <c r="AF548" s="2">
        <v>1</v>
      </c>
      <c r="AG548" s="20">
        <f t="shared" si="8"/>
        <v>100</v>
      </c>
    </row>
    <row r="549" spans="1:33" x14ac:dyDescent="0.25">
      <c r="A549">
        <v>548</v>
      </c>
      <c r="B549" s="2">
        <v>3</v>
      </c>
      <c r="C549" s="2">
        <v>24</v>
      </c>
      <c r="D549" s="2">
        <v>2</v>
      </c>
      <c r="E549" s="2">
        <v>0</v>
      </c>
      <c r="F549" s="2">
        <v>0</v>
      </c>
      <c r="G549" s="2">
        <v>0</v>
      </c>
      <c r="H549" s="2">
        <v>1</v>
      </c>
      <c r="I549" s="2">
        <v>0</v>
      </c>
      <c r="J549" s="2">
        <v>0</v>
      </c>
      <c r="K549" s="2">
        <v>1552</v>
      </c>
      <c r="L549" s="2">
        <v>0</v>
      </c>
      <c r="M549" s="2">
        <v>3</v>
      </c>
      <c r="N549" s="2">
        <v>3</v>
      </c>
      <c r="O549" s="2">
        <v>0</v>
      </c>
      <c r="P549" s="2">
        <v>1</v>
      </c>
      <c r="Q549" s="2">
        <v>0</v>
      </c>
      <c r="R549" s="2">
        <v>0</v>
      </c>
      <c r="S549" s="2">
        <v>0</v>
      </c>
      <c r="T549" s="2">
        <v>1</v>
      </c>
      <c r="U549" s="2">
        <v>0</v>
      </c>
      <c r="V549" s="2">
        <v>0</v>
      </c>
      <c r="W549" s="2">
        <v>32</v>
      </c>
      <c r="X549" s="2">
        <v>1</v>
      </c>
      <c r="Y549" s="2">
        <v>0</v>
      </c>
      <c r="Z549" s="2">
        <v>1</v>
      </c>
      <c r="AA549" s="2">
        <v>1</v>
      </c>
      <c r="AB549" s="2">
        <v>2</v>
      </c>
      <c r="AC549" s="2">
        <v>2</v>
      </c>
      <c r="AD549" s="2">
        <v>0</v>
      </c>
      <c r="AE549" s="2">
        <v>0</v>
      </c>
      <c r="AF549" s="2">
        <v>1</v>
      </c>
      <c r="AG549" s="20">
        <f t="shared" si="8"/>
        <v>100</v>
      </c>
    </row>
    <row r="550" spans="1:33" x14ac:dyDescent="0.25">
      <c r="A550">
        <v>549</v>
      </c>
      <c r="B550" s="2">
        <v>0</v>
      </c>
      <c r="C550" s="2">
        <v>12</v>
      </c>
      <c r="D550" s="2">
        <v>1</v>
      </c>
      <c r="E550" s="2">
        <v>0</v>
      </c>
      <c r="F550" s="2">
        <v>0</v>
      </c>
      <c r="G550" s="2">
        <v>0</v>
      </c>
      <c r="H550" s="2">
        <v>1</v>
      </c>
      <c r="I550" s="2">
        <v>0</v>
      </c>
      <c r="J550" s="2">
        <v>0</v>
      </c>
      <c r="K550" s="2">
        <v>626</v>
      </c>
      <c r="L550" s="2">
        <v>0</v>
      </c>
      <c r="M550" s="2">
        <v>2</v>
      </c>
      <c r="N550" s="2">
        <v>4</v>
      </c>
      <c r="O550" s="2">
        <v>0</v>
      </c>
      <c r="P550" s="2">
        <v>0</v>
      </c>
      <c r="Q550" s="2">
        <v>0</v>
      </c>
      <c r="R550" s="2">
        <v>0</v>
      </c>
      <c r="S550" s="2">
        <v>0</v>
      </c>
      <c r="T550" s="2">
        <v>4</v>
      </c>
      <c r="U550" s="2">
        <v>1</v>
      </c>
      <c r="V550" s="2">
        <v>0</v>
      </c>
      <c r="W550" s="2">
        <v>24</v>
      </c>
      <c r="X550" s="2">
        <v>1</v>
      </c>
      <c r="Y550" s="2">
        <v>0</v>
      </c>
      <c r="Z550" s="2">
        <v>1</v>
      </c>
      <c r="AA550" s="2">
        <v>1</v>
      </c>
      <c r="AB550" s="2">
        <v>1</v>
      </c>
      <c r="AC550" s="2">
        <v>1</v>
      </c>
      <c r="AD550" s="2">
        <v>0</v>
      </c>
      <c r="AE550" s="2">
        <v>0</v>
      </c>
      <c r="AF550" s="2">
        <v>0</v>
      </c>
      <c r="AG550" s="20">
        <f t="shared" si="8"/>
        <v>-500</v>
      </c>
    </row>
    <row r="551" spans="1:33" x14ac:dyDescent="0.25">
      <c r="A551">
        <v>550</v>
      </c>
      <c r="B551" s="2">
        <v>3</v>
      </c>
      <c r="C551" s="2">
        <v>48</v>
      </c>
      <c r="D551" s="2">
        <v>4</v>
      </c>
      <c r="E551" s="2">
        <v>0</v>
      </c>
      <c r="F551" s="2">
        <v>1</v>
      </c>
      <c r="G551" s="2">
        <v>0</v>
      </c>
      <c r="H551" s="2">
        <v>0</v>
      </c>
      <c r="I551" s="2">
        <v>0</v>
      </c>
      <c r="J551" s="2">
        <v>0</v>
      </c>
      <c r="K551" s="2">
        <v>8858</v>
      </c>
      <c r="L551" s="2">
        <v>4</v>
      </c>
      <c r="M551" s="2">
        <v>3</v>
      </c>
      <c r="N551" s="2">
        <v>2</v>
      </c>
      <c r="O551" s="2">
        <v>0</v>
      </c>
      <c r="P551" s="2">
        <v>1</v>
      </c>
      <c r="Q551" s="2">
        <v>0</v>
      </c>
      <c r="R551" s="2">
        <v>0</v>
      </c>
      <c r="S551" s="2">
        <v>0</v>
      </c>
      <c r="T551" s="2">
        <v>1</v>
      </c>
      <c r="U551" s="2">
        <v>0</v>
      </c>
      <c r="V551" s="2">
        <v>1</v>
      </c>
      <c r="W551" s="2">
        <v>35</v>
      </c>
      <c r="X551" s="2">
        <v>0</v>
      </c>
      <c r="Y551" s="2">
        <v>0</v>
      </c>
      <c r="Z551" s="2">
        <v>0</v>
      </c>
      <c r="AA551" s="2">
        <v>2</v>
      </c>
      <c r="AB551" s="2">
        <v>2</v>
      </c>
      <c r="AC551" s="2">
        <v>1</v>
      </c>
      <c r="AD551" s="2">
        <v>1</v>
      </c>
      <c r="AE551" s="2">
        <v>0</v>
      </c>
      <c r="AF551" s="2">
        <v>1</v>
      </c>
      <c r="AG551" s="20">
        <f t="shared" si="8"/>
        <v>100</v>
      </c>
    </row>
    <row r="552" spans="1:33" x14ac:dyDescent="0.25">
      <c r="A552">
        <v>551</v>
      </c>
      <c r="B552" s="2">
        <v>3</v>
      </c>
      <c r="C552" s="2">
        <v>12</v>
      </c>
      <c r="D552" s="2">
        <v>4</v>
      </c>
      <c r="E552" s="2">
        <v>0</v>
      </c>
      <c r="F552" s="2">
        <v>0</v>
      </c>
      <c r="G552" s="2">
        <v>0</v>
      </c>
      <c r="H552" s="2">
        <v>0</v>
      </c>
      <c r="I552" s="2">
        <v>0</v>
      </c>
      <c r="J552" s="2">
        <v>0</v>
      </c>
      <c r="K552" s="2">
        <v>996</v>
      </c>
      <c r="L552" s="2">
        <v>4</v>
      </c>
      <c r="M552" s="2">
        <v>3</v>
      </c>
      <c r="N552" s="2">
        <v>4</v>
      </c>
      <c r="O552" s="2">
        <v>0</v>
      </c>
      <c r="P552" s="2">
        <v>0</v>
      </c>
      <c r="Q552" s="2">
        <v>0</v>
      </c>
      <c r="R552" s="2">
        <v>0</v>
      </c>
      <c r="S552" s="2">
        <v>0</v>
      </c>
      <c r="T552" s="2">
        <v>4</v>
      </c>
      <c r="U552" s="2">
        <v>1</v>
      </c>
      <c r="V552" s="2">
        <v>0</v>
      </c>
      <c r="W552" s="2">
        <v>23</v>
      </c>
      <c r="X552" s="2">
        <v>0</v>
      </c>
      <c r="Y552" s="2">
        <v>0</v>
      </c>
      <c r="Z552" s="2">
        <v>1</v>
      </c>
      <c r="AA552" s="2">
        <v>2</v>
      </c>
      <c r="AB552" s="2">
        <v>2</v>
      </c>
      <c r="AC552" s="2">
        <v>1</v>
      </c>
      <c r="AD552" s="2">
        <v>0</v>
      </c>
      <c r="AE552" s="2">
        <v>0</v>
      </c>
      <c r="AF552" s="2">
        <v>1</v>
      </c>
      <c r="AG552" s="20">
        <f t="shared" si="8"/>
        <v>100</v>
      </c>
    </row>
    <row r="553" spans="1:33" x14ac:dyDescent="0.25">
      <c r="A553">
        <v>552</v>
      </c>
      <c r="B553" s="2">
        <v>3</v>
      </c>
      <c r="C553" s="2">
        <v>6</v>
      </c>
      <c r="D553" s="2">
        <v>1</v>
      </c>
      <c r="E553" s="2">
        <v>0</v>
      </c>
      <c r="F553" s="2">
        <v>0</v>
      </c>
      <c r="G553" s="2">
        <v>0</v>
      </c>
      <c r="H553" s="2">
        <v>1</v>
      </c>
      <c r="I553" s="2">
        <v>0</v>
      </c>
      <c r="J553" s="2">
        <v>0</v>
      </c>
      <c r="K553" s="2">
        <v>1750</v>
      </c>
      <c r="L553" s="2">
        <v>2</v>
      </c>
      <c r="M553" s="2">
        <v>4</v>
      </c>
      <c r="N553" s="2">
        <v>2</v>
      </c>
      <c r="O553" s="2">
        <v>0</v>
      </c>
      <c r="P553" s="2">
        <v>1</v>
      </c>
      <c r="Q553" s="2">
        <v>0</v>
      </c>
      <c r="R553" s="2">
        <v>0</v>
      </c>
      <c r="S553" s="2">
        <v>0</v>
      </c>
      <c r="T553" s="2">
        <v>4</v>
      </c>
      <c r="U553" s="2">
        <v>0</v>
      </c>
      <c r="V553" s="2">
        <v>0</v>
      </c>
      <c r="W553" s="2">
        <v>45</v>
      </c>
      <c r="X553" s="2">
        <v>1</v>
      </c>
      <c r="Y553" s="2">
        <v>0</v>
      </c>
      <c r="Z553" s="2">
        <v>1</v>
      </c>
      <c r="AA553" s="2">
        <v>1</v>
      </c>
      <c r="AB553" s="2">
        <v>1</v>
      </c>
      <c r="AC553" s="2">
        <v>2</v>
      </c>
      <c r="AD553" s="2">
        <v>0</v>
      </c>
      <c r="AE553" s="2">
        <v>0</v>
      </c>
      <c r="AF553" s="2">
        <v>1</v>
      </c>
      <c r="AG553" s="20">
        <f t="shared" si="8"/>
        <v>100</v>
      </c>
    </row>
    <row r="554" spans="1:33" x14ac:dyDescent="0.25">
      <c r="A554">
        <v>553</v>
      </c>
      <c r="B554" s="2">
        <v>0</v>
      </c>
      <c r="C554" s="2">
        <v>48</v>
      </c>
      <c r="D554" s="2">
        <v>2</v>
      </c>
      <c r="E554" s="2">
        <v>0</v>
      </c>
      <c r="F554" s="2">
        <v>0</v>
      </c>
      <c r="G554" s="2">
        <v>0</v>
      </c>
      <c r="H554" s="2">
        <v>1</v>
      </c>
      <c r="I554" s="2">
        <v>0</v>
      </c>
      <c r="J554" s="2">
        <v>0</v>
      </c>
      <c r="K554" s="2">
        <v>6999</v>
      </c>
      <c r="L554" s="2">
        <v>0</v>
      </c>
      <c r="M554" s="2">
        <v>3</v>
      </c>
      <c r="N554" s="2">
        <v>1</v>
      </c>
      <c r="O554" s="2">
        <v>0</v>
      </c>
      <c r="P554" s="2">
        <v>0</v>
      </c>
      <c r="Q554" s="2">
        <v>1</v>
      </c>
      <c r="R554" s="2">
        <v>0</v>
      </c>
      <c r="S554" s="2">
        <v>1</v>
      </c>
      <c r="T554" s="2">
        <v>1</v>
      </c>
      <c r="U554" s="2">
        <v>1</v>
      </c>
      <c r="V554" s="2">
        <v>0</v>
      </c>
      <c r="W554" s="2">
        <v>34</v>
      </c>
      <c r="X554" s="2">
        <v>0</v>
      </c>
      <c r="Y554" s="2">
        <v>0</v>
      </c>
      <c r="Z554" s="2">
        <v>1</v>
      </c>
      <c r="AA554" s="2">
        <v>2</v>
      </c>
      <c r="AB554" s="2">
        <v>2</v>
      </c>
      <c r="AC554" s="2">
        <v>1</v>
      </c>
      <c r="AD554" s="2">
        <v>1</v>
      </c>
      <c r="AE554" s="2">
        <v>0</v>
      </c>
      <c r="AF554" s="2">
        <v>0</v>
      </c>
      <c r="AG554" s="20">
        <f t="shared" si="8"/>
        <v>-500</v>
      </c>
    </row>
    <row r="555" spans="1:33" x14ac:dyDescent="0.25">
      <c r="A555">
        <v>554</v>
      </c>
      <c r="B555" s="2">
        <v>1</v>
      </c>
      <c r="C555" s="2">
        <v>12</v>
      </c>
      <c r="D555" s="2">
        <v>4</v>
      </c>
      <c r="E555" s="2">
        <v>1</v>
      </c>
      <c r="F555" s="2">
        <v>0</v>
      </c>
      <c r="G555" s="2">
        <v>0</v>
      </c>
      <c r="H555" s="2">
        <v>0</v>
      </c>
      <c r="I555" s="2">
        <v>0</v>
      </c>
      <c r="J555" s="2">
        <v>0</v>
      </c>
      <c r="K555" s="2">
        <v>1995</v>
      </c>
      <c r="L555" s="2">
        <v>1</v>
      </c>
      <c r="M555" s="2">
        <v>1</v>
      </c>
      <c r="N555" s="2">
        <v>4</v>
      </c>
      <c r="O555" s="2">
        <v>0</v>
      </c>
      <c r="P555" s="2">
        <v>1</v>
      </c>
      <c r="Q555" s="2">
        <v>0</v>
      </c>
      <c r="R555" s="2">
        <v>0</v>
      </c>
      <c r="S555" s="2">
        <v>0</v>
      </c>
      <c r="T555" s="2">
        <v>1</v>
      </c>
      <c r="U555" s="2">
        <v>0</v>
      </c>
      <c r="V555" s="2">
        <v>0</v>
      </c>
      <c r="W555" s="2">
        <v>27</v>
      </c>
      <c r="X555" s="2">
        <v>0</v>
      </c>
      <c r="Y555" s="2">
        <v>0</v>
      </c>
      <c r="Z555" s="2">
        <v>1</v>
      </c>
      <c r="AA555" s="2">
        <v>1</v>
      </c>
      <c r="AB555" s="2">
        <v>2</v>
      </c>
      <c r="AC555" s="2">
        <v>1</v>
      </c>
      <c r="AD555" s="2">
        <v>0</v>
      </c>
      <c r="AE555" s="2">
        <v>0</v>
      </c>
      <c r="AF555" s="2">
        <v>1</v>
      </c>
      <c r="AG555" s="20">
        <f t="shared" si="8"/>
        <v>100</v>
      </c>
    </row>
    <row r="556" spans="1:33" x14ac:dyDescent="0.25">
      <c r="A556">
        <v>555</v>
      </c>
      <c r="B556" s="2">
        <v>1</v>
      </c>
      <c r="C556" s="2">
        <v>9</v>
      </c>
      <c r="D556" s="2">
        <v>2</v>
      </c>
      <c r="E556" s="2">
        <v>0</v>
      </c>
      <c r="F556" s="2">
        <v>0</v>
      </c>
      <c r="G556" s="2">
        <v>0</v>
      </c>
      <c r="H556" s="2">
        <v>0</v>
      </c>
      <c r="I556" s="2">
        <v>1</v>
      </c>
      <c r="J556" s="2">
        <v>0</v>
      </c>
      <c r="K556" s="2">
        <v>1199</v>
      </c>
      <c r="L556" s="2">
        <v>0</v>
      </c>
      <c r="M556" s="2">
        <v>3</v>
      </c>
      <c r="N556" s="2">
        <v>4</v>
      </c>
      <c r="O556" s="2">
        <v>0</v>
      </c>
      <c r="P556" s="2">
        <v>0</v>
      </c>
      <c r="Q556" s="2">
        <v>0</v>
      </c>
      <c r="R556" s="2">
        <v>0</v>
      </c>
      <c r="S556" s="2">
        <v>0</v>
      </c>
      <c r="T556" s="2">
        <v>4</v>
      </c>
      <c r="U556" s="2">
        <v>0</v>
      </c>
      <c r="V556" s="2">
        <v>0</v>
      </c>
      <c r="W556" s="2">
        <v>67</v>
      </c>
      <c r="X556" s="2">
        <v>0</v>
      </c>
      <c r="Y556" s="2">
        <v>0</v>
      </c>
      <c r="Z556" s="2">
        <v>1</v>
      </c>
      <c r="AA556" s="2">
        <v>2</v>
      </c>
      <c r="AB556" s="2">
        <v>3</v>
      </c>
      <c r="AC556" s="2">
        <v>1</v>
      </c>
      <c r="AD556" s="2">
        <v>1</v>
      </c>
      <c r="AE556" s="2">
        <v>0</v>
      </c>
      <c r="AF556" s="2">
        <v>1</v>
      </c>
      <c r="AG556" s="20">
        <f t="shared" si="8"/>
        <v>100</v>
      </c>
    </row>
    <row r="557" spans="1:33" x14ac:dyDescent="0.25">
      <c r="A557">
        <v>556</v>
      </c>
      <c r="B557" s="2">
        <v>1</v>
      </c>
      <c r="C557" s="2">
        <v>12</v>
      </c>
      <c r="D557" s="2">
        <v>2</v>
      </c>
      <c r="E557" s="2">
        <v>0</v>
      </c>
      <c r="F557" s="2">
        <v>0</v>
      </c>
      <c r="G557" s="2">
        <v>0</v>
      </c>
      <c r="H557" s="2">
        <v>1</v>
      </c>
      <c r="I557" s="2">
        <v>0</v>
      </c>
      <c r="J557" s="2">
        <v>0</v>
      </c>
      <c r="K557" s="2">
        <v>1331</v>
      </c>
      <c r="L557" s="2">
        <v>0</v>
      </c>
      <c r="M557" s="2">
        <v>1</v>
      </c>
      <c r="N557" s="2">
        <v>2</v>
      </c>
      <c r="O557" s="2">
        <v>0</v>
      </c>
      <c r="P557" s="2">
        <v>1</v>
      </c>
      <c r="Q557" s="2">
        <v>0</v>
      </c>
      <c r="R557" s="2">
        <v>0</v>
      </c>
      <c r="S557" s="2">
        <v>0</v>
      </c>
      <c r="T557" s="2">
        <v>1</v>
      </c>
      <c r="U557" s="2">
        <v>0</v>
      </c>
      <c r="V557" s="2">
        <v>0</v>
      </c>
      <c r="W557" s="2">
        <v>22</v>
      </c>
      <c r="X557" s="2">
        <v>1</v>
      </c>
      <c r="Y557" s="2">
        <v>0</v>
      </c>
      <c r="Z557" s="2">
        <v>1</v>
      </c>
      <c r="AA557" s="2">
        <v>1</v>
      </c>
      <c r="AB557" s="2">
        <v>2</v>
      </c>
      <c r="AC557" s="2">
        <v>1</v>
      </c>
      <c r="AD557" s="2">
        <v>0</v>
      </c>
      <c r="AE557" s="2">
        <v>0</v>
      </c>
      <c r="AF557" s="2">
        <v>0</v>
      </c>
      <c r="AG557" s="20">
        <f t="shared" si="8"/>
        <v>-500</v>
      </c>
    </row>
    <row r="558" spans="1:33" x14ac:dyDescent="0.25">
      <c r="A558">
        <v>557</v>
      </c>
      <c r="B558" s="2">
        <v>1</v>
      </c>
      <c r="C558" s="2">
        <v>18</v>
      </c>
      <c r="D558" s="2">
        <v>0</v>
      </c>
      <c r="E558" s="2">
        <v>1</v>
      </c>
      <c r="F558" s="2">
        <v>0</v>
      </c>
      <c r="G558" s="2">
        <v>0</v>
      </c>
      <c r="H558" s="2">
        <v>0</v>
      </c>
      <c r="I558" s="2">
        <v>0</v>
      </c>
      <c r="J558" s="2">
        <v>0</v>
      </c>
      <c r="K558" s="2">
        <v>2278</v>
      </c>
      <c r="L558" s="2">
        <v>1</v>
      </c>
      <c r="M558" s="2">
        <v>1</v>
      </c>
      <c r="N558" s="2">
        <v>3</v>
      </c>
      <c r="O558" s="2">
        <v>0</v>
      </c>
      <c r="P558" s="2">
        <v>0</v>
      </c>
      <c r="Q558" s="2">
        <v>0</v>
      </c>
      <c r="R558" s="2">
        <v>0</v>
      </c>
      <c r="S558" s="2">
        <v>0</v>
      </c>
      <c r="T558" s="2">
        <v>3</v>
      </c>
      <c r="U558" s="2">
        <v>0</v>
      </c>
      <c r="V558" s="2">
        <v>0</v>
      </c>
      <c r="W558" s="2">
        <v>28</v>
      </c>
      <c r="X558" s="2">
        <v>0</v>
      </c>
      <c r="Y558" s="2">
        <v>0</v>
      </c>
      <c r="Z558" s="2">
        <v>1</v>
      </c>
      <c r="AA558" s="2">
        <v>2</v>
      </c>
      <c r="AB558" s="2">
        <v>2</v>
      </c>
      <c r="AC558" s="2">
        <v>1</v>
      </c>
      <c r="AD558" s="2">
        <v>0</v>
      </c>
      <c r="AE558" s="2">
        <v>0</v>
      </c>
      <c r="AF558" s="2">
        <v>0</v>
      </c>
      <c r="AG558" s="20">
        <f t="shared" si="8"/>
        <v>-500</v>
      </c>
    </row>
    <row r="559" spans="1:33" x14ac:dyDescent="0.25">
      <c r="A559">
        <v>558</v>
      </c>
      <c r="B559" s="2">
        <v>3</v>
      </c>
      <c r="C559" s="2">
        <v>21</v>
      </c>
      <c r="D559" s="2">
        <v>0</v>
      </c>
      <c r="E559" s="2">
        <v>1</v>
      </c>
      <c r="F559" s="2">
        <v>0</v>
      </c>
      <c r="G559" s="2">
        <v>0</v>
      </c>
      <c r="H559" s="2">
        <v>0</v>
      </c>
      <c r="I559" s="2">
        <v>0</v>
      </c>
      <c r="J559" s="2">
        <v>0</v>
      </c>
      <c r="K559" s="2">
        <v>5003</v>
      </c>
      <c r="L559" s="2">
        <v>4</v>
      </c>
      <c r="M559" s="2">
        <v>2</v>
      </c>
      <c r="N559" s="2">
        <v>1</v>
      </c>
      <c r="O559" s="2">
        <v>0</v>
      </c>
      <c r="P559" s="2">
        <v>0</v>
      </c>
      <c r="Q559" s="2">
        <v>0</v>
      </c>
      <c r="R559" s="2">
        <v>0</v>
      </c>
      <c r="S559" s="2">
        <v>0</v>
      </c>
      <c r="T559" s="2">
        <v>4</v>
      </c>
      <c r="U559" s="2">
        <v>0</v>
      </c>
      <c r="V559" s="2">
        <v>0</v>
      </c>
      <c r="W559" s="2">
        <v>29</v>
      </c>
      <c r="X559" s="2">
        <v>1</v>
      </c>
      <c r="Y559" s="2">
        <v>0</v>
      </c>
      <c r="Z559" s="2">
        <v>1</v>
      </c>
      <c r="AA559" s="2">
        <v>2</v>
      </c>
      <c r="AB559" s="2">
        <v>2</v>
      </c>
      <c r="AC559" s="2">
        <v>1</v>
      </c>
      <c r="AD559" s="2">
        <v>1</v>
      </c>
      <c r="AE559" s="2">
        <v>0</v>
      </c>
      <c r="AF559" s="2">
        <v>0</v>
      </c>
      <c r="AG559" s="20">
        <f t="shared" si="8"/>
        <v>-500</v>
      </c>
    </row>
    <row r="560" spans="1:33" x14ac:dyDescent="0.25">
      <c r="A560">
        <v>559</v>
      </c>
      <c r="B560" s="2">
        <v>0</v>
      </c>
      <c r="C560" s="2">
        <v>24</v>
      </c>
      <c r="D560" s="2">
        <v>1</v>
      </c>
      <c r="E560" s="2">
        <v>0</v>
      </c>
      <c r="F560" s="2">
        <v>0</v>
      </c>
      <c r="G560" s="2">
        <v>1</v>
      </c>
      <c r="H560" s="2">
        <v>0</v>
      </c>
      <c r="I560" s="2">
        <v>0</v>
      </c>
      <c r="J560" s="2">
        <v>0</v>
      </c>
      <c r="K560" s="2">
        <v>3552</v>
      </c>
      <c r="L560" s="2">
        <v>0</v>
      </c>
      <c r="M560" s="2">
        <v>3</v>
      </c>
      <c r="N560" s="2">
        <v>3</v>
      </c>
      <c r="O560" s="2">
        <v>0</v>
      </c>
      <c r="P560" s="2">
        <v>1</v>
      </c>
      <c r="Q560" s="2">
        <v>0</v>
      </c>
      <c r="R560" s="2">
        <v>0</v>
      </c>
      <c r="S560" s="2">
        <v>0</v>
      </c>
      <c r="T560" s="2">
        <v>4</v>
      </c>
      <c r="U560" s="2">
        <v>0</v>
      </c>
      <c r="V560" s="2">
        <v>0</v>
      </c>
      <c r="W560" s="2">
        <v>27</v>
      </c>
      <c r="X560" s="2">
        <v>1</v>
      </c>
      <c r="Y560" s="2">
        <v>0</v>
      </c>
      <c r="Z560" s="2">
        <v>1</v>
      </c>
      <c r="AA560" s="2">
        <v>1</v>
      </c>
      <c r="AB560" s="2">
        <v>2</v>
      </c>
      <c r="AC560" s="2">
        <v>1</v>
      </c>
      <c r="AD560" s="2">
        <v>0</v>
      </c>
      <c r="AE560" s="2">
        <v>0</v>
      </c>
      <c r="AF560" s="2">
        <v>0</v>
      </c>
      <c r="AG560" s="20">
        <f t="shared" si="8"/>
        <v>-500</v>
      </c>
    </row>
    <row r="561" spans="1:33" x14ac:dyDescent="0.25">
      <c r="A561">
        <v>560</v>
      </c>
      <c r="B561" s="2">
        <v>1</v>
      </c>
      <c r="C561" s="2">
        <v>18</v>
      </c>
      <c r="D561" s="2">
        <v>4</v>
      </c>
      <c r="E561" s="2">
        <v>0</v>
      </c>
      <c r="F561" s="2">
        <v>0</v>
      </c>
      <c r="G561" s="2">
        <v>1</v>
      </c>
      <c r="H561" s="2">
        <v>0</v>
      </c>
      <c r="I561" s="2">
        <v>0</v>
      </c>
      <c r="J561" s="2">
        <v>0</v>
      </c>
      <c r="K561" s="2">
        <v>1928</v>
      </c>
      <c r="L561" s="2">
        <v>0</v>
      </c>
      <c r="M561" s="2">
        <v>1</v>
      </c>
      <c r="N561" s="2">
        <v>2</v>
      </c>
      <c r="O561" s="2">
        <v>0</v>
      </c>
      <c r="P561" s="2">
        <v>1</v>
      </c>
      <c r="Q561" s="2">
        <v>0</v>
      </c>
      <c r="R561" s="2">
        <v>0</v>
      </c>
      <c r="S561" s="2">
        <v>0</v>
      </c>
      <c r="T561" s="2">
        <v>2</v>
      </c>
      <c r="U561" s="2">
        <v>1</v>
      </c>
      <c r="V561" s="2">
        <v>0</v>
      </c>
      <c r="W561" s="2">
        <v>31</v>
      </c>
      <c r="X561" s="2">
        <v>0</v>
      </c>
      <c r="Y561" s="2">
        <v>0</v>
      </c>
      <c r="Z561" s="2">
        <v>1</v>
      </c>
      <c r="AA561" s="2">
        <v>2</v>
      </c>
      <c r="AB561" s="2">
        <v>1</v>
      </c>
      <c r="AC561" s="2">
        <v>1</v>
      </c>
      <c r="AD561" s="2">
        <v>0</v>
      </c>
      <c r="AE561" s="2">
        <v>0</v>
      </c>
      <c r="AF561" s="2">
        <v>0</v>
      </c>
      <c r="AG561" s="20">
        <f t="shared" si="8"/>
        <v>-500</v>
      </c>
    </row>
    <row r="562" spans="1:33" x14ac:dyDescent="0.25">
      <c r="A562">
        <v>561</v>
      </c>
      <c r="B562" s="2">
        <v>0</v>
      </c>
      <c r="C562" s="2">
        <v>24</v>
      </c>
      <c r="D562" s="2">
        <v>2</v>
      </c>
      <c r="E562" s="2">
        <v>0</v>
      </c>
      <c r="F562" s="2">
        <v>1</v>
      </c>
      <c r="G562" s="2">
        <v>0</v>
      </c>
      <c r="H562" s="2">
        <v>0</v>
      </c>
      <c r="I562" s="2">
        <v>0</v>
      </c>
      <c r="J562" s="2">
        <v>0</v>
      </c>
      <c r="K562" s="2">
        <v>2964</v>
      </c>
      <c r="L562" s="2">
        <v>4</v>
      </c>
      <c r="M562" s="2">
        <v>4</v>
      </c>
      <c r="N562" s="2">
        <v>4</v>
      </c>
      <c r="O562" s="2">
        <v>0</v>
      </c>
      <c r="P562" s="2">
        <v>1</v>
      </c>
      <c r="Q562" s="2">
        <v>0</v>
      </c>
      <c r="R562" s="2">
        <v>0</v>
      </c>
      <c r="S562" s="2">
        <v>0</v>
      </c>
      <c r="T562" s="2">
        <v>4</v>
      </c>
      <c r="U562" s="2">
        <v>0</v>
      </c>
      <c r="V562" s="2">
        <v>1</v>
      </c>
      <c r="W562" s="2">
        <v>49</v>
      </c>
      <c r="X562" s="2">
        <v>1</v>
      </c>
      <c r="Y562" s="2">
        <v>0</v>
      </c>
      <c r="Z562" s="2">
        <v>0</v>
      </c>
      <c r="AA562" s="2">
        <v>1</v>
      </c>
      <c r="AB562" s="2">
        <v>2</v>
      </c>
      <c r="AC562" s="2">
        <v>2</v>
      </c>
      <c r="AD562" s="2">
        <v>1</v>
      </c>
      <c r="AE562" s="2">
        <v>0</v>
      </c>
      <c r="AF562" s="2">
        <v>1</v>
      </c>
      <c r="AG562" s="20">
        <f t="shared" si="8"/>
        <v>100</v>
      </c>
    </row>
    <row r="563" spans="1:33" x14ac:dyDescent="0.25">
      <c r="A563">
        <v>562</v>
      </c>
      <c r="B563" s="2">
        <v>0</v>
      </c>
      <c r="C563" s="2">
        <v>24</v>
      </c>
      <c r="D563" s="2">
        <v>1</v>
      </c>
      <c r="E563" s="2">
        <v>0</v>
      </c>
      <c r="F563" s="2">
        <v>0</v>
      </c>
      <c r="G563" s="2">
        <v>0</v>
      </c>
      <c r="H563" s="2">
        <v>1</v>
      </c>
      <c r="I563" s="2">
        <v>0</v>
      </c>
      <c r="J563" s="2">
        <v>0</v>
      </c>
      <c r="K563" s="2">
        <v>1546</v>
      </c>
      <c r="L563" s="2">
        <v>0</v>
      </c>
      <c r="M563" s="2">
        <v>3</v>
      </c>
      <c r="N563" s="2">
        <v>4</v>
      </c>
      <c r="O563" s="2">
        <v>0</v>
      </c>
      <c r="P563" s="2">
        <v>1</v>
      </c>
      <c r="Q563" s="2">
        <v>0</v>
      </c>
      <c r="R563" s="2">
        <v>0</v>
      </c>
      <c r="S563" s="2">
        <v>1</v>
      </c>
      <c r="T563" s="2">
        <v>4</v>
      </c>
      <c r="U563" s="2">
        <v>0</v>
      </c>
      <c r="V563" s="2">
        <v>0</v>
      </c>
      <c r="W563" s="2">
        <v>24</v>
      </c>
      <c r="X563" s="2">
        <v>1</v>
      </c>
      <c r="Y563" s="2">
        <v>1</v>
      </c>
      <c r="Z563" s="2">
        <v>0</v>
      </c>
      <c r="AA563" s="2">
        <v>1</v>
      </c>
      <c r="AB563" s="2">
        <v>1</v>
      </c>
      <c r="AC563" s="2">
        <v>1</v>
      </c>
      <c r="AD563" s="2">
        <v>0</v>
      </c>
      <c r="AE563" s="2">
        <v>0</v>
      </c>
      <c r="AF563" s="2">
        <v>0</v>
      </c>
      <c r="AG563" s="20">
        <f t="shared" si="8"/>
        <v>-500</v>
      </c>
    </row>
    <row r="564" spans="1:33" x14ac:dyDescent="0.25">
      <c r="A564">
        <v>563</v>
      </c>
      <c r="B564" s="2">
        <v>2</v>
      </c>
      <c r="C564" s="2">
        <v>6</v>
      </c>
      <c r="D564" s="2">
        <v>3</v>
      </c>
      <c r="E564" s="2">
        <v>0</v>
      </c>
      <c r="F564" s="2">
        <v>0</v>
      </c>
      <c r="G564" s="2">
        <v>0</v>
      </c>
      <c r="H564" s="2">
        <v>1</v>
      </c>
      <c r="I564" s="2">
        <v>0</v>
      </c>
      <c r="J564" s="2">
        <v>0</v>
      </c>
      <c r="K564" s="2">
        <v>683</v>
      </c>
      <c r="L564" s="2">
        <v>0</v>
      </c>
      <c r="M564" s="2">
        <v>1</v>
      </c>
      <c r="N564" s="2">
        <v>2</v>
      </c>
      <c r="O564" s="2">
        <v>0</v>
      </c>
      <c r="P564" s="2">
        <v>0</v>
      </c>
      <c r="Q564" s="2">
        <v>0</v>
      </c>
      <c r="R564" s="2">
        <v>0</v>
      </c>
      <c r="S564" s="2">
        <v>0</v>
      </c>
      <c r="T564" s="2">
        <v>1</v>
      </c>
      <c r="U564" s="2">
        <v>0</v>
      </c>
      <c r="V564" s="2">
        <v>0</v>
      </c>
      <c r="W564" s="2">
        <v>29</v>
      </c>
      <c r="X564" s="2">
        <v>1</v>
      </c>
      <c r="Y564" s="2">
        <v>0</v>
      </c>
      <c r="Z564" s="2">
        <v>1</v>
      </c>
      <c r="AA564" s="2">
        <v>1</v>
      </c>
      <c r="AB564" s="2">
        <v>2</v>
      </c>
      <c r="AC564" s="2">
        <v>1</v>
      </c>
      <c r="AD564" s="2">
        <v>0</v>
      </c>
      <c r="AE564" s="2">
        <v>0</v>
      </c>
      <c r="AF564" s="2">
        <v>1</v>
      </c>
      <c r="AG564" s="20">
        <f t="shared" si="8"/>
        <v>100</v>
      </c>
    </row>
    <row r="565" spans="1:33" x14ac:dyDescent="0.25">
      <c r="A565">
        <v>564</v>
      </c>
      <c r="B565" s="2">
        <v>1</v>
      </c>
      <c r="C565" s="2">
        <v>36</v>
      </c>
      <c r="D565" s="2">
        <v>2</v>
      </c>
      <c r="E565" s="2">
        <v>1</v>
      </c>
      <c r="F565" s="2">
        <v>0</v>
      </c>
      <c r="G565" s="2">
        <v>0</v>
      </c>
      <c r="H565" s="2">
        <v>0</v>
      </c>
      <c r="I565" s="2">
        <v>0</v>
      </c>
      <c r="J565" s="2">
        <v>0</v>
      </c>
      <c r="K565" s="2">
        <v>12389</v>
      </c>
      <c r="L565" s="2">
        <v>4</v>
      </c>
      <c r="M565" s="2">
        <v>2</v>
      </c>
      <c r="N565" s="2">
        <v>1</v>
      </c>
      <c r="O565" s="2">
        <v>0</v>
      </c>
      <c r="P565" s="2">
        <v>1</v>
      </c>
      <c r="Q565" s="2">
        <v>0</v>
      </c>
      <c r="R565" s="2">
        <v>0</v>
      </c>
      <c r="S565" s="2">
        <v>0</v>
      </c>
      <c r="T565" s="2">
        <v>4</v>
      </c>
      <c r="U565" s="2">
        <v>0</v>
      </c>
      <c r="V565" s="2">
        <v>1</v>
      </c>
      <c r="W565" s="2">
        <v>37</v>
      </c>
      <c r="X565" s="2">
        <v>0</v>
      </c>
      <c r="Y565" s="2">
        <v>0</v>
      </c>
      <c r="Z565" s="2">
        <v>0</v>
      </c>
      <c r="AA565" s="2">
        <v>1</v>
      </c>
      <c r="AB565" s="2">
        <v>2</v>
      </c>
      <c r="AC565" s="2">
        <v>1</v>
      </c>
      <c r="AD565" s="2">
        <v>1</v>
      </c>
      <c r="AE565" s="2">
        <v>0</v>
      </c>
      <c r="AF565" s="2">
        <v>0</v>
      </c>
      <c r="AG565" s="20">
        <f t="shared" si="8"/>
        <v>-500</v>
      </c>
    </row>
    <row r="566" spans="1:33" x14ac:dyDescent="0.25">
      <c r="A566">
        <v>565</v>
      </c>
      <c r="B566" s="2">
        <v>1</v>
      </c>
      <c r="C566" s="2">
        <v>24</v>
      </c>
      <c r="D566" s="2">
        <v>3</v>
      </c>
      <c r="E566" s="2">
        <v>0</v>
      </c>
      <c r="F566" s="2">
        <v>0</v>
      </c>
      <c r="G566" s="2">
        <v>0</v>
      </c>
      <c r="H566" s="2">
        <v>0</v>
      </c>
      <c r="I566" s="2">
        <v>0</v>
      </c>
      <c r="J566" s="2">
        <v>1</v>
      </c>
      <c r="K566" s="2">
        <v>4712</v>
      </c>
      <c r="L566" s="2">
        <v>4</v>
      </c>
      <c r="M566" s="2">
        <v>2</v>
      </c>
      <c r="N566" s="2">
        <v>4</v>
      </c>
      <c r="O566" s="2">
        <v>0</v>
      </c>
      <c r="P566" s="2">
        <v>1</v>
      </c>
      <c r="Q566" s="2">
        <v>0</v>
      </c>
      <c r="R566" s="2">
        <v>0</v>
      </c>
      <c r="S566" s="2">
        <v>0</v>
      </c>
      <c r="T566" s="2">
        <v>2</v>
      </c>
      <c r="U566" s="2">
        <v>0</v>
      </c>
      <c r="V566" s="2">
        <v>0</v>
      </c>
      <c r="W566" s="2">
        <v>37</v>
      </c>
      <c r="X566" s="2">
        <v>1</v>
      </c>
      <c r="Y566" s="2">
        <v>0</v>
      </c>
      <c r="Z566" s="2">
        <v>1</v>
      </c>
      <c r="AA566" s="2">
        <v>2</v>
      </c>
      <c r="AB566" s="2">
        <v>3</v>
      </c>
      <c r="AC566" s="2">
        <v>1</v>
      </c>
      <c r="AD566" s="2">
        <v>1</v>
      </c>
      <c r="AE566" s="2">
        <v>0</v>
      </c>
      <c r="AF566" s="2">
        <v>1</v>
      </c>
      <c r="AG566" s="20">
        <f t="shared" si="8"/>
        <v>100</v>
      </c>
    </row>
    <row r="567" spans="1:33" x14ac:dyDescent="0.25">
      <c r="A567">
        <v>566</v>
      </c>
      <c r="B567" s="2">
        <v>1</v>
      </c>
      <c r="C567" s="2">
        <v>24</v>
      </c>
      <c r="D567" s="2">
        <v>3</v>
      </c>
      <c r="E567" s="2">
        <v>0</v>
      </c>
      <c r="F567" s="2">
        <v>0</v>
      </c>
      <c r="G567" s="2">
        <v>0</v>
      </c>
      <c r="H567" s="2">
        <v>1</v>
      </c>
      <c r="I567" s="2">
        <v>0</v>
      </c>
      <c r="J567" s="2">
        <v>0</v>
      </c>
      <c r="K567" s="2">
        <v>1553</v>
      </c>
      <c r="L567" s="2">
        <v>1</v>
      </c>
      <c r="M567" s="2">
        <v>3</v>
      </c>
      <c r="N567" s="2">
        <v>3</v>
      </c>
      <c r="O567" s="2">
        <v>0</v>
      </c>
      <c r="P567" s="2">
        <v>0</v>
      </c>
      <c r="Q567" s="2">
        <v>0</v>
      </c>
      <c r="R567" s="2">
        <v>0</v>
      </c>
      <c r="S567" s="2">
        <v>0</v>
      </c>
      <c r="T567" s="2">
        <v>2</v>
      </c>
      <c r="U567" s="2">
        <v>0</v>
      </c>
      <c r="V567" s="2">
        <v>0</v>
      </c>
      <c r="W567" s="2">
        <v>23</v>
      </c>
      <c r="X567" s="2">
        <v>0</v>
      </c>
      <c r="Y567" s="2">
        <v>1</v>
      </c>
      <c r="Z567" s="2">
        <v>0</v>
      </c>
      <c r="AA567" s="2">
        <v>2</v>
      </c>
      <c r="AB567" s="2">
        <v>2</v>
      </c>
      <c r="AC567" s="2">
        <v>1</v>
      </c>
      <c r="AD567" s="2">
        <v>1</v>
      </c>
      <c r="AE567" s="2">
        <v>0</v>
      </c>
      <c r="AF567" s="2">
        <v>1</v>
      </c>
      <c r="AG567" s="20">
        <f t="shared" si="8"/>
        <v>100</v>
      </c>
    </row>
    <row r="568" spans="1:33" x14ac:dyDescent="0.25">
      <c r="A568">
        <v>567</v>
      </c>
      <c r="B568" s="2">
        <v>0</v>
      </c>
      <c r="C568" s="2">
        <v>12</v>
      </c>
      <c r="D568" s="2">
        <v>2</v>
      </c>
      <c r="E568" s="2">
        <v>1</v>
      </c>
      <c r="F568" s="2">
        <v>0</v>
      </c>
      <c r="G568" s="2">
        <v>0</v>
      </c>
      <c r="H568" s="2">
        <v>0</v>
      </c>
      <c r="I568" s="2">
        <v>0</v>
      </c>
      <c r="J568" s="2">
        <v>0</v>
      </c>
      <c r="K568" s="2">
        <v>1372</v>
      </c>
      <c r="L568" s="2">
        <v>0</v>
      </c>
      <c r="M568" s="2">
        <v>3</v>
      </c>
      <c r="N568" s="2">
        <v>2</v>
      </c>
      <c r="O568" s="2">
        <v>1</v>
      </c>
      <c r="P568" s="2">
        <v>0</v>
      </c>
      <c r="Q568" s="2">
        <v>0</v>
      </c>
      <c r="R568" s="2">
        <v>0</v>
      </c>
      <c r="S568" s="2">
        <v>0</v>
      </c>
      <c r="T568" s="2">
        <v>3</v>
      </c>
      <c r="U568" s="2">
        <v>0</v>
      </c>
      <c r="V568" s="2">
        <v>0</v>
      </c>
      <c r="W568" s="2">
        <v>36</v>
      </c>
      <c r="X568" s="2">
        <v>0</v>
      </c>
      <c r="Y568" s="2">
        <v>0</v>
      </c>
      <c r="Z568" s="2">
        <v>1</v>
      </c>
      <c r="AA568" s="2">
        <v>1</v>
      </c>
      <c r="AB568" s="2">
        <v>2</v>
      </c>
      <c r="AC568" s="2">
        <v>1</v>
      </c>
      <c r="AD568" s="2">
        <v>0</v>
      </c>
      <c r="AE568" s="2">
        <v>0</v>
      </c>
      <c r="AF568" s="2">
        <v>0</v>
      </c>
      <c r="AG568" s="20">
        <f t="shared" si="8"/>
        <v>-500</v>
      </c>
    </row>
    <row r="569" spans="1:33" x14ac:dyDescent="0.25">
      <c r="A569">
        <v>568</v>
      </c>
      <c r="B569" s="2">
        <v>3</v>
      </c>
      <c r="C569" s="2">
        <v>24</v>
      </c>
      <c r="D569" s="2">
        <v>4</v>
      </c>
      <c r="E569" s="2">
        <v>0</v>
      </c>
      <c r="F569" s="2">
        <v>0</v>
      </c>
      <c r="G569" s="2">
        <v>0</v>
      </c>
      <c r="H569" s="2">
        <v>1</v>
      </c>
      <c r="I569" s="2">
        <v>0</v>
      </c>
      <c r="J569" s="2">
        <v>0</v>
      </c>
      <c r="K569" s="2">
        <v>2578</v>
      </c>
      <c r="L569" s="2">
        <v>3</v>
      </c>
      <c r="M569" s="2">
        <v>4</v>
      </c>
      <c r="N569" s="2">
        <v>2</v>
      </c>
      <c r="O569" s="2">
        <v>0</v>
      </c>
      <c r="P569" s="2">
        <v>1</v>
      </c>
      <c r="Q569" s="2">
        <v>0</v>
      </c>
      <c r="R569" s="2">
        <v>0</v>
      </c>
      <c r="S569" s="2">
        <v>0</v>
      </c>
      <c r="T569" s="2">
        <v>2</v>
      </c>
      <c r="U569" s="2">
        <v>0</v>
      </c>
      <c r="V569" s="2">
        <v>0</v>
      </c>
      <c r="W569" s="2">
        <v>34</v>
      </c>
      <c r="X569" s="2">
        <v>0</v>
      </c>
      <c r="Y569" s="2">
        <v>0</v>
      </c>
      <c r="Z569" s="2">
        <v>1</v>
      </c>
      <c r="AA569" s="2">
        <v>1</v>
      </c>
      <c r="AB569" s="2">
        <v>2</v>
      </c>
      <c r="AC569" s="2">
        <v>1</v>
      </c>
      <c r="AD569" s="2">
        <v>0</v>
      </c>
      <c r="AE569" s="2">
        <v>0</v>
      </c>
      <c r="AF569" s="2">
        <v>1</v>
      </c>
      <c r="AG569" s="20">
        <f t="shared" si="8"/>
        <v>100</v>
      </c>
    </row>
    <row r="570" spans="1:33" x14ac:dyDescent="0.25">
      <c r="A570">
        <v>569</v>
      </c>
      <c r="B570" s="2">
        <v>1</v>
      </c>
      <c r="C570" s="2">
        <v>48</v>
      </c>
      <c r="D570" s="2">
        <v>2</v>
      </c>
      <c r="E570" s="2">
        <v>0</v>
      </c>
      <c r="F570" s="2">
        <v>0</v>
      </c>
      <c r="G570" s="2">
        <v>0</v>
      </c>
      <c r="H570" s="2">
        <v>1</v>
      </c>
      <c r="I570" s="2">
        <v>0</v>
      </c>
      <c r="J570" s="2">
        <v>0</v>
      </c>
      <c r="K570" s="2">
        <v>3979</v>
      </c>
      <c r="L570" s="2">
        <v>4</v>
      </c>
      <c r="M570" s="2">
        <v>3</v>
      </c>
      <c r="N570" s="2">
        <v>4</v>
      </c>
      <c r="O570" s="2">
        <v>0</v>
      </c>
      <c r="P570" s="2">
        <v>1</v>
      </c>
      <c r="Q570" s="2">
        <v>0</v>
      </c>
      <c r="R570" s="2">
        <v>0</v>
      </c>
      <c r="S570" s="2">
        <v>0</v>
      </c>
      <c r="T570" s="2">
        <v>1</v>
      </c>
      <c r="U570" s="2">
        <v>0</v>
      </c>
      <c r="V570" s="2">
        <v>0</v>
      </c>
      <c r="W570" s="2">
        <v>41</v>
      </c>
      <c r="X570" s="2">
        <v>0</v>
      </c>
      <c r="Y570" s="2">
        <v>0</v>
      </c>
      <c r="Z570" s="2">
        <v>1</v>
      </c>
      <c r="AA570" s="2">
        <v>2</v>
      </c>
      <c r="AB570" s="2">
        <v>2</v>
      </c>
      <c r="AC570" s="2">
        <v>2</v>
      </c>
      <c r="AD570" s="2">
        <v>1</v>
      </c>
      <c r="AE570" s="2">
        <v>0</v>
      </c>
      <c r="AF570" s="2">
        <v>1</v>
      </c>
      <c r="AG570" s="20">
        <f t="shared" si="8"/>
        <v>100</v>
      </c>
    </row>
    <row r="571" spans="1:33" x14ac:dyDescent="0.25">
      <c r="A571">
        <v>570</v>
      </c>
      <c r="B571" s="2">
        <v>0</v>
      </c>
      <c r="C571" s="2">
        <v>48</v>
      </c>
      <c r="D571" s="2">
        <v>2</v>
      </c>
      <c r="E571" s="2">
        <v>0</v>
      </c>
      <c r="F571" s="2">
        <v>0</v>
      </c>
      <c r="G571" s="2">
        <v>0</v>
      </c>
      <c r="H571" s="2">
        <v>1</v>
      </c>
      <c r="I571" s="2">
        <v>0</v>
      </c>
      <c r="J571" s="2">
        <v>0</v>
      </c>
      <c r="K571" s="2">
        <v>6758</v>
      </c>
      <c r="L571" s="2">
        <v>0</v>
      </c>
      <c r="M571" s="2">
        <v>2</v>
      </c>
      <c r="N571" s="2">
        <v>3</v>
      </c>
      <c r="O571" s="2">
        <v>0</v>
      </c>
      <c r="P571" s="2">
        <v>0</v>
      </c>
      <c r="Q571" s="2">
        <v>0</v>
      </c>
      <c r="R571" s="2">
        <v>0</v>
      </c>
      <c r="S571" s="2">
        <v>0</v>
      </c>
      <c r="T571" s="2">
        <v>2</v>
      </c>
      <c r="U571" s="2">
        <v>0</v>
      </c>
      <c r="V571" s="2">
        <v>0</v>
      </c>
      <c r="W571" s="2">
        <v>31</v>
      </c>
      <c r="X571" s="2">
        <v>0</v>
      </c>
      <c r="Y571" s="2">
        <v>0</v>
      </c>
      <c r="Z571" s="2">
        <v>1</v>
      </c>
      <c r="AA571" s="2">
        <v>1</v>
      </c>
      <c r="AB571" s="2">
        <v>2</v>
      </c>
      <c r="AC571" s="2">
        <v>1</v>
      </c>
      <c r="AD571" s="2">
        <v>1</v>
      </c>
      <c r="AE571" s="2">
        <v>0</v>
      </c>
      <c r="AF571" s="2">
        <v>0</v>
      </c>
      <c r="AG571" s="20">
        <f t="shared" si="8"/>
        <v>-500</v>
      </c>
    </row>
    <row r="572" spans="1:33" x14ac:dyDescent="0.25">
      <c r="A572">
        <v>571</v>
      </c>
      <c r="B572" s="2">
        <v>0</v>
      </c>
      <c r="C572" s="2">
        <v>24</v>
      </c>
      <c r="D572" s="2">
        <v>2</v>
      </c>
      <c r="E572" s="2">
        <v>0</v>
      </c>
      <c r="F572" s="2">
        <v>0</v>
      </c>
      <c r="G572" s="2">
        <v>1</v>
      </c>
      <c r="H572" s="2">
        <v>0</v>
      </c>
      <c r="I572" s="2">
        <v>0</v>
      </c>
      <c r="J572" s="2">
        <v>0</v>
      </c>
      <c r="K572" s="2">
        <v>3234</v>
      </c>
      <c r="L572" s="2">
        <v>0</v>
      </c>
      <c r="M572" s="2">
        <v>1</v>
      </c>
      <c r="N572" s="2">
        <v>4</v>
      </c>
      <c r="O572" s="2">
        <v>0</v>
      </c>
      <c r="P572" s="2">
        <v>0</v>
      </c>
      <c r="Q572" s="2">
        <v>0</v>
      </c>
      <c r="R572" s="2">
        <v>0</v>
      </c>
      <c r="S572" s="2">
        <v>0</v>
      </c>
      <c r="T572" s="2">
        <v>4</v>
      </c>
      <c r="U572" s="2">
        <v>1</v>
      </c>
      <c r="V572" s="2">
        <v>0</v>
      </c>
      <c r="W572" s="2">
        <v>23</v>
      </c>
      <c r="X572" s="2">
        <v>0</v>
      </c>
      <c r="Y572" s="2">
        <v>1</v>
      </c>
      <c r="Z572" s="2">
        <v>0</v>
      </c>
      <c r="AA572" s="2">
        <v>1</v>
      </c>
      <c r="AB572" s="2">
        <v>1</v>
      </c>
      <c r="AC572" s="2">
        <v>1</v>
      </c>
      <c r="AD572" s="2">
        <v>1</v>
      </c>
      <c r="AE572" s="2">
        <v>0</v>
      </c>
      <c r="AF572" s="2">
        <v>0</v>
      </c>
      <c r="AG572" s="20">
        <f t="shared" si="8"/>
        <v>-500</v>
      </c>
    </row>
    <row r="573" spans="1:33" x14ac:dyDescent="0.25">
      <c r="A573">
        <v>572</v>
      </c>
      <c r="B573" s="2">
        <v>3</v>
      </c>
      <c r="C573" s="2">
        <v>30</v>
      </c>
      <c r="D573" s="2">
        <v>4</v>
      </c>
      <c r="E573" s="2">
        <v>0</v>
      </c>
      <c r="F573" s="2">
        <v>0</v>
      </c>
      <c r="G573" s="2">
        <v>0</v>
      </c>
      <c r="H573" s="2">
        <v>1</v>
      </c>
      <c r="I573" s="2">
        <v>0</v>
      </c>
      <c r="J573" s="2">
        <v>0</v>
      </c>
      <c r="K573" s="2">
        <v>5954</v>
      </c>
      <c r="L573" s="2">
        <v>0</v>
      </c>
      <c r="M573" s="2">
        <v>3</v>
      </c>
      <c r="N573" s="2">
        <v>3</v>
      </c>
      <c r="O573" s="2">
        <v>0</v>
      </c>
      <c r="P573" s="2">
        <v>1</v>
      </c>
      <c r="Q573" s="2">
        <v>0</v>
      </c>
      <c r="R573" s="2">
        <v>1</v>
      </c>
      <c r="S573" s="2">
        <v>0</v>
      </c>
      <c r="T573" s="2">
        <v>2</v>
      </c>
      <c r="U573" s="2">
        <v>0</v>
      </c>
      <c r="V573" s="2">
        <v>0</v>
      </c>
      <c r="W573" s="2">
        <v>38</v>
      </c>
      <c r="X573" s="2">
        <v>0</v>
      </c>
      <c r="Y573" s="2">
        <v>0</v>
      </c>
      <c r="Z573" s="2">
        <v>1</v>
      </c>
      <c r="AA573" s="2">
        <v>1</v>
      </c>
      <c r="AB573" s="2">
        <v>2</v>
      </c>
      <c r="AC573" s="2">
        <v>1</v>
      </c>
      <c r="AD573" s="2">
        <v>0</v>
      </c>
      <c r="AE573" s="2">
        <v>0</v>
      </c>
      <c r="AF573" s="2">
        <v>1</v>
      </c>
      <c r="AG573" s="20">
        <f t="shared" si="8"/>
        <v>100</v>
      </c>
    </row>
    <row r="574" spans="1:33" x14ac:dyDescent="0.25">
      <c r="A574">
        <v>573</v>
      </c>
      <c r="B574" s="2">
        <v>3</v>
      </c>
      <c r="C574" s="2">
        <v>24</v>
      </c>
      <c r="D574" s="2">
        <v>2</v>
      </c>
      <c r="E574" s="2">
        <v>0</v>
      </c>
      <c r="F574" s="2">
        <v>1</v>
      </c>
      <c r="G574" s="2">
        <v>0</v>
      </c>
      <c r="H574" s="2">
        <v>0</v>
      </c>
      <c r="I574" s="2">
        <v>0</v>
      </c>
      <c r="J574" s="2">
        <v>0</v>
      </c>
      <c r="K574" s="2">
        <v>5433</v>
      </c>
      <c r="L574" s="2">
        <v>4</v>
      </c>
      <c r="M574" s="2">
        <v>0</v>
      </c>
      <c r="N574" s="2">
        <v>2</v>
      </c>
      <c r="O574" s="2">
        <v>0</v>
      </c>
      <c r="P574" s="2">
        <v>0</v>
      </c>
      <c r="Q574" s="2">
        <v>0</v>
      </c>
      <c r="R574" s="2">
        <v>0</v>
      </c>
      <c r="S574" s="2">
        <v>0</v>
      </c>
      <c r="T574" s="2">
        <v>4</v>
      </c>
      <c r="U574" s="2">
        <v>0</v>
      </c>
      <c r="V574" s="2">
        <v>0</v>
      </c>
      <c r="W574" s="2">
        <v>26</v>
      </c>
      <c r="X574" s="2">
        <v>0</v>
      </c>
      <c r="Y574" s="2">
        <v>1</v>
      </c>
      <c r="Z574" s="2">
        <v>0</v>
      </c>
      <c r="AA574" s="2">
        <v>1</v>
      </c>
      <c r="AB574" s="2">
        <v>3</v>
      </c>
      <c r="AC574" s="2">
        <v>1</v>
      </c>
      <c r="AD574" s="2">
        <v>1</v>
      </c>
      <c r="AE574" s="2">
        <v>0</v>
      </c>
      <c r="AF574" s="2">
        <v>1</v>
      </c>
      <c r="AG574" s="20">
        <f t="shared" si="8"/>
        <v>100</v>
      </c>
    </row>
    <row r="575" spans="1:33" x14ac:dyDescent="0.25">
      <c r="A575">
        <v>574</v>
      </c>
      <c r="B575" s="2">
        <v>0</v>
      </c>
      <c r="C575" s="2">
        <v>15</v>
      </c>
      <c r="D575" s="2">
        <v>2</v>
      </c>
      <c r="E575" s="2">
        <v>0</v>
      </c>
      <c r="F575" s="2">
        <v>0</v>
      </c>
      <c r="G575" s="2">
        <v>0</v>
      </c>
      <c r="H575" s="2">
        <v>0</v>
      </c>
      <c r="I575" s="2">
        <v>0</v>
      </c>
      <c r="J575" s="2">
        <v>1</v>
      </c>
      <c r="K575" s="2">
        <v>806</v>
      </c>
      <c r="L575" s="2">
        <v>0</v>
      </c>
      <c r="M575" s="2">
        <v>2</v>
      </c>
      <c r="N575" s="2">
        <v>4</v>
      </c>
      <c r="O575" s="2">
        <v>0</v>
      </c>
      <c r="P575" s="2">
        <v>0</v>
      </c>
      <c r="Q575" s="2">
        <v>0</v>
      </c>
      <c r="R575" s="2">
        <v>0</v>
      </c>
      <c r="S575" s="2">
        <v>0</v>
      </c>
      <c r="T575" s="2">
        <v>4</v>
      </c>
      <c r="U575" s="2">
        <v>0</v>
      </c>
      <c r="V575" s="2">
        <v>0</v>
      </c>
      <c r="W575" s="2">
        <v>22</v>
      </c>
      <c r="X575" s="2">
        <v>0</v>
      </c>
      <c r="Y575" s="2">
        <v>0</v>
      </c>
      <c r="Z575" s="2">
        <v>1</v>
      </c>
      <c r="AA575" s="2">
        <v>1</v>
      </c>
      <c r="AB575" s="2">
        <v>1</v>
      </c>
      <c r="AC575" s="2">
        <v>1</v>
      </c>
      <c r="AD575" s="2">
        <v>0</v>
      </c>
      <c r="AE575" s="2">
        <v>0</v>
      </c>
      <c r="AF575" s="2">
        <v>1</v>
      </c>
      <c r="AG575" s="20">
        <f t="shared" si="8"/>
        <v>100</v>
      </c>
    </row>
    <row r="576" spans="1:33" x14ac:dyDescent="0.25">
      <c r="A576">
        <v>575</v>
      </c>
      <c r="B576" s="2">
        <v>1</v>
      </c>
      <c r="C576" s="2">
        <v>9</v>
      </c>
      <c r="D576" s="2">
        <v>2</v>
      </c>
      <c r="E576" s="2">
        <v>0</v>
      </c>
      <c r="F576" s="2">
        <v>0</v>
      </c>
      <c r="G576" s="2">
        <v>0</v>
      </c>
      <c r="H576" s="2">
        <v>1</v>
      </c>
      <c r="I576" s="2">
        <v>0</v>
      </c>
      <c r="J576" s="2">
        <v>0</v>
      </c>
      <c r="K576" s="2">
        <v>1082</v>
      </c>
      <c r="L576" s="2">
        <v>0</v>
      </c>
      <c r="M576" s="2">
        <v>4</v>
      </c>
      <c r="N576" s="2">
        <v>4</v>
      </c>
      <c r="O576" s="2">
        <v>0</v>
      </c>
      <c r="P576" s="2">
        <v>1</v>
      </c>
      <c r="Q576" s="2">
        <v>0</v>
      </c>
      <c r="R576" s="2">
        <v>0</v>
      </c>
      <c r="S576" s="2">
        <v>0</v>
      </c>
      <c r="T576" s="2">
        <v>4</v>
      </c>
      <c r="U576" s="2">
        <v>0</v>
      </c>
      <c r="V576" s="2">
        <v>0</v>
      </c>
      <c r="W576" s="2">
        <v>27</v>
      </c>
      <c r="X576" s="2">
        <v>0</v>
      </c>
      <c r="Y576" s="2">
        <v>0</v>
      </c>
      <c r="Z576" s="2">
        <v>1</v>
      </c>
      <c r="AA576" s="2">
        <v>2</v>
      </c>
      <c r="AB576" s="2">
        <v>1</v>
      </c>
      <c r="AC576" s="2">
        <v>1</v>
      </c>
      <c r="AD576" s="2">
        <v>0</v>
      </c>
      <c r="AE576" s="2">
        <v>0</v>
      </c>
      <c r="AF576" s="2">
        <v>1</v>
      </c>
      <c r="AG576" s="20">
        <f t="shared" si="8"/>
        <v>100</v>
      </c>
    </row>
    <row r="577" spans="1:33" x14ac:dyDescent="0.25">
      <c r="A577">
        <v>576</v>
      </c>
      <c r="B577" s="2">
        <v>3</v>
      </c>
      <c r="C577" s="2">
        <v>15</v>
      </c>
      <c r="D577" s="2">
        <v>4</v>
      </c>
      <c r="E577" s="2">
        <v>0</v>
      </c>
      <c r="F577" s="2">
        <v>0</v>
      </c>
      <c r="G577" s="2">
        <v>1</v>
      </c>
      <c r="H577" s="2">
        <v>0</v>
      </c>
      <c r="I577" s="2">
        <v>0</v>
      </c>
      <c r="J577" s="2">
        <v>0</v>
      </c>
      <c r="K577" s="2">
        <v>2788</v>
      </c>
      <c r="L577" s="2">
        <v>0</v>
      </c>
      <c r="M577" s="2">
        <v>3</v>
      </c>
      <c r="N577" s="2">
        <v>2</v>
      </c>
      <c r="O577" s="2">
        <v>0</v>
      </c>
      <c r="P577" s="2">
        <v>0</v>
      </c>
      <c r="Q577" s="2">
        <v>0</v>
      </c>
      <c r="R577" s="2">
        <v>1</v>
      </c>
      <c r="S577" s="2">
        <v>0</v>
      </c>
      <c r="T577" s="2">
        <v>3</v>
      </c>
      <c r="U577" s="2">
        <v>0</v>
      </c>
      <c r="V577" s="2">
        <v>0</v>
      </c>
      <c r="W577" s="2">
        <v>24</v>
      </c>
      <c r="X577" s="2">
        <v>1</v>
      </c>
      <c r="Y577" s="2">
        <v>0</v>
      </c>
      <c r="Z577" s="2">
        <v>1</v>
      </c>
      <c r="AA577" s="2">
        <v>2</v>
      </c>
      <c r="AB577" s="2">
        <v>2</v>
      </c>
      <c r="AC577" s="2">
        <v>1</v>
      </c>
      <c r="AD577" s="2">
        <v>0</v>
      </c>
      <c r="AE577" s="2">
        <v>0</v>
      </c>
      <c r="AF577" s="2">
        <v>1</v>
      </c>
      <c r="AG577" s="20">
        <f t="shared" si="8"/>
        <v>100</v>
      </c>
    </row>
    <row r="578" spans="1:33" x14ac:dyDescent="0.25">
      <c r="A578">
        <v>577</v>
      </c>
      <c r="B578" s="2">
        <v>1</v>
      </c>
      <c r="C578" s="2">
        <v>12</v>
      </c>
      <c r="D578" s="2">
        <v>2</v>
      </c>
      <c r="E578" s="2">
        <v>0</v>
      </c>
      <c r="F578" s="2">
        <v>0</v>
      </c>
      <c r="G578" s="2">
        <v>0</v>
      </c>
      <c r="H578" s="2">
        <v>1</v>
      </c>
      <c r="I578" s="2">
        <v>0</v>
      </c>
      <c r="J578" s="2">
        <v>0</v>
      </c>
      <c r="K578" s="2">
        <v>2930</v>
      </c>
      <c r="L578" s="2">
        <v>0</v>
      </c>
      <c r="M578" s="2">
        <v>3</v>
      </c>
      <c r="N578" s="2">
        <v>2</v>
      </c>
      <c r="O578" s="2">
        <v>0</v>
      </c>
      <c r="P578" s="2">
        <v>0</v>
      </c>
      <c r="Q578" s="2">
        <v>0</v>
      </c>
      <c r="R578" s="2">
        <v>0</v>
      </c>
      <c r="S578" s="2">
        <v>0</v>
      </c>
      <c r="T578" s="2">
        <v>1</v>
      </c>
      <c r="U578" s="2">
        <v>1</v>
      </c>
      <c r="V578" s="2">
        <v>0</v>
      </c>
      <c r="W578" s="2">
        <v>27</v>
      </c>
      <c r="X578" s="2">
        <v>0</v>
      </c>
      <c r="Y578" s="2">
        <v>0</v>
      </c>
      <c r="Z578" s="2">
        <v>1</v>
      </c>
      <c r="AA578" s="2">
        <v>1</v>
      </c>
      <c r="AB578" s="2">
        <v>2</v>
      </c>
      <c r="AC578" s="2">
        <v>1</v>
      </c>
      <c r="AD578" s="2">
        <v>0</v>
      </c>
      <c r="AE578" s="2">
        <v>0</v>
      </c>
      <c r="AF578" s="2">
        <v>1</v>
      </c>
      <c r="AG578" s="20">
        <f t="shared" si="8"/>
        <v>100</v>
      </c>
    </row>
    <row r="579" spans="1:33" x14ac:dyDescent="0.25">
      <c r="A579">
        <v>578</v>
      </c>
      <c r="B579" s="2">
        <v>3</v>
      </c>
      <c r="C579" s="2">
        <v>24</v>
      </c>
      <c r="D579" s="2">
        <v>4</v>
      </c>
      <c r="E579" s="2">
        <v>0</v>
      </c>
      <c r="F579" s="2">
        <v>0</v>
      </c>
      <c r="G579" s="2">
        <v>0</v>
      </c>
      <c r="H579" s="2">
        <v>0</v>
      </c>
      <c r="I579" s="2">
        <v>1</v>
      </c>
      <c r="J579" s="2">
        <v>0</v>
      </c>
      <c r="K579" s="2">
        <v>1927</v>
      </c>
      <c r="L579" s="2">
        <v>4</v>
      </c>
      <c r="M579" s="2">
        <v>2</v>
      </c>
      <c r="N579" s="2">
        <v>3</v>
      </c>
      <c r="O579" s="2">
        <v>0</v>
      </c>
      <c r="P579" s="2">
        <v>0</v>
      </c>
      <c r="Q579" s="2">
        <v>0</v>
      </c>
      <c r="R579" s="2">
        <v>0</v>
      </c>
      <c r="S579" s="2">
        <v>0</v>
      </c>
      <c r="T579" s="2">
        <v>2</v>
      </c>
      <c r="U579" s="2">
        <v>0</v>
      </c>
      <c r="V579" s="2">
        <v>0</v>
      </c>
      <c r="W579" s="2">
        <v>33</v>
      </c>
      <c r="X579" s="2">
        <v>0</v>
      </c>
      <c r="Y579" s="2">
        <v>0</v>
      </c>
      <c r="Z579" s="2">
        <v>1</v>
      </c>
      <c r="AA579" s="2">
        <v>2</v>
      </c>
      <c r="AB579" s="2">
        <v>2</v>
      </c>
      <c r="AC579" s="2">
        <v>1</v>
      </c>
      <c r="AD579" s="2">
        <v>1</v>
      </c>
      <c r="AE579" s="2">
        <v>0</v>
      </c>
      <c r="AF579" s="2">
        <v>1</v>
      </c>
      <c r="AG579" s="20">
        <f t="shared" si="8"/>
        <v>100</v>
      </c>
    </row>
    <row r="580" spans="1:33" x14ac:dyDescent="0.25">
      <c r="A580">
        <v>579</v>
      </c>
      <c r="B580" s="2">
        <v>1</v>
      </c>
      <c r="C580" s="2">
        <v>36</v>
      </c>
      <c r="D580" s="2">
        <v>4</v>
      </c>
      <c r="E580" s="2">
        <v>1</v>
      </c>
      <c r="F580" s="2">
        <v>0</v>
      </c>
      <c r="G580" s="2">
        <v>0</v>
      </c>
      <c r="H580" s="2">
        <v>0</v>
      </c>
      <c r="I580" s="2">
        <v>0</v>
      </c>
      <c r="J580" s="2">
        <v>0</v>
      </c>
      <c r="K580" s="2">
        <v>2820</v>
      </c>
      <c r="L580" s="2">
        <v>0</v>
      </c>
      <c r="M580" s="2">
        <v>1</v>
      </c>
      <c r="N580" s="2">
        <v>4</v>
      </c>
      <c r="O580" s="2">
        <v>1</v>
      </c>
      <c r="P580" s="2">
        <v>0</v>
      </c>
      <c r="Q580" s="2">
        <v>0</v>
      </c>
      <c r="R580" s="2">
        <v>0</v>
      </c>
      <c r="S580" s="2">
        <v>0</v>
      </c>
      <c r="T580" s="2">
        <v>4</v>
      </c>
      <c r="U580" s="2">
        <v>0</v>
      </c>
      <c r="V580" s="2">
        <v>0</v>
      </c>
      <c r="W580" s="2">
        <v>27</v>
      </c>
      <c r="X580" s="2">
        <v>0</v>
      </c>
      <c r="Y580" s="2">
        <v>0</v>
      </c>
      <c r="Z580" s="2">
        <v>1</v>
      </c>
      <c r="AA580" s="2">
        <v>2</v>
      </c>
      <c r="AB580" s="2">
        <v>2</v>
      </c>
      <c r="AC580" s="2">
        <v>1</v>
      </c>
      <c r="AD580" s="2">
        <v>0</v>
      </c>
      <c r="AE580" s="2">
        <v>0</v>
      </c>
      <c r="AF580" s="2">
        <v>0</v>
      </c>
      <c r="AG580" s="20">
        <f t="shared" ref="AG580:AG643" si="9">IF(AF580=1,100,-500)</f>
        <v>-500</v>
      </c>
    </row>
    <row r="581" spans="1:33" x14ac:dyDescent="0.25">
      <c r="A581">
        <v>580</v>
      </c>
      <c r="B581" s="2">
        <v>3</v>
      </c>
      <c r="C581" s="2">
        <v>24</v>
      </c>
      <c r="D581" s="2">
        <v>2</v>
      </c>
      <c r="E581" s="2">
        <v>0</v>
      </c>
      <c r="F581" s="2">
        <v>0</v>
      </c>
      <c r="G581" s="2">
        <v>0</v>
      </c>
      <c r="H581" s="2">
        <v>0</v>
      </c>
      <c r="I581" s="2">
        <v>0</v>
      </c>
      <c r="J581" s="2">
        <v>0</v>
      </c>
      <c r="K581" s="2">
        <v>937</v>
      </c>
      <c r="L581" s="2">
        <v>0</v>
      </c>
      <c r="M581" s="2">
        <v>1</v>
      </c>
      <c r="N581" s="2">
        <v>4</v>
      </c>
      <c r="O581" s="2">
        <v>0</v>
      </c>
      <c r="P581" s="2">
        <v>0</v>
      </c>
      <c r="Q581" s="2">
        <v>1</v>
      </c>
      <c r="R581" s="2">
        <v>0</v>
      </c>
      <c r="S581" s="2">
        <v>0</v>
      </c>
      <c r="T581" s="2">
        <v>3</v>
      </c>
      <c r="U581" s="2">
        <v>0</v>
      </c>
      <c r="V581" s="2">
        <v>0</v>
      </c>
      <c r="W581" s="2">
        <v>27</v>
      </c>
      <c r="X581" s="2">
        <v>0</v>
      </c>
      <c r="Y581" s="2">
        <v>0</v>
      </c>
      <c r="Z581" s="2">
        <v>1</v>
      </c>
      <c r="AA581" s="2">
        <v>2</v>
      </c>
      <c r="AB581" s="2">
        <v>1</v>
      </c>
      <c r="AC581" s="2">
        <v>1</v>
      </c>
      <c r="AD581" s="2">
        <v>0</v>
      </c>
      <c r="AE581" s="2">
        <v>0</v>
      </c>
      <c r="AF581" s="2">
        <v>1</v>
      </c>
      <c r="AG581" s="20">
        <f t="shared" si="9"/>
        <v>100</v>
      </c>
    </row>
    <row r="582" spans="1:33" x14ac:dyDescent="0.25">
      <c r="A582">
        <v>581</v>
      </c>
      <c r="B582" s="2">
        <v>1</v>
      </c>
      <c r="C582" s="2">
        <v>18</v>
      </c>
      <c r="D582" s="2">
        <v>4</v>
      </c>
      <c r="E582" s="2">
        <v>1</v>
      </c>
      <c r="F582" s="2">
        <v>0</v>
      </c>
      <c r="G582" s="2">
        <v>0</v>
      </c>
      <c r="H582" s="2">
        <v>0</v>
      </c>
      <c r="I582" s="2">
        <v>0</v>
      </c>
      <c r="J582" s="2">
        <v>0</v>
      </c>
      <c r="K582" s="2">
        <v>1056</v>
      </c>
      <c r="L582" s="2">
        <v>0</v>
      </c>
      <c r="M582" s="2">
        <v>4</v>
      </c>
      <c r="N582" s="2">
        <v>3</v>
      </c>
      <c r="O582" s="2">
        <v>0</v>
      </c>
      <c r="P582" s="2">
        <v>1</v>
      </c>
      <c r="Q582" s="2">
        <v>0</v>
      </c>
      <c r="R582" s="2">
        <v>0</v>
      </c>
      <c r="S582" s="2">
        <v>1</v>
      </c>
      <c r="T582" s="2">
        <v>3</v>
      </c>
      <c r="U582" s="2">
        <v>1</v>
      </c>
      <c r="V582" s="2">
        <v>0</v>
      </c>
      <c r="W582" s="2">
        <v>30</v>
      </c>
      <c r="X582" s="2">
        <v>1</v>
      </c>
      <c r="Y582" s="2">
        <v>0</v>
      </c>
      <c r="Z582" s="2">
        <v>1</v>
      </c>
      <c r="AA582" s="2">
        <v>2</v>
      </c>
      <c r="AB582" s="2">
        <v>2</v>
      </c>
      <c r="AC582" s="2">
        <v>1</v>
      </c>
      <c r="AD582" s="2">
        <v>0</v>
      </c>
      <c r="AE582" s="2">
        <v>0</v>
      </c>
      <c r="AF582" s="2">
        <v>0</v>
      </c>
      <c r="AG582" s="20">
        <f t="shared" si="9"/>
        <v>-500</v>
      </c>
    </row>
    <row r="583" spans="1:33" x14ac:dyDescent="0.25">
      <c r="A583">
        <v>582</v>
      </c>
      <c r="B583" s="2">
        <v>1</v>
      </c>
      <c r="C583" s="2">
        <v>12</v>
      </c>
      <c r="D583" s="2">
        <v>4</v>
      </c>
      <c r="E583" s="2">
        <v>1</v>
      </c>
      <c r="F583" s="2">
        <v>0</v>
      </c>
      <c r="G583" s="2">
        <v>0</v>
      </c>
      <c r="H583" s="2">
        <v>0</v>
      </c>
      <c r="I583" s="2">
        <v>0</v>
      </c>
      <c r="J583" s="2">
        <v>0</v>
      </c>
      <c r="K583" s="2">
        <v>3124</v>
      </c>
      <c r="L583" s="2">
        <v>0</v>
      </c>
      <c r="M583" s="2">
        <v>1</v>
      </c>
      <c r="N583" s="2">
        <v>1</v>
      </c>
      <c r="O583" s="2">
        <v>0</v>
      </c>
      <c r="P583" s="2">
        <v>1</v>
      </c>
      <c r="Q583" s="2">
        <v>0</v>
      </c>
      <c r="R583" s="2">
        <v>0</v>
      </c>
      <c r="S583" s="2">
        <v>0</v>
      </c>
      <c r="T583" s="2">
        <v>3</v>
      </c>
      <c r="U583" s="2">
        <v>1</v>
      </c>
      <c r="V583" s="2">
        <v>0</v>
      </c>
      <c r="W583" s="2">
        <v>49</v>
      </c>
      <c r="X583" s="2">
        <v>1</v>
      </c>
      <c r="Y583" s="2">
        <v>0</v>
      </c>
      <c r="Z583" s="2">
        <v>1</v>
      </c>
      <c r="AA583" s="2">
        <v>2</v>
      </c>
      <c r="AB583" s="2">
        <v>1</v>
      </c>
      <c r="AC583" s="2">
        <v>2</v>
      </c>
      <c r="AD583" s="2">
        <v>0</v>
      </c>
      <c r="AE583" s="2">
        <v>0</v>
      </c>
      <c r="AF583" s="2">
        <v>1</v>
      </c>
      <c r="AG583" s="20">
        <f t="shared" si="9"/>
        <v>100</v>
      </c>
    </row>
    <row r="584" spans="1:33" x14ac:dyDescent="0.25">
      <c r="A584">
        <v>583</v>
      </c>
      <c r="B584" s="2">
        <v>3</v>
      </c>
      <c r="C584" s="2">
        <v>9</v>
      </c>
      <c r="D584" s="2">
        <v>2</v>
      </c>
      <c r="E584" s="2">
        <v>0</v>
      </c>
      <c r="F584" s="2">
        <v>0</v>
      </c>
      <c r="G584" s="2">
        <v>1</v>
      </c>
      <c r="H584" s="2">
        <v>0</v>
      </c>
      <c r="I584" s="2">
        <v>0</v>
      </c>
      <c r="J584" s="2">
        <v>0</v>
      </c>
      <c r="K584" s="2">
        <v>1388</v>
      </c>
      <c r="L584" s="2">
        <v>0</v>
      </c>
      <c r="M584" s="2">
        <v>2</v>
      </c>
      <c r="N584" s="2">
        <v>4</v>
      </c>
      <c r="O584" s="2">
        <v>0</v>
      </c>
      <c r="P584" s="2">
        <v>0</v>
      </c>
      <c r="Q584" s="2">
        <v>0</v>
      </c>
      <c r="R584" s="2">
        <v>0</v>
      </c>
      <c r="S584" s="2">
        <v>0</v>
      </c>
      <c r="T584" s="2">
        <v>2</v>
      </c>
      <c r="U584" s="2">
        <v>1</v>
      </c>
      <c r="V584" s="2">
        <v>0</v>
      </c>
      <c r="W584" s="2">
        <v>26</v>
      </c>
      <c r="X584" s="2">
        <v>0</v>
      </c>
      <c r="Y584" s="2">
        <v>1</v>
      </c>
      <c r="Z584" s="2">
        <v>0</v>
      </c>
      <c r="AA584" s="2">
        <v>1</v>
      </c>
      <c r="AB584" s="2">
        <v>2</v>
      </c>
      <c r="AC584" s="2">
        <v>1</v>
      </c>
      <c r="AD584" s="2">
        <v>0</v>
      </c>
      <c r="AE584" s="2">
        <v>0</v>
      </c>
      <c r="AF584" s="2">
        <v>1</v>
      </c>
      <c r="AG584" s="20">
        <f t="shared" si="9"/>
        <v>100</v>
      </c>
    </row>
    <row r="585" spans="1:33" x14ac:dyDescent="0.25">
      <c r="A585">
        <v>584</v>
      </c>
      <c r="B585" s="2">
        <v>1</v>
      </c>
      <c r="C585" s="2">
        <v>36</v>
      </c>
      <c r="D585" s="2">
        <v>2</v>
      </c>
      <c r="E585" s="2">
        <v>0</v>
      </c>
      <c r="F585" s="2">
        <v>0</v>
      </c>
      <c r="G585" s="2">
        <v>0</v>
      </c>
      <c r="H585" s="2">
        <v>0</v>
      </c>
      <c r="I585" s="2">
        <v>0</v>
      </c>
      <c r="J585" s="2">
        <v>0</v>
      </c>
      <c r="K585" s="2">
        <v>2384</v>
      </c>
      <c r="L585" s="2">
        <v>0</v>
      </c>
      <c r="M585" s="2">
        <v>1</v>
      </c>
      <c r="N585" s="2">
        <v>4</v>
      </c>
      <c r="O585" s="2">
        <v>0</v>
      </c>
      <c r="P585" s="2">
        <v>1</v>
      </c>
      <c r="Q585" s="2">
        <v>0</v>
      </c>
      <c r="R585" s="2">
        <v>0</v>
      </c>
      <c r="S585" s="2">
        <v>0</v>
      </c>
      <c r="T585" s="2">
        <v>1</v>
      </c>
      <c r="U585" s="2">
        <v>0</v>
      </c>
      <c r="V585" s="2">
        <v>1</v>
      </c>
      <c r="W585" s="2">
        <v>33</v>
      </c>
      <c r="X585" s="2">
        <v>0</v>
      </c>
      <c r="Y585" s="2">
        <v>1</v>
      </c>
      <c r="Z585" s="2">
        <v>0</v>
      </c>
      <c r="AA585" s="2">
        <v>1</v>
      </c>
      <c r="AB585" s="2">
        <v>1</v>
      </c>
      <c r="AC585" s="2">
        <v>1</v>
      </c>
      <c r="AD585" s="2">
        <v>0</v>
      </c>
      <c r="AE585" s="2">
        <v>0</v>
      </c>
      <c r="AF585" s="2">
        <v>0</v>
      </c>
      <c r="AG585" s="20">
        <f t="shared" si="9"/>
        <v>-500</v>
      </c>
    </row>
    <row r="586" spans="1:33" x14ac:dyDescent="0.25">
      <c r="A586">
        <v>585</v>
      </c>
      <c r="B586" s="2">
        <v>3</v>
      </c>
      <c r="C586" s="2">
        <v>12</v>
      </c>
      <c r="D586" s="2">
        <v>2</v>
      </c>
      <c r="E586" s="2">
        <v>1</v>
      </c>
      <c r="F586" s="2">
        <v>0</v>
      </c>
      <c r="G586" s="2">
        <v>0</v>
      </c>
      <c r="H586" s="2">
        <v>0</v>
      </c>
      <c r="I586" s="2">
        <v>0</v>
      </c>
      <c r="J586" s="2">
        <v>0</v>
      </c>
      <c r="K586" s="2">
        <v>2133</v>
      </c>
      <c r="L586" s="2">
        <v>4</v>
      </c>
      <c r="M586" s="2">
        <v>4</v>
      </c>
      <c r="N586" s="2">
        <v>4</v>
      </c>
      <c r="O586" s="2">
        <v>0</v>
      </c>
      <c r="P586" s="2">
        <v>0</v>
      </c>
      <c r="Q586" s="2">
        <v>0</v>
      </c>
      <c r="R586" s="2">
        <v>0</v>
      </c>
      <c r="S586" s="2">
        <v>0</v>
      </c>
      <c r="T586" s="2">
        <v>4</v>
      </c>
      <c r="U586" s="2">
        <v>0</v>
      </c>
      <c r="V586" s="2">
        <v>1</v>
      </c>
      <c r="W586" s="2">
        <v>52</v>
      </c>
      <c r="X586" s="2">
        <v>0</v>
      </c>
      <c r="Y586" s="2">
        <v>0</v>
      </c>
      <c r="Z586" s="2">
        <v>0</v>
      </c>
      <c r="AA586" s="2">
        <v>1</v>
      </c>
      <c r="AB586" s="2">
        <v>3</v>
      </c>
      <c r="AC586" s="2">
        <v>1</v>
      </c>
      <c r="AD586" s="2">
        <v>1</v>
      </c>
      <c r="AE586" s="2">
        <v>0</v>
      </c>
      <c r="AF586" s="2">
        <v>1</v>
      </c>
      <c r="AG586" s="20">
        <f t="shared" si="9"/>
        <v>100</v>
      </c>
    </row>
    <row r="587" spans="1:33" x14ac:dyDescent="0.25">
      <c r="A587">
        <v>586</v>
      </c>
      <c r="B587" s="2">
        <v>0</v>
      </c>
      <c r="C587" s="2">
        <v>18</v>
      </c>
      <c r="D587" s="2">
        <v>2</v>
      </c>
      <c r="E587" s="2">
        <v>0</v>
      </c>
      <c r="F587" s="2">
        <v>0</v>
      </c>
      <c r="G587" s="2">
        <v>1</v>
      </c>
      <c r="H587" s="2">
        <v>0</v>
      </c>
      <c r="I587" s="2">
        <v>0</v>
      </c>
      <c r="J587" s="2">
        <v>0</v>
      </c>
      <c r="K587" s="2">
        <v>2039</v>
      </c>
      <c r="L587" s="2">
        <v>0</v>
      </c>
      <c r="M587" s="2">
        <v>2</v>
      </c>
      <c r="N587" s="2">
        <v>1</v>
      </c>
      <c r="O587" s="2">
        <v>0</v>
      </c>
      <c r="P587" s="2">
        <v>0</v>
      </c>
      <c r="Q587" s="2">
        <v>0</v>
      </c>
      <c r="R587" s="2">
        <v>0</v>
      </c>
      <c r="S587" s="2">
        <v>0</v>
      </c>
      <c r="T587" s="2">
        <v>4</v>
      </c>
      <c r="U587" s="2">
        <v>1</v>
      </c>
      <c r="V587" s="2">
        <v>0</v>
      </c>
      <c r="W587" s="2">
        <v>20</v>
      </c>
      <c r="X587" s="2">
        <v>1</v>
      </c>
      <c r="Y587" s="2">
        <v>1</v>
      </c>
      <c r="Z587" s="2">
        <v>0</v>
      </c>
      <c r="AA587" s="2">
        <v>1</v>
      </c>
      <c r="AB587" s="2">
        <v>2</v>
      </c>
      <c r="AC587" s="2">
        <v>1</v>
      </c>
      <c r="AD587" s="2">
        <v>0</v>
      </c>
      <c r="AE587" s="2">
        <v>0</v>
      </c>
      <c r="AF587" s="2">
        <v>0</v>
      </c>
      <c r="AG587" s="20">
        <f t="shared" si="9"/>
        <v>-500</v>
      </c>
    </row>
    <row r="588" spans="1:33" x14ac:dyDescent="0.25">
      <c r="A588">
        <v>587</v>
      </c>
      <c r="B588" s="2">
        <v>0</v>
      </c>
      <c r="C588" s="2">
        <v>9</v>
      </c>
      <c r="D588" s="2">
        <v>4</v>
      </c>
      <c r="E588" s="2">
        <v>1</v>
      </c>
      <c r="F588" s="2">
        <v>0</v>
      </c>
      <c r="G588" s="2">
        <v>0</v>
      </c>
      <c r="H588" s="2">
        <v>0</v>
      </c>
      <c r="I588" s="2">
        <v>0</v>
      </c>
      <c r="J588" s="2">
        <v>0</v>
      </c>
      <c r="K588" s="2">
        <v>2799</v>
      </c>
      <c r="L588" s="2">
        <v>0</v>
      </c>
      <c r="M588" s="2">
        <v>2</v>
      </c>
      <c r="N588" s="2">
        <v>2</v>
      </c>
      <c r="O588" s="2">
        <v>0</v>
      </c>
      <c r="P588" s="2">
        <v>1</v>
      </c>
      <c r="Q588" s="2">
        <v>0</v>
      </c>
      <c r="R588" s="2">
        <v>0</v>
      </c>
      <c r="S588" s="2">
        <v>0</v>
      </c>
      <c r="T588" s="2">
        <v>2</v>
      </c>
      <c r="U588" s="2">
        <v>1</v>
      </c>
      <c r="V588" s="2">
        <v>0</v>
      </c>
      <c r="W588" s="2">
        <v>36</v>
      </c>
      <c r="X588" s="2">
        <v>0</v>
      </c>
      <c r="Y588" s="2">
        <v>1</v>
      </c>
      <c r="Z588" s="2">
        <v>0</v>
      </c>
      <c r="AA588" s="2">
        <v>2</v>
      </c>
      <c r="AB588" s="2">
        <v>2</v>
      </c>
      <c r="AC588" s="2">
        <v>2</v>
      </c>
      <c r="AD588" s="2">
        <v>0</v>
      </c>
      <c r="AE588" s="2">
        <v>0</v>
      </c>
      <c r="AF588" s="2">
        <v>1</v>
      </c>
      <c r="AG588" s="20">
        <f t="shared" si="9"/>
        <v>100</v>
      </c>
    </row>
    <row r="589" spans="1:33" x14ac:dyDescent="0.25">
      <c r="A589">
        <v>588</v>
      </c>
      <c r="B589" s="2">
        <v>0</v>
      </c>
      <c r="C589" s="2">
        <v>12</v>
      </c>
      <c r="D589" s="2">
        <v>2</v>
      </c>
      <c r="E589" s="2">
        <v>0</v>
      </c>
      <c r="F589" s="2">
        <v>0</v>
      </c>
      <c r="G589" s="2">
        <v>1</v>
      </c>
      <c r="H589" s="2">
        <v>0</v>
      </c>
      <c r="I589" s="2">
        <v>0</v>
      </c>
      <c r="J589" s="2">
        <v>0</v>
      </c>
      <c r="K589" s="2">
        <v>1289</v>
      </c>
      <c r="L589" s="2">
        <v>0</v>
      </c>
      <c r="M589" s="2">
        <v>2</v>
      </c>
      <c r="N589" s="2">
        <v>4</v>
      </c>
      <c r="O589" s="2">
        <v>0</v>
      </c>
      <c r="P589" s="2">
        <v>1</v>
      </c>
      <c r="Q589" s="2">
        <v>0</v>
      </c>
      <c r="R589" s="2">
        <v>0</v>
      </c>
      <c r="S589" s="2">
        <v>1</v>
      </c>
      <c r="T589" s="2">
        <v>1</v>
      </c>
      <c r="U589" s="2">
        <v>0</v>
      </c>
      <c r="V589" s="2">
        <v>0</v>
      </c>
      <c r="W589" s="2">
        <v>21</v>
      </c>
      <c r="X589" s="2">
        <v>0</v>
      </c>
      <c r="Y589" s="2">
        <v>0</v>
      </c>
      <c r="Z589" s="2">
        <v>1</v>
      </c>
      <c r="AA589" s="2">
        <v>1</v>
      </c>
      <c r="AB589" s="2">
        <v>1</v>
      </c>
      <c r="AC589" s="2">
        <v>1</v>
      </c>
      <c r="AD589" s="2">
        <v>0</v>
      </c>
      <c r="AE589" s="2">
        <v>0</v>
      </c>
      <c r="AF589" s="2">
        <v>1</v>
      </c>
      <c r="AG589" s="20">
        <f t="shared" si="9"/>
        <v>100</v>
      </c>
    </row>
    <row r="590" spans="1:33" x14ac:dyDescent="0.25">
      <c r="A590">
        <v>589</v>
      </c>
      <c r="B590" s="2">
        <v>0</v>
      </c>
      <c r="C590" s="2">
        <v>18</v>
      </c>
      <c r="D590" s="2">
        <v>2</v>
      </c>
      <c r="E590" s="2">
        <v>0</v>
      </c>
      <c r="F590" s="2">
        <v>0</v>
      </c>
      <c r="G590" s="2">
        <v>0</v>
      </c>
      <c r="H590" s="2">
        <v>0</v>
      </c>
      <c r="I590" s="2">
        <v>0</v>
      </c>
      <c r="J590" s="2">
        <v>0</v>
      </c>
      <c r="K590" s="2">
        <v>1217</v>
      </c>
      <c r="L590" s="2">
        <v>0</v>
      </c>
      <c r="M590" s="2">
        <v>2</v>
      </c>
      <c r="N590" s="2">
        <v>4</v>
      </c>
      <c r="O590" s="2">
        <v>0</v>
      </c>
      <c r="P590" s="2">
        <v>0</v>
      </c>
      <c r="Q590" s="2">
        <v>1</v>
      </c>
      <c r="R590" s="2">
        <v>0</v>
      </c>
      <c r="S590" s="2">
        <v>0</v>
      </c>
      <c r="T590" s="2">
        <v>3</v>
      </c>
      <c r="U590" s="2">
        <v>1</v>
      </c>
      <c r="V590" s="2">
        <v>0</v>
      </c>
      <c r="W590" s="2">
        <v>47</v>
      </c>
      <c r="X590" s="2">
        <v>0</v>
      </c>
      <c r="Y590" s="2">
        <v>0</v>
      </c>
      <c r="Z590" s="2">
        <v>1</v>
      </c>
      <c r="AA590" s="2">
        <v>1</v>
      </c>
      <c r="AB590" s="2">
        <v>1</v>
      </c>
      <c r="AC590" s="2">
        <v>1</v>
      </c>
      <c r="AD590" s="2">
        <v>1</v>
      </c>
      <c r="AE590" s="2">
        <v>0</v>
      </c>
      <c r="AF590" s="2">
        <v>0</v>
      </c>
      <c r="AG590" s="20">
        <f t="shared" si="9"/>
        <v>-500</v>
      </c>
    </row>
    <row r="591" spans="1:33" x14ac:dyDescent="0.25">
      <c r="A591">
        <v>590</v>
      </c>
      <c r="B591" s="2">
        <v>0</v>
      </c>
      <c r="C591" s="2">
        <v>12</v>
      </c>
      <c r="D591" s="2">
        <v>4</v>
      </c>
      <c r="E591" s="2">
        <v>0</v>
      </c>
      <c r="F591" s="2">
        <v>0</v>
      </c>
      <c r="G591" s="2">
        <v>1</v>
      </c>
      <c r="H591" s="2">
        <v>0</v>
      </c>
      <c r="I591" s="2">
        <v>0</v>
      </c>
      <c r="J591" s="2">
        <v>0</v>
      </c>
      <c r="K591" s="2">
        <v>2246</v>
      </c>
      <c r="L591" s="2">
        <v>0</v>
      </c>
      <c r="M591" s="2">
        <v>4</v>
      </c>
      <c r="N591" s="2">
        <v>3</v>
      </c>
      <c r="O591" s="2">
        <v>0</v>
      </c>
      <c r="P591" s="2">
        <v>1</v>
      </c>
      <c r="Q591" s="2">
        <v>0</v>
      </c>
      <c r="R591" s="2">
        <v>0</v>
      </c>
      <c r="S591" s="2">
        <v>0</v>
      </c>
      <c r="T591" s="2">
        <v>3</v>
      </c>
      <c r="U591" s="2">
        <v>0</v>
      </c>
      <c r="V591" s="2">
        <v>0</v>
      </c>
      <c r="W591" s="2">
        <v>60</v>
      </c>
      <c r="X591" s="2">
        <v>0</v>
      </c>
      <c r="Y591" s="2">
        <v>0</v>
      </c>
      <c r="Z591" s="2">
        <v>1</v>
      </c>
      <c r="AA591" s="2">
        <v>2</v>
      </c>
      <c r="AB591" s="2">
        <v>2</v>
      </c>
      <c r="AC591" s="2">
        <v>1</v>
      </c>
      <c r="AD591" s="2">
        <v>0</v>
      </c>
      <c r="AE591" s="2">
        <v>0</v>
      </c>
      <c r="AF591" s="2">
        <v>0</v>
      </c>
      <c r="AG591" s="20">
        <f t="shared" si="9"/>
        <v>-500</v>
      </c>
    </row>
    <row r="592" spans="1:33" x14ac:dyDescent="0.25">
      <c r="A592">
        <v>591</v>
      </c>
      <c r="B592" s="2">
        <v>0</v>
      </c>
      <c r="C592" s="2">
        <v>12</v>
      </c>
      <c r="D592" s="2">
        <v>4</v>
      </c>
      <c r="E592" s="2">
        <v>0</v>
      </c>
      <c r="F592" s="2">
        <v>0</v>
      </c>
      <c r="G592" s="2">
        <v>0</v>
      </c>
      <c r="H592" s="2">
        <v>1</v>
      </c>
      <c r="I592" s="2">
        <v>0</v>
      </c>
      <c r="J592" s="2">
        <v>0</v>
      </c>
      <c r="K592" s="2">
        <v>385</v>
      </c>
      <c r="L592" s="2">
        <v>0</v>
      </c>
      <c r="M592" s="2">
        <v>3</v>
      </c>
      <c r="N592" s="2">
        <v>4</v>
      </c>
      <c r="O592" s="2">
        <v>0</v>
      </c>
      <c r="P592" s="2">
        <v>0</v>
      </c>
      <c r="Q592" s="2">
        <v>0</v>
      </c>
      <c r="R592" s="2">
        <v>0</v>
      </c>
      <c r="S592" s="2">
        <v>0</v>
      </c>
      <c r="T592" s="2">
        <v>3</v>
      </c>
      <c r="U592" s="2">
        <v>1</v>
      </c>
      <c r="V592" s="2">
        <v>0</v>
      </c>
      <c r="W592" s="2">
        <v>58</v>
      </c>
      <c r="X592" s="2">
        <v>0</v>
      </c>
      <c r="Y592" s="2">
        <v>0</v>
      </c>
      <c r="Z592" s="2">
        <v>1</v>
      </c>
      <c r="AA592" s="2">
        <v>4</v>
      </c>
      <c r="AB592" s="2">
        <v>1</v>
      </c>
      <c r="AC592" s="2">
        <v>1</v>
      </c>
      <c r="AD592" s="2">
        <v>1</v>
      </c>
      <c r="AE592" s="2">
        <v>0</v>
      </c>
      <c r="AF592" s="2">
        <v>1</v>
      </c>
      <c r="AG592" s="20">
        <f t="shared" si="9"/>
        <v>100</v>
      </c>
    </row>
    <row r="593" spans="1:33" x14ac:dyDescent="0.25">
      <c r="A593">
        <v>592</v>
      </c>
      <c r="B593" s="2">
        <v>1</v>
      </c>
      <c r="C593" s="2">
        <v>24</v>
      </c>
      <c r="D593" s="2">
        <v>3</v>
      </c>
      <c r="E593" s="2">
        <v>1</v>
      </c>
      <c r="F593" s="2">
        <v>0</v>
      </c>
      <c r="G593" s="2">
        <v>0</v>
      </c>
      <c r="H593" s="2">
        <v>0</v>
      </c>
      <c r="I593" s="2">
        <v>0</v>
      </c>
      <c r="J593" s="2">
        <v>0</v>
      </c>
      <c r="K593" s="2">
        <v>1965</v>
      </c>
      <c r="L593" s="2">
        <v>4</v>
      </c>
      <c r="M593" s="2">
        <v>2</v>
      </c>
      <c r="N593" s="2">
        <v>4</v>
      </c>
      <c r="O593" s="2">
        <v>0</v>
      </c>
      <c r="P593" s="2">
        <v>0</v>
      </c>
      <c r="Q593" s="2">
        <v>0</v>
      </c>
      <c r="R593" s="2">
        <v>0</v>
      </c>
      <c r="S593" s="2">
        <v>0</v>
      </c>
      <c r="T593" s="2">
        <v>4</v>
      </c>
      <c r="U593" s="2">
        <v>0</v>
      </c>
      <c r="V593" s="2">
        <v>0</v>
      </c>
      <c r="W593" s="2">
        <v>42</v>
      </c>
      <c r="X593" s="2">
        <v>0</v>
      </c>
      <c r="Y593" s="2">
        <v>1</v>
      </c>
      <c r="Z593" s="2">
        <v>0</v>
      </c>
      <c r="AA593" s="2">
        <v>2</v>
      </c>
      <c r="AB593" s="2">
        <v>2</v>
      </c>
      <c r="AC593" s="2">
        <v>1</v>
      </c>
      <c r="AD593" s="2">
        <v>1</v>
      </c>
      <c r="AE593" s="2">
        <v>0</v>
      </c>
      <c r="AF593" s="2">
        <v>1</v>
      </c>
      <c r="AG593" s="20">
        <f t="shared" si="9"/>
        <v>100</v>
      </c>
    </row>
    <row r="594" spans="1:33" x14ac:dyDescent="0.25">
      <c r="A594">
        <v>593</v>
      </c>
      <c r="B594" s="2">
        <v>3</v>
      </c>
      <c r="C594" s="2">
        <v>21</v>
      </c>
      <c r="D594" s="2">
        <v>2</v>
      </c>
      <c r="E594" s="2">
        <v>0</v>
      </c>
      <c r="F594" s="2">
        <v>0</v>
      </c>
      <c r="G594" s="2">
        <v>0</v>
      </c>
      <c r="H594" s="2">
        <v>0</v>
      </c>
      <c r="I594" s="2">
        <v>0</v>
      </c>
      <c r="J594" s="2">
        <v>1</v>
      </c>
      <c r="K594" s="2">
        <v>1572</v>
      </c>
      <c r="L594" s="2">
        <v>3</v>
      </c>
      <c r="M594" s="2">
        <v>4</v>
      </c>
      <c r="N594" s="2">
        <v>4</v>
      </c>
      <c r="O594" s="2">
        <v>0</v>
      </c>
      <c r="P594" s="2">
        <v>0</v>
      </c>
      <c r="Q594" s="2">
        <v>0</v>
      </c>
      <c r="R594" s="2">
        <v>0</v>
      </c>
      <c r="S594" s="2">
        <v>0</v>
      </c>
      <c r="T594" s="2">
        <v>4</v>
      </c>
      <c r="U594" s="2">
        <v>1</v>
      </c>
      <c r="V594" s="2">
        <v>0</v>
      </c>
      <c r="W594" s="2">
        <v>36</v>
      </c>
      <c r="X594" s="2">
        <v>1</v>
      </c>
      <c r="Y594" s="2">
        <v>0</v>
      </c>
      <c r="Z594" s="2">
        <v>1</v>
      </c>
      <c r="AA594" s="2">
        <v>1</v>
      </c>
      <c r="AB594" s="2">
        <v>1</v>
      </c>
      <c r="AC594" s="2">
        <v>1</v>
      </c>
      <c r="AD594" s="2">
        <v>0</v>
      </c>
      <c r="AE594" s="2">
        <v>0</v>
      </c>
      <c r="AF594" s="2">
        <v>1</v>
      </c>
      <c r="AG594" s="20">
        <f t="shared" si="9"/>
        <v>100</v>
      </c>
    </row>
    <row r="595" spans="1:33" x14ac:dyDescent="0.25">
      <c r="A595">
        <v>594</v>
      </c>
      <c r="B595" s="2">
        <v>1</v>
      </c>
      <c r="C595" s="2">
        <v>24</v>
      </c>
      <c r="D595" s="2">
        <v>2</v>
      </c>
      <c r="E595" s="2">
        <v>1</v>
      </c>
      <c r="F595" s="2">
        <v>0</v>
      </c>
      <c r="G595" s="2">
        <v>0</v>
      </c>
      <c r="H595" s="2">
        <v>0</v>
      </c>
      <c r="I595" s="2">
        <v>0</v>
      </c>
      <c r="J595" s="2">
        <v>0</v>
      </c>
      <c r="K595" s="2">
        <v>2718</v>
      </c>
      <c r="L595" s="2">
        <v>0</v>
      </c>
      <c r="M595" s="2">
        <v>2</v>
      </c>
      <c r="N595" s="2">
        <v>3</v>
      </c>
      <c r="O595" s="2">
        <v>0</v>
      </c>
      <c r="P595" s="2">
        <v>0</v>
      </c>
      <c r="Q595" s="2">
        <v>0</v>
      </c>
      <c r="R595" s="2">
        <v>0</v>
      </c>
      <c r="S595" s="2">
        <v>0</v>
      </c>
      <c r="T595" s="2">
        <v>4</v>
      </c>
      <c r="U595" s="2">
        <v>0</v>
      </c>
      <c r="V595" s="2">
        <v>0</v>
      </c>
      <c r="W595" s="2">
        <v>20</v>
      </c>
      <c r="X595" s="2">
        <v>0</v>
      </c>
      <c r="Y595" s="2">
        <v>1</v>
      </c>
      <c r="Z595" s="2">
        <v>0</v>
      </c>
      <c r="AA595" s="2">
        <v>1</v>
      </c>
      <c r="AB595" s="2">
        <v>1</v>
      </c>
      <c r="AC595" s="2">
        <v>1</v>
      </c>
      <c r="AD595" s="2">
        <v>1</v>
      </c>
      <c r="AE595" s="2">
        <v>0</v>
      </c>
      <c r="AF595" s="2">
        <v>0</v>
      </c>
      <c r="AG595" s="20">
        <f t="shared" si="9"/>
        <v>-500</v>
      </c>
    </row>
    <row r="596" spans="1:33" x14ac:dyDescent="0.25">
      <c r="A596">
        <v>595</v>
      </c>
      <c r="B596" s="2">
        <v>0</v>
      </c>
      <c r="C596" s="2">
        <v>24</v>
      </c>
      <c r="D596" s="2">
        <v>1</v>
      </c>
      <c r="E596" s="2">
        <v>0</v>
      </c>
      <c r="F596" s="2">
        <v>0</v>
      </c>
      <c r="G596" s="2">
        <v>0</v>
      </c>
      <c r="H596" s="2">
        <v>0</v>
      </c>
      <c r="I596" s="2">
        <v>0</v>
      </c>
      <c r="J596" s="2">
        <v>0</v>
      </c>
      <c r="K596" s="2">
        <v>1358</v>
      </c>
      <c r="L596" s="2">
        <v>4</v>
      </c>
      <c r="M596" s="2">
        <v>4</v>
      </c>
      <c r="N596" s="2">
        <v>4</v>
      </c>
      <c r="O596" s="2">
        <v>0</v>
      </c>
      <c r="P596" s="2">
        <v>1</v>
      </c>
      <c r="Q596" s="2">
        <v>0</v>
      </c>
      <c r="R596" s="2">
        <v>0</v>
      </c>
      <c r="S596" s="2">
        <v>0</v>
      </c>
      <c r="T596" s="2">
        <v>3</v>
      </c>
      <c r="U596" s="2">
        <v>0</v>
      </c>
      <c r="V596" s="2">
        <v>0</v>
      </c>
      <c r="W596" s="2">
        <v>40</v>
      </c>
      <c r="X596" s="2">
        <v>1</v>
      </c>
      <c r="Y596" s="2">
        <v>0</v>
      </c>
      <c r="Z596" s="2">
        <v>1</v>
      </c>
      <c r="AA596" s="2">
        <v>1</v>
      </c>
      <c r="AB596" s="2">
        <v>3</v>
      </c>
      <c r="AC596" s="2">
        <v>1</v>
      </c>
      <c r="AD596" s="2">
        <v>1</v>
      </c>
      <c r="AE596" s="2">
        <v>0</v>
      </c>
      <c r="AF596" s="2">
        <v>0</v>
      </c>
      <c r="AG596" s="20">
        <f t="shared" si="9"/>
        <v>-500</v>
      </c>
    </row>
    <row r="597" spans="1:33" x14ac:dyDescent="0.25">
      <c r="A597">
        <v>596</v>
      </c>
      <c r="B597" s="2">
        <v>1</v>
      </c>
      <c r="C597" s="2">
        <v>6</v>
      </c>
      <c r="D597" s="2">
        <v>1</v>
      </c>
      <c r="E597" s="2">
        <v>1</v>
      </c>
      <c r="F597" s="2">
        <v>0</v>
      </c>
      <c r="G597" s="2">
        <v>0</v>
      </c>
      <c r="H597" s="2">
        <v>0</v>
      </c>
      <c r="I597" s="2">
        <v>0</v>
      </c>
      <c r="J597" s="2">
        <v>0</v>
      </c>
      <c r="K597" s="2">
        <v>931</v>
      </c>
      <c r="L597" s="2">
        <v>1</v>
      </c>
      <c r="M597" s="2">
        <v>1</v>
      </c>
      <c r="N597" s="2">
        <v>1</v>
      </c>
      <c r="O597" s="2">
        <v>0</v>
      </c>
      <c r="P597" s="2">
        <v>0</v>
      </c>
      <c r="Q597" s="2">
        <v>0</v>
      </c>
      <c r="R597" s="2">
        <v>0</v>
      </c>
      <c r="S597" s="2">
        <v>0</v>
      </c>
      <c r="T597" s="2">
        <v>1</v>
      </c>
      <c r="U597" s="2">
        <v>0</v>
      </c>
      <c r="V597" s="2">
        <v>0</v>
      </c>
      <c r="W597" s="2">
        <v>32</v>
      </c>
      <c r="X597" s="2">
        <v>1</v>
      </c>
      <c r="Y597" s="2">
        <v>0</v>
      </c>
      <c r="Z597" s="2">
        <v>1</v>
      </c>
      <c r="AA597" s="2">
        <v>1</v>
      </c>
      <c r="AB597" s="2">
        <v>1</v>
      </c>
      <c r="AC597" s="2">
        <v>1</v>
      </c>
      <c r="AD597" s="2">
        <v>0</v>
      </c>
      <c r="AE597" s="2">
        <v>0</v>
      </c>
      <c r="AF597" s="2">
        <v>0</v>
      </c>
      <c r="AG597" s="20">
        <f t="shared" si="9"/>
        <v>-500</v>
      </c>
    </row>
    <row r="598" spans="1:33" x14ac:dyDescent="0.25">
      <c r="A598">
        <v>597</v>
      </c>
      <c r="B598" s="2">
        <v>0</v>
      </c>
      <c r="C598" s="2">
        <v>24</v>
      </c>
      <c r="D598" s="2">
        <v>2</v>
      </c>
      <c r="E598" s="2">
        <v>1</v>
      </c>
      <c r="F598" s="2">
        <v>0</v>
      </c>
      <c r="G598" s="2">
        <v>0</v>
      </c>
      <c r="H598" s="2">
        <v>0</v>
      </c>
      <c r="I598" s="2">
        <v>0</v>
      </c>
      <c r="J598" s="2">
        <v>0</v>
      </c>
      <c r="K598" s="2">
        <v>1442</v>
      </c>
      <c r="L598" s="2">
        <v>0</v>
      </c>
      <c r="M598" s="2">
        <v>3</v>
      </c>
      <c r="N598" s="2">
        <v>4</v>
      </c>
      <c r="O598" s="2">
        <v>0</v>
      </c>
      <c r="P598" s="2">
        <v>0</v>
      </c>
      <c r="Q598" s="2">
        <v>0</v>
      </c>
      <c r="R598" s="2">
        <v>0</v>
      </c>
      <c r="S598" s="2">
        <v>0</v>
      </c>
      <c r="T598" s="2">
        <v>4</v>
      </c>
      <c r="U598" s="2">
        <v>0</v>
      </c>
      <c r="V598" s="2">
        <v>0</v>
      </c>
      <c r="W598" s="2">
        <v>23</v>
      </c>
      <c r="X598" s="2">
        <v>0</v>
      </c>
      <c r="Y598" s="2">
        <v>1</v>
      </c>
      <c r="Z598" s="2">
        <v>0</v>
      </c>
      <c r="AA598" s="2">
        <v>2</v>
      </c>
      <c r="AB598" s="2">
        <v>2</v>
      </c>
      <c r="AC598" s="2">
        <v>1</v>
      </c>
      <c r="AD598" s="2">
        <v>0</v>
      </c>
      <c r="AE598" s="2">
        <v>0</v>
      </c>
      <c r="AF598" s="2">
        <v>0</v>
      </c>
      <c r="AG598" s="20">
        <f t="shared" si="9"/>
        <v>-500</v>
      </c>
    </row>
    <row r="599" spans="1:33" x14ac:dyDescent="0.25">
      <c r="A599">
        <v>598</v>
      </c>
      <c r="B599" s="2">
        <v>1</v>
      </c>
      <c r="C599" s="2">
        <v>24</v>
      </c>
      <c r="D599" s="2">
        <v>0</v>
      </c>
      <c r="E599" s="2">
        <v>0</v>
      </c>
      <c r="F599" s="2">
        <v>0</v>
      </c>
      <c r="G599" s="2">
        <v>0</v>
      </c>
      <c r="H599" s="2">
        <v>0</v>
      </c>
      <c r="I599" s="2">
        <v>0</v>
      </c>
      <c r="J599" s="2">
        <v>1</v>
      </c>
      <c r="K599" s="2">
        <v>4241</v>
      </c>
      <c r="L599" s="2">
        <v>0</v>
      </c>
      <c r="M599" s="2">
        <v>2</v>
      </c>
      <c r="N599" s="2">
        <v>1</v>
      </c>
      <c r="O599" s="2">
        <v>0</v>
      </c>
      <c r="P599" s="2">
        <v>1</v>
      </c>
      <c r="Q599" s="2">
        <v>0</v>
      </c>
      <c r="R599" s="2">
        <v>0</v>
      </c>
      <c r="S599" s="2">
        <v>0</v>
      </c>
      <c r="T599" s="2">
        <v>4</v>
      </c>
      <c r="U599" s="2">
        <v>1</v>
      </c>
      <c r="V599" s="2">
        <v>0</v>
      </c>
      <c r="W599" s="2">
        <v>36</v>
      </c>
      <c r="X599" s="2">
        <v>0</v>
      </c>
      <c r="Y599" s="2">
        <v>0</v>
      </c>
      <c r="Z599" s="2">
        <v>1</v>
      </c>
      <c r="AA599" s="2">
        <v>3</v>
      </c>
      <c r="AB599" s="2">
        <v>1</v>
      </c>
      <c r="AC599" s="2">
        <v>1</v>
      </c>
      <c r="AD599" s="2">
        <v>1</v>
      </c>
      <c r="AE599" s="2">
        <v>0</v>
      </c>
      <c r="AF599" s="2">
        <v>0</v>
      </c>
      <c r="AG599" s="20">
        <f t="shared" si="9"/>
        <v>-500</v>
      </c>
    </row>
    <row r="600" spans="1:33" x14ac:dyDescent="0.25">
      <c r="A600">
        <v>599</v>
      </c>
      <c r="B600" s="2">
        <v>3</v>
      </c>
      <c r="C600" s="2">
        <v>18</v>
      </c>
      <c r="D600" s="2">
        <v>4</v>
      </c>
      <c r="E600" s="2">
        <v>1</v>
      </c>
      <c r="F600" s="2">
        <v>0</v>
      </c>
      <c r="G600" s="2">
        <v>0</v>
      </c>
      <c r="H600" s="2">
        <v>0</v>
      </c>
      <c r="I600" s="2">
        <v>0</v>
      </c>
      <c r="J600" s="2">
        <v>0</v>
      </c>
      <c r="K600" s="2">
        <v>2775</v>
      </c>
      <c r="L600" s="2">
        <v>0</v>
      </c>
      <c r="M600" s="2">
        <v>3</v>
      </c>
      <c r="N600" s="2">
        <v>2</v>
      </c>
      <c r="O600" s="2">
        <v>0</v>
      </c>
      <c r="P600" s="2">
        <v>1</v>
      </c>
      <c r="Q600" s="2">
        <v>0</v>
      </c>
      <c r="R600" s="2">
        <v>0</v>
      </c>
      <c r="S600" s="2">
        <v>0</v>
      </c>
      <c r="T600" s="2">
        <v>2</v>
      </c>
      <c r="U600" s="2">
        <v>0</v>
      </c>
      <c r="V600" s="2">
        <v>0</v>
      </c>
      <c r="W600" s="2">
        <v>31</v>
      </c>
      <c r="X600" s="2">
        <v>1</v>
      </c>
      <c r="Y600" s="2">
        <v>0</v>
      </c>
      <c r="Z600" s="2">
        <v>1</v>
      </c>
      <c r="AA600" s="2">
        <v>2</v>
      </c>
      <c r="AB600" s="2">
        <v>2</v>
      </c>
      <c r="AC600" s="2">
        <v>1</v>
      </c>
      <c r="AD600" s="2">
        <v>0</v>
      </c>
      <c r="AE600" s="2">
        <v>0</v>
      </c>
      <c r="AF600" s="2">
        <v>0</v>
      </c>
      <c r="AG600" s="20">
        <f t="shared" si="9"/>
        <v>-500</v>
      </c>
    </row>
    <row r="601" spans="1:33" x14ac:dyDescent="0.25">
      <c r="A601">
        <v>600</v>
      </c>
      <c r="B601" s="2">
        <v>3</v>
      </c>
      <c r="C601" s="2">
        <v>24</v>
      </c>
      <c r="D601" s="2">
        <v>3</v>
      </c>
      <c r="E601" s="2">
        <v>0</v>
      </c>
      <c r="F601" s="2">
        <v>0</v>
      </c>
      <c r="G601" s="2">
        <v>0</v>
      </c>
      <c r="H601" s="2">
        <v>0</v>
      </c>
      <c r="I601" s="2">
        <v>0</v>
      </c>
      <c r="J601" s="2">
        <v>1</v>
      </c>
      <c r="K601" s="2">
        <v>3863</v>
      </c>
      <c r="L601" s="2">
        <v>0</v>
      </c>
      <c r="M601" s="2">
        <v>2</v>
      </c>
      <c r="N601" s="2">
        <v>1</v>
      </c>
      <c r="O601" s="2">
        <v>0</v>
      </c>
      <c r="P601" s="2">
        <v>1</v>
      </c>
      <c r="Q601" s="2">
        <v>0</v>
      </c>
      <c r="R601" s="2">
        <v>0</v>
      </c>
      <c r="S601" s="2">
        <v>0</v>
      </c>
      <c r="T601" s="2">
        <v>2</v>
      </c>
      <c r="U601" s="2">
        <v>0</v>
      </c>
      <c r="V601" s="2">
        <v>1</v>
      </c>
      <c r="W601" s="2">
        <v>32</v>
      </c>
      <c r="X601" s="2">
        <v>0</v>
      </c>
      <c r="Y601" s="2">
        <v>0</v>
      </c>
      <c r="Z601" s="2">
        <v>0</v>
      </c>
      <c r="AA601" s="2">
        <v>1</v>
      </c>
      <c r="AB601" s="2">
        <v>2</v>
      </c>
      <c r="AC601" s="2">
        <v>1</v>
      </c>
      <c r="AD601" s="2">
        <v>0</v>
      </c>
      <c r="AE601" s="2">
        <v>0</v>
      </c>
      <c r="AF601" s="2">
        <v>1</v>
      </c>
      <c r="AG601" s="20">
        <f t="shared" si="9"/>
        <v>100</v>
      </c>
    </row>
    <row r="602" spans="1:33" x14ac:dyDescent="0.25">
      <c r="A602">
        <v>601</v>
      </c>
      <c r="B602" s="2">
        <v>1</v>
      </c>
      <c r="C602" s="2">
        <v>7</v>
      </c>
      <c r="D602" s="2">
        <v>2</v>
      </c>
      <c r="E602" s="2">
        <v>0</v>
      </c>
      <c r="F602" s="2">
        <v>0</v>
      </c>
      <c r="G602" s="2">
        <v>0</v>
      </c>
      <c r="H602" s="2">
        <v>1</v>
      </c>
      <c r="I602" s="2">
        <v>0</v>
      </c>
      <c r="J602" s="2">
        <v>0</v>
      </c>
      <c r="K602" s="2">
        <v>2329</v>
      </c>
      <c r="L602" s="2">
        <v>0</v>
      </c>
      <c r="M602" s="2">
        <v>1</v>
      </c>
      <c r="N602" s="2">
        <v>1</v>
      </c>
      <c r="O602" s="2">
        <v>0</v>
      </c>
      <c r="P602" s="2">
        <v>0</v>
      </c>
      <c r="Q602" s="2">
        <v>0</v>
      </c>
      <c r="R602" s="2">
        <v>0</v>
      </c>
      <c r="S602" s="2">
        <v>1</v>
      </c>
      <c r="T602" s="2">
        <v>1</v>
      </c>
      <c r="U602" s="2">
        <v>1</v>
      </c>
      <c r="V602" s="2">
        <v>0</v>
      </c>
      <c r="W602" s="2">
        <v>45</v>
      </c>
      <c r="X602" s="2">
        <v>0</v>
      </c>
      <c r="Y602" s="2">
        <v>0</v>
      </c>
      <c r="Z602" s="2">
        <v>1</v>
      </c>
      <c r="AA602" s="2">
        <v>1</v>
      </c>
      <c r="AB602" s="2">
        <v>2</v>
      </c>
      <c r="AC602" s="2">
        <v>1</v>
      </c>
      <c r="AD602" s="2">
        <v>0</v>
      </c>
      <c r="AE602" s="2">
        <v>0</v>
      </c>
      <c r="AF602" s="2">
        <v>1</v>
      </c>
      <c r="AG602" s="20">
        <f t="shared" si="9"/>
        <v>100</v>
      </c>
    </row>
    <row r="603" spans="1:33" x14ac:dyDescent="0.25">
      <c r="A603">
        <v>602</v>
      </c>
      <c r="B603" s="2">
        <v>1</v>
      </c>
      <c r="C603" s="2">
        <v>9</v>
      </c>
      <c r="D603" s="2">
        <v>2</v>
      </c>
      <c r="E603" s="2">
        <v>0</v>
      </c>
      <c r="F603" s="2">
        <v>0</v>
      </c>
      <c r="G603" s="2">
        <v>1</v>
      </c>
      <c r="H603" s="2">
        <v>0</v>
      </c>
      <c r="I603" s="2">
        <v>0</v>
      </c>
      <c r="J603" s="2">
        <v>0</v>
      </c>
      <c r="K603" s="2">
        <v>918</v>
      </c>
      <c r="L603" s="2">
        <v>0</v>
      </c>
      <c r="M603" s="2">
        <v>2</v>
      </c>
      <c r="N603" s="2">
        <v>4</v>
      </c>
      <c r="O603" s="2">
        <v>0</v>
      </c>
      <c r="P603" s="2">
        <v>0</v>
      </c>
      <c r="Q603" s="2">
        <v>0</v>
      </c>
      <c r="R603" s="2">
        <v>0</v>
      </c>
      <c r="S603" s="2">
        <v>0</v>
      </c>
      <c r="T603" s="2">
        <v>1</v>
      </c>
      <c r="U603" s="2">
        <v>0</v>
      </c>
      <c r="V603" s="2">
        <v>0</v>
      </c>
      <c r="W603" s="2">
        <v>30</v>
      </c>
      <c r="X603" s="2">
        <v>0</v>
      </c>
      <c r="Y603" s="2">
        <v>0</v>
      </c>
      <c r="Z603" s="2">
        <v>1</v>
      </c>
      <c r="AA603" s="2">
        <v>1</v>
      </c>
      <c r="AB603" s="2">
        <v>2</v>
      </c>
      <c r="AC603" s="2">
        <v>1</v>
      </c>
      <c r="AD603" s="2">
        <v>0</v>
      </c>
      <c r="AE603" s="2">
        <v>0</v>
      </c>
      <c r="AF603" s="2">
        <v>0</v>
      </c>
      <c r="AG603" s="20">
        <f t="shared" si="9"/>
        <v>-500</v>
      </c>
    </row>
    <row r="604" spans="1:33" x14ac:dyDescent="0.25">
      <c r="A604">
        <v>603</v>
      </c>
      <c r="B604" s="2">
        <v>1</v>
      </c>
      <c r="C604" s="2">
        <v>24</v>
      </c>
      <c r="D604" s="2">
        <v>1</v>
      </c>
      <c r="E604" s="2">
        <v>0</v>
      </c>
      <c r="F604" s="2">
        <v>0</v>
      </c>
      <c r="G604" s="2">
        <v>0</v>
      </c>
      <c r="H604" s="2">
        <v>0</v>
      </c>
      <c r="I604" s="2">
        <v>1</v>
      </c>
      <c r="J604" s="2">
        <v>0</v>
      </c>
      <c r="K604" s="2">
        <v>1837</v>
      </c>
      <c r="L604" s="2">
        <v>0</v>
      </c>
      <c r="M604" s="2">
        <v>3</v>
      </c>
      <c r="N604" s="2">
        <v>4</v>
      </c>
      <c r="O604" s="2">
        <v>0</v>
      </c>
      <c r="P604" s="2">
        <v>0</v>
      </c>
      <c r="Q604" s="2">
        <v>0</v>
      </c>
      <c r="R604" s="2">
        <v>0</v>
      </c>
      <c r="S604" s="2">
        <v>0</v>
      </c>
      <c r="T604" s="2">
        <v>4</v>
      </c>
      <c r="U604" s="2">
        <v>0</v>
      </c>
      <c r="V604" s="2">
        <v>1</v>
      </c>
      <c r="W604" s="2">
        <v>34</v>
      </c>
      <c r="X604" s="2">
        <v>1</v>
      </c>
      <c r="Y604" s="2">
        <v>0</v>
      </c>
      <c r="Z604" s="2">
        <v>0</v>
      </c>
      <c r="AA604" s="2">
        <v>1</v>
      </c>
      <c r="AB604" s="2">
        <v>1</v>
      </c>
      <c r="AC604" s="2">
        <v>1</v>
      </c>
      <c r="AD604" s="2">
        <v>0</v>
      </c>
      <c r="AE604" s="2">
        <v>0</v>
      </c>
      <c r="AF604" s="2">
        <v>0</v>
      </c>
      <c r="AG604" s="20">
        <f t="shared" si="9"/>
        <v>-500</v>
      </c>
    </row>
    <row r="605" spans="1:33" x14ac:dyDescent="0.25">
      <c r="A605">
        <v>604</v>
      </c>
      <c r="B605" s="2">
        <v>3</v>
      </c>
      <c r="C605" s="2">
        <v>36</v>
      </c>
      <c r="D605" s="2">
        <v>2</v>
      </c>
      <c r="E605" s="2">
        <v>0</v>
      </c>
      <c r="F605" s="2">
        <v>0</v>
      </c>
      <c r="G605" s="2">
        <v>1</v>
      </c>
      <c r="H605" s="2">
        <v>0</v>
      </c>
      <c r="I605" s="2">
        <v>0</v>
      </c>
      <c r="J605" s="2">
        <v>0</v>
      </c>
      <c r="K605" s="2">
        <v>3349</v>
      </c>
      <c r="L605" s="2">
        <v>0</v>
      </c>
      <c r="M605" s="2">
        <v>2</v>
      </c>
      <c r="N605" s="2">
        <v>4</v>
      </c>
      <c r="O605" s="2">
        <v>0</v>
      </c>
      <c r="P605" s="2">
        <v>0</v>
      </c>
      <c r="Q605" s="2">
        <v>0</v>
      </c>
      <c r="R605" s="2">
        <v>0</v>
      </c>
      <c r="S605" s="2">
        <v>0</v>
      </c>
      <c r="T605" s="2">
        <v>2</v>
      </c>
      <c r="U605" s="2">
        <v>0</v>
      </c>
      <c r="V605" s="2">
        <v>0</v>
      </c>
      <c r="W605" s="2">
        <v>28</v>
      </c>
      <c r="X605" s="2">
        <v>0</v>
      </c>
      <c r="Y605" s="2">
        <v>0</v>
      </c>
      <c r="Z605" s="2">
        <v>1</v>
      </c>
      <c r="AA605" s="2">
        <v>1</v>
      </c>
      <c r="AB605" s="2">
        <v>3</v>
      </c>
      <c r="AC605" s="2">
        <v>1</v>
      </c>
      <c r="AD605" s="2">
        <v>1</v>
      </c>
      <c r="AE605" s="2">
        <v>0</v>
      </c>
      <c r="AF605" s="2">
        <v>0</v>
      </c>
      <c r="AG605" s="20">
        <f t="shared" si="9"/>
        <v>-500</v>
      </c>
    </row>
    <row r="606" spans="1:33" x14ac:dyDescent="0.25">
      <c r="A606">
        <v>605</v>
      </c>
      <c r="B606" s="2">
        <v>2</v>
      </c>
      <c r="C606" s="2">
        <v>10</v>
      </c>
      <c r="D606" s="2">
        <v>2</v>
      </c>
      <c r="E606" s="2">
        <v>0</v>
      </c>
      <c r="F606" s="2">
        <v>0</v>
      </c>
      <c r="G606" s="2">
        <v>1</v>
      </c>
      <c r="H606" s="2">
        <v>0</v>
      </c>
      <c r="I606" s="2">
        <v>0</v>
      </c>
      <c r="J606" s="2">
        <v>0</v>
      </c>
      <c r="K606" s="2">
        <v>1275</v>
      </c>
      <c r="L606" s="2">
        <v>0</v>
      </c>
      <c r="M606" s="2">
        <v>1</v>
      </c>
      <c r="N606" s="2">
        <v>4</v>
      </c>
      <c r="O606" s="2">
        <v>0</v>
      </c>
      <c r="P606" s="2">
        <v>0</v>
      </c>
      <c r="Q606" s="2">
        <v>0</v>
      </c>
      <c r="R606" s="2">
        <v>0</v>
      </c>
      <c r="S606" s="2">
        <v>0</v>
      </c>
      <c r="T606" s="2">
        <v>2</v>
      </c>
      <c r="U606" s="2">
        <v>0</v>
      </c>
      <c r="V606" s="2">
        <v>0</v>
      </c>
      <c r="W606" s="2">
        <v>23</v>
      </c>
      <c r="X606" s="2">
        <v>0</v>
      </c>
      <c r="Y606" s="2">
        <v>0</v>
      </c>
      <c r="Z606" s="2">
        <v>1</v>
      </c>
      <c r="AA606" s="2">
        <v>1</v>
      </c>
      <c r="AB606" s="2">
        <v>2</v>
      </c>
      <c r="AC606" s="2">
        <v>1</v>
      </c>
      <c r="AD606" s="2">
        <v>0</v>
      </c>
      <c r="AE606" s="2">
        <v>0</v>
      </c>
      <c r="AF606" s="2">
        <v>1</v>
      </c>
      <c r="AG606" s="20">
        <f t="shared" si="9"/>
        <v>100</v>
      </c>
    </row>
    <row r="607" spans="1:33" x14ac:dyDescent="0.25">
      <c r="A607">
        <v>606</v>
      </c>
      <c r="B607" s="2">
        <v>0</v>
      </c>
      <c r="C607" s="2">
        <v>24</v>
      </c>
      <c r="D607" s="2">
        <v>1</v>
      </c>
      <c r="E607" s="2">
        <v>0</v>
      </c>
      <c r="F607" s="2">
        <v>0</v>
      </c>
      <c r="G607" s="2">
        <v>1</v>
      </c>
      <c r="H607" s="2">
        <v>0</v>
      </c>
      <c r="I607" s="2">
        <v>0</v>
      </c>
      <c r="J607" s="2">
        <v>0</v>
      </c>
      <c r="K607" s="2">
        <v>2828</v>
      </c>
      <c r="L607" s="2">
        <v>2</v>
      </c>
      <c r="M607" s="2">
        <v>2</v>
      </c>
      <c r="N607" s="2">
        <v>4</v>
      </c>
      <c r="O607" s="2">
        <v>0</v>
      </c>
      <c r="P607" s="2">
        <v>1</v>
      </c>
      <c r="Q607" s="2">
        <v>0</v>
      </c>
      <c r="R607" s="2">
        <v>0</v>
      </c>
      <c r="S607" s="2">
        <v>0</v>
      </c>
      <c r="T607" s="2">
        <v>4</v>
      </c>
      <c r="U607" s="2">
        <v>1</v>
      </c>
      <c r="V607" s="2">
        <v>0</v>
      </c>
      <c r="W607" s="2">
        <v>22</v>
      </c>
      <c r="X607" s="2">
        <v>1</v>
      </c>
      <c r="Y607" s="2">
        <v>0</v>
      </c>
      <c r="Z607" s="2">
        <v>1</v>
      </c>
      <c r="AA607" s="2">
        <v>1</v>
      </c>
      <c r="AB607" s="2">
        <v>2</v>
      </c>
      <c r="AC607" s="2">
        <v>1</v>
      </c>
      <c r="AD607" s="2">
        <v>1</v>
      </c>
      <c r="AE607" s="2">
        <v>0</v>
      </c>
      <c r="AF607" s="2">
        <v>1</v>
      </c>
      <c r="AG607" s="20">
        <f t="shared" si="9"/>
        <v>100</v>
      </c>
    </row>
    <row r="608" spans="1:33" x14ac:dyDescent="0.25">
      <c r="A608">
        <v>607</v>
      </c>
      <c r="B608" s="2">
        <v>3</v>
      </c>
      <c r="C608" s="2">
        <v>24</v>
      </c>
      <c r="D608" s="2">
        <v>4</v>
      </c>
      <c r="E608" s="2">
        <v>0</v>
      </c>
      <c r="F608" s="2">
        <v>0</v>
      </c>
      <c r="G608" s="2">
        <v>0</v>
      </c>
      <c r="H608" s="2">
        <v>0</v>
      </c>
      <c r="I608" s="2">
        <v>0</v>
      </c>
      <c r="J608" s="2">
        <v>1</v>
      </c>
      <c r="K608" s="2">
        <v>4526</v>
      </c>
      <c r="L608" s="2">
        <v>0</v>
      </c>
      <c r="M608" s="2">
        <v>2</v>
      </c>
      <c r="N608" s="2">
        <v>3</v>
      </c>
      <c r="O608" s="2">
        <v>0</v>
      </c>
      <c r="P608" s="2">
        <v>1</v>
      </c>
      <c r="Q608" s="2">
        <v>0</v>
      </c>
      <c r="R608" s="2">
        <v>0</v>
      </c>
      <c r="S608" s="2">
        <v>0</v>
      </c>
      <c r="T608" s="2">
        <v>2</v>
      </c>
      <c r="U608" s="2">
        <v>1</v>
      </c>
      <c r="V608" s="2">
        <v>0</v>
      </c>
      <c r="W608" s="2">
        <v>74</v>
      </c>
      <c r="X608" s="2">
        <v>0</v>
      </c>
      <c r="Y608" s="2">
        <v>0</v>
      </c>
      <c r="Z608" s="2">
        <v>1</v>
      </c>
      <c r="AA608" s="2">
        <v>1</v>
      </c>
      <c r="AB608" s="2">
        <v>3</v>
      </c>
      <c r="AC608" s="2">
        <v>1</v>
      </c>
      <c r="AD608" s="2">
        <v>1</v>
      </c>
      <c r="AE608" s="2">
        <v>0</v>
      </c>
      <c r="AF608" s="2">
        <v>1</v>
      </c>
      <c r="AG608" s="20">
        <f t="shared" si="9"/>
        <v>100</v>
      </c>
    </row>
    <row r="609" spans="1:33" x14ac:dyDescent="0.25">
      <c r="A609">
        <v>608</v>
      </c>
      <c r="B609" s="2">
        <v>1</v>
      </c>
      <c r="C609" s="2">
        <v>36</v>
      </c>
      <c r="D609" s="2">
        <v>2</v>
      </c>
      <c r="E609" s="2">
        <v>0</v>
      </c>
      <c r="F609" s="2">
        <v>0</v>
      </c>
      <c r="G609" s="2">
        <v>0</v>
      </c>
      <c r="H609" s="2">
        <v>1</v>
      </c>
      <c r="I609" s="2">
        <v>0</v>
      </c>
      <c r="J609" s="2">
        <v>0</v>
      </c>
      <c r="K609" s="2">
        <v>2671</v>
      </c>
      <c r="L609" s="2">
        <v>1</v>
      </c>
      <c r="M609" s="2">
        <v>2</v>
      </c>
      <c r="N609" s="2">
        <v>4</v>
      </c>
      <c r="O609" s="2">
        <v>0</v>
      </c>
      <c r="P609" s="2">
        <v>0</v>
      </c>
      <c r="Q609" s="2">
        <v>0</v>
      </c>
      <c r="R609" s="2">
        <v>1</v>
      </c>
      <c r="S609" s="2">
        <v>0</v>
      </c>
      <c r="T609" s="2">
        <v>4</v>
      </c>
      <c r="U609" s="2">
        <v>0</v>
      </c>
      <c r="V609" s="2">
        <v>1</v>
      </c>
      <c r="W609" s="2">
        <v>50</v>
      </c>
      <c r="X609" s="2">
        <v>0</v>
      </c>
      <c r="Y609" s="2">
        <v>0</v>
      </c>
      <c r="Z609" s="2">
        <v>0</v>
      </c>
      <c r="AA609" s="2">
        <v>1</v>
      </c>
      <c r="AB609" s="2">
        <v>2</v>
      </c>
      <c r="AC609" s="2">
        <v>1</v>
      </c>
      <c r="AD609" s="2">
        <v>0</v>
      </c>
      <c r="AE609" s="2">
        <v>0</v>
      </c>
      <c r="AF609" s="2">
        <v>0</v>
      </c>
      <c r="AG609" s="20">
        <f t="shared" si="9"/>
        <v>-500</v>
      </c>
    </row>
    <row r="610" spans="1:33" x14ac:dyDescent="0.25">
      <c r="A610">
        <v>609</v>
      </c>
      <c r="B610" s="2">
        <v>3</v>
      </c>
      <c r="C610" s="2">
        <v>18</v>
      </c>
      <c r="D610" s="2">
        <v>2</v>
      </c>
      <c r="E610" s="2">
        <v>0</v>
      </c>
      <c r="F610" s="2">
        <v>0</v>
      </c>
      <c r="G610" s="2">
        <v>0</v>
      </c>
      <c r="H610" s="2">
        <v>1</v>
      </c>
      <c r="I610" s="2">
        <v>0</v>
      </c>
      <c r="J610" s="2">
        <v>0</v>
      </c>
      <c r="K610" s="2">
        <v>2051</v>
      </c>
      <c r="L610" s="2">
        <v>0</v>
      </c>
      <c r="M610" s="2">
        <v>1</v>
      </c>
      <c r="N610" s="2">
        <v>4</v>
      </c>
      <c r="O610" s="2">
        <v>0</v>
      </c>
      <c r="P610" s="2">
        <v>1</v>
      </c>
      <c r="Q610" s="2">
        <v>0</v>
      </c>
      <c r="R610" s="2">
        <v>0</v>
      </c>
      <c r="S610" s="2">
        <v>0</v>
      </c>
      <c r="T610" s="2">
        <v>1</v>
      </c>
      <c r="U610" s="2">
        <v>1</v>
      </c>
      <c r="V610" s="2">
        <v>0</v>
      </c>
      <c r="W610" s="2">
        <v>33</v>
      </c>
      <c r="X610" s="2">
        <v>0</v>
      </c>
      <c r="Y610" s="2">
        <v>0</v>
      </c>
      <c r="Z610" s="2">
        <v>1</v>
      </c>
      <c r="AA610" s="2">
        <v>1</v>
      </c>
      <c r="AB610" s="2">
        <v>2</v>
      </c>
      <c r="AC610" s="2">
        <v>1</v>
      </c>
      <c r="AD610" s="2">
        <v>0</v>
      </c>
      <c r="AE610" s="2">
        <v>0</v>
      </c>
      <c r="AF610" s="2">
        <v>1</v>
      </c>
      <c r="AG610" s="20">
        <f t="shared" si="9"/>
        <v>100</v>
      </c>
    </row>
    <row r="611" spans="1:33" x14ac:dyDescent="0.25">
      <c r="A611">
        <v>610</v>
      </c>
      <c r="B611" s="2">
        <v>3</v>
      </c>
      <c r="C611" s="2">
        <v>15</v>
      </c>
      <c r="D611" s="2">
        <v>2</v>
      </c>
      <c r="E611" s="2">
        <v>0</v>
      </c>
      <c r="F611" s="2">
        <v>1</v>
      </c>
      <c r="G611" s="2">
        <v>0</v>
      </c>
      <c r="H611" s="2">
        <v>0</v>
      </c>
      <c r="I611" s="2">
        <v>0</v>
      </c>
      <c r="J611" s="2">
        <v>0</v>
      </c>
      <c r="K611" s="2">
        <v>1300</v>
      </c>
      <c r="L611" s="2">
        <v>4</v>
      </c>
      <c r="M611" s="2">
        <v>4</v>
      </c>
      <c r="N611" s="2">
        <v>4</v>
      </c>
      <c r="O611" s="2">
        <v>0</v>
      </c>
      <c r="P611" s="2">
        <v>1</v>
      </c>
      <c r="Q611" s="2">
        <v>0</v>
      </c>
      <c r="R611" s="2">
        <v>0</v>
      </c>
      <c r="S611" s="2">
        <v>0</v>
      </c>
      <c r="T611" s="2">
        <v>4</v>
      </c>
      <c r="U611" s="2">
        <v>0</v>
      </c>
      <c r="V611" s="2">
        <v>1</v>
      </c>
      <c r="W611" s="2">
        <v>45</v>
      </c>
      <c r="X611" s="2">
        <v>1</v>
      </c>
      <c r="Y611" s="2">
        <v>0</v>
      </c>
      <c r="Z611" s="2">
        <v>0</v>
      </c>
      <c r="AA611" s="2">
        <v>1</v>
      </c>
      <c r="AB611" s="2">
        <v>2</v>
      </c>
      <c r="AC611" s="2">
        <v>2</v>
      </c>
      <c r="AD611" s="2">
        <v>0</v>
      </c>
      <c r="AE611" s="2">
        <v>0</v>
      </c>
      <c r="AF611" s="2">
        <v>1</v>
      </c>
      <c r="AG611" s="20">
        <f t="shared" si="9"/>
        <v>100</v>
      </c>
    </row>
    <row r="612" spans="1:33" x14ac:dyDescent="0.25">
      <c r="A612">
        <v>611</v>
      </c>
      <c r="B612" s="2">
        <v>0</v>
      </c>
      <c r="C612" s="2">
        <v>12</v>
      </c>
      <c r="D612" s="2">
        <v>2</v>
      </c>
      <c r="E612" s="2">
        <v>0</v>
      </c>
      <c r="F612" s="2">
        <v>0</v>
      </c>
      <c r="G612" s="2">
        <v>0</v>
      </c>
      <c r="H612" s="2">
        <v>0</v>
      </c>
      <c r="I612" s="2">
        <v>0</v>
      </c>
      <c r="J612" s="2">
        <v>0</v>
      </c>
      <c r="K612" s="2">
        <v>741</v>
      </c>
      <c r="L612" s="2">
        <v>1</v>
      </c>
      <c r="M612" s="2">
        <v>0</v>
      </c>
      <c r="N612" s="2">
        <v>4</v>
      </c>
      <c r="O612" s="2">
        <v>0</v>
      </c>
      <c r="P612" s="2">
        <v>0</v>
      </c>
      <c r="Q612" s="2">
        <v>0</v>
      </c>
      <c r="R612" s="2">
        <v>0</v>
      </c>
      <c r="S612" s="2">
        <v>0</v>
      </c>
      <c r="T612" s="2">
        <v>3</v>
      </c>
      <c r="U612" s="2">
        <v>0</v>
      </c>
      <c r="V612" s="2">
        <v>0</v>
      </c>
      <c r="W612" s="2">
        <v>22</v>
      </c>
      <c r="X612" s="2">
        <v>0</v>
      </c>
      <c r="Y612" s="2">
        <v>0</v>
      </c>
      <c r="Z612" s="2">
        <v>1</v>
      </c>
      <c r="AA612" s="2">
        <v>1</v>
      </c>
      <c r="AB612" s="2">
        <v>2</v>
      </c>
      <c r="AC612" s="2">
        <v>1</v>
      </c>
      <c r="AD612" s="2">
        <v>0</v>
      </c>
      <c r="AE612" s="2">
        <v>0</v>
      </c>
      <c r="AF612" s="2">
        <v>0</v>
      </c>
      <c r="AG612" s="20">
        <f t="shared" si="9"/>
        <v>-500</v>
      </c>
    </row>
    <row r="613" spans="1:33" x14ac:dyDescent="0.25">
      <c r="A613">
        <v>612</v>
      </c>
      <c r="B613" s="2">
        <v>2</v>
      </c>
      <c r="C613" s="2">
        <v>10</v>
      </c>
      <c r="D613" s="2">
        <v>2</v>
      </c>
      <c r="E613" s="2">
        <v>1</v>
      </c>
      <c r="F613" s="2">
        <v>0</v>
      </c>
      <c r="G613" s="2">
        <v>0</v>
      </c>
      <c r="H613" s="2">
        <v>0</v>
      </c>
      <c r="I613" s="2">
        <v>0</v>
      </c>
      <c r="J613" s="2">
        <v>0</v>
      </c>
      <c r="K613" s="2">
        <v>1240</v>
      </c>
      <c r="L613" s="2">
        <v>1</v>
      </c>
      <c r="M613" s="2">
        <v>4</v>
      </c>
      <c r="N613" s="2">
        <v>1</v>
      </c>
      <c r="O613" s="2">
        <v>0</v>
      </c>
      <c r="P613" s="2">
        <v>0</v>
      </c>
      <c r="Q613" s="2">
        <v>0</v>
      </c>
      <c r="R613" s="2">
        <v>0</v>
      </c>
      <c r="S613" s="2">
        <v>0</v>
      </c>
      <c r="T613" s="2">
        <v>4</v>
      </c>
      <c r="U613" s="2">
        <v>0</v>
      </c>
      <c r="V613" s="2">
        <v>1</v>
      </c>
      <c r="W613" s="2">
        <v>48</v>
      </c>
      <c r="X613" s="2">
        <v>0</v>
      </c>
      <c r="Y613" s="2">
        <v>0</v>
      </c>
      <c r="Z613" s="2">
        <v>0</v>
      </c>
      <c r="AA613" s="2">
        <v>1</v>
      </c>
      <c r="AB613" s="2">
        <v>1</v>
      </c>
      <c r="AC613" s="2">
        <v>2</v>
      </c>
      <c r="AD613" s="2">
        <v>0</v>
      </c>
      <c r="AE613" s="2">
        <v>0</v>
      </c>
      <c r="AF613" s="2">
        <v>0</v>
      </c>
      <c r="AG613" s="20">
        <f t="shared" si="9"/>
        <v>-500</v>
      </c>
    </row>
    <row r="614" spans="1:33" x14ac:dyDescent="0.25">
      <c r="A614">
        <v>613</v>
      </c>
      <c r="B614" s="2">
        <v>0</v>
      </c>
      <c r="C614" s="2">
        <v>21</v>
      </c>
      <c r="D614" s="2">
        <v>2</v>
      </c>
      <c r="E614" s="2">
        <v>0</v>
      </c>
      <c r="F614" s="2">
        <v>0</v>
      </c>
      <c r="G614" s="2">
        <v>0</v>
      </c>
      <c r="H614" s="2">
        <v>1</v>
      </c>
      <c r="I614" s="2">
        <v>0</v>
      </c>
      <c r="J614" s="2">
        <v>0</v>
      </c>
      <c r="K614" s="2">
        <v>3357</v>
      </c>
      <c r="L614" s="2">
        <v>3</v>
      </c>
      <c r="M614" s="2">
        <v>1</v>
      </c>
      <c r="N614" s="2">
        <v>4</v>
      </c>
      <c r="O614" s="2">
        <v>0</v>
      </c>
      <c r="P614" s="2">
        <v>0</v>
      </c>
      <c r="Q614" s="2">
        <v>0</v>
      </c>
      <c r="R614" s="2">
        <v>0</v>
      </c>
      <c r="S614" s="2">
        <v>0</v>
      </c>
      <c r="T614" s="2">
        <v>2</v>
      </c>
      <c r="U614" s="2">
        <v>0</v>
      </c>
      <c r="V614" s="2">
        <v>0</v>
      </c>
      <c r="W614" s="2">
        <v>29</v>
      </c>
      <c r="X614" s="2">
        <v>1</v>
      </c>
      <c r="Y614" s="2">
        <v>0</v>
      </c>
      <c r="Z614" s="2">
        <v>1</v>
      </c>
      <c r="AA614" s="2">
        <v>1</v>
      </c>
      <c r="AB614" s="2">
        <v>2</v>
      </c>
      <c r="AC614" s="2">
        <v>1</v>
      </c>
      <c r="AD614" s="2">
        <v>0</v>
      </c>
      <c r="AE614" s="2">
        <v>0</v>
      </c>
      <c r="AF614" s="2">
        <v>1</v>
      </c>
      <c r="AG614" s="20">
        <f t="shared" si="9"/>
        <v>100</v>
      </c>
    </row>
    <row r="615" spans="1:33" x14ac:dyDescent="0.25">
      <c r="A615">
        <v>614</v>
      </c>
      <c r="B615" s="2">
        <v>0</v>
      </c>
      <c r="C615" s="2">
        <v>24</v>
      </c>
      <c r="D615" s="2">
        <v>1</v>
      </c>
      <c r="E615" s="2">
        <v>0</v>
      </c>
      <c r="F615" s="2">
        <v>1</v>
      </c>
      <c r="G615" s="2">
        <v>0</v>
      </c>
      <c r="H615" s="2">
        <v>0</v>
      </c>
      <c r="I615" s="2">
        <v>0</v>
      </c>
      <c r="J615" s="2">
        <v>0</v>
      </c>
      <c r="K615" s="2">
        <v>3632</v>
      </c>
      <c r="L615" s="2">
        <v>0</v>
      </c>
      <c r="M615" s="2">
        <v>2</v>
      </c>
      <c r="N615" s="2">
        <v>1</v>
      </c>
      <c r="O615" s="2">
        <v>0</v>
      </c>
      <c r="P615" s="2">
        <v>0</v>
      </c>
      <c r="Q615" s="2">
        <v>0</v>
      </c>
      <c r="R615" s="2">
        <v>0</v>
      </c>
      <c r="S615" s="2">
        <v>1</v>
      </c>
      <c r="T615" s="2">
        <v>4</v>
      </c>
      <c r="U615" s="2">
        <v>0</v>
      </c>
      <c r="V615" s="2">
        <v>0</v>
      </c>
      <c r="W615" s="2">
        <v>22</v>
      </c>
      <c r="X615" s="2">
        <v>1</v>
      </c>
      <c r="Y615" s="2">
        <v>1</v>
      </c>
      <c r="Z615" s="2">
        <v>0</v>
      </c>
      <c r="AA615" s="2">
        <v>1</v>
      </c>
      <c r="AB615" s="2">
        <v>2</v>
      </c>
      <c r="AC615" s="2">
        <v>1</v>
      </c>
      <c r="AD615" s="2">
        <v>0</v>
      </c>
      <c r="AE615" s="2">
        <v>1</v>
      </c>
      <c r="AF615" s="2">
        <v>1</v>
      </c>
      <c r="AG615" s="20">
        <f t="shared" si="9"/>
        <v>100</v>
      </c>
    </row>
    <row r="616" spans="1:33" x14ac:dyDescent="0.25">
      <c r="A616">
        <v>615</v>
      </c>
      <c r="B616" s="2">
        <v>3</v>
      </c>
      <c r="C616" s="2">
        <v>18</v>
      </c>
      <c r="D616" s="2">
        <v>3</v>
      </c>
      <c r="E616" s="2">
        <v>0</v>
      </c>
      <c r="F616" s="2">
        <v>0</v>
      </c>
      <c r="G616" s="2">
        <v>1</v>
      </c>
      <c r="H616" s="2">
        <v>0</v>
      </c>
      <c r="I616" s="2">
        <v>0</v>
      </c>
      <c r="J616" s="2">
        <v>0</v>
      </c>
      <c r="K616" s="2">
        <v>1808</v>
      </c>
      <c r="L616" s="2">
        <v>0</v>
      </c>
      <c r="M616" s="2">
        <v>3</v>
      </c>
      <c r="N616" s="2">
        <v>4</v>
      </c>
      <c r="O616" s="2">
        <v>0</v>
      </c>
      <c r="P616" s="2">
        <v>0</v>
      </c>
      <c r="Q616" s="2">
        <v>0</v>
      </c>
      <c r="R616" s="2">
        <v>0</v>
      </c>
      <c r="S616" s="2">
        <v>0</v>
      </c>
      <c r="T616" s="2">
        <v>1</v>
      </c>
      <c r="U616" s="2">
        <v>1</v>
      </c>
      <c r="V616" s="2">
        <v>0</v>
      </c>
      <c r="W616" s="2">
        <v>22</v>
      </c>
      <c r="X616" s="2">
        <v>0</v>
      </c>
      <c r="Y616" s="2">
        <v>0</v>
      </c>
      <c r="Z616" s="2">
        <v>1</v>
      </c>
      <c r="AA616" s="2">
        <v>1</v>
      </c>
      <c r="AB616" s="2">
        <v>2</v>
      </c>
      <c r="AC616" s="2">
        <v>1</v>
      </c>
      <c r="AD616" s="2">
        <v>0</v>
      </c>
      <c r="AE616" s="2">
        <v>0</v>
      </c>
      <c r="AF616" s="2">
        <v>0</v>
      </c>
      <c r="AG616" s="20">
        <f t="shared" si="9"/>
        <v>-500</v>
      </c>
    </row>
    <row r="617" spans="1:33" x14ac:dyDescent="0.25">
      <c r="A617">
        <v>616</v>
      </c>
      <c r="B617" s="2">
        <v>1</v>
      </c>
      <c r="C617" s="2">
        <v>48</v>
      </c>
      <c r="D617" s="2">
        <v>0</v>
      </c>
      <c r="E617" s="2">
        <v>0</v>
      </c>
      <c r="F617" s="2">
        <v>0</v>
      </c>
      <c r="G617" s="2">
        <v>0</v>
      </c>
      <c r="H617" s="2">
        <v>0</v>
      </c>
      <c r="I617" s="2">
        <v>0</v>
      </c>
      <c r="J617" s="2">
        <v>1</v>
      </c>
      <c r="K617" s="2">
        <v>12204</v>
      </c>
      <c r="L617" s="2">
        <v>4</v>
      </c>
      <c r="M617" s="2">
        <v>2</v>
      </c>
      <c r="N617" s="2">
        <v>2</v>
      </c>
      <c r="O617" s="2">
        <v>0</v>
      </c>
      <c r="P617" s="2">
        <v>1</v>
      </c>
      <c r="Q617" s="2">
        <v>0</v>
      </c>
      <c r="R617" s="2">
        <v>0</v>
      </c>
      <c r="S617" s="2">
        <v>0</v>
      </c>
      <c r="T617" s="2">
        <v>2</v>
      </c>
      <c r="U617" s="2">
        <v>0</v>
      </c>
      <c r="V617" s="2">
        <v>0</v>
      </c>
      <c r="W617" s="2">
        <v>48</v>
      </c>
      <c r="X617" s="2">
        <v>1</v>
      </c>
      <c r="Y617" s="2">
        <v>0</v>
      </c>
      <c r="Z617" s="2">
        <v>1</v>
      </c>
      <c r="AA617" s="2">
        <v>1</v>
      </c>
      <c r="AB617" s="2">
        <v>3</v>
      </c>
      <c r="AC617" s="2">
        <v>1</v>
      </c>
      <c r="AD617" s="2">
        <v>1</v>
      </c>
      <c r="AE617" s="2">
        <v>0</v>
      </c>
      <c r="AF617" s="2">
        <v>1</v>
      </c>
      <c r="AG617" s="20">
        <f t="shared" si="9"/>
        <v>100</v>
      </c>
    </row>
    <row r="618" spans="1:33" x14ac:dyDescent="0.25">
      <c r="A618">
        <v>617</v>
      </c>
      <c r="B618" s="2">
        <v>1</v>
      </c>
      <c r="C618" s="2">
        <v>60</v>
      </c>
      <c r="D618" s="2">
        <v>3</v>
      </c>
      <c r="E618" s="2">
        <v>0</v>
      </c>
      <c r="F618" s="2">
        <v>0</v>
      </c>
      <c r="G618" s="2">
        <v>0</v>
      </c>
      <c r="H618" s="2">
        <v>1</v>
      </c>
      <c r="I618" s="2">
        <v>0</v>
      </c>
      <c r="J618" s="2">
        <v>0</v>
      </c>
      <c r="K618" s="2">
        <v>9157</v>
      </c>
      <c r="L618" s="2">
        <v>4</v>
      </c>
      <c r="M618" s="2">
        <v>2</v>
      </c>
      <c r="N618" s="2">
        <v>2</v>
      </c>
      <c r="O618" s="2">
        <v>0</v>
      </c>
      <c r="P618" s="2">
        <v>1</v>
      </c>
      <c r="Q618" s="2">
        <v>0</v>
      </c>
      <c r="R618" s="2">
        <v>0</v>
      </c>
      <c r="S618" s="2">
        <v>0</v>
      </c>
      <c r="T618" s="2">
        <v>2</v>
      </c>
      <c r="U618" s="2">
        <v>0</v>
      </c>
      <c r="V618" s="2">
        <v>1</v>
      </c>
      <c r="W618" s="2">
        <v>27</v>
      </c>
      <c r="X618" s="2">
        <v>0</v>
      </c>
      <c r="Y618" s="2">
        <v>0</v>
      </c>
      <c r="Z618" s="2">
        <v>0</v>
      </c>
      <c r="AA618" s="2">
        <v>1</v>
      </c>
      <c r="AB618" s="2">
        <v>3</v>
      </c>
      <c r="AC618" s="2">
        <v>1</v>
      </c>
      <c r="AD618" s="2">
        <v>0</v>
      </c>
      <c r="AE618" s="2">
        <v>0</v>
      </c>
      <c r="AF618" s="2">
        <v>1</v>
      </c>
      <c r="AG618" s="20">
        <f t="shared" si="9"/>
        <v>100</v>
      </c>
    </row>
    <row r="619" spans="1:33" x14ac:dyDescent="0.25">
      <c r="A619">
        <v>618</v>
      </c>
      <c r="B619" s="2">
        <v>0</v>
      </c>
      <c r="C619" s="2">
        <v>6</v>
      </c>
      <c r="D619" s="2">
        <v>4</v>
      </c>
      <c r="E619" s="2">
        <v>1</v>
      </c>
      <c r="F619" s="2">
        <v>0</v>
      </c>
      <c r="G619" s="2">
        <v>0</v>
      </c>
      <c r="H619" s="2">
        <v>0</v>
      </c>
      <c r="I619" s="2">
        <v>0</v>
      </c>
      <c r="J619" s="2">
        <v>0</v>
      </c>
      <c r="K619" s="2">
        <v>3676</v>
      </c>
      <c r="L619" s="2">
        <v>0</v>
      </c>
      <c r="M619" s="2">
        <v>2</v>
      </c>
      <c r="N619" s="2">
        <v>1</v>
      </c>
      <c r="O619" s="2">
        <v>0</v>
      </c>
      <c r="P619" s="2">
        <v>1</v>
      </c>
      <c r="Q619" s="2">
        <v>0</v>
      </c>
      <c r="R619" s="2">
        <v>0</v>
      </c>
      <c r="S619" s="2">
        <v>0</v>
      </c>
      <c r="T619" s="2">
        <v>3</v>
      </c>
      <c r="U619" s="2">
        <v>1</v>
      </c>
      <c r="V619" s="2">
        <v>0</v>
      </c>
      <c r="W619" s="2">
        <v>37</v>
      </c>
      <c r="X619" s="2">
        <v>0</v>
      </c>
      <c r="Y619" s="2">
        <v>1</v>
      </c>
      <c r="Z619" s="2">
        <v>0</v>
      </c>
      <c r="AA619" s="2">
        <v>3</v>
      </c>
      <c r="AB619" s="2">
        <v>2</v>
      </c>
      <c r="AC619" s="2">
        <v>2</v>
      </c>
      <c r="AD619" s="2">
        <v>0</v>
      </c>
      <c r="AE619" s="2">
        <v>0</v>
      </c>
      <c r="AF619" s="2">
        <v>1</v>
      </c>
      <c r="AG619" s="20">
        <f t="shared" si="9"/>
        <v>100</v>
      </c>
    </row>
    <row r="620" spans="1:33" x14ac:dyDescent="0.25">
      <c r="A620">
        <v>619</v>
      </c>
      <c r="B620" s="2">
        <v>1</v>
      </c>
      <c r="C620" s="2">
        <v>30</v>
      </c>
      <c r="D620" s="2">
        <v>2</v>
      </c>
      <c r="E620" s="2">
        <v>0</v>
      </c>
      <c r="F620" s="2">
        <v>0</v>
      </c>
      <c r="G620" s="2">
        <v>1</v>
      </c>
      <c r="H620" s="2">
        <v>0</v>
      </c>
      <c r="I620" s="2">
        <v>0</v>
      </c>
      <c r="J620" s="2">
        <v>0</v>
      </c>
      <c r="K620" s="2">
        <v>3441</v>
      </c>
      <c r="L620" s="2">
        <v>1</v>
      </c>
      <c r="M620" s="2">
        <v>2</v>
      </c>
      <c r="N620" s="2">
        <v>2</v>
      </c>
      <c r="O620" s="2">
        <v>0</v>
      </c>
      <c r="P620" s="2">
        <v>0</v>
      </c>
      <c r="Q620" s="2">
        <v>0</v>
      </c>
      <c r="R620" s="2">
        <v>1</v>
      </c>
      <c r="S620" s="2">
        <v>0</v>
      </c>
      <c r="T620" s="2">
        <v>4</v>
      </c>
      <c r="U620" s="2">
        <v>0</v>
      </c>
      <c r="V620" s="2">
        <v>0</v>
      </c>
      <c r="W620" s="2">
        <v>21</v>
      </c>
      <c r="X620" s="2">
        <v>0</v>
      </c>
      <c r="Y620" s="2">
        <v>1</v>
      </c>
      <c r="Z620" s="2">
        <v>0</v>
      </c>
      <c r="AA620" s="2">
        <v>1</v>
      </c>
      <c r="AB620" s="2">
        <v>2</v>
      </c>
      <c r="AC620" s="2">
        <v>1</v>
      </c>
      <c r="AD620" s="2">
        <v>0</v>
      </c>
      <c r="AE620" s="2">
        <v>0</v>
      </c>
      <c r="AF620" s="2">
        <v>0</v>
      </c>
      <c r="AG620" s="20">
        <f t="shared" si="9"/>
        <v>-500</v>
      </c>
    </row>
    <row r="621" spans="1:33" x14ac:dyDescent="0.25">
      <c r="A621">
        <v>620</v>
      </c>
      <c r="B621" s="2">
        <v>3</v>
      </c>
      <c r="C621" s="2">
        <v>12</v>
      </c>
      <c r="D621" s="2">
        <v>2</v>
      </c>
      <c r="E621" s="2">
        <v>1</v>
      </c>
      <c r="F621" s="2">
        <v>0</v>
      </c>
      <c r="G621" s="2">
        <v>0</v>
      </c>
      <c r="H621" s="2">
        <v>0</v>
      </c>
      <c r="I621" s="2">
        <v>0</v>
      </c>
      <c r="J621" s="2">
        <v>0</v>
      </c>
      <c r="K621" s="2">
        <v>640</v>
      </c>
      <c r="L621" s="2">
        <v>0</v>
      </c>
      <c r="M621" s="2">
        <v>2</v>
      </c>
      <c r="N621" s="2">
        <v>4</v>
      </c>
      <c r="O621" s="2">
        <v>1</v>
      </c>
      <c r="P621" s="2">
        <v>0</v>
      </c>
      <c r="Q621" s="2">
        <v>0</v>
      </c>
      <c r="R621" s="2">
        <v>0</v>
      </c>
      <c r="S621" s="2">
        <v>0</v>
      </c>
      <c r="T621" s="2">
        <v>2</v>
      </c>
      <c r="U621" s="2">
        <v>1</v>
      </c>
      <c r="V621" s="2">
        <v>0</v>
      </c>
      <c r="W621" s="2">
        <v>49</v>
      </c>
      <c r="X621" s="2">
        <v>0</v>
      </c>
      <c r="Y621" s="2">
        <v>0</v>
      </c>
      <c r="Z621" s="2">
        <v>1</v>
      </c>
      <c r="AA621" s="2">
        <v>1</v>
      </c>
      <c r="AB621" s="2">
        <v>1</v>
      </c>
      <c r="AC621" s="2">
        <v>1</v>
      </c>
      <c r="AD621" s="2">
        <v>0</v>
      </c>
      <c r="AE621" s="2">
        <v>0</v>
      </c>
      <c r="AF621" s="2">
        <v>1</v>
      </c>
      <c r="AG621" s="20">
        <f t="shared" si="9"/>
        <v>100</v>
      </c>
    </row>
    <row r="622" spans="1:33" x14ac:dyDescent="0.25">
      <c r="A622">
        <v>621</v>
      </c>
      <c r="B622" s="2">
        <v>1</v>
      </c>
      <c r="C622" s="2">
        <v>21</v>
      </c>
      <c r="D622" s="2">
        <v>4</v>
      </c>
      <c r="E622" s="2">
        <v>0</v>
      </c>
      <c r="F622" s="2">
        <v>0</v>
      </c>
      <c r="G622" s="2">
        <v>0</v>
      </c>
      <c r="H622" s="2">
        <v>0</v>
      </c>
      <c r="I622" s="2">
        <v>0</v>
      </c>
      <c r="J622" s="2">
        <v>1</v>
      </c>
      <c r="K622" s="2">
        <v>3652</v>
      </c>
      <c r="L622" s="2">
        <v>0</v>
      </c>
      <c r="M622" s="2">
        <v>3</v>
      </c>
      <c r="N622" s="2">
        <v>2</v>
      </c>
      <c r="O622" s="2">
        <v>0</v>
      </c>
      <c r="P622" s="2">
        <v>1</v>
      </c>
      <c r="Q622" s="2">
        <v>0</v>
      </c>
      <c r="R622" s="2">
        <v>0</v>
      </c>
      <c r="S622" s="2">
        <v>0</v>
      </c>
      <c r="T622" s="2">
        <v>3</v>
      </c>
      <c r="U622" s="2">
        <v>0</v>
      </c>
      <c r="V622" s="2">
        <v>0</v>
      </c>
      <c r="W622" s="2">
        <v>27</v>
      </c>
      <c r="X622" s="2">
        <v>0</v>
      </c>
      <c r="Y622" s="2">
        <v>0</v>
      </c>
      <c r="Z622" s="2">
        <v>1</v>
      </c>
      <c r="AA622" s="2">
        <v>2</v>
      </c>
      <c r="AB622" s="2">
        <v>2</v>
      </c>
      <c r="AC622" s="2">
        <v>1</v>
      </c>
      <c r="AD622" s="2">
        <v>0</v>
      </c>
      <c r="AE622" s="2">
        <v>0</v>
      </c>
      <c r="AF622" s="2">
        <v>1</v>
      </c>
      <c r="AG622" s="20">
        <f t="shared" si="9"/>
        <v>100</v>
      </c>
    </row>
    <row r="623" spans="1:33" x14ac:dyDescent="0.25">
      <c r="A623">
        <v>622</v>
      </c>
      <c r="B623" s="2">
        <v>3</v>
      </c>
      <c r="C623" s="2">
        <v>18</v>
      </c>
      <c r="D623" s="2">
        <v>4</v>
      </c>
      <c r="E623" s="2">
        <v>1</v>
      </c>
      <c r="F623" s="2">
        <v>0</v>
      </c>
      <c r="G623" s="2">
        <v>0</v>
      </c>
      <c r="H623" s="2">
        <v>0</v>
      </c>
      <c r="I623" s="2">
        <v>0</v>
      </c>
      <c r="J623" s="2">
        <v>0</v>
      </c>
      <c r="K623" s="2">
        <v>1530</v>
      </c>
      <c r="L623" s="2">
        <v>0</v>
      </c>
      <c r="M623" s="2">
        <v>2</v>
      </c>
      <c r="N623" s="2">
        <v>3</v>
      </c>
      <c r="O623" s="2">
        <v>0</v>
      </c>
      <c r="P623" s="2">
        <v>1</v>
      </c>
      <c r="Q623" s="2">
        <v>0</v>
      </c>
      <c r="R623" s="2">
        <v>0</v>
      </c>
      <c r="S623" s="2">
        <v>0</v>
      </c>
      <c r="T623" s="2">
        <v>2</v>
      </c>
      <c r="U623" s="2">
        <v>0</v>
      </c>
      <c r="V623" s="2">
        <v>0</v>
      </c>
      <c r="W623" s="2">
        <v>32</v>
      </c>
      <c r="X623" s="2">
        <v>1</v>
      </c>
      <c r="Y623" s="2">
        <v>0</v>
      </c>
      <c r="Z623" s="2">
        <v>1</v>
      </c>
      <c r="AA623" s="2">
        <v>2</v>
      </c>
      <c r="AB623" s="2">
        <v>2</v>
      </c>
      <c r="AC623" s="2">
        <v>1</v>
      </c>
      <c r="AD623" s="2">
        <v>0</v>
      </c>
      <c r="AE623" s="2">
        <v>0</v>
      </c>
      <c r="AF623" s="2">
        <v>0</v>
      </c>
      <c r="AG623" s="20">
        <f t="shared" si="9"/>
        <v>-500</v>
      </c>
    </row>
    <row r="624" spans="1:33" x14ac:dyDescent="0.25">
      <c r="A624">
        <v>623</v>
      </c>
      <c r="B624" s="2">
        <v>3</v>
      </c>
      <c r="C624" s="2">
        <v>48</v>
      </c>
      <c r="D624" s="2">
        <v>2</v>
      </c>
      <c r="E624" s="2">
        <v>0</v>
      </c>
      <c r="F624" s="2">
        <v>0</v>
      </c>
      <c r="G624" s="2">
        <v>0</v>
      </c>
      <c r="H624" s="2">
        <v>0</v>
      </c>
      <c r="I624" s="2">
        <v>0</v>
      </c>
      <c r="J624" s="2">
        <v>1</v>
      </c>
      <c r="K624" s="2">
        <v>3914</v>
      </c>
      <c r="L624" s="2">
        <v>4</v>
      </c>
      <c r="M624" s="2">
        <v>2</v>
      </c>
      <c r="N624" s="2">
        <v>4</v>
      </c>
      <c r="O624" s="2">
        <v>1</v>
      </c>
      <c r="P624" s="2">
        <v>0</v>
      </c>
      <c r="Q624" s="2">
        <v>0</v>
      </c>
      <c r="R624" s="2">
        <v>0</v>
      </c>
      <c r="S624" s="2">
        <v>0</v>
      </c>
      <c r="T624" s="2">
        <v>2</v>
      </c>
      <c r="U624" s="2">
        <v>1</v>
      </c>
      <c r="V624" s="2">
        <v>0</v>
      </c>
      <c r="W624" s="2">
        <v>38</v>
      </c>
      <c r="X624" s="2">
        <v>1</v>
      </c>
      <c r="Y624" s="2">
        <v>0</v>
      </c>
      <c r="Z624" s="2">
        <v>1</v>
      </c>
      <c r="AA624" s="2">
        <v>1</v>
      </c>
      <c r="AB624" s="2">
        <v>2</v>
      </c>
      <c r="AC624" s="2">
        <v>1</v>
      </c>
      <c r="AD624" s="2">
        <v>0</v>
      </c>
      <c r="AE624" s="2">
        <v>0</v>
      </c>
      <c r="AF624" s="2">
        <v>0</v>
      </c>
      <c r="AG624" s="20">
        <f t="shared" si="9"/>
        <v>-500</v>
      </c>
    </row>
    <row r="625" spans="1:33" x14ac:dyDescent="0.25">
      <c r="A625">
        <v>624</v>
      </c>
      <c r="B625" s="2">
        <v>0</v>
      </c>
      <c r="C625" s="2">
        <v>12</v>
      </c>
      <c r="D625" s="2">
        <v>2</v>
      </c>
      <c r="E625" s="2">
        <v>0</v>
      </c>
      <c r="F625" s="2">
        <v>0</v>
      </c>
      <c r="G625" s="2">
        <v>1</v>
      </c>
      <c r="H625" s="2">
        <v>0</v>
      </c>
      <c r="I625" s="2">
        <v>0</v>
      </c>
      <c r="J625" s="2">
        <v>0</v>
      </c>
      <c r="K625" s="2">
        <v>1858</v>
      </c>
      <c r="L625" s="2">
        <v>0</v>
      </c>
      <c r="M625" s="2">
        <v>1</v>
      </c>
      <c r="N625" s="2">
        <v>4</v>
      </c>
      <c r="O625" s="2">
        <v>0</v>
      </c>
      <c r="P625" s="2">
        <v>0</v>
      </c>
      <c r="Q625" s="2">
        <v>0</v>
      </c>
      <c r="R625" s="2">
        <v>0</v>
      </c>
      <c r="S625" s="2">
        <v>0</v>
      </c>
      <c r="T625" s="2">
        <v>1</v>
      </c>
      <c r="U625" s="2">
        <v>0</v>
      </c>
      <c r="V625" s="2">
        <v>0</v>
      </c>
      <c r="W625" s="2">
        <v>22</v>
      </c>
      <c r="X625" s="2">
        <v>0</v>
      </c>
      <c r="Y625" s="2">
        <v>1</v>
      </c>
      <c r="Z625" s="2">
        <v>0</v>
      </c>
      <c r="AA625" s="2">
        <v>1</v>
      </c>
      <c r="AB625" s="2">
        <v>2</v>
      </c>
      <c r="AC625" s="2">
        <v>1</v>
      </c>
      <c r="AD625" s="2">
        <v>0</v>
      </c>
      <c r="AE625" s="2">
        <v>0</v>
      </c>
      <c r="AF625" s="2">
        <v>1</v>
      </c>
      <c r="AG625" s="20">
        <f t="shared" si="9"/>
        <v>100</v>
      </c>
    </row>
    <row r="626" spans="1:33" x14ac:dyDescent="0.25">
      <c r="A626">
        <v>625</v>
      </c>
      <c r="B626" s="2">
        <v>0</v>
      </c>
      <c r="C626" s="2">
        <v>18</v>
      </c>
      <c r="D626" s="2">
        <v>2</v>
      </c>
      <c r="E626" s="2">
        <v>0</v>
      </c>
      <c r="F626" s="2">
        <v>0</v>
      </c>
      <c r="G626" s="2">
        <v>0</v>
      </c>
      <c r="H626" s="2">
        <v>1</v>
      </c>
      <c r="I626" s="2">
        <v>0</v>
      </c>
      <c r="J626" s="2">
        <v>0</v>
      </c>
      <c r="K626" s="2">
        <v>2600</v>
      </c>
      <c r="L626" s="2">
        <v>0</v>
      </c>
      <c r="M626" s="2">
        <v>2</v>
      </c>
      <c r="N626" s="2">
        <v>4</v>
      </c>
      <c r="O626" s="2">
        <v>0</v>
      </c>
      <c r="P626" s="2">
        <v>1</v>
      </c>
      <c r="Q626" s="2">
        <v>0</v>
      </c>
      <c r="R626" s="2">
        <v>0</v>
      </c>
      <c r="S626" s="2">
        <v>0</v>
      </c>
      <c r="T626" s="2">
        <v>4</v>
      </c>
      <c r="U626" s="2">
        <v>0</v>
      </c>
      <c r="V626" s="2">
        <v>1</v>
      </c>
      <c r="W626" s="2">
        <v>65</v>
      </c>
      <c r="X626" s="2">
        <v>0</v>
      </c>
      <c r="Y626" s="2">
        <v>0</v>
      </c>
      <c r="Z626" s="2">
        <v>0</v>
      </c>
      <c r="AA626" s="2">
        <v>2</v>
      </c>
      <c r="AB626" s="2">
        <v>2</v>
      </c>
      <c r="AC626" s="2">
        <v>1</v>
      </c>
      <c r="AD626" s="2">
        <v>0</v>
      </c>
      <c r="AE626" s="2">
        <v>0</v>
      </c>
      <c r="AF626" s="2">
        <v>0</v>
      </c>
      <c r="AG626" s="20">
        <f t="shared" si="9"/>
        <v>-500</v>
      </c>
    </row>
    <row r="627" spans="1:33" x14ac:dyDescent="0.25">
      <c r="A627">
        <v>626</v>
      </c>
      <c r="B627" s="2">
        <v>3</v>
      </c>
      <c r="C627" s="2">
        <v>15</v>
      </c>
      <c r="D627" s="2">
        <v>2</v>
      </c>
      <c r="E627" s="2">
        <v>0</v>
      </c>
      <c r="F627" s="2">
        <v>0</v>
      </c>
      <c r="G627" s="2">
        <v>0</v>
      </c>
      <c r="H627" s="2">
        <v>1</v>
      </c>
      <c r="I627" s="2">
        <v>0</v>
      </c>
      <c r="J627" s="2">
        <v>0</v>
      </c>
      <c r="K627" s="2">
        <v>1979</v>
      </c>
      <c r="L627" s="2">
        <v>4</v>
      </c>
      <c r="M627" s="2">
        <v>4</v>
      </c>
      <c r="N627" s="2">
        <v>4</v>
      </c>
      <c r="O627" s="2">
        <v>0</v>
      </c>
      <c r="P627" s="2">
        <v>1</v>
      </c>
      <c r="Q627" s="2">
        <v>0</v>
      </c>
      <c r="R627" s="2">
        <v>0</v>
      </c>
      <c r="S627" s="2">
        <v>0</v>
      </c>
      <c r="T627" s="2">
        <v>2</v>
      </c>
      <c r="U627" s="2">
        <v>0</v>
      </c>
      <c r="V627" s="2">
        <v>0</v>
      </c>
      <c r="W627" s="2">
        <v>35</v>
      </c>
      <c r="X627" s="2">
        <v>0</v>
      </c>
      <c r="Y627" s="2">
        <v>0</v>
      </c>
      <c r="Z627" s="2">
        <v>1</v>
      </c>
      <c r="AA627" s="2">
        <v>1</v>
      </c>
      <c r="AB627" s="2">
        <v>2</v>
      </c>
      <c r="AC627" s="2">
        <v>1</v>
      </c>
      <c r="AD627" s="2">
        <v>0</v>
      </c>
      <c r="AE627" s="2">
        <v>0</v>
      </c>
      <c r="AF627" s="2">
        <v>1</v>
      </c>
      <c r="AG627" s="20">
        <f t="shared" si="9"/>
        <v>100</v>
      </c>
    </row>
    <row r="628" spans="1:33" x14ac:dyDescent="0.25">
      <c r="A628">
        <v>627</v>
      </c>
      <c r="B628" s="2">
        <v>2</v>
      </c>
      <c r="C628" s="2">
        <v>6</v>
      </c>
      <c r="D628" s="2">
        <v>2</v>
      </c>
      <c r="E628" s="2">
        <v>0</v>
      </c>
      <c r="F628" s="2">
        <v>0</v>
      </c>
      <c r="G628" s="2">
        <v>1</v>
      </c>
      <c r="H628" s="2">
        <v>0</v>
      </c>
      <c r="I628" s="2">
        <v>0</v>
      </c>
      <c r="J628" s="2">
        <v>0</v>
      </c>
      <c r="K628" s="2">
        <v>2116</v>
      </c>
      <c r="L628" s="2">
        <v>0</v>
      </c>
      <c r="M628" s="2">
        <v>2</v>
      </c>
      <c r="N628" s="2">
        <v>2</v>
      </c>
      <c r="O628" s="2">
        <v>0</v>
      </c>
      <c r="P628" s="2">
        <v>1</v>
      </c>
      <c r="Q628" s="2">
        <v>0</v>
      </c>
      <c r="R628" s="2">
        <v>0</v>
      </c>
      <c r="S628" s="2">
        <v>0</v>
      </c>
      <c r="T628" s="2">
        <v>2</v>
      </c>
      <c r="U628" s="2">
        <v>1</v>
      </c>
      <c r="V628" s="2">
        <v>0</v>
      </c>
      <c r="W628" s="2">
        <v>41</v>
      </c>
      <c r="X628" s="2">
        <v>0</v>
      </c>
      <c r="Y628" s="2">
        <v>0</v>
      </c>
      <c r="Z628" s="2">
        <v>1</v>
      </c>
      <c r="AA628" s="2">
        <v>1</v>
      </c>
      <c r="AB628" s="2">
        <v>2</v>
      </c>
      <c r="AC628" s="2">
        <v>1</v>
      </c>
      <c r="AD628" s="2">
        <v>1</v>
      </c>
      <c r="AE628" s="2">
        <v>0</v>
      </c>
      <c r="AF628" s="2">
        <v>1</v>
      </c>
      <c r="AG628" s="20">
        <f t="shared" si="9"/>
        <v>100</v>
      </c>
    </row>
    <row r="629" spans="1:33" x14ac:dyDescent="0.25">
      <c r="A629">
        <v>628</v>
      </c>
      <c r="B629" s="2">
        <v>1</v>
      </c>
      <c r="C629" s="2">
        <v>9</v>
      </c>
      <c r="D629" s="2">
        <v>1</v>
      </c>
      <c r="E629" s="2">
        <v>1</v>
      </c>
      <c r="F629" s="2">
        <v>0</v>
      </c>
      <c r="G629" s="2">
        <v>0</v>
      </c>
      <c r="H629" s="2">
        <v>0</v>
      </c>
      <c r="I629" s="2">
        <v>0</v>
      </c>
      <c r="J629" s="2">
        <v>0</v>
      </c>
      <c r="K629" s="2">
        <v>1437</v>
      </c>
      <c r="L629" s="2">
        <v>1</v>
      </c>
      <c r="M629" s="2">
        <v>3</v>
      </c>
      <c r="N629" s="2">
        <v>2</v>
      </c>
      <c r="O629" s="2">
        <v>0</v>
      </c>
      <c r="P629" s="2">
        <v>1</v>
      </c>
      <c r="Q629" s="2">
        <v>0</v>
      </c>
      <c r="R629" s="2">
        <v>0</v>
      </c>
      <c r="S629" s="2">
        <v>0</v>
      </c>
      <c r="T629" s="2">
        <v>3</v>
      </c>
      <c r="U629" s="2">
        <v>0</v>
      </c>
      <c r="V629" s="2">
        <v>1</v>
      </c>
      <c r="W629" s="2">
        <v>29</v>
      </c>
      <c r="X629" s="2">
        <v>0</v>
      </c>
      <c r="Y629" s="2">
        <v>0</v>
      </c>
      <c r="Z629" s="2">
        <v>1</v>
      </c>
      <c r="AA629" s="2">
        <v>1</v>
      </c>
      <c r="AB629" s="2">
        <v>2</v>
      </c>
      <c r="AC629" s="2">
        <v>1</v>
      </c>
      <c r="AD629" s="2">
        <v>0</v>
      </c>
      <c r="AE629" s="2">
        <v>0</v>
      </c>
      <c r="AF629" s="2">
        <v>0</v>
      </c>
      <c r="AG629" s="20">
        <f t="shared" si="9"/>
        <v>-500</v>
      </c>
    </row>
    <row r="630" spans="1:33" x14ac:dyDescent="0.25">
      <c r="A630">
        <v>629</v>
      </c>
      <c r="B630" s="2">
        <v>3</v>
      </c>
      <c r="C630" s="2">
        <v>42</v>
      </c>
      <c r="D630" s="2">
        <v>4</v>
      </c>
      <c r="E630" s="2">
        <v>0</v>
      </c>
      <c r="F630" s="2">
        <v>0</v>
      </c>
      <c r="G630" s="2">
        <v>1</v>
      </c>
      <c r="H630" s="2">
        <v>0</v>
      </c>
      <c r="I630" s="2">
        <v>0</v>
      </c>
      <c r="J630" s="2">
        <v>0</v>
      </c>
      <c r="K630" s="2">
        <v>4042</v>
      </c>
      <c r="L630" s="2">
        <v>2</v>
      </c>
      <c r="M630" s="2">
        <v>2</v>
      </c>
      <c r="N630" s="2">
        <v>4</v>
      </c>
      <c r="O630" s="2">
        <v>0</v>
      </c>
      <c r="P630" s="2">
        <v>1</v>
      </c>
      <c r="Q630" s="2">
        <v>0</v>
      </c>
      <c r="R630" s="2">
        <v>0</v>
      </c>
      <c r="S630" s="2">
        <v>0</v>
      </c>
      <c r="T630" s="2">
        <v>4</v>
      </c>
      <c r="U630" s="2">
        <v>1</v>
      </c>
      <c r="V630" s="2">
        <v>0</v>
      </c>
      <c r="W630" s="2">
        <v>36</v>
      </c>
      <c r="X630" s="2">
        <v>0</v>
      </c>
      <c r="Y630" s="2">
        <v>0</v>
      </c>
      <c r="Z630" s="2">
        <v>1</v>
      </c>
      <c r="AA630" s="2">
        <v>2</v>
      </c>
      <c r="AB630" s="2">
        <v>2</v>
      </c>
      <c r="AC630" s="2">
        <v>1</v>
      </c>
      <c r="AD630" s="2">
        <v>1</v>
      </c>
      <c r="AE630" s="2">
        <v>0</v>
      </c>
      <c r="AF630" s="2">
        <v>1</v>
      </c>
      <c r="AG630" s="20">
        <f t="shared" si="9"/>
        <v>100</v>
      </c>
    </row>
    <row r="631" spans="1:33" x14ac:dyDescent="0.25">
      <c r="A631">
        <v>630</v>
      </c>
      <c r="B631" s="2">
        <v>3</v>
      </c>
      <c r="C631" s="2">
        <v>9</v>
      </c>
      <c r="D631" s="2">
        <v>2</v>
      </c>
      <c r="E631" s="2">
        <v>0</v>
      </c>
      <c r="F631" s="2">
        <v>0</v>
      </c>
      <c r="G631" s="2">
        <v>0</v>
      </c>
      <c r="H631" s="2">
        <v>0</v>
      </c>
      <c r="I631" s="2">
        <v>1</v>
      </c>
      <c r="J631" s="2">
        <v>0</v>
      </c>
      <c r="K631" s="2">
        <v>3832</v>
      </c>
      <c r="L631" s="2">
        <v>4</v>
      </c>
      <c r="M631" s="2">
        <v>4</v>
      </c>
      <c r="N631" s="2">
        <v>1</v>
      </c>
      <c r="O631" s="2">
        <v>0</v>
      </c>
      <c r="P631" s="2">
        <v>1</v>
      </c>
      <c r="Q631" s="2">
        <v>0</v>
      </c>
      <c r="R631" s="2">
        <v>0</v>
      </c>
      <c r="S631" s="2">
        <v>0</v>
      </c>
      <c r="T631" s="2">
        <v>4</v>
      </c>
      <c r="U631" s="2">
        <v>1</v>
      </c>
      <c r="V631" s="2">
        <v>0</v>
      </c>
      <c r="W631" s="2">
        <v>64</v>
      </c>
      <c r="X631" s="2">
        <v>0</v>
      </c>
      <c r="Y631" s="2">
        <v>0</v>
      </c>
      <c r="Z631" s="2">
        <v>1</v>
      </c>
      <c r="AA631" s="2">
        <v>1</v>
      </c>
      <c r="AB631" s="2">
        <v>1</v>
      </c>
      <c r="AC631" s="2">
        <v>1</v>
      </c>
      <c r="AD631" s="2">
        <v>0</v>
      </c>
      <c r="AE631" s="2">
        <v>0</v>
      </c>
      <c r="AF631" s="2">
        <v>1</v>
      </c>
      <c r="AG631" s="20">
        <f t="shared" si="9"/>
        <v>100</v>
      </c>
    </row>
    <row r="632" spans="1:33" x14ac:dyDescent="0.25">
      <c r="A632">
        <v>631</v>
      </c>
      <c r="B632" s="2">
        <v>0</v>
      </c>
      <c r="C632" s="2">
        <v>24</v>
      </c>
      <c r="D632" s="2">
        <v>2</v>
      </c>
      <c r="E632" s="2">
        <v>0</v>
      </c>
      <c r="F632" s="2">
        <v>0</v>
      </c>
      <c r="G632" s="2">
        <v>0</v>
      </c>
      <c r="H632" s="2">
        <v>1</v>
      </c>
      <c r="I632" s="2">
        <v>0</v>
      </c>
      <c r="J632" s="2">
        <v>0</v>
      </c>
      <c r="K632" s="2">
        <v>3660</v>
      </c>
      <c r="L632" s="2">
        <v>0</v>
      </c>
      <c r="M632" s="2">
        <v>2</v>
      </c>
      <c r="N632" s="2">
        <v>2</v>
      </c>
      <c r="O632" s="2">
        <v>0</v>
      </c>
      <c r="P632" s="2">
        <v>0</v>
      </c>
      <c r="Q632" s="2">
        <v>0</v>
      </c>
      <c r="R632" s="2">
        <v>0</v>
      </c>
      <c r="S632" s="2">
        <v>0</v>
      </c>
      <c r="T632" s="2">
        <v>4</v>
      </c>
      <c r="U632" s="2">
        <v>0</v>
      </c>
      <c r="V632" s="2">
        <v>0</v>
      </c>
      <c r="W632" s="2">
        <v>28</v>
      </c>
      <c r="X632" s="2">
        <v>0</v>
      </c>
      <c r="Y632" s="2">
        <v>0</v>
      </c>
      <c r="Z632" s="2">
        <v>1</v>
      </c>
      <c r="AA632" s="2">
        <v>1</v>
      </c>
      <c r="AB632" s="2">
        <v>2</v>
      </c>
      <c r="AC632" s="2">
        <v>1</v>
      </c>
      <c r="AD632" s="2">
        <v>0</v>
      </c>
      <c r="AE632" s="2">
        <v>0</v>
      </c>
      <c r="AF632" s="2">
        <v>1</v>
      </c>
      <c r="AG632" s="20">
        <f t="shared" si="9"/>
        <v>100</v>
      </c>
    </row>
    <row r="633" spans="1:33" x14ac:dyDescent="0.25">
      <c r="A633">
        <v>632</v>
      </c>
      <c r="B633" s="2">
        <v>0</v>
      </c>
      <c r="C633" s="2">
        <v>18</v>
      </c>
      <c r="D633" s="2">
        <v>1</v>
      </c>
      <c r="E633" s="2">
        <v>0</v>
      </c>
      <c r="F633" s="2">
        <v>0</v>
      </c>
      <c r="G633" s="2">
        <v>1</v>
      </c>
      <c r="H633" s="2">
        <v>0</v>
      </c>
      <c r="I633" s="2">
        <v>0</v>
      </c>
      <c r="J633" s="2">
        <v>0</v>
      </c>
      <c r="K633" s="2">
        <v>1553</v>
      </c>
      <c r="L633" s="2">
        <v>0</v>
      </c>
      <c r="M633" s="2">
        <v>2</v>
      </c>
      <c r="N633" s="2">
        <v>4</v>
      </c>
      <c r="O633" s="2">
        <v>0</v>
      </c>
      <c r="P633" s="2">
        <v>1</v>
      </c>
      <c r="Q633" s="2">
        <v>0</v>
      </c>
      <c r="R633" s="2">
        <v>0</v>
      </c>
      <c r="S633" s="2">
        <v>0</v>
      </c>
      <c r="T633" s="2">
        <v>3</v>
      </c>
      <c r="U633" s="2">
        <v>0</v>
      </c>
      <c r="V633" s="2">
        <v>0</v>
      </c>
      <c r="W633" s="2">
        <v>44</v>
      </c>
      <c r="X633" s="2">
        <v>1</v>
      </c>
      <c r="Y633" s="2">
        <v>0</v>
      </c>
      <c r="Z633" s="2">
        <v>1</v>
      </c>
      <c r="AA633" s="2">
        <v>1</v>
      </c>
      <c r="AB633" s="2">
        <v>2</v>
      </c>
      <c r="AC633" s="2">
        <v>1</v>
      </c>
      <c r="AD633" s="2">
        <v>0</v>
      </c>
      <c r="AE633" s="2">
        <v>0</v>
      </c>
      <c r="AF633" s="2">
        <v>0</v>
      </c>
      <c r="AG633" s="20">
        <f t="shared" si="9"/>
        <v>-500</v>
      </c>
    </row>
    <row r="634" spans="1:33" x14ac:dyDescent="0.25">
      <c r="A634">
        <v>633</v>
      </c>
      <c r="B634" s="2">
        <v>1</v>
      </c>
      <c r="C634" s="2">
        <v>15</v>
      </c>
      <c r="D634" s="2">
        <v>2</v>
      </c>
      <c r="E634" s="2">
        <v>0</v>
      </c>
      <c r="F634" s="2">
        <v>0</v>
      </c>
      <c r="G634" s="2">
        <v>0</v>
      </c>
      <c r="H634" s="2">
        <v>1</v>
      </c>
      <c r="I634" s="2">
        <v>0</v>
      </c>
      <c r="J634" s="2">
        <v>0</v>
      </c>
      <c r="K634" s="2">
        <v>1444</v>
      </c>
      <c r="L634" s="2">
        <v>4</v>
      </c>
      <c r="M634" s="2">
        <v>1</v>
      </c>
      <c r="N634" s="2">
        <v>4</v>
      </c>
      <c r="O634" s="2">
        <v>0</v>
      </c>
      <c r="P634" s="2">
        <v>1</v>
      </c>
      <c r="Q634" s="2">
        <v>0</v>
      </c>
      <c r="R634" s="2">
        <v>0</v>
      </c>
      <c r="S634" s="2">
        <v>0</v>
      </c>
      <c r="T634" s="2">
        <v>1</v>
      </c>
      <c r="U634" s="2">
        <v>0</v>
      </c>
      <c r="V634" s="2">
        <v>0</v>
      </c>
      <c r="W634" s="2">
        <v>23</v>
      </c>
      <c r="X634" s="2">
        <v>0</v>
      </c>
      <c r="Y634" s="2">
        <v>0</v>
      </c>
      <c r="Z634" s="2">
        <v>1</v>
      </c>
      <c r="AA634" s="2">
        <v>1</v>
      </c>
      <c r="AB634" s="2">
        <v>2</v>
      </c>
      <c r="AC634" s="2">
        <v>1</v>
      </c>
      <c r="AD634" s="2">
        <v>0</v>
      </c>
      <c r="AE634" s="2">
        <v>0</v>
      </c>
      <c r="AF634" s="2">
        <v>1</v>
      </c>
      <c r="AG634" s="20">
        <f t="shared" si="9"/>
        <v>100</v>
      </c>
    </row>
    <row r="635" spans="1:33" x14ac:dyDescent="0.25">
      <c r="A635">
        <v>634</v>
      </c>
      <c r="B635" s="2">
        <v>3</v>
      </c>
      <c r="C635" s="2">
        <v>9</v>
      </c>
      <c r="D635" s="2">
        <v>2</v>
      </c>
      <c r="E635" s="2">
        <v>0</v>
      </c>
      <c r="F635" s="2">
        <v>0</v>
      </c>
      <c r="G635" s="2">
        <v>1</v>
      </c>
      <c r="H635" s="2">
        <v>0</v>
      </c>
      <c r="I635" s="2">
        <v>0</v>
      </c>
      <c r="J635" s="2">
        <v>0</v>
      </c>
      <c r="K635" s="2">
        <v>1980</v>
      </c>
      <c r="L635" s="2">
        <v>0</v>
      </c>
      <c r="M635" s="2">
        <v>1</v>
      </c>
      <c r="N635" s="2">
        <v>2</v>
      </c>
      <c r="O635" s="2">
        <v>0</v>
      </c>
      <c r="P635" s="2">
        <v>0</v>
      </c>
      <c r="Q635" s="2">
        <v>0</v>
      </c>
      <c r="R635" s="2">
        <v>1</v>
      </c>
      <c r="S635" s="2">
        <v>0</v>
      </c>
      <c r="T635" s="2">
        <v>2</v>
      </c>
      <c r="U635" s="2">
        <v>0</v>
      </c>
      <c r="V635" s="2">
        <v>0</v>
      </c>
      <c r="W635" s="2">
        <v>19</v>
      </c>
      <c r="X635" s="2">
        <v>0</v>
      </c>
      <c r="Y635" s="2">
        <v>1</v>
      </c>
      <c r="Z635" s="2">
        <v>0</v>
      </c>
      <c r="AA635" s="2">
        <v>2</v>
      </c>
      <c r="AB635" s="2">
        <v>2</v>
      </c>
      <c r="AC635" s="2">
        <v>1</v>
      </c>
      <c r="AD635" s="2">
        <v>0</v>
      </c>
      <c r="AE635" s="2">
        <v>0</v>
      </c>
      <c r="AF635" s="2">
        <v>0</v>
      </c>
      <c r="AG635" s="20">
        <f t="shared" si="9"/>
        <v>-500</v>
      </c>
    </row>
    <row r="636" spans="1:33" x14ac:dyDescent="0.25">
      <c r="A636">
        <v>635</v>
      </c>
      <c r="B636" s="2">
        <v>1</v>
      </c>
      <c r="C636" s="2">
        <v>24</v>
      </c>
      <c r="D636" s="2">
        <v>2</v>
      </c>
      <c r="E636" s="2">
        <v>1</v>
      </c>
      <c r="F636" s="2">
        <v>0</v>
      </c>
      <c r="G636" s="2">
        <v>0</v>
      </c>
      <c r="H636" s="2">
        <v>0</v>
      </c>
      <c r="I636" s="2">
        <v>0</v>
      </c>
      <c r="J636" s="2">
        <v>0</v>
      </c>
      <c r="K636" s="2">
        <v>1355</v>
      </c>
      <c r="L636" s="2">
        <v>0</v>
      </c>
      <c r="M636" s="2">
        <v>1</v>
      </c>
      <c r="N636" s="2">
        <v>3</v>
      </c>
      <c r="O636" s="2">
        <v>0</v>
      </c>
      <c r="P636" s="2">
        <v>0</v>
      </c>
      <c r="Q636" s="2">
        <v>0</v>
      </c>
      <c r="R636" s="2">
        <v>0</v>
      </c>
      <c r="S636" s="2">
        <v>0</v>
      </c>
      <c r="T636" s="2">
        <v>4</v>
      </c>
      <c r="U636" s="2">
        <v>0</v>
      </c>
      <c r="V636" s="2">
        <v>0</v>
      </c>
      <c r="W636" s="2">
        <v>25</v>
      </c>
      <c r="X636" s="2">
        <v>0</v>
      </c>
      <c r="Y636" s="2">
        <v>0</v>
      </c>
      <c r="Z636" s="2">
        <v>1</v>
      </c>
      <c r="AA636" s="2">
        <v>1</v>
      </c>
      <c r="AB636" s="2">
        <v>1</v>
      </c>
      <c r="AC636" s="2">
        <v>1</v>
      </c>
      <c r="AD636" s="2">
        <v>1</v>
      </c>
      <c r="AE636" s="2">
        <v>0</v>
      </c>
      <c r="AF636" s="2">
        <v>0</v>
      </c>
      <c r="AG636" s="20">
        <f t="shared" si="9"/>
        <v>-500</v>
      </c>
    </row>
    <row r="637" spans="1:33" x14ac:dyDescent="0.25">
      <c r="A637">
        <v>636</v>
      </c>
      <c r="B637" s="2">
        <v>3</v>
      </c>
      <c r="C637" s="2">
        <v>12</v>
      </c>
      <c r="D637" s="2">
        <v>2</v>
      </c>
      <c r="E637" s="2">
        <v>0</v>
      </c>
      <c r="F637" s="2">
        <v>0</v>
      </c>
      <c r="G637" s="2">
        <v>0</v>
      </c>
      <c r="H637" s="2">
        <v>0</v>
      </c>
      <c r="I637" s="2">
        <v>1</v>
      </c>
      <c r="J637" s="2">
        <v>0</v>
      </c>
      <c r="K637" s="2">
        <v>1393</v>
      </c>
      <c r="L637" s="2">
        <v>0</v>
      </c>
      <c r="M637" s="2">
        <v>4</v>
      </c>
      <c r="N637" s="2">
        <v>4</v>
      </c>
      <c r="O637" s="2">
        <v>0</v>
      </c>
      <c r="P637" s="2">
        <v>1</v>
      </c>
      <c r="Q637" s="2">
        <v>0</v>
      </c>
      <c r="R637" s="2">
        <v>0</v>
      </c>
      <c r="S637" s="2">
        <v>0</v>
      </c>
      <c r="T637" s="2">
        <v>4</v>
      </c>
      <c r="U637" s="2">
        <v>0</v>
      </c>
      <c r="V637" s="2">
        <v>0</v>
      </c>
      <c r="W637" s="2">
        <v>47</v>
      </c>
      <c r="X637" s="2">
        <v>1</v>
      </c>
      <c r="Y637" s="2">
        <v>0</v>
      </c>
      <c r="Z637" s="2">
        <v>1</v>
      </c>
      <c r="AA637" s="2">
        <v>3</v>
      </c>
      <c r="AB637" s="2">
        <v>2</v>
      </c>
      <c r="AC637" s="2">
        <v>2</v>
      </c>
      <c r="AD637" s="2">
        <v>1</v>
      </c>
      <c r="AE637" s="2">
        <v>0</v>
      </c>
      <c r="AF637" s="2">
        <v>1</v>
      </c>
      <c r="AG637" s="20">
        <f t="shared" si="9"/>
        <v>100</v>
      </c>
    </row>
    <row r="638" spans="1:33" x14ac:dyDescent="0.25">
      <c r="A638">
        <v>637</v>
      </c>
      <c r="B638" s="2">
        <v>3</v>
      </c>
      <c r="C638" s="2">
        <v>24</v>
      </c>
      <c r="D638" s="2">
        <v>2</v>
      </c>
      <c r="E638" s="2">
        <v>0</v>
      </c>
      <c r="F638" s="2">
        <v>0</v>
      </c>
      <c r="G638" s="2">
        <v>0</v>
      </c>
      <c r="H638" s="2">
        <v>1</v>
      </c>
      <c r="I638" s="2">
        <v>0</v>
      </c>
      <c r="J638" s="2">
        <v>0</v>
      </c>
      <c r="K638" s="2">
        <v>1376</v>
      </c>
      <c r="L638" s="2">
        <v>2</v>
      </c>
      <c r="M638" s="2">
        <v>3</v>
      </c>
      <c r="N638" s="2">
        <v>4</v>
      </c>
      <c r="O638" s="2">
        <v>0</v>
      </c>
      <c r="P638" s="2">
        <v>0</v>
      </c>
      <c r="Q638" s="2">
        <v>0</v>
      </c>
      <c r="R638" s="2">
        <v>0</v>
      </c>
      <c r="S638" s="2">
        <v>0</v>
      </c>
      <c r="T638" s="2">
        <v>1</v>
      </c>
      <c r="U638" s="2">
        <v>0</v>
      </c>
      <c r="V638" s="2">
        <v>0</v>
      </c>
      <c r="W638" s="2">
        <v>28</v>
      </c>
      <c r="X638" s="2">
        <v>0</v>
      </c>
      <c r="Y638" s="2">
        <v>0</v>
      </c>
      <c r="Z638" s="2">
        <v>1</v>
      </c>
      <c r="AA638" s="2">
        <v>1</v>
      </c>
      <c r="AB638" s="2">
        <v>2</v>
      </c>
      <c r="AC638" s="2">
        <v>1</v>
      </c>
      <c r="AD638" s="2">
        <v>0</v>
      </c>
      <c r="AE638" s="2">
        <v>0</v>
      </c>
      <c r="AF638" s="2">
        <v>1</v>
      </c>
      <c r="AG638" s="20">
        <f t="shared" si="9"/>
        <v>100</v>
      </c>
    </row>
    <row r="639" spans="1:33" x14ac:dyDescent="0.25">
      <c r="A639">
        <v>638</v>
      </c>
      <c r="B639" s="2">
        <v>3</v>
      </c>
      <c r="C639" s="2">
        <v>60</v>
      </c>
      <c r="D639" s="2">
        <v>3</v>
      </c>
      <c r="E639" s="2">
        <v>0</v>
      </c>
      <c r="F639" s="2">
        <v>0</v>
      </c>
      <c r="G639" s="2">
        <v>0</v>
      </c>
      <c r="H639" s="2">
        <v>1</v>
      </c>
      <c r="I639" s="2">
        <v>0</v>
      </c>
      <c r="J639" s="2">
        <v>0</v>
      </c>
      <c r="K639" s="2">
        <v>15653</v>
      </c>
      <c r="L639" s="2">
        <v>0</v>
      </c>
      <c r="M639" s="2">
        <v>3</v>
      </c>
      <c r="N639" s="2">
        <v>2</v>
      </c>
      <c r="O639" s="2">
        <v>0</v>
      </c>
      <c r="P639" s="2">
        <v>1</v>
      </c>
      <c r="Q639" s="2">
        <v>0</v>
      </c>
      <c r="R639" s="2">
        <v>0</v>
      </c>
      <c r="S639" s="2">
        <v>0</v>
      </c>
      <c r="T639" s="2">
        <v>4</v>
      </c>
      <c r="U639" s="2">
        <v>0</v>
      </c>
      <c r="V639" s="2">
        <v>0</v>
      </c>
      <c r="W639" s="2">
        <v>21</v>
      </c>
      <c r="X639" s="2">
        <v>0</v>
      </c>
      <c r="Y639" s="2">
        <v>0</v>
      </c>
      <c r="Z639" s="2">
        <v>1</v>
      </c>
      <c r="AA639" s="2">
        <v>2</v>
      </c>
      <c r="AB639" s="2">
        <v>2</v>
      </c>
      <c r="AC639" s="2">
        <v>1</v>
      </c>
      <c r="AD639" s="2">
        <v>1</v>
      </c>
      <c r="AE639" s="2">
        <v>0</v>
      </c>
      <c r="AF639" s="2">
        <v>1</v>
      </c>
      <c r="AG639" s="20">
        <f t="shared" si="9"/>
        <v>100</v>
      </c>
    </row>
    <row r="640" spans="1:33" x14ac:dyDescent="0.25">
      <c r="A640">
        <v>639</v>
      </c>
      <c r="B640" s="2">
        <v>3</v>
      </c>
      <c r="C640" s="2">
        <v>12</v>
      </c>
      <c r="D640" s="2">
        <v>2</v>
      </c>
      <c r="E640" s="2">
        <v>0</v>
      </c>
      <c r="F640" s="2">
        <v>0</v>
      </c>
      <c r="G640" s="2">
        <v>0</v>
      </c>
      <c r="H640" s="2">
        <v>1</v>
      </c>
      <c r="I640" s="2">
        <v>0</v>
      </c>
      <c r="J640" s="2">
        <v>0</v>
      </c>
      <c r="K640" s="2">
        <v>1493</v>
      </c>
      <c r="L640" s="2">
        <v>0</v>
      </c>
      <c r="M640" s="2">
        <v>1</v>
      </c>
      <c r="N640" s="2">
        <v>4</v>
      </c>
      <c r="O640" s="2">
        <v>0</v>
      </c>
      <c r="P640" s="2">
        <v>0</v>
      </c>
      <c r="Q640" s="2">
        <v>0</v>
      </c>
      <c r="R640" s="2">
        <v>0</v>
      </c>
      <c r="S640" s="2">
        <v>0</v>
      </c>
      <c r="T640" s="2">
        <v>3</v>
      </c>
      <c r="U640" s="2">
        <v>0</v>
      </c>
      <c r="V640" s="2">
        <v>0</v>
      </c>
      <c r="W640" s="2">
        <v>34</v>
      </c>
      <c r="X640" s="2">
        <v>0</v>
      </c>
      <c r="Y640" s="2">
        <v>0</v>
      </c>
      <c r="Z640" s="2">
        <v>1</v>
      </c>
      <c r="AA640" s="2">
        <v>1</v>
      </c>
      <c r="AB640" s="2">
        <v>2</v>
      </c>
      <c r="AC640" s="2">
        <v>2</v>
      </c>
      <c r="AD640" s="2">
        <v>0</v>
      </c>
      <c r="AE640" s="2">
        <v>0</v>
      </c>
      <c r="AF640" s="2">
        <v>1</v>
      </c>
      <c r="AG640" s="20">
        <f t="shared" si="9"/>
        <v>100</v>
      </c>
    </row>
    <row r="641" spans="1:33" x14ac:dyDescent="0.25">
      <c r="A641">
        <v>640</v>
      </c>
      <c r="B641" s="2">
        <v>0</v>
      </c>
      <c r="C641" s="2">
        <v>42</v>
      </c>
      <c r="D641" s="2">
        <v>3</v>
      </c>
      <c r="E641" s="2">
        <v>0</v>
      </c>
      <c r="F641" s="2">
        <v>0</v>
      </c>
      <c r="G641" s="2">
        <v>0</v>
      </c>
      <c r="H641" s="2">
        <v>1</v>
      </c>
      <c r="I641" s="2">
        <v>0</v>
      </c>
      <c r="J641" s="2">
        <v>0</v>
      </c>
      <c r="K641" s="2">
        <v>4370</v>
      </c>
      <c r="L641" s="2">
        <v>0</v>
      </c>
      <c r="M641" s="2">
        <v>3</v>
      </c>
      <c r="N641" s="2">
        <v>3</v>
      </c>
      <c r="O641" s="2">
        <v>0</v>
      </c>
      <c r="P641" s="2">
        <v>1</v>
      </c>
      <c r="Q641" s="2">
        <v>0</v>
      </c>
      <c r="R641" s="2">
        <v>0</v>
      </c>
      <c r="S641" s="2">
        <v>0</v>
      </c>
      <c r="T641" s="2">
        <v>2</v>
      </c>
      <c r="U641" s="2">
        <v>0</v>
      </c>
      <c r="V641" s="2">
        <v>0</v>
      </c>
      <c r="W641" s="2">
        <v>26</v>
      </c>
      <c r="X641" s="2">
        <v>1</v>
      </c>
      <c r="Y641" s="2">
        <v>0</v>
      </c>
      <c r="Z641" s="2">
        <v>1</v>
      </c>
      <c r="AA641" s="2">
        <v>2</v>
      </c>
      <c r="AB641" s="2">
        <v>2</v>
      </c>
      <c r="AC641" s="2">
        <v>2</v>
      </c>
      <c r="AD641" s="2">
        <v>1</v>
      </c>
      <c r="AE641" s="2">
        <v>0</v>
      </c>
      <c r="AF641" s="2">
        <v>0</v>
      </c>
      <c r="AG641" s="20">
        <f t="shared" si="9"/>
        <v>-500</v>
      </c>
    </row>
    <row r="642" spans="1:33" x14ac:dyDescent="0.25">
      <c r="A642">
        <v>641</v>
      </c>
      <c r="B642" s="2">
        <v>0</v>
      </c>
      <c r="C642" s="2">
        <v>18</v>
      </c>
      <c r="D642" s="2">
        <v>2</v>
      </c>
      <c r="E642" s="2">
        <v>0</v>
      </c>
      <c r="F642" s="2">
        <v>0</v>
      </c>
      <c r="G642" s="2">
        <v>0</v>
      </c>
      <c r="H642" s="2">
        <v>0</v>
      </c>
      <c r="I642" s="2">
        <v>1</v>
      </c>
      <c r="J642" s="2">
        <v>0</v>
      </c>
      <c r="K642" s="2">
        <v>750</v>
      </c>
      <c r="L642" s="2">
        <v>0</v>
      </c>
      <c r="M642" s="2">
        <v>0</v>
      </c>
      <c r="N642" s="2">
        <v>4</v>
      </c>
      <c r="O642" s="2">
        <v>0</v>
      </c>
      <c r="P642" s="2">
        <v>0</v>
      </c>
      <c r="Q642" s="2">
        <v>0</v>
      </c>
      <c r="R642" s="2">
        <v>0</v>
      </c>
      <c r="S642" s="2">
        <v>0</v>
      </c>
      <c r="T642" s="2">
        <v>1</v>
      </c>
      <c r="U642" s="2">
        <v>1</v>
      </c>
      <c r="V642" s="2">
        <v>0</v>
      </c>
      <c r="W642" s="2">
        <v>27</v>
      </c>
      <c r="X642" s="2">
        <v>0</v>
      </c>
      <c r="Y642" s="2">
        <v>0</v>
      </c>
      <c r="Z642" s="2">
        <v>1</v>
      </c>
      <c r="AA642" s="2">
        <v>1</v>
      </c>
      <c r="AB642" s="2">
        <v>0</v>
      </c>
      <c r="AC642" s="2">
        <v>1</v>
      </c>
      <c r="AD642" s="2">
        <v>0</v>
      </c>
      <c r="AE642" s="2">
        <v>0</v>
      </c>
      <c r="AF642" s="2">
        <v>0</v>
      </c>
      <c r="AG642" s="20">
        <f t="shared" si="9"/>
        <v>-500</v>
      </c>
    </row>
    <row r="643" spans="1:33" x14ac:dyDescent="0.25">
      <c r="A643">
        <v>642</v>
      </c>
      <c r="B643" s="2">
        <v>1</v>
      </c>
      <c r="C643" s="2">
        <v>15</v>
      </c>
      <c r="D643" s="2">
        <v>2</v>
      </c>
      <c r="E643" s="2">
        <v>0</v>
      </c>
      <c r="F643" s="2">
        <v>0</v>
      </c>
      <c r="G643" s="2">
        <v>0</v>
      </c>
      <c r="H643" s="2">
        <v>0</v>
      </c>
      <c r="I643" s="2">
        <v>0</v>
      </c>
      <c r="J643" s="2">
        <v>0</v>
      </c>
      <c r="K643" s="2">
        <v>1308</v>
      </c>
      <c r="L643" s="2">
        <v>0</v>
      </c>
      <c r="M643" s="2">
        <v>4</v>
      </c>
      <c r="N643" s="2">
        <v>4</v>
      </c>
      <c r="O643" s="2">
        <v>0</v>
      </c>
      <c r="P643" s="2">
        <v>1</v>
      </c>
      <c r="Q643" s="2">
        <v>0</v>
      </c>
      <c r="R643" s="2">
        <v>0</v>
      </c>
      <c r="S643" s="2">
        <v>0</v>
      </c>
      <c r="T643" s="2">
        <v>4</v>
      </c>
      <c r="U643" s="2">
        <v>0</v>
      </c>
      <c r="V643" s="2">
        <v>0</v>
      </c>
      <c r="W643" s="2">
        <v>38</v>
      </c>
      <c r="X643" s="2">
        <v>0</v>
      </c>
      <c r="Y643" s="2">
        <v>0</v>
      </c>
      <c r="Z643" s="2">
        <v>1</v>
      </c>
      <c r="AA643" s="2">
        <v>2</v>
      </c>
      <c r="AB643" s="2">
        <v>1</v>
      </c>
      <c r="AC643" s="2">
        <v>1</v>
      </c>
      <c r="AD643" s="2">
        <v>0</v>
      </c>
      <c r="AE643" s="2">
        <v>0</v>
      </c>
      <c r="AF643" s="2">
        <v>1</v>
      </c>
      <c r="AG643" s="20">
        <f t="shared" si="9"/>
        <v>100</v>
      </c>
    </row>
    <row r="644" spans="1:33" x14ac:dyDescent="0.25">
      <c r="A644">
        <v>643</v>
      </c>
      <c r="B644" s="2">
        <v>3</v>
      </c>
      <c r="C644" s="2">
        <v>15</v>
      </c>
      <c r="D644" s="2">
        <v>2</v>
      </c>
      <c r="E644" s="2">
        <v>0</v>
      </c>
      <c r="F644" s="2">
        <v>0</v>
      </c>
      <c r="G644" s="2">
        <v>0</v>
      </c>
      <c r="H644" s="2">
        <v>0</v>
      </c>
      <c r="I644" s="2">
        <v>1</v>
      </c>
      <c r="J644" s="2">
        <v>0</v>
      </c>
      <c r="K644" s="2">
        <v>4623</v>
      </c>
      <c r="L644" s="2">
        <v>1</v>
      </c>
      <c r="M644" s="2">
        <v>2</v>
      </c>
      <c r="N644" s="2">
        <v>3</v>
      </c>
      <c r="O644" s="2">
        <v>0</v>
      </c>
      <c r="P644" s="2">
        <v>1</v>
      </c>
      <c r="Q644" s="2">
        <v>0</v>
      </c>
      <c r="R644" s="2">
        <v>0</v>
      </c>
      <c r="S644" s="2">
        <v>0</v>
      </c>
      <c r="T644" s="2">
        <v>2</v>
      </c>
      <c r="U644" s="2">
        <v>0</v>
      </c>
      <c r="V644" s="2">
        <v>0</v>
      </c>
      <c r="W644" s="2">
        <v>40</v>
      </c>
      <c r="X644" s="2">
        <v>0</v>
      </c>
      <c r="Y644" s="2">
        <v>0</v>
      </c>
      <c r="Z644" s="2">
        <v>1</v>
      </c>
      <c r="AA644" s="2">
        <v>1</v>
      </c>
      <c r="AB644" s="2">
        <v>3</v>
      </c>
      <c r="AC644" s="2">
        <v>1</v>
      </c>
      <c r="AD644" s="2">
        <v>1</v>
      </c>
      <c r="AE644" s="2">
        <v>0</v>
      </c>
      <c r="AF644" s="2">
        <v>0</v>
      </c>
      <c r="AG644" s="20">
        <f t="shared" ref="AG644:AG707" si="10">IF(AF644=1,100,-500)</f>
        <v>-500</v>
      </c>
    </row>
    <row r="645" spans="1:33" x14ac:dyDescent="0.25">
      <c r="A645">
        <v>644</v>
      </c>
      <c r="B645" s="2">
        <v>3</v>
      </c>
      <c r="C645" s="2">
        <v>24</v>
      </c>
      <c r="D645" s="2">
        <v>4</v>
      </c>
      <c r="E645" s="2">
        <v>0</v>
      </c>
      <c r="F645" s="2">
        <v>0</v>
      </c>
      <c r="G645" s="2">
        <v>0</v>
      </c>
      <c r="H645" s="2">
        <v>1</v>
      </c>
      <c r="I645" s="2">
        <v>0</v>
      </c>
      <c r="J645" s="2">
        <v>0</v>
      </c>
      <c r="K645" s="2">
        <v>1851</v>
      </c>
      <c r="L645" s="2">
        <v>0</v>
      </c>
      <c r="M645" s="2">
        <v>3</v>
      </c>
      <c r="N645" s="2">
        <v>4</v>
      </c>
      <c r="O645" s="2">
        <v>0</v>
      </c>
      <c r="P645" s="2">
        <v>0</v>
      </c>
      <c r="Q645" s="2">
        <v>1</v>
      </c>
      <c r="R645" s="2">
        <v>0</v>
      </c>
      <c r="S645" s="2">
        <v>1</v>
      </c>
      <c r="T645" s="2">
        <v>2</v>
      </c>
      <c r="U645" s="2">
        <v>0</v>
      </c>
      <c r="V645" s="2">
        <v>0</v>
      </c>
      <c r="W645" s="2">
        <v>33</v>
      </c>
      <c r="X645" s="2">
        <v>0</v>
      </c>
      <c r="Y645" s="2">
        <v>0</v>
      </c>
      <c r="Z645" s="2">
        <v>1</v>
      </c>
      <c r="AA645" s="2">
        <v>2</v>
      </c>
      <c r="AB645" s="2">
        <v>2</v>
      </c>
      <c r="AC645" s="2">
        <v>1</v>
      </c>
      <c r="AD645" s="2">
        <v>1</v>
      </c>
      <c r="AE645" s="2">
        <v>0</v>
      </c>
      <c r="AF645" s="2">
        <v>1</v>
      </c>
      <c r="AG645" s="20">
        <f t="shared" si="10"/>
        <v>100</v>
      </c>
    </row>
    <row r="646" spans="1:33" x14ac:dyDescent="0.25">
      <c r="A646">
        <v>645</v>
      </c>
      <c r="B646" s="2">
        <v>0</v>
      </c>
      <c r="C646" s="2">
        <v>18</v>
      </c>
      <c r="D646" s="2">
        <v>4</v>
      </c>
      <c r="E646" s="2">
        <v>0</v>
      </c>
      <c r="F646" s="2">
        <v>0</v>
      </c>
      <c r="G646" s="2">
        <v>0</v>
      </c>
      <c r="H646" s="2">
        <v>1</v>
      </c>
      <c r="I646" s="2">
        <v>0</v>
      </c>
      <c r="J646" s="2">
        <v>0</v>
      </c>
      <c r="K646" s="2">
        <v>1880</v>
      </c>
      <c r="L646" s="2">
        <v>0</v>
      </c>
      <c r="M646" s="2">
        <v>3</v>
      </c>
      <c r="N646" s="2">
        <v>4</v>
      </c>
      <c r="O646" s="2">
        <v>0</v>
      </c>
      <c r="P646" s="2">
        <v>0</v>
      </c>
      <c r="Q646" s="2">
        <v>1</v>
      </c>
      <c r="R646" s="2">
        <v>0</v>
      </c>
      <c r="S646" s="2">
        <v>0</v>
      </c>
      <c r="T646" s="2">
        <v>1</v>
      </c>
      <c r="U646" s="2">
        <v>0</v>
      </c>
      <c r="V646" s="2">
        <v>0</v>
      </c>
      <c r="W646" s="2">
        <v>32</v>
      </c>
      <c r="X646" s="2">
        <v>0</v>
      </c>
      <c r="Y646" s="2">
        <v>0</v>
      </c>
      <c r="Z646" s="2">
        <v>1</v>
      </c>
      <c r="AA646" s="2">
        <v>2</v>
      </c>
      <c r="AB646" s="2">
        <v>3</v>
      </c>
      <c r="AC646" s="2">
        <v>1</v>
      </c>
      <c r="AD646" s="2">
        <v>1</v>
      </c>
      <c r="AE646" s="2">
        <v>0</v>
      </c>
      <c r="AF646" s="2">
        <v>1</v>
      </c>
      <c r="AG646" s="20">
        <f t="shared" si="10"/>
        <v>100</v>
      </c>
    </row>
    <row r="647" spans="1:33" x14ac:dyDescent="0.25">
      <c r="A647">
        <v>646</v>
      </c>
      <c r="B647" s="2">
        <v>3</v>
      </c>
      <c r="C647" s="2">
        <v>36</v>
      </c>
      <c r="D647" s="2">
        <v>3</v>
      </c>
      <c r="E647" s="2">
        <v>0</v>
      </c>
      <c r="F647" s="2">
        <v>0</v>
      </c>
      <c r="G647" s="2">
        <v>0</v>
      </c>
      <c r="H647" s="2">
        <v>0</v>
      </c>
      <c r="I647" s="2">
        <v>0</v>
      </c>
      <c r="J647" s="2">
        <v>1</v>
      </c>
      <c r="K647" s="2">
        <v>7980</v>
      </c>
      <c r="L647" s="2">
        <v>4</v>
      </c>
      <c r="M647" s="2">
        <v>1</v>
      </c>
      <c r="N647" s="2">
        <v>4</v>
      </c>
      <c r="O647" s="2">
        <v>0</v>
      </c>
      <c r="P647" s="2">
        <v>1</v>
      </c>
      <c r="Q647" s="2">
        <v>0</v>
      </c>
      <c r="R647" s="2">
        <v>0</v>
      </c>
      <c r="S647" s="2">
        <v>0</v>
      </c>
      <c r="T647" s="2">
        <v>4</v>
      </c>
      <c r="U647" s="2">
        <v>0</v>
      </c>
      <c r="V647" s="2">
        <v>0</v>
      </c>
      <c r="W647" s="2">
        <v>27</v>
      </c>
      <c r="X647" s="2">
        <v>0</v>
      </c>
      <c r="Y647" s="2">
        <v>1</v>
      </c>
      <c r="Z647" s="2">
        <v>0</v>
      </c>
      <c r="AA647" s="2">
        <v>2</v>
      </c>
      <c r="AB647" s="2">
        <v>2</v>
      </c>
      <c r="AC647" s="2">
        <v>1</v>
      </c>
      <c r="AD647" s="2">
        <v>1</v>
      </c>
      <c r="AE647" s="2">
        <v>0</v>
      </c>
      <c r="AF647" s="2">
        <v>0</v>
      </c>
      <c r="AG647" s="20">
        <f t="shared" si="10"/>
        <v>-500</v>
      </c>
    </row>
    <row r="648" spans="1:33" x14ac:dyDescent="0.25">
      <c r="A648">
        <v>647</v>
      </c>
      <c r="B648" s="2">
        <v>0</v>
      </c>
      <c r="C648" s="2">
        <v>30</v>
      </c>
      <c r="D648" s="2">
        <v>0</v>
      </c>
      <c r="E648" s="2">
        <v>0</v>
      </c>
      <c r="F648" s="2">
        <v>0</v>
      </c>
      <c r="G648" s="2">
        <v>1</v>
      </c>
      <c r="H648" s="2">
        <v>0</v>
      </c>
      <c r="I648" s="2">
        <v>0</v>
      </c>
      <c r="J648" s="2">
        <v>0</v>
      </c>
      <c r="K648" s="2">
        <v>4583</v>
      </c>
      <c r="L648" s="2">
        <v>0</v>
      </c>
      <c r="M648" s="2">
        <v>2</v>
      </c>
      <c r="N648" s="2">
        <v>2</v>
      </c>
      <c r="O648" s="2">
        <v>1</v>
      </c>
      <c r="P648" s="2">
        <v>0</v>
      </c>
      <c r="Q648" s="2">
        <v>0</v>
      </c>
      <c r="R648" s="2">
        <v>0</v>
      </c>
      <c r="S648" s="2">
        <v>1</v>
      </c>
      <c r="T648" s="2">
        <v>2</v>
      </c>
      <c r="U648" s="2">
        <v>1</v>
      </c>
      <c r="V648" s="2">
        <v>0</v>
      </c>
      <c r="W648" s="2">
        <v>32</v>
      </c>
      <c r="X648" s="2">
        <v>0</v>
      </c>
      <c r="Y648" s="2">
        <v>0</v>
      </c>
      <c r="Z648" s="2">
        <v>1</v>
      </c>
      <c r="AA648" s="2">
        <v>2</v>
      </c>
      <c r="AB648" s="2">
        <v>2</v>
      </c>
      <c r="AC648" s="2">
        <v>1</v>
      </c>
      <c r="AD648" s="2">
        <v>0</v>
      </c>
      <c r="AE648" s="2">
        <v>0</v>
      </c>
      <c r="AF648" s="2">
        <v>1</v>
      </c>
      <c r="AG648" s="20">
        <f t="shared" si="10"/>
        <v>100</v>
      </c>
    </row>
    <row r="649" spans="1:33" x14ac:dyDescent="0.25">
      <c r="A649">
        <v>648</v>
      </c>
      <c r="B649" s="2">
        <v>3</v>
      </c>
      <c r="C649" s="2">
        <v>12</v>
      </c>
      <c r="D649" s="2">
        <v>2</v>
      </c>
      <c r="E649" s="2">
        <v>1</v>
      </c>
      <c r="F649" s="2">
        <v>0</v>
      </c>
      <c r="G649" s="2">
        <v>0</v>
      </c>
      <c r="H649" s="2">
        <v>0</v>
      </c>
      <c r="I649" s="2">
        <v>0</v>
      </c>
      <c r="J649" s="2">
        <v>0</v>
      </c>
      <c r="K649" s="2">
        <v>1386</v>
      </c>
      <c r="L649" s="2">
        <v>2</v>
      </c>
      <c r="M649" s="2">
        <v>2</v>
      </c>
      <c r="N649" s="2">
        <v>2</v>
      </c>
      <c r="O649" s="2">
        <v>0</v>
      </c>
      <c r="P649" s="2">
        <v>0</v>
      </c>
      <c r="Q649" s="2">
        <v>0</v>
      </c>
      <c r="R649" s="2">
        <v>0</v>
      </c>
      <c r="S649" s="2">
        <v>0</v>
      </c>
      <c r="T649" s="2">
        <v>2</v>
      </c>
      <c r="U649" s="2">
        <v>0</v>
      </c>
      <c r="V649" s="2">
        <v>0</v>
      </c>
      <c r="W649" s="2">
        <v>26</v>
      </c>
      <c r="X649" s="2">
        <v>0</v>
      </c>
      <c r="Y649" s="2">
        <v>0</v>
      </c>
      <c r="Z649" s="2">
        <v>1</v>
      </c>
      <c r="AA649" s="2">
        <v>1</v>
      </c>
      <c r="AB649" s="2">
        <v>2</v>
      </c>
      <c r="AC649" s="2">
        <v>1</v>
      </c>
      <c r="AD649" s="2">
        <v>0</v>
      </c>
      <c r="AE649" s="2">
        <v>0</v>
      </c>
      <c r="AF649" s="2">
        <v>0</v>
      </c>
      <c r="AG649" s="20">
        <f t="shared" si="10"/>
        <v>-500</v>
      </c>
    </row>
    <row r="650" spans="1:33" x14ac:dyDescent="0.25">
      <c r="A650">
        <v>649</v>
      </c>
      <c r="B650" s="2">
        <v>2</v>
      </c>
      <c r="C650" s="2">
        <v>24</v>
      </c>
      <c r="D650" s="2">
        <v>2</v>
      </c>
      <c r="E650" s="2">
        <v>1</v>
      </c>
      <c r="F650" s="2">
        <v>0</v>
      </c>
      <c r="G650" s="2">
        <v>0</v>
      </c>
      <c r="H650" s="2">
        <v>0</v>
      </c>
      <c r="I650" s="2">
        <v>0</v>
      </c>
      <c r="J650" s="2">
        <v>0</v>
      </c>
      <c r="K650" s="2">
        <v>947</v>
      </c>
      <c r="L650" s="2">
        <v>0</v>
      </c>
      <c r="M650" s="2">
        <v>3</v>
      </c>
      <c r="N650" s="2">
        <v>4</v>
      </c>
      <c r="O650" s="2">
        <v>0</v>
      </c>
      <c r="P650" s="2">
        <v>1</v>
      </c>
      <c r="Q650" s="2">
        <v>0</v>
      </c>
      <c r="R650" s="2">
        <v>0</v>
      </c>
      <c r="S650" s="2">
        <v>0</v>
      </c>
      <c r="T650" s="2">
        <v>3</v>
      </c>
      <c r="U650" s="2">
        <v>0</v>
      </c>
      <c r="V650" s="2">
        <v>1</v>
      </c>
      <c r="W650" s="2">
        <v>38</v>
      </c>
      <c r="X650" s="2">
        <v>1</v>
      </c>
      <c r="Y650" s="2">
        <v>0</v>
      </c>
      <c r="Z650" s="2">
        <v>0</v>
      </c>
      <c r="AA650" s="2">
        <v>1</v>
      </c>
      <c r="AB650" s="2">
        <v>2</v>
      </c>
      <c r="AC650" s="2">
        <v>2</v>
      </c>
      <c r="AD650" s="2">
        <v>0</v>
      </c>
      <c r="AE650" s="2">
        <v>0</v>
      </c>
      <c r="AF650" s="2">
        <v>0</v>
      </c>
      <c r="AG650" s="20">
        <f t="shared" si="10"/>
        <v>-500</v>
      </c>
    </row>
    <row r="651" spans="1:33" x14ac:dyDescent="0.25">
      <c r="A651">
        <v>650</v>
      </c>
      <c r="B651" s="2">
        <v>0</v>
      </c>
      <c r="C651" s="2">
        <v>12</v>
      </c>
      <c r="D651" s="2">
        <v>2</v>
      </c>
      <c r="E651" s="2">
        <v>0</v>
      </c>
      <c r="F651" s="2">
        <v>0</v>
      </c>
      <c r="G651" s="2">
        <v>0</v>
      </c>
      <c r="H651" s="2">
        <v>0</v>
      </c>
      <c r="I651" s="2">
        <v>1</v>
      </c>
      <c r="J651" s="2">
        <v>0</v>
      </c>
      <c r="K651" s="2">
        <v>684</v>
      </c>
      <c r="L651" s="2">
        <v>0</v>
      </c>
      <c r="M651" s="2">
        <v>2</v>
      </c>
      <c r="N651" s="2">
        <v>4</v>
      </c>
      <c r="O651" s="2">
        <v>0</v>
      </c>
      <c r="P651" s="2">
        <v>1</v>
      </c>
      <c r="Q651" s="2">
        <v>0</v>
      </c>
      <c r="R651" s="2">
        <v>0</v>
      </c>
      <c r="S651" s="2">
        <v>0</v>
      </c>
      <c r="T651" s="2">
        <v>4</v>
      </c>
      <c r="U651" s="2">
        <v>0</v>
      </c>
      <c r="V651" s="2">
        <v>0</v>
      </c>
      <c r="W651" s="2">
        <v>40</v>
      </c>
      <c r="X651" s="2">
        <v>0</v>
      </c>
      <c r="Y651" s="2">
        <v>1</v>
      </c>
      <c r="Z651" s="2">
        <v>0</v>
      </c>
      <c r="AA651" s="2">
        <v>1</v>
      </c>
      <c r="AB651" s="2">
        <v>1</v>
      </c>
      <c r="AC651" s="2">
        <v>2</v>
      </c>
      <c r="AD651" s="2">
        <v>0</v>
      </c>
      <c r="AE651" s="2">
        <v>0</v>
      </c>
      <c r="AF651" s="2">
        <v>0</v>
      </c>
      <c r="AG651" s="20">
        <f t="shared" si="10"/>
        <v>-500</v>
      </c>
    </row>
    <row r="652" spans="1:33" x14ac:dyDescent="0.25">
      <c r="A652">
        <v>651</v>
      </c>
      <c r="B652" s="2">
        <v>0</v>
      </c>
      <c r="C652" s="2">
        <v>48</v>
      </c>
      <c r="D652" s="2">
        <v>2</v>
      </c>
      <c r="E652" s="2">
        <v>0</v>
      </c>
      <c r="F652" s="2">
        <v>0</v>
      </c>
      <c r="G652" s="2">
        <v>0</v>
      </c>
      <c r="H652" s="2">
        <v>0</v>
      </c>
      <c r="I652" s="2">
        <v>1</v>
      </c>
      <c r="J652" s="2">
        <v>0</v>
      </c>
      <c r="K652" s="2">
        <v>7476</v>
      </c>
      <c r="L652" s="2">
        <v>0</v>
      </c>
      <c r="M652" s="2">
        <v>3</v>
      </c>
      <c r="N652" s="2">
        <v>4</v>
      </c>
      <c r="O652" s="2">
        <v>0</v>
      </c>
      <c r="P652" s="2">
        <v>1</v>
      </c>
      <c r="Q652" s="2">
        <v>0</v>
      </c>
      <c r="R652" s="2">
        <v>0</v>
      </c>
      <c r="S652" s="2">
        <v>0</v>
      </c>
      <c r="T652" s="2">
        <v>1</v>
      </c>
      <c r="U652" s="2">
        <v>0</v>
      </c>
      <c r="V652" s="2">
        <v>1</v>
      </c>
      <c r="W652" s="2">
        <v>50</v>
      </c>
      <c r="X652" s="2">
        <v>0</v>
      </c>
      <c r="Y652" s="2">
        <v>0</v>
      </c>
      <c r="Z652" s="2">
        <v>0</v>
      </c>
      <c r="AA652" s="2">
        <v>1</v>
      </c>
      <c r="AB652" s="2">
        <v>3</v>
      </c>
      <c r="AC652" s="2">
        <v>1</v>
      </c>
      <c r="AD652" s="2">
        <v>1</v>
      </c>
      <c r="AE652" s="2">
        <v>0</v>
      </c>
      <c r="AF652" s="2">
        <v>1</v>
      </c>
      <c r="AG652" s="20">
        <f t="shared" si="10"/>
        <v>100</v>
      </c>
    </row>
    <row r="653" spans="1:33" x14ac:dyDescent="0.25">
      <c r="A653">
        <v>652</v>
      </c>
      <c r="B653" s="2">
        <v>1</v>
      </c>
      <c r="C653" s="2">
        <v>12</v>
      </c>
      <c r="D653" s="2">
        <v>2</v>
      </c>
      <c r="E653" s="2">
        <v>0</v>
      </c>
      <c r="F653" s="2">
        <v>0</v>
      </c>
      <c r="G653" s="2">
        <v>1</v>
      </c>
      <c r="H653" s="2">
        <v>0</v>
      </c>
      <c r="I653" s="2">
        <v>0</v>
      </c>
      <c r="J653" s="2">
        <v>0</v>
      </c>
      <c r="K653" s="2">
        <v>1922</v>
      </c>
      <c r="L653" s="2">
        <v>0</v>
      </c>
      <c r="M653" s="2">
        <v>2</v>
      </c>
      <c r="N653" s="2">
        <v>4</v>
      </c>
      <c r="O653" s="2">
        <v>0</v>
      </c>
      <c r="P653" s="2">
        <v>1</v>
      </c>
      <c r="Q653" s="2">
        <v>0</v>
      </c>
      <c r="R653" s="2">
        <v>0</v>
      </c>
      <c r="S653" s="2">
        <v>0</v>
      </c>
      <c r="T653" s="2">
        <v>2</v>
      </c>
      <c r="U653" s="2">
        <v>0</v>
      </c>
      <c r="V653" s="2">
        <v>0</v>
      </c>
      <c r="W653" s="2">
        <v>37</v>
      </c>
      <c r="X653" s="2">
        <v>0</v>
      </c>
      <c r="Y653" s="2">
        <v>0</v>
      </c>
      <c r="Z653" s="2">
        <v>1</v>
      </c>
      <c r="AA653" s="2">
        <v>1</v>
      </c>
      <c r="AB653" s="2">
        <v>1</v>
      </c>
      <c r="AC653" s="2">
        <v>1</v>
      </c>
      <c r="AD653" s="2">
        <v>0</v>
      </c>
      <c r="AE653" s="2">
        <v>0</v>
      </c>
      <c r="AF653" s="2">
        <v>0</v>
      </c>
      <c r="AG653" s="20">
        <f t="shared" si="10"/>
        <v>-500</v>
      </c>
    </row>
    <row r="654" spans="1:33" x14ac:dyDescent="0.25">
      <c r="A654">
        <v>653</v>
      </c>
      <c r="B654" s="2">
        <v>0</v>
      </c>
      <c r="C654" s="2">
        <v>24</v>
      </c>
      <c r="D654" s="2">
        <v>2</v>
      </c>
      <c r="E654" s="2">
        <v>1</v>
      </c>
      <c r="F654" s="2">
        <v>0</v>
      </c>
      <c r="G654" s="2">
        <v>0</v>
      </c>
      <c r="H654" s="2">
        <v>0</v>
      </c>
      <c r="I654" s="2">
        <v>0</v>
      </c>
      <c r="J654" s="2">
        <v>0</v>
      </c>
      <c r="K654" s="2">
        <v>2303</v>
      </c>
      <c r="L654" s="2">
        <v>0</v>
      </c>
      <c r="M654" s="2">
        <v>4</v>
      </c>
      <c r="N654" s="2">
        <v>4</v>
      </c>
      <c r="O654" s="2">
        <v>0</v>
      </c>
      <c r="P654" s="2">
        <v>1</v>
      </c>
      <c r="Q654" s="2">
        <v>0</v>
      </c>
      <c r="R654" s="2">
        <v>1</v>
      </c>
      <c r="S654" s="2">
        <v>0</v>
      </c>
      <c r="T654" s="2">
        <v>1</v>
      </c>
      <c r="U654" s="2">
        <v>1</v>
      </c>
      <c r="V654" s="2">
        <v>0</v>
      </c>
      <c r="W654" s="2">
        <v>45</v>
      </c>
      <c r="X654" s="2">
        <v>0</v>
      </c>
      <c r="Y654" s="2">
        <v>0</v>
      </c>
      <c r="Z654" s="2">
        <v>1</v>
      </c>
      <c r="AA654" s="2">
        <v>1</v>
      </c>
      <c r="AB654" s="2">
        <v>2</v>
      </c>
      <c r="AC654" s="2">
        <v>1</v>
      </c>
      <c r="AD654" s="2">
        <v>0</v>
      </c>
      <c r="AE654" s="2">
        <v>0</v>
      </c>
      <c r="AF654" s="2">
        <v>0</v>
      </c>
      <c r="AG654" s="20">
        <f t="shared" si="10"/>
        <v>-500</v>
      </c>
    </row>
    <row r="655" spans="1:33" x14ac:dyDescent="0.25">
      <c r="A655">
        <v>654</v>
      </c>
      <c r="B655" s="2">
        <v>1</v>
      </c>
      <c r="C655" s="2">
        <v>36</v>
      </c>
      <c r="D655" s="2">
        <v>3</v>
      </c>
      <c r="E655" s="2">
        <v>1</v>
      </c>
      <c r="F655" s="2">
        <v>0</v>
      </c>
      <c r="G655" s="2">
        <v>0</v>
      </c>
      <c r="H655" s="2">
        <v>0</v>
      </c>
      <c r="I655" s="2">
        <v>0</v>
      </c>
      <c r="J655" s="2">
        <v>0</v>
      </c>
      <c r="K655" s="2">
        <v>8086</v>
      </c>
      <c r="L655" s="2">
        <v>1</v>
      </c>
      <c r="M655" s="2">
        <v>4</v>
      </c>
      <c r="N655" s="2">
        <v>2</v>
      </c>
      <c r="O655" s="2">
        <v>0</v>
      </c>
      <c r="P655" s="2">
        <v>1</v>
      </c>
      <c r="Q655" s="2">
        <v>0</v>
      </c>
      <c r="R655" s="2">
        <v>0</v>
      </c>
      <c r="S655" s="2">
        <v>0</v>
      </c>
      <c r="T655" s="2">
        <v>4</v>
      </c>
      <c r="U655" s="2">
        <v>0</v>
      </c>
      <c r="V655" s="2">
        <v>0</v>
      </c>
      <c r="W655" s="2">
        <v>42</v>
      </c>
      <c r="X655" s="2">
        <v>0</v>
      </c>
      <c r="Y655" s="2">
        <v>0</v>
      </c>
      <c r="Z655" s="2">
        <v>1</v>
      </c>
      <c r="AA655" s="2">
        <v>4</v>
      </c>
      <c r="AB655" s="2">
        <v>3</v>
      </c>
      <c r="AC655" s="2">
        <v>1</v>
      </c>
      <c r="AD655" s="2">
        <v>1</v>
      </c>
      <c r="AE655" s="2">
        <v>0</v>
      </c>
      <c r="AF655" s="2">
        <v>0</v>
      </c>
      <c r="AG655" s="20">
        <f t="shared" si="10"/>
        <v>-500</v>
      </c>
    </row>
    <row r="656" spans="1:33" x14ac:dyDescent="0.25">
      <c r="A656">
        <v>655</v>
      </c>
      <c r="B656" s="2">
        <v>3</v>
      </c>
      <c r="C656" s="2">
        <v>24</v>
      </c>
      <c r="D656" s="2">
        <v>4</v>
      </c>
      <c r="E656" s="2">
        <v>0</v>
      </c>
      <c r="F656" s="2">
        <v>1</v>
      </c>
      <c r="G656" s="2">
        <v>0</v>
      </c>
      <c r="H656" s="2">
        <v>0</v>
      </c>
      <c r="I656" s="2">
        <v>0</v>
      </c>
      <c r="J656" s="2">
        <v>0</v>
      </c>
      <c r="K656" s="2">
        <v>2346</v>
      </c>
      <c r="L656" s="2">
        <v>0</v>
      </c>
      <c r="M656" s="2">
        <v>3</v>
      </c>
      <c r="N656" s="2">
        <v>4</v>
      </c>
      <c r="O656" s="2">
        <v>0</v>
      </c>
      <c r="P656" s="2">
        <v>1</v>
      </c>
      <c r="Q656" s="2">
        <v>0</v>
      </c>
      <c r="R656" s="2">
        <v>0</v>
      </c>
      <c r="S656" s="2">
        <v>0</v>
      </c>
      <c r="T656" s="2">
        <v>3</v>
      </c>
      <c r="U656" s="2">
        <v>0</v>
      </c>
      <c r="V656" s="2">
        <v>0</v>
      </c>
      <c r="W656" s="2">
        <v>35</v>
      </c>
      <c r="X656" s="2">
        <v>0</v>
      </c>
      <c r="Y656" s="2">
        <v>0</v>
      </c>
      <c r="Z656" s="2">
        <v>1</v>
      </c>
      <c r="AA656" s="2">
        <v>2</v>
      </c>
      <c r="AB656" s="2">
        <v>2</v>
      </c>
      <c r="AC656" s="2">
        <v>1</v>
      </c>
      <c r="AD656" s="2">
        <v>1</v>
      </c>
      <c r="AE656" s="2">
        <v>0</v>
      </c>
      <c r="AF656" s="2">
        <v>1</v>
      </c>
      <c r="AG656" s="20">
        <f t="shared" si="10"/>
        <v>100</v>
      </c>
    </row>
    <row r="657" spans="1:33" x14ac:dyDescent="0.25">
      <c r="A657">
        <v>656</v>
      </c>
      <c r="B657" s="2">
        <v>0</v>
      </c>
      <c r="C657" s="2">
        <v>14</v>
      </c>
      <c r="D657" s="2">
        <v>2</v>
      </c>
      <c r="E657" s="2">
        <v>1</v>
      </c>
      <c r="F657" s="2">
        <v>0</v>
      </c>
      <c r="G657" s="2">
        <v>0</v>
      </c>
      <c r="H657" s="2">
        <v>0</v>
      </c>
      <c r="I657" s="2">
        <v>0</v>
      </c>
      <c r="J657" s="2">
        <v>0</v>
      </c>
      <c r="K657" s="2">
        <v>3973</v>
      </c>
      <c r="L657" s="2">
        <v>0</v>
      </c>
      <c r="M657" s="2">
        <v>0</v>
      </c>
      <c r="N657" s="2">
        <v>1</v>
      </c>
      <c r="O657" s="2">
        <v>0</v>
      </c>
      <c r="P657" s="2">
        <v>1</v>
      </c>
      <c r="Q657" s="2">
        <v>0</v>
      </c>
      <c r="R657" s="2">
        <v>0</v>
      </c>
      <c r="S657" s="2">
        <v>0</v>
      </c>
      <c r="T657" s="2">
        <v>4</v>
      </c>
      <c r="U657" s="2">
        <v>0</v>
      </c>
      <c r="V657" s="2">
        <v>1</v>
      </c>
      <c r="W657" s="2">
        <v>22</v>
      </c>
      <c r="X657" s="2">
        <v>0</v>
      </c>
      <c r="Y657" s="2">
        <v>0</v>
      </c>
      <c r="Z657" s="2">
        <v>0</v>
      </c>
      <c r="AA657" s="2">
        <v>1</v>
      </c>
      <c r="AB657" s="2">
        <v>2</v>
      </c>
      <c r="AC657" s="2">
        <v>1</v>
      </c>
      <c r="AD657" s="2">
        <v>0</v>
      </c>
      <c r="AE657" s="2">
        <v>0</v>
      </c>
      <c r="AF657" s="2">
        <v>1</v>
      </c>
      <c r="AG657" s="20">
        <f t="shared" si="10"/>
        <v>100</v>
      </c>
    </row>
    <row r="658" spans="1:33" x14ac:dyDescent="0.25">
      <c r="A658">
        <v>657</v>
      </c>
      <c r="B658" s="2">
        <v>1</v>
      </c>
      <c r="C658" s="2">
        <v>12</v>
      </c>
      <c r="D658" s="2">
        <v>2</v>
      </c>
      <c r="E658" s="2">
        <v>1</v>
      </c>
      <c r="F658" s="2">
        <v>0</v>
      </c>
      <c r="G658" s="2">
        <v>0</v>
      </c>
      <c r="H658" s="2">
        <v>0</v>
      </c>
      <c r="I658" s="2">
        <v>0</v>
      </c>
      <c r="J658" s="2">
        <v>0</v>
      </c>
      <c r="K658" s="2">
        <v>888</v>
      </c>
      <c r="L658" s="2">
        <v>0</v>
      </c>
      <c r="M658" s="2">
        <v>4</v>
      </c>
      <c r="N658" s="2">
        <v>4</v>
      </c>
      <c r="O658" s="2">
        <v>0</v>
      </c>
      <c r="P658" s="2">
        <v>1</v>
      </c>
      <c r="Q658" s="2">
        <v>0</v>
      </c>
      <c r="R658" s="2">
        <v>0</v>
      </c>
      <c r="S658" s="2">
        <v>0</v>
      </c>
      <c r="T658" s="2">
        <v>4</v>
      </c>
      <c r="U658" s="2">
        <v>0</v>
      </c>
      <c r="V658" s="2">
        <v>0</v>
      </c>
      <c r="W658" s="2">
        <v>41</v>
      </c>
      <c r="X658" s="2">
        <v>1</v>
      </c>
      <c r="Y658" s="2">
        <v>0</v>
      </c>
      <c r="Z658" s="2">
        <v>1</v>
      </c>
      <c r="AA658" s="2">
        <v>1</v>
      </c>
      <c r="AB658" s="2">
        <v>1</v>
      </c>
      <c r="AC658" s="2">
        <v>2</v>
      </c>
      <c r="AD658" s="2">
        <v>0</v>
      </c>
      <c r="AE658" s="2">
        <v>0</v>
      </c>
      <c r="AF658" s="2">
        <v>0</v>
      </c>
      <c r="AG658" s="20">
        <f t="shared" si="10"/>
        <v>-500</v>
      </c>
    </row>
    <row r="659" spans="1:33" x14ac:dyDescent="0.25">
      <c r="A659">
        <v>658</v>
      </c>
      <c r="B659" s="2">
        <v>3</v>
      </c>
      <c r="C659" s="2">
        <v>48</v>
      </c>
      <c r="D659" s="2">
        <v>2</v>
      </c>
      <c r="E659" s="2">
        <v>0</v>
      </c>
      <c r="F659" s="2">
        <v>0</v>
      </c>
      <c r="G659" s="2">
        <v>0</v>
      </c>
      <c r="H659" s="2">
        <v>1</v>
      </c>
      <c r="I659" s="2">
        <v>0</v>
      </c>
      <c r="J659" s="2">
        <v>0</v>
      </c>
      <c r="K659" s="2">
        <v>10222</v>
      </c>
      <c r="L659" s="2">
        <v>4</v>
      </c>
      <c r="M659" s="2">
        <v>3</v>
      </c>
      <c r="N659" s="2">
        <v>4</v>
      </c>
      <c r="O659" s="2">
        <v>0</v>
      </c>
      <c r="P659" s="2">
        <v>1</v>
      </c>
      <c r="Q659" s="2">
        <v>0</v>
      </c>
      <c r="R659" s="2">
        <v>0</v>
      </c>
      <c r="S659" s="2">
        <v>0</v>
      </c>
      <c r="T659" s="2">
        <v>3</v>
      </c>
      <c r="U659" s="2">
        <v>0</v>
      </c>
      <c r="V659" s="2">
        <v>0</v>
      </c>
      <c r="W659" s="2">
        <v>37</v>
      </c>
      <c r="X659" s="2">
        <v>1</v>
      </c>
      <c r="Y659" s="2">
        <v>0</v>
      </c>
      <c r="Z659" s="2">
        <v>1</v>
      </c>
      <c r="AA659" s="2">
        <v>1</v>
      </c>
      <c r="AB659" s="2">
        <v>2</v>
      </c>
      <c r="AC659" s="2">
        <v>1</v>
      </c>
      <c r="AD659" s="2">
        <v>1</v>
      </c>
      <c r="AE659" s="2">
        <v>0</v>
      </c>
      <c r="AF659" s="2">
        <v>1</v>
      </c>
      <c r="AG659" s="20">
        <f t="shared" si="10"/>
        <v>100</v>
      </c>
    </row>
    <row r="660" spans="1:33" x14ac:dyDescent="0.25">
      <c r="A660">
        <v>659</v>
      </c>
      <c r="B660" s="2">
        <v>1</v>
      </c>
      <c r="C660" s="2">
        <v>30</v>
      </c>
      <c r="D660" s="2">
        <v>0</v>
      </c>
      <c r="E660" s="2">
        <v>0</v>
      </c>
      <c r="F660" s="2">
        <v>0</v>
      </c>
      <c r="G660" s="2">
        <v>0</v>
      </c>
      <c r="H660" s="2">
        <v>0</v>
      </c>
      <c r="I660" s="2">
        <v>0</v>
      </c>
      <c r="J660" s="2">
        <v>1</v>
      </c>
      <c r="K660" s="2">
        <v>4221</v>
      </c>
      <c r="L660" s="2">
        <v>0</v>
      </c>
      <c r="M660" s="2">
        <v>2</v>
      </c>
      <c r="N660" s="2">
        <v>2</v>
      </c>
      <c r="O660" s="2">
        <v>0</v>
      </c>
      <c r="P660" s="2">
        <v>0</v>
      </c>
      <c r="Q660" s="2">
        <v>0</v>
      </c>
      <c r="R660" s="2">
        <v>0</v>
      </c>
      <c r="S660" s="2">
        <v>0</v>
      </c>
      <c r="T660" s="2">
        <v>1</v>
      </c>
      <c r="U660" s="2">
        <v>0</v>
      </c>
      <c r="V660" s="2">
        <v>0</v>
      </c>
      <c r="W660" s="2">
        <v>28</v>
      </c>
      <c r="X660" s="2">
        <v>0</v>
      </c>
      <c r="Y660" s="2">
        <v>0</v>
      </c>
      <c r="Z660" s="2">
        <v>1</v>
      </c>
      <c r="AA660" s="2">
        <v>2</v>
      </c>
      <c r="AB660" s="2">
        <v>2</v>
      </c>
      <c r="AC660" s="2">
        <v>1</v>
      </c>
      <c r="AD660" s="2">
        <v>0</v>
      </c>
      <c r="AE660" s="2">
        <v>0</v>
      </c>
      <c r="AF660" s="2">
        <v>1</v>
      </c>
      <c r="AG660" s="20">
        <f t="shared" si="10"/>
        <v>100</v>
      </c>
    </row>
    <row r="661" spans="1:33" x14ac:dyDescent="0.25">
      <c r="A661">
        <v>660</v>
      </c>
      <c r="B661" s="2">
        <v>1</v>
      </c>
      <c r="C661" s="2">
        <v>18</v>
      </c>
      <c r="D661" s="2">
        <v>4</v>
      </c>
      <c r="E661" s="2">
        <v>0</v>
      </c>
      <c r="F661" s="2">
        <v>0</v>
      </c>
      <c r="G661" s="2">
        <v>1</v>
      </c>
      <c r="H661" s="2">
        <v>0</v>
      </c>
      <c r="I661" s="2">
        <v>0</v>
      </c>
      <c r="J661" s="2">
        <v>0</v>
      </c>
      <c r="K661" s="2">
        <v>6361</v>
      </c>
      <c r="L661" s="2">
        <v>0</v>
      </c>
      <c r="M661" s="2">
        <v>4</v>
      </c>
      <c r="N661" s="2">
        <v>2</v>
      </c>
      <c r="O661" s="2">
        <v>0</v>
      </c>
      <c r="P661" s="2">
        <v>1</v>
      </c>
      <c r="Q661" s="2">
        <v>0</v>
      </c>
      <c r="R661" s="2">
        <v>0</v>
      </c>
      <c r="S661" s="2">
        <v>0</v>
      </c>
      <c r="T661" s="2">
        <v>1</v>
      </c>
      <c r="U661" s="2">
        <v>0</v>
      </c>
      <c r="V661" s="2">
        <v>1</v>
      </c>
      <c r="W661" s="2">
        <v>41</v>
      </c>
      <c r="X661" s="2">
        <v>0</v>
      </c>
      <c r="Y661" s="2">
        <v>0</v>
      </c>
      <c r="Z661" s="2">
        <v>1</v>
      </c>
      <c r="AA661" s="2">
        <v>1</v>
      </c>
      <c r="AB661" s="2">
        <v>2</v>
      </c>
      <c r="AC661" s="2">
        <v>1</v>
      </c>
      <c r="AD661" s="2">
        <v>1</v>
      </c>
      <c r="AE661" s="2">
        <v>0</v>
      </c>
      <c r="AF661" s="2">
        <v>1</v>
      </c>
      <c r="AG661" s="20">
        <f t="shared" si="10"/>
        <v>100</v>
      </c>
    </row>
    <row r="662" spans="1:33" x14ac:dyDescent="0.25">
      <c r="A662">
        <v>661</v>
      </c>
      <c r="B662" s="2">
        <v>2</v>
      </c>
      <c r="C662" s="2">
        <v>12</v>
      </c>
      <c r="D662" s="2">
        <v>2</v>
      </c>
      <c r="E662" s="2">
        <v>0</v>
      </c>
      <c r="F662" s="2">
        <v>0</v>
      </c>
      <c r="G662" s="2">
        <v>0</v>
      </c>
      <c r="H662" s="2">
        <v>1</v>
      </c>
      <c r="I662" s="2">
        <v>0</v>
      </c>
      <c r="J662" s="2">
        <v>0</v>
      </c>
      <c r="K662" s="2">
        <v>1297</v>
      </c>
      <c r="L662" s="2">
        <v>0</v>
      </c>
      <c r="M662" s="2">
        <v>2</v>
      </c>
      <c r="N662" s="2">
        <v>3</v>
      </c>
      <c r="O662" s="2">
        <v>0</v>
      </c>
      <c r="P662" s="2">
        <v>0</v>
      </c>
      <c r="Q662" s="2">
        <v>1</v>
      </c>
      <c r="R662" s="2">
        <v>0</v>
      </c>
      <c r="S662" s="2">
        <v>0</v>
      </c>
      <c r="T662" s="2">
        <v>4</v>
      </c>
      <c r="U662" s="2">
        <v>1</v>
      </c>
      <c r="V662" s="2">
        <v>0</v>
      </c>
      <c r="W662" s="2">
        <v>23</v>
      </c>
      <c r="X662" s="2">
        <v>0</v>
      </c>
      <c r="Y662" s="2">
        <v>1</v>
      </c>
      <c r="Z662" s="2">
        <v>0</v>
      </c>
      <c r="AA662" s="2">
        <v>1</v>
      </c>
      <c r="AB662" s="2">
        <v>2</v>
      </c>
      <c r="AC662" s="2">
        <v>1</v>
      </c>
      <c r="AD662" s="2">
        <v>0</v>
      </c>
      <c r="AE662" s="2">
        <v>0</v>
      </c>
      <c r="AF662" s="2">
        <v>1</v>
      </c>
      <c r="AG662" s="20">
        <f t="shared" si="10"/>
        <v>100</v>
      </c>
    </row>
    <row r="663" spans="1:33" x14ac:dyDescent="0.25">
      <c r="A663">
        <v>662</v>
      </c>
      <c r="B663" s="2">
        <v>0</v>
      </c>
      <c r="C663" s="2">
        <v>12</v>
      </c>
      <c r="D663" s="2">
        <v>2</v>
      </c>
      <c r="E663" s="2">
        <v>1</v>
      </c>
      <c r="F663" s="2">
        <v>0</v>
      </c>
      <c r="G663" s="2">
        <v>0</v>
      </c>
      <c r="H663" s="2">
        <v>0</v>
      </c>
      <c r="I663" s="2">
        <v>0</v>
      </c>
      <c r="J663" s="2">
        <v>0</v>
      </c>
      <c r="K663" s="2">
        <v>900</v>
      </c>
      <c r="L663" s="2">
        <v>4</v>
      </c>
      <c r="M663" s="2">
        <v>2</v>
      </c>
      <c r="N663" s="2">
        <v>4</v>
      </c>
      <c r="O663" s="2">
        <v>0</v>
      </c>
      <c r="P663" s="2">
        <v>0</v>
      </c>
      <c r="Q663" s="2">
        <v>1</v>
      </c>
      <c r="R663" s="2">
        <v>0</v>
      </c>
      <c r="S663" s="2">
        <v>0</v>
      </c>
      <c r="T663" s="2">
        <v>2</v>
      </c>
      <c r="U663" s="2">
        <v>0</v>
      </c>
      <c r="V663" s="2">
        <v>0</v>
      </c>
      <c r="W663" s="2">
        <v>23</v>
      </c>
      <c r="X663" s="2">
        <v>0</v>
      </c>
      <c r="Y663" s="2">
        <v>0</v>
      </c>
      <c r="Z663" s="2">
        <v>1</v>
      </c>
      <c r="AA663" s="2">
        <v>1</v>
      </c>
      <c r="AB663" s="2">
        <v>2</v>
      </c>
      <c r="AC663" s="2">
        <v>1</v>
      </c>
      <c r="AD663" s="2">
        <v>0</v>
      </c>
      <c r="AE663" s="2">
        <v>0</v>
      </c>
      <c r="AF663" s="2">
        <v>0</v>
      </c>
      <c r="AG663" s="20">
        <f t="shared" si="10"/>
        <v>-500</v>
      </c>
    </row>
    <row r="664" spans="1:33" x14ac:dyDescent="0.25">
      <c r="A664">
        <v>663</v>
      </c>
      <c r="B664" s="2">
        <v>3</v>
      </c>
      <c r="C664" s="2">
        <v>21</v>
      </c>
      <c r="D664" s="2">
        <v>2</v>
      </c>
      <c r="E664" s="2">
        <v>0</v>
      </c>
      <c r="F664" s="2">
        <v>0</v>
      </c>
      <c r="G664" s="2">
        <v>1</v>
      </c>
      <c r="H664" s="2">
        <v>0</v>
      </c>
      <c r="I664" s="2">
        <v>0</v>
      </c>
      <c r="J664" s="2">
        <v>0</v>
      </c>
      <c r="K664" s="2">
        <v>2241</v>
      </c>
      <c r="L664" s="2">
        <v>0</v>
      </c>
      <c r="M664" s="2">
        <v>4</v>
      </c>
      <c r="N664" s="2">
        <v>4</v>
      </c>
      <c r="O664" s="2">
        <v>0</v>
      </c>
      <c r="P664" s="2">
        <v>1</v>
      </c>
      <c r="Q664" s="2">
        <v>0</v>
      </c>
      <c r="R664" s="2">
        <v>0</v>
      </c>
      <c r="S664" s="2">
        <v>0</v>
      </c>
      <c r="T664" s="2">
        <v>2</v>
      </c>
      <c r="U664" s="2">
        <v>1</v>
      </c>
      <c r="V664" s="2">
        <v>0</v>
      </c>
      <c r="W664" s="2">
        <v>50</v>
      </c>
      <c r="X664" s="2">
        <v>0</v>
      </c>
      <c r="Y664" s="2">
        <v>0</v>
      </c>
      <c r="Z664" s="2">
        <v>1</v>
      </c>
      <c r="AA664" s="2">
        <v>2</v>
      </c>
      <c r="AB664" s="2">
        <v>2</v>
      </c>
      <c r="AC664" s="2">
        <v>1</v>
      </c>
      <c r="AD664" s="2">
        <v>0</v>
      </c>
      <c r="AE664" s="2">
        <v>0</v>
      </c>
      <c r="AF664" s="2">
        <v>1</v>
      </c>
      <c r="AG664" s="20">
        <f t="shared" si="10"/>
        <v>100</v>
      </c>
    </row>
    <row r="665" spans="1:33" x14ac:dyDescent="0.25">
      <c r="A665">
        <v>664</v>
      </c>
      <c r="B665" s="2">
        <v>1</v>
      </c>
      <c r="C665" s="2">
        <v>6</v>
      </c>
      <c r="D665" s="2">
        <v>3</v>
      </c>
      <c r="E665" s="2">
        <v>0</v>
      </c>
      <c r="F665" s="2">
        <v>0</v>
      </c>
      <c r="G665" s="2">
        <v>1</v>
      </c>
      <c r="H665" s="2">
        <v>0</v>
      </c>
      <c r="I665" s="2">
        <v>0</v>
      </c>
      <c r="J665" s="2">
        <v>0</v>
      </c>
      <c r="K665" s="2">
        <v>1050</v>
      </c>
      <c r="L665" s="2">
        <v>0</v>
      </c>
      <c r="M665" s="2">
        <v>0</v>
      </c>
      <c r="N665" s="2">
        <v>4</v>
      </c>
      <c r="O665" s="2">
        <v>0</v>
      </c>
      <c r="P665" s="2">
        <v>1</v>
      </c>
      <c r="Q665" s="2">
        <v>0</v>
      </c>
      <c r="R665" s="2">
        <v>0</v>
      </c>
      <c r="S665" s="2">
        <v>0</v>
      </c>
      <c r="T665" s="2">
        <v>1</v>
      </c>
      <c r="U665" s="2">
        <v>0</v>
      </c>
      <c r="V665" s="2">
        <v>0</v>
      </c>
      <c r="W665" s="2">
        <v>35</v>
      </c>
      <c r="X665" s="2">
        <v>1</v>
      </c>
      <c r="Y665" s="2">
        <v>0</v>
      </c>
      <c r="Z665" s="2">
        <v>1</v>
      </c>
      <c r="AA665" s="2">
        <v>2</v>
      </c>
      <c r="AB665" s="2">
        <v>3</v>
      </c>
      <c r="AC665" s="2">
        <v>1</v>
      </c>
      <c r="AD665" s="2">
        <v>1</v>
      </c>
      <c r="AE665" s="2">
        <v>0</v>
      </c>
      <c r="AF665" s="2">
        <v>1</v>
      </c>
      <c r="AG665" s="20">
        <f t="shared" si="10"/>
        <v>100</v>
      </c>
    </row>
    <row r="666" spans="1:33" x14ac:dyDescent="0.25">
      <c r="A666">
        <v>665</v>
      </c>
      <c r="B666" s="2">
        <v>2</v>
      </c>
      <c r="C666" s="2">
        <v>6</v>
      </c>
      <c r="D666" s="2">
        <v>4</v>
      </c>
      <c r="E666" s="2">
        <v>0</v>
      </c>
      <c r="F666" s="2">
        <v>0</v>
      </c>
      <c r="G666" s="2">
        <v>0</v>
      </c>
      <c r="H666" s="2">
        <v>0</v>
      </c>
      <c r="I666" s="2">
        <v>1</v>
      </c>
      <c r="J666" s="2">
        <v>0</v>
      </c>
      <c r="K666" s="2">
        <v>1047</v>
      </c>
      <c r="L666" s="2">
        <v>0</v>
      </c>
      <c r="M666" s="2">
        <v>2</v>
      </c>
      <c r="N666" s="2">
        <v>2</v>
      </c>
      <c r="O666" s="2">
        <v>0</v>
      </c>
      <c r="P666" s="2">
        <v>0</v>
      </c>
      <c r="Q666" s="2">
        <v>0</v>
      </c>
      <c r="R666" s="2">
        <v>0</v>
      </c>
      <c r="S666" s="2">
        <v>0</v>
      </c>
      <c r="T666" s="2">
        <v>4</v>
      </c>
      <c r="U666" s="2">
        <v>0</v>
      </c>
      <c r="V666" s="2">
        <v>0</v>
      </c>
      <c r="W666" s="2">
        <v>50</v>
      </c>
      <c r="X666" s="2">
        <v>0</v>
      </c>
      <c r="Y666" s="2">
        <v>0</v>
      </c>
      <c r="Z666" s="2">
        <v>1</v>
      </c>
      <c r="AA666" s="2">
        <v>1</v>
      </c>
      <c r="AB666" s="2">
        <v>1</v>
      </c>
      <c r="AC666" s="2">
        <v>1</v>
      </c>
      <c r="AD666" s="2">
        <v>0</v>
      </c>
      <c r="AE666" s="2">
        <v>0</v>
      </c>
      <c r="AF666" s="2">
        <v>1</v>
      </c>
      <c r="AG666" s="20">
        <f t="shared" si="10"/>
        <v>100</v>
      </c>
    </row>
    <row r="667" spans="1:33" x14ac:dyDescent="0.25">
      <c r="A667">
        <v>666</v>
      </c>
      <c r="B667" s="2">
        <v>3</v>
      </c>
      <c r="C667" s="2">
        <v>24</v>
      </c>
      <c r="D667" s="2">
        <v>4</v>
      </c>
      <c r="E667" s="2">
        <v>0</v>
      </c>
      <c r="F667" s="2">
        <v>0</v>
      </c>
      <c r="G667" s="2">
        <v>0</v>
      </c>
      <c r="H667" s="2">
        <v>0</v>
      </c>
      <c r="I667" s="2">
        <v>0</v>
      </c>
      <c r="J667" s="2">
        <v>0</v>
      </c>
      <c r="K667" s="2">
        <v>6314</v>
      </c>
      <c r="L667" s="2">
        <v>0</v>
      </c>
      <c r="M667" s="2">
        <v>0</v>
      </c>
      <c r="N667" s="2">
        <v>4</v>
      </c>
      <c r="O667" s="2">
        <v>0</v>
      </c>
      <c r="P667" s="2">
        <v>1</v>
      </c>
      <c r="Q667" s="2">
        <v>0</v>
      </c>
      <c r="R667" s="2">
        <v>1</v>
      </c>
      <c r="S667" s="2">
        <v>0</v>
      </c>
      <c r="T667" s="2">
        <v>2</v>
      </c>
      <c r="U667" s="2">
        <v>0</v>
      </c>
      <c r="V667" s="2">
        <v>1</v>
      </c>
      <c r="W667" s="2">
        <v>27</v>
      </c>
      <c r="X667" s="2">
        <v>1</v>
      </c>
      <c r="Y667" s="2">
        <v>0</v>
      </c>
      <c r="Z667" s="2">
        <v>1</v>
      </c>
      <c r="AA667" s="2">
        <v>2</v>
      </c>
      <c r="AB667" s="2">
        <v>3</v>
      </c>
      <c r="AC667" s="2">
        <v>1</v>
      </c>
      <c r="AD667" s="2">
        <v>1</v>
      </c>
      <c r="AE667" s="2">
        <v>0</v>
      </c>
      <c r="AF667" s="2">
        <v>1</v>
      </c>
      <c r="AG667" s="20">
        <f t="shared" si="10"/>
        <v>100</v>
      </c>
    </row>
    <row r="668" spans="1:33" x14ac:dyDescent="0.25">
      <c r="A668">
        <v>667</v>
      </c>
      <c r="B668" s="2">
        <v>1</v>
      </c>
      <c r="C668" s="2">
        <v>30</v>
      </c>
      <c r="D668" s="2">
        <v>1</v>
      </c>
      <c r="E668" s="2">
        <v>0</v>
      </c>
      <c r="F668" s="2">
        <v>0</v>
      </c>
      <c r="G668" s="2">
        <v>1</v>
      </c>
      <c r="H668" s="2">
        <v>0</v>
      </c>
      <c r="I668" s="2">
        <v>0</v>
      </c>
      <c r="J668" s="2">
        <v>0</v>
      </c>
      <c r="K668" s="2">
        <v>3496</v>
      </c>
      <c r="L668" s="2">
        <v>3</v>
      </c>
      <c r="M668" s="2">
        <v>2</v>
      </c>
      <c r="N668" s="2">
        <v>4</v>
      </c>
      <c r="O668" s="2">
        <v>0</v>
      </c>
      <c r="P668" s="2">
        <v>1</v>
      </c>
      <c r="Q668" s="2">
        <v>0</v>
      </c>
      <c r="R668" s="2">
        <v>0</v>
      </c>
      <c r="S668" s="2">
        <v>0</v>
      </c>
      <c r="T668" s="2">
        <v>2</v>
      </c>
      <c r="U668" s="2">
        <v>0</v>
      </c>
      <c r="V668" s="2">
        <v>0</v>
      </c>
      <c r="W668" s="2">
        <v>34</v>
      </c>
      <c r="X668" s="2">
        <v>1</v>
      </c>
      <c r="Y668" s="2">
        <v>0</v>
      </c>
      <c r="Z668" s="2">
        <v>1</v>
      </c>
      <c r="AA668" s="2">
        <v>1</v>
      </c>
      <c r="AB668" s="2">
        <v>2</v>
      </c>
      <c r="AC668" s="2">
        <v>2</v>
      </c>
      <c r="AD668" s="2">
        <v>1</v>
      </c>
      <c r="AE668" s="2">
        <v>0</v>
      </c>
      <c r="AF668" s="2">
        <v>1</v>
      </c>
      <c r="AG668" s="20">
        <f t="shared" si="10"/>
        <v>100</v>
      </c>
    </row>
    <row r="669" spans="1:33" x14ac:dyDescent="0.25">
      <c r="A669">
        <v>668</v>
      </c>
      <c r="B669" s="2">
        <v>3</v>
      </c>
      <c r="C669" s="2">
        <v>48</v>
      </c>
      <c r="D669" s="2">
        <v>1</v>
      </c>
      <c r="E669" s="2">
        <v>0</v>
      </c>
      <c r="F669" s="2">
        <v>0</v>
      </c>
      <c r="G669" s="2">
        <v>0</v>
      </c>
      <c r="H669" s="2">
        <v>0</v>
      </c>
      <c r="I669" s="2">
        <v>0</v>
      </c>
      <c r="J669" s="2">
        <v>1</v>
      </c>
      <c r="K669" s="2">
        <v>3609</v>
      </c>
      <c r="L669" s="2">
        <v>0</v>
      </c>
      <c r="M669" s="2">
        <v>2</v>
      </c>
      <c r="N669" s="2">
        <v>1</v>
      </c>
      <c r="O669" s="2">
        <v>0</v>
      </c>
      <c r="P669" s="2">
        <v>0</v>
      </c>
      <c r="Q669" s="2">
        <v>0</v>
      </c>
      <c r="R669" s="2">
        <v>0</v>
      </c>
      <c r="S669" s="2">
        <v>0</v>
      </c>
      <c r="T669" s="2">
        <v>1</v>
      </c>
      <c r="U669" s="2">
        <v>1</v>
      </c>
      <c r="V669" s="2">
        <v>0</v>
      </c>
      <c r="W669" s="2">
        <v>27</v>
      </c>
      <c r="X669" s="2">
        <v>1</v>
      </c>
      <c r="Y669" s="2">
        <v>0</v>
      </c>
      <c r="Z669" s="2">
        <v>1</v>
      </c>
      <c r="AA669" s="2">
        <v>1</v>
      </c>
      <c r="AB669" s="2">
        <v>2</v>
      </c>
      <c r="AC669" s="2">
        <v>1</v>
      </c>
      <c r="AD669" s="2">
        <v>0</v>
      </c>
      <c r="AE669" s="2">
        <v>0</v>
      </c>
      <c r="AF669" s="2">
        <v>1</v>
      </c>
      <c r="AG669" s="20">
        <f t="shared" si="10"/>
        <v>100</v>
      </c>
    </row>
    <row r="670" spans="1:33" x14ac:dyDescent="0.25">
      <c r="A670">
        <v>669</v>
      </c>
      <c r="B670" s="2">
        <v>0</v>
      </c>
      <c r="C670" s="2">
        <v>12</v>
      </c>
      <c r="D670" s="2">
        <v>4</v>
      </c>
      <c r="E670" s="2">
        <v>1</v>
      </c>
      <c r="F670" s="2">
        <v>0</v>
      </c>
      <c r="G670" s="2">
        <v>0</v>
      </c>
      <c r="H670" s="2">
        <v>0</v>
      </c>
      <c r="I670" s="2">
        <v>0</v>
      </c>
      <c r="J670" s="2">
        <v>0</v>
      </c>
      <c r="K670" s="2">
        <v>4843</v>
      </c>
      <c r="L670" s="2">
        <v>0</v>
      </c>
      <c r="M670" s="2">
        <v>4</v>
      </c>
      <c r="N670" s="2">
        <v>3</v>
      </c>
      <c r="O670" s="2">
        <v>0</v>
      </c>
      <c r="P670" s="2">
        <v>1</v>
      </c>
      <c r="Q670" s="2">
        <v>0</v>
      </c>
      <c r="R670" s="2">
        <v>1</v>
      </c>
      <c r="S670" s="2">
        <v>0</v>
      </c>
      <c r="T670" s="2">
        <v>4</v>
      </c>
      <c r="U670" s="2">
        <v>0</v>
      </c>
      <c r="V670" s="2">
        <v>0</v>
      </c>
      <c r="W670" s="2">
        <v>43</v>
      </c>
      <c r="X670" s="2">
        <v>0</v>
      </c>
      <c r="Y670" s="2">
        <v>1</v>
      </c>
      <c r="Z670" s="2">
        <v>0</v>
      </c>
      <c r="AA670" s="2">
        <v>2</v>
      </c>
      <c r="AB670" s="2">
        <v>2</v>
      </c>
      <c r="AC670" s="2">
        <v>1</v>
      </c>
      <c r="AD670" s="2">
        <v>1</v>
      </c>
      <c r="AE670" s="2">
        <v>0</v>
      </c>
      <c r="AF670" s="2">
        <v>0</v>
      </c>
      <c r="AG670" s="20">
        <f t="shared" si="10"/>
        <v>-500</v>
      </c>
    </row>
    <row r="671" spans="1:33" x14ac:dyDescent="0.25">
      <c r="A671">
        <v>670</v>
      </c>
      <c r="B671" s="2">
        <v>2</v>
      </c>
      <c r="C671" s="2">
        <v>30</v>
      </c>
      <c r="D671" s="2">
        <v>4</v>
      </c>
      <c r="E671" s="2">
        <v>0</v>
      </c>
      <c r="F671" s="2">
        <v>0</v>
      </c>
      <c r="G671" s="2">
        <v>0</v>
      </c>
      <c r="H671" s="2">
        <v>1</v>
      </c>
      <c r="I671" s="2">
        <v>0</v>
      </c>
      <c r="J671" s="2">
        <v>0</v>
      </c>
      <c r="K671" s="2">
        <v>3017</v>
      </c>
      <c r="L671" s="2">
        <v>0</v>
      </c>
      <c r="M671" s="2">
        <v>4</v>
      </c>
      <c r="N671" s="2">
        <v>4</v>
      </c>
      <c r="O671" s="2">
        <v>0</v>
      </c>
      <c r="P671" s="2">
        <v>1</v>
      </c>
      <c r="Q671" s="2">
        <v>0</v>
      </c>
      <c r="R671" s="2">
        <v>0</v>
      </c>
      <c r="S671" s="2">
        <v>0</v>
      </c>
      <c r="T671" s="2">
        <v>4</v>
      </c>
      <c r="U671" s="2">
        <v>0</v>
      </c>
      <c r="V671" s="2">
        <v>0</v>
      </c>
      <c r="W671" s="2">
        <v>47</v>
      </c>
      <c r="X671" s="2">
        <v>0</v>
      </c>
      <c r="Y671" s="2">
        <v>0</v>
      </c>
      <c r="Z671" s="2">
        <v>1</v>
      </c>
      <c r="AA671" s="2">
        <v>1</v>
      </c>
      <c r="AB671" s="2">
        <v>2</v>
      </c>
      <c r="AC671" s="2">
        <v>1</v>
      </c>
      <c r="AD671" s="2">
        <v>0</v>
      </c>
      <c r="AE671" s="2">
        <v>0</v>
      </c>
      <c r="AF671" s="2">
        <v>1</v>
      </c>
      <c r="AG671" s="20">
        <f t="shared" si="10"/>
        <v>100</v>
      </c>
    </row>
    <row r="672" spans="1:33" x14ac:dyDescent="0.25">
      <c r="A672">
        <v>671</v>
      </c>
      <c r="B672" s="2">
        <v>3</v>
      </c>
      <c r="C672" s="2">
        <v>24</v>
      </c>
      <c r="D672" s="2">
        <v>4</v>
      </c>
      <c r="E672" s="2">
        <v>0</v>
      </c>
      <c r="F672" s="2">
        <v>0</v>
      </c>
      <c r="G672" s="2">
        <v>0</v>
      </c>
      <c r="H672" s="2">
        <v>0</v>
      </c>
      <c r="I672" s="2">
        <v>0</v>
      </c>
      <c r="J672" s="2">
        <v>1</v>
      </c>
      <c r="K672" s="2">
        <v>4139</v>
      </c>
      <c r="L672" s="2">
        <v>1</v>
      </c>
      <c r="M672" s="2">
        <v>2</v>
      </c>
      <c r="N672" s="2">
        <v>3</v>
      </c>
      <c r="O672" s="2">
        <v>0</v>
      </c>
      <c r="P672" s="2">
        <v>1</v>
      </c>
      <c r="Q672" s="2">
        <v>0</v>
      </c>
      <c r="R672" s="2">
        <v>0</v>
      </c>
      <c r="S672" s="2">
        <v>0</v>
      </c>
      <c r="T672" s="2">
        <v>3</v>
      </c>
      <c r="U672" s="2">
        <v>0</v>
      </c>
      <c r="V672" s="2">
        <v>0</v>
      </c>
      <c r="W672" s="2">
        <v>27</v>
      </c>
      <c r="X672" s="2">
        <v>0</v>
      </c>
      <c r="Y672" s="2">
        <v>0</v>
      </c>
      <c r="Z672" s="2">
        <v>1</v>
      </c>
      <c r="AA672" s="2">
        <v>2</v>
      </c>
      <c r="AB672" s="2">
        <v>1</v>
      </c>
      <c r="AC672" s="2">
        <v>1</v>
      </c>
      <c r="AD672" s="2">
        <v>1</v>
      </c>
      <c r="AE672" s="2">
        <v>0</v>
      </c>
      <c r="AF672" s="2">
        <v>1</v>
      </c>
      <c r="AG672" s="20">
        <f t="shared" si="10"/>
        <v>100</v>
      </c>
    </row>
    <row r="673" spans="1:33" x14ac:dyDescent="0.25">
      <c r="A673">
        <v>672</v>
      </c>
      <c r="B673" s="2">
        <v>3</v>
      </c>
      <c r="C673" s="2">
        <v>36</v>
      </c>
      <c r="D673" s="2">
        <v>2</v>
      </c>
      <c r="E673" s="2">
        <v>0</v>
      </c>
      <c r="F673" s="2">
        <v>0</v>
      </c>
      <c r="G673" s="2">
        <v>0</v>
      </c>
      <c r="H673" s="2">
        <v>0</v>
      </c>
      <c r="I673" s="2">
        <v>0</v>
      </c>
      <c r="J673" s="2">
        <v>1</v>
      </c>
      <c r="K673" s="2">
        <v>5742</v>
      </c>
      <c r="L673" s="2">
        <v>1</v>
      </c>
      <c r="M673" s="2">
        <v>3</v>
      </c>
      <c r="N673" s="2">
        <v>2</v>
      </c>
      <c r="O673" s="2">
        <v>0</v>
      </c>
      <c r="P673" s="2">
        <v>1</v>
      </c>
      <c r="Q673" s="2">
        <v>0</v>
      </c>
      <c r="R673" s="2">
        <v>0</v>
      </c>
      <c r="S673" s="2">
        <v>0</v>
      </c>
      <c r="T673" s="2">
        <v>2</v>
      </c>
      <c r="U673" s="2">
        <v>0</v>
      </c>
      <c r="V673" s="2">
        <v>0</v>
      </c>
      <c r="W673" s="2">
        <v>31</v>
      </c>
      <c r="X673" s="2">
        <v>0</v>
      </c>
      <c r="Y673" s="2">
        <v>0</v>
      </c>
      <c r="Z673" s="2">
        <v>1</v>
      </c>
      <c r="AA673" s="2">
        <v>2</v>
      </c>
      <c r="AB673" s="2">
        <v>2</v>
      </c>
      <c r="AC673" s="2">
        <v>1</v>
      </c>
      <c r="AD673" s="2">
        <v>1</v>
      </c>
      <c r="AE673" s="2">
        <v>0</v>
      </c>
      <c r="AF673" s="2">
        <v>1</v>
      </c>
      <c r="AG673" s="20">
        <f t="shared" si="10"/>
        <v>100</v>
      </c>
    </row>
    <row r="674" spans="1:33" x14ac:dyDescent="0.25">
      <c r="A674">
        <v>673</v>
      </c>
      <c r="B674" s="2">
        <v>3</v>
      </c>
      <c r="C674" s="2">
        <v>60</v>
      </c>
      <c r="D674" s="2">
        <v>2</v>
      </c>
      <c r="E674" s="2">
        <v>1</v>
      </c>
      <c r="F674" s="2">
        <v>0</v>
      </c>
      <c r="G674" s="2">
        <v>0</v>
      </c>
      <c r="H674" s="2">
        <v>0</v>
      </c>
      <c r="I674" s="2">
        <v>0</v>
      </c>
      <c r="J674" s="2">
        <v>0</v>
      </c>
      <c r="K674" s="2">
        <v>10366</v>
      </c>
      <c r="L674" s="2">
        <v>0</v>
      </c>
      <c r="M674" s="2">
        <v>4</v>
      </c>
      <c r="N674" s="2">
        <v>2</v>
      </c>
      <c r="O674" s="2">
        <v>0</v>
      </c>
      <c r="P674" s="2">
        <v>1</v>
      </c>
      <c r="Q674" s="2">
        <v>0</v>
      </c>
      <c r="R674" s="2">
        <v>0</v>
      </c>
      <c r="S674" s="2">
        <v>0</v>
      </c>
      <c r="T674" s="2">
        <v>4</v>
      </c>
      <c r="U674" s="2">
        <v>0</v>
      </c>
      <c r="V674" s="2">
        <v>0</v>
      </c>
      <c r="W674" s="2">
        <v>42</v>
      </c>
      <c r="X674" s="2">
        <v>0</v>
      </c>
      <c r="Y674" s="2">
        <v>0</v>
      </c>
      <c r="Z674" s="2">
        <v>1</v>
      </c>
      <c r="AA674" s="2">
        <v>1</v>
      </c>
      <c r="AB674" s="2">
        <v>3</v>
      </c>
      <c r="AC674" s="2">
        <v>1</v>
      </c>
      <c r="AD674" s="2">
        <v>1</v>
      </c>
      <c r="AE674" s="2">
        <v>0</v>
      </c>
      <c r="AF674" s="2">
        <v>1</v>
      </c>
      <c r="AG674" s="20">
        <f t="shared" si="10"/>
        <v>100</v>
      </c>
    </row>
    <row r="675" spans="1:33" x14ac:dyDescent="0.25">
      <c r="A675">
        <v>674</v>
      </c>
      <c r="B675" s="2">
        <v>3</v>
      </c>
      <c r="C675" s="2">
        <v>6</v>
      </c>
      <c r="D675" s="2">
        <v>4</v>
      </c>
      <c r="E675" s="2">
        <v>1</v>
      </c>
      <c r="F675" s="2">
        <v>0</v>
      </c>
      <c r="G675" s="2">
        <v>0</v>
      </c>
      <c r="H675" s="2">
        <v>0</v>
      </c>
      <c r="I675" s="2">
        <v>0</v>
      </c>
      <c r="J675" s="2">
        <v>0</v>
      </c>
      <c r="K675" s="2">
        <v>2080</v>
      </c>
      <c r="L675" s="2">
        <v>2</v>
      </c>
      <c r="M675" s="2">
        <v>2</v>
      </c>
      <c r="N675" s="2">
        <v>1</v>
      </c>
      <c r="O675" s="2">
        <v>0</v>
      </c>
      <c r="P675" s="2">
        <v>0</v>
      </c>
      <c r="Q675" s="2">
        <v>1</v>
      </c>
      <c r="R675" s="2">
        <v>0</v>
      </c>
      <c r="S675" s="2">
        <v>0</v>
      </c>
      <c r="T675" s="2">
        <v>2</v>
      </c>
      <c r="U675" s="2">
        <v>0</v>
      </c>
      <c r="V675" s="2">
        <v>0</v>
      </c>
      <c r="W675" s="2">
        <v>24</v>
      </c>
      <c r="X675" s="2">
        <v>0</v>
      </c>
      <c r="Y675" s="2">
        <v>0</v>
      </c>
      <c r="Z675" s="2">
        <v>1</v>
      </c>
      <c r="AA675" s="2">
        <v>1</v>
      </c>
      <c r="AB675" s="2">
        <v>2</v>
      </c>
      <c r="AC675" s="2">
        <v>1</v>
      </c>
      <c r="AD675" s="2">
        <v>0</v>
      </c>
      <c r="AE675" s="2">
        <v>0</v>
      </c>
      <c r="AF675" s="2">
        <v>1</v>
      </c>
      <c r="AG675" s="20">
        <f t="shared" si="10"/>
        <v>100</v>
      </c>
    </row>
    <row r="676" spans="1:33" x14ac:dyDescent="0.25">
      <c r="A676">
        <v>675</v>
      </c>
      <c r="B676" s="2">
        <v>3</v>
      </c>
      <c r="C676" s="2">
        <v>21</v>
      </c>
      <c r="D676" s="2">
        <v>3</v>
      </c>
      <c r="E676" s="2">
        <v>0</v>
      </c>
      <c r="F676" s="2">
        <v>0</v>
      </c>
      <c r="G676" s="2">
        <v>0</v>
      </c>
      <c r="H676" s="2">
        <v>0</v>
      </c>
      <c r="I676" s="2">
        <v>0</v>
      </c>
      <c r="J676" s="2">
        <v>1</v>
      </c>
      <c r="K676" s="2">
        <v>2580</v>
      </c>
      <c r="L676" s="2">
        <v>2</v>
      </c>
      <c r="M676" s="2">
        <v>1</v>
      </c>
      <c r="N676" s="2">
        <v>4</v>
      </c>
      <c r="O676" s="2">
        <v>0</v>
      </c>
      <c r="P676" s="2">
        <v>1</v>
      </c>
      <c r="Q676" s="2">
        <v>0</v>
      </c>
      <c r="R676" s="2">
        <v>0</v>
      </c>
      <c r="S676" s="2">
        <v>0</v>
      </c>
      <c r="T676" s="2">
        <v>2</v>
      </c>
      <c r="U676" s="2">
        <v>1</v>
      </c>
      <c r="V676" s="2">
        <v>0</v>
      </c>
      <c r="W676" s="2">
        <v>41</v>
      </c>
      <c r="X676" s="2">
        <v>1</v>
      </c>
      <c r="Y676" s="2">
        <v>0</v>
      </c>
      <c r="Z676" s="2">
        <v>1</v>
      </c>
      <c r="AA676" s="2">
        <v>1</v>
      </c>
      <c r="AB676" s="2">
        <v>1</v>
      </c>
      <c r="AC676" s="2">
        <v>2</v>
      </c>
      <c r="AD676" s="2">
        <v>0</v>
      </c>
      <c r="AE676" s="2">
        <v>0</v>
      </c>
      <c r="AF676" s="2">
        <v>0</v>
      </c>
      <c r="AG676" s="20">
        <f t="shared" si="10"/>
        <v>-500</v>
      </c>
    </row>
    <row r="677" spans="1:33" x14ac:dyDescent="0.25">
      <c r="A677">
        <v>676</v>
      </c>
      <c r="B677" s="2">
        <v>3</v>
      </c>
      <c r="C677" s="2">
        <v>30</v>
      </c>
      <c r="D677" s="2">
        <v>4</v>
      </c>
      <c r="E677" s="2">
        <v>0</v>
      </c>
      <c r="F677" s="2">
        <v>0</v>
      </c>
      <c r="G677" s="2">
        <v>0</v>
      </c>
      <c r="H677" s="2">
        <v>1</v>
      </c>
      <c r="I677" s="2">
        <v>0</v>
      </c>
      <c r="J677" s="2">
        <v>0</v>
      </c>
      <c r="K677" s="2">
        <v>4530</v>
      </c>
      <c r="L677" s="2">
        <v>0</v>
      </c>
      <c r="M677" s="2">
        <v>3</v>
      </c>
      <c r="N677" s="2">
        <v>4</v>
      </c>
      <c r="O677" s="2">
        <v>0</v>
      </c>
      <c r="P677" s="2">
        <v>0</v>
      </c>
      <c r="Q677" s="2">
        <v>0</v>
      </c>
      <c r="R677" s="2">
        <v>0</v>
      </c>
      <c r="S677" s="2">
        <v>0</v>
      </c>
      <c r="T677" s="2">
        <v>4</v>
      </c>
      <c r="U677" s="2">
        <v>0</v>
      </c>
      <c r="V677" s="2">
        <v>0</v>
      </c>
      <c r="W677" s="2">
        <v>26</v>
      </c>
      <c r="X677" s="2">
        <v>0</v>
      </c>
      <c r="Y677" s="2">
        <v>1</v>
      </c>
      <c r="Z677" s="2">
        <v>0</v>
      </c>
      <c r="AA677" s="2">
        <v>1</v>
      </c>
      <c r="AB677" s="2">
        <v>3</v>
      </c>
      <c r="AC677" s="2">
        <v>1</v>
      </c>
      <c r="AD677" s="2">
        <v>1</v>
      </c>
      <c r="AE677" s="2">
        <v>0</v>
      </c>
      <c r="AF677" s="2">
        <v>1</v>
      </c>
      <c r="AG677" s="20">
        <f t="shared" si="10"/>
        <v>100</v>
      </c>
    </row>
    <row r="678" spans="1:33" x14ac:dyDescent="0.25">
      <c r="A678">
        <v>677</v>
      </c>
      <c r="B678" s="2">
        <v>3</v>
      </c>
      <c r="C678" s="2">
        <v>24</v>
      </c>
      <c r="D678" s="2">
        <v>4</v>
      </c>
      <c r="E678" s="2">
        <v>0</v>
      </c>
      <c r="F678" s="2">
        <v>0</v>
      </c>
      <c r="G678" s="2">
        <v>1</v>
      </c>
      <c r="H678" s="2">
        <v>0</v>
      </c>
      <c r="I678" s="2">
        <v>0</v>
      </c>
      <c r="J678" s="2">
        <v>0</v>
      </c>
      <c r="K678" s="2">
        <v>5150</v>
      </c>
      <c r="L678" s="2">
        <v>0</v>
      </c>
      <c r="M678" s="2">
        <v>4</v>
      </c>
      <c r="N678" s="2">
        <v>4</v>
      </c>
      <c r="O678" s="2">
        <v>0</v>
      </c>
      <c r="P678" s="2">
        <v>1</v>
      </c>
      <c r="Q678" s="2">
        <v>0</v>
      </c>
      <c r="R678" s="2">
        <v>0</v>
      </c>
      <c r="S678" s="2">
        <v>0</v>
      </c>
      <c r="T678" s="2">
        <v>4</v>
      </c>
      <c r="U678" s="2">
        <v>0</v>
      </c>
      <c r="V678" s="2">
        <v>0</v>
      </c>
      <c r="W678" s="2">
        <v>33</v>
      </c>
      <c r="X678" s="2">
        <v>0</v>
      </c>
      <c r="Y678" s="2">
        <v>0</v>
      </c>
      <c r="Z678" s="2">
        <v>1</v>
      </c>
      <c r="AA678" s="2">
        <v>1</v>
      </c>
      <c r="AB678" s="2">
        <v>2</v>
      </c>
      <c r="AC678" s="2">
        <v>1</v>
      </c>
      <c r="AD678" s="2">
        <v>1</v>
      </c>
      <c r="AE678" s="2">
        <v>0</v>
      </c>
      <c r="AF678" s="2">
        <v>1</v>
      </c>
      <c r="AG678" s="20">
        <f t="shared" si="10"/>
        <v>100</v>
      </c>
    </row>
    <row r="679" spans="1:33" x14ac:dyDescent="0.25">
      <c r="A679">
        <v>678</v>
      </c>
      <c r="B679" s="2">
        <v>1</v>
      </c>
      <c r="C679" s="2">
        <v>72</v>
      </c>
      <c r="D679" s="2">
        <v>2</v>
      </c>
      <c r="E679" s="2">
        <v>0</v>
      </c>
      <c r="F679" s="2">
        <v>0</v>
      </c>
      <c r="G679" s="2">
        <v>0</v>
      </c>
      <c r="H679" s="2">
        <v>1</v>
      </c>
      <c r="I679" s="2">
        <v>0</v>
      </c>
      <c r="J679" s="2">
        <v>0</v>
      </c>
      <c r="K679" s="2">
        <v>5595</v>
      </c>
      <c r="L679" s="2">
        <v>1</v>
      </c>
      <c r="M679" s="2">
        <v>2</v>
      </c>
      <c r="N679" s="2">
        <v>2</v>
      </c>
      <c r="O679" s="2">
        <v>0</v>
      </c>
      <c r="P679" s="2">
        <v>0</v>
      </c>
      <c r="Q679" s="2">
        <v>1</v>
      </c>
      <c r="R679" s="2">
        <v>0</v>
      </c>
      <c r="S679" s="2">
        <v>0</v>
      </c>
      <c r="T679" s="2">
        <v>2</v>
      </c>
      <c r="U679" s="2">
        <v>0</v>
      </c>
      <c r="V679" s="2">
        <v>0</v>
      </c>
      <c r="W679" s="2">
        <v>24</v>
      </c>
      <c r="X679" s="2">
        <v>0</v>
      </c>
      <c r="Y679" s="2">
        <v>0</v>
      </c>
      <c r="Z679" s="2">
        <v>1</v>
      </c>
      <c r="AA679" s="2">
        <v>1</v>
      </c>
      <c r="AB679" s="2">
        <v>2</v>
      </c>
      <c r="AC679" s="2">
        <v>1</v>
      </c>
      <c r="AD679" s="2">
        <v>0</v>
      </c>
      <c r="AE679" s="2">
        <v>0</v>
      </c>
      <c r="AF679" s="2">
        <v>0</v>
      </c>
      <c r="AG679" s="20">
        <f t="shared" si="10"/>
        <v>-500</v>
      </c>
    </row>
    <row r="680" spans="1:33" x14ac:dyDescent="0.25">
      <c r="A680">
        <v>679</v>
      </c>
      <c r="B680" s="2">
        <v>0</v>
      </c>
      <c r="C680" s="2">
        <v>24</v>
      </c>
      <c r="D680" s="2">
        <v>2</v>
      </c>
      <c r="E680" s="2">
        <v>0</v>
      </c>
      <c r="F680" s="2">
        <v>0</v>
      </c>
      <c r="G680" s="2">
        <v>0</v>
      </c>
      <c r="H680" s="2">
        <v>1</v>
      </c>
      <c r="I680" s="2">
        <v>0</v>
      </c>
      <c r="J680" s="2">
        <v>0</v>
      </c>
      <c r="K680" s="2">
        <v>2384</v>
      </c>
      <c r="L680" s="2">
        <v>0</v>
      </c>
      <c r="M680" s="2">
        <v>4</v>
      </c>
      <c r="N680" s="2">
        <v>4</v>
      </c>
      <c r="O680" s="2">
        <v>0</v>
      </c>
      <c r="P680" s="2">
        <v>1</v>
      </c>
      <c r="Q680" s="2">
        <v>0</v>
      </c>
      <c r="R680" s="2">
        <v>0</v>
      </c>
      <c r="S680" s="2">
        <v>0</v>
      </c>
      <c r="T680" s="2">
        <v>4</v>
      </c>
      <c r="U680" s="2">
        <v>1</v>
      </c>
      <c r="V680" s="2">
        <v>0</v>
      </c>
      <c r="W680" s="2">
        <v>64</v>
      </c>
      <c r="X680" s="2">
        <v>1</v>
      </c>
      <c r="Y680" s="2">
        <v>1</v>
      </c>
      <c r="Z680" s="2">
        <v>0</v>
      </c>
      <c r="AA680" s="2">
        <v>1</v>
      </c>
      <c r="AB680" s="2">
        <v>1</v>
      </c>
      <c r="AC680" s="2">
        <v>1</v>
      </c>
      <c r="AD680" s="2">
        <v>0</v>
      </c>
      <c r="AE680" s="2">
        <v>0</v>
      </c>
      <c r="AF680" s="2">
        <v>1</v>
      </c>
      <c r="AG680" s="20">
        <f t="shared" si="10"/>
        <v>100</v>
      </c>
    </row>
    <row r="681" spans="1:33" x14ac:dyDescent="0.25">
      <c r="A681">
        <v>680</v>
      </c>
      <c r="B681" s="2">
        <v>3</v>
      </c>
      <c r="C681" s="2">
        <v>18</v>
      </c>
      <c r="D681" s="2">
        <v>2</v>
      </c>
      <c r="E681" s="2">
        <v>0</v>
      </c>
      <c r="F681" s="2">
        <v>0</v>
      </c>
      <c r="G681" s="2">
        <v>0</v>
      </c>
      <c r="H681" s="2">
        <v>1</v>
      </c>
      <c r="I681" s="2">
        <v>0</v>
      </c>
      <c r="J681" s="2">
        <v>0</v>
      </c>
      <c r="K681" s="2">
        <v>1453</v>
      </c>
      <c r="L681" s="2">
        <v>0</v>
      </c>
      <c r="M681" s="2">
        <v>1</v>
      </c>
      <c r="N681" s="2">
        <v>3</v>
      </c>
      <c r="O681" s="2">
        <v>0</v>
      </c>
      <c r="P681" s="2">
        <v>0</v>
      </c>
      <c r="Q681" s="2">
        <v>0</v>
      </c>
      <c r="R681" s="2">
        <v>0</v>
      </c>
      <c r="S681" s="2">
        <v>0</v>
      </c>
      <c r="T681" s="2">
        <v>1</v>
      </c>
      <c r="U681" s="2">
        <v>1</v>
      </c>
      <c r="V681" s="2">
        <v>0</v>
      </c>
      <c r="W681" s="2">
        <v>26</v>
      </c>
      <c r="X681" s="2">
        <v>0</v>
      </c>
      <c r="Y681" s="2">
        <v>0</v>
      </c>
      <c r="Z681" s="2">
        <v>1</v>
      </c>
      <c r="AA681" s="2">
        <v>1</v>
      </c>
      <c r="AB681" s="2">
        <v>2</v>
      </c>
      <c r="AC681" s="2">
        <v>1</v>
      </c>
      <c r="AD681" s="2">
        <v>0</v>
      </c>
      <c r="AE681" s="2">
        <v>0</v>
      </c>
      <c r="AF681" s="2">
        <v>1</v>
      </c>
      <c r="AG681" s="20">
        <f t="shared" si="10"/>
        <v>100</v>
      </c>
    </row>
    <row r="682" spans="1:33" x14ac:dyDescent="0.25">
      <c r="A682">
        <v>681</v>
      </c>
      <c r="B682" s="2">
        <v>3</v>
      </c>
      <c r="C682" s="2">
        <v>6</v>
      </c>
      <c r="D682" s="2">
        <v>2</v>
      </c>
      <c r="E682" s="2">
        <v>0</v>
      </c>
      <c r="F682" s="2">
        <v>0</v>
      </c>
      <c r="G682" s="2">
        <v>0</v>
      </c>
      <c r="H682" s="2">
        <v>0</v>
      </c>
      <c r="I682" s="2">
        <v>1</v>
      </c>
      <c r="J682" s="2">
        <v>0</v>
      </c>
      <c r="K682" s="2">
        <v>1538</v>
      </c>
      <c r="L682" s="2">
        <v>0</v>
      </c>
      <c r="M682" s="2">
        <v>1</v>
      </c>
      <c r="N682" s="2">
        <v>1</v>
      </c>
      <c r="O682" s="2">
        <v>0</v>
      </c>
      <c r="P682" s="2">
        <v>0</v>
      </c>
      <c r="Q682" s="2">
        <v>0</v>
      </c>
      <c r="R682" s="2">
        <v>0</v>
      </c>
      <c r="S682" s="2">
        <v>0</v>
      </c>
      <c r="T682" s="2">
        <v>2</v>
      </c>
      <c r="U682" s="2">
        <v>0</v>
      </c>
      <c r="V682" s="2">
        <v>1</v>
      </c>
      <c r="W682" s="2">
        <v>56</v>
      </c>
      <c r="X682" s="2">
        <v>0</v>
      </c>
      <c r="Y682" s="2">
        <v>0</v>
      </c>
      <c r="Z682" s="2">
        <v>1</v>
      </c>
      <c r="AA682" s="2">
        <v>1</v>
      </c>
      <c r="AB682" s="2">
        <v>2</v>
      </c>
      <c r="AC682" s="2">
        <v>1</v>
      </c>
      <c r="AD682" s="2">
        <v>0</v>
      </c>
      <c r="AE682" s="2">
        <v>0</v>
      </c>
      <c r="AF682" s="2">
        <v>1</v>
      </c>
      <c r="AG682" s="20">
        <f t="shared" si="10"/>
        <v>100</v>
      </c>
    </row>
    <row r="683" spans="1:33" x14ac:dyDescent="0.25">
      <c r="A683">
        <v>682</v>
      </c>
      <c r="B683" s="2">
        <v>3</v>
      </c>
      <c r="C683" s="2">
        <v>12</v>
      </c>
      <c r="D683" s="2">
        <v>2</v>
      </c>
      <c r="E683" s="2">
        <v>0</v>
      </c>
      <c r="F683" s="2">
        <v>0</v>
      </c>
      <c r="G683" s="2">
        <v>0</v>
      </c>
      <c r="H683" s="2">
        <v>1</v>
      </c>
      <c r="I683" s="2">
        <v>0</v>
      </c>
      <c r="J683" s="2">
        <v>0</v>
      </c>
      <c r="K683" s="2">
        <v>2279</v>
      </c>
      <c r="L683" s="2">
        <v>4</v>
      </c>
      <c r="M683" s="2">
        <v>2</v>
      </c>
      <c r="N683" s="2">
        <v>4</v>
      </c>
      <c r="O683" s="2">
        <v>0</v>
      </c>
      <c r="P683" s="2">
        <v>1</v>
      </c>
      <c r="Q683" s="2">
        <v>0</v>
      </c>
      <c r="R683" s="2">
        <v>0</v>
      </c>
      <c r="S683" s="2">
        <v>0</v>
      </c>
      <c r="T683" s="2">
        <v>4</v>
      </c>
      <c r="U683" s="2">
        <v>0</v>
      </c>
      <c r="V683" s="2">
        <v>1</v>
      </c>
      <c r="W683" s="2">
        <v>37</v>
      </c>
      <c r="X683" s="2">
        <v>0</v>
      </c>
      <c r="Y683" s="2">
        <v>0</v>
      </c>
      <c r="Z683" s="2">
        <v>0</v>
      </c>
      <c r="AA683" s="2">
        <v>1</v>
      </c>
      <c r="AB683" s="2">
        <v>2</v>
      </c>
      <c r="AC683" s="2">
        <v>1</v>
      </c>
      <c r="AD683" s="2">
        <v>1</v>
      </c>
      <c r="AE683" s="2">
        <v>0</v>
      </c>
      <c r="AF683" s="2">
        <v>1</v>
      </c>
      <c r="AG683" s="20">
        <f t="shared" si="10"/>
        <v>100</v>
      </c>
    </row>
    <row r="684" spans="1:33" x14ac:dyDescent="0.25">
      <c r="A684">
        <v>683</v>
      </c>
      <c r="B684" s="2">
        <v>3</v>
      </c>
      <c r="C684" s="2">
        <v>15</v>
      </c>
      <c r="D684" s="2">
        <v>3</v>
      </c>
      <c r="E684" s="2">
        <v>0</v>
      </c>
      <c r="F684" s="2">
        <v>0</v>
      </c>
      <c r="G684" s="2">
        <v>0</v>
      </c>
      <c r="H684" s="2">
        <v>1</v>
      </c>
      <c r="I684" s="2">
        <v>0</v>
      </c>
      <c r="J684" s="2">
        <v>0</v>
      </c>
      <c r="K684" s="2">
        <v>1478</v>
      </c>
      <c r="L684" s="2">
        <v>0</v>
      </c>
      <c r="M684" s="2">
        <v>2</v>
      </c>
      <c r="N684" s="2">
        <v>4</v>
      </c>
      <c r="O684" s="2">
        <v>0</v>
      </c>
      <c r="P684" s="2">
        <v>0</v>
      </c>
      <c r="Q684" s="2">
        <v>1</v>
      </c>
      <c r="R684" s="2">
        <v>0</v>
      </c>
      <c r="S684" s="2">
        <v>0</v>
      </c>
      <c r="T684" s="2">
        <v>3</v>
      </c>
      <c r="U684" s="2">
        <v>1</v>
      </c>
      <c r="V684" s="2">
        <v>0</v>
      </c>
      <c r="W684" s="2">
        <v>33</v>
      </c>
      <c r="X684" s="2">
        <v>1</v>
      </c>
      <c r="Y684" s="2">
        <v>0</v>
      </c>
      <c r="Z684" s="2">
        <v>1</v>
      </c>
      <c r="AA684" s="2">
        <v>2</v>
      </c>
      <c r="AB684" s="2">
        <v>2</v>
      </c>
      <c r="AC684" s="2">
        <v>1</v>
      </c>
      <c r="AD684" s="2">
        <v>0</v>
      </c>
      <c r="AE684" s="2">
        <v>0</v>
      </c>
      <c r="AF684" s="2">
        <v>1</v>
      </c>
      <c r="AG684" s="20">
        <f t="shared" si="10"/>
        <v>100</v>
      </c>
    </row>
    <row r="685" spans="1:33" x14ac:dyDescent="0.25">
      <c r="A685">
        <v>684</v>
      </c>
      <c r="B685" s="2">
        <v>3</v>
      </c>
      <c r="C685" s="2">
        <v>24</v>
      </c>
      <c r="D685" s="2">
        <v>4</v>
      </c>
      <c r="E685" s="2">
        <v>0</v>
      </c>
      <c r="F685" s="2">
        <v>0</v>
      </c>
      <c r="G685" s="2">
        <v>0</v>
      </c>
      <c r="H685" s="2">
        <v>1</v>
      </c>
      <c r="I685" s="2">
        <v>0</v>
      </c>
      <c r="J685" s="2">
        <v>0</v>
      </c>
      <c r="K685" s="2">
        <v>5103</v>
      </c>
      <c r="L685" s="2">
        <v>0</v>
      </c>
      <c r="M685" s="2">
        <v>1</v>
      </c>
      <c r="N685" s="2">
        <v>3</v>
      </c>
      <c r="O685" s="2">
        <v>0</v>
      </c>
      <c r="P685" s="2">
        <v>0</v>
      </c>
      <c r="Q685" s="2">
        <v>1</v>
      </c>
      <c r="R685" s="2">
        <v>0</v>
      </c>
      <c r="S685" s="2">
        <v>0</v>
      </c>
      <c r="T685" s="2">
        <v>3</v>
      </c>
      <c r="U685" s="2">
        <v>0</v>
      </c>
      <c r="V685" s="2">
        <v>1</v>
      </c>
      <c r="W685" s="2">
        <v>47</v>
      </c>
      <c r="X685" s="2">
        <v>0</v>
      </c>
      <c r="Y685" s="2">
        <v>0</v>
      </c>
      <c r="Z685" s="2">
        <v>0</v>
      </c>
      <c r="AA685" s="2">
        <v>3</v>
      </c>
      <c r="AB685" s="2">
        <v>2</v>
      </c>
      <c r="AC685" s="2">
        <v>1</v>
      </c>
      <c r="AD685" s="2">
        <v>1</v>
      </c>
      <c r="AE685" s="2">
        <v>0</v>
      </c>
      <c r="AF685" s="2">
        <v>1</v>
      </c>
      <c r="AG685" s="20">
        <f t="shared" si="10"/>
        <v>100</v>
      </c>
    </row>
    <row r="686" spans="1:33" x14ac:dyDescent="0.25">
      <c r="A686">
        <v>685</v>
      </c>
      <c r="B686" s="2">
        <v>1</v>
      </c>
      <c r="C686" s="2">
        <v>36</v>
      </c>
      <c r="D686" s="2">
        <v>3</v>
      </c>
      <c r="E686" s="2">
        <v>0</v>
      </c>
      <c r="F686" s="2">
        <v>0</v>
      </c>
      <c r="G686" s="2">
        <v>0</v>
      </c>
      <c r="H686" s="2">
        <v>0</v>
      </c>
      <c r="I686" s="2">
        <v>0</v>
      </c>
      <c r="J686" s="2">
        <v>1</v>
      </c>
      <c r="K686" s="2">
        <v>9857</v>
      </c>
      <c r="L686" s="2">
        <v>1</v>
      </c>
      <c r="M686" s="2">
        <v>3</v>
      </c>
      <c r="N686" s="2">
        <v>1</v>
      </c>
      <c r="O686" s="2">
        <v>0</v>
      </c>
      <c r="P686" s="2">
        <v>1</v>
      </c>
      <c r="Q686" s="2">
        <v>0</v>
      </c>
      <c r="R686" s="2">
        <v>0</v>
      </c>
      <c r="S686" s="2">
        <v>0</v>
      </c>
      <c r="T686" s="2">
        <v>3</v>
      </c>
      <c r="U686" s="2">
        <v>0</v>
      </c>
      <c r="V686" s="2">
        <v>0</v>
      </c>
      <c r="W686" s="2">
        <v>31</v>
      </c>
      <c r="X686" s="2">
        <v>0</v>
      </c>
      <c r="Y686" s="2">
        <v>0</v>
      </c>
      <c r="Z686" s="2">
        <v>1</v>
      </c>
      <c r="AA686" s="2">
        <v>2</v>
      </c>
      <c r="AB686" s="2">
        <v>1</v>
      </c>
      <c r="AC686" s="2">
        <v>2</v>
      </c>
      <c r="AD686" s="2">
        <v>1</v>
      </c>
      <c r="AE686" s="2">
        <v>0</v>
      </c>
      <c r="AF686" s="2">
        <v>1</v>
      </c>
      <c r="AG686" s="20">
        <f t="shared" si="10"/>
        <v>100</v>
      </c>
    </row>
    <row r="687" spans="1:33" x14ac:dyDescent="0.25">
      <c r="A687">
        <v>686</v>
      </c>
      <c r="B687" s="2">
        <v>3</v>
      </c>
      <c r="C687" s="2">
        <v>60</v>
      </c>
      <c r="D687" s="2">
        <v>2</v>
      </c>
      <c r="E687" s="2">
        <v>1</v>
      </c>
      <c r="F687" s="2">
        <v>0</v>
      </c>
      <c r="G687" s="2">
        <v>0</v>
      </c>
      <c r="H687" s="2">
        <v>0</v>
      </c>
      <c r="I687" s="2">
        <v>0</v>
      </c>
      <c r="J687" s="2">
        <v>0</v>
      </c>
      <c r="K687" s="2">
        <v>6527</v>
      </c>
      <c r="L687" s="2">
        <v>4</v>
      </c>
      <c r="M687" s="2">
        <v>2</v>
      </c>
      <c r="N687" s="2">
        <v>4</v>
      </c>
      <c r="O687" s="2">
        <v>0</v>
      </c>
      <c r="P687" s="2">
        <v>1</v>
      </c>
      <c r="Q687" s="2">
        <v>0</v>
      </c>
      <c r="R687" s="2">
        <v>0</v>
      </c>
      <c r="S687" s="2">
        <v>0</v>
      </c>
      <c r="T687" s="2">
        <v>4</v>
      </c>
      <c r="U687" s="2">
        <v>0</v>
      </c>
      <c r="V687" s="2">
        <v>1</v>
      </c>
      <c r="W687" s="2">
        <v>34</v>
      </c>
      <c r="X687" s="2">
        <v>0</v>
      </c>
      <c r="Y687" s="2">
        <v>0</v>
      </c>
      <c r="Z687" s="2">
        <v>0</v>
      </c>
      <c r="AA687" s="2">
        <v>1</v>
      </c>
      <c r="AB687" s="2">
        <v>2</v>
      </c>
      <c r="AC687" s="2">
        <v>2</v>
      </c>
      <c r="AD687" s="2">
        <v>1</v>
      </c>
      <c r="AE687" s="2">
        <v>0</v>
      </c>
      <c r="AF687" s="2">
        <v>1</v>
      </c>
      <c r="AG687" s="20">
        <f t="shared" si="10"/>
        <v>100</v>
      </c>
    </row>
    <row r="688" spans="1:33" x14ac:dyDescent="0.25">
      <c r="A688">
        <v>687</v>
      </c>
      <c r="B688" s="2">
        <v>2</v>
      </c>
      <c r="C688" s="2">
        <v>10</v>
      </c>
      <c r="D688" s="2">
        <v>4</v>
      </c>
      <c r="E688" s="2">
        <v>0</v>
      </c>
      <c r="F688" s="2">
        <v>0</v>
      </c>
      <c r="G688" s="2">
        <v>0</v>
      </c>
      <c r="H688" s="2">
        <v>1</v>
      </c>
      <c r="I688" s="2">
        <v>0</v>
      </c>
      <c r="J688" s="2">
        <v>0</v>
      </c>
      <c r="K688" s="2">
        <v>1347</v>
      </c>
      <c r="L688" s="2">
        <v>4</v>
      </c>
      <c r="M688" s="2">
        <v>3</v>
      </c>
      <c r="N688" s="2">
        <v>4</v>
      </c>
      <c r="O688" s="2">
        <v>0</v>
      </c>
      <c r="P688" s="2">
        <v>1</v>
      </c>
      <c r="Q688" s="2">
        <v>0</v>
      </c>
      <c r="R688" s="2">
        <v>0</v>
      </c>
      <c r="S688" s="2">
        <v>0</v>
      </c>
      <c r="T688" s="2">
        <v>2</v>
      </c>
      <c r="U688" s="2">
        <v>0</v>
      </c>
      <c r="V688" s="2">
        <v>0</v>
      </c>
      <c r="W688" s="2">
        <v>27</v>
      </c>
      <c r="X688" s="2">
        <v>0</v>
      </c>
      <c r="Y688" s="2">
        <v>0</v>
      </c>
      <c r="Z688" s="2">
        <v>1</v>
      </c>
      <c r="AA688" s="2">
        <v>2</v>
      </c>
      <c r="AB688" s="2">
        <v>2</v>
      </c>
      <c r="AC688" s="2">
        <v>1</v>
      </c>
      <c r="AD688" s="2">
        <v>1</v>
      </c>
      <c r="AE688" s="2">
        <v>0</v>
      </c>
      <c r="AF688" s="2">
        <v>1</v>
      </c>
      <c r="AG688" s="20">
        <f t="shared" si="10"/>
        <v>100</v>
      </c>
    </row>
    <row r="689" spans="1:33" x14ac:dyDescent="0.25">
      <c r="A689">
        <v>688</v>
      </c>
      <c r="B689" s="2">
        <v>1</v>
      </c>
      <c r="C689" s="2">
        <v>36</v>
      </c>
      <c r="D689" s="2">
        <v>3</v>
      </c>
      <c r="E689" s="2">
        <v>1</v>
      </c>
      <c r="F689" s="2">
        <v>0</v>
      </c>
      <c r="G689" s="2">
        <v>0</v>
      </c>
      <c r="H689" s="2">
        <v>0</v>
      </c>
      <c r="I689" s="2">
        <v>0</v>
      </c>
      <c r="J689" s="2">
        <v>0</v>
      </c>
      <c r="K689" s="2">
        <v>2862</v>
      </c>
      <c r="L689" s="2">
        <v>1</v>
      </c>
      <c r="M689" s="2">
        <v>4</v>
      </c>
      <c r="N689" s="2">
        <v>4</v>
      </c>
      <c r="O689" s="2">
        <v>0</v>
      </c>
      <c r="P689" s="2">
        <v>1</v>
      </c>
      <c r="Q689" s="2">
        <v>0</v>
      </c>
      <c r="R689" s="2">
        <v>0</v>
      </c>
      <c r="S689" s="2">
        <v>0</v>
      </c>
      <c r="T689" s="2">
        <v>3</v>
      </c>
      <c r="U689" s="2">
        <v>0</v>
      </c>
      <c r="V689" s="2">
        <v>1</v>
      </c>
      <c r="W689" s="2">
        <v>30</v>
      </c>
      <c r="X689" s="2">
        <v>0</v>
      </c>
      <c r="Y689" s="2">
        <v>0</v>
      </c>
      <c r="Z689" s="2">
        <v>0</v>
      </c>
      <c r="AA689" s="2">
        <v>1</v>
      </c>
      <c r="AB689" s="2">
        <v>2</v>
      </c>
      <c r="AC689" s="2">
        <v>1</v>
      </c>
      <c r="AD689" s="2">
        <v>0</v>
      </c>
      <c r="AE689" s="2">
        <v>0</v>
      </c>
      <c r="AF689" s="2">
        <v>1</v>
      </c>
      <c r="AG689" s="20">
        <f t="shared" si="10"/>
        <v>100</v>
      </c>
    </row>
    <row r="690" spans="1:33" x14ac:dyDescent="0.25">
      <c r="A690">
        <v>689</v>
      </c>
      <c r="B690" s="2">
        <v>3</v>
      </c>
      <c r="C690" s="2">
        <v>9</v>
      </c>
      <c r="D690" s="2">
        <v>2</v>
      </c>
      <c r="E690" s="2">
        <v>0</v>
      </c>
      <c r="F690" s="2">
        <v>0</v>
      </c>
      <c r="G690" s="2">
        <v>0</v>
      </c>
      <c r="H690" s="2">
        <v>1</v>
      </c>
      <c r="I690" s="2">
        <v>0</v>
      </c>
      <c r="J690" s="2">
        <v>0</v>
      </c>
      <c r="K690" s="2">
        <v>2753</v>
      </c>
      <c r="L690" s="2">
        <v>1</v>
      </c>
      <c r="M690" s="2">
        <v>4</v>
      </c>
      <c r="N690" s="2">
        <v>3</v>
      </c>
      <c r="O690" s="2">
        <v>0</v>
      </c>
      <c r="P690" s="2">
        <v>1</v>
      </c>
      <c r="Q690" s="2">
        <v>0</v>
      </c>
      <c r="R690" s="2">
        <v>1</v>
      </c>
      <c r="S690" s="2">
        <v>0</v>
      </c>
      <c r="T690" s="2">
        <v>4</v>
      </c>
      <c r="U690" s="2">
        <v>0</v>
      </c>
      <c r="V690" s="2">
        <v>0</v>
      </c>
      <c r="W690" s="2">
        <v>35</v>
      </c>
      <c r="X690" s="2">
        <v>0</v>
      </c>
      <c r="Y690" s="2">
        <v>0</v>
      </c>
      <c r="Z690" s="2">
        <v>1</v>
      </c>
      <c r="AA690" s="2">
        <v>1</v>
      </c>
      <c r="AB690" s="2">
        <v>2</v>
      </c>
      <c r="AC690" s="2">
        <v>1</v>
      </c>
      <c r="AD690" s="2">
        <v>1</v>
      </c>
      <c r="AE690" s="2">
        <v>0</v>
      </c>
      <c r="AF690" s="2">
        <v>1</v>
      </c>
      <c r="AG690" s="20">
        <f t="shared" si="10"/>
        <v>100</v>
      </c>
    </row>
    <row r="691" spans="1:33" x14ac:dyDescent="0.25">
      <c r="A691">
        <v>690</v>
      </c>
      <c r="B691" s="2">
        <v>0</v>
      </c>
      <c r="C691" s="2">
        <v>12</v>
      </c>
      <c r="D691" s="2">
        <v>2</v>
      </c>
      <c r="E691" s="2">
        <v>1</v>
      </c>
      <c r="F691" s="2">
        <v>0</v>
      </c>
      <c r="G691" s="2">
        <v>0</v>
      </c>
      <c r="H691" s="2">
        <v>0</v>
      </c>
      <c r="I691" s="2">
        <v>0</v>
      </c>
      <c r="J691" s="2">
        <v>0</v>
      </c>
      <c r="K691" s="2">
        <v>3651</v>
      </c>
      <c r="L691" s="2">
        <v>3</v>
      </c>
      <c r="M691" s="2">
        <v>2</v>
      </c>
      <c r="N691" s="2">
        <v>1</v>
      </c>
      <c r="O691" s="2">
        <v>0</v>
      </c>
      <c r="P691" s="2">
        <v>1</v>
      </c>
      <c r="Q691" s="2">
        <v>0</v>
      </c>
      <c r="R691" s="2">
        <v>0</v>
      </c>
      <c r="S691" s="2">
        <v>0</v>
      </c>
      <c r="T691" s="2">
        <v>3</v>
      </c>
      <c r="U691" s="2">
        <v>0</v>
      </c>
      <c r="V691" s="2">
        <v>0</v>
      </c>
      <c r="W691" s="2">
        <v>31</v>
      </c>
      <c r="X691" s="2">
        <v>0</v>
      </c>
      <c r="Y691" s="2">
        <v>0</v>
      </c>
      <c r="Z691" s="2">
        <v>1</v>
      </c>
      <c r="AA691" s="2">
        <v>1</v>
      </c>
      <c r="AB691" s="2">
        <v>2</v>
      </c>
      <c r="AC691" s="2">
        <v>2</v>
      </c>
      <c r="AD691" s="2">
        <v>0</v>
      </c>
      <c r="AE691" s="2">
        <v>0</v>
      </c>
      <c r="AF691" s="2">
        <v>1</v>
      </c>
      <c r="AG691" s="20">
        <f t="shared" si="10"/>
        <v>100</v>
      </c>
    </row>
    <row r="692" spans="1:33" x14ac:dyDescent="0.25">
      <c r="A692">
        <v>691</v>
      </c>
      <c r="B692" s="2">
        <v>0</v>
      </c>
      <c r="C692" s="2">
        <v>15</v>
      </c>
      <c r="D692" s="2">
        <v>4</v>
      </c>
      <c r="E692" s="2">
        <v>0</v>
      </c>
      <c r="F692" s="2">
        <v>0</v>
      </c>
      <c r="G692" s="2">
        <v>1</v>
      </c>
      <c r="H692" s="2">
        <v>0</v>
      </c>
      <c r="I692" s="2">
        <v>0</v>
      </c>
      <c r="J692" s="2">
        <v>0</v>
      </c>
      <c r="K692" s="2">
        <v>975</v>
      </c>
      <c r="L692" s="2">
        <v>0</v>
      </c>
      <c r="M692" s="2">
        <v>2</v>
      </c>
      <c r="N692" s="2">
        <v>2</v>
      </c>
      <c r="O692" s="2">
        <v>1</v>
      </c>
      <c r="P692" s="2">
        <v>0</v>
      </c>
      <c r="Q692" s="2">
        <v>0</v>
      </c>
      <c r="R692" s="2">
        <v>0</v>
      </c>
      <c r="S692" s="2">
        <v>0</v>
      </c>
      <c r="T692" s="2">
        <v>3</v>
      </c>
      <c r="U692" s="2">
        <v>0</v>
      </c>
      <c r="V692" s="2">
        <v>0</v>
      </c>
      <c r="W692" s="2">
        <v>25</v>
      </c>
      <c r="X692" s="2">
        <v>0</v>
      </c>
      <c r="Y692" s="2">
        <v>0</v>
      </c>
      <c r="Z692" s="2">
        <v>1</v>
      </c>
      <c r="AA692" s="2">
        <v>2</v>
      </c>
      <c r="AB692" s="2">
        <v>2</v>
      </c>
      <c r="AC692" s="2">
        <v>1</v>
      </c>
      <c r="AD692" s="2">
        <v>0</v>
      </c>
      <c r="AE692" s="2">
        <v>0</v>
      </c>
      <c r="AF692" s="2">
        <v>1</v>
      </c>
      <c r="AG692" s="20">
        <f t="shared" si="10"/>
        <v>100</v>
      </c>
    </row>
    <row r="693" spans="1:33" x14ac:dyDescent="0.25">
      <c r="A693">
        <v>692</v>
      </c>
      <c r="B693" s="2">
        <v>1</v>
      </c>
      <c r="C693" s="2">
        <v>15</v>
      </c>
      <c r="D693" s="2">
        <v>2</v>
      </c>
      <c r="E693" s="2">
        <v>0</v>
      </c>
      <c r="F693" s="2">
        <v>0</v>
      </c>
      <c r="G693" s="2">
        <v>0</v>
      </c>
      <c r="H693" s="2">
        <v>0</v>
      </c>
      <c r="I693" s="2">
        <v>0</v>
      </c>
      <c r="J693" s="2">
        <v>0</v>
      </c>
      <c r="K693" s="2">
        <v>2631</v>
      </c>
      <c r="L693" s="2">
        <v>1</v>
      </c>
      <c r="M693" s="2">
        <v>2</v>
      </c>
      <c r="N693" s="2">
        <v>3</v>
      </c>
      <c r="O693" s="2">
        <v>0</v>
      </c>
      <c r="P693" s="2">
        <v>0</v>
      </c>
      <c r="Q693" s="2">
        <v>0</v>
      </c>
      <c r="R693" s="2">
        <v>0</v>
      </c>
      <c r="S693" s="2">
        <v>0</v>
      </c>
      <c r="T693" s="2">
        <v>2</v>
      </c>
      <c r="U693" s="2">
        <v>1</v>
      </c>
      <c r="V693" s="2">
        <v>0</v>
      </c>
      <c r="W693" s="2">
        <v>25</v>
      </c>
      <c r="X693" s="2">
        <v>0</v>
      </c>
      <c r="Y693" s="2">
        <v>0</v>
      </c>
      <c r="Z693" s="2">
        <v>1</v>
      </c>
      <c r="AA693" s="2">
        <v>1</v>
      </c>
      <c r="AB693" s="2">
        <v>1</v>
      </c>
      <c r="AC693" s="2">
        <v>1</v>
      </c>
      <c r="AD693" s="2">
        <v>0</v>
      </c>
      <c r="AE693" s="2">
        <v>0</v>
      </c>
      <c r="AF693" s="2">
        <v>1</v>
      </c>
      <c r="AG693" s="20">
        <f t="shared" si="10"/>
        <v>100</v>
      </c>
    </row>
    <row r="694" spans="1:33" x14ac:dyDescent="0.25">
      <c r="A694">
        <v>693</v>
      </c>
      <c r="B694" s="2">
        <v>1</v>
      </c>
      <c r="C694" s="2">
        <v>24</v>
      </c>
      <c r="D694" s="2">
        <v>2</v>
      </c>
      <c r="E694" s="2">
        <v>0</v>
      </c>
      <c r="F694" s="2">
        <v>0</v>
      </c>
      <c r="G694" s="2">
        <v>0</v>
      </c>
      <c r="H694" s="2">
        <v>1</v>
      </c>
      <c r="I694" s="2">
        <v>0</v>
      </c>
      <c r="J694" s="2">
        <v>0</v>
      </c>
      <c r="K694" s="2">
        <v>2896</v>
      </c>
      <c r="L694" s="2">
        <v>1</v>
      </c>
      <c r="M694" s="2">
        <v>1</v>
      </c>
      <c r="N694" s="2">
        <v>2</v>
      </c>
      <c r="O694" s="2">
        <v>0</v>
      </c>
      <c r="P694" s="2">
        <v>1</v>
      </c>
      <c r="Q694" s="2">
        <v>0</v>
      </c>
      <c r="R694" s="2">
        <v>0</v>
      </c>
      <c r="S694" s="2">
        <v>0</v>
      </c>
      <c r="T694" s="2">
        <v>1</v>
      </c>
      <c r="U694" s="2">
        <v>0</v>
      </c>
      <c r="V694" s="2">
        <v>0</v>
      </c>
      <c r="W694" s="2">
        <v>29</v>
      </c>
      <c r="X694" s="2">
        <v>0</v>
      </c>
      <c r="Y694" s="2">
        <v>0</v>
      </c>
      <c r="Z694" s="2">
        <v>1</v>
      </c>
      <c r="AA694" s="2">
        <v>1</v>
      </c>
      <c r="AB694" s="2">
        <v>2</v>
      </c>
      <c r="AC694" s="2">
        <v>1</v>
      </c>
      <c r="AD694" s="2">
        <v>0</v>
      </c>
      <c r="AE694" s="2">
        <v>0</v>
      </c>
      <c r="AF694" s="2">
        <v>1</v>
      </c>
      <c r="AG694" s="20">
        <f t="shared" si="10"/>
        <v>100</v>
      </c>
    </row>
    <row r="695" spans="1:33" x14ac:dyDescent="0.25">
      <c r="A695">
        <v>694</v>
      </c>
      <c r="B695" s="2">
        <v>0</v>
      </c>
      <c r="C695" s="2">
        <v>6</v>
      </c>
      <c r="D695" s="2">
        <v>4</v>
      </c>
      <c r="E695" s="2">
        <v>1</v>
      </c>
      <c r="F695" s="2">
        <v>0</v>
      </c>
      <c r="G695" s="2">
        <v>0</v>
      </c>
      <c r="H695" s="2">
        <v>0</v>
      </c>
      <c r="I695" s="2">
        <v>0</v>
      </c>
      <c r="J695" s="2">
        <v>0</v>
      </c>
      <c r="K695" s="2">
        <v>4716</v>
      </c>
      <c r="L695" s="2">
        <v>4</v>
      </c>
      <c r="M695" s="2">
        <v>1</v>
      </c>
      <c r="N695" s="2">
        <v>1</v>
      </c>
      <c r="O695" s="2">
        <v>0</v>
      </c>
      <c r="P695" s="2">
        <v>1</v>
      </c>
      <c r="Q695" s="2">
        <v>0</v>
      </c>
      <c r="R695" s="2">
        <v>0</v>
      </c>
      <c r="S695" s="2">
        <v>0</v>
      </c>
      <c r="T695" s="2">
        <v>3</v>
      </c>
      <c r="U695" s="2">
        <v>1</v>
      </c>
      <c r="V695" s="2">
        <v>0</v>
      </c>
      <c r="W695" s="2">
        <v>44</v>
      </c>
      <c r="X695" s="2">
        <v>0</v>
      </c>
      <c r="Y695" s="2">
        <v>0</v>
      </c>
      <c r="Z695" s="2">
        <v>1</v>
      </c>
      <c r="AA695" s="2">
        <v>2</v>
      </c>
      <c r="AB695" s="2">
        <v>1</v>
      </c>
      <c r="AC695" s="2">
        <v>2</v>
      </c>
      <c r="AD695" s="2">
        <v>0</v>
      </c>
      <c r="AE695" s="2">
        <v>0</v>
      </c>
      <c r="AF695" s="2">
        <v>1</v>
      </c>
      <c r="AG695" s="20">
        <f t="shared" si="10"/>
        <v>100</v>
      </c>
    </row>
    <row r="696" spans="1:33" x14ac:dyDescent="0.25">
      <c r="A696">
        <v>695</v>
      </c>
      <c r="B696" s="2">
        <v>3</v>
      </c>
      <c r="C696" s="2">
        <v>24</v>
      </c>
      <c r="D696" s="2">
        <v>2</v>
      </c>
      <c r="E696" s="2">
        <v>0</v>
      </c>
      <c r="F696" s="2">
        <v>0</v>
      </c>
      <c r="G696" s="2">
        <v>0</v>
      </c>
      <c r="H696" s="2">
        <v>1</v>
      </c>
      <c r="I696" s="2">
        <v>0</v>
      </c>
      <c r="J696" s="2">
        <v>0</v>
      </c>
      <c r="K696" s="2">
        <v>2284</v>
      </c>
      <c r="L696" s="2">
        <v>0</v>
      </c>
      <c r="M696" s="2">
        <v>3</v>
      </c>
      <c r="N696" s="2">
        <v>4</v>
      </c>
      <c r="O696" s="2">
        <v>0</v>
      </c>
      <c r="P696" s="2">
        <v>1</v>
      </c>
      <c r="Q696" s="2">
        <v>0</v>
      </c>
      <c r="R696" s="2">
        <v>0</v>
      </c>
      <c r="S696" s="2">
        <v>0</v>
      </c>
      <c r="T696" s="2">
        <v>2</v>
      </c>
      <c r="U696" s="2">
        <v>0</v>
      </c>
      <c r="V696" s="2">
        <v>0</v>
      </c>
      <c r="W696" s="2">
        <v>28</v>
      </c>
      <c r="X696" s="2">
        <v>0</v>
      </c>
      <c r="Y696" s="2">
        <v>0</v>
      </c>
      <c r="Z696" s="2">
        <v>1</v>
      </c>
      <c r="AA696" s="2">
        <v>1</v>
      </c>
      <c r="AB696" s="2">
        <v>2</v>
      </c>
      <c r="AC696" s="2">
        <v>1</v>
      </c>
      <c r="AD696" s="2">
        <v>1</v>
      </c>
      <c r="AE696" s="2">
        <v>0</v>
      </c>
      <c r="AF696" s="2">
        <v>1</v>
      </c>
      <c r="AG696" s="20">
        <f t="shared" si="10"/>
        <v>100</v>
      </c>
    </row>
    <row r="697" spans="1:33" x14ac:dyDescent="0.25">
      <c r="A697">
        <v>696</v>
      </c>
      <c r="B697" s="2">
        <v>3</v>
      </c>
      <c r="C697" s="2">
        <v>6</v>
      </c>
      <c r="D697" s="2">
        <v>2</v>
      </c>
      <c r="E697" s="2">
        <v>0</v>
      </c>
      <c r="F697" s="2">
        <v>1</v>
      </c>
      <c r="G697" s="2">
        <v>0</v>
      </c>
      <c r="H697" s="2">
        <v>0</v>
      </c>
      <c r="I697" s="2">
        <v>0</v>
      </c>
      <c r="J697" s="2">
        <v>0</v>
      </c>
      <c r="K697" s="2">
        <v>1236</v>
      </c>
      <c r="L697" s="2">
        <v>2</v>
      </c>
      <c r="M697" s="2">
        <v>2</v>
      </c>
      <c r="N697" s="2">
        <v>2</v>
      </c>
      <c r="O697" s="2">
        <v>0</v>
      </c>
      <c r="P697" s="2">
        <v>1</v>
      </c>
      <c r="Q697" s="2">
        <v>0</v>
      </c>
      <c r="R697" s="2">
        <v>0</v>
      </c>
      <c r="S697" s="2">
        <v>0</v>
      </c>
      <c r="T697" s="2">
        <v>4</v>
      </c>
      <c r="U697" s="2">
        <v>0</v>
      </c>
      <c r="V697" s="2">
        <v>0</v>
      </c>
      <c r="W697" s="2">
        <v>50</v>
      </c>
      <c r="X697" s="2">
        <v>0</v>
      </c>
      <c r="Y697" s="2">
        <v>1</v>
      </c>
      <c r="Z697" s="2">
        <v>0</v>
      </c>
      <c r="AA697" s="2">
        <v>1</v>
      </c>
      <c r="AB697" s="2">
        <v>2</v>
      </c>
      <c r="AC697" s="2">
        <v>1</v>
      </c>
      <c r="AD697" s="2">
        <v>0</v>
      </c>
      <c r="AE697" s="2">
        <v>0</v>
      </c>
      <c r="AF697" s="2">
        <v>1</v>
      </c>
      <c r="AG697" s="20">
        <f t="shared" si="10"/>
        <v>100</v>
      </c>
    </row>
    <row r="698" spans="1:33" x14ac:dyDescent="0.25">
      <c r="A698">
        <v>697</v>
      </c>
      <c r="B698" s="2">
        <v>1</v>
      </c>
      <c r="C698" s="2">
        <v>12</v>
      </c>
      <c r="D698" s="2">
        <v>2</v>
      </c>
      <c r="E698" s="2">
        <v>0</v>
      </c>
      <c r="F698" s="2">
        <v>0</v>
      </c>
      <c r="G698" s="2">
        <v>0</v>
      </c>
      <c r="H698" s="2">
        <v>1</v>
      </c>
      <c r="I698" s="2">
        <v>0</v>
      </c>
      <c r="J698" s="2">
        <v>0</v>
      </c>
      <c r="K698" s="2">
        <v>1103</v>
      </c>
      <c r="L698" s="2">
        <v>0</v>
      </c>
      <c r="M698" s="2">
        <v>3</v>
      </c>
      <c r="N698" s="2">
        <v>4</v>
      </c>
      <c r="O698" s="2">
        <v>0</v>
      </c>
      <c r="P698" s="2">
        <v>1</v>
      </c>
      <c r="Q698" s="2">
        <v>0</v>
      </c>
      <c r="R698" s="2">
        <v>0</v>
      </c>
      <c r="S698" s="2">
        <v>1</v>
      </c>
      <c r="T698" s="2">
        <v>3</v>
      </c>
      <c r="U698" s="2">
        <v>1</v>
      </c>
      <c r="V698" s="2">
        <v>0</v>
      </c>
      <c r="W698" s="2">
        <v>29</v>
      </c>
      <c r="X698" s="2">
        <v>0</v>
      </c>
      <c r="Y698" s="2">
        <v>0</v>
      </c>
      <c r="Z698" s="2">
        <v>1</v>
      </c>
      <c r="AA698" s="2">
        <v>2</v>
      </c>
      <c r="AB698" s="2">
        <v>2</v>
      </c>
      <c r="AC698" s="2">
        <v>1</v>
      </c>
      <c r="AD698" s="2">
        <v>0</v>
      </c>
      <c r="AE698" s="2">
        <v>1</v>
      </c>
      <c r="AF698" s="2">
        <v>1</v>
      </c>
      <c r="AG698" s="20">
        <f t="shared" si="10"/>
        <v>100</v>
      </c>
    </row>
    <row r="699" spans="1:33" x14ac:dyDescent="0.25">
      <c r="A699">
        <v>698</v>
      </c>
      <c r="B699" s="2">
        <v>3</v>
      </c>
      <c r="C699" s="2">
        <v>12</v>
      </c>
      <c r="D699" s="2">
        <v>4</v>
      </c>
      <c r="E699" s="2">
        <v>1</v>
      </c>
      <c r="F699" s="2">
        <v>0</v>
      </c>
      <c r="G699" s="2">
        <v>0</v>
      </c>
      <c r="H699" s="2">
        <v>0</v>
      </c>
      <c r="I699" s="2">
        <v>0</v>
      </c>
      <c r="J699" s="2">
        <v>0</v>
      </c>
      <c r="K699" s="2">
        <v>926</v>
      </c>
      <c r="L699" s="2">
        <v>0</v>
      </c>
      <c r="M699" s="2">
        <v>0</v>
      </c>
      <c r="N699" s="2">
        <v>1</v>
      </c>
      <c r="O699" s="2">
        <v>0</v>
      </c>
      <c r="P699" s="2">
        <v>0</v>
      </c>
      <c r="Q699" s="2">
        <v>0</v>
      </c>
      <c r="R699" s="2">
        <v>0</v>
      </c>
      <c r="S699" s="2">
        <v>0</v>
      </c>
      <c r="T699" s="2">
        <v>2</v>
      </c>
      <c r="U699" s="2">
        <v>0</v>
      </c>
      <c r="V699" s="2">
        <v>0</v>
      </c>
      <c r="W699" s="2">
        <v>38</v>
      </c>
      <c r="X699" s="2">
        <v>0</v>
      </c>
      <c r="Y699" s="2">
        <v>0</v>
      </c>
      <c r="Z699" s="2">
        <v>1</v>
      </c>
      <c r="AA699" s="2">
        <v>1</v>
      </c>
      <c r="AB699" s="2">
        <v>0</v>
      </c>
      <c r="AC699" s="2">
        <v>1</v>
      </c>
      <c r="AD699" s="2">
        <v>0</v>
      </c>
      <c r="AE699" s="2">
        <v>0</v>
      </c>
      <c r="AF699" s="2">
        <v>1</v>
      </c>
      <c r="AG699" s="20">
        <f t="shared" si="10"/>
        <v>100</v>
      </c>
    </row>
    <row r="700" spans="1:33" x14ac:dyDescent="0.25">
      <c r="A700">
        <v>699</v>
      </c>
      <c r="B700" s="2">
        <v>3</v>
      </c>
      <c r="C700" s="2">
        <v>18</v>
      </c>
      <c r="D700" s="2">
        <v>4</v>
      </c>
      <c r="E700" s="2">
        <v>0</v>
      </c>
      <c r="F700" s="2">
        <v>0</v>
      </c>
      <c r="G700" s="2">
        <v>0</v>
      </c>
      <c r="H700" s="2">
        <v>1</v>
      </c>
      <c r="I700" s="2">
        <v>0</v>
      </c>
      <c r="J700" s="2">
        <v>0</v>
      </c>
      <c r="K700" s="2">
        <v>1800</v>
      </c>
      <c r="L700" s="2">
        <v>0</v>
      </c>
      <c r="M700" s="2">
        <v>2</v>
      </c>
      <c r="N700" s="2">
        <v>4</v>
      </c>
      <c r="O700" s="2">
        <v>0</v>
      </c>
      <c r="P700" s="2">
        <v>1</v>
      </c>
      <c r="Q700" s="2">
        <v>0</v>
      </c>
      <c r="R700" s="2">
        <v>0</v>
      </c>
      <c r="S700" s="2">
        <v>0</v>
      </c>
      <c r="T700" s="2">
        <v>2</v>
      </c>
      <c r="U700" s="2">
        <v>0</v>
      </c>
      <c r="V700" s="2">
        <v>0</v>
      </c>
      <c r="W700" s="2">
        <v>24</v>
      </c>
      <c r="X700" s="2">
        <v>0</v>
      </c>
      <c r="Y700" s="2">
        <v>0</v>
      </c>
      <c r="Z700" s="2">
        <v>1</v>
      </c>
      <c r="AA700" s="2">
        <v>2</v>
      </c>
      <c r="AB700" s="2">
        <v>2</v>
      </c>
      <c r="AC700" s="2">
        <v>1</v>
      </c>
      <c r="AD700" s="2">
        <v>0</v>
      </c>
      <c r="AE700" s="2">
        <v>0</v>
      </c>
      <c r="AF700" s="2">
        <v>1</v>
      </c>
      <c r="AG700" s="20">
        <f t="shared" si="10"/>
        <v>100</v>
      </c>
    </row>
    <row r="701" spans="1:33" x14ac:dyDescent="0.25">
      <c r="A701">
        <v>700</v>
      </c>
      <c r="B701" s="2">
        <v>2</v>
      </c>
      <c r="C701" s="2">
        <v>15</v>
      </c>
      <c r="D701" s="2">
        <v>2</v>
      </c>
      <c r="E701" s="2">
        <v>0</v>
      </c>
      <c r="F701" s="2">
        <v>0</v>
      </c>
      <c r="G701" s="2">
        <v>0</v>
      </c>
      <c r="H701" s="2">
        <v>0</v>
      </c>
      <c r="I701" s="2">
        <v>1</v>
      </c>
      <c r="J701" s="2">
        <v>0</v>
      </c>
      <c r="K701" s="2">
        <v>1905</v>
      </c>
      <c r="L701" s="2">
        <v>0</v>
      </c>
      <c r="M701" s="2">
        <v>4</v>
      </c>
      <c r="N701" s="2">
        <v>4</v>
      </c>
      <c r="O701" s="2">
        <v>0</v>
      </c>
      <c r="P701" s="2">
        <v>1</v>
      </c>
      <c r="Q701" s="2">
        <v>0</v>
      </c>
      <c r="R701" s="2">
        <v>0</v>
      </c>
      <c r="S701" s="2">
        <v>0</v>
      </c>
      <c r="T701" s="2">
        <v>4</v>
      </c>
      <c r="U701" s="2">
        <v>0</v>
      </c>
      <c r="V701" s="2">
        <v>0</v>
      </c>
      <c r="W701" s="2">
        <v>40</v>
      </c>
      <c r="X701" s="2">
        <v>0</v>
      </c>
      <c r="Y701" s="2">
        <v>1</v>
      </c>
      <c r="Z701" s="2">
        <v>0</v>
      </c>
      <c r="AA701" s="2">
        <v>1</v>
      </c>
      <c r="AB701" s="2">
        <v>3</v>
      </c>
      <c r="AC701" s="2">
        <v>1</v>
      </c>
      <c r="AD701" s="2">
        <v>1</v>
      </c>
      <c r="AE701" s="2">
        <v>0</v>
      </c>
      <c r="AF701" s="2">
        <v>1</v>
      </c>
      <c r="AG701" s="20">
        <f t="shared" si="10"/>
        <v>100</v>
      </c>
    </row>
    <row r="702" spans="1:33" x14ac:dyDescent="0.25">
      <c r="A702">
        <v>701</v>
      </c>
      <c r="B702" s="2">
        <v>3</v>
      </c>
      <c r="C702" s="2">
        <v>12</v>
      </c>
      <c r="D702" s="2">
        <v>2</v>
      </c>
      <c r="E702" s="2">
        <v>0</v>
      </c>
      <c r="F702" s="2">
        <v>0</v>
      </c>
      <c r="G702" s="2">
        <v>1</v>
      </c>
      <c r="H702" s="2">
        <v>0</v>
      </c>
      <c r="I702" s="2">
        <v>0</v>
      </c>
      <c r="J702" s="2">
        <v>0</v>
      </c>
      <c r="K702" s="2">
        <v>1123</v>
      </c>
      <c r="L702" s="2">
        <v>2</v>
      </c>
      <c r="M702" s="2">
        <v>2</v>
      </c>
      <c r="N702" s="2">
        <v>4</v>
      </c>
      <c r="O702" s="2">
        <v>0</v>
      </c>
      <c r="P702" s="2">
        <v>0</v>
      </c>
      <c r="Q702" s="2">
        <v>0</v>
      </c>
      <c r="R702" s="2">
        <v>0</v>
      </c>
      <c r="S702" s="2">
        <v>0</v>
      </c>
      <c r="T702" s="2">
        <v>4</v>
      </c>
      <c r="U702" s="2">
        <v>0</v>
      </c>
      <c r="V702" s="2">
        <v>0</v>
      </c>
      <c r="W702" s="2">
        <v>29</v>
      </c>
      <c r="X702" s="2">
        <v>0</v>
      </c>
      <c r="Y702" s="2">
        <v>1</v>
      </c>
      <c r="Z702" s="2">
        <v>0</v>
      </c>
      <c r="AA702" s="2">
        <v>1</v>
      </c>
      <c r="AB702" s="2">
        <v>1</v>
      </c>
      <c r="AC702" s="2">
        <v>1</v>
      </c>
      <c r="AD702" s="2">
        <v>0</v>
      </c>
      <c r="AE702" s="2">
        <v>0</v>
      </c>
      <c r="AF702" s="2">
        <v>0</v>
      </c>
      <c r="AG702" s="20">
        <f t="shared" si="10"/>
        <v>-500</v>
      </c>
    </row>
    <row r="703" spans="1:33" x14ac:dyDescent="0.25">
      <c r="A703">
        <v>702</v>
      </c>
      <c r="B703" s="2">
        <v>0</v>
      </c>
      <c r="C703" s="2">
        <v>48</v>
      </c>
      <c r="D703" s="2">
        <v>4</v>
      </c>
      <c r="E703" s="2">
        <v>0</v>
      </c>
      <c r="F703" s="2">
        <v>1</v>
      </c>
      <c r="G703" s="2">
        <v>0</v>
      </c>
      <c r="H703" s="2">
        <v>0</v>
      </c>
      <c r="I703" s="2">
        <v>0</v>
      </c>
      <c r="J703" s="2">
        <v>0</v>
      </c>
      <c r="K703" s="2">
        <v>6331</v>
      </c>
      <c r="L703" s="2">
        <v>0</v>
      </c>
      <c r="M703" s="2">
        <v>4</v>
      </c>
      <c r="N703" s="2">
        <v>4</v>
      </c>
      <c r="O703" s="2">
        <v>0</v>
      </c>
      <c r="P703" s="2">
        <v>1</v>
      </c>
      <c r="Q703" s="2">
        <v>0</v>
      </c>
      <c r="R703" s="2">
        <v>0</v>
      </c>
      <c r="S703" s="2">
        <v>0</v>
      </c>
      <c r="T703" s="2">
        <v>4</v>
      </c>
      <c r="U703" s="2">
        <v>0</v>
      </c>
      <c r="V703" s="2">
        <v>1</v>
      </c>
      <c r="W703" s="2">
        <v>46</v>
      </c>
      <c r="X703" s="2">
        <v>0</v>
      </c>
      <c r="Y703" s="2">
        <v>0</v>
      </c>
      <c r="Z703" s="2">
        <v>0</v>
      </c>
      <c r="AA703" s="2">
        <v>2</v>
      </c>
      <c r="AB703" s="2">
        <v>2</v>
      </c>
      <c r="AC703" s="2">
        <v>1</v>
      </c>
      <c r="AD703" s="2">
        <v>1</v>
      </c>
      <c r="AE703" s="2">
        <v>0</v>
      </c>
      <c r="AF703" s="2">
        <v>0</v>
      </c>
      <c r="AG703" s="20">
        <f t="shared" si="10"/>
        <v>-500</v>
      </c>
    </row>
    <row r="704" spans="1:33" x14ac:dyDescent="0.25">
      <c r="A704">
        <v>703</v>
      </c>
      <c r="B704" s="2">
        <v>2</v>
      </c>
      <c r="C704" s="2">
        <v>24</v>
      </c>
      <c r="D704" s="2">
        <v>2</v>
      </c>
      <c r="E704" s="2">
        <v>0</v>
      </c>
      <c r="F704" s="2">
        <v>0</v>
      </c>
      <c r="G704" s="2">
        <v>0</v>
      </c>
      <c r="H704" s="2">
        <v>1</v>
      </c>
      <c r="I704" s="2">
        <v>0</v>
      </c>
      <c r="J704" s="2">
        <v>0</v>
      </c>
      <c r="K704" s="2">
        <v>1377</v>
      </c>
      <c r="L704" s="2">
        <v>1</v>
      </c>
      <c r="M704" s="2">
        <v>4</v>
      </c>
      <c r="N704" s="2">
        <v>4</v>
      </c>
      <c r="O704" s="2">
        <v>0</v>
      </c>
      <c r="P704" s="2">
        <v>0</v>
      </c>
      <c r="Q704" s="2">
        <v>0</v>
      </c>
      <c r="R704" s="2">
        <v>0</v>
      </c>
      <c r="S704" s="2">
        <v>0</v>
      </c>
      <c r="T704" s="2">
        <v>2</v>
      </c>
      <c r="U704" s="2">
        <v>0</v>
      </c>
      <c r="V704" s="2">
        <v>1</v>
      </c>
      <c r="W704" s="2">
        <v>47</v>
      </c>
      <c r="X704" s="2">
        <v>0</v>
      </c>
      <c r="Y704" s="2">
        <v>0</v>
      </c>
      <c r="Z704" s="2">
        <v>0</v>
      </c>
      <c r="AA704" s="2">
        <v>1</v>
      </c>
      <c r="AB704" s="2">
        <v>2</v>
      </c>
      <c r="AC704" s="2">
        <v>1</v>
      </c>
      <c r="AD704" s="2">
        <v>1</v>
      </c>
      <c r="AE704" s="2">
        <v>0</v>
      </c>
      <c r="AF704" s="2">
        <v>1</v>
      </c>
      <c r="AG704" s="20">
        <f t="shared" si="10"/>
        <v>100</v>
      </c>
    </row>
    <row r="705" spans="1:33" x14ac:dyDescent="0.25">
      <c r="A705">
        <v>704</v>
      </c>
      <c r="B705" s="2">
        <v>1</v>
      </c>
      <c r="C705" s="2">
        <v>30</v>
      </c>
      <c r="D705" s="2">
        <v>3</v>
      </c>
      <c r="E705" s="2">
        <v>0</v>
      </c>
      <c r="F705" s="2">
        <v>0</v>
      </c>
      <c r="G705" s="2">
        <v>0</v>
      </c>
      <c r="H705" s="2">
        <v>0</v>
      </c>
      <c r="I705" s="2">
        <v>0</v>
      </c>
      <c r="J705" s="2">
        <v>1</v>
      </c>
      <c r="K705" s="2">
        <v>2503</v>
      </c>
      <c r="L705" s="2">
        <v>1</v>
      </c>
      <c r="M705" s="2">
        <v>4</v>
      </c>
      <c r="N705" s="2">
        <v>4</v>
      </c>
      <c r="O705" s="2">
        <v>0</v>
      </c>
      <c r="P705" s="2">
        <v>1</v>
      </c>
      <c r="Q705" s="2">
        <v>0</v>
      </c>
      <c r="R705" s="2">
        <v>0</v>
      </c>
      <c r="S705" s="2">
        <v>0</v>
      </c>
      <c r="T705" s="2">
        <v>2</v>
      </c>
      <c r="U705" s="2">
        <v>0</v>
      </c>
      <c r="V705" s="2">
        <v>0</v>
      </c>
      <c r="W705" s="2">
        <v>41</v>
      </c>
      <c r="X705" s="2">
        <v>1</v>
      </c>
      <c r="Y705" s="2">
        <v>0</v>
      </c>
      <c r="Z705" s="2">
        <v>1</v>
      </c>
      <c r="AA705" s="2">
        <v>2</v>
      </c>
      <c r="AB705" s="2">
        <v>2</v>
      </c>
      <c r="AC705" s="2">
        <v>1</v>
      </c>
      <c r="AD705" s="2">
        <v>0</v>
      </c>
      <c r="AE705" s="2">
        <v>0</v>
      </c>
      <c r="AF705" s="2">
        <v>1</v>
      </c>
      <c r="AG705" s="20">
        <f t="shared" si="10"/>
        <v>100</v>
      </c>
    </row>
    <row r="706" spans="1:33" x14ac:dyDescent="0.25">
      <c r="A706">
        <v>705</v>
      </c>
      <c r="B706" s="2">
        <v>1</v>
      </c>
      <c r="C706" s="2">
        <v>27</v>
      </c>
      <c r="D706" s="2">
        <v>2</v>
      </c>
      <c r="E706" s="2">
        <v>0</v>
      </c>
      <c r="F706" s="2">
        <v>0</v>
      </c>
      <c r="G706" s="2">
        <v>0</v>
      </c>
      <c r="H706" s="2">
        <v>0</v>
      </c>
      <c r="I706" s="2">
        <v>0</v>
      </c>
      <c r="J706" s="2">
        <v>1</v>
      </c>
      <c r="K706" s="2">
        <v>2528</v>
      </c>
      <c r="L706" s="2">
        <v>0</v>
      </c>
      <c r="M706" s="2">
        <v>1</v>
      </c>
      <c r="N706" s="2">
        <v>4</v>
      </c>
      <c r="O706" s="2">
        <v>0</v>
      </c>
      <c r="P706" s="2">
        <v>0</v>
      </c>
      <c r="Q706" s="2">
        <v>0</v>
      </c>
      <c r="R706" s="2">
        <v>0</v>
      </c>
      <c r="S706" s="2">
        <v>0</v>
      </c>
      <c r="T706" s="2">
        <v>1</v>
      </c>
      <c r="U706" s="2">
        <v>0</v>
      </c>
      <c r="V706" s="2">
        <v>0</v>
      </c>
      <c r="W706" s="2">
        <v>32</v>
      </c>
      <c r="X706" s="2">
        <v>0</v>
      </c>
      <c r="Y706" s="2">
        <v>0</v>
      </c>
      <c r="Z706" s="2">
        <v>1</v>
      </c>
      <c r="AA706" s="2">
        <v>1</v>
      </c>
      <c r="AB706" s="2">
        <v>2</v>
      </c>
      <c r="AC706" s="2">
        <v>2</v>
      </c>
      <c r="AD706" s="2">
        <v>1</v>
      </c>
      <c r="AE706" s="2">
        <v>0</v>
      </c>
      <c r="AF706" s="2">
        <v>1</v>
      </c>
      <c r="AG706" s="20">
        <f t="shared" si="10"/>
        <v>100</v>
      </c>
    </row>
    <row r="707" spans="1:33" x14ac:dyDescent="0.25">
      <c r="A707">
        <v>706</v>
      </c>
      <c r="B707" s="2">
        <v>3</v>
      </c>
      <c r="C707" s="2">
        <v>15</v>
      </c>
      <c r="D707" s="2">
        <v>2</v>
      </c>
      <c r="E707" s="2">
        <v>1</v>
      </c>
      <c r="F707" s="2">
        <v>0</v>
      </c>
      <c r="G707" s="2">
        <v>0</v>
      </c>
      <c r="H707" s="2">
        <v>0</v>
      </c>
      <c r="I707" s="2">
        <v>0</v>
      </c>
      <c r="J707" s="2">
        <v>0</v>
      </c>
      <c r="K707" s="2">
        <v>5324</v>
      </c>
      <c r="L707" s="2">
        <v>2</v>
      </c>
      <c r="M707" s="2">
        <v>4</v>
      </c>
      <c r="N707" s="2">
        <v>1</v>
      </c>
      <c r="O707" s="2">
        <v>0</v>
      </c>
      <c r="P707" s="2">
        <v>0</v>
      </c>
      <c r="Q707" s="2">
        <v>0</v>
      </c>
      <c r="R707" s="2">
        <v>0</v>
      </c>
      <c r="S707" s="2">
        <v>0</v>
      </c>
      <c r="T707" s="2">
        <v>4</v>
      </c>
      <c r="U707" s="2">
        <v>0</v>
      </c>
      <c r="V707" s="2">
        <v>1</v>
      </c>
      <c r="W707" s="2">
        <v>35</v>
      </c>
      <c r="X707" s="2">
        <v>0</v>
      </c>
      <c r="Y707" s="2">
        <v>0</v>
      </c>
      <c r="Z707" s="2">
        <v>0</v>
      </c>
      <c r="AA707" s="2">
        <v>1</v>
      </c>
      <c r="AB707" s="2">
        <v>2</v>
      </c>
      <c r="AC707" s="2">
        <v>1</v>
      </c>
      <c r="AD707" s="2">
        <v>0</v>
      </c>
      <c r="AE707" s="2">
        <v>0</v>
      </c>
      <c r="AF707" s="2">
        <v>1</v>
      </c>
      <c r="AG707" s="20">
        <f t="shared" si="10"/>
        <v>100</v>
      </c>
    </row>
    <row r="708" spans="1:33" x14ac:dyDescent="0.25">
      <c r="A708">
        <v>707</v>
      </c>
      <c r="B708" s="2">
        <v>1</v>
      </c>
      <c r="C708" s="2">
        <v>48</v>
      </c>
      <c r="D708" s="2">
        <v>2</v>
      </c>
      <c r="E708" s="2">
        <v>1</v>
      </c>
      <c r="F708" s="2">
        <v>0</v>
      </c>
      <c r="G708" s="2">
        <v>0</v>
      </c>
      <c r="H708" s="2">
        <v>0</v>
      </c>
      <c r="I708" s="2">
        <v>0</v>
      </c>
      <c r="J708" s="2">
        <v>0</v>
      </c>
      <c r="K708" s="2">
        <v>6560</v>
      </c>
      <c r="L708" s="2">
        <v>1</v>
      </c>
      <c r="M708" s="2">
        <v>3</v>
      </c>
      <c r="N708" s="2">
        <v>3</v>
      </c>
      <c r="O708" s="2">
        <v>0</v>
      </c>
      <c r="P708" s="2">
        <v>1</v>
      </c>
      <c r="Q708" s="2">
        <v>0</v>
      </c>
      <c r="R708" s="2">
        <v>0</v>
      </c>
      <c r="S708" s="2">
        <v>0</v>
      </c>
      <c r="T708" s="2">
        <v>2</v>
      </c>
      <c r="U708" s="2">
        <v>0</v>
      </c>
      <c r="V708" s="2">
        <v>0</v>
      </c>
      <c r="W708" s="2">
        <v>24</v>
      </c>
      <c r="X708" s="2">
        <v>0</v>
      </c>
      <c r="Y708" s="2">
        <v>0</v>
      </c>
      <c r="Z708" s="2">
        <v>1</v>
      </c>
      <c r="AA708" s="2">
        <v>1</v>
      </c>
      <c r="AB708" s="2">
        <v>2</v>
      </c>
      <c r="AC708" s="2">
        <v>1</v>
      </c>
      <c r="AD708" s="2">
        <v>0</v>
      </c>
      <c r="AE708" s="2">
        <v>0</v>
      </c>
      <c r="AF708" s="2">
        <v>0</v>
      </c>
      <c r="AG708" s="20">
        <f t="shared" ref="AG708:AG771" si="11">IF(AF708=1,100,-500)</f>
        <v>-500</v>
      </c>
    </row>
    <row r="709" spans="1:33" x14ac:dyDescent="0.25">
      <c r="A709">
        <v>708</v>
      </c>
      <c r="B709" s="2">
        <v>1</v>
      </c>
      <c r="C709" s="2">
        <v>12</v>
      </c>
      <c r="D709" s="2">
        <v>0</v>
      </c>
      <c r="E709" s="2">
        <v>0</v>
      </c>
      <c r="F709" s="2">
        <v>0</v>
      </c>
      <c r="G709" s="2">
        <v>1</v>
      </c>
      <c r="H709" s="2">
        <v>0</v>
      </c>
      <c r="I709" s="2">
        <v>0</v>
      </c>
      <c r="J709" s="2">
        <v>0</v>
      </c>
      <c r="K709" s="2">
        <v>2969</v>
      </c>
      <c r="L709" s="2">
        <v>0</v>
      </c>
      <c r="M709" s="2">
        <v>1</v>
      </c>
      <c r="N709" s="2">
        <v>4</v>
      </c>
      <c r="O709" s="2">
        <v>0</v>
      </c>
      <c r="P709" s="2">
        <v>0</v>
      </c>
      <c r="Q709" s="2">
        <v>0</v>
      </c>
      <c r="R709" s="2">
        <v>0</v>
      </c>
      <c r="S709" s="2">
        <v>0</v>
      </c>
      <c r="T709" s="2">
        <v>3</v>
      </c>
      <c r="U709" s="2">
        <v>0</v>
      </c>
      <c r="V709" s="2">
        <v>0</v>
      </c>
      <c r="W709" s="2">
        <v>25</v>
      </c>
      <c r="X709" s="2">
        <v>0</v>
      </c>
      <c r="Y709" s="2">
        <v>1</v>
      </c>
      <c r="Z709" s="2">
        <v>0</v>
      </c>
      <c r="AA709" s="2">
        <v>2</v>
      </c>
      <c r="AB709" s="2">
        <v>2</v>
      </c>
      <c r="AC709" s="2">
        <v>1</v>
      </c>
      <c r="AD709" s="2">
        <v>0</v>
      </c>
      <c r="AE709" s="2">
        <v>0</v>
      </c>
      <c r="AF709" s="2">
        <v>0</v>
      </c>
      <c r="AG709" s="20">
        <f t="shared" si="11"/>
        <v>-500</v>
      </c>
    </row>
    <row r="710" spans="1:33" x14ac:dyDescent="0.25">
      <c r="A710">
        <v>709</v>
      </c>
      <c r="B710" s="2">
        <v>1</v>
      </c>
      <c r="C710" s="2">
        <v>9</v>
      </c>
      <c r="D710" s="2">
        <v>2</v>
      </c>
      <c r="E710" s="2">
        <v>0</v>
      </c>
      <c r="F710" s="2">
        <v>0</v>
      </c>
      <c r="G710" s="2">
        <v>0</v>
      </c>
      <c r="H710" s="2">
        <v>1</v>
      </c>
      <c r="I710" s="2">
        <v>0</v>
      </c>
      <c r="J710" s="2">
        <v>0</v>
      </c>
      <c r="K710" s="2">
        <v>1206</v>
      </c>
      <c r="L710" s="2">
        <v>0</v>
      </c>
      <c r="M710" s="2">
        <v>4</v>
      </c>
      <c r="N710" s="2">
        <v>4</v>
      </c>
      <c r="O710" s="2">
        <v>0</v>
      </c>
      <c r="P710" s="2">
        <v>0</v>
      </c>
      <c r="Q710" s="2">
        <v>0</v>
      </c>
      <c r="R710" s="2">
        <v>0</v>
      </c>
      <c r="S710" s="2">
        <v>0</v>
      </c>
      <c r="T710" s="2">
        <v>4</v>
      </c>
      <c r="U710" s="2">
        <v>1</v>
      </c>
      <c r="V710" s="2">
        <v>0</v>
      </c>
      <c r="W710" s="2">
        <v>25</v>
      </c>
      <c r="X710" s="2">
        <v>0</v>
      </c>
      <c r="Y710" s="2">
        <v>0</v>
      </c>
      <c r="Z710" s="2">
        <v>1</v>
      </c>
      <c r="AA710" s="2">
        <v>1</v>
      </c>
      <c r="AB710" s="2">
        <v>2</v>
      </c>
      <c r="AC710" s="2">
        <v>1</v>
      </c>
      <c r="AD710" s="2">
        <v>0</v>
      </c>
      <c r="AE710" s="2">
        <v>0</v>
      </c>
      <c r="AF710" s="2">
        <v>1</v>
      </c>
      <c r="AG710" s="20">
        <f t="shared" si="11"/>
        <v>100</v>
      </c>
    </row>
    <row r="711" spans="1:33" x14ac:dyDescent="0.25">
      <c r="A711">
        <v>710</v>
      </c>
      <c r="B711" s="2">
        <v>1</v>
      </c>
      <c r="C711" s="2">
        <v>9</v>
      </c>
      <c r="D711" s="2">
        <v>2</v>
      </c>
      <c r="E711" s="2">
        <v>0</v>
      </c>
      <c r="F711" s="2">
        <v>0</v>
      </c>
      <c r="G711" s="2">
        <v>0</v>
      </c>
      <c r="H711" s="2">
        <v>1</v>
      </c>
      <c r="I711" s="2">
        <v>0</v>
      </c>
      <c r="J711" s="2">
        <v>0</v>
      </c>
      <c r="K711" s="2">
        <v>2118</v>
      </c>
      <c r="L711" s="2">
        <v>0</v>
      </c>
      <c r="M711" s="2">
        <v>2</v>
      </c>
      <c r="N711" s="2">
        <v>2</v>
      </c>
      <c r="O711" s="2">
        <v>0</v>
      </c>
      <c r="P711" s="2">
        <v>1</v>
      </c>
      <c r="Q711" s="2">
        <v>0</v>
      </c>
      <c r="R711" s="2">
        <v>0</v>
      </c>
      <c r="S711" s="2">
        <v>0</v>
      </c>
      <c r="T711" s="2">
        <v>2</v>
      </c>
      <c r="U711" s="2">
        <v>1</v>
      </c>
      <c r="V711" s="2">
        <v>0</v>
      </c>
      <c r="W711" s="2">
        <v>37</v>
      </c>
      <c r="X711" s="2">
        <v>0</v>
      </c>
      <c r="Y711" s="2">
        <v>0</v>
      </c>
      <c r="Z711" s="2">
        <v>1</v>
      </c>
      <c r="AA711" s="2">
        <v>1</v>
      </c>
      <c r="AB711" s="2">
        <v>1</v>
      </c>
      <c r="AC711" s="2">
        <v>2</v>
      </c>
      <c r="AD711" s="2">
        <v>0</v>
      </c>
      <c r="AE711" s="2">
        <v>0</v>
      </c>
      <c r="AF711" s="2">
        <v>1</v>
      </c>
      <c r="AG711" s="20">
        <f t="shared" si="11"/>
        <v>100</v>
      </c>
    </row>
    <row r="712" spans="1:33" x14ac:dyDescent="0.25">
      <c r="A712">
        <v>711</v>
      </c>
      <c r="B712" s="2">
        <v>3</v>
      </c>
      <c r="C712" s="2">
        <v>18</v>
      </c>
      <c r="D712" s="2">
        <v>4</v>
      </c>
      <c r="E712" s="2">
        <v>0</v>
      </c>
      <c r="F712" s="2">
        <v>0</v>
      </c>
      <c r="G712" s="2">
        <v>0</v>
      </c>
      <c r="H712" s="2">
        <v>1</v>
      </c>
      <c r="I712" s="2">
        <v>0</v>
      </c>
      <c r="J712" s="2">
        <v>0</v>
      </c>
      <c r="K712" s="2">
        <v>629</v>
      </c>
      <c r="L712" s="2">
        <v>2</v>
      </c>
      <c r="M712" s="2">
        <v>4</v>
      </c>
      <c r="N712" s="2">
        <v>4</v>
      </c>
      <c r="O712" s="2">
        <v>0</v>
      </c>
      <c r="P712" s="2">
        <v>1</v>
      </c>
      <c r="Q712" s="2">
        <v>0</v>
      </c>
      <c r="R712" s="2">
        <v>0</v>
      </c>
      <c r="S712" s="2">
        <v>0</v>
      </c>
      <c r="T712" s="2">
        <v>3</v>
      </c>
      <c r="U712" s="2">
        <v>0</v>
      </c>
      <c r="V712" s="2">
        <v>0</v>
      </c>
      <c r="W712" s="2">
        <v>32</v>
      </c>
      <c r="X712" s="2">
        <v>1</v>
      </c>
      <c r="Y712" s="2">
        <v>0</v>
      </c>
      <c r="Z712" s="2">
        <v>1</v>
      </c>
      <c r="AA712" s="2">
        <v>2</v>
      </c>
      <c r="AB712" s="2">
        <v>3</v>
      </c>
      <c r="AC712" s="2">
        <v>1</v>
      </c>
      <c r="AD712" s="2">
        <v>1</v>
      </c>
      <c r="AE712" s="2">
        <v>0</v>
      </c>
      <c r="AF712" s="2">
        <v>1</v>
      </c>
      <c r="AG712" s="20">
        <f t="shared" si="11"/>
        <v>100</v>
      </c>
    </row>
    <row r="713" spans="1:33" x14ac:dyDescent="0.25">
      <c r="A713">
        <v>712</v>
      </c>
      <c r="B713" s="2">
        <v>0</v>
      </c>
      <c r="C713" s="2">
        <v>6</v>
      </c>
      <c r="D713" s="2">
        <v>1</v>
      </c>
      <c r="E713" s="2">
        <v>0</v>
      </c>
      <c r="F713" s="2">
        <v>0</v>
      </c>
      <c r="G713" s="2">
        <v>0</v>
      </c>
      <c r="H713" s="2">
        <v>0</v>
      </c>
      <c r="I713" s="2">
        <v>1</v>
      </c>
      <c r="J713" s="2">
        <v>0</v>
      </c>
      <c r="K713" s="2">
        <v>1198</v>
      </c>
      <c r="L713" s="2">
        <v>0</v>
      </c>
      <c r="M713" s="2">
        <v>4</v>
      </c>
      <c r="N713" s="2">
        <v>4</v>
      </c>
      <c r="O713" s="2">
        <v>0</v>
      </c>
      <c r="P713" s="2">
        <v>0</v>
      </c>
      <c r="Q713" s="2">
        <v>0</v>
      </c>
      <c r="R713" s="2">
        <v>0</v>
      </c>
      <c r="S713" s="2">
        <v>0</v>
      </c>
      <c r="T713" s="2">
        <v>4</v>
      </c>
      <c r="U713" s="2">
        <v>0</v>
      </c>
      <c r="V713" s="2">
        <v>1</v>
      </c>
      <c r="W713" s="2">
        <v>35</v>
      </c>
      <c r="X713" s="2">
        <v>0</v>
      </c>
      <c r="Y713" s="2">
        <v>0</v>
      </c>
      <c r="Z713" s="2">
        <v>0</v>
      </c>
      <c r="AA713" s="2">
        <v>1</v>
      </c>
      <c r="AB713" s="2">
        <v>2</v>
      </c>
      <c r="AC713" s="2">
        <v>1</v>
      </c>
      <c r="AD713" s="2">
        <v>0</v>
      </c>
      <c r="AE713" s="2">
        <v>0</v>
      </c>
      <c r="AF713" s="2">
        <v>0</v>
      </c>
      <c r="AG713" s="20">
        <f t="shared" si="11"/>
        <v>-500</v>
      </c>
    </row>
    <row r="714" spans="1:33" x14ac:dyDescent="0.25">
      <c r="A714">
        <v>713</v>
      </c>
      <c r="B714" s="2">
        <v>3</v>
      </c>
      <c r="C714" s="2">
        <v>21</v>
      </c>
      <c r="D714" s="2">
        <v>2</v>
      </c>
      <c r="E714" s="2">
        <v>0</v>
      </c>
      <c r="F714" s="2">
        <v>1</v>
      </c>
      <c r="G714" s="2">
        <v>0</v>
      </c>
      <c r="H714" s="2">
        <v>0</v>
      </c>
      <c r="I714" s="2">
        <v>0</v>
      </c>
      <c r="J714" s="2">
        <v>0</v>
      </c>
      <c r="K714" s="2">
        <v>2476</v>
      </c>
      <c r="L714" s="2">
        <v>4</v>
      </c>
      <c r="M714" s="2">
        <v>4</v>
      </c>
      <c r="N714" s="2">
        <v>4</v>
      </c>
      <c r="O714" s="2">
        <v>0</v>
      </c>
      <c r="P714" s="2">
        <v>1</v>
      </c>
      <c r="Q714" s="2">
        <v>0</v>
      </c>
      <c r="R714" s="2">
        <v>0</v>
      </c>
      <c r="S714" s="2">
        <v>0</v>
      </c>
      <c r="T714" s="2">
        <v>4</v>
      </c>
      <c r="U714" s="2">
        <v>1</v>
      </c>
      <c r="V714" s="2">
        <v>0</v>
      </c>
      <c r="W714" s="2">
        <v>46</v>
      </c>
      <c r="X714" s="2">
        <v>0</v>
      </c>
      <c r="Y714" s="2">
        <v>0</v>
      </c>
      <c r="Z714" s="2">
        <v>1</v>
      </c>
      <c r="AA714" s="2">
        <v>1</v>
      </c>
      <c r="AB714" s="2">
        <v>3</v>
      </c>
      <c r="AC714" s="2">
        <v>1</v>
      </c>
      <c r="AD714" s="2">
        <v>1</v>
      </c>
      <c r="AE714" s="2">
        <v>0</v>
      </c>
      <c r="AF714" s="2">
        <v>1</v>
      </c>
      <c r="AG714" s="20">
        <f t="shared" si="11"/>
        <v>100</v>
      </c>
    </row>
    <row r="715" spans="1:33" x14ac:dyDescent="0.25">
      <c r="A715">
        <v>714</v>
      </c>
      <c r="B715" s="2">
        <v>0</v>
      </c>
      <c r="C715" s="2">
        <v>9</v>
      </c>
      <c r="D715" s="2">
        <v>4</v>
      </c>
      <c r="E715" s="2">
        <v>0</v>
      </c>
      <c r="F715" s="2">
        <v>0</v>
      </c>
      <c r="G715" s="2">
        <v>0</v>
      </c>
      <c r="H715" s="2">
        <v>1</v>
      </c>
      <c r="I715" s="2">
        <v>0</v>
      </c>
      <c r="J715" s="2">
        <v>0</v>
      </c>
      <c r="K715" s="2">
        <v>1138</v>
      </c>
      <c r="L715" s="2">
        <v>0</v>
      </c>
      <c r="M715" s="2">
        <v>2</v>
      </c>
      <c r="N715" s="2">
        <v>4</v>
      </c>
      <c r="O715" s="2">
        <v>0</v>
      </c>
      <c r="P715" s="2">
        <v>1</v>
      </c>
      <c r="Q715" s="2">
        <v>0</v>
      </c>
      <c r="R715" s="2">
        <v>0</v>
      </c>
      <c r="S715" s="2">
        <v>0</v>
      </c>
      <c r="T715" s="2">
        <v>4</v>
      </c>
      <c r="U715" s="2">
        <v>1</v>
      </c>
      <c r="V715" s="2">
        <v>0</v>
      </c>
      <c r="W715" s="2">
        <v>25</v>
      </c>
      <c r="X715" s="2">
        <v>0</v>
      </c>
      <c r="Y715" s="2">
        <v>0</v>
      </c>
      <c r="Z715" s="2">
        <v>1</v>
      </c>
      <c r="AA715" s="2">
        <v>2</v>
      </c>
      <c r="AB715" s="2">
        <v>1</v>
      </c>
      <c r="AC715" s="2">
        <v>1</v>
      </c>
      <c r="AD715" s="2">
        <v>0</v>
      </c>
      <c r="AE715" s="2">
        <v>0</v>
      </c>
      <c r="AF715" s="2">
        <v>1</v>
      </c>
      <c r="AG715" s="20">
        <f t="shared" si="11"/>
        <v>100</v>
      </c>
    </row>
    <row r="716" spans="1:33" x14ac:dyDescent="0.25">
      <c r="A716">
        <v>715</v>
      </c>
      <c r="B716" s="2">
        <v>1</v>
      </c>
      <c r="C716" s="2">
        <v>60</v>
      </c>
      <c r="D716" s="2">
        <v>2</v>
      </c>
      <c r="E716" s="2">
        <v>1</v>
      </c>
      <c r="F716" s="2">
        <v>0</v>
      </c>
      <c r="G716" s="2">
        <v>0</v>
      </c>
      <c r="H716" s="2">
        <v>0</v>
      </c>
      <c r="I716" s="2">
        <v>0</v>
      </c>
      <c r="J716" s="2">
        <v>0</v>
      </c>
      <c r="K716" s="2">
        <v>14027</v>
      </c>
      <c r="L716" s="2">
        <v>0</v>
      </c>
      <c r="M716" s="2">
        <v>3</v>
      </c>
      <c r="N716" s="2">
        <v>4</v>
      </c>
      <c r="O716" s="2">
        <v>0</v>
      </c>
      <c r="P716" s="2">
        <v>1</v>
      </c>
      <c r="Q716" s="2">
        <v>0</v>
      </c>
      <c r="R716" s="2">
        <v>0</v>
      </c>
      <c r="S716" s="2">
        <v>0</v>
      </c>
      <c r="T716" s="2">
        <v>2</v>
      </c>
      <c r="U716" s="2">
        <v>0</v>
      </c>
      <c r="V716" s="2">
        <v>1</v>
      </c>
      <c r="W716" s="2">
        <v>27</v>
      </c>
      <c r="X716" s="2">
        <v>0</v>
      </c>
      <c r="Y716" s="2">
        <v>0</v>
      </c>
      <c r="Z716" s="2">
        <v>1</v>
      </c>
      <c r="AA716" s="2">
        <v>1</v>
      </c>
      <c r="AB716" s="2">
        <v>3</v>
      </c>
      <c r="AC716" s="2">
        <v>1</v>
      </c>
      <c r="AD716" s="2">
        <v>1</v>
      </c>
      <c r="AE716" s="2">
        <v>0</v>
      </c>
      <c r="AF716" s="2">
        <v>0</v>
      </c>
      <c r="AG716" s="20">
        <f t="shared" si="11"/>
        <v>-500</v>
      </c>
    </row>
    <row r="717" spans="1:33" x14ac:dyDescent="0.25">
      <c r="A717">
        <v>716</v>
      </c>
      <c r="B717" s="2">
        <v>3</v>
      </c>
      <c r="C717" s="2">
        <v>30</v>
      </c>
      <c r="D717" s="2">
        <v>4</v>
      </c>
      <c r="E717" s="2">
        <v>0</v>
      </c>
      <c r="F717" s="2">
        <v>1</v>
      </c>
      <c r="G717" s="2">
        <v>0</v>
      </c>
      <c r="H717" s="2">
        <v>0</v>
      </c>
      <c r="I717" s="2">
        <v>0</v>
      </c>
      <c r="J717" s="2">
        <v>0</v>
      </c>
      <c r="K717" s="2">
        <v>7596</v>
      </c>
      <c r="L717" s="2">
        <v>4</v>
      </c>
      <c r="M717" s="2">
        <v>4</v>
      </c>
      <c r="N717" s="2">
        <v>1</v>
      </c>
      <c r="O717" s="2">
        <v>0</v>
      </c>
      <c r="P717" s="2">
        <v>1</v>
      </c>
      <c r="Q717" s="2">
        <v>0</v>
      </c>
      <c r="R717" s="2">
        <v>0</v>
      </c>
      <c r="S717" s="2">
        <v>0</v>
      </c>
      <c r="T717" s="2">
        <v>4</v>
      </c>
      <c r="U717" s="2">
        <v>0</v>
      </c>
      <c r="V717" s="2">
        <v>0</v>
      </c>
      <c r="W717" s="2">
        <v>63</v>
      </c>
      <c r="X717" s="2">
        <v>0</v>
      </c>
      <c r="Y717" s="2">
        <v>0</v>
      </c>
      <c r="Z717" s="2">
        <v>1</v>
      </c>
      <c r="AA717" s="2">
        <v>2</v>
      </c>
      <c r="AB717" s="2">
        <v>2</v>
      </c>
      <c r="AC717" s="2">
        <v>1</v>
      </c>
      <c r="AD717" s="2">
        <v>0</v>
      </c>
      <c r="AE717" s="2">
        <v>0</v>
      </c>
      <c r="AF717" s="2">
        <v>1</v>
      </c>
      <c r="AG717" s="20">
        <f t="shared" si="11"/>
        <v>100</v>
      </c>
    </row>
    <row r="718" spans="1:33" x14ac:dyDescent="0.25">
      <c r="A718">
        <v>717</v>
      </c>
      <c r="B718" s="2">
        <v>3</v>
      </c>
      <c r="C718" s="2">
        <v>30</v>
      </c>
      <c r="D718" s="2">
        <v>4</v>
      </c>
      <c r="E718" s="2">
        <v>0</v>
      </c>
      <c r="F718" s="2">
        <v>0</v>
      </c>
      <c r="G718" s="2">
        <v>0</v>
      </c>
      <c r="H718" s="2">
        <v>1</v>
      </c>
      <c r="I718" s="2">
        <v>0</v>
      </c>
      <c r="J718" s="2">
        <v>0</v>
      </c>
      <c r="K718" s="2">
        <v>3077</v>
      </c>
      <c r="L718" s="2">
        <v>4</v>
      </c>
      <c r="M718" s="2">
        <v>4</v>
      </c>
      <c r="N718" s="2">
        <v>3</v>
      </c>
      <c r="O718" s="2">
        <v>0</v>
      </c>
      <c r="P718" s="2">
        <v>1</v>
      </c>
      <c r="Q718" s="2">
        <v>0</v>
      </c>
      <c r="R718" s="2">
        <v>0</v>
      </c>
      <c r="S718" s="2">
        <v>0</v>
      </c>
      <c r="T718" s="2">
        <v>2</v>
      </c>
      <c r="U718" s="2">
        <v>0</v>
      </c>
      <c r="V718" s="2">
        <v>0</v>
      </c>
      <c r="W718" s="2">
        <v>40</v>
      </c>
      <c r="X718" s="2">
        <v>0</v>
      </c>
      <c r="Y718" s="2">
        <v>0</v>
      </c>
      <c r="Z718" s="2">
        <v>1</v>
      </c>
      <c r="AA718" s="2">
        <v>2</v>
      </c>
      <c r="AB718" s="2">
        <v>2</v>
      </c>
      <c r="AC718" s="2">
        <v>2</v>
      </c>
      <c r="AD718" s="2">
        <v>1</v>
      </c>
      <c r="AE718" s="2">
        <v>0</v>
      </c>
      <c r="AF718" s="2">
        <v>1</v>
      </c>
      <c r="AG718" s="20">
        <f t="shared" si="11"/>
        <v>100</v>
      </c>
    </row>
    <row r="719" spans="1:33" x14ac:dyDescent="0.25">
      <c r="A719">
        <v>718</v>
      </c>
      <c r="B719" s="2">
        <v>3</v>
      </c>
      <c r="C719" s="2">
        <v>18</v>
      </c>
      <c r="D719" s="2">
        <v>2</v>
      </c>
      <c r="E719" s="2">
        <v>0</v>
      </c>
      <c r="F719" s="2">
        <v>0</v>
      </c>
      <c r="G719" s="2">
        <v>0</v>
      </c>
      <c r="H719" s="2">
        <v>1</v>
      </c>
      <c r="I719" s="2">
        <v>0</v>
      </c>
      <c r="J719" s="2">
        <v>0</v>
      </c>
      <c r="K719" s="2">
        <v>1505</v>
      </c>
      <c r="L719" s="2">
        <v>0</v>
      </c>
      <c r="M719" s="2">
        <v>2</v>
      </c>
      <c r="N719" s="2">
        <v>4</v>
      </c>
      <c r="O719" s="2">
        <v>0</v>
      </c>
      <c r="P719" s="2">
        <v>1</v>
      </c>
      <c r="Q719" s="2">
        <v>0</v>
      </c>
      <c r="R719" s="2">
        <v>0</v>
      </c>
      <c r="S719" s="2">
        <v>0</v>
      </c>
      <c r="T719" s="2">
        <v>2</v>
      </c>
      <c r="U719" s="2">
        <v>0</v>
      </c>
      <c r="V719" s="2">
        <v>1</v>
      </c>
      <c r="W719" s="2">
        <v>32</v>
      </c>
      <c r="X719" s="2">
        <v>0</v>
      </c>
      <c r="Y719" s="2">
        <v>0</v>
      </c>
      <c r="Z719" s="2">
        <v>0</v>
      </c>
      <c r="AA719" s="2">
        <v>1</v>
      </c>
      <c r="AB719" s="2">
        <v>3</v>
      </c>
      <c r="AC719" s="2">
        <v>1</v>
      </c>
      <c r="AD719" s="2">
        <v>1</v>
      </c>
      <c r="AE719" s="2">
        <v>0</v>
      </c>
      <c r="AF719" s="2">
        <v>1</v>
      </c>
      <c r="AG719" s="20">
        <f t="shared" si="11"/>
        <v>100</v>
      </c>
    </row>
    <row r="720" spans="1:33" x14ac:dyDescent="0.25">
      <c r="A720">
        <v>719</v>
      </c>
      <c r="B720" s="2">
        <v>2</v>
      </c>
      <c r="C720" s="2">
        <v>24</v>
      </c>
      <c r="D720" s="2">
        <v>4</v>
      </c>
      <c r="E720" s="2">
        <v>0</v>
      </c>
      <c r="F720" s="2">
        <v>0</v>
      </c>
      <c r="G720" s="2">
        <v>0</v>
      </c>
      <c r="H720" s="2">
        <v>1</v>
      </c>
      <c r="I720" s="2">
        <v>0</v>
      </c>
      <c r="J720" s="2">
        <v>0</v>
      </c>
      <c r="K720" s="2">
        <v>3148</v>
      </c>
      <c r="L720" s="2">
        <v>4</v>
      </c>
      <c r="M720" s="2">
        <v>2</v>
      </c>
      <c r="N720" s="2">
        <v>3</v>
      </c>
      <c r="O720" s="2">
        <v>0</v>
      </c>
      <c r="P720" s="2">
        <v>1</v>
      </c>
      <c r="Q720" s="2">
        <v>0</v>
      </c>
      <c r="R720" s="2">
        <v>0</v>
      </c>
      <c r="S720" s="2">
        <v>0</v>
      </c>
      <c r="T720" s="2">
        <v>2</v>
      </c>
      <c r="U720" s="2">
        <v>0</v>
      </c>
      <c r="V720" s="2">
        <v>0</v>
      </c>
      <c r="W720" s="2">
        <v>31</v>
      </c>
      <c r="X720" s="2">
        <v>0</v>
      </c>
      <c r="Y720" s="2">
        <v>0</v>
      </c>
      <c r="Z720" s="2">
        <v>1</v>
      </c>
      <c r="AA720" s="2">
        <v>2</v>
      </c>
      <c r="AB720" s="2">
        <v>2</v>
      </c>
      <c r="AC720" s="2">
        <v>1</v>
      </c>
      <c r="AD720" s="2">
        <v>1</v>
      </c>
      <c r="AE720" s="2">
        <v>0</v>
      </c>
      <c r="AF720" s="2">
        <v>1</v>
      </c>
      <c r="AG720" s="20">
        <f t="shared" si="11"/>
        <v>100</v>
      </c>
    </row>
    <row r="721" spans="1:33" x14ac:dyDescent="0.25">
      <c r="A721">
        <v>720</v>
      </c>
      <c r="B721" s="2">
        <v>1</v>
      </c>
      <c r="C721" s="2">
        <v>20</v>
      </c>
      <c r="D721" s="2">
        <v>0</v>
      </c>
      <c r="E721" s="2">
        <v>0</v>
      </c>
      <c r="F721" s="2">
        <v>1</v>
      </c>
      <c r="G721" s="2">
        <v>0</v>
      </c>
      <c r="H721" s="2">
        <v>0</v>
      </c>
      <c r="I721" s="2">
        <v>0</v>
      </c>
      <c r="J721" s="2">
        <v>0</v>
      </c>
      <c r="K721" s="2">
        <v>6148</v>
      </c>
      <c r="L721" s="2">
        <v>1</v>
      </c>
      <c r="M721" s="2">
        <v>4</v>
      </c>
      <c r="N721" s="2">
        <v>3</v>
      </c>
      <c r="O721" s="2">
        <v>0</v>
      </c>
      <c r="P721" s="2">
        <v>0</v>
      </c>
      <c r="Q721" s="2">
        <v>1</v>
      </c>
      <c r="R721" s="2">
        <v>0</v>
      </c>
      <c r="S721" s="2">
        <v>0</v>
      </c>
      <c r="T721" s="2">
        <v>4</v>
      </c>
      <c r="U721" s="2">
        <v>0</v>
      </c>
      <c r="V721" s="2">
        <v>0</v>
      </c>
      <c r="W721" s="2">
        <v>31</v>
      </c>
      <c r="X721" s="2">
        <v>1</v>
      </c>
      <c r="Y721" s="2">
        <v>0</v>
      </c>
      <c r="Z721" s="2">
        <v>1</v>
      </c>
      <c r="AA721" s="2">
        <v>2</v>
      </c>
      <c r="AB721" s="2">
        <v>2</v>
      </c>
      <c r="AC721" s="2">
        <v>1</v>
      </c>
      <c r="AD721" s="2">
        <v>1</v>
      </c>
      <c r="AE721" s="2">
        <v>0</v>
      </c>
      <c r="AF721" s="2">
        <v>1</v>
      </c>
      <c r="AG721" s="20">
        <f t="shared" si="11"/>
        <v>100</v>
      </c>
    </row>
    <row r="722" spans="1:33" x14ac:dyDescent="0.25">
      <c r="A722">
        <v>721</v>
      </c>
      <c r="B722" s="2">
        <v>2</v>
      </c>
      <c r="C722" s="2">
        <v>9</v>
      </c>
      <c r="D722" s="2">
        <v>0</v>
      </c>
      <c r="E722" s="2">
        <v>0</v>
      </c>
      <c r="F722" s="2">
        <v>0</v>
      </c>
      <c r="G722" s="2">
        <v>0</v>
      </c>
      <c r="H722" s="2">
        <v>1</v>
      </c>
      <c r="I722" s="2">
        <v>0</v>
      </c>
      <c r="J722" s="2">
        <v>0</v>
      </c>
      <c r="K722" s="2">
        <v>1337</v>
      </c>
      <c r="L722" s="2">
        <v>0</v>
      </c>
      <c r="M722" s="2">
        <v>1</v>
      </c>
      <c r="N722" s="2">
        <v>4</v>
      </c>
      <c r="O722" s="2">
        <v>0</v>
      </c>
      <c r="P722" s="2">
        <v>1</v>
      </c>
      <c r="Q722" s="2">
        <v>0</v>
      </c>
      <c r="R722" s="2">
        <v>0</v>
      </c>
      <c r="S722" s="2">
        <v>0</v>
      </c>
      <c r="T722" s="2">
        <v>2</v>
      </c>
      <c r="U722" s="2">
        <v>0</v>
      </c>
      <c r="V722" s="2">
        <v>0</v>
      </c>
      <c r="W722" s="2">
        <v>34</v>
      </c>
      <c r="X722" s="2">
        <v>0</v>
      </c>
      <c r="Y722" s="2">
        <v>0</v>
      </c>
      <c r="Z722" s="2">
        <v>1</v>
      </c>
      <c r="AA722" s="2">
        <v>2</v>
      </c>
      <c r="AB722" s="2">
        <v>3</v>
      </c>
      <c r="AC722" s="2">
        <v>1</v>
      </c>
      <c r="AD722" s="2">
        <v>1</v>
      </c>
      <c r="AE722" s="2">
        <v>0</v>
      </c>
      <c r="AF722" s="2">
        <v>0</v>
      </c>
      <c r="AG722" s="20">
        <f t="shared" si="11"/>
        <v>-500</v>
      </c>
    </row>
    <row r="723" spans="1:33" x14ac:dyDescent="0.25">
      <c r="A723">
        <v>722</v>
      </c>
      <c r="B723" s="2">
        <v>1</v>
      </c>
      <c r="C723" s="2">
        <v>6</v>
      </c>
      <c r="D723" s="2">
        <v>1</v>
      </c>
      <c r="E723" s="2">
        <v>0</v>
      </c>
      <c r="F723" s="2">
        <v>0</v>
      </c>
      <c r="G723" s="2">
        <v>0</v>
      </c>
      <c r="H723" s="2">
        <v>0</v>
      </c>
      <c r="I723" s="2">
        <v>1</v>
      </c>
      <c r="J723" s="2">
        <v>0</v>
      </c>
      <c r="K723" s="2">
        <v>433</v>
      </c>
      <c r="L723" s="2">
        <v>3</v>
      </c>
      <c r="M723" s="2">
        <v>1</v>
      </c>
      <c r="N723" s="2">
        <v>4</v>
      </c>
      <c r="O723" s="2">
        <v>0</v>
      </c>
      <c r="P723" s="2">
        <v>0</v>
      </c>
      <c r="Q723" s="2">
        <v>0</v>
      </c>
      <c r="R723" s="2">
        <v>0</v>
      </c>
      <c r="S723" s="2">
        <v>0</v>
      </c>
      <c r="T723" s="2">
        <v>2</v>
      </c>
      <c r="U723" s="2">
        <v>0</v>
      </c>
      <c r="V723" s="2">
        <v>0</v>
      </c>
      <c r="W723" s="2">
        <v>24</v>
      </c>
      <c r="X723" s="2">
        <v>1</v>
      </c>
      <c r="Y723" s="2">
        <v>1</v>
      </c>
      <c r="Z723" s="2">
        <v>0</v>
      </c>
      <c r="AA723" s="2">
        <v>1</v>
      </c>
      <c r="AB723" s="2">
        <v>2</v>
      </c>
      <c r="AC723" s="2">
        <v>2</v>
      </c>
      <c r="AD723" s="2">
        <v>0</v>
      </c>
      <c r="AE723" s="2">
        <v>0</v>
      </c>
      <c r="AF723" s="2">
        <v>0</v>
      </c>
      <c r="AG723" s="20">
        <f t="shared" si="11"/>
        <v>-500</v>
      </c>
    </row>
    <row r="724" spans="1:33" x14ac:dyDescent="0.25">
      <c r="A724">
        <v>723</v>
      </c>
      <c r="B724" s="2">
        <v>0</v>
      </c>
      <c r="C724" s="2">
        <v>12</v>
      </c>
      <c r="D724" s="2">
        <v>2</v>
      </c>
      <c r="E724" s="2">
        <v>1</v>
      </c>
      <c r="F724" s="2">
        <v>0</v>
      </c>
      <c r="G724" s="2">
        <v>0</v>
      </c>
      <c r="H724" s="2">
        <v>0</v>
      </c>
      <c r="I724" s="2">
        <v>0</v>
      </c>
      <c r="J724" s="2">
        <v>0</v>
      </c>
      <c r="K724" s="2">
        <v>1228</v>
      </c>
      <c r="L724" s="2">
        <v>0</v>
      </c>
      <c r="M724" s="2">
        <v>2</v>
      </c>
      <c r="N724" s="2">
        <v>4</v>
      </c>
      <c r="O724" s="2">
        <v>0</v>
      </c>
      <c r="P724" s="2">
        <v>0</v>
      </c>
      <c r="Q724" s="2">
        <v>0</v>
      </c>
      <c r="R724" s="2">
        <v>0</v>
      </c>
      <c r="S724" s="2">
        <v>0</v>
      </c>
      <c r="T724" s="2">
        <v>2</v>
      </c>
      <c r="U724" s="2">
        <v>1</v>
      </c>
      <c r="V724" s="2">
        <v>0</v>
      </c>
      <c r="W724" s="2">
        <v>24</v>
      </c>
      <c r="X724" s="2">
        <v>0</v>
      </c>
      <c r="Y724" s="2">
        <v>0</v>
      </c>
      <c r="Z724" s="2">
        <v>1</v>
      </c>
      <c r="AA724" s="2">
        <v>1</v>
      </c>
      <c r="AB724" s="2">
        <v>1</v>
      </c>
      <c r="AC724" s="2">
        <v>1</v>
      </c>
      <c r="AD724" s="2">
        <v>0</v>
      </c>
      <c r="AE724" s="2">
        <v>0</v>
      </c>
      <c r="AF724" s="2">
        <v>0</v>
      </c>
      <c r="AG724" s="20">
        <f t="shared" si="11"/>
        <v>-500</v>
      </c>
    </row>
    <row r="725" spans="1:33" x14ac:dyDescent="0.25">
      <c r="A725">
        <v>724</v>
      </c>
      <c r="B725" s="2">
        <v>1</v>
      </c>
      <c r="C725" s="2">
        <v>9</v>
      </c>
      <c r="D725" s="2">
        <v>2</v>
      </c>
      <c r="E725" s="2">
        <v>0</v>
      </c>
      <c r="F725" s="2">
        <v>0</v>
      </c>
      <c r="G725" s="2">
        <v>0</v>
      </c>
      <c r="H725" s="2">
        <v>1</v>
      </c>
      <c r="I725" s="2">
        <v>0</v>
      </c>
      <c r="J725" s="2">
        <v>0</v>
      </c>
      <c r="K725" s="2">
        <v>790</v>
      </c>
      <c r="L725" s="2">
        <v>2</v>
      </c>
      <c r="M725" s="2">
        <v>2</v>
      </c>
      <c r="N725" s="2">
        <v>4</v>
      </c>
      <c r="O725" s="2">
        <v>0</v>
      </c>
      <c r="P725" s="2">
        <v>0</v>
      </c>
      <c r="Q725" s="2">
        <v>0</v>
      </c>
      <c r="R725" s="2">
        <v>0</v>
      </c>
      <c r="S725" s="2">
        <v>0</v>
      </c>
      <c r="T725" s="2">
        <v>3</v>
      </c>
      <c r="U725" s="2">
        <v>1</v>
      </c>
      <c r="V725" s="2">
        <v>0</v>
      </c>
      <c r="W725" s="2">
        <v>66</v>
      </c>
      <c r="X725" s="2">
        <v>0</v>
      </c>
      <c r="Y725" s="2">
        <v>0</v>
      </c>
      <c r="Z725" s="2">
        <v>1</v>
      </c>
      <c r="AA725" s="2">
        <v>1</v>
      </c>
      <c r="AB725" s="2">
        <v>1</v>
      </c>
      <c r="AC725" s="2">
        <v>1</v>
      </c>
      <c r="AD725" s="2">
        <v>0</v>
      </c>
      <c r="AE725" s="2">
        <v>0</v>
      </c>
      <c r="AF725" s="2">
        <v>1</v>
      </c>
      <c r="AG725" s="20">
        <f t="shared" si="11"/>
        <v>100</v>
      </c>
    </row>
    <row r="726" spans="1:33" x14ac:dyDescent="0.25">
      <c r="A726">
        <v>725</v>
      </c>
      <c r="B726" s="2">
        <v>3</v>
      </c>
      <c r="C726" s="2">
        <v>27</v>
      </c>
      <c r="D726" s="2">
        <v>2</v>
      </c>
      <c r="E726" s="2">
        <v>1</v>
      </c>
      <c r="F726" s="2">
        <v>0</v>
      </c>
      <c r="G726" s="2">
        <v>0</v>
      </c>
      <c r="H726" s="2">
        <v>0</v>
      </c>
      <c r="I726" s="2">
        <v>0</v>
      </c>
      <c r="J726" s="2">
        <v>0</v>
      </c>
      <c r="K726" s="2">
        <v>2570</v>
      </c>
      <c r="L726" s="2">
        <v>0</v>
      </c>
      <c r="M726" s="2">
        <v>2</v>
      </c>
      <c r="N726" s="2">
        <v>3</v>
      </c>
      <c r="O726" s="2">
        <v>0</v>
      </c>
      <c r="P726" s="2">
        <v>0</v>
      </c>
      <c r="Q726" s="2">
        <v>0</v>
      </c>
      <c r="R726" s="2">
        <v>0</v>
      </c>
      <c r="S726" s="2">
        <v>0</v>
      </c>
      <c r="T726" s="2">
        <v>3</v>
      </c>
      <c r="U726" s="2">
        <v>1</v>
      </c>
      <c r="V726" s="2">
        <v>0</v>
      </c>
      <c r="W726" s="2">
        <v>21</v>
      </c>
      <c r="X726" s="2">
        <v>0</v>
      </c>
      <c r="Y726" s="2">
        <v>1</v>
      </c>
      <c r="Z726" s="2">
        <v>0</v>
      </c>
      <c r="AA726" s="2">
        <v>1</v>
      </c>
      <c r="AB726" s="2">
        <v>2</v>
      </c>
      <c r="AC726" s="2">
        <v>1</v>
      </c>
      <c r="AD726" s="2">
        <v>0</v>
      </c>
      <c r="AE726" s="2">
        <v>0</v>
      </c>
      <c r="AF726" s="2">
        <v>0</v>
      </c>
      <c r="AG726" s="20">
        <f t="shared" si="11"/>
        <v>-500</v>
      </c>
    </row>
    <row r="727" spans="1:33" x14ac:dyDescent="0.25">
      <c r="A727">
        <v>726</v>
      </c>
      <c r="B727" s="2">
        <v>3</v>
      </c>
      <c r="C727" s="2">
        <v>6</v>
      </c>
      <c r="D727" s="2">
        <v>4</v>
      </c>
      <c r="E727" s="2">
        <v>1</v>
      </c>
      <c r="F727" s="2">
        <v>0</v>
      </c>
      <c r="G727" s="2">
        <v>0</v>
      </c>
      <c r="H727" s="2">
        <v>0</v>
      </c>
      <c r="I727" s="2">
        <v>0</v>
      </c>
      <c r="J727" s="2">
        <v>0</v>
      </c>
      <c r="K727" s="2">
        <v>250</v>
      </c>
      <c r="L727" s="2">
        <v>3</v>
      </c>
      <c r="M727" s="2">
        <v>2</v>
      </c>
      <c r="N727" s="2">
        <v>2</v>
      </c>
      <c r="O727" s="2">
        <v>0</v>
      </c>
      <c r="P727" s="2">
        <v>0</v>
      </c>
      <c r="Q727" s="2">
        <v>0</v>
      </c>
      <c r="R727" s="2">
        <v>0</v>
      </c>
      <c r="S727" s="2">
        <v>0</v>
      </c>
      <c r="T727" s="2">
        <v>2</v>
      </c>
      <c r="U727" s="2">
        <v>1</v>
      </c>
      <c r="V727" s="2">
        <v>0</v>
      </c>
      <c r="W727" s="2">
        <v>41</v>
      </c>
      <c r="X727" s="2">
        <v>1</v>
      </c>
      <c r="Y727" s="2">
        <v>0</v>
      </c>
      <c r="Z727" s="2">
        <v>1</v>
      </c>
      <c r="AA727" s="2">
        <v>2</v>
      </c>
      <c r="AB727" s="2">
        <v>1</v>
      </c>
      <c r="AC727" s="2">
        <v>1</v>
      </c>
      <c r="AD727" s="2">
        <v>0</v>
      </c>
      <c r="AE727" s="2">
        <v>0</v>
      </c>
      <c r="AF727" s="2">
        <v>1</v>
      </c>
      <c r="AG727" s="20">
        <f t="shared" si="11"/>
        <v>100</v>
      </c>
    </row>
    <row r="728" spans="1:33" x14ac:dyDescent="0.25">
      <c r="A728">
        <v>727</v>
      </c>
      <c r="B728" s="2">
        <v>3</v>
      </c>
      <c r="C728" s="2">
        <v>15</v>
      </c>
      <c r="D728" s="2">
        <v>4</v>
      </c>
      <c r="E728" s="2">
        <v>0</v>
      </c>
      <c r="F728" s="2">
        <v>0</v>
      </c>
      <c r="G728" s="2">
        <v>0</v>
      </c>
      <c r="H728" s="2">
        <v>1</v>
      </c>
      <c r="I728" s="2">
        <v>0</v>
      </c>
      <c r="J728" s="2">
        <v>0</v>
      </c>
      <c r="K728" s="2">
        <v>1316</v>
      </c>
      <c r="L728" s="2">
        <v>2</v>
      </c>
      <c r="M728" s="2">
        <v>2</v>
      </c>
      <c r="N728" s="2">
        <v>2</v>
      </c>
      <c r="O728" s="2">
        <v>0</v>
      </c>
      <c r="P728" s="2">
        <v>0</v>
      </c>
      <c r="Q728" s="2">
        <v>1</v>
      </c>
      <c r="R728" s="2">
        <v>0</v>
      </c>
      <c r="S728" s="2">
        <v>0</v>
      </c>
      <c r="T728" s="2">
        <v>2</v>
      </c>
      <c r="U728" s="2">
        <v>0</v>
      </c>
      <c r="V728" s="2">
        <v>0</v>
      </c>
      <c r="W728" s="2">
        <v>47</v>
      </c>
      <c r="X728" s="2">
        <v>0</v>
      </c>
      <c r="Y728" s="2">
        <v>0</v>
      </c>
      <c r="Z728" s="2">
        <v>1</v>
      </c>
      <c r="AA728" s="2">
        <v>2</v>
      </c>
      <c r="AB728" s="2">
        <v>1</v>
      </c>
      <c r="AC728" s="2">
        <v>1</v>
      </c>
      <c r="AD728" s="2">
        <v>0</v>
      </c>
      <c r="AE728" s="2">
        <v>0</v>
      </c>
      <c r="AF728" s="2">
        <v>1</v>
      </c>
      <c r="AG728" s="20">
        <f t="shared" si="11"/>
        <v>100</v>
      </c>
    </row>
    <row r="729" spans="1:33" x14ac:dyDescent="0.25">
      <c r="A729">
        <v>728</v>
      </c>
      <c r="B729" s="2">
        <v>0</v>
      </c>
      <c r="C729" s="2">
        <v>18</v>
      </c>
      <c r="D729" s="2">
        <v>2</v>
      </c>
      <c r="E729" s="2">
        <v>0</v>
      </c>
      <c r="F729" s="2">
        <v>0</v>
      </c>
      <c r="G729" s="2">
        <v>0</v>
      </c>
      <c r="H729" s="2">
        <v>1</v>
      </c>
      <c r="I729" s="2">
        <v>0</v>
      </c>
      <c r="J729" s="2">
        <v>0</v>
      </c>
      <c r="K729" s="2">
        <v>1882</v>
      </c>
      <c r="L729" s="2">
        <v>0</v>
      </c>
      <c r="M729" s="2">
        <v>2</v>
      </c>
      <c r="N729" s="2">
        <v>4</v>
      </c>
      <c r="O729" s="2">
        <v>0</v>
      </c>
      <c r="P729" s="2">
        <v>0</v>
      </c>
      <c r="Q729" s="2">
        <v>0</v>
      </c>
      <c r="R729" s="2">
        <v>0</v>
      </c>
      <c r="S729" s="2">
        <v>0</v>
      </c>
      <c r="T729" s="2">
        <v>4</v>
      </c>
      <c r="U729" s="2">
        <v>0</v>
      </c>
      <c r="V729" s="2">
        <v>0</v>
      </c>
      <c r="W729" s="2">
        <v>25</v>
      </c>
      <c r="X729" s="2">
        <v>1</v>
      </c>
      <c r="Y729" s="2">
        <v>1</v>
      </c>
      <c r="Z729" s="2">
        <v>0</v>
      </c>
      <c r="AA729" s="2">
        <v>2</v>
      </c>
      <c r="AB729" s="2">
        <v>2</v>
      </c>
      <c r="AC729" s="2">
        <v>1</v>
      </c>
      <c r="AD729" s="2">
        <v>0</v>
      </c>
      <c r="AE729" s="2">
        <v>0</v>
      </c>
      <c r="AF729" s="2">
        <v>0</v>
      </c>
      <c r="AG729" s="20">
        <f t="shared" si="11"/>
        <v>-500</v>
      </c>
    </row>
    <row r="730" spans="1:33" x14ac:dyDescent="0.25">
      <c r="A730">
        <v>729</v>
      </c>
      <c r="B730" s="2">
        <v>1</v>
      </c>
      <c r="C730" s="2">
        <v>48</v>
      </c>
      <c r="D730" s="2">
        <v>1</v>
      </c>
      <c r="E730" s="2">
        <v>0</v>
      </c>
      <c r="F730" s="2">
        <v>0</v>
      </c>
      <c r="G730" s="2">
        <v>0</v>
      </c>
      <c r="H730" s="2">
        <v>0</v>
      </c>
      <c r="I730" s="2">
        <v>0</v>
      </c>
      <c r="J730" s="2">
        <v>1</v>
      </c>
      <c r="K730" s="2">
        <v>6416</v>
      </c>
      <c r="L730" s="2">
        <v>0</v>
      </c>
      <c r="M730" s="2">
        <v>4</v>
      </c>
      <c r="N730" s="2">
        <v>4</v>
      </c>
      <c r="O730" s="2">
        <v>0</v>
      </c>
      <c r="P730" s="2">
        <v>0</v>
      </c>
      <c r="Q730" s="2">
        <v>0</v>
      </c>
      <c r="R730" s="2">
        <v>0</v>
      </c>
      <c r="S730" s="2">
        <v>0</v>
      </c>
      <c r="T730" s="2">
        <v>3</v>
      </c>
      <c r="U730" s="2">
        <v>0</v>
      </c>
      <c r="V730" s="2">
        <v>1</v>
      </c>
      <c r="W730" s="2">
        <v>59</v>
      </c>
      <c r="X730" s="2">
        <v>0</v>
      </c>
      <c r="Y730" s="2">
        <v>1</v>
      </c>
      <c r="Z730" s="2">
        <v>0</v>
      </c>
      <c r="AA730" s="2">
        <v>1</v>
      </c>
      <c r="AB730" s="2">
        <v>2</v>
      </c>
      <c r="AC730" s="2">
        <v>1</v>
      </c>
      <c r="AD730" s="2">
        <v>0</v>
      </c>
      <c r="AE730" s="2">
        <v>0</v>
      </c>
      <c r="AF730" s="2">
        <v>0</v>
      </c>
      <c r="AG730" s="20">
        <f t="shared" si="11"/>
        <v>-500</v>
      </c>
    </row>
    <row r="731" spans="1:33" x14ac:dyDescent="0.25">
      <c r="A731">
        <v>730</v>
      </c>
      <c r="B731" s="2">
        <v>2</v>
      </c>
      <c r="C731" s="2">
        <v>24</v>
      </c>
      <c r="D731" s="2">
        <v>4</v>
      </c>
      <c r="E731" s="2">
        <v>0</v>
      </c>
      <c r="F731" s="2">
        <v>0</v>
      </c>
      <c r="G731" s="2">
        <v>0</v>
      </c>
      <c r="H731" s="2">
        <v>0</v>
      </c>
      <c r="I731" s="2">
        <v>0</v>
      </c>
      <c r="J731" s="2">
        <v>1</v>
      </c>
      <c r="K731" s="2">
        <v>1275</v>
      </c>
      <c r="L731" s="2">
        <v>3</v>
      </c>
      <c r="M731" s="2">
        <v>2</v>
      </c>
      <c r="N731" s="2">
        <v>2</v>
      </c>
      <c r="O731" s="2">
        <v>1</v>
      </c>
      <c r="P731" s="2">
        <v>0</v>
      </c>
      <c r="Q731" s="2">
        <v>0</v>
      </c>
      <c r="R731" s="2">
        <v>0</v>
      </c>
      <c r="S731" s="2">
        <v>0</v>
      </c>
      <c r="T731" s="2">
        <v>4</v>
      </c>
      <c r="U731" s="2">
        <v>1</v>
      </c>
      <c r="V731" s="2">
        <v>0</v>
      </c>
      <c r="W731" s="2">
        <v>36</v>
      </c>
      <c r="X731" s="2">
        <v>0</v>
      </c>
      <c r="Y731" s="2">
        <v>0</v>
      </c>
      <c r="Z731" s="2">
        <v>1</v>
      </c>
      <c r="AA731" s="2">
        <v>2</v>
      </c>
      <c r="AB731" s="2">
        <v>2</v>
      </c>
      <c r="AC731" s="2">
        <v>1</v>
      </c>
      <c r="AD731" s="2">
        <v>1</v>
      </c>
      <c r="AE731" s="2">
        <v>0</v>
      </c>
      <c r="AF731" s="2">
        <v>1</v>
      </c>
      <c r="AG731" s="20">
        <f t="shared" si="11"/>
        <v>100</v>
      </c>
    </row>
    <row r="732" spans="1:33" x14ac:dyDescent="0.25">
      <c r="A732">
        <v>731</v>
      </c>
      <c r="B732" s="2">
        <v>1</v>
      </c>
      <c r="C732" s="2">
        <v>24</v>
      </c>
      <c r="D732" s="2">
        <v>3</v>
      </c>
      <c r="E732" s="2">
        <v>0</v>
      </c>
      <c r="F732" s="2">
        <v>0</v>
      </c>
      <c r="G732" s="2">
        <v>0</v>
      </c>
      <c r="H732" s="2">
        <v>1</v>
      </c>
      <c r="I732" s="2">
        <v>0</v>
      </c>
      <c r="J732" s="2">
        <v>0</v>
      </c>
      <c r="K732" s="2">
        <v>6403</v>
      </c>
      <c r="L732" s="2">
        <v>0</v>
      </c>
      <c r="M732" s="2">
        <v>1</v>
      </c>
      <c r="N732" s="2">
        <v>1</v>
      </c>
      <c r="O732" s="2">
        <v>0</v>
      </c>
      <c r="P732" s="2">
        <v>1</v>
      </c>
      <c r="Q732" s="2">
        <v>0</v>
      </c>
      <c r="R732" s="2">
        <v>0</v>
      </c>
      <c r="S732" s="2">
        <v>0</v>
      </c>
      <c r="T732" s="2">
        <v>2</v>
      </c>
      <c r="U732" s="2">
        <v>0</v>
      </c>
      <c r="V732" s="2">
        <v>0</v>
      </c>
      <c r="W732" s="2">
        <v>33</v>
      </c>
      <c r="X732" s="2">
        <v>0</v>
      </c>
      <c r="Y732" s="2">
        <v>0</v>
      </c>
      <c r="Z732" s="2">
        <v>1</v>
      </c>
      <c r="AA732" s="2">
        <v>1</v>
      </c>
      <c r="AB732" s="2">
        <v>2</v>
      </c>
      <c r="AC732" s="2">
        <v>1</v>
      </c>
      <c r="AD732" s="2">
        <v>0</v>
      </c>
      <c r="AE732" s="2">
        <v>0</v>
      </c>
      <c r="AF732" s="2">
        <v>1</v>
      </c>
      <c r="AG732" s="20">
        <f t="shared" si="11"/>
        <v>100</v>
      </c>
    </row>
    <row r="733" spans="1:33" x14ac:dyDescent="0.25">
      <c r="A733">
        <v>732</v>
      </c>
      <c r="B733" s="2">
        <v>0</v>
      </c>
      <c r="C733" s="2">
        <v>24</v>
      </c>
      <c r="D733" s="2">
        <v>2</v>
      </c>
      <c r="E733" s="2">
        <v>0</v>
      </c>
      <c r="F733" s="2">
        <v>0</v>
      </c>
      <c r="G733" s="2">
        <v>0</v>
      </c>
      <c r="H733" s="2">
        <v>1</v>
      </c>
      <c r="I733" s="2">
        <v>0</v>
      </c>
      <c r="J733" s="2">
        <v>0</v>
      </c>
      <c r="K733" s="2">
        <v>1987</v>
      </c>
      <c r="L733" s="2">
        <v>0</v>
      </c>
      <c r="M733" s="2">
        <v>2</v>
      </c>
      <c r="N733" s="2">
        <v>2</v>
      </c>
      <c r="O733" s="2">
        <v>0</v>
      </c>
      <c r="P733" s="2">
        <v>1</v>
      </c>
      <c r="Q733" s="2">
        <v>0</v>
      </c>
      <c r="R733" s="2">
        <v>0</v>
      </c>
      <c r="S733" s="2">
        <v>0</v>
      </c>
      <c r="T733" s="2">
        <v>4</v>
      </c>
      <c r="U733" s="2">
        <v>1</v>
      </c>
      <c r="V733" s="2">
        <v>0</v>
      </c>
      <c r="W733" s="2">
        <v>21</v>
      </c>
      <c r="X733" s="2">
        <v>0</v>
      </c>
      <c r="Y733" s="2">
        <v>1</v>
      </c>
      <c r="Z733" s="2">
        <v>0</v>
      </c>
      <c r="AA733" s="2">
        <v>1</v>
      </c>
      <c r="AB733" s="2">
        <v>1</v>
      </c>
      <c r="AC733" s="2">
        <v>2</v>
      </c>
      <c r="AD733" s="2">
        <v>0</v>
      </c>
      <c r="AE733" s="2">
        <v>0</v>
      </c>
      <c r="AF733" s="2">
        <v>0</v>
      </c>
      <c r="AG733" s="20">
        <f t="shared" si="11"/>
        <v>-500</v>
      </c>
    </row>
    <row r="734" spans="1:33" x14ac:dyDescent="0.25">
      <c r="A734">
        <v>733</v>
      </c>
      <c r="B734" s="2">
        <v>1</v>
      </c>
      <c r="C734" s="2">
        <v>8</v>
      </c>
      <c r="D734" s="2">
        <v>2</v>
      </c>
      <c r="E734" s="2">
        <v>0</v>
      </c>
      <c r="F734" s="2">
        <v>0</v>
      </c>
      <c r="G734" s="2">
        <v>0</v>
      </c>
      <c r="H734" s="2">
        <v>1</v>
      </c>
      <c r="I734" s="2">
        <v>0</v>
      </c>
      <c r="J734" s="2">
        <v>0</v>
      </c>
      <c r="K734" s="2">
        <v>760</v>
      </c>
      <c r="L734" s="2">
        <v>0</v>
      </c>
      <c r="M734" s="2">
        <v>3</v>
      </c>
      <c r="N734" s="2">
        <v>4</v>
      </c>
      <c r="O734" s="2">
        <v>0</v>
      </c>
      <c r="P734" s="2">
        <v>0</v>
      </c>
      <c r="Q734" s="2">
        <v>0</v>
      </c>
      <c r="R734" s="2">
        <v>0</v>
      </c>
      <c r="S734" s="2">
        <v>1</v>
      </c>
      <c r="T734" s="2">
        <v>2</v>
      </c>
      <c r="U734" s="2">
        <v>1</v>
      </c>
      <c r="V734" s="2">
        <v>0</v>
      </c>
      <c r="W734" s="2">
        <v>44</v>
      </c>
      <c r="X734" s="2">
        <v>0</v>
      </c>
      <c r="Y734" s="2">
        <v>0</v>
      </c>
      <c r="Z734" s="2">
        <v>1</v>
      </c>
      <c r="AA734" s="2">
        <v>1</v>
      </c>
      <c r="AB734" s="2">
        <v>1</v>
      </c>
      <c r="AC734" s="2">
        <v>1</v>
      </c>
      <c r="AD734" s="2">
        <v>0</v>
      </c>
      <c r="AE734" s="2">
        <v>0</v>
      </c>
      <c r="AF734" s="2">
        <v>1</v>
      </c>
      <c r="AG734" s="20">
        <f t="shared" si="11"/>
        <v>100</v>
      </c>
    </row>
    <row r="735" spans="1:33" x14ac:dyDescent="0.25">
      <c r="A735">
        <v>734</v>
      </c>
      <c r="B735" s="2">
        <v>3</v>
      </c>
      <c r="C735" s="2">
        <v>24</v>
      </c>
      <c r="D735" s="2">
        <v>2</v>
      </c>
      <c r="E735" s="2">
        <v>0</v>
      </c>
      <c r="F735" s="2">
        <v>1</v>
      </c>
      <c r="G735" s="2">
        <v>0</v>
      </c>
      <c r="H735" s="2">
        <v>0</v>
      </c>
      <c r="I735" s="2">
        <v>0</v>
      </c>
      <c r="J735" s="2">
        <v>0</v>
      </c>
      <c r="K735" s="2">
        <v>2603</v>
      </c>
      <c r="L735" s="2">
        <v>3</v>
      </c>
      <c r="M735" s="2">
        <v>2</v>
      </c>
      <c r="N735" s="2">
        <v>2</v>
      </c>
      <c r="O735" s="2">
        <v>0</v>
      </c>
      <c r="P735" s="2">
        <v>0</v>
      </c>
      <c r="Q735" s="2">
        <v>0</v>
      </c>
      <c r="R735" s="2">
        <v>0</v>
      </c>
      <c r="S735" s="2">
        <v>0</v>
      </c>
      <c r="T735" s="2">
        <v>4</v>
      </c>
      <c r="U735" s="2">
        <v>0</v>
      </c>
      <c r="V735" s="2">
        <v>0</v>
      </c>
      <c r="W735" s="2">
        <v>28</v>
      </c>
      <c r="X735" s="2">
        <v>0</v>
      </c>
      <c r="Y735" s="2">
        <v>1</v>
      </c>
      <c r="Z735" s="2">
        <v>0</v>
      </c>
      <c r="AA735" s="2">
        <v>1</v>
      </c>
      <c r="AB735" s="2">
        <v>2</v>
      </c>
      <c r="AC735" s="2">
        <v>1</v>
      </c>
      <c r="AD735" s="2">
        <v>1</v>
      </c>
      <c r="AE735" s="2">
        <v>0</v>
      </c>
      <c r="AF735" s="2">
        <v>1</v>
      </c>
      <c r="AG735" s="20">
        <f t="shared" si="11"/>
        <v>100</v>
      </c>
    </row>
    <row r="736" spans="1:33" x14ac:dyDescent="0.25">
      <c r="A736">
        <v>735</v>
      </c>
      <c r="B736" s="2">
        <v>3</v>
      </c>
      <c r="C736" s="2">
        <v>4</v>
      </c>
      <c r="D736" s="2">
        <v>4</v>
      </c>
      <c r="E736" s="2">
        <v>1</v>
      </c>
      <c r="F736" s="2">
        <v>0</v>
      </c>
      <c r="G736" s="2">
        <v>0</v>
      </c>
      <c r="H736" s="2">
        <v>0</v>
      </c>
      <c r="I736" s="2">
        <v>0</v>
      </c>
      <c r="J736" s="2">
        <v>0</v>
      </c>
      <c r="K736" s="2">
        <v>3380</v>
      </c>
      <c r="L736" s="2">
        <v>0</v>
      </c>
      <c r="M736" s="2">
        <v>3</v>
      </c>
      <c r="N736" s="2">
        <v>1</v>
      </c>
      <c r="O736" s="2">
        <v>0</v>
      </c>
      <c r="P736" s="2">
        <v>0</v>
      </c>
      <c r="Q736" s="2">
        <v>0</v>
      </c>
      <c r="R736" s="2">
        <v>0</v>
      </c>
      <c r="S736" s="2">
        <v>0</v>
      </c>
      <c r="T736" s="2">
        <v>1</v>
      </c>
      <c r="U736" s="2">
        <v>1</v>
      </c>
      <c r="V736" s="2">
        <v>0</v>
      </c>
      <c r="W736" s="2">
        <v>37</v>
      </c>
      <c r="X736" s="2">
        <v>0</v>
      </c>
      <c r="Y736" s="2">
        <v>0</v>
      </c>
      <c r="Z736" s="2">
        <v>1</v>
      </c>
      <c r="AA736" s="2">
        <v>1</v>
      </c>
      <c r="AB736" s="2">
        <v>2</v>
      </c>
      <c r="AC736" s="2">
        <v>2</v>
      </c>
      <c r="AD736" s="2">
        <v>0</v>
      </c>
      <c r="AE736" s="2">
        <v>0</v>
      </c>
      <c r="AF736" s="2">
        <v>1</v>
      </c>
      <c r="AG736" s="20">
        <f t="shared" si="11"/>
        <v>100</v>
      </c>
    </row>
    <row r="737" spans="1:33" x14ac:dyDescent="0.25">
      <c r="A737">
        <v>736</v>
      </c>
      <c r="B737" s="2">
        <v>1</v>
      </c>
      <c r="C737" s="2">
        <v>36</v>
      </c>
      <c r="D737" s="2">
        <v>1</v>
      </c>
      <c r="E737" s="2">
        <v>0</v>
      </c>
      <c r="F737" s="2">
        <v>0</v>
      </c>
      <c r="G737" s="2">
        <v>0</v>
      </c>
      <c r="H737" s="2">
        <v>0</v>
      </c>
      <c r="I737" s="2">
        <v>0</v>
      </c>
      <c r="J737" s="2">
        <v>0</v>
      </c>
      <c r="K737" s="2">
        <v>3990</v>
      </c>
      <c r="L737" s="2">
        <v>4</v>
      </c>
      <c r="M737" s="2">
        <v>1</v>
      </c>
      <c r="N737" s="2">
        <v>3</v>
      </c>
      <c r="O737" s="2">
        <v>0</v>
      </c>
      <c r="P737" s="2">
        <v>0</v>
      </c>
      <c r="Q737" s="2">
        <v>0</v>
      </c>
      <c r="R737" s="2">
        <v>0</v>
      </c>
      <c r="S737" s="2">
        <v>0</v>
      </c>
      <c r="T737" s="2">
        <v>2</v>
      </c>
      <c r="U737" s="2">
        <v>0</v>
      </c>
      <c r="V737" s="2">
        <v>1</v>
      </c>
      <c r="W737" s="2">
        <v>29</v>
      </c>
      <c r="X737" s="2">
        <v>1</v>
      </c>
      <c r="Y737" s="2">
        <v>0</v>
      </c>
      <c r="Z737" s="2">
        <v>1</v>
      </c>
      <c r="AA737" s="2">
        <v>1</v>
      </c>
      <c r="AB737" s="2">
        <v>0</v>
      </c>
      <c r="AC737" s="2">
        <v>1</v>
      </c>
      <c r="AD737" s="2">
        <v>0</v>
      </c>
      <c r="AE737" s="2">
        <v>0</v>
      </c>
      <c r="AF737" s="2">
        <v>1</v>
      </c>
      <c r="AG737" s="20">
        <f t="shared" si="11"/>
        <v>100</v>
      </c>
    </row>
    <row r="738" spans="1:33" x14ac:dyDescent="0.25">
      <c r="A738">
        <v>737</v>
      </c>
      <c r="B738" s="2">
        <v>1</v>
      </c>
      <c r="C738" s="2">
        <v>24</v>
      </c>
      <c r="D738" s="2">
        <v>2</v>
      </c>
      <c r="E738" s="2">
        <v>0</v>
      </c>
      <c r="F738" s="2">
        <v>1</v>
      </c>
      <c r="G738" s="2">
        <v>0</v>
      </c>
      <c r="H738" s="2">
        <v>0</v>
      </c>
      <c r="I738" s="2">
        <v>0</v>
      </c>
      <c r="J738" s="2">
        <v>0</v>
      </c>
      <c r="K738" s="2">
        <v>11560</v>
      </c>
      <c r="L738" s="2">
        <v>0</v>
      </c>
      <c r="M738" s="2">
        <v>2</v>
      </c>
      <c r="N738" s="2">
        <v>1</v>
      </c>
      <c r="O738" s="2">
        <v>0</v>
      </c>
      <c r="P738" s="2">
        <v>0</v>
      </c>
      <c r="Q738" s="2">
        <v>0</v>
      </c>
      <c r="R738" s="2">
        <v>0</v>
      </c>
      <c r="S738" s="2">
        <v>0</v>
      </c>
      <c r="T738" s="2">
        <v>4</v>
      </c>
      <c r="U738" s="2">
        <v>0</v>
      </c>
      <c r="V738" s="2">
        <v>0</v>
      </c>
      <c r="W738" s="2">
        <v>23</v>
      </c>
      <c r="X738" s="2">
        <v>0</v>
      </c>
      <c r="Y738" s="2">
        <v>1</v>
      </c>
      <c r="Z738" s="2">
        <v>0</v>
      </c>
      <c r="AA738" s="2">
        <v>2</v>
      </c>
      <c r="AB738" s="2">
        <v>3</v>
      </c>
      <c r="AC738" s="2">
        <v>1</v>
      </c>
      <c r="AD738" s="2">
        <v>0</v>
      </c>
      <c r="AE738" s="2">
        <v>0</v>
      </c>
      <c r="AF738" s="2">
        <v>0</v>
      </c>
      <c r="AG738" s="20">
        <f t="shared" si="11"/>
        <v>-500</v>
      </c>
    </row>
    <row r="739" spans="1:33" x14ac:dyDescent="0.25">
      <c r="A739">
        <v>738</v>
      </c>
      <c r="B739" s="2">
        <v>0</v>
      </c>
      <c r="C739" s="2">
        <v>18</v>
      </c>
      <c r="D739" s="2">
        <v>2</v>
      </c>
      <c r="E739" s="2">
        <v>1</v>
      </c>
      <c r="F739" s="2">
        <v>0</v>
      </c>
      <c r="G739" s="2">
        <v>0</v>
      </c>
      <c r="H739" s="2">
        <v>0</v>
      </c>
      <c r="I739" s="2">
        <v>0</v>
      </c>
      <c r="J739" s="2">
        <v>0</v>
      </c>
      <c r="K739" s="2">
        <v>4380</v>
      </c>
      <c r="L739" s="2">
        <v>1</v>
      </c>
      <c r="M739" s="2">
        <v>2</v>
      </c>
      <c r="N739" s="2">
        <v>3</v>
      </c>
      <c r="O739" s="2">
        <v>0</v>
      </c>
      <c r="P739" s="2">
        <v>1</v>
      </c>
      <c r="Q739" s="2">
        <v>0</v>
      </c>
      <c r="R739" s="2">
        <v>0</v>
      </c>
      <c r="S739" s="2">
        <v>0</v>
      </c>
      <c r="T739" s="2">
        <v>4</v>
      </c>
      <c r="U739" s="2">
        <v>0</v>
      </c>
      <c r="V739" s="2">
        <v>0</v>
      </c>
      <c r="W739" s="2">
        <v>35</v>
      </c>
      <c r="X739" s="2">
        <v>0</v>
      </c>
      <c r="Y739" s="2">
        <v>0</v>
      </c>
      <c r="Z739" s="2">
        <v>1</v>
      </c>
      <c r="AA739" s="2">
        <v>1</v>
      </c>
      <c r="AB739" s="2">
        <v>1</v>
      </c>
      <c r="AC739" s="2">
        <v>2</v>
      </c>
      <c r="AD739" s="2">
        <v>1</v>
      </c>
      <c r="AE739" s="2">
        <v>0</v>
      </c>
      <c r="AF739" s="2">
        <v>1</v>
      </c>
      <c r="AG739" s="20">
        <f t="shared" si="11"/>
        <v>100</v>
      </c>
    </row>
    <row r="740" spans="1:33" x14ac:dyDescent="0.25">
      <c r="A740">
        <v>739</v>
      </c>
      <c r="B740" s="2">
        <v>3</v>
      </c>
      <c r="C740" s="2">
        <v>6</v>
      </c>
      <c r="D740" s="2">
        <v>4</v>
      </c>
      <c r="E740" s="2">
        <v>1</v>
      </c>
      <c r="F740" s="2">
        <v>0</v>
      </c>
      <c r="G740" s="2">
        <v>0</v>
      </c>
      <c r="H740" s="2">
        <v>0</v>
      </c>
      <c r="I740" s="2">
        <v>0</v>
      </c>
      <c r="J740" s="2">
        <v>0</v>
      </c>
      <c r="K740" s="2">
        <v>6761</v>
      </c>
      <c r="L740" s="2">
        <v>0</v>
      </c>
      <c r="M740" s="2">
        <v>3</v>
      </c>
      <c r="N740" s="2">
        <v>1</v>
      </c>
      <c r="O740" s="2">
        <v>0</v>
      </c>
      <c r="P740" s="2">
        <v>1</v>
      </c>
      <c r="Q740" s="2">
        <v>0</v>
      </c>
      <c r="R740" s="2">
        <v>0</v>
      </c>
      <c r="S740" s="2">
        <v>0</v>
      </c>
      <c r="T740" s="2">
        <v>3</v>
      </c>
      <c r="U740" s="2">
        <v>0</v>
      </c>
      <c r="V740" s="2">
        <v>1</v>
      </c>
      <c r="W740" s="2">
        <v>45</v>
      </c>
      <c r="X740" s="2">
        <v>0</v>
      </c>
      <c r="Y740" s="2">
        <v>0</v>
      </c>
      <c r="Z740" s="2">
        <v>1</v>
      </c>
      <c r="AA740" s="2">
        <v>2</v>
      </c>
      <c r="AB740" s="2">
        <v>3</v>
      </c>
      <c r="AC740" s="2">
        <v>2</v>
      </c>
      <c r="AD740" s="2">
        <v>1</v>
      </c>
      <c r="AE740" s="2">
        <v>0</v>
      </c>
      <c r="AF740" s="2">
        <v>1</v>
      </c>
      <c r="AG740" s="20">
        <f t="shared" si="11"/>
        <v>100</v>
      </c>
    </row>
    <row r="741" spans="1:33" x14ac:dyDescent="0.25">
      <c r="A741">
        <v>740</v>
      </c>
      <c r="B741" s="2">
        <v>1</v>
      </c>
      <c r="C741" s="2">
        <v>30</v>
      </c>
      <c r="D741" s="2">
        <v>0</v>
      </c>
      <c r="E741" s="2">
        <v>0</v>
      </c>
      <c r="F741" s="2">
        <v>0</v>
      </c>
      <c r="G741" s="2">
        <v>0</v>
      </c>
      <c r="H741" s="2">
        <v>0</v>
      </c>
      <c r="I741" s="2">
        <v>0</v>
      </c>
      <c r="J741" s="2">
        <v>1</v>
      </c>
      <c r="K741" s="2">
        <v>4280</v>
      </c>
      <c r="L741" s="2">
        <v>1</v>
      </c>
      <c r="M741" s="2">
        <v>2</v>
      </c>
      <c r="N741" s="2">
        <v>4</v>
      </c>
      <c r="O741" s="2">
        <v>0</v>
      </c>
      <c r="P741" s="2">
        <v>0</v>
      </c>
      <c r="Q741" s="2">
        <v>0</v>
      </c>
      <c r="R741" s="2">
        <v>0</v>
      </c>
      <c r="S741" s="2">
        <v>0</v>
      </c>
      <c r="T741" s="2">
        <v>4</v>
      </c>
      <c r="U741" s="2">
        <v>0</v>
      </c>
      <c r="V741" s="2">
        <v>0</v>
      </c>
      <c r="W741" s="2">
        <v>26</v>
      </c>
      <c r="X741" s="2">
        <v>0</v>
      </c>
      <c r="Y741" s="2">
        <v>1</v>
      </c>
      <c r="Z741" s="2">
        <v>0</v>
      </c>
      <c r="AA741" s="2">
        <v>2</v>
      </c>
      <c r="AB741" s="2">
        <v>1</v>
      </c>
      <c r="AC741" s="2">
        <v>1</v>
      </c>
      <c r="AD741" s="2">
        <v>0</v>
      </c>
      <c r="AE741" s="2">
        <v>0</v>
      </c>
      <c r="AF741" s="2">
        <v>0</v>
      </c>
      <c r="AG741" s="20">
        <f t="shared" si="11"/>
        <v>-500</v>
      </c>
    </row>
    <row r="742" spans="1:33" x14ac:dyDescent="0.25">
      <c r="A742">
        <v>741</v>
      </c>
      <c r="B742" s="2">
        <v>0</v>
      </c>
      <c r="C742" s="2">
        <v>24</v>
      </c>
      <c r="D742" s="2">
        <v>1</v>
      </c>
      <c r="E742" s="2">
        <v>1</v>
      </c>
      <c r="F742" s="2">
        <v>0</v>
      </c>
      <c r="G742" s="2">
        <v>0</v>
      </c>
      <c r="H742" s="2">
        <v>0</v>
      </c>
      <c r="I742" s="2">
        <v>0</v>
      </c>
      <c r="J742" s="2">
        <v>0</v>
      </c>
      <c r="K742" s="2">
        <v>2325</v>
      </c>
      <c r="L742" s="2">
        <v>1</v>
      </c>
      <c r="M742" s="2">
        <v>3</v>
      </c>
      <c r="N742" s="2">
        <v>2</v>
      </c>
      <c r="O742" s="2">
        <v>0</v>
      </c>
      <c r="P742" s="2">
        <v>1</v>
      </c>
      <c r="Q742" s="2">
        <v>0</v>
      </c>
      <c r="R742" s="2">
        <v>0</v>
      </c>
      <c r="S742" s="2">
        <v>0</v>
      </c>
      <c r="T742" s="2">
        <v>3</v>
      </c>
      <c r="U742" s="2">
        <v>0</v>
      </c>
      <c r="V742" s="2">
        <v>0</v>
      </c>
      <c r="W742" s="2">
        <v>32</v>
      </c>
      <c r="X742" s="2">
        <v>1</v>
      </c>
      <c r="Y742" s="2">
        <v>0</v>
      </c>
      <c r="Z742" s="2">
        <v>1</v>
      </c>
      <c r="AA742" s="2">
        <v>1</v>
      </c>
      <c r="AB742" s="2">
        <v>2</v>
      </c>
      <c r="AC742" s="2">
        <v>1</v>
      </c>
      <c r="AD742" s="2">
        <v>0</v>
      </c>
      <c r="AE742" s="2">
        <v>0</v>
      </c>
      <c r="AF742" s="2">
        <v>1</v>
      </c>
      <c r="AG742" s="20">
        <f t="shared" si="11"/>
        <v>100</v>
      </c>
    </row>
    <row r="743" spans="1:33" x14ac:dyDescent="0.25">
      <c r="A743">
        <v>742</v>
      </c>
      <c r="B743" s="2">
        <v>1</v>
      </c>
      <c r="C743" s="2">
        <v>10</v>
      </c>
      <c r="D743" s="2">
        <v>1</v>
      </c>
      <c r="E743" s="2">
        <v>0</v>
      </c>
      <c r="F743" s="2">
        <v>0</v>
      </c>
      <c r="G743" s="2">
        <v>0</v>
      </c>
      <c r="H743" s="2">
        <v>1</v>
      </c>
      <c r="I743" s="2">
        <v>0</v>
      </c>
      <c r="J743" s="2">
        <v>0</v>
      </c>
      <c r="K743" s="2">
        <v>1048</v>
      </c>
      <c r="L743" s="2">
        <v>0</v>
      </c>
      <c r="M743" s="2">
        <v>2</v>
      </c>
      <c r="N743" s="2">
        <v>4</v>
      </c>
      <c r="O743" s="2">
        <v>0</v>
      </c>
      <c r="P743" s="2">
        <v>1</v>
      </c>
      <c r="Q743" s="2">
        <v>0</v>
      </c>
      <c r="R743" s="2">
        <v>0</v>
      </c>
      <c r="S743" s="2">
        <v>0</v>
      </c>
      <c r="T743" s="2">
        <v>4</v>
      </c>
      <c r="U743" s="2">
        <v>1</v>
      </c>
      <c r="V743" s="2">
        <v>0</v>
      </c>
      <c r="W743" s="2">
        <v>23</v>
      </c>
      <c r="X743" s="2">
        <v>1</v>
      </c>
      <c r="Y743" s="2">
        <v>0</v>
      </c>
      <c r="Z743" s="2">
        <v>1</v>
      </c>
      <c r="AA743" s="2">
        <v>1</v>
      </c>
      <c r="AB743" s="2">
        <v>1</v>
      </c>
      <c r="AC743" s="2">
        <v>1</v>
      </c>
      <c r="AD743" s="2">
        <v>0</v>
      </c>
      <c r="AE743" s="2">
        <v>0</v>
      </c>
      <c r="AF743" s="2">
        <v>1</v>
      </c>
      <c r="AG743" s="20">
        <f t="shared" si="11"/>
        <v>100</v>
      </c>
    </row>
    <row r="744" spans="1:33" x14ac:dyDescent="0.25">
      <c r="A744">
        <v>743</v>
      </c>
      <c r="B744" s="2">
        <v>3</v>
      </c>
      <c r="C744" s="2">
        <v>21</v>
      </c>
      <c r="D744" s="2">
        <v>2</v>
      </c>
      <c r="E744" s="2">
        <v>0</v>
      </c>
      <c r="F744" s="2">
        <v>0</v>
      </c>
      <c r="G744" s="2">
        <v>0</v>
      </c>
      <c r="H744" s="2">
        <v>1</v>
      </c>
      <c r="I744" s="2">
        <v>0</v>
      </c>
      <c r="J744" s="2">
        <v>0</v>
      </c>
      <c r="K744" s="2">
        <v>3160</v>
      </c>
      <c r="L744" s="2">
        <v>4</v>
      </c>
      <c r="M744" s="2">
        <v>4</v>
      </c>
      <c r="N744" s="2">
        <v>4</v>
      </c>
      <c r="O744" s="2">
        <v>0</v>
      </c>
      <c r="P744" s="2">
        <v>1</v>
      </c>
      <c r="Q744" s="2">
        <v>0</v>
      </c>
      <c r="R744" s="2">
        <v>0</v>
      </c>
      <c r="S744" s="2">
        <v>0</v>
      </c>
      <c r="T744" s="2">
        <v>3</v>
      </c>
      <c r="U744" s="2">
        <v>0</v>
      </c>
      <c r="V744" s="2">
        <v>0</v>
      </c>
      <c r="W744" s="2">
        <v>41</v>
      </c>
      <c r="X744" s="2">
        <v>0</v>
      </c>
      <c r="Y744" s="2">
        <v>0</v>
      </c>
      <c r="Z744" s="2">
        <v>1</v>
      </c>
      <c r="AA744" s="2">
        <v>1</v>
      </c>
      <c r="AB744" s="2">
        <v>2</v>
      </c>
      <c r="AC744" s="2">
        <v>1</v>
      </c>
      <c r="AD744" s="2">
        <v>1</v>
      </c>
      <c r="AE744" s="2">
        <v>0</v>
      </c>
      <c r="AF744" s="2">
        <v>1</v>
      </c>
      <c r="AG744" s="20">
        <f t="shared" si="11"/>
        <v>100</v>
      </c>
    </row>
    <row r="745" spans="1:33" x14ac:dyDescent="0.25">
      <c r="A745">
        <v>744</v>
      </c>
      <c r="B745" s="2">
        <v>0</v>
      </c>
      <c r="C745" s="2">
        <v>24</v>
      </c>
      <c r="D745" s="2">
        <v>1</v>
      </c>
      <c r="E745" s="2">
        <v>0</v>
      </c>
      <c r="F745" s="2">
        <v>0</v>
      </c>
      <c r="G745" s="2">
        <v>1</v>
      </c>
      <c r="H745" s="2">
        <v>0</v>
      </c>
      <c r="I745" s="2">
        <v>0</v>
      </c>
      <c r="J745" s="2">
        <v>0</v>
      </c>
      <c r="K745" s="2">
        <v>2483</v>
      </c>
      <c r="L745" s="2">
        <v>2</v>
      </c>
      <c r="M745" s="2">
        <v>2</v>
      </c>
      <c r="N745" s="2">
        <v>4</v>
      </c>
      <c r="O745" s="2">
        <v>0</v>
      </c>
      <c r="P745" s="2">
        <v>1</v>
      </c>
      <c r="Q745" s="2">
        <v>0</v>
      </c>
      <c r="R745" s="2">
        <v>0</v>
      </c>
      <c r="S745" s="2">
        <v>0</v>
      </c>
      <c r="T745" s="2">
        <v>4</v>
      </c>
      <c r="U745" s="2">
        <v>1</v>
      </c>
      <c r="V745" s="2">
        <v>0</v>
      </c>
      <c r="W745" s="2">
        <v>22</v>
      </c>
      <c r="X745" s="2">
        <v>1</v>
      </c>
      <c r="Y745" s="2">
        <v>0</v>
      </c>
      <c r="Z745" s="2">
        <v>1</v>
      </c>
      <c r="AA745" s="2">
        <v>1</v>
      </c>
      <c r="AB745" s="2">
        <v>2</v>
      </c>
      <c r="AC745" s="2">
        <v>1</v>
      </c>
      <c r="AD745" s="2">
        <v>1</v>
      </c>
      <c r="AE745" s="2">
        <v>0</v>
      </c>
      <c r="AF745" s="2">
        <v>1</v>
      </c>
      <c r="AG745" s="20">
        <f t="shared" si="11"/>
        <v>100</v>
      </c>
    </row>
    <row r="746" spans="1:33" x14ac:dyDescent="0.25">
      <c r="A746">
        <v>745</v>
      </c>
      <c r="B746" s="2">
        <v>0</v>
      </c>
      <c r="C746" s="2">
        <v>39</v>
      </c>
      <c r="D746" s="2">
        <v>4</v>
      </c>
      <c r="E746" s="2">
        <v>0</v>
      </c>
      <c r="F746" s="2">
        <v>0</v>
      </c>
      <c r="G746" s="2">
        <v>1</v>
      </c>
      <c r="H746" s="2">
        <v>0</v>
      </c>
      <c r="I746" s="2">
        <v>0</v>
      </c>
      <c r="J746" s="2">
        <v>0</v>
      </c>
      <c r="K746" s="2">
        <v>14179</v>
      </c>
      <c r="L746" s="2">
        <v>4</v>
      </c>
      <c r="M746" s="2">
        <v>3</v>
      </c>
      <c r="N746" s="2">
        <v>4</v>
      </c>
      <c r="O746" s="2">
        <v>0</v>
      </c>
      <c r="P746" s="2">
        <v>1</v>
      </c>
      <c r="Q746" s="2">
        <v>0</v>
      </c>
      <c r="R746" s="2">
        <v>0</v>
      </c>
      <c r="S746" s="2">
        <v>0</v>
      </c>
      <c r="T746" s="2">
        <v>4</v>
      </c>
      <c r="U746" s="2">
        <v>0</v>
      </c>
      <c r="V746" s="2">
        <v>0</v>
      </c>
      <c r="W746" s="2">
        <v>30</v>
      </c>
      <c r="X746" s="2">
        <v>0</v>
      </c>
      <c r="Y746" s="2">
        <v>0</v>
      </c>
      <c r="Z746" s="2">
        <v>1</v>
      </c>
      <c r="AA746" s="2">
        <v>2</v>
      </c>
      <c r="AB746" s="2">
        <v>3</v>
      </c>
      <c r="AC746" s="2">
        <v>1</v>
      </c>
      <c r="AD746" s="2">
        <v>1</v>
      </c>
      <c r="AE746" s="2">
        <v>0</v>
      </c>
      <c r="AF746" s="2">
        <v>1</v>
      </c>
      <c r="AG746" s="20">
        <f t="shared" si="11"/>
        <v>100</v>
      </c>
    </row>
    <row r="747" spans="1:33" x14ac:dyDescent="0.25">
      <c r="A747">
        <v>746</v>
      </c>
      <c r="B747" s="2">
        <v>0</v>
      </c>
      <c r="C747" s="2">
        <v>13</v>
      </c>
      <c r="D747" s="2">
        <v>4</v>
      </c>
      <c r="E747" s="2">
        <v>0</v>
      </c>
      <c r="F747" s="2">
        <v>0</v>
      </c>
      <c r="G747" s="2">
        <v>0</v>
      </c>
      <c r="H747" s="2">
        <v>0</v>
      </c>
      <c r="I747" s="2">
        <v>0</v>
      </c>
      <c r="J747" s="2">
        <v>1</v>
      </c>
      <c r="K747" s="2">
        <v>1797</v>
      </c>
      <c r="L747" s="2">
        <v>0</v>
      </c>
      <c r="M747" s="2">
        <v>1</v>
      </c>
      <c r="N747" s="2">
        <v>3</v>
      </c>
      <c r="O747" s="2">
        <v>0</v>
      </c>
      <c r="P747" s="2">
        <v>1</v>
      </c>
      <c r="Q747" s="2">
        <v>0</v>
      </c>
      <c r="R747" s="2">
        <v>0</v>
      </c>
      <c r="S747" s="2">
        <v>0</v>
      </c>
      <c r="T747" s="2">
        <v>1</v>
      </c>
      <c r="U747" s="2">
        <v>0</v>
      </c>
      <c r="V747" s="2">
        <v>0</v>
      </c>
      <c r="W747" s="2">
        <v>28</v>
      </c>
      <c r="X747" s="2">
        <v>1</v>
      </c>
      <c r="Y747" s="2">
        <v>0</v>
      </c>
      <c r="Z747" s="2">
        <v>1</v>
      </c>
      <c r="AA747" s="2">
        <v>2</v>
      </c>
      <c r="AB747" s="2">
        <v>1</v>
      </c>
      <c r="AC747" s="2">
        <v>1</v>
      </c>
      <c r="AD747" s="2">
        <v>0</v>
      </c>
      <c r="AE747" s="2">
        <v>0</v>
      </c>
      <c r="AF747" s="2">
        <v>1</v>
      </c>
      <c r="AG747" s="20">
        <f t="shared" si="11"/>
        <v>100</v>
      </c>
    </row>
    <row r="748" spans="1:33" x14ac:dyDescent="0.25">
      <c r="A748">
        <v>747</v>
      </c>
      <c r="B748" s="2">
        <v>0</v>
      </c>
      <c r="C748" s="2">
        <v>15</v>
      </c>
      <c r="D748" s="2">
        <v>2</v>
      </c>
      <c r="E748" s="2">
        <v>1</v>
      </c>
      <c r="F748" s="2">
        <v>0</v>
      </c>
      <c r="G748" s="2">
        <v>0</v>
      </c>
      <c r="H748" s="2">
        <v>0</v>
      </c>
      <c r="I748" s="2">
        <v>0</v>
      </c>
      <c r="J748" s="2">
        <v>0</v>
      </c>
      <c r="K748" s="2">
        <v>2511</v>
      </c>
      <c r="L748" s="2">
        <v>0</v>
      </c>
      <c r="M748" s="2">
        <v>0</v>
      </c>
      <c r="N748" s="2">
        <v>1</v>
      </c>
      <c r="O748" s="2">
        <v>0</v>
      </c>
      <c r="P748" s="2">
        <v>0</v>
      </c>
      <c r="Q748" s="2">
        <v>0</v>
      </c>
      <c r="R748" s="2">
        <v>0</v>
      </c>
      <c r="S748" s="2">
        <v>0</v>
      </c>
      <c r="T748" s="2">
        <v>4</v>
      </c>
      <c r="U748" s="2">
        <v>0</v>
      </c>
      <c r="V748" s="2">
        <v>0</v>
      </c>
      <c r="W748" s="2">
        <v>23</v>
      </c>
      <c r="X748" s="2">
        <v>0</v>
      </c>
      <c r="Y748" s="2">
        <v>1</v>
      </c>
      <c r="Z748" s="2">
        <v>0</v>
      </c>
      <c r="AA748" s="2">
        <v>1</v>
      </c>
      <c r="AB748" s="2">
        <v>2</v>
      </c>
      <c r="AC748" s="2">
        <v>1</v>
      </c>
      <c r="AD748" s="2">
        <v>0</v>
      </c>
      <c r="AE748" s="2">
        <v>0</v>
      </c>
      <c r="AF748" s="2">
        <v>1</v>
      </c>
      <c r="AG748" s="20">
        <f t="shared" si="11"/>
        <v>100</v>
      </c>
    </row>
    <row r="749" spans="1:33" x14ac:dyDescent="0.25">
      <c r="A749">
        <v>748</v>
      </c>
      <c r="B749" s="2">
        <v>0</v>
      </c>
      <c r="C749" s="2">
        <v>12</v>
      </c>
      <c r="D749" s="2">
        <v>2</v>
      </c>
      <c r="E749" s="2">
        <v>1</v>
      </c>
      <c r="F749" s="2">
        <v>0</v>
      </c>
      <c r="G749" s="2">
        <v>0</v>
      </c>
      <c r="H749" s="2">
        <v>0</v>
      </c>
      <c r="I749" s="2">
        <v>0</v>
      </c>
      <c r="J749" s="2">
        <v>0</v>
      </c>
      <c r="K749" s="2">
        <v>1274</v>
      </c>
      <c r="L749" s="2">
        <v>0</v>
      </c>
      <c r="M749" s="2">
        <v>1</v>
      </c>
      <c r="N749" s="2">
        <v>3</v>
      </c>
      <c r="O749" s="2">
        <v>0</v>
      </c>
      <c r="P749" s="2">
        <v>0</v>
      </c>
      <c r="Q749" s="2">
        <v>0</v>
      </c>
      <c r="R749" s="2">
        <v>0</v>
      </c>
      <c r="S749" s="2">
        <v>0</v>
      </c>
      <c r="T749" s="2">
        <v>1</v>
      </c>
      <c r="U749" s="2">
        <v>1</v>
      </c>
      <c r="V749" s="2">
        <v>0</v>
      </c>
      <c r="W749" s="2">
        <v>37</v>
      </c>
      <c r="X749" s="2">
        <v>0</v>
      </c>
      <c r="Y749" s="2">
        <v>0</v>
      </c>
      <c r="Z749" s="2">
        <v>1</v>
      </c>
      <c r="AA749" s="2">
        <v>1</v>
      </c>
      <c r="AB749" s="2">
        <v>1</v>
      </c>
      <c r="AC749" s="2">
        <v>1</v>
      </c>
      <c r="AD749" s="2">
        <v>0</v>
      </c>
      <c r="AE749" s="2">
        <v>0</v>
      </c>
      <c r="AF749" s="2">
        <v>0</v>
      </c>
      <c r="AG749" s="20">
        <f t="shared" si="11"/>
        <v>-500</v>
      </c>
    </row>
    <row r="750" spans="1:33" x14ac:dyDescent="0.25">
      <c r="A750">
        <v>749</v>
      </c>
      <c r="B750" s="2">
        <v>3</v>
      </c>
      <c r="C750" s="2">
        <v>21</v>
      </c>
      <c r="D750" s="2">
        <v>2</v>
      </c>
      <c r="E750" s="2">
        <v>0</v>
      </c>
      <c r="F750" s="2">
        <v>1</v>
      </c>
      <c r="G750" s="2">
        <v>0</v>
      </c>
      <c r="H750" s="2">
        <v>0</v>
      </c>
      <c r="I750" s="2">
        <v>0</v>
      </c>
      <c r="J750" s="2">
        <v>0</v>
      </c>
      <c r="K750" s="2">
        <v>5248</v>
      </c>
      <c r="L750" s="2">
        <v>4</v>
      </c>
      <c r="M750" s="2">
        <v>2</v>
      </c>
      <c r="N750" s="2">
        <v>1</v>
      </c>
      <c r="O750" s="2">
        <v>0</v>
      </c>
      <c r="P750" s="2">
        <v>1</v>
      </c>
      <c r="Q750" s="2">
        <v>0</v>
      </c>
      <c r="R750" s="2">
        <v>0</v>
      </c>
      <c r="S750" s="2">
        <v>0</v>
      </c>
      <c r="T750" s="2">
        <v>3</v>
      </c>
      <c r="U750" s="2">
        <v>0</v>
      </c>
      <c r="V750" s="2">
        <v>0</v>
      </c>
      <c r="W750" s="2">
        <v>26</v>
      </c>
      <c r="X750" s="2">
        <v>0</v>
      </c>
      <c r="Y750" s="2">
        <v>0</v>
      </c>
      <c r="Z750" s="2">
        <v>1</v>
      </c>
      <c r="AA750" s="2">
        <v>1</v>
      </c>
      <c r="AB750" s="2">
        <v>2</v>
      </c>
      <c r="AC750" s="2">
        <v>1</v>
      </c>
      <c r="AD750" s="2">
        <v>0</v>
      </c>
      <c r="AE750" s="2">
        <v>0</v>
      </c>
      <c r="AF750" s="2">
        <v>1</v>
      </c>
      <c r="AG750" s="20">
        <f t="shared" si="11"/>
        <v>100</v>
      </c>
    </row>
    <row r="751" spans="1:33" x14ac:dyDescent="0.25">
      <c r="A751">
        <v>750</v>
      </c>
      <c r="B751" s="2">
        <v>3</v>
      </c>
      <c r="C751" s="2">
        <v>15</v>
      </c>
      <c r="D751" s="2">
        <v>2</v>
      </c>
      <c r="E751" s="2">
        <v>0</v>
      </c>
      <c r="F751" s="2">
        <v>1</v>
      </c>
      <c r="G751" s="2">
        <v>0</v>
      </c>
      <c r="H751" s="2">
        <v>0</v>
      </c>
      <c r="I751" s="2">
        <v>0</v>
      </c>
      <c r="J751" s="2">
        <v>0</v>
      </c>
      <c r="K751" s="2">
        <v>3029</v>
      </c>
      <c r="L751" s="2">
        <v>0</v>
      </c>
      <c r="M751" s="2">
        <v>3</v>
      </c>
      <c r="N751" s="2">
        <v>2</v>
      </c>
      <c r="O751" s="2">
        <v>0</v>
      </c>
      <c r="P751" s="2">
        <v>1</v>
      </c>
      <c r="Q751" s="2">
        <v>0</v>
      </c>
      <c r="R751" s="2">
        <v>0</v>
      </c>
      <c r="S751" s="2">
        <v>0</v>
      </c>
      <c r="T751" s="2">
        <v>2</v>
      </c>
      <c r="U751" s="2">
        <v>0</v>
      </c>
      <c r="V751" s="2">
        <v>0</v>
      </c>
      <c r="W751" s="2">
        <v>33</v>
      </c>
      <c r="X751" s="2">
        <v>0</v>
      </c>
      <c r="Y751" s="2">
        <v>0</v>
      </c>
      <c r="Z751" s="2">
        <v>1</v>
      </c>
      <c r="AA751" s="2">
        <v>1</v>
      </c>
      <c r="AB751" s="2">
        <v>2</v>
      </c>
      <c r="AC751" s="2">
        <v>1</v>
      </c>
      <c r="AD751" s="2">
        <v>0</v>
      </c>
      <c r="AE751" s="2">
        <v>0</v>
      </c>
      <c r="AF751" s="2">
        <v>1</v>
      </c>
      <c r="AG751" s="20">
        <f t="shared" si="11"/>
        <v>100</v>
      </c>
    </row>
    <row r="752" spans="1:33" x14ac:dyDescent="0.25">
      <c r="A752">
        <v>751</v>
      </c>
      <c r="B752" s="2">
        <v>0</v>
      </c>
      <c r="C752" s="2">
        <v>6</v>
      </c>
      <c r="D752" s="2">
        <v>2</v>
      </c>
      <c r="E752" s="2">
        <v>0</v>
      </c>
      <c r="F752" s="2">
        <v>0</v>
      </c>
      <c r="G752" s="2">
        <v>1</v>
      </c>
      <c r="H752" s="2">
        <v>0</v>
      </c>
      <c r="I752" s="2">
        <v>0</v>
      </c>
      <c r="J752" s="2">
        <v>0</v>
      </c>
      <c r="K752" s="2">
        <v>428</v>
      </c>
      <c r="L752" s="2">
        <v>0</v>
      </c>
      <c r="M752" s="2">
        <v>4</v>
      </c>
      <c r="N752" s="2">
        <v>2</v>
      </c>
      <c r="O752" s="2">
        <v>0</v>
      </c>
      <c r="P752" s="2">
        <v>0</v>
      </c>
      <c r="Q752" s="2">
        <v>0</v>
      </c>
      <c r="R752" s="2">
        <v>0</v>
      </c>
      <c r="S752" s="2">
        <v>0</v>
      </c>
      <c r="T752" s="2">
        <v>1</v>
      </c>
      <c r="U752" s="2">
        <v>0</v>
      </c>
      <c r="V752" s="2">
        <v>0</v>
      </c>
      <c r="W752" s="2">
        <v>49</v>
      </c>
      <c r="X752" s="2">
        <v>1</v>
      </c>
      <c r="Y752" s="2">
        <v>0</v>
      </c>
      <c r="Z752" s="2">
        <v>1</v>
      </c>
      <c r="AA752" s="2">
        <v>1</v>
      </c>
      <c r="AB752" s="2">
        <v>2</v>
      </c>
      <c r="AC752" s="2">
        <v>1</v>
      </c>
      <c r="AD752" s="2">
        <v>1</v>
      </c>
      <c r="AE752" s="2">
        <v>0</v>
      </c>
      <c r="AF752" s="2">
        <v>1</v>
      </c>
      <c r="AG752" s="20">
        <f t="shared" si="11"/>
        <v>100</v>
      </c>
    </row>
    <row r="753" spans="1:33" x14ac:dyDescent="0.25">
      <c r="A753">
        <v>752</v>
      </c>
      <c r="B753" s="2">
        <v>0</v>
      </c>
      <c r="C753" s="2">
        <v>18</v>
      </c>
      <c r="D753" s="2">
        <v>2</v>
      </c>
      <c r="E753" s="2">
        <v>1</v>
      </c>
      <c r="F753" s="2">
        <v>0</v>
      </c>
      <c r="G753" s="2">
        <v>0</v>
      </c>
      <c r="H753" s="2">
        <v>0</v>
      </c>
      <c r="I753" s="2">
        <v>0</v>
      </c>
      <c r="J753" s="2">
        <v>0</v>
      </c>
      <c r="K753" s="2">
        <v>976</v>
      </c>
      <c r="L753" s="2">
        <v>0</v>
      </c>
      <c r="M753" s="2">
        <v>1</v>
      </c>
      <c r="N753" s="2">
        <v>1</v>
      </c>
      <c r="O753" s="2">
        <v>0</v>
      </c>
      <c r="P753" s="2">
        <v>0</v>
      </c>
      <c r="Q753" s="2">
        <v>0</v>
      </c>
      <c r="R753" s="2">
        <v>0</v>
      </c>
      <c r="S753" s="2">
        <v>0</v>
      </c>
      <c r="T753" s="2">
        <v>2</v>
      </c>
      <c r="U753" s="2">
        <v>0</v>
      </c>
      <c r="V753" s="2">
        <v>0</v>
      </c>
      <c r="W753" s="2">
        <v>23</v>
      </c>
      <c r="X753" s="2">
        <v>0</v>
      </c>
      <c r="Y753" s="2">
        <v>0</v>
      </c>
      <c r="Z753" s="2">
        <v>1</v>
      </c>
      <c r="AA753" s="2">
        <v>1</v>
      </c>
      <c r="AB753" s="2">
        <v>1</v>
      </c>
      <c r="AC753" s="2">
        <v>1</v>
      </c>
      <c r="AD753" s="2">
        <v>0</v>
      </c>
      <c r="AE753" s="2">
        <v>0</v>
      </c>
      <c r="AF753" s="2">
        <v>0</v>
      </c>
      <c r="AG753" s="20">
        <f t="shared" si="11"/>
        <v>-500</v>
      </c>
    </row>
    <row r="754" spans="1:33" x14ac:dyDescent="0.25">
      <c r="A754">
        <v>753</v>
      </c>
      <c r="B754" s="2">
        <v>1</v>
      </c>
      <c r="C754" s="2">
        <v>12</v>
      </c>
      <c r="D754" s="2">
        <v>2</v>
      </c>
      <c r="E754" s="2">
        <v>0</v>
      </c>
      <c r="F754" s="2">
        <v>0</v>
      </c>
      <c r="G754" s="2">
        <v>0</v>
      </c>
      <c r="H754" s="2">
        <v>0</v>
      </c>
      <c r="I754" s="2">
        <v>0</v>
      </c>
      <c r="J754" s="2">
        <v>1</v>
      </c>
      <c r="K754" s="2">
        <v>841</v>
      </c>
      <c r="L754" s="2">
        <v>1</v>
      </c>
      <c r="M754" s="2">
        <v>3</v>
      </c>
      <c r="N754" s="2">
        <v>2</v>
      </c>
      <c r="O754" s="2">
        <v>0</v>
      </c>
      <c r="P754" s="2">
        <v>0</v>
      </c>
      <c r="Q754" s="2">
        <v>0</v>
      </c>
      <c r="R754" s="2">
        <v>0</v>
      </c>
      <c r="S754" s="2">
        <v>0</v>
      </c>
      <c r="T754" s="2">
        <v>4</v>
      </c>
      <c r="U754" s="2">
        <v>1</v>
      </c>
      <c r="V754" s="2">
        <v>0</v>
      </c>
      <c r="W754" s="2">
        <v>23</v>
      </c>
      <c r="X754" s="2">
        <v>0</v>
      </c>
      <c r="Y754" s="2">
        <v>1</v>
      </c>
      <c r="Z754" s="2">
        <v>0</v>
      </c>
      <c r="AA754" s="2">
        <v>1</v>
      </c>
      <c r="AB754" s="2">
        <v>1</v>
      </c>
      <c r="AC754" s="2">
        <v>1</v>
      </c>
      <c r="AD754" s="2">
        <v>0</v>
      </c>
      <c r="AE754" s="2">
        <v>0</v>
      </c>
      <c r="AF754" s="2">
        <v>1</v>
      </c>
      <c r="AG754" s="20">
        <f t="shared" si="11"/>
        <v>100</v>
      </c>
    </row>
    <row r="755" spans="1:33" x14ac:dyDescent="0.25">
      <c r="A755">
        <v>754</v>
      </c>
      <c r="B755" s="2">
        <v>3</v>
      </c>
      <c r="C755" s="2">
        <v>30</v>
      </c>
      <c r="D755" s="2">
        <v>4</v>
      </c>
      <c r="E755" s="2">
        <v>0</v>
      </c>
      <c r="F755" s="2">
        <v>0</v>
      </c>
      <c r="G755" s="2">
        <v>0</v>
      </c>
      <c r="H755" s="2">
        <v>1</v>
      </c>
      <c r="I755" s="2">
        <v>0</v>
      </c>
      <c r="J755" s="2">
        <v>0</v>
      </c>
      <c r="K755" s="2">
        <v>5771</v>
      </c>
      <c r="L755" s="2">
        <v>0</v>
      </c>
      <c r="M755" s="2">
        <v>3</v>
      </c>
      <c r="N755" s="2">
        <v>4</v>
      </c>
      <c r="O755" s="2">
        <v>0</v>
      </c>
      <c r="P755" s="2">
        <v>0</v>
      </c>
      <c r="Q755" s="2">
        <v>0</v>
      </c>
      <c r="R755" s="2">
        <v>0</v>
      </c>
      <c r="S755" s="2">
        <v>0</v>
      </c>
      <c r="T755" s="2">
        <v>2</v>
      </c>
      <c r="U755" s="2">
        <v>0</v>
      </c>
      <c r="V755" s="2">
        <v>0</v>
      </c>
      <c r="W755" s="2">
        <v>25</v>
      </c>
      <c r="X755" s="2">
        <v>0</v>
      </c>
      <c r="Y755" s="2">
        <v>0</v>
      </c>
      <c r="Z755" s="2">
        <v>1</v>
      </c>
      <c r="AA755" s="2">
        <v>2</v>
      </c>
      <c r="AB755" s="2">
        <v>2</v>
      </c>
      <c r="AC755" s="2">
        <v>1</v>
      </c>
      <c r="AD755" s="2">
        <v>0</v>
      </c>
      <c r="AE755" s="2">
        <v>0</v>
      </c>
      <c r="AF755" s="2">
        <v>1</v>
      </c>
      <c r="AG755" s="20">
        <f t="shared" si="11"/>
        <v>100</v>
      </c>
    </row>
    <row r="756" spans="1:33" x14ac:dyDescent="0.25">
      <c r="A756">
        <v>755</v>
      </c>
      <c r="B756" s="2">
        <v>3</v>
      </c>
      <c r="C756" s="2">
        <v>12</v>
      </c>
      <c r="D756" s="2">
        <v>3</v>
      </c>
      <c r="E756" s="2">
        <v>0</v>
      </c>
      <c r="F756" s="2">
        <v>0</v>
      </c>
      <c r="G756" s="2">
        <v>0</v>
      </c>
      <c r="H756" s="2">
        <v>0</v>
      </c>
      <c r="I756" s="2">
        <v>0</v>
      </c>
      <c r="J756" s="2">
        <v>0</v>
      </c>
      <c r="K756" s="2">
        <v>1555</v>
      </c>
      <c r="L756" s="2">
        <v>3</v>
      </c>
      <c r="M756" s="2">
        <v>4</v>
      </c>
      <c r="N756" s="2">
        <v>4</v>
      </c>
      <c r="O756" s="2">
        <v>0</v>
      </c>
      <c r="P756" s="2">
        <v>1</v>
      </c>
      <c r="Q756" s="2">
        <v>0</v>
      </c>
      <c r="R756" s="2">
        <v>0</v>
      </c>
      <c r="S756" s="2">
        <v>0</v>
      </c>
      <c r="T756" s="2">
        <v>4</v>
      </c>
      <c r="U756" s="2">
        <v>0</v>
      </c>
      <c r="V756" s="2">
        <v>1</v>
      </c>
      <c r="W756" s="2">
        <v>55</v>
      </c>
      <c r="X756" s="2">
        <v>0</v>
      </c>
      <c r="Y756" s="2">
        <v>0</v>
      </c>
      <c r="Z756" s="2">
        <v>0</v>
      </c>
      <c r="AA756" s="2">
        <v>2</v>
      </c>
      <c r="AB756" s="2">
        <v>2</v>
      </c>
      <c r="AC756" s="2">
        <v>2</v>
      </c>
      <c r="AD756" s="2">
        <v>0</v>
      </c>
      <c r="AE756" s="2">
        <v>0</v>
      </c>
      <c r="AF756" s="2">
        <v>0</v>
      </c>
      <c r="AG756" s="20">
        <f t="shared" si="11"/>
        <v>-500</v>
      </c>
    </row>
    <row r="757" spans="1:33" x14ac:dyDescent="0.25">
      <c r="A757">
        <v>756</v>
      </c>
      <c r="B757" s="2">
        <v>0</v>
      </c>
      <c r="C757" s="2">
        <v>24</v>
      </c>
      <c r="D757" s="2">
        <v>2</v>
      </c>
      <c r="E757" s="2">
        <v>1</v>
      </c>
      <c r="F757" s="2">
        <v>0</v>
      </c>
      <c r="G757" s="2">
        <v>0</v>
      </c>
      <c r="H757" s="2">
        <v>0</v>
      </c>
      <c r="I757" s="2">
        <v>0</v>
      </c>
      <c r="J757" s="2">
        <v>0</v>
      </c>
      <c r="K757" s="2">
        <v>1285</v>
      </c>
      <c r="L757" s="2">
        <v>4</v>
      </c>
      <c r="M757" s="2">
        <v>3</v>
      </c>
      <c r="N757" s="2">
        <v>4</v>
      </c>
      <c r="O757" s="2">
        <v>0</v>
      </c>
      <c r="P757" s="2">
        <v>0</v>
      </c>
      <c r="Q757" s="2">
        <v>0</v>
      </c>
      <c r="R757" s="2">
        <v>0</v>
      </c>
      <c r="S757" s="2">
        <v>0</v>
      </c>
      <c r="T757" s="2">
        <v>4</v>
      </c>
      <c r="U757" s="2">
        <v>0</v>
      </c>
      <c r="V757" s="2">
        <v>1</v>
      </c>
      <c r="W757" s="2">
        <v>32</v>
      </c>
      <c r="X757" s="2">
        <v>0</v>
      </c>
      <c r="Y757" s="2">
        <v>1</v>
      </c>
      <c r="Z757" s="2">
        <v>0</v>
      </c>
      <c r="AA757" s="2">
        <v>1</v>
      </c>
      <c r="AB757" s="2">
        <v>2</v>
      </c>
      <c r="AC757" s="2">
        <v>1</v>
      </c>
      <c r="AD757" s="2">
        <v>0</v>
      </c>
      <c r="AE757" s="2">
        <v>0</v>
      </c>
      <c r="AF757" s="2">
        <v>0</v>
      </c>
      <c r="AG757" s="20">
        <f t="shared" si="11"/>
        <v>-500</v>
      </c>
    </row>
    <row r="758" spans="1:33" x14ac:dyDescent="0.25">
      <c r="A758">
        <v>757</v>
      </c>
      <c r="B758" s="2">
        <v>2</v>
      </c>
      <c r="C758" s="2">
        <v>6</v>
      </c>
      <c r="D758" s="2">
        <v>4</v>
      </c>
      <c r="E758" s="2">
        <v>1</v>
      </c>
      <c r="F758" s="2">
        <v>0</v>
      </c>
      <c r="G758" s="2">
        <v>0</v>
      </c>
      <c r="H758" s="2">
        <v>0</v>
      </c>
      <c r="I758" s="2">
        <v>0</v>
      </c>
      <c r="J758" s="2">
        <v>0</v>
      </c>
      <c r="K758" s="2">
        <v>1299</v>
      </c>
      <c r="L758" s="2">
        <v>0</v>
      </c>
      <c r="M758" s="2">
        <v>2</v>
      </c>
      <c r="N758" s="2">
        <v>1</v>
      </c>
      <c r="O758" s="2">
        <v>0</v>
      </c>
      <c r="P758" s="2">
        <v>1</v>
      </c>
      <c r="Q758" s="2">
        <v>0</v>
      </c>
      <c r="R758" s="2">
        <v>0</v>
      </c>
      <c r="S758" s="2">
        <v>0</v>
      </c>
      <c r="T758" s="2">
        <v>1</v>
      </c>
      <c r="U758" s="2">
        <v>1</v>
      </c>
      <c r="V758" s="2">
        <v>0</v>
      </c>
      <c r="W758" s="2">
        <v>74</v>
      </c>
      <c r="X758" s="2">
        <v>0</v>
      </c>
      <c r="Y758" s="2">
        <v>0</v>
      </c>
      <c r="Z758" s="2">
        <v>1</v>
      </c>
      <c r="AA758" s="2">
        <v>3</v>
      </c>
      <c r="AB758" s="2">
        <v>0</v>
      </c>
      <c r="AC758" s="2">
        <v>2</v>
      </c>
      <c r="AD758" s="2">
        <v>0</v>
      </c>
      <c r="AE758" s="2">
        <v>1</v>
      </c>
      <c r="AF758" s="2">
        <v>1</v>
      </c>
      <c r="AG758" s="20">
        <f t="shared" si="11"/>
        <v>100</v>
      </c>
    </row>
    <row r="759" spans="1:33" x14ac:dyDescent="0.25">
      <c r="A759">
        <v>758</v>
      </c>
      <c r="B759" s="2">
        <v>2</v>
      </c>
      <c r="C759" s="2">
        <v>15</v>
      </c>
      <c r="D759" s="2">
        <v>4</v>
      </c>
      <c r="E759" s="2">
        <v>0</v>
      </c>
      <c r="F759" s="2">
        <v>0</v>
      </c>
      <c r="G759" s="2">
        <v>0</v>
      </c>
      <c r="H759" s="2">
        <v>1</v>
      </c>
      <c r="I759" s="2">
        <v>0</v>
      </c>
      <c r="J759" s="2">
        <v>0</v>
      </c>
      <c r="K759" s="2">
        <v>1271</v>
      </c>
      <c r="L759" s="2">
        <v>4</v>
      </c>
      <c r="M759" s="2">
        <v>2</v>
      </c>
      <c r="N759" s="2">
        <v>3</v>
      </c>
      <c r="O759" s="2">
        <v>0</v>
      </c>
      <c r="P759" s="2">
        <v>1</v>
      </c>
      <c r="Q759" s="2">
        <v>0</v>
      </c>
      <c r="R759" s="2">
        <v>0</v>
      </c>
      <c r="S759" s="2">
        <v>0</v>
      </c>
      <c r="T759" s="2">
        <v>4</v>
      </c>
      <c r="U759" s="2">
        <v>0</v>
      </c>
      <c r="V759" s="2">
        <v>1</v>
      </c>
      <c r="W759" s="2">
        <v>39</v>
      </c>
      <c r="X759" s="2">
        <v>0</v>
      </c>
      <c r="Y759" s="2">
        <v>0</v>
      </c>
      <c r="Z759" s="2">
        <v>0</v>
      </c>
      <c r="AA759" s="2">
        <v>2</v>
      </c>
      <c r="AB759" s="2">
        <v>2</v>
      </c>
      <c r="AC759" s="2">
        <v>1</v>
      </c>
      <c r="AD759" s="2">
        <v>1</v>
      </c>
      <c r="AE759" s="2">
        <v>0</v>
      </c>
      <c r="AF759" s="2">
        <v>0</v>
      </c>
      <c r="AG759" s="20">
        <f t="shared" si="11"/>
        <v>-500</v>
      </c>
    </row>
    <row r="760" spans="1:33" x14ac:dyDescent="0.25">
      <c r="A760">
        <v>759</v>
      </c>
      <c r="B760" s="2">
        <v>3</v>
      </c>
      <c r="C760" s="2">
        <v>24</v>
      </c>
      <c r="D760" s="2">
        <v>2</v>
      </c>
      <c r="E760" s="2">
        <v>1</v>
      </c>
      <c r="F760" s="2">
        <v>0</v>
      </c>
      <c r="G760" s="2">
        <v>0</v>
      </c>
      <c r="H760" s="2">
        <v>0</v>
      </c>
      <c r="I760" s="2">
        <v>0</v>
      </c>
      <c r="J760" s="2">
        <v>0</v>
      </c>
      <c r="K760" s="2">
        <v>1393</v>
      </c>
      <c r="L760" s="2">
        <v>0</v>
      </c>
      <c r="M760" s="2">
        <v>2</v>
      </c>
      <c r="N760" s="2">
        <v>2</v>
      </c>
      <c r="O760" s="2">
        <v>0</v>
      </c>
      <c r="P760" s="2">
        <v>1</v>
      </c>
      <c r="Q760" s="2">
        <v>0</v>
      </c>
      <c r="R760" s="2">
        <v>0</v>
      </c>
      <c r="S760" s="2">
        <v>1</v>
      </c>
      <c r="T760" s="2">
        <v>2</v>
      </c>
      <c r="U760" s="2">
        <v>1</v>
      </c>
      <c r="V760" s="2">
        <v>0</v>
      </c>
      <c r="W760" s="2">
        <v>31</v>
      </c>
      <c r="X760" s="2">
        <v>0</v>
      </c>
      <c r="Y760" s="2">
        <v>0</v>
      </c>
      <c r="Z760" s="2">
        <v>1</v>
      </c>
      <c r="AA760" s="2">
        <v>1</v>
      </c>
      <c r="AB760" s="2">
        <v>2</v>
      </c>
      <c r="AC760" s="2">
        <v>1</v>
      </c>
      <c r="AD760" s="2">
        <v>1</v>
      </c>
      <c r="AE760" s="2">
        <v>0</v>
      </c>
      <c r="AF760" s="2">
        <v>1</v>
      </c>
      <c r="AG760" s="20">
        <f t="shared" si="11"/>
        <v>100</v>
      </c>
    </row>
    <row r="761" spans="1:33" x14ac:dyDescent="0.25">
      <c r="A761">
        <v>760</v>
      </c>
      <c r="B761" s="2">
        <v>0</v>
      </c>
      <c r="C761" s="2">
        <v>12</v>
      </c>
      <c r="D761" s="2">
        <v>4</v>
      </c>
      <c r="E761" s="2">
        <v>1</v>
      </c>
      <c r="F761" s="2">
        <v>0</v>
      </c>
      <c r="G761" s="2">
        <v>0</v>
      </c>
      <c r="H761" s="2">
        <v>0</v>
      </c>
      <c r="I761" s="2">
        <v>0</v>
      </c>
      <c r="J761" s="2">
        <v>0</v>
      </c>
      <c r="K761" s="2">
        <v>691</v>
      </c>
      <c r="L761" s="2">
        <v>0</v>
      </c>
      <c r="M761" s="2">
        <v>4</v>
      </c>
      <c r="N761" s="2">
        <v>4</v>
      </c>
      <c r="O761" s="2">
        <v>0</v>
      </c>
      <c r="P761" s="2">
        <v>1</v>
      </c>
      <c r="Q761" s="2">
        <v>0</v>
      </c>
      <c r="R761" s="2">
        <v>0</v>
      </c>
      <c r="S761" s="2">
        <v>0</v>
      </c>
      <c r="T761" s="2">
        <v>3</v>
      </c>
      <c r="U761" s="2">
        <v>0</v>
      </c>
      <c r="V761" s="2">
        <v>0</v>
      </c>
      <c r="W761" s="2">
        <v>35</v>
      </c>
      <c r="X761" s="2">
        <v>0</v>
      </c>
      <c r="Y761" s="2">
        <v>0</v>
      </c>
      <c r="Z761" s="2">
        <v>1</v>
      </c>
      <c r="AA761" s="2">
        <v>2</v>
      </c>
      <c r="AB761" s="2">
        <v>2</v>
      </c>
      <c r="AC761" s="2">
        <v>1</v>
      </c>
      <c r="AD761" s="2">
        <v>0</v>
      </c>
      <c r="AE761" s="2">
        <v>0</v>
      </c>
      <c r="AF761" s="2">
        <v>0</v>
      </c>
      <c r="AG761" s="20">
        <f t="shared" si="11"/>
        <v>-500</v>
      </c>
    </row>
    <row r="762" spans="1:33" x14ac:dyDescent="0.25">
      <c r="A762">
        <v>761</v>
      </c>
      <c r="B762" s="2">
        <v>3</v>
      </c>
      <c r="C762" s="2">
        <v>15</v>
      </c>
      <c r="D762" s="2">
        <v>4</v>
      </c>
      <c r="E762" s="2">
        <v>1</v>
      </c>
      <c r="F762" s="2">
        <v>0</v>
      </c>
      <c r="G762" s="2">
        <v>0</v>
      </c>
      <c r="H762" s="2">
        <v>0</v>
      </c>
      <c r="I762" s="2">
        <v>0</v>
      </c>
      <c r="J762" s="2">
        <v>0</v>
      </c>
      <c r="K762" s="2">
        <v>5045</v>
      </c>
      <c r="L762" s="2">
        <v>4</v>
      </c>
      <c r="M762" s="2">
        <v>4</v>
      </c>
      <c r="N762" s="2">
        <v>1</v>
      </c>
      <c r="O762" s="2">
        <v>0</v>
      </c>
      <c r="P762" s="2">
        <v>0</v>
      </c>
      <c r="Q762" s="2">
        <v>0</v>
      </c>
      <c r="R762" s="2">
        <v>0</v>
      </c>
      <c r="S762" s="2">
        <v>0</v>
      </c>
      <c r="T762" s="2">
        <v>4</v>
      </c>
      <c r="U762" s="2">
        <v>0</v>
      </c>
      <c r="V762" s="2">
        <v>0</v>
      </c>
      <c r="W762" s="2">
        <v>59</v>
      </c>
      <c r="X762" s="2">
        <v>0</v>
      </c>
      <c r="Y762" s="2">
        <v>0</v>
      </c>
      <c r="Z762" s="2">
        <v>1</v>
      </c>
      <c r="AA762" s="2">
        <v>1</v>
      </c>
      <c r="AB762" s="2">
        <v>2</v>
      </c>
      <c r="AC762" s="2">
        <v>1</v>
      </c>
      <c r="AD762" s="2">
        <v>1</v>
      </c>
      <c r="AE762" s="2">
        <v>0</v>
      </c>
      <c r="AF762" s="2">
        <v>1</v>
      </c>
      <c r="AG762" s="20">
        <f t="shared" si="11"/>
        <v>100</v>
      </c>
    </row>
    <row r="763" spans="1:33" x14ac:dyDescent="0.25">
      <c r="A763">
        <v>762</v>
      </c>
      <c r="B763" s="2">
        <v>0</v>
      </c>
      <c r="C763" s="2">
        <v>18</v>
      </c>
      <c r="D763" s="2">
        <v>4</v>
      </c>
      <c r="E763" s="2">
        <v>0</v>
      </c>
      <c r="F763" s="2">
        <v>0</v>
      </c>
      <c r="G763" s="2">
        <v>1</v>
      </c>
      <c r="H763" s="2">
        <v>0</v>
      </c>
      <c r="I763" s="2">
        <v>0</v>
      </c>
      <c r="J763" s="2">
        <v>0</v>
      </c>
      <c r="K763" s="2">
        <v>2124</v>
      </c>
      <c r="L763" s="2">
        <v>0</v>
      </c>
      <c r="M763" s="2">
        <v>2</v>
      </c>
      <c r="N763" s="2">
        <v>4</v>
      </c>
      <c r="O763" s="2">
        <v>0</v>
      </c>
      <c r="P763" s="2">
        <v>0</v>
      </c>
      <c r="Q763" s="2">
        <v>0</v>
      </c>
      <c r="R763" s="2">
        <v>0</v>
      </c>
      <c r="S763" s="2">
        <v>0</v>
      </c>
      <c r="T763" s="2">
        <v>4</v>
      </c>
      <c r="U763" s="2">
        <v>1</v>
      </c>
      <c r="V763" s="2">
        <v>0</v>
      </c>
      <c r="W763" s="2">
        <v>24</v>
      </c>
      <c r="X763" s="2">
        <v>0</v>
      </c>
      <c r="Y763" s="2">
        <v>1</v>
      </c>
      <c r="Z763" s="2">
        <v>0</v>
      </c>
      <c r="AA763" s="2">
        <v>2</v>
      </c>
      <c r="AB763" s="2">
        <v>2</v>
      </c>
      <c r="AC763" s="2">
        <v>1</v>
      </c>
      <c r="AD763" s="2">
        <v>0</v>
      </c>
      <c r="AE763" s="2">
        <v>0</v>
      </c>
      <c r="AF763" s="2">
        <v>0</v>
      </c>
      <c r="AG763" s="20">
        <f t="shared" si="11"/>
        <v>-500</v>
      </c>
    </row>
    <row r="764" spans="1:33" x14ac:dyDescent="0.25">
      <c r="A764">
        <v>763</v>
      </c>
      <c r="B764" s="2">
        <v>0</v>
      </c>
      <c r="C764" s="2">
        <v>12</v>
      </c>
      <c r="D764" s="2">
        <v>2</v>
      </c>
      <c r="E764" s="2">
        <v>0</v>
      </c>
      <c r="F764" s="2">
        <v>0</v>
      </c>
      <c r="G764" s="2">
        <v>0</v>
      </c>
      <c r="H764" s="2">
        <v>1</v>
      </c>
      <c r="I764" s="2">
        <v>0</v>
      </c>
      <c r="J764" s="2">
        <v>0</v>
      </c>
      <c r="K764" s="2">
        <v>2214</v>
      </c>
      <c r="L764" s="2">
        <v>0</v>
      </c>
      <c r="M764" s="2">
        <v>2</v>
      </c>
      <c r="N764" s="2">
        <v>4</v>
      </c>
      <c r="O764" s="2">
        <v>0</v>
      </c>
      <c r="P764" s="2">
        <v>1</v>
      </c>
      <c r="Q764" s="2">
        <v>0</v>
      </c>
      <c r="R764" s="2">
        <v>0</v>
      </c>
      <c r="S764" s="2">
        <v>0</v>
      </c>
      <c r="T764" s="2">
        <v>3</v>
      </c>
      <c r="U764" s="2">
        <v>0</v>
      </c>
      <c r="V764" s="2">
        <v>0</v>
      </c>
      <c r="W764" s="2">
        <v>24</v>
      </c>
      <c r="X764" s="2">
        <v>0</v>
      </c>
      <c r="Y764" s="2">
        <v>0</v>
      </c>
      <c r="Z764" s="2">
        <v>1</v>
      </c>
      <c r="AA764" s="2">
        <v>1</v>
      </c>
      <c r="AB764" s="2">
        <v>1</v>
      </c>
      <c r="AC764" s="2">
        <v>1</v>
      </c>
      <c r="AD764" s="2">
        <v>0</v>
      </c>
      <c r="AE764" s="2">
        <v>0</v>
      </c>
      <c r="AF764" s="2">
        <v>1</v>
      </c>
      <c r="AG764" s="20">
        <f t="shared" si="11"/>
        <v>100</v>
      </c>
    </row>
    <row r="765" spans="1:33" x14ac:dyDescent="0.25">
      <c r="A765">
        <v>764</v>
      </c>
      <c r="B765" s="2">
        <v>3</v>
      </c>
      <c r="C765" s="2">
        <v>21</v>
      </c>
      <c r="D765" s="2">
        <v>4</v>
      </c>
      <c r="E765" s="2">
        <v>1</v>
      </c>
      <c r="F765" s="2">
        <v>0</v>
      </c>
      <c r="G765" s="2">
        <v>0</v>
      </c>
      <c r="H765" s="2">
        <v>0</v>
      </c>
      <c r="I765" s="2">
        <v>0</v>
      </c>
      <c r="J765" s="2">
        <v>0</v>
      </c>
      <c r="K765" s="2">
        <v>12680</v>
      </c>
      <c r="L765" s="2">
        <v>4</v>
      </c>
      <c r="M765" s="2">
        <v>4</v>
      </c>
      <c r="N765" s="2">
        <v>4</v>
      </c>
      <c r="O765" s="2">
        <v>0</v>
      </c>
      <c r="P765" s="2">
        <v>1</v>
      </c>
      <c r="Q765" s="2">
        <v>0</v>
      </c>
      <c r="R765" s="2">
        <v>0</v>
      </c>
      <c r="S765" s="2">
        <v>0</v>
      </c>
      <c r="T765" s="2">
        <v>4</v>
      </c>
      <c r="U765" s="2">
        <v>0</v>
      </c>
      <c r="V765" s="2">
        <v>1</v>
      </c>
      <c r="W765" s="2">
        <v>30</v>
      </c>
      <c r="X765" s="2">
        <v>0</v>
      </c>
      <c r="Y765" s="2">
        <v>0</v>
      </c>
      <c r="Z765" s="2">
        <v>0</v>
      </c>
      <c r="AA765" s="2">
        <v>1</v>
      </c>
      <c r="AB765" s="2">
        <v>3</v>
      </c>
      <c r="AC765" s="2">
        <v>1</v>
      </c>
      <c r="AD765" s="2">
        <v>1</v>
      </c>
      <c r="AE765" s="2">
        <v>0</v>
      </c>
      <c r="AF765" s="2">
        <v>0</v>
      </c>
      <c r="AG765" s="20">
        <f t="shared" si="11"/>
        <v>-500</v>
      </c>
    </row>
    <row r="766" spans="1:33" x14ac:dyDescent="0.25">
      <c r="A766">
        <v>765</v>
      </c>
      <c r="B766" s="2">
        <v>3</v>
      </c>
      <c r="C766" s="2">
        <v>24</v>
      </c>
      <c r="D766" s="2">
        <v>4</v>
      </c>
      <c r="E766" s="2">
        <v>1</v>
      </c>
      <c r="F766" s="2">
        <v>0</v>
      </c>
      <c r="G766" s="2">
        <v>0</v>
      </c>
      <c r="H766" s="2">
        <v>0</v>
      </c>
      <c r="I766" s="2">
        <v>0</v>
      </c>
      <c r="J766" s="2">
        <v>0</v>
      </c>
      <c r="K766" s="2">
        <v>2463</v>
      </c>
      <c r="L766" s="2">
        <v>1</v>
      </c>
      <c r="M766" s="2">
        <v>3</v>
      </c>
      <c r="N766" s="2">
        <v>4</v>
      </c>
      <c r="O766" s="2">
        <v>0</v>
      </c>
      <c r="P766" s="2">
        <v>0</v>
      </c>
      <c r="Q766" s="2">
        <v>1</v>
      </c>
      <c r="R766" s="2">
        <v>0</v>
      </c>
      <c r="S766" s="2">
        <v>0</v>
      </c>
      <c r="T766" s="2">
        <v>3</v>
      </c>
      <c r="U766" s="2">
        <v>0</v>
      </c>
      <c r="V766" s="2">
        <v>0</v>
      </c>
      <c r="W766" s="2">
        <v>27</v>
      </c>
      <c r="X766" s="2">
        <v>0</v>
      </c>
      <c r="Y766" s="2">
        <v>0</v>
      </c>
      <c r="Z766" s="2">
        <v>1</v>
      </c>
      <c r="AA766" s="2">
        <v>2</v>
      </c>
      <c r="AB766" s="2">
        <v>2</v>
      </c>
      <c r="AC766" s="2">
        <v>1</v>
      </c>
      <c r="AD766" s="2">
        <v>1</v>
      </c>
      <c r="AE766" s="2">
        <v>0</v>
      </c>
      <c r="AF766" s="2">
        <v>1</v>
      </c>
      <c r="AG766" s="20">
        <f t="shared" si="11"/>
        <v>100</v>
      </c>
    </row>
    <row r="767" spans="1:33" x14ac:dyDescent="0.25">
      <c r="A767">
        <v>766</v>
      </c>
      <c r="B767" s="2">
        <v>1</v>
      </c>
      <c r="C767" s="2">
        <v>12</v>
      </c>
      <c r="D767" s="2">
        <v>2</v>
      </c>
      <c r="E767" s="2">
        <v>0</v>
      </c>
      <c r="F767" s="2">
        <v>0</v>
      </c>
      <c r="G767" s="2">
        <v>0</v>
      </c>
      <c r="H767" s="2">
        <v>1</v>
      </c>
      <c r="I767" s="2">
        <v>0</v>
      </c>
      <c r="J767" s="2">
        <v>0</v>
      </c>
      <c r="K767" s="2">
        <v>1155</v>
      </c>
      <c r="L767" s="2">
        <v>0</v>
      </c>
      <c r="M767" s="2">
        <v>4</v>
      </c>
      <c r="N767" s="2">
        <v>3</v>
      </c>
      <c r="O767" s="2">
        <v>0</v>
      </c>
      <c r="P767" s="2">
        <v>0</v>
      </c>
      <c r="Q767" s="2">
        <v>1</v>
      </c>
      <c r="R767" s="2">
        <v>0</v>
      </c>
      <c r="S767" s="2">
        <v>1</v>
      </c>
      <c r="T767" s="2">
        <v>3</v>
      </c>
      <c r="U767" s="2">
        <v>1</v>
      </c>
      <c r="V767" s="2">
        <v>0</v>
      </c>
      <c r="W767" s="2">
        <v>40</v>
      </c>
      <c r="X767" s="2">
        <v>1</v>
      </c>
      <c r="Y767" s="2">
        <v>0</v>
      </c>
      <c r="Z767" s="2">
        <v>1</v>
      </c>
      <c r="AA767" s="2">
        <v>2</v>
      </c>
      <c r="AB767" s="2">
        <v>1</v>
      </c>
      <c r="AC767" s="2">
        <v>1</v>
      </c>
      <c r="AD767" s="2">
        <v>0</v>
      </c>
      <c r="AE767" s="2">
        <v>0</v>
      </c>
      <c r="AF767" s="2">
        <v>1</v>
      </c>
      <c r="AG767" s="20">
        <f t="shared" si="11"/>
        <v>100</v>
      </c>
    </row>
    <row r="768" spans="1:33" x14ac:dyDescent="0.25">
      <c r="A768">
        <v>767</v>
      </c>
      <c r="B768" s="2">
        <v>0</v>
      </c>
      <c r="C768" s="2">
        <v>30</v>
      </c>
      <c r="D768" s="2">
        <v>2</v>
      </c>
      <c r="E768" s="2">
        <v>0</v>
      </c>
      <c r="F768" s="2">
        <v>0</v>
      </c>
      <c r="G768" s="2">
        <v>1</v>
      </c>
      <c r="H768" s="2">
        <v>0</v>
      </c>
      <c r="I768" s="2">
        <v>0</v>
      </c>
      <c r="J768" s="2">
        <v>0</v>
      </c>
      <c r="K768" s="2">
        <v>3108</v>
      </c>
      <c r="L768" s="2">
        <v>0</v>
      </c>
      <c r="M768" s="2">
        <v>1</v>
      </c>
      <c r="N768" s="2">
        <v>2</v>
      </c>
      <c r="O768" s="2">
        <v>1</v>
      </c>
      <c r="P768" s="2">
        <v>0</v>
      </c>
      <c r="Q768" s="2">
        <v>0</v>
      </c>
      <c r="R768" s="2">
        <v>0</v>
      </c>
      <c r="S768" s="2">
        <v>0</v>
      </c>
      <c r="T768" s="2">
        <v>4</v>
      </c>
      <c r="U768" s="2">
        <v>0</v>
      </c>
      <c r="V768" s="2">
        <v>0</v>
      </c>
      <c r="W768" s="2">
        <v>31</v>
      </c>
      <c r="X768" s="2">
        <v>0</v>
      </c>
      <c r="Y768" s="2">
        <v>0</v>
      </c>
      <c r="Z768" s="2">
        <v>1</v>
      </c>
      <c r="AA768" s="2">
        <v>1</v>
      </c>
      <c r="AB768" s="2">
        <v>1</v>
      </c>
      <c r="AC768" s="2">
        <v>1</v>
      </c>
      <c r="AD768" s="2">
        <v>0</v>
      </c>
      <c r="AE768" s="2">
        <v>0</v>
      </c>
      <c r="AF768" s="2">
        <v>0</v>
      </c>
      <c r="AG768" s="20">
        <f t="shared" si="11"/>
        <v>-500</v>
      </c>
    </row>
    <row r="769" spans="1:33" x14ac:dyDescent="0.25">
      <c r="A769">
        <v>768</v>
      </c>
      <c r="B769" s="2">
        <v>3</v>
      </c>
      <c r="C769" s="2">
        <v>10</v>
      </c>
      <c r="D769" s="2">
        <v>2</v>
      </c>
      <c r="E769" s="2">
        <v>0</v>
      </c>
      <c r="F769" s="2">
        <v>1</v>
      </c>
      <c r="G769" s="2">
        <v>0</v>
      </c>
      <c r="H769" s="2">
        <v>0</v>
      </c>
      <c r="I769" s="2">
        <v>0</v>
      </c>
      <c r="J769" s="2">
        <v>0</v>
      </c>
      <c r="K769" s="2">
        <v>2901</v>
      </c>
      <c r="L769" s="2">
        <v>4</v>
      </c>
      <c r="M769" s="2">
        <v>1</v>
      </c>
      <c r="N769" s="2">
        <v>1</v>
      </c>
      <c r="O769" s="2">
        <v>0</v>
      </c>
      <c r="P769" s="2">
        <v>0</v>
      </c>
      <c r="Q769" s="2">
        <v>0</v>
      </c>
      <c r="R769" s="2">
        <v>0</v>
      </c>
      <c r="S769" s="2">
        <v>0</v>
      </c>
      <c r="T769" s="2">
        <v>4</v>
      </c>
      <c r="U769" s="2">
        <v>1</v>
      </c>
      <c r="V769" s="2">
        <v>0</v>
      </c>
      <c r="W769" s="2">
        <v>31</v>
      </c>
      <c r="X769" s="2">
        <v>0</v>
      </c>
      <c r="Y769" s="2">
        <v>1</v>
      </c>
      <c r="Z769" s="2">
        <v>0</v>
      </c>
      <c r="AA769" s="2">
        <v>1</v>
      </c>
      <c r="AB769" s="2">
        <v>2</v>
      </c>
      <c r="AC769" s="2">
        <v>1</v>
      </c>
      <c r="AD769" s="2">
        <v>0</v>
      </c>
      <c r="AE769" s="2">
        <v>0</v>
      </c>
      <c r="AF769" s="2">
        <v>1</v>
      </c>
      <c r="AG769" s="20">
        <f t="shared" si="11"/>
        <v>100</v>
      </c>
    </row>
    <row r="770" spans="1:33" x14ac:dyDescent="0.25">
      <c r="A770">
        <v>769</v>
      </c>
      <c r="B770" s="2">
        <v>1</v>
      </c>
      <c r="C770" s="2">
        <v>12</v>
      </c>
      <c r="D770" s="2">
        <v>4</v>
      </c>
      <c r="E770" s="2">
        <v>0</v>
      </c>
      <c r="F770" s="2">
        <v>0</v>
      </c>
      <c r="G770" s="2">
        <v>1</v>
      </c>
      <c r="H770" s="2">
        <v>0</v>
      </c>
      <c r="I770" s="2">
        <v>0</v>
      </c>
      <c r="J770" s="2">
        <v>0</v>
      </c>
      <c r="K770" s="2">
        <v>3617</v>
      </c>
      <c r="L770" s="2">
        <v>0</v>
      </c>
      <c r="M770" s="2">
        <v>4</v>
      </c>
      <c r="N770" s="2">
        <v>1</v>
      </c>
      <c r="O770" s="2">
        <v>0</v>
      </c>
      <c r="P770" s="2">
        <v>1</v>
      </c>
      <c r="Q770" s="2">
        <v>0</v>
      </c>
      <c r="R770" s="2">
        <v>0</v>
      </c>
      <c r="S770" s="2">
        <v>0</v>
      </c>
      <c r="T770" s="2">
        <v>4</v>
      </c>
      <c r="U770" s="2">
        <v>0</v>
      </c>
      <c r="V770" s="2">
        <v>0</v>
      </c>
      <c r="W770" s="2">
        <v>28</v>
      </c>
      <c r="X770" s="2">
        <v>0</v>
      </c>
      <c r="Y770" s="2">
        <v>1</v>
      </c>
      <c r="Z770" s="2">
        <v>0</v>
      </c>
      <c r="AA770" s="2">
        <v>3</v>
      </c>
      <c r="AB770" s="2">
        <v>2</v>
      </c>
      <c r="AC770" s="2">
        <v>1</v>
      </c>
      <c r="AD770" s="2">
        <v>1</v>
      </c>
      <c r="AE770" s="2">
        <v>0</v>
      </c>
      <c r="AF770" s="2">
        <v>1</v>
      </c>
      <c r="AG770" s="20">
        <f t="shared" si="11"/>
        <v>100</v>
      </c>
    </row>
    <row r="771" spans="1:33" x14ac:dyDescent="0.25">
      <c r="A771">
        <v>770</v>
      </c>
      <c r="B771" s="2">
        <v>3</v>
      </c>
      <c r="C771" s="2">
        <v>12</v>
      </c>
      <c r="D771" s="2">
        <v>4</v>
      </c>
      <c r="E771" s="2">
        <v>0</v>
      </c>
      <c r="F771" s="2">
        <v>0</v>
      </c>
      <c r="G771" s="2">
        <v>0</v>
      </c>
      <c r="H771" s="2">
        <v>1</v>
      </c>
      <c r="I771" s="2">
        <v>0</v>
      </c>
      <c r="J771" s="2">
        <v>0</v>
      </c>
      <c r="K771" s="2">
        <v>1655</v>
      </c>
      <c r="L771" s="2">
        <v>0</v>
      </c>
      <c r="M771" s="2">
        <v>4</v>
      </c>
      <c r="N771" s="2">
        <v>2</v>
      </c>
      <c r="O771" s="2">
        <v>0</v>
      </c>
      <c r="P771" s="2">
        <v>1</v>
      </c>
      <c r="Q771" s="2">
        <v>0</v>
      </c>
      <c r="R771" s="2">
        <v>0</v>
      </c>
      <c r="S771" s="2">
        <v>0</v>
      </c>
      <c r="T771" s="2">
        <v>4</v>
      </c>
      <c r="U771" s="2">
        <v>1</v>
      </c>
      <c r="V771" s="2">
        <v>0</v>
      </c>
      <c r="W771" s="2">
        <v>63</v>
      </c>
      <c r="X771" s="2">
        <v>0</v>
      </c>
      <c r="Y771" s="2">
        <v>0</v>
      </c>
      <c r="Z771" s="2">
        <v>1</v>
      </c>
      <c r="AA771" s="2">
        <v>2</v>
      </c>
      <c r="AB771" s="2">
        <v>1</v>
      </c>
      <c r="AC771" s="2">
        <v>1</v>
      </c>
      <c r="AD771" s="2">
        <v>1</v>
      </c>
      <c r="AE771" s="2">
        <v>0</v>
      </c>
      <c r="AF771" s="2">
        <v>1</v>
      </c>
      <c r="AG771" s="20">
        <f t="shared" si="11"/>
        <v>100</v>
      </c>
    </row>
    <row r="772" spans="1:33" x14ac:dyDescent="0.25">
      <c r="A772">
        <v>771</v>
      </c>
      <c r="B772" s="2">
        <v>0</v>
      </c>
      <c r="C772" s="2">
        <v>24</v>
      </c>
      <c r="D772" s="2">
        <v>2</v>
      </c>
      <c r="E772" s="2">
        <v>0</v>
      </c>
      <c r="F772" s="2">
        <v>1</v>
      </c>
      <c r="G772" s="2">
        <v>0</v>
      </c>
      <c r="H772" s="2">
        <v>0</v>
      </c>
      <c r="I772" s="2">
        <v>0</v>
      </c>
      <c r="J772" s="2">
        <v>0</v>
      </c>
      <c r="K772" s="2">
        <v>2812</v>
      </c>
      <c r="L772" s="2">
        <v>4</v>
      </c>
      <c r="M772" s="2">
        <v>4</v>
      </c>
      <c r="N772" s="2">
        <v>2</v>
      </c>
      <c r="O772" s="2">
        <v>0</v>
      </c>
      <c r="P772" s="2">
        <v>0</v>
      </c>
      <c r="Q772" s="2">
        <v>0</v>
      </c>
      <c r="R772" s="2">
        <v>0</v>
      </c>
      <c r="S772" s="2">
        <v>0</v>
      </c>
      <c r="T772" s="2">
        <v>4</v>
      </c>
      <c r="U772" s="2">
        <v>1</v>
      </c>
      <c r="V772" s="2">
        <v>0</v>
      </c>
      <c r="W772" s="2">
        <v>26</v>
      </c>
      <c r="X772" s="2">
        <v>0</v>
      </c>
      <c r="Y772" s="2">
        <v>1</v>
      </c>
      <c r="Z772" s="2">
        <v>0</v>
      </c>
      <c r="AA772" s="2">
        <v>1</v>
      </c>
      <c r="AB772" s="2">
        <v>2</v>
      </c>
      <c r="AC772" s="2">
        <v>1</v>
      </c>
      <c r="AD772" s="2">
        <v>0</v>
      </c>
      <c r="AE772" s="2">
        <v>0</v>
      </c>
      <c r="AF772" s="2">
        <v>1</v>
      </c>
      <c r="AG772" s="20">
        <f t="shared" ref="AG772:AG835" si="12">IF(AF772=1,100,-500)</f>
        <v>100</v>
      </c>
    </row>
    <row r="773" spans="1:33" x14ac:dyDescent="0.25">
      <c r="A773">
        <v>772</v>
      </c>
      <c r="B773" s="2">
        <v>0</v>
      </c>
      <c r="C773" s="2">
        <v>36</v>
      </c>
      <c r="D773" s="2">
        <v>4</v>
      </c>
      <c r="E773" s="2">
        <v>0</v>
      </c>
      <c r="F773" s="2">
        <v>0</v>
      </c>
      <c r="G773" s="2">
        <v>0</v>
      </c>
      <c r="H773" s="2">
        <v>0</v>
      </c>
      <c r="I773" s="2">
        <v>1</v>
      </c>
      <c r="J773" s="2">
        <v>0</v>
      </c>
      <c r="K773" s="2">
        <v>8065</v>
      </c>
      <c r="L773" s="2">
        <v>0</v>
      </c>
      <c r="M773" s="2">
        <v>2</v>
      </c>
      <c r="N773" s="2">
        <v>3</v>
      </c>
      <c r="O773" s="2">
        <v>0</v>
      </c>
      <c r="P773" s="2">
        <v>0</v>
      </c>
      <c r="Q773" s="2">
        <v>0</v>
      </c>
      <c r="R773" s="2">
        <v>0</v>
      </c>
      <c r="S773" s="2">
        <v>0</v>
      </c>
      <c r="T773" s="2">
        <v>2</v>
      </c>
      <c r="U773" s="2">
        <v>0</v>
      </c>
      <c r="V773" s="2">
        <v>1</v>
      </c>
      <c r="W773" s="2">
        <v>25</v>
      </c>
      <c r="X773" s="2">
        <v>0</v>
      </c>
      <c r="Y773" s="2">
        <v>0</v>
      </c>
      <c r="Z773" s="2">
        <v>1</v>
      </c>
      <c r="AA773" s="2">
        <v>2</v>
      </c>
      <c r="AB773" s="2">
        <v>3</v>
      </c>
      <c r="AC773" s="2">
        <v>1</v>
      </c>
      <c r="AD773" s="2">
        <v>1</v>
      </c>
      <c r="AE773" s="2">
        <v>0</v>
      </c>
      <c r="AF773" s="2">
        <v>0</v>
      </c>
      <c r="AG773" s="20">
        <f t="shared" si="12"/>
        <v>-500</v>
      </c>
    </row>
    <row r="774" spans="1:33" x14ac:dyDescent="0.25">
      <c r="A774">
        <v>773</v>
      </c>
      <c r="B774" s="2">
        <v>3</v>
      </c>
      <c r="C774" s="2">
        <v>21</v>
      </c>
      <c r="D774" s="2">
        <v>4</v>
      </c>
      <c r="E774" s="2">
        <v>0</v>
      </c>
      <c r="F774" s="2">
        <v>1</v>
      </c>
      <c r="G774" s="2">
        <v>0</v>
      </c>
      <c r="H774" s="2">
        <v>0</v>
      </c>
      <c r="I774" s="2">
        <v>0</v>
      </c>
      <c r="J774" s="2">
        <v>0</v>
      </c>
      <c r="K774" s="2">
        <v>3275</v>
      </c>
      <c r="L774" s="2">
        <v>0</v>
      </c>
      <c r="M774" s="2">
        <v>4</v>
      </c>
      <c r="N774" s="2">
        <v>1</v>
      </c>
      <c r="O774" s="2">
        <v>0</v>
      </c>
      <c r="P774" s="2">
        <v>1</v>
      </c>
      <c r="Q774" s="2">
        <v>0</v>
      </c>
      <c r="R774" s="2">
        <v>0</v>
      </c>
      <c r="S774" s="2">
        <v>0</v>
      </c>
      <c r="T774" s="2">
        <v>4</v>
      </c>
      <c r="U774" s="2">
        <v>0</v>
      </c>
      <c r="V774" s="2">
        <v>0</v>
      </c>
      <c r="W774" s="2">
        <v>36</v>
      </c>
      <c r="X774" s="2">
        <v>0</v>
      </c>
      <c r="Y774" s="2">
        <v>0</v>
      </c>
      <c r="Z774" s="2">
        <v>1</v>
      </c>
      <c r="AA774" s="2">
        <v>1</v>
      </c>
      <c r="AB774" s="2">
        <v>3</v>
      </c>
      <c r="AC774" s="2">
        <v>1</v>
      </c>
      <c r="AD774" s="2">
        <v>1</v>
      </c>
      <c r="AE774" s="2">
        <v>0</v>
      </c>
      <c r="AF774" s="2">
        <v>1</v>
      </c>
      <c r="AG774" s="20">
        <f t="shared" si="12"/>
        <v>100</v>
      </c>
    </row>
    <row r="775" spans="1:33" x14ac:dyDescent="0.25">
      <c r="A775">
        <v>774</v>
      </c>
      <c r="B775" s="2">
        <v>3</v>
      </c>
      <c r="C775" s="2">
        <v>24</v>
      </c>
      <c r="D775" s="2">
        <v>4</v>
      </c>
      <c r="E775" s="2">
        <v>0</v>
      </c>
      <c r="F775" s="2">
        <v>0</v>
      </c>
      <c r="G775" s="2">
        <v>0</v>
      </c>
      <c r="H775" s="2">
        <v>1</v>
      </c>
      <c r="I775" s="2">
        <v>0</v>
      </c>
      <c r="J775" s="2">
        <v>0</v>
      </c>
      <c r="K775" s="2">
        <v>2223</v>
      </c>
      <c r="L775" s="2">
        <v>1</v>
      </c>
      <c r="M775" s="2">
        <v>4</v>
      </c>
      <c r="N775" s="2">
        <v>4</v>
      </c>
      <c r="O775" s="2">
        <v>0</v>
      </c>
      <c r="P775" s="2">
        <v>1</v>
      </c>
      <c r="Q775" s="2">
        <v>0</v>
      </c>
      <c r="R775" s="2">
        <v>0</v>
      </c>
      <c r="S775" s="2">
        <v>0</v>
      </c>
      <c r="T775" s="2">
        <v>4</v>
      </c>
      <c r="U775" s="2">
        <v>0</v>
      </c>
      <c r="V775" s="2">
        <v>0</v>
      </c>
      <c r="W775" s="2">
        <v>52</v>
      </c>
      <c r="X775" s="2">
        <v>1</v>
      </c>
      <c r="Y775" s="2">
        <v>0</v>
      </c>
      <c r="Z775" s="2">
        <v>1</v>
      </c>
      <c r="AA775" s="2">
        <v>2</v>
      </c>
      <c r="AB775" s="2">
        <v>2</v>
      </c>
      <c r="AC775" s="2">
        <v>1</v>
      </c>
      <c r="AD775" s="2">
        <v>0</v>
      </c>
      <c r="AE775" s="2">
        <v>0</v>
      </c>
      <c r="AF775" s="2">
        <v>1</v>
      </c>
      <c r="AG775" s="20">
        <f t="shared" si="12"/>
        <v>100</v>
      </c>
    </row>
    <row r="776" spans="1:33" x14ac:dyDescent="0.25">
      <c r="A776">
        <v>775</v>
      </c>
      <c r="B776" s="2">
        <v>2</v>
      </c>
      <c r="C776" s="2">
        <v>12</v>
      </c>
      <c r="D776" s="2">
        <v>4</v>
      </c>
      <c r="E776" s="2">
        <v>1</v>
      </c>
      <c r="F776" s="2">
        <v>0</v>
      </c>
      <c r="G776" s="2">
        <v>0</v>
      </c>
      <c r="H776" s="2">
        <v>0</v>
      </c>
      <c r="I776" s="2">
        <v>0</v>
      </c>
      <c r="J776" s="2">
        <v>0</v>
      </c>
      <c r="K776" s="2">
        <v>1480</v>
      </c>
      <c r="L776" s="2">
        <v>2</v>
      </c>
      <c r="M776" s="2">
        <v>0</v>
      </c>
      <c r="N776" s="2">
        <v>2</v>
      </c>
      <c r="O776" s="2">
        <v>0</v>
      </c>
      <c r="P776" s="2">
        <v>1</v>
      </c>
      <c r="Q776" s="2">
        <v>0</v>
      </c>
      <c r="R776" s="2">
        <v>0</v>
      </c>
      <c r="S776" s="2">
        <v>0</v>
      </c>
      <c r="T776" s="2">
        <v>4</v>
      </c>
      <c r="U776" s="2">
        <v>0</v>
      </c>
      <c r="V776" s="2">
        <v>1</v>
      </c>
      <c r="W776" s="2">
        <v>66</v>
      </c>
      <c r="X776" s="2">
        <v>1</v>
      </c>
      <c r="Y776" s="2">
        <v>0</v>
      </c>
      <c r="Z776" s="2">
        <v>0</v>
      </c>
      <c r="AA776" s="2">
        <v>3</v>
      </c>
      <c r="AB776" s="2">
        <v>0</v>
      </c>
      <c r="AC776" s="2">
        <v>1</v>
      </c>
      <c r="AD776" s="2">
        <v>0</v>
      </c>
      <c r="AE776" s="2">
        <v>0</v>
      </c>
      <c r="AF776" s="2">
        <v>1</v>
      </c>
      <c r="AG776" s="20">
        <f t="shared" si="12"/>
        <v>100</v>
      </c>
    </row>
    <row r="777" spans="1:33" x14ac:dyDescent="0.25">
      <c r="A777">
        <v>776</v>
      </c>
      <c r="B777" s="2">
        <v>0</v>
      </c>
      <c r="C777" s="2">
        <v>24</v>
      </c>
      <c r="D777" s="2">
        <v>2</v>
      </c>
      <c r="E777" s="2">
        <v>1</v>
      </c>
      <c r="F777" s="2">
        <v>0</v>
      </c>
      <c r="G777" s="2">
        <v>0</v>
      </c>
      <c r="H777" s="2">
        <v>0</v>
      </c>
      <c r="I777" s="2">
        <v>0</v>
      </c>
      <c r="J777" s="2">
        <v>0</v>
      </c>
      <c r="K777" s="2">
        <v>1371</v>
      </c>
      <c r="L777" s="2">
        <v>4</v>
      </c>
      <c r="M777" s="2">
        <v>2</v>
      </c>
      <c r="N777" s="2">
        <v>4</v>
      </c>
      <c r="O777" s="2">
        <v>0</v>
      </c>
      <c r="P777" s="2">
        <v>0</v>
      </c>
      <c r="Q777" s="2">
        <v>0</v>
      </c>
      <c r="R777" s="2">
        <v>0</v>
      </c>
      <c r="S777" s="2">
        <v>0</v>
      </c>
      <c r="T777" s="2">
        <v>4</v>
      </c>
      <c r="U777" s="2">
        <v>1</v>
      </c>
      <c r="V777" s="2">
        <v>0</v>
      </c>
      <c r="W777" s="2">
        <v>25</v>
      </c>
      <c r="X777" s="2">
        <v>0</v>
      </c>
      <c r="Y777" s="2">
        <v>1</v>
      </c>
      <c r="Z777" s="2">
        <v>0</v>
      </c>
      <c r="AA777" s="2">
        <v>1</v>
      </c>
      <c r="AB777" s="2">
        <v>2</v>
      </c>
      <c r="AC777" s="2">
        <v>1</v>
      </c>
      <c r="AD777" s="2">
        <v>0</v>
      </c>
      <c r="AE777" s="2">
        <v>0</v>
      </c>
      <c r="AF777" s="2">
        <v>0</v>
      </c>
      <c r="AG777" s="20">
        <f t="shared" si="12"/>
        <v>-500</v>
      </c>
    </row>
    <row r="778" spans="1:33" x14ac:dyDescent="0.25">
      <c r="A778">
        <v>777</v>
      </c>
      <c r="B778" s="2">
        <v>3</v>
      </c>
      <c r="C778" s="2">
        <v>36</v>
      </c>
      <c r="D778" s="2">
        <v>4</v>
      </c>
      <c r="E778" s="2">
        <v>1</v>
      </c>
      <c r="F778" s="2">
        <v>0</v>
      </c>
      <c r="G778" s="2">
        <v>0</v>
      </c>
      <c r="H778" s="2">
        <v>0</v>
      </c>
      <c r="I778" s="2">
        <v>0</v>
      </c>
      <c r="J778" s="2">
        <v>0</v>
      </c>
      <c r="K778" s="2">
        <v>3535</v>
      </c>
      <c r="L778" s="2">
        <v>0</v>
      </c>
      <c r="M778" s="2">
        <v>3</v>
      </c>
      <c r="N778" s="2">
        <v>4</v>
      </c>
      <c r="O778" s="2">
        <v>0</v>
      </c>
      <c r="P778" s="2">
        <v>1</v>
      </c>
      <c r="Q778" s="2">
        <v>0</v>
      </c>
      <c r="R778" s="2">
        <v>0</v>
      </c>
      <c r="S778" s="2">
        <v>0</v>
      </c>
      <c r="T778" s="2">
        <v>4</v>
      </c>
      <c r="U778" s="2">
        <v>0</v>
      </c>
      <c r="V778" s="2">
        <v>0</v>
      </c>
      <c r="W778" s="2">
        <v>37</v>
      </c>
      <c r="X778" s="2">
        <v>0</v>
      </c>
      <c r="Y778" s="2">
        <v>0</v>
      </c>
      <c r="Z778" s="2">
        <v>1</v>
      </c>
      <c r="AA778" s="2">
        <v>2</v>
      </c>
      <c r="AB778" s="2">
        <v>2</v>
      </c>
      <c r="AC778" s="2">
        <v>1</v>
      </c>
      <c r="AD778" s="2">
        <v>1</v>
      </c>
      <c r="AE778" s="2">
        <v>0</v>
      </c>
      <c r="AF778" s="2">
        <v>1</v>
      </c>
      <c r="AG778" s="20">
        <f t="shared" si="12"/>
        <v>100</v>
      </c>
    </row>
    <row r="779" spans="1:33" x14ac:dyDescent="0.25">
      <c r="A779">
        <v>778</v>
      </c>
      <c r="B779" s="2">
        <v>0</v>
      </c>
      <c r="C779" s="2">
        <v>18</v>
      </c>
      <c r="D779" s="2">
        <v>2</v>
      </c>
      <c r="E779" s="2">
        <v>0</v>
      </c>
      <c r="F779" s="2">
        <v>0</v>
      </c>
      <c r="G779" s="2">
        <v>0</v>
      </c>
      <c r="H779" s="2">
        <v>1</v>
      </c>
      <c r="I779" s="2">
        <v>0</v>
      </c>
      <c r="J779" s="2">
        <v>0</v>
      </c>
      <c r="K779" s="2">
        <v>3509</v>
      </c>
      <c r="L779" s="2">
        <v>0</v>
      </c>
      <c r="M779" s="2">
        <v>3</v>
      </c>
      <c r="N779" s="2">
        <v>4</v>
      </c>
      <c r="O779" s="2">
        <v>0</v>
      </c>
      <c r="P779" s="2">
        <v>0</v>
      </c>
      <c r="Q779" s="2">
        <v>0</v>
      </c>
      <c r="R779" s="2">
        <v>0</v>
      </c>
      <c r="S779" s="2">
        <v>1</v>
      </c>
      <c r="T779" s="2">
        <v>1</v>
      </c>
      <c r="U779" s="2">
        <v>1</v>
      </c>
      <c r="V779" s="2">
        <v>0</v>
      </c>
      <c r="W779" s="2">
        <v>25</v>
      </c>
      <c r="X779" s="2">
        <v>0</v>
      </c>
      <c r="Y779" s="2">
        <v>0</v>
      </c>
      <c r="Z779" s="2">
        <v>1</v>
      </c>
      <c r="AA779" s="2">
        <v>1</v>
      </c>
      <c r="AB779" s="2">
        <v>2</v>
      </c>
      <c r="AC779" s="2">
        <v>1</v>
      </c>
      <c r="AD779" s="2">
        <v>0</v>
      </c>
      <c r="AE779" s="2">
        <v>0</v>
      </c>
      <c r="AF779" s="2">
        <v>1</v>
      </c>
      <c r="AG779" s="20">
        <f t="shared" si="12"/>
        <v>100</v>
      </c>
    </row>
    <row r="780" spans="1:33" x14ac:dyDescent="0.25">
      <c r="A780">
        <v>779</v>
      </c>
      <c r="B780" s="2">
        <v>3</v>
      </c>
      <c r="C780" s="2">
        <v>36</v>
      </c>
      <c r="D780" s="2">
        <v>4</v>
      </c>
      <c r="E780" s="2">
        <v>0</v>
      </c>
      <c r="F780" s="2">
        <v>1</v>
      </c>
      <c r="G780" s="2">
        <v>0</v>
      </c>
      <c r="H780" s="2">
        <v>0</v>
      </c>
      <c r="I780" s="2">
        <v>0</v>
      </c>
      <c r="J780" s="2">
        <v>0</v>
      </c>
      <c r="K780" s="2">
        <v>5711</v>
      </c>
      <c r="L780" s="2">
        <v>3</v>
      </c>
      <c r="M780" s="2">
        <v>4</v>
      </c>
      <c r="N780" s="2">
        <v>4</v>
      </c>
      <c r="O780" s="2">
        <v>0</v>
      </c>
      <c r="P780" s="2">
        <v>1</v>
      </c>
      <c r="Q780" s="2">
        <v>0</v>
      </c>
      <c r="R780" s="2">
        <v>0</v>
      </c>
      <c r="S780" s="2">
        <v>0</v>
      </c>
      <c r="T780" s="2">
        <v>2</v>
      </c>
      <c r="U780" s="2">
        <v>0</v>
      </c>
      <c r="V780" s="2">
        <v>0</v>
      </c>
      <c r="W780" s="2">
        <v>38</v>
      </c>
      <c r="X780" s="2">
        <v>0</v>
      </c>
      <c r="Y780" s="2">
        <v>0</v>
      </c>
      <c r="Z780" s="2">
        <v>1</v>
      </c>
      <c r="AA780" s="2">
        <v>2</v>
      </c>
      <c r="AB780" s="2">
        <v>3</v>
      </c>
      <c r="AC780" s="2">
        <v>1</v>
      </c>
      <c r="AD780" s="2">
        <v>1</v>
      </c>
      <c r="AE780" s="2">
        <v>0</v>
      </c>
      <c r="AF780" s="2">
        <v>1</v>
      </c>
      <c r="AG780" s="20">
        <f t="shared" si="12"/>
        <v>100</v>
      </c>
    </row>
    <row r="781" spans="1:33" x14ac:dyDescent="0.25">
      <c r="A781">
        <v>780</v>
      </c>
      <c r="B781" s="2">
        <v>1</v>
      </c>
      <c r="C781" s="2">
        <v>18</v>
      </c>
      <c r="D781" s="2">
        <v>2</v>
      </c>
      <c r="E781" s="2">
        <v>0</v>
      </c>
      <c r="F781" s="2">
        <v>0</v>
      </c>
      <c r="G781" s="2">
        <v>0</v>
      </c>
      <c r="H781" s="2">
        <v>0</v>
      </c>
      <c r="I781" s="2">
        <v>0</v>
      </c>
      <c r="J781" s="2">
        <v>0</v>
      </c>
      <c r="K781" s="2">
        <v>3872</v>
      </c>
      <c r="L781" s="2">
        <v>0</v>
      </c>
      <c r="M781" s="2">
        <v>0</v>
      </c>
      <c r="N781" s="2">
        <v>2</v>
      </c>
      <c r="O781" s="2">
        <v>0</v>
      </c>
      <c r="P781" s="2">
        <v>0</v>
      </c>
      <c r="Q781" s="2">
        <v>0</v>
      </c>
      <c r="R781" s="2">
        <v>0</v>
      </c>
      <c r="S781" s="2">
        <v>0</v>
      </c>
      <c r="T781" s="2">
        <v>4</v>
      </c>
      <c r="U781" s="2">
        <v>0</v>
      </c>
      <c r="V781" s="2">
        <v>0</v>
      </c>
      <c r="W781" s="2">
        <v>67</v>
      </c>
      <c r="X781" s="2">
        <v>0</v>
      </c>
      <c r="Y781" s="2">
        <v>0</v>
      </c>
      <c r="Z781" s="2">
        <v>1</v>
      </c>
      <c r="AA781" s="2">
        <v>1</v>
      </c>
      <c r="AB781" s="2">
        <v>2</v>
      </c>
      <c r="AC781" s="2">
        <v>1</v>
      </c>
      <c r="AD781" s="2">
        <v>1</v>
      </c>
      <c r="AE781" s="2">
        <v>0</v>
      </c>
      <c r="AF781" s="2">
        <v>1</v>
      </c>
      <c r="AG781" s="20">
        <f t="shared" si="12"/>
        <v>100</v>
      </c>
    </row>
    <row r="782" spans="1:33" x14ac:dyDescent="0.25">
      <c r="A782">
        <v>781</v>
      </c>
      <c r="B782" s="2">
        <v>1</v>
      </c>
      <c r="C782" s="2">
        <v>39</v>
      </c>
      <c r="D782" s="2">
        <v>4</v>
      </c>
      <c r="E782" s="2">
        <v>0</v>
      </c>
      <c r="F782" s="2">
        <v>0</v>
      </c>
      <c r="G782" s="2">
        <v>0</v>
      </c>
      <c r="H782" s="2">
        <v>1</v>
      </c>
      <c r="I782" s="2">
        <v>0</v>
      </c>
      <c r="J782" s="2">
        <v>0</v>
      </c>
      <c r="K782" s="2">
        <v>4933</v>
      </c>
      <c r="L782" s="2">
        <v>0</v>
      </c>
      <c r="M782" s="2">
        <v>3</v>
      </c>
      <c r="N782" s="2">
        <v>2</v>
      </c>
      <c r="O782" s="2">
        <v>0</v>
      </c>
      <c r="P782" s="2">
        <v>1</v>
      </c>
      <c r="Q782" s="2">
        <v>0</v>
      </c>
      <c r="R782" s="2">
        <v>0</v>
      </c>
      <c r="S782" s="2">
        <v>1</v>
      </c>
      <c r="T782" s="2">
        <v>2</v>
      </c>
      <c r="U782" s="2">
        <v>1</v>
      </c>
      <c r="V782" s="2">
        <v>0</v>
      </c>
      <c r="W782" s="2">
        <v>25</v>
      </c>
      <c r="X782" s="2">
        <v>0</v>
      </c>
      <c r="Y782" s="2">
        <v>0</v>
      </c>
      <c r="Z782" s="2">
        <v>1</v>
      </c>
      <c r="AA782" s="2">
        <v>2</v>
      </c>
      <c r="AB782" s="2">
        <v>2</v>
      </c>
      <c r="AC782" s="2">
        <v>1</v>
      </c>
      <c r="AD782" s="2">
        <v>0</v>
      </c>
      <c r="AE782" s="2">
        <v>0</v>
      </c>
      <c r="AF782" s="2">
        <v>0</v>
      </c>
      <c r="AG782" s="20">
        <f t="shared" si="12"/>
        <v>-500</v>
      </c>
    </row>
    <row r="783" spans="1:33" x14ac:dyDescent="0.25">
      <c r="A783">
        <v>782</v>
      </c>
      <c r="B783" s="2">
        <v>3</v>
      </c>
      <c r="C783" s="2">
        <v>24</v>
      </c>
      <c r="D783" s="2">
        <v>4</v>
      </c>
      <c r="E783" s="2">
        <v>1</v>
      </c>
      <c r="F783" s="2">
        <v>0</v>
      </c>
      <c r="G783" s="2">
        <v>0</v>
      </c>
      <c r="H783" s="2">
        <v>0</v>
      </c>
      <c r="I783" s="2">
        <v>0</v>
      </c>
      <c r="J783" s="2">
        <v>0</v>
      </c>
      <c r="K783" s="2">
        <v>1940</v>
      </c>
      <c r="L783" s="2">
        <v>3</v>
      </c>
      <c r="M783" s="2">
        <v>4</v>
      </c>
      <c r="N783" s="2">
        <v>4</v>
      </c>
      <c r="O783" s="2">
        <v>0</v>
      </c>
      <c r="P783" s="2">
        <v>1</v>
      </c>
      <c r="Q783" s="2">
        <v>0</v>
      </c>
      <c r="R783" s="2">
        <v>0</v>
      </c>
      <c r="S783" s="2">
        <v>0</v>
      </c>
      <c r="T783" s="2">
        <v>4</v>
      </c>
      <c r="U783" s="2">
        <v>1</v>
      </c>
      <c r="V783" s="2">
        <v>0</v>
      </c>
      <c r="W783" s="2">
        <v>60</v>
      </c>
      <c r="X783" s="2">
        <v>0</v>
      </c>
      <c r="Y783" s="2">
        <v>0</v>
      </c>
      <c r="Z783" s="2">
        <v>1</v>
      </c>
      <c r="AA783" s="2">
        <v>1</v>
      </c>
      <c r="AB783" s="2">
        <v>2</v>
      </c>
      <c r="AC783" s="2">
        <v>1</v>
      </c>
      <c r="AD783" s="2">
        <v>1</v>
      </c>
      <c r="AE783" s="2">
        <v>0</v>
      </c>
      <c r="AF783" s="2">
        <v>1</v>
      </c>
      <c r="AG783" s="20">
        <f t="shared" si="12"/>
        <v>100</v>
      </c>
    </row>
    <row r="784" spans="1:33" x14ac:dyDescent="0.25">
      <c r="A784">
        <v>783</v>
      </c>
      <c r="B784" s="2">
        <v>1</v>
      </c>
      <c r="C784" s="2">
        <v>12</v>
      </c>
      <c r="D784" s="2">
        <v>0</v>
      </c>
      <c r="E784" s="2">
        <v>0</v>
      </c>
      <c r="F784" s="2">
        <v>0</v>
      </c>
      <c r="G784" s="2">
        <v>0</v>
      </c>
      <c r="H784" s="2">
        <v>0</v>
      </c>
      <c r="I784" s="2">
        <v>0</v>
      </c>
      <c r="J784" s="2">
        <v>0</v>
      </c>
      <c r="K784" s="2">
        <v>1410</v>
      </c>
      <c r="L784" s="2">
        <v>0</v>
      </c>
      <c r="M784" s="2">
        <v>2</v>
      </c>
      <c r="N784" s="2">
        <v>2</v>
      </c>
      <c r="O784" s="2">
        <v>0</v>
      </c>
      <c r="P784" s="2">
        <v>1</v>
      </c>
      <c r="Q784" s="2">
        <v>0</v>
      </c>
      <c r="R784" s="2">
        <v>0</v>
      </c>
      <c r="S784" s="2">
        <v>0</v>
      </c>
      <c r="T784" s="2">
        <v>2</v>
      </c>
      <c r="U784" s="2">
        <v>1</v>
      </c>
      <c r="V784" s="2">
        <v>0</v>
      </c>
      <c r="W784" s="2">
        <v>31</v>
      </c>
      <c r="X784" s="2">
        <v>0</v>
      </c>
      <c r="Y784" s="2">
        <v>0</v>
      </c>
      <c r="Z784" s="2">
        <v>1</v>
      </c>
      <c r="AA784" s="2">
        <v>1</v>
      </c>
      <c r="AB784" s="2">
        <v>1</v>
      </c>
      <c r="AC784" s="2">
        <v>1</v>
      </c>
      <c r="AD784" s="2">
        <v>1</v>
      </c>
      <c r="AE784" s="2">
        <v>0</v>
      </c>
      <c r="AF784" s="2">
        <v>1</v>
      </c>
      <c r="AG784" s="20">
        <f t="shared" si="12"/>
        <v>100</v>
      </c>
    </row>
    <row r="785" spans="1:33" x14ac:dyDescent="0.25">
      <c r="A785">
        <v>784</v>
      </c>
      <c r="B785" s="2">
        <v>1</v>
      </c>
      <c r="C785" s="2">
        <v>12</v>
      </c>
      <c r="D785" s="2">
        <v>2</v>
      </c>
      <c r="E785" s="2">
        <v>1</v>
      </c>
      <c r="F785" s="2">
        <v>0</v>
      </c>
      <c r="G785" s="2">
        <v>0</v>
      </c>
      <c r="H785" s="2">
        <v>0</v>
      </c>
      <c r="I785" s="2">
        <v>0</v>
      </c>
      <c r="J785" s="2">
        <v>0</v>
      </c>
      <c r="K785" s="2">
        <v>836</v>
      </c>
      <c r="L785" s="2">
        <v>1</v>
      </c>
      <c r="M785" s="2">
        <v>1</v>
      </c>
      <c r="N785" s="2">
        <v>4</v>
      </c>
      <c r="O785" s="2">
        <v>0</v>
      </c>
      <c r="P785" s="2">
        <v>0</v>
      </c>
      <c r="Q785" s="2">
        <v>0</v>
      </c>
      <c r="R785" s="2">
        <v>0</v>
      </c>
      <c r="S785" s="2">
        <v>0</v>
      </c>
      <c r="T785" s="2">
        <v>2</v>
      </c>
      <c r="U785" s="2">
        <v>0</v>
      </c>
      <c r="V785" s="2">
        <v>0</v>
      </c>
      <c r="W785" s="2">
        <v>23</v>
      </c>
      <c r="X785" s="2">
        <v>1</v>
      </c>
      <c r="Y785" s="2">
        <v>0</v>
      </c>
      <c r="Z785" s="2">
        <v>1</v>
      </c>
      <c r="AA785" s="2">
        <v>1</v>
      </c>
      <c r="AB785" s="2">
        <v>1</v>
      </c>
      <c r="AC785" s="2">
        <v>1</v>
      </c>
      <c r="AD785" s="2">
        <v>0</v>
      </c>
      <c r="AE785" s="2">
        <v>0</v>
      </c>
      <c r="AF785" s="2">
        <v>0</v>
      </c>
      <c r="AG785" s="20">
        <f t="shared" si="12"/>
        <v>-500</v>
      </c>
    </row>
    <row r="786" spans="1:33" x14ac:dyDescent="0.25">
      <c r="A786">
        <v>785</v>
      </c>
      <c r="B786" s="2">
        <v>1</v>
      </c>
      <c r="C786" s="2">
        <v>20</v>
      </c>
      <c r="D786" s="2">
        <v>2</v>
      </c>
      <c r="E786" s="2">
        <v>0</v>
      </c>
      <c r="F786" s="2">
        <v>1</v>
      </c>
      <c r="G786" s="2">
        <v>0</v>
      </c>
      <c r="H786" s="2">
        <v>0</v>
      </c>
      <c r="I786" s="2">
        <v>0</v>
      </c>
      <c r="J786" s="2">
        <v>0</v>
      </c>
      <c r="K786" s="2">
        <v>6468</v>
      </c>
      <c r="L786" s="2">
        <v>4</v>
      </c>
      <c r="M786" s="2">
        <v>0</v>
      </c>
      <c r="N786" s="2">
        <v>1</v>
      </c>
      <c r="O786" s="2">
        <v>1</v>
      </c>
      <c r="P786" s="2">
        <v>0</v>
      </c>
      <c r="Q786" s="2">
        <v>0</v>
      </c>
      <c r="R786" s="2">
        <v>0</v>
      </c>
      <c r="S786" s="2">
        <v>0</v>
      </c>
      <c r="T786" s="2">
        <v>4</v>
      </c>
      <c r="U786" s="2">
        <v>1</v>
      </c>
      <c r="V786" s="2">
        <v>0</v>
      </c>
      <c r="W786" s="2">
        <v>60</v>
      </c>
      <c r="X786" s="2">
        <v>0</v>
      </c>
      <c r="Y786" s="2">
        <v>0</v>
      </c>
      <c r="Z786" s="2">
        <v>1</v>
      </c>
      <c r="AA786" s="2">
        <v>1</v>
      </c>
      <c r="AB786" s="2">
        <v>3</v>
      </c>
      <c r="AC786" s="2">
        <v>1</v>
      </c>
      <c r="AD786" s="2">
        <v>1</v>
      </c>
      <c r="AE786" s="2">
        <v>0</v>
      </c>
      <c r="AF786" s="2">
        <v>1</v>
      </c>
      <c r="AG786" s="20">
        <f t="shared" si="12"/>
        <v>100</v>
      </c>
    </row>
    <row r="787" spans="1:33" x14ac:dyDescent="0.25">
      <c r="A787">
        <v>786</v>
      </c>
      <c r="B787" s="2">
        <v>1</v>
      </c>
      <c r="C787" s="2">
        <v>18</v>
      </c>
      <c r="D787" s="2">
        <v>2</v>
      </c>
      <c r="E787" s="2">
        <v>0</v>
      </c>
      <c r="F787" s="2">
        <v>0</v>
      </c>
      <c r="G787" s="2">
        <v>0</v>
      </c>
      <c r="H787" s="2">
        <v>0</v>
      </c>
      <c r="I787" s="2">
        <v>0</v>
      </c>
      <c r="J787" s="2">
        <v>1</v>
      </c>
      <c r="K787" s="2">
        <v>1941</v>
      </c>
      <c r="L787" s="2">
        <v>3</v>
      </c>
      <c r="M787" s="2">
        <v>2</v>
      </c>
      <c r="N787" s="2">
        <v>4</v>
      </c>
      <c r="O787" s="2">
        <v>0</v>
      </c>
      <c r="P787" s="2">
        <v>1</v>
      </c>
      <c r="Q787" s="2">
        <v>0</v>
      </c>
      <c r="R787" s="2">
        <v>0</v>
      </c>
      <c r="S787" s="2">
        <v>0</v>
      </c>
      <c r="T787" s="2">
        <v>2</v>
      </c>
      <c r="U787" s="2">
        <v>0</v>
      </c>
      <c r="V787" s="2">
        <v>0</v>
      </c>
      <c r="W787" s="2">
        <v>35</v>
      </c>
      <c r="X787" s="2">
        <v>0</v>
      </c>
      <c r="Y787" s="2">
        <v>0</v>
      </c>
      <c r="Z787" s="2">
        <v>1</v>
      </c>
      <c r="AA787" s="2">
        <v>1</v>
      </c>
      <c r="AB787" s="2">
        <v>1</v>
      </c>
      <c r="AC787" s="2">
        <v>1</v>
      </c>
      <c r="AD787" s="2">
        <v>1</v>
      </c>
      <c r="AE787" s="2">
        <v>0</v>
      </c>
      <c r="AF787" s="2">
        <v>1</v>
      </c>
      <c r="AG787" s="20">
        <f t="shared" si="12"/>
        <v>100</v>
      </c>
    </row>
    <row r="788" spans="1:33" x14ac:dyDescent="0.25">
      <c r="A788">
        <v>787</v>
      </c>
      <c r="B788" s="2">
        <v>3</v>
      </c>
      <c r="C788" s="2">
        <v>22</v>
      </c>
      <c r="D788" s="2">
        <v>2</v>
      </c>
      <c r="E788" s="2">
        <v>0</v>
      </c>
      <c r="F788" s="2">
        <v>0</v>
      </c>
      <c r="G788" s="2">
        <v>0</v>
      </c>
      <c r="H788" s="2">
        <v>1</v>
      </c>
      <c r="I788" s="2">
        <v>0</v>
      </c>
      <c r="J788" s="2">
        <v>0</v>
      </c>
      <c r="K788" s="2">
        <v>2675</v>
      </c>
      <c r="L788" s="2">
        <v>2</v>
      </c>
      <c r="M788" s="2">
        <v>4</v>
      </c>
      <c r="N788" s="2">
        <v>3</v>
      </c>
      <c r="O788" s="2">
        <v>0</v>
      </c>
      <c r="P788" s="2">
        <v>1</v>
      </c>
      <c r="Q788" s="2">
        <v>0</v>
      </c>
      <c r="R788" s="2">
        <v>0</v>
      </c>
      <c r="S788" s="2">
        <v>0</v>
      </c>
      <c r="T788" s="2">
        <v>4</v>
      </c>
      <c r="U788" s="2">
        <v>0</v>
      </c>
      <c r="V788" s="2">
        <v>0</v>
      </c>
      <c r="W788" s="2">
        <v>40</v>
      </c>
      <c r="X788" s="2">
        <v>0</v>
      </c>
      <c r="Y788" s="2">
        <v>0</v>
      </c>
      <c r="Z788" s="2">
        <v>1</v>
      </c>
      <c r="AA788" s="2">
        <v>1</v>
      </c>
      <c r="AB788" s="2">
        <v>2</v>
      </c>
      <c r="AC788" s="2">
        <v>1</v>
      </c>
      <c r="AD788" s="2">
        <v>0</v>
      </c>
      <c r="AE788" s="2">
        <v>0</v>
      </c>
      <c r="AF788" s="2">
        <v>1</v>
      </c>
      <c r="AG788" s="20">
        <f t="shared" si="12"/>
        <v>100</v>
      </c>
    </row>
    <row r="789" spans="1:33" x14ac:dyDescent="0.25">
      <c r="A789">
        <v>788</v>
      </c>
      <c r="B789" s="2">
        <v>3</v>
      </c>
      <c r="C789" s="2">
        <v>48</v>
      </c>
      <c r="D789" s="2">
        <v>4</v>
      </c>
      <c r="E789" s="2">
        <v>0</v>
      </c>
      <c r="F789" s="2">
        <v>1</v>
      </c>
      <c r="G789" s="2">
        <v>0</v>
      </c>
      <c r="H789" s="2">
        <v>0</v>
      </c>
      <c r="I789" s="2">
        <v>0</v>
      </c>
      <c r="J789" s="2">
        <v>0</v>
      </c>
      <c r="K789" s="2">
        <v>2751</v>
      </c>
      <c r="L789" s="2">
        <v>4</v>
      </c>
      <c r="M789" s="2">
        <v>4</v>
      </c>
      <c r="N789" s="2">
        <v>4</v>
      </c>
      <c r="O789" s="2">
        <v>0</v>
      </c>
      <c r="P789" s="2">
        <v>1</v>
      </c>
      <c r="Q789" s="2">
        <v>0</v>
      </c>
      <c r="R789" s="2">
        <v>0</v>
      </c>
      <c r="S789" s="2">
        <v>0</v>
      </c>
      <c r="T789" s="2">
        <v>3</v>
      </c>
      <c r="U789" s="2">
        <v>0</v>
      </c>
      <c r="V789" s="2">
        <v>0</v>
      </c>
      <c r="W789" s="2">
        <v>38</v>
      </c>
      <c r="X789" s="2">
        <v>0</v>
      </c>
      <c r="Y789" s="2">
        <v>0</v>
      </c>
      <c r="Z789" s="2">
        <v>1</v>
      </c>
      <c r="AA789" s="2">
        <v>2</v>
      </c>
      <c r="AB789" s="2">
        <v>2</v>
      </c>
      <c r="AC789" s="2">
        <v>2</v>
      </c>
      <c r="AD789" s="2">
        <v>1</v>
      </c>
      <c r="AE789" s="2">
        <v>0</v>
      </c>
      <c r="AF789" s="2">
        <v>1</v>
      </c>
      <c r="AG789" s="20">
        <f t="shared" si="12"/>
        <v>100</v>
      </c>
    </row>
    <row r="790" spans="1:33" x14ac:dyDescent="0.25">
      <c r="A790">
        <v>789</v>
      </c>
      <c r="B790" s="2">
        <v>1</v>
      </c>
      <c r="C790" s="2">
        <v>48</v>
      </c>
      <c r="D790" s="2">
        <v>3</v>
      </c>
      <c r="E790" s="2">
        <v>0</v>
      </c>
      <c r="F790" s="2">
        <v>0</v>
      </c>
      <c r="G790" s="2">
        <v>0</v>
      </c>
      <c r="H790" s="2">
        <v>0</v>
      </c>
      <c r="I790" s="2">
        <v>1</v>
      </c>
      <c r="J790" s="2">
        <v>0</v>
      </c>
      <c r="K790" s="2">
        <v>6224</v>
      </c>
      <c r="L790" s="2">
        <v>0</v>
      </c>
      <c r="M790" s="2">
        <v>4</v>
      </c>
      <c r="N790" s="2">
        <v>4</v>
      </c>
      <c r="O790" s="2">
        <v>0</v>
      </c>
      <c r="P790" s="2">
        <v>1</v>
      </c>
      <c r="Q790" s="2">
        <v>0</v>
      </c>
      <c r="R790" s="2">
        <v>0</v>
      </c>
      <c r="S790" s="2">
        <v>0</v>
      </c>
      <c r="T790" s="2">
        <v>4</v>
      </c>
      <c r="U790" s="2">
        <v>0</v>
      </c>
      <c r="V790" s="2">
        <v>1</v>
      </c>
      <c r="W790" s="2">
        <v>50</v>
      </c>
      <c r="X790" s="2">
        <v>0</v>
      </c>
      <c r="Y790" s="2">
        <v>0</v>
      </c>
      <c r="Z790" s="2">
        <v>0</v>
      </c>
      <c r="AA790" s="2">
        <v>1</v>
      </c>
      <c r="AB790" s="2">
        <v>2</v>
      </c>
      <c r="AC790" s="2">
        <v>1</v>
      </c>
      <c r="AD790" s="2">
        <v>0</v>
      </c>
      <c r="AE790" s="2">
        <v>0</v>
      </c>
      <c r="AF790" s="2">
        <v>0</v>
      </c>
      <c r="AG790" s="20">
        <f t="shared" si="12"/>
        <v>-500</v>
      </c>
    </row>
    <row r="791" spans="1:33" x14ac:dyDescent="0.25">
      <c r="A791">
        <v>790</v>
      </c>
      <c r="B791" s="2">
        <v>0</v>
      </c>
      <c r="C791" s="2">
        <v>40</v>
      </c>
      <c r="D791" s="2">
        <v>4</v>
      </c>
      <c r="E791" s="2">
        <v>0</v>
      </c>
      <c r="F791" s="2">
        <v>0</v>
      </c>
      <c r="G791" s="2">
        <v>0</v>
      </c>
      <c r="H791" s="2">
        <v>0</v>
      </c>
      <c r="I791" s="2">
        <v>1</v>
      </c>
      <c r="J791" s="2">
        <v>0</v>
      </c>
      <c r="K791" s="2">
        <v>5998</v>
      </c>
      <c r="L791" s="2">
        <v>0</v>
      </c>
      <c r="M791" s="2">
        <v>2</v>
      </c>
      <c r="N791" s="2">
        <v>4</v>
      </c>
      <c r="O791" s="2">
        <v>0</v>
      </c>
      <c r="P791" s="2">
        <v>1</v>
      </c>
      <c r="Q791" s="2">
        <v>0</v>
      </c>
      <c r="R791" s="2">
        <v>0</v>
      </c>
      <c r="S791" s="2">
        <v>0</v>
      </c>
      <c r="T791" s="2">
        <v>3</v>
      </c>
      <c r="U791" s="2">
        <v>0</v>
      </c>
      <c r="V791" s="2">
        <v>1</v>
      </c>
      <c r="W791" s="2">
        <v>27</v>
      </c>
      <c r="X791" s="2">
        <v>1</v>
      </c>
      <c r="Y791" s="2">
        <v>0</v>
      </c>
      <c r="Z791" s="2">
        <v>1</v>
      </c>
      <c r="AA791" s="2">
        <v>1</v>
      </c>
      <c r="AB791" s="2">
        <v>2</v>
      </c>
      <c r="AC791" s="2">
        <v>1</v>
      </c>
      <c r="AD791" s="2">
        <v>1</v>
      </c>
      <c r="AE791" s="2">
        <v>0</v>
      </c>
      <c r="AF791" s="2">
        <v>0</v>
      </c>
      <c r="AG791" s="20">
        <f t="shared" si="12"/>
        <v>-500</v>
      </c>
    </row>
    <row r="792" spans="1:33" x14ac:dyDescent="0.25">
      <c r="A792">
        <v>791</v>
      </c>
      <c r="B792" s="2">
        <v>1</v>
      </c>
      <c r="C792" s="2">
        <v>21</v>
      </c>
      <c r="D792" s="2">
        <v>2</v>
      </c>
      <c r="E792" s="2">
        <v>0</v>
      </c>
      <c r="F792" s="2">
        <v>0</v>
      </c>
      <c r="G792" s="2">
        <v>0</v>
      </c>
      <c r="H792" s="2">
        <v>0</v>
      </c>
      <c r="I792" s="2">
        <v>0</v>
      </c>
      <c r="J792" s="2">
        <v>1</v>
      </c>
      <c r="K792" s="2">
        <v>1188</v>
      </c>
      <c r="L792" s="2">
        <v>0</v>
      </c>
      <c r="M792" s="2">
        <v>4</v>
      </c>
      <c r="N792" s="2">
        <v>2</v>
      </c>
      <c r="O792" s="2">
        <v>0</v>
      </c>
      <c r="P792" s="2">
        <v>0</v>
      </c>
      <c r="Q792" s="2">
        <v>0</v>
      </c>
      <c r="R792" s="2">
        <v>0</v>
      </c>
      <c r="S792" s="2">
        <v>0</v>
      </c>
      <c r="T792" s="2">
        <v>4</v>
      </c>
      <c r="U792" s="2">
        <v>0</v>
      </c>
      <c r="V792" s="2">
        <v>0</v>
      </c>
      <c r="W792" s="2">
        <v>39</v>
      </c>
      <c r="X792" s="2">
        <v>0</v>
      </c>
      <c r="Y792" s="2">
        <v>0</v>
      </c>
      <c r="Z792" s="2">
        <v>1</v>
      </c>
      <c r="AA792" s="2">
        <v>1</v>
      </c>
      <c r="AB792" s="2">
        <v>2</v>
      </c>
      <c r="AC792" s="2">
        <v>2</v>
      </c>
      <c r="AD792" s="2">
        <v>0</v>
      </c>
      <c r="AE792" s="2">
        <v>0</v>
      </c>
      <c r="AF792" s="2">
        <v>0</v>
      </c>
      <c r="AG792" s="20">
        <f t="shared" si="12"/>
        <v>-500</v>
      </c>
    </row>
    <row r="793" spans="1:33" x14ac:dyDescent="0.25">
      <c r="A793">
        <v>792</v>
      </c>
      <c r="B793" s="2">
        <v>3</v>
      </c>
      <c r="C793" s="2">
        <v>24</v>
      </c>
      <c r="D793" s="2">
        <v>2</v>
      </c>
      <c r="E793" s="2">
        <v>0</v>
      </c>
      <c r="F793" s="2">
        <v>1</v>
      </c>
      <c r="G793" s="2">
        <v>0</v>
      </c>
      <c r="H793" s="2">
        <v>0</v>
      </c>
      <c r="I793" s="2">
        <v>0</v>
      </c>
      <c r="J793" s="2">
        <v>0</v>
      </c>
      <c r="K793" s="2">
        <v>6313</v>
      </c>
      <c r="L793" s="2">
        <v>4</v>
      </c>
      <c r="M793" s="2">
        <v>4</v>
      </c>
      <c r="N793" s="2">
        <v>3</v>
      </c>
      <c r="O793" s="2">
        <v>0</v>
      </c>
      <c r="P793" s="2">
        <v>1</v>
      </c>
      <c r="Q793" s="2">
        <v>0</v>
      </c>
      <c r="R793" s="2">
        <v>0</v>
      </c>
      <c r="S793" s="2">
        <v>0</v>
      </c>
      <c r="T793" s="2">
        <v>4</v>
      </c>
      <c r="U793" s="2">
        <v>0</v>
      </c>
      <c r="V793" s="2">
        <v>0</v>
      </c>
      <c r="W793" s="2">
        <v>41</v>
      </c>
      <c r="X793" s="2">
        <v>0</v>
      </c>
      <c r="Y793" s="2">
        <v>0</v>
      </c>
      <c r="Z793" s="2">
        <v>1</v>
      </c>
      <c r="AA793" s="2">
        <v>1</v>
      </c>
      <c r="AB793" s="2">
        <v>3</v>
      </c>
      <c r="AC793" s="2">
        <v>2</v>
      </c>
      <c r="AD793" s="2">
        <v>1</v>
      </c>
      <c r="AE793" s="2">
        <v>0</v>
      </c>
      <c r="AF793" s="2">
        <v>1</v>
      </c>
      <c r="AG793" s="20">
        <f t="shared" si="12"/>
        <v>100</v>
      </c>
    </row>
    <row r="794" spans="1:33" x14ac:dyDescent="0.25">
      <c r="A794">
        <v>793</v>
      </c>
      <c r="B794" s="2">
        <v>3</v>
      </c>
      <c r="C794" s="2">
        <v>6</v>
      </c>
      <c r="D794" s="2">
        <v>4</v>
      </c>
      <c r="E794" s="2">
        <v>0</v>
      </c>
      <c r="F794" s="2">
        <v>0</v>
      </c>
      <c r="G794" s="2">
        <v>1</v>
      </c>
      <c r="H794" s="2">
        <v>0</v>
      </c>
      <c r="I794" s="2">
        <v>0</v>
      </c>
      <c r="J794" s="2">
        <v>0</v>
      </c>
      <c r="K794" s="2">
        <v>1221</v>
      </c>
      <c r="L794" s="2">
        <v>4</v>
      </c>
      <c r="M794" s="2">
        <v>2</v>
      </c>
      <c r="N794" s="2">
        <v>1</v>
      </c>
      <c r="O794" s="2">
        <v>0</v>
      </c>
      <c r="P794" s="2">
        <v>0</v>
      </c>
      <c r="Q794" s="2">
        <v>1</v>
      </c>
      <c r="R794" s="2">
        <v>0</v>
      </c>
      <c r="S794" s="2">
        <v>0</v>
      </c>
      <c r="T794" s="2">
        <v>2</v>
      </c>
      <c r="U794" s="2">
        <v>0</v>
      </c>
      <c r="V794" s="2">
        <v>0</v>
      </c>
      <c r="W794" s="2">
        <v>27</v>
      </c>
      <c r="X794" s="2">
        <v>0</v>
      </c>
      <c r="Y794" s="2">
        <v>0</v>
      </c>
      <c r="Z794" s="2">
        <v>1</v>
      </c>
      <c r="AA794" s="2">
        <v>2</v>
      </c>
      <c r="AB794" s="2">
        <v>2</v>
      </c>
      <c r="AC794" s="2">
        <v>1</v>
      </c>
      <c r="AD794" s="2">
        <v>0</v>
      </c>
      <c r="AE794" s="2">
        <v>0</v>
      </c>
      <c r="AF794" s="2">
        <v>1</v>
      </c>
      <c r="AG794" s="20">
        <f t="shared" si="12"/>
        <v>100</v>
      </c>
    </row>
    <row r="795" spans="1:33" x14ac:dyDescent="0.25">
      <c r="A795">
        <v>794</v>
      </c>
      <c r="B795" s="2">
        <v>2</v>
      </c>
      <c r="C795" s="2">
        <v>24</v>
      </c>
      <c r="D795" s="2">
        <v>2</v>
      </c>
      <c r="E795" s="2">
        <v>0</v>
      </c>
      <c r="F795" s="2">
        <v>0</v>
      </c>
      <c r="G795" s="2">
        <v>1</v>
      </c>
      <c r="H795" s="2">
        <v>0</v>
      </c>
      <c r="I795" s="2">
        <v>0</v>
      </c>
      <c r="J795" s="2">
        <v>0</v>
      </c>
      <c r="K795" s="2">
        <v>2892</v>
      </c>
      <c r="L795" s="2">
        <v>0</v>
      </c>
      <c r="M795" s="2">
        <v>4</v>
      </c>
      <c r="N795" s="2">
        <v>3</v>
      </c>
      <c r="O795" s="2">
        <v>1</v>
      </c>
      <c r="P795" s="2">
        <v>0</v>
      </c>
      <c r="Q795" s="2">
        <v>0</v>
      </c>
      <c r="R795" s="2">
        <v>0</v>
      </c>
      <c r="S795" s="2">
        <v>0</v>
      </c>
      <c r="T795" s="2">
        <v>4</v>
      </c>
      <c r="U795" s="2">
        <v>0</v>
      </c>
      <c r="V795" s="2">
        <v>1</v>
      </c>
      <c r="W795" s="2">
        <v>51</v>
      </c>
      <c r="X795" s="2">
        <v>0</v>
      </c>
      <c r="Y795" s="2">
        <v>0</v>
      </c>
      <c r="Z795" s="2">
        <v>0</v>
      </c>
      <c r="AA795" s="2">
        <v>1</v>
      </c>
      <c r="AB795" s="2">
        <v>2</v>
      </c>
      <c r="AC795" s="2">
        <v>1</v>
      </c>
      <c r="AD795" s="2">
        <v>0</v>
      </c>
      <c r="AE795" s="2">
        <v>0</v>
      </c>
      <c r="AF795" s="2">
        <v>1</v>
      </c>
      <c r="AG795" s="20">
        <f t="shared" si="12"/>
        <v>100</v>
      </c>
    </row>
    <row r="796" spans="1:33" x14ac:dyDescent="0.25">
      <c r="A796">
        <v>795</v>
      </c>
      <c r="B796" s="2">
        <v>3</v>
      </c>
      <c r="C796" s="2">
        <v>24</v>
      </c>
      <c r="D796" s="2">
        <v>2</v>
      </c>
      <c r="E796" s="2">
        <v>0</v>
      </c>
      <c r="F796" s="2">
        <v>0</v>
      </c>
      <c r="G796" s="2">
        <v>1</v>
      </c>
      <c r="H796" s="2">
        <v>0</v>
      </c>
      <c r="I796" s="2">
        <v>0</v>
      </c>
      <c r="J796" s="2">
        <v>0</v>
      </c>
      <c r="K796" s="2">
        <v>3062</v>
      </c>
      <c r="L796" s="2">
        <v>2</v>
      </c>
      <c r="M796" s="2">
        <v>4</v>
      </c>
      <c r="N796" s="2">
        <v>4</v>
      </c>
      <c r="O796" s="2">
        <v>0</v>
      </c>
      <c r="P796" s="2">
        <v>1</v>
      </c>
      <c r="Q796" s="2">
        <v>0</v>
      </c>
      <c r="R796" s="2">
        <v>0</v>
      </c>
      <c r="S796" s="2">
        <v>0</v>
      </c>
      <c r="T796" s="2">
        <v>3</v>
      </c>
      <c r="U796" s="2">
        <v>0</v>
      </c>
      <c r="V796" s="2">
        <v>1</v>
      </c>
      <c r="W796" s="2">
        <v>32</v>
      </c>
      <c r="X796" s="2">
        <v>0</v>
      </c>
      <c r="Y796" s="2">
        <v>1</v>
      </c>
      <c r="Z796" s="2">
        <v>0</v>
      </c>
      <c r="AA796" s="2">
        <v>1</v>
      </c>
      <c r="AB796" s="2">
        <v>2</v>
      </c>
      <c r="AC796" s="2">
        <v>1</v>
      </c>
      <c r="AD796" s="2">
        <v>1</v>
      </c>
      <c r="AE796" s="2">
        <v>0</v>
      </c>
      <c r="AF796" s="2">
        <v>1</v>
      </c>
      <c r="AG796" s="20">
        <f t="shared" si="12"/>
        <v>100</v>
      </c>
    </row>
    <row r="797" spans="1:33" x14ac:dyDescent="0.25">
      <c r="A797">
        <v>796</v>
      </c>
      <c r="B797" s="2">
        <v>3</v>
      </c>
      <c r="C797" s="2">
        <v>9</v>
      </c>
      <c r="D797" s="2">
        <v>2</v>
      </c>
      <c r="E797" s="2">
        <v>0</v>
      </c>
      <c r="F797" s="2">
        <v>0</v>
      </c>
      <c r="G797" s="2">
        <v>1</v>
      </c>
      <c r="H797" s="2">
        <v>0</v>
      </c>
      <c r="I797" s="2">
        <v>0</v>
      </c>
      <c r="J797" s="2">
        <v>0</v>
      </c>
      <c r="K797" s="2">
        <v>2301</v>
      </c>
      <c r="L797" s="2">
        <v>1</v>
      </c>
      <c r="M797" s="2">
        <v>1</v>
      </c>
      <c r="N797" s="2">
        <v>2</v>
      </c>
      <c r="O797" s="2">
        <v>0</v>
      </c>
      <c r="P797" s="2">
        <v>0</v>
      </c>
      <c r="Q797" s="2">
        <v>0</v>
      </c>
      <c r="R797" s="2">
        <v>0</v>
      </c>
      <c r="S797" s="2">
        <v>0</v>
      </c>
      <c r="T797" s="2">
        <v>4</v>
      </c>
      <c r="U797" s="2">
        <v>0</v>
      </c>
      <c r="V797" s="2">
        <v>0</v>
      </c>
      <c r="W797" s="2">
        <v>22</v>
      </c>
      <c r="X797" s="2">
        <v>0</v>
      </c>
      <c r="Y797" s="2">
        <v>1</v>
      </c>
      <c r="Z797" s="2">
        <v>0</v>
      </c>
      <c r="AA797" s="2">
        <v>1</v>
      </c>
      <c r="AB797" s="2">
        <v>2</v>
      </c>
      <c r="AC797" s="2">
        <v>1</v>
      </c>
      <c r="AD797" s="2">
        <v>0</v>
      </c>
      <c r="AE797" s="2">
        <v>0</v>
      </c>
      <c r="AF797" s="2">
        <v>1</v>
      </c>
      <c r="AG797" s="20">
        <f t="shared" si="12"/>
        <v>100</v>
      </c>
    </row>
    <row r="798" spans="1:33" x14ac:dyDescent="0.25">
      <c r="A798">
        <v>797</v>
      </c>
      <c r="B798" s="2">
        <v>0</v>
      </c>
      <c r="C798" s="2">
        <v>18</v>
      </c>
      <c r="D798" s="2">
        <v>2</v>
      </c>
      <c r="E798" s="2">
        <v>0</v>
      </c>
      <c r="F798" s="2">
        <v>1</v>
      </c>
      <c r="G798" s="2">
        <v>0</v>
      </c>
      <c r="H798" s="2">
        <v>0</v>
      </c>
      <c r="I798" s="2">
        <v>0</v>
      </c>
      <c r="J798" s="2">
        <v>0</v>
      </c>
      <c r="K798" s="2">
        <v>7511</v>
      </c>
      <c r="L798" s="2">
        <v>4</v>
      </c>
      <c r="M798" s="2">
        <v>4</v>
      </c>
      <c r="N798" s="2">
        <v>1</v>
      </c>
      <c r="O798" s="2">
        <v>0</v>
      </c>
      <c r="P798" s="2">
        <v>1</v>
      </c>
      <c r="Q798" s="2">
        <v>0</v>
      </c>
      <c r="R798" s="2">
        <v>0</v>
      </c>
      <c r="S798" s="2">
        <v>0</v>
      </c>
      <c r="T798" s="2">
        <v>4</v>
      </c>
      <c r="U798" s="2">
        <v>0</v>
      </c>
      <c r="V798" s="2">
        <v>0</v>
      </c>
      <c r="W798" s="2">
        <v>51</v>
      </c>
      <c r="X798" s="2">
        <v>0</v>
      </c>
      <c r="Y798" s="2">
        <v>0</v>
      </c>
      <c r="Z798" s="2">
        <v>0</v>
      </c>
      <c r="AA798" s="2">
        <v>1</v>
      </c>
      <c r="AB798" s="2">
        <v>2</v>
      </c>
      <c r="AC798" s="2">
        <v>2</v>
      </c>
      <c r="AD798" s="2">
        <v>1</v>
      </c>
      <c r="AE798" s="2">
        <v>0</v>
      </c>
      <c r="AF798" s="2">
        <v>0</v>
      </c>
      <c r="AG798" s="20">
        <f t="shared" si="12"/>
        <v>-500</v>
      </c>
    </row>
    <row r="799" spans="1:33" x14ac:dyDescent="0.25">
      <c r="A799">
        <v>798</v>
      </c>
      <c r="B799" s="2">
        <v>3</v>
      </c>
      <c r="C799" s="2">
        <v>12</v>
      </c>
      <c r="D799" s="2">
        <v>4</v>
      </c>
      <c r="E799" s="2">
        <v>0</v>
      </c>
      <c r="F799" s="2">
        <v>0</v>
      </c>
      <c r="G799" s="2">
        <v>1</v>
      </c>
      <c r="H799" s="2">
        <v>0</v>
      </c>
      <c r="I799" s="2">
        <v>0</v>
      </c>
      <c r="J799" s="2">
        <v>0</v>
      </c>
      <c r="K799" s="2">
        <v>1258</v>
      </c>
      <c r="L799" s="2">
        <v>0</v>
      </c>
      <c r="M799" s="2">
        <v>1</v>
      </c>
      <c r="N799" s="2">
        <v>2</v>
      </c>
      <c r="O799" s="2">
        <v>0</v>
      </c>
      <c r="P799" s="2">
        <v>0</v>
      </c>
      <c r="Q799" s="2">
        <v>0</v>
      </c>
      <c r="R799" s="2">
        <v>0</v>
      </c>
      <c r="S799" s="2">
        <v>0</v>
      </c>
      <c r="T799" s="2">
        <v>4</v>
      </c>
      <c r="U799" s="2">
        <v>0</v>
      </c>
      <c r="V799" s="2">
        <v>0</v>
      </c>
      <c r="W799" s="2">
        <v>22</v>
      </c>
      <c r="X799" s="2">
        <v>0</v>
      </c>
      <c r="Y799" s="2">
        <v>1</v>
      </c>
      <c r="Z799" s="2">
        <v>0</v>
      </c>
      <c r="AA799" s="2">
        <v>2</v>
      </c>
      <c r="AB799" s="2">
        <v>1</v>
      </c>
      <c r="AC799" s="2">
        <v>1</v>
      </c>
      <c r="AD799" s="2">
        <v>0</v>
      </c>
      <c r="AE799" s="2">
        <v>0</v>
      </c>
      <c r="AF799" s="2">
        <v>1</v>
      </c>
      <c r="AG799" s="20">
        <f t="shared" si="12"/>
        <v>100</v>
      </c>
    </row>
    <row r="800" spans="1:33" x14ac:dyDescent="0.25">
      <c r="A800">
        <v>799</v>
      </c>
      <c r="B800" s="2">
        <v>3</v>
      </c>
      <c r="C800" s="2">
        <v>24</v>
      </c>
      <c r="D800" s="2">
        <v>3</v>
      </c>
      <c r="E800" s="2">
        <v>1</v>
      </c>
      <c r="F800" s="2">
        <v>0</v>
      </c>
      <c r="G800" s="2">
        <v>0</v>
      </c>
      <c r="H800" s="2">
        <v>0</v>
      </c>
      <c r="I800" s="2">
        <v>0</v>
      </c>
      <c r="J800" s="2">
        <v>0</v>
      </c>
      <c r="K800" s="2">
        <v>717</v>
      </c>
      <c r="L800" s="2">
        <v>4</v>
      </c>
      <c r="M800" s="2">
        <v>4</v>
      </c>
      <c r="N800" s="2">
        <v>4</v>
      </c>
      <c r="O800" s="2">
        <v>0</v>
      </c>
      <c r="P800" s="2">
        <v>0</v>
      </c>
      <c r="Q800" s="2">
        <v>1</v>
      </c>
      <c r="R800" s="2">
        <v>0</v>
      </c>
      <c r="S800" s="2">
        <v>0</v>
      </c>
      <c r="T800" s="2">
        <v>4</v>
      </c>
      <c r="U800" s="2">
        <v>0</v>
      </c>
      <c r="V800" s="2">
        <v>0</v>
      </c>
      <c r="W800" s="2">
        <v>54</v>
      </c>
      <c r="X800" s="2">
        <v>0</v>
      </c>
      <c r="Y800" s="2">
        <v>0</v>
      </c>
      <c r="Z800" s="2">
        <v>1</v>
      </c>
      <c r="AA800" s="2">
        <v>2</v>
      </c>
      <c r="AB800" s="2">
        <v>2</v>
      </c>
      <c r="AC800" s="2">
        <v>1</v>
      </c>
      <c r="AD800" s="2">
        <v>1</v>
      </c>
      <c r="AE800" s="2">
        <v>0</v>
      </c>
      <c r="AF800" s="2">
        <v>1</v>
      </c>
      <c r="AG800" s="20">
        <f t="shared" si="12"/>
        <v>100</v>
      </c>
    </row>
    <row r="801" spans="1:33" x14ac:dyDescent="0.25">
      <c r="A801">
        <v>800</v>
      </c>
      <c r="B801" s="2">
        <v>1</v>
      </c>
      <c r="C801" s="2">
        <v>9</v>
      </c>
      <c r="D801" s="2">
        <v>2</v>
      </c>
      <c r="E801" s="2">
        <v>1</v>
      </c>
      <c r="F801" s="2">
        <v>0</v>
      </c>
      <c r="G801" s="2">
        <v>0</v>
      </c>
      <c r="H801" s="2">
        <v>0</v>
      </c>
      <c r="I801" s="2">
        <v>0</v>
      </c>
      <c r="J801" s="2">
        <v>0</v>
      </c>
      <c r="K801" s="2">
        <v>1549</v>
      </c>
      <c r="L801" s="2">
        <v>4</v>
      </c>
      <c r="M801" s="2">
        <v>1</v>
      </c>
      <c r="N801" s="2">
        <v>4</v>
      </c>
      <c r="O801" s="2">
        <v>0</v>
      </c>
      <c r="P801" s="2">
        <v>1</v>
      </c>
      <c r="Q801" s="2">
        <v>0</v>
      </c>
      <c r="R801" s="2">
        <v>0</v>
      </c>
      <c r="S801" s="2">
        <v>0</v>
      </c>
      <c r="T801" s="2">
        <v>2</v>
      </c>
      <c r="U801" s="2">
        <v>1</v>
      </c>
      <c r="V801" s="2">
        <v>0</v>
      </c>
      <c r="W801" s="2">
        <v>35</v>
      </c>
      <c r="X801" s="2">
        <v>0</v>
      </c>
      <c r="Y801" s="2">
        <v>0</v>
      </c>
      <c r="Z801" s="2">
        <v>1</v>
      </c>
      <c r="AA801" s="2">
        <v>1</v>
      </c>
      <c r="AB801" s="2">
        <v>0</v>
      </c>
      <c r="AC801" s="2">
        <v>1</v>
      </c>
      <c r="AD801" s="2">
        <v>0</v>
      </c>
      <c r="AE801" s="2">
        <v>0</v>
      </c>
      <c r="AF801" s="2">
        <v>1</v>
      </c>
      <c r="AG801" s="20">
        <f t="shared" si="12"/>
        <v>100</v>
      </c>
    </row>
    <row r="802" spans="1:33" x14ac:dyDescent="0.25">
      <c r="A802">
        <v>801</v>
      </c>
      <c r="B802" s="2">
        <v>3</v>
      </c>
      <c r="C802" s="2">
        <v>24</v>
      </c>
      <c r="D802" s="2">
        <v>4</v>
      </c>
      <c r="E802" s="2">
        <v>0</v>
      </c>
      <c r="F802" s="2">
        <v>0</v>
      </c>
      <c r="G802" s="2">
        <v>0</v>
      </c>
      <c r="H802" s="2">
        <v>0</v>
      </c>
      <c r="I802" s="2">
        <v>1</v>
      </c>
      <c r="J802" s="2">
        <v>0</v>
      </c>
      <c r="K802" s="2">
        <v>1597</v>
      </c>
      <c r="L802" s="2">
        <v>0</v>
      </c>
      <c r="M802" s="2">
        <v>4</v>
      </c>
      <c r="N802" s="2">
        <v>4</v>
      </c>
      <c r="O802" s="2">
        <v>0</v>
      </c>
      <c r="P802" s="2">
        <v>1</v>
      </c>
      <c r="Q802" s="2">
        <v>0</v>
      </c>
      <c r="R802" s="2">
        <v>0</v>
      </c>
      <c r="S802" s="2">
        <v>0</v>
      </c>
      <c r="T802" s="2">
        <v>4</v>
      </c>
      <c r="U802" s="2">
        <v>0</v>
      </c>
      <c r="V802" s="2">
        <v>1</v>
      </c>
      <c r="W802" s="2">
        <v>54</v>
      </c>
      <c r="X802" s="2">
        <v>0</v>
      </c>
      <c r="Y802" s="2">
        <v>0</v>
      </c>
      <c r="Z802" s="2">
        <v>0</v>
      </c>
      <c r="AA802" s="2">
        <v>2</v>
      </c>
      <c r="AB802" s="2">
        <v>2</v>
      </c>
      <c r="AC802" s="2">
        <v>2</v>
      </c>
      <c r="AD802" s="2">
        <v>0</v>
      </c>
      <c r="AE802" s="2">
        <v>0</v>
      </c>
      <c r="AF802" s="2">
        <v>1</v>
      </c>
      <c r="AG802" s="20">
        <f t="shared" si="12"/>
        <v>100</v>
      </c>
    </row>
    <row r="803" spans="1:33" x14ac:dyDescent="0.25">
      <c r="A803">
        <v>802</v>
      </c>
      <c r="B803" s="2">
        <v>1</v>
      </c>
      <c r="C803" s="2">
        <v>18</v>
      </c>
      <c r="D803" s="2">
        <v>4</v>
      </c>
      <c r="E803" s="2">
        <v>0</v>
      </c>
      <c r="F803" s="2">
        <v>0</v>
      </c>
      <c r="G803" s="2">
        <v>0</v>
      </c>
      <c r="H803" s="2">
        <v>1</v>
      </c>
      <c r="I803" s="2">
        <v>0</v>
      </c>
      <c r="J803" s="2">
        <v>0</v>
      </c>
      <c r="K803" s="2">
        <v>1795</v>
      </c>
      <c r="L803" s="2">
        <v>0</v>
      </c>
      <c r="M803" s="2">
        <v>4</v>
      </c>
      <c r="N803" s="2">
        <v>3</v>
      </c>
      <c r="O803" s="2">
        <v>0</v>
      </c>
      <c r="P803" s="2">
        <v>0</v>
      </c>
      <c r="Q803" s="2">
        <v>0</v>
      </c>
      <c r="R803" s="2">
        <v>0</v>
      </c>
      <c r="S803" s="2">
        <v>1</v>
      </c>
      <c r="T803" s="2">
        <v>4</v>
      </c>
      <c r="U803" s="2">
        <v>1</v>
      </c>
      <c r="V803" s="2">
        <v>0</v>
      </c>
      <c r="W803" s="2">
        <v>48</v>
      </c>
      <c r="X803" s="2">
        <v>1</v>
      </c>
      <c r="Y803" s="2">
        <v>1</v>
      </c>
      <c r="Z803" s="2">
        <v>0</v>
      </c>
      <c r="AA803" s="2">
        <v>2</v>
      </c>
      <c r="AB803" s="2">
        <v>1</v>
      </c>
      <c r="AC803" s="2">
        <v>1</v>
      </c>
      <c r="AD803" s="2">
        <v>1</v>
      </c>
      <c r="AE803" s="2">
        <v>0</v>
      </c>
      <c r="AF803" s="2">
        <v>1</v>
      </c>
      <c r="AG803" s="20">
        <f t="shared" si="12"/>
        <v>100</v>
      </c>
    </row>
    <row r="804" spans="1:33" x14ac:dyDescent="0.25">
      <c r="A804">
        <v>803</v>
      </c>
      <c r="B804" s="2">
        <v>0</v>
      </c>
      <c r="C804" s="2">
        <v>20</v>
      </c>
      <c r="D804" s="2">
        <v>4</v>
      </c>
      <c r="E804" s="2">
        <v>0</v>
      </c>
      <c r="F804" s="2">
        <v>0</v>
      </c>
      <c r="G804" s="2">
        <v>1</v>
      </c>
      <c r="H804" s="2">
        <v>0</v>
      </c>
      <c r="I804" s="2">
        <v>0</v>
      </c>
      <c r="J804" s="2">
        <v>0</v>
      </c>
      <c r="K804" s="2">
        <v>4272</v>
      </c>
      <c r="L804" s="2">
        <v>0</v>
      </c>
      <c r="M804" s="2">
        <v>4</v>
      </c>
      <c r="N804" s="2">
        <v>1</v>
      </c>
      <c r="O804" s="2">
        <v>0</v>
      </c>
      <c r="P804" s="2">
        <v>0</v>
      </c>
      <c r="Q804" s="2">
        <v>0</v>
      </c>
      <c r="R804" s="2">
        <v>0</v>
      </c>
      <c r="S804" s="2">
        <v>0</v>
      </c>
      <c r="T804" s="2">
        <v>4</v>
      </c>
      <c r="U804" s="2">
        <v>0</v>
      </c>
      <c r="V804" s="2">
        <v>0</v>
      </c>
      <c r="W804" s="2">
        <v>24</v>
      </c>
      <c r="X804" s="2">
        <v>0</v>
      </c>
      <c r="Y804" s="2">
        <v>0</v>
      </c>
      <c r="Z804" s="2">
        <v>1</v>
      </c>
      <c r="AA804" s="2">
        <v>2</v>
      </c>
      <c r="AB804" s="2">
        <v>2</v>
      </c>
      <c r="AC804" s="2">
        <v>1</v>
      </c>
      <c r="AD804" s="2">
        <v>0</v>
      </c>
      <c r="AE804" s="2">
        <v>0</v>
      </c>
      <c r="AF804" s="2">
        <v>1</v>
      </c>
      <c r="AG804" s="20">
        <f t="shared" si="12"/>
        <v>100</v>
      </c>
    </row>
    <row r="805" spans="1:33" x14ac:dyDescent="0.25">
      <c r="A805">
        <v>804</v>
      </c>
      <c r="B805" s="2">
        <v>3</v>
      </c>
      <c r="C805" s="2">
        <v>12</v>
      </c>
      <c r="D805" s="2">
        <v>4</v>
      </c>
      <c r="E805" s="2">
        <v>0</v>
      </c>
      <c r="F805" s="2">
        <v>0</v>
      </c>
      <c r="G805" s="2">
        <v>0</v>
      </c>
      <c r="H805" s="2">
        <v>1</v>
      </c>
      <c r="I805" s="2">
        <v>0</v>
      </c>
      <c r="J805" s="2">
        <v>0</v>
      </c>
      <c r="K805" s="2">
        <v>976</v>
      </c>
      <c r="L805" s="2">
        <v>4</v>
      </c>
      <c r="M805" s="2">
        <v>4</v>
      </c>
      <c r="N805" s="2">
        <v>4</v>
      </c>
      <c r="O805" s="2">
        <v>0</v>
      </c>
      <c r="P805" s="2">
        <v>1</v>
      </c>
      <c r="Q805" s="2">
        <v>0</v>
      </c>
      <c r="R805" s="2">
        <v>0</v>
      </c>
      <c r="S805" s="2">
        <v>0</v>
      </c>
      <c r="T805" s="2">
        <v>4</v>
      </c>
      <c r="U805" s="2">
        <v>0</v>
      </c>
      <c r="V805" s="2">
        <v>0</v>
      </c>
      <c r="W805" s="2">
        <v>35</v>
      </c>
      <c r="X805" s="2">
        <v>0</v>
      </c>
      <c r="Y805" s="2">
        <v>0</v>
      </c>
      <c r="Z805" s="2">
        <v>1</v>
      </c>
      <c r="AA805" s="2">
        <v>2</v>
      </c>
      <c r="AB805" s="2">
        <v>2</v>
      </c>
      <c r="AC805" s="2">
        <v>1</v>
      </c>
      <c r="AD805" s="2">
        <v>0</v>
      </c>
      <c r="AE805" s="2">
        <v>0</v>
      </c>
      <c r="AF805" s="2">
        <v>1</v>
      </c>
      <c r="AG805" s="20">
        <f t="shared" si="12"/>
        <v>100</v>
      </c>
    </row>
    <row r="806" spans="1:33" x14ac:dyDescent="0.25">
      <c r="A806">
        <v>805</v>
      </c>
      <c r="B806" s="2">
        <v>1</v>
      </c>
      <c r="C806" s="2">
        <v>12</v>
      </c>
      <c r="D806" s="2">
        <v>2</v>
      </c>
      <c r="E806" s="2">
        <v>1</v>
      </c>
      <c r="F806" s="2">
        <v>0</v>
      </c>
      <c r="G806" s="2">
        <v>0</v>
      </c>
      <c r="H806" s="2">
        <v>0</v>
      </c>
      <c r="I806" s="2">
        <v>0</v>
      </c>
      <c r="J806" s="2">
        <v>0</v>
      </c>
      <c r="K806" s="2">
        <v>7472</v>
      </c>
      <c r="L806" s="2">
        <v>4</v>
      </c>
      <c r="M806" s="2">
        <v>0</v>
      </c>
      <c r="N806" s="2">
        <v>1</v>
      </c>
      <c r="O806" s="2">
        <v>0</v>
      </c>
      <c r="P806" s="2">
        <v>0</v>
      </c>
      <c r="Q806" s="2">
        <v>0</v>
      </c>
      <c r="R806" s="2">
        <v>0</v>
      </c>
      <c r="S806" s="2">
        <v>0</v>
      </c>
      <c r="T806" s="2">
        <v>2</v>
      </c>
      <c r="U806" s="2">
        <v>1</v>
      </c>
      <c r="V806" s="2">
        <v>0</v>
      </c>
      <c r="W806" s="2">
        <v>24</v>
      </c>
      <c r="X806" s="2">
        <v>0</v>
      </c>
      <c r="Y806" s="2">
        <v>1</v>
      </c>
      <c r="Z806" s="2">
        <v>0</v>
      </c>
      <c r="AA806" s="2">
        <v>1</v>
      </c>
      <c r="AB806" s="2">
        <v>0</v>
      </c>
      <c r="AC806" s="2">
        <v>1</v>
      </c>
      <c r="AD806" s="2">
        <v>0</v>
      </c>
      <c r="AE806" s="2">
        <v>0</v>
      </c>
      <c r="AF806" s="2">
        <v>1</v>
      </c>
      <c r="AG806" s="20">
        <f t="shared" si="12"/>
        <v>100</v>
      </c>
    </row>
    <row r="807" spans="1:33" x14ac:dyDescent="0.25">
      <c r="A807">
        <v>806</v>
      </c>
      <c r="B807" s="2">
        <v>0</v>
      </c>
      <c r="C807" s="2">
        <v>36</v>
      </c>
      <c r="D807" s="2">
        <v>2</v>
      </c>
      <c r="E807" s="2">
        <v>1</v>
      </c>
      <c r="F807" s="2">
        <v>0</v>
      </c>
      <c r="G807" s="2">
        <v>0</v>
      </c>
      <c r="H807" s="2">
        <v>0</v>
      </c>
      <c r="I807" s="2">
        <v>0</v>
      </c>
      <c r="J807" s="2">
        <v>0</v>
      </c>
      <c r="K807" s="2">
        <v>9271</v>
      </c>
      <c r="L807" s="2">
        <v>0</v>
      </c>
      <c r="M807" s="2">
        <v>3</v>
      </c>
      <c r="N807" s="2">
        <v>2</v>
      </c>
      <c r="O807" s="2">
        <v>0</v>
      </c>
      <c r="P807" s="2">
        <v>1</v>
      </c>
      <c r="Q807" s="2">
        <v>0</v>
      </c>
      <c r="R807" s="2">
        <v>0</v>
      </c>
      <c r="S807" s="2">
        <v>0</v>
      </c>
      <c r="T807" s="2">
        <v>1</v>
      </c>
      <c r="U807" s="2">
        <v>0</v>
      </c>
      <c r="V807" s="2">
        <v>0</v>
      </c>
      <c r="W807" s="2">
        <v>24</v>
      </c>
      <c r="X807" s="2">
        <v>0</v>
      </c>
      <c r="Y807" s="2">
        <v>0</v>
      </c>
      <c r="Z807" s="2">
        <v>1</v>
      </c>
      <c r="AA807" s="2">
        <v>1</v>
      </c>
      <c r="AB807" s="2">
        <v>2</v>
      </c>
      <c r="AC807" s="2">
        <v>1</v>
      </c>
      <c r="AD807" s="2">
        <v>1</v>
      </c>
      <c r="AE807" s="2">
        <v>0</v>
      </c>
      <c r="AF807" s="2">
        <v>0</v>
      </c>
      <c r="AG807" s="20">
        <f t="shared" si="12"/>
        <v>-500</v>
      </c>
    </row>
    <row r="808" spans="1:33" x14ac:dyDescent="0.25">
      <c r="A808">
        <v>807</v>
      </c>
      <c r="B808" s="2">
        <v>1</v>
      </c>
      <c r="C808" s="2">
        <v>6</v>
      </c>
      <c r="D808" s="2">
        <v>2</v>
      </c>
      <c r="E808" s="2">
        <v>0</v>
      </c>
      <c r="F808" s="2">
        <v>0</v>
      </c>
      <c r="G808" s="2">
        <v>0</v>
      </c>
      <c r="H808" s="2">
        <v>1</v>
      </c>
      <c r="I808" s="2">
        <v>0</v>
      </c>
      <c r="J808" s="2">
        <v>0</v>
      </c>
      <c r="K808" s="2">
        <v>590</v>
      </c>
      <c r="L808" s="2">
        <v>0</v>
      </c>
      <c r="M808" s="2">
        <v>1</v>
      </c>
      <c r="N808" s="2">
        <v>3</v>
      </c>
      <c r="O808" s="2">
        <v>0</v>
      </c>
      <c r="P808" s="2">
        <v>0</v>
      </c>
      <c r="Q808" s="2">
        <v>1</v>
      </c>
      <c r="R808" s="2">
        <v>0</v>
      </c>
      <c r="S808" s="2">
        <v>0</v>
      </c>
      <c r="T808" s="2">
        <v>3</v>
      </c>
      <c r="U808" s="2">
        <v>1</v>
      </c>
      <c r="V808" s="2">
        <v>0</v>
      </c>
      <c r="W808" s="2">
        <v>26</v>
      </c>
      <c r="X808" s="2">
        <v>0</v>
      </c>
      <c r="Y808" s="2">
        <v>0</v>
      </c>
      <c r="Z808" s="2">
        <v>1</v>
      </c>
      <c r="AA808" s="2">
        <v>1</v>
      </c>
      <c r="AB808" s="2">
        <v>1</v>
      </c>
      <c r="AC808" s="2">
        <v>1</v>
      </c>
      <c r="AD808" s="2">
        <v>0</v>
      </c>
      <c r="AE808" s="2">
        <v>1</v>
      </c>
      <c r="AF808" s="2">
        <v>1</v>
      </c>
      <c r="AG808" s="20">
        <f t="shared" si="12"/>
        <v>100</v>
      </c>
    </row>
    <row r="809" spans="1:33" x14ac:dyDescent="0.25">
      <c r="A809">
        <v>808</v>
      </c>
      <c r="B809" s="2">
        <v>3</v>
      </c>
      <c r="C809" s="2">
        <v>12</v>
      </c>
      <c r="D809" s="2">
        <v>4</v>
      </c>
      <c r="E809" s="2">
        <v>0</v>
      </c>
      <c r="F809" s="2">
        <v>0</v>
      </c>
      <c r="G809" s="2">
        <v>0</v>
      </c>
      <c r="H809" s="2">
        <v>1</v>
      </c>
      <c r="I809" s="2">
        <v>0</v>
      </c>
      <c r="J809" s="2">
        <v>0</v>
      </c>
      <c r="K809" s="2">
        <v>930</v>
      </c>
      <c r="L809" s="2">
        <v>4</v>
      </c>
      <c r="M809" s="2">
        <v>4</v>
      </c>
      <c r="N809" s="2">
        <v>4</v>
      </c>
      <c r="O809" s="2">
        <v>0</v>
      </c>
      <c r="P809" s="2">
        <v>1</v>
      </c>
      <c r="Q809" s="2">
        <v>0</v>
      </c>
      <c r="R809" s="2">
        <v>0</v>
      </c>
      <c r="S809" s="2">
        <v>0</v>
      </c>
      <c r="T809" s="2">
        <v>4</v>
      </c>
      <c r="U809" s="2">
        <v>1</v>
      </c>
      <c r="V809" s="2">
        <v>0</v>
      </c>
      <c r="W809" s="2">
        <v>65</v>
      </c>
      <c r="X809" s="2">
        <v>0</v>
      </c>
      <c r="Y809" s="2">
        <v>0</v>
      </c>
      <c r="Z809" s="2">
        <v>1</v>
      </c>
      <c r="AA809" s="2">
        <v>4</v>
      </c>
      <c r="AB809" s="2">
        <v>2</v>
      </c>
      <c r="AC809" s="2">
        <v>1</v>
      </c>
      <c r="AD809" s="2">
        <v>0</v>
      </c>
      <c r="AE809" s="2">
        <v>0</v>
      </c>
      <c r="AF809" s="2">
        <v>1</v>
      </c>
      <c r="AG809" s="20">
        <f t="shared" si="12"/>
        <v>100</v>
      </c>
    </row>
    <row r="810" spans="1:33" x14ac:dyDescent="0.25">
      <c r="A810">
        <v>809</v>
      </c>
      <c r="B810" s="2">
        <v>1</v>
      </c>
      <c r="C810" s="2">
        <v>42</v>
      </c>
      <c r="D810" s="2">
        <v>1</v>
      </c>
      <c r="E810" s="2">
        <v>0</v>
      </c>
      <c r="F810" s="2">
        <v>1</v>
      </c>
      <c r="G810" s="2">
        <v>0</v>
      </c>
      <c r="H810" s="2">
        <v>0</v>
      </c>
      <c r="I810" s="2">
        <v>0</v>
      </c>
      <c r="J810" s="2">
        <v>0</v>
      </c>
      <c r="K810" s="2">
        <v>9283</v>
      </c>
      <c r="L810" s="2">
        <v>0</v>
      </c>
      <c r="M810" s="2">
        <v>0</v>
      </c>
      <c r="N810" s="2">
        <v>1</v>
      </c>
      <c r="O810" s="2">
        <v>0</v>
      </c>
      <c r="P810" s="2">
        <v>1</v>
      </c>
      <c r="Q810" s="2">
        <v>0</v>
      </c>
      <c r="R810" s="2">
        <v>0</v>
      </c>
      <c r="S810" s="2">
        <v>0</v>
      </c>
      <c r="T810" s="2">
        <v>2</v>
      </c>
      <c r="U810" s="2">
        <v>0</v>
      </c>
      <c r="V810" s="2">
        <v>1</v>
      </c>
      <c r="W810" s="2">
        <v>55</v>
      </c>
      <c r="X810" s="2">
        <v>1</v>
      </c>
      <c r="Y810" s="2">
        <v>0</v>
      </c>
      <c r="Z810" s="2">
        <v>0</v>
      </c>
      <c r="AA810" s="2">
        <v>1</v>
      </c>
      <c r="AB810" s="2">
        <v>3</v>
      </c>
      <c r="AC810" s="2">
        <v>1</v>
      </c>
      <c r="AD810" s="2">
        <v>1</v>
      </c>
      <c r="AE810" s="2">
        <v>0</v>
      </c>
      <c r="AF810" s="2">
        <v>1</v>
      </c>
      <c r="AG810" s="20">
        <f t="shared" si="12"/>
        <v>100</v>
      </c>
    </row>
    <row r="811" spans="1:33" x14ac:dyDescent="0.25">
      <c r="A811">
        <v>810</v>
      </c>
      <c r="B811" s="2">
        <v>1</v>
      </c>
      <c r="C811" s="2">
        <v>15</v>
      </c>
      <c r="D811" s="2">
        <v>0</v>
      </c>
      <c r="E811" s="2">
        <v>1</v>
      </c>
      <c r="F811" s="2">
        <v>0</v>
      </c>
      <c r="G811" s="2">
        <v>0</v>
      </c>
      <c r="H811" s="2">
        <v>0</v>
      </c>
      <c r="I811" s="2">
        <v>0</v>
      </c>
      <c r="J811" s="2">
        <v>0</v>
      </c>
      <c r="K811" s="2">
        <v>1778</v>
      </c>
      <c r="L811" s="2">
        <v>0</v>
      </c>
      <c r="M811" s="2">
        <v>1</v>
      </c>
      <c r="N811" s="2">
        <v>2</v>
      </c>
      <c r="O811" s="2">
        <v>0</v>
      </c>
      <c r="P811" s="2">
        <v>0</v>
      </c>
      <c r="Q811" s="2">
        <v>0</v>
      </c>
      <c r="R811" s="2">
        <v>0</v>
      </c>
      <c r="S811" s="2">
        <v>0</v>
      </c>
      <c r="T811" s="2">
        <v>1</v>
      </c>
      <c r="U811" s="2">
        <v>1</v>
      </c>
      <c r="V811" s="2">
        <v>0</v>
      </c>
      <c r="W811" s="2">
        <v>26</v>
      </c>
      <c r="X811" s="2">
        <v>0</v>
      </c>
      <c r="Y811" s="2">
        <v>1</v>
      </c>
      <c r="Z811" s="2">
        <v>0</v>
      </c>
      <c r="AA811" s="2">
        <v>2</v>
      </c>
      <c r="AB811" s="2">
        <v>0</v>
      </c>
      <c r="AC811" s="2">
        <v>1</v>
      </c>
      <c r="AD811" s="2">
        <v>0</v>
      </c>
      <c r="AE811" s="2">
        <v>0</v>
      </c>
      <c r="AF811" s="2">
        <v>0</v>
      </c>
      <c r="AG811" s="20">
        <f t="shared" si="12"/>
        <v>-500</v>
      </c>
    </row>
    <row r="812" spans="1:33" x14ac:dyDescent="0.25">
      <c r="A812">
        <v>811</v>
      </c>
      <c r="B812" s="2">
        <v>1</v>
      </c>
      <c r="C812" s="2">
        <v>8</v>
      </c>
      <c r="D812" s="2">
        <v>2</v>
      </c>
      <c r="E812" s="2">
        <v>0</v>
      </c>
      <c r="F812" s="2">
        <v>0</v>
      </c>
      <c r="G812" s="2">
        <v>0</v>
      </c>
      <c r="H812" s="2">
        <v>0</v>
      </c>
      <c r="I812" s="2">
        <v>0</v>
      </c>
      <c r="J812" s="2">
        <v>1</v>
      </c>
      <c r="K812" s="2">
        <v>907</v>
      </c>
      <c r="L812" s="2">
        <v>0</v>
      </c>
      <c r="M812" s="2">
        <v>1</v>
      </c>
      <c r="N812" s="2">
        <v>3</v>
      </c>
      <c r="O812" s="2">
        <v>0</v>
      </c>
      <c r="P812" s="2">
        <v>0</v>
      </c>
      <c r="Q812" s="2">
        <v>1</v>
      </c>
      <c r="R812" s="2">
        <v>0</v>
      </c>
      <c r="S812" s="2">
        <v>0</v>
      </c>
      <c r="T812" s="2">
        <v>2</v>
      </c>
      <c r="U812" s="2">
        <v>1</v>
      </c>
      <c r="V812" s="2">
        <v>0</v>
      </c>
      <c r="W812" s="2">
        <v>26</v>
      </c>
      <c r="X812" s="2">
        <v>0</v>
      </c>
      <c r="Y812" s="2">
        <v>0</v>
      </c>
      <c r="Z812" s="2">
        <v>1</v>
      </c>
      <c r="AA812" s="2">
        <v>1</v>
      </c>
      <c r="AB812" s="2">
        <v>2</v>
      </c>
      <c r="AC812" s="2">
        <v>1</v>
      </c>
      <c r="AD812" s="2">
        <v>1</v>
      </c>
      <c r="AE812" s="2">
        <v>0</v>
      </c>
      <c r="AF812" s="2">
        <v>1</v>
      </c>
      <c r="AG812" s="20">
        <f t="shared" si="12"/>
        <v>100</v>
      </c>
    </row>
    <row r="813" spans="1:33" x14ac:dyDescent="0.25">
      <c r="A813">
        <v>812</v>
      </c>
      <c r="B813" s="2">
        <v>1</v>
      </c>
      <c r="C813" s="2">
        <v>6</v>
      </c>
      <c r="D813" s="2">
        <v>2</v>
      </c>
      <c r="E813" s="2">
        <v>0</v>
      </c>
      <c r="F813" s="2">
        <v>0</v>
      </c>
      <c r="G813" s="2">
        <v>0</v>
      </c>
      <c r="H813" s="2">
        <v>1</v>
      </c>
      <c r="I813" s="2">
        <v>0</v>
      </c>
      <c r="J813" s="2">
        <v>0</v>
      </c>
      <c r="K813" s="2">
        <v>484</v>
      </c>
      <c r="L813" s="2">
        <v>0</v>
      </c>
      <c r="M813" s="2">
        <v>3</v>
      </c>
      <c r="N813" s="2">
        <v>3</v>
      </c>
      <c r="O813" s="2">
        <v>0</v>
      </c>
      <c r="P813" s="2">
        <v>0</v>
      </c>
      <c r="Q813" s="2">
        <v>1</v>
      </c>
      <c r="R813" s="2">
        <v>0</v>
      </c>
      <c r="S813" s="2">
        <v>1</v>
      </c>
      <c r="T813" s="2">
        <v>3</v>
      </c>
      <c r="U813" s="2">
        <v>1</v>
      </c>
      <c r="V813" s="2">
        <v>0</v>
      </c>
      <c r="W813" s="2">
        <v>28</v>
      </c>
      <c r="X813" s="2">
        <v>1</v>
      </c>
      <c r="Y813" s="2">
        <v>0</v>
      </c>
      <c r="Z813" s="2">
        <v>1</v>
      </c>
      <c r="AA813" s="2">
        <v>1</v>
      </c>
      <c r="AB813" s="2">
        <v>1</v>
      </c>
      <c r="AC813" s="2">
        <v>1</v>
      </c>
      <c r="AD813" s="2">
        <v>0</v>
      </c>
      <c r="AE813" s="2">
        <v>0</v>
      </c>
      <c r="AF813" s="2">
        <v>1</v>
      </c>
      <c r="AG813" s="20">
        <f t="shared" si="12"/>
        <v>100</v>
      </c>
    </row>
    <row r="814" spans="1:33" x14ac:dyDescent="0.25">
      <c r="A814">
        <v>813</v>
      </c>
      <c r="B814" s="2">
        <v>0</v>
      </c>
      <c r="C814" s="2">
        <v>36</v>
      </c>
      <c r="D814" s="2">
        <v>4</v>
      </c>
      <c r="E814" s="2">
        <v>0</v>
      </c>
      <c r="F814" s="2">
        <v>1</v>
      </c>
      <c r="G814" s="2">
        <v>0</v>
      </c>
      <c r="H814" s="2">
        <v>0</v>
      </c>
      <c r="I814" s="2">
        <v>0</v>
      </c>
      <c r="J814" s="2">
        <v>0</v>
      </c>
      <c r="K814" s="2">
        <v>9629</v>
      </c>
      <c r="L814" s="2">
        <v>0</v>
      </c>
      <c r="M814" s="2">
        <v>3</v>
      </c>
      <c r="N814" s="2">
        <v>4</v>
      </c>
      <c r="O814" s="2">
        <v>0</v>
      </c>
      <c r="P814" s="2">
        <v>1</v>
      </c>
      <c r="Q814" s="2">
        <v>0</v>
      </c>
      <c r="R814" s="2">
        <v>0</v>
      </c>
      <c r="S814" s="2">
        <v>0</v>
      </c>
      <c r="T814" s="2">
        <v>4</v>
      </c>
      <c r="U814" s="2">
        <v>0</v>
      </c>
      <c r="V814" s="2">
        <v>0</v>
      </c>
      <c r="W814" s="2">
        <v>24</v>
      </c>
      <c r="X814" s="2">
        <v>0</v>
      </c>
      <c r="Y814" s="2">
        <v>0</v>
      </c>
      <c r="Z814" s="2">
        <v>1</v>
      </c>
      <c r="AA814" s="2">
        <v>2</v>
      </c>
      <c r="AB814" s="2">
        <v>2</v>
      </c>
      <c r="AC814" s="2">
        <v>1</v>
      </c>
      <c r="AD814" s="2">
        <v>1</v>
      </c>
      <c r="AE814" s="2">
        <v>0</v>
      </c>
      <c r="AF814" s="2">
        <v>0</v>
      </c>
      <c r="AG814" s="20">
        <f t="shared" si="12"/>
        <v>-500</v>
      </c>
    </row>
    <row r="815" spans="1:33" x14ac:dyDescent="0.25">
      <c r="A815">
        <v>814</v>
      </c>
      <c r="B815" s="2">
        <v>0</v>
      </c>
      <c r="C815" s="2">
        <v>48</v>
      </c>
      <c r="D815" s="2">
        <v>2</v>
      </c>
      <c r="E815" s="2">
        <v>0</v>
      </c>
      <c r="F815" s="2">
        <v>0</v>
      </c>
      <c r="G815" s="2">
        <v>0</v>
      </c>
      <c r="H815" s="2">
        <v>0</v>
      </c>
      <c r="I815" s="2">
        <v>0</v>
      </c>
      <c r="J815" s="2">
        <v>0</v>
      </c>
      <c r="K815" s="2">
        <v>3051</v>
      </c>
      <c r="L815" s="2">
        <v>0</v>
      </c>
      <c r="M815" s="2">
        <v>2</v>
      </c>
      <c r="N815" s="2">
        <v>3</v>
      </c>
      <c r="O815" s="2">
        <v>0</v>
      </c>
      <c r="P815" s="2">
        <v>1</v>
      </c>
      <c r="Q815" s="2">
        <v>0</v>
      </c>
      <c r="R815" s="2">
        <v>0</v>
      </c>
      <c r="S815" s="2">
        <v>0</v>
      </c>
      <c r="T815" s="2">
        <v>4</v>
      </c>
      <c r="U815" s="2">
        <v>0</v>
      </c>
      <c r="V815" s="2">
        <v>0</v>
      </c>
      <c r="W815" s="2">
        <v>54</v>
      </c>
      <c r="X815" s="2">
        <v>0</v>
      </c>
      <c r="Y815" s="2">
        <v>0</v>
      </c>
      <c r="Z815" s="2">
        <v>1</v>
      </c>
      <c r="AA815" s="2">
        <v>1</v>
      </c>
      <c r="AB815" s="2">
        <v>2</v>
      </c>
      <c r="AC815" s="2">
        <v>1</v>
      </c>
      <c r="AD815" s="2">
        <v>0</v>
      </c>
      <c r="AE815" s="2">
        <v>0</v>
      </c>
      <c r="AF815" s="2">
        <v>0</v>
      </c>
      <c r="AG815" s="20">
        <f t="shared" si="12"/>
        <v>-500</v>
      </c>
    </row>
    <row r="816" spans="1:33" x14ac:dyDescent="0.25">
      <c r="A816">
        <v>815</v>
      </c>
      <c r="B816" s="2">
        <v>0</v>
      </c>
      <c r="C816" s="2">
        <v>48</v>
      </c>
      <c r="D816" s="2">
        <v>2</v>
      </c>
      <c r="E816" s="2">
        <v>1</v>
      </c>
      <c r="F816" s="2">
        <v>0</v>
      </c>
      <c r="G816" s="2">
        <v>0</v>
      </c>
      <c r="H816" s="2">
        <v>0</v>
      </c>
      <c r="I816" s="2">
        <v>0</v>
      </c>
      <c r="J816" s="2">
        <v>0</v>
      </c>
      <c r="K816" s="2">
        <v>3931</v>
      </c>
      <c r="L816" s="2">
        <v>0</v>
      </c>
      <c r="M816" s="2">
        <v>3</v>
      </c>
      <c r="N816" s="2">
        <v>4</v>
      </c>
      <c r="O816" s="2">
        <v>0</v>
      </c>
      <c r="P816" s="2">
        <v>1</v>
      </c>
      <c r="Q816" s="2">
        <v>0</v>
      </c>
      <c r="R816" s="2">
        <v>0</v>
      </c>
      <c r="S816" s="2">
        <v>0</v>
      </c>
      <c r="T816" s="2">
        <v>4</v>
      </c>
      <c r="U816" s="2">
        <v>0</v>
      </c>
      <c r="V816" s="2">
        <v>1</v>
      </c>
      <c r="W816" s="2">
        <v>46</v>
      </c>
      <c r="X816" s="2">
        <v>0</v>
      </c>
      <c r="Y816" s="2">
        <v>0</v>
      </c>
      <c r="Z816" s="2">
        <v>0</v>
      </c>
      <c r="AA816" s="2">
        <v>1</v>
      </c>
      <c r="AB816" s="2">
        <v>2</v>
      </c>
      <c r="AC816" s="2">
        <v>2</v>
      </c>
      <c r="AD816" s="2">
        <v>0</v>
      </c>
      <c r="AE816" s="2">
        <v>0</v>
      </c>
      <c r="AF816" s="2">
        <v>0</v>
      </c>
      <c r="AG816" s="20">
        <f t="shared" si="12"/>
        <v>-500</v>
      </c>
    </row>
    <row r="817" spans="1:33" x14ac:dyDescent="0.25">
      <c r="A817">
        <v>816</v>
      </c>
      <c r="B817" s="2">
        <v>1</v>
      </c>
      <c r="C817" s="2">
        <v>36</v>
      </c>
      <c r="D817" s="2">
        <v>3</v>
      </c>
      <c r="E817" s="2">
        <v>1</v>
      </c>
      <c r="F817" s="2">
        <v>0</v>
      </c>
      <c r="G817" s="2">
        <v>0</v>
      </c>
      <c r="H817" s="2">
        <v>0</v>
      </c>
      <c r="I817" s="2">
        <v>0</v>
      </c>
      <c r="J817" s="2">
        <v>0</v>
      </c>
      <c r="K817" s="2">
        <v>7432</v>
      </c>
      <c r="L817" s="2">
        <v>0</v>
      </c>
      <c r="M817" s="2">
        <v>2</v>
      </c>
      <c r="N817" s="2">
        <v>2</v>
      </c>
      <c r="O817" s="2">
        <v>0</v>
      </c>
      <c r="P817" s="2">
        <v>0</v>
      </c>
      <c r="Q817" s="2">
        <v>0</v>
      </c>
      <c r="R817" s="2">
        <v>0</v>
      </c>
      <c r="S817" s="2">
        <v>0</v>
      </c>
      <c r="T817" s="2">
        <v>2</v>
      </c>
      <c r="U817" s="2">
        <v>0</v>
      </c>
      <c r="V817" s="2">
        <v>0</v>
      </c>
      <c r="W817" s="2">
        <v>54</v>
      </c>
      <c r="X817" s="2">
        <v>0</v>
      </c>
      <c r="Y817" s="2">
        <v>1</v>
      </c>
      <c r="Z817" s="2">
        <v>0</v>
      </c>
      <c r="AA817" s="2">
        <v>1</v>
      </c>
      <c r="AB817" s="2">
        <v>2</v>
      </c>
      <c r="AC817" s="2">
        <v>1</v>
      </c>
      <c r="AD817" s="2">
        <v>0</v>
      </c>
      <c r="AE817" s="2">
        <v>0</v>
      </c>
      <c r="AF817" s="2">
        <v>1</v>
      </c>
      <c r="AG817" s="20">
        <f t="shared" si="12"/>
        <v>100</v>
      </c>
    </row>
    <row r="818" spans="1:33" x14ac:dyDescent="0.25">
      <c r="A818">
        <v>817</v>
      </c>
      <c r="B818" s="2">
        <v>3</v>
      </c>
      <c r="C818" s="2">
        <v>6</v>
      </c>
      <c r="D818" s="2">
        <v>2</v>
      </c>
      <c r="E818" s="2">
        <v>0</v>
      </c>
      <c r="F818" s="2">
        <v>0</v>
      </c>
      <c r="G818" s="2">
        <v>0</v>
      </c>
      <c r="H818" s="2">
        <v>0</v>
      </c>
      <c r="I818" s="2">
        <v>0</v>
      </c>
      <c r="J818" s="2">
        <v>0</v>
      </c>
      <c r="K818" s="2">
        <v>1338</v>
      </c>
      <c r="L818" s="2">
        <v>2</v>
      </c>
      <c r="M818" s="2">
        <v>2</v>
      </c>
      <c r="N818" s="2">
        <v>1</v>
      </c>
      <c r="O818" s="2">
        <v>1</v>
      </c>
      <c r="P818" s="2">
        <v>0</v>
      </c>
      <c r="Q818" s="2">
        <v>0</v>
      </c>
      <c r="R818" s="2">
        <v>0</v>
      </c>
      <c r="S818" s="2">
        <v>0</v>
      </c>
      <c r="T818" s="2">
        <v>4</v>
      </c>
      <c r="U818" s="2">
        <v>1</v>
      </c>
      <c r="V818" s="2">
        <v>0</v>
      </c>
      <c r="W818" s="2">
        <v>62</v>
      </c>
      <c r="X818" s="2">
        <v>0</v>
      </c>
      <c r="Y818" s="2">
        <v>0</v>
      </c>
      <c r="Z818" s="2">
        <v>1</v>
      </c>
      <c r="AA818" s="2">
        <v>1</v>
      </c>
      <c r="AB818" s="2">
        <v>2</v>
      </c>
      <c r="AC818" s="2">
        <v>1</v>
      </c>
      <c r="AD818" s="2">
        <v>0</v>
      </c>
      <c r="AE818" s="2">
        <v>0</v>
      </c>
      <c r="AF818" s="2">
        <v>1</v>
      </c>
      <c r="AG818" s="20">
        <f t="shared" si="12"/>
        <v>100</v>
      </c>
    </row>
    <row r="819" spans="1:33" x14ac:dyDescent="0.25">
      <c r="A819">
        <v>818</v>
      </c>
      <c r="B819" s="2">
        <v>3</v>
      </c>
      <c r="C819" s="2">
        <v>6</v>
      </c>
      <c r="D819" s="2">
        <v>4</v>
      </c>
      <c r="E819" s="2">
        <v>0</v>
      </c>
      <c r="F819" s="2">
        <v>0</v>
      </c>
      <c r="G819" s="2">
        <v>0</v>
      </c>
      <c r="H819" s="2">
        <v>1</v>
      </c>
      <c r="I819" s="2">
        <v>0</v>
      </c>
      <c r="J819" s="2">
        <v>0</v>
      </c>
      <c r="K819" s="2">
        <v>1554</v>
      </c>
      <c r="L819" s="2">
        <v>0</v>
      </c>
      <c r="M819" s="2">
        <v>3</v>
      </c>
      <c r="N819" s="2">
        <v>1</v>
      </c>
      <c r="O819" s="2">
        <v>0</v>
      </c>
      <c r="P819" s="2">
        <v>0</v>
      </c>
      <c r="Q819" s="2">
        <v>0</v>
      </c>
      <c r="R819" s="2">
        <v>0</v>
      </c>
      <c r="S819" s="2">
        <v>0</v>
      </c>
      <c r="T819" s="2">
        <v>2</v>
      </c>
      <c r="U819" s="2">
        <v>0</v>
      </c>
      <c r="V819" s="2">
        <v>0</v>
      </c>
      <c r="W819" s="2">
        <v>24</v>
      </c>
      <c r="X819" s="2">
        <v>0</v>
      </c>
      <c r="Y819" s="2">
        <v>1</v>
      </c>
      <c r="Z819" s="2">
        <v>0</v>
      </c>
      <c r="AA819" s="2">
        <v>2</v>
      </c>
      <c r="AB819" s="2">
        <v>2</v>
      </c>
      <c r="AC819" s="2">
        <v>1</v>
      </c>
      <c r="AD819" s="2">
        <v>1</v>
      </c>
      <c r="AE819" s="2">
        <v>0</v>
      </c>
      <c r="AF819" s="2">
        <v>1</v>
      </c>
      <c r="AG819" s="20">
        <f t="shared" si="12"/>
        <v>100</v>
      </c>
    </row>
    <row r="820" spans="1:33" x14ac:dyDescent="0.25">
      <c r="A820">
        <v>819</v>
      </c>
      <c r="B820" s="2">
        <v>0</v>
      </c>
      <c r="C820" s="2">
        <v>36</v>
      </c>
      <c r="D820" s="2">
        <v>2</v>
      </c>
      <c r="E820" s="2">
        <v>0</v>
      </c>
      <c r="F820" s="2">
        <v>0</v>
      </c>
      <c r="G820" s="2">
        <v>0</v>
      </c>
      <c r="H820" s="2">
        <v>0</v>
      </c>
      <c r="I820" s="2">
        <v>0</v>
      </c>
      <c r="J820" s="2">
        <v>0</v>
      </c>
      <c r="K820" s="2">
        <v>15857</v>
      </c>
      <c r="L820" s="2">
        <v>0</v>
      </c>
      <c r="M820" s="2">
        <v>0</v>
      </c>
      <c r="N820" s="2">
        <v>2</v>
      </c>
      <c r="O820" s="2">
        <v>1</v>
      </c>
      <c r="P820" s="2">
        <v>0</v>
      </c>
      <c r="Q820" s="2">
        <v>0</v>
      </c>
      <c r="R820" s="2">
        <v>1</v>
      </c>
      <c r="S820" s="2">
        <v>0</v>
      </c>
      <c r="T820" s="2">
        <v>3</v>
      </c>
      <c r="U820" s="2">
        <v>0</v>
      </c>
      <c r="V820" s="2">
        <v>0</v>
      </c>
      <c r="W820" s="2">
        <v>43</v>
      </c>
      <c r="X820" s="2">
        <v>0</v>
      </c>
      <c r="Y820" s="2">
        <v>0</v>
      </c>
      <c r="Z820" s="2">
        <v>1</v>
      </c>
      <c r="AA820" s="2">
        <v>1</v>
      </c>
      <c r="AB820" s="2">
        <v>3</v>
      </c>
      <c r="AC820" s="2">
        <v>1</v>
      </c>
      <c r="AD820" s="2">
        <v>0</v>
      </c>
      <c r="AE820" s="2">
        <v>0</v>
      </c>
      <c r="AF820" s="2">
        <v>1</v>
      </c>
      <c r="AG820" s="20">
        <f t="shared" si="12"/>
        <v>100</v>
      </c>
    </row>
    <row r="821" spans="1:33" x14ac:dyDescent="0.25">
      <c r="A821">
        <v>820</v>
      </c>
      <c r="B821" s="2">
        <v>0</v>
      </c>
      <c r="C821" s="2">
        <v>18</v>
      </c>
      <c r="D821" s="2">
        <v>2</v>
      </c>
      <c r="E821" s="2">
        <v>0</v>
      </c>
      <c r="F821" s="2">
        <v>0</v>
      </c>
      <c r="G821" s="2">
        <v>0</v>
      </c>
      <c r="H821" s="2">
        <v>1</v>
      </c>
      <c r="I821" s="2">
        <v>0</v>
      </c>
      <c r="J821" s="2">
        <v>0</v>
      </c>
      <c r="K821" s="2">
        <v>1345</v>
      </c>
      <c r="L821" s="2">
        <v>0</v>
      </c>
      <c r="M821" s="2">
        <v>2</v>
      </c>
      <c r="N821" s="2">
        <v>4</v>
      </c>
      <c r="O821" s="2">
        <v>0</v>
      </c>
      <c r="P821" s="2">
        <v>0</v>
      </c>
      <c r="Q821" s="2">
        <v>1</v>
      </c>
      <c r="R821" s="2">
        <v>0</v>
      </c>
      <c r="S821" s="2">
        <v>0</v>
      </c>
      <c r="T821" s="2">
        <v>3</v>
      </c>
      <c r="U821" s="2">
        <v>1</v>
      </c>
      <c r="V821" s="2">
        <v>0</v>
      </c>
      <c r="W821" s="2">
        <v>26</v>
      </c>
      <c r="X821" s="2">
        <v>1</v>
      </c>
      <c r="Y821" s="2">
        <v>0</v>
      </c>
      <c r="Z821" s="2">
        <v>1</v>
      </c>
      <c r="AA821" s="2">
        <v>1</v>
      </c>
      <c r="AB821" s="2">
        <v>2</v>
      </c>
      <c r="AC821" s="2">
        <v>1</v>
      </c>
      <c r="AD821" s="2">
        <v>0</v>
      </c>
      <c r="AE821" s="2">
        <v>0</v>
      </c>
      <c r="AF821" s="2">
        <v>0</v>
      </c>
      <c r="AG821" s="20">
        <f t="shared" si="12"/>
        <v>-500</v>
      </c>
    </row>
    <row r="822" spans="1:33" x14ac:dyDescent="0.25">
      <c r="A822">
        <v>821</v>
      </c>
      <c r="B822" s="2">
        <v>3</v>
      </c>
      <c r="C822" s="2">
        <v>12</v>
      </c>
      <c r="D822" s="2">
        <v>2</v>
      </c>
      <c r="E822" s="2">
        <v>1</v>
      </c>
      <c r="F822" s="2">
        <v>0</v>
      </c>
      <c r="G822" s="2">
        <v>0</v>
      </c>
      <c r="H822" s="2">
        <v>0</v>
      </c>
      <c r="I822" s="2">
        <v>0</v>
      </c>
      <c r="J822" s="2">
        <v>0</v>
      </c>
      <c r="K822" s="2">
        <v>1101</v>
      </c>
      <c r="L822" s="2">
        <v>0</v>
      </c>
      <c r="M822" s="2">
        <v>2</v>
      </c>
      <c r="N822" s="2">
        <v>3</v>
      </c>
      <c r="O822" s="2">
        <v>0</v>
      </c>
      <c r="P822" s="2">
        <v>0</v>
      </c>
      <c r="Q822" s="2">
        <v>1</v>
      </c>
      <c r="R822" s="2">
        <v>0</v>
      </c>
      <c r="S822" s="2">
        <v>0</v>
      </c>
      <c r="T822" s="2">
        <v>2</v>
      </c>
      <c r="U822" s="2">
        <v>1</v>
      </c>
      <c r="V822" s="2">
        <v>0</v>
      </c>
      <c r="W822" s="2">
        <v>27</v>
      </c>
      <c r="X822" s="2">
        <v>0</v>
      </c>
      <c r="Y822" s="2">
        <v>0</v>
      </c>
      <c r="Z822" s="2">
        <v>1</v>
      </c>
      <c r="AA822" s="2">
        <v>2</v>
      </c>
      <c r="AB822" s="2">
        <v>2</v>
      </c>
      <c r="AC822" s="2">
        <v>1</v>
      </c>
      <c r="AD822" s="2">
        <v>1</v>
      </c>
      <c r="AE822" s="2">
        <v>0</v>
      </c>
      <c r="AF822" s="2">
        <v>1</v>
      </c>
      <c r="AG822" s="20">
        <f t="shared" si="12"/>
        <v>100</v>
      </c>
    </row>
    <row r="823" spans="1:33" x14ac:dyDescent="0.25">
      <c r="A823">
        <v>822</v>
      </c>
      <c r="B823" s="2">
        <v>2</v>
      </c>
      <c r="C823" s="2">
        <v>12</v>
      </c>
      <c r="D823" s="2">
        <v>2</v>
      </c>
      <c r="E823" s="2">
        <v>0</v>
      </c>
      <c r="F823" s="2">
        <v>0</v>
      </c>
      <c r="G823" s="2">
        <v>0</v>
      </c>
      <c r="H823" s="2">
        <v>1</v>
      </c>
      <c r="I823" s="2">
        <v>0</v>
      </c>
      <c r="J823" s="2">
        <v>0</v>
      </c>
      <c r="K823" s="2">
        <v>3016</v>
      </c>
      <c r="L823" s="2">
        <v>0</v>
      </c>
      <c r="M823" s="2">
        <v>2</v>
      </c>
      <c r="N823" s="2">
        <v>3</v>
      </c>
      <c r="O823" s="2">
        <v>0</v>
      </c>
      <c r="P823" s="2">
        <v>0</v>
      </c>
      <c r="Q823" s="2">
        <v>1</v>
      </c>
      <c r="R823" s="2">
        <v>0</v>
      </c>
      <c r="S823" s="2">
        <v>0</v>
      </c>
      <c r="T823" s="2">
        <v>1</v>
      </c>
      <c r="U823" s="2">
        <v>0</v>
      </c>
      <c r="V823" s="2">
        <v>0</v>
      </c>
      <c r="W823" s="2">
        <v>24</v>
      </c>
      <c r="X823" s="2">
        <v>0</v>
      </c>
      <c r="Y823" s="2">
        <v>0</v>
      </c>
      <c r="Z823" s="2">
        <v>1</v>
      </c>
      <c r="AA823" s="2">
        <v>1</v>
      </c>
      <c r="AB823" s="2">
        <v>2</v>
      </c>
      <c r="AC823" s="2">
        <v>1</v>
      </c>
      <c r="AD823" s="2">
        <v>0</v>
      </c>
      <c r="AE823" s="2">
        <v>0</v>
      </c>
      <c r="AF823" s="2">
        <v>1</v>
      </c>
      <c r="AG823" s="20">
        <f t="shared" si="12"/>
        <v>100</v>
      </c>
    </row>
    <row r="824" spans="1:33" x14ac:dyDescent="0.25">
      <c r="A824">
        <v>823</v>
      </c>
      <c r="B824" s="2">
        <v>0</v>
      </c>
      <c r="C824" s="2">
        <v>36</v>
      </c>
      <c r="D824" s="2">
        <v>2</v>
      </c>
      <c r="E824" s="2">
        <v>0</v>
      </c>
      <c r="F824" s="2">
        <v>0</v>
      </c>
      <c r="G824" s="2">
        <v>1</v>
      </c>
      <c r="H824" s="2">
        <v>0</v>
      </c>
      <c r="I824" s="2">
        <v>0</v>
      </c>
      <c r="J824" s="2">
        <v>0</v>
      </c>
      <c r="K824" s="2">
        <v>2712</v>
      </c>
      <c r="L824" s="2">
        <v>0</v>
      </c>
      <c r="M824" s="2">
        <v>4</v>
      </c>
      <c r="N824" s="2">
        <v>2</v>
      </c>
      <c r="O824" s="2">
        <v>0</v>
      </c>
      <c r="P824" s="2">
        <v>1</v>
      </c>
      <c r="Q824" s="2">
        <v>0</v>
      </c>
      <c r="R824" s="2">
        <v>0</v>
      </c>
      <c r="S824" s="2">
        <v>0</v>
      </c>
      <c r="T824" s="2">
        <v>2</v>
      </c>
      <c r="U824" s="2">
        <v>0</v>
      </c>
      <c r="V824" s="2">
        <v>0</v>
      </c>
      <c r="W824" s="2">
        <v>41</v>
      </c>
      <c r="X824" s="2">
        <v>1</v>
      </c>
      <c r="Y824" s="2">
        <v>0</v>
      </c>
      <c r="Z824" s="2">
        <v>1</v>
      </c>
      <c r="AA824" s="2">
        <v>1</v>
      </c>
      <c r="AB824" s="2">
        <v>2</v>
      </c>
      <c r="AC824" s="2">
        <v>2</v>
      </c>
      <c r="AD824" s="2">
        <v>0</v>
      </c>
      <c r="AE824" s="2">
        <v>0</v>
      </c>
      <c r="AF824" s="2">
        <v>0</v>
      </c>
      <c r="AG824" s="20">
        <f t="shared" si="12"/>
        <v>-500</v>
      </c>
    </row>
    <row r="825" spans="1:33" x14ac:dyDescent="0.25">
      <c r="A825">
        <v>824</v>
      </c>
      <c r="B825" s="2">
        <v>0</v>
      </c>
      <c r="C825" s="2">
        <v>8</v>
      </c>
      <c r="D825" s="2">
        <v>4</v>
      </c>
      <c r="E825" s="2">
        <v>1</v>
      </c>
      <c r="F825" s="2">
        <v>0</v>
      </c>
      <c r="G825" s="2">
        <v>0</v>
      </c>
      <c r="H825" s="2">
        <v>0</v>
      </c>
      <c r="I825" s="2">
        <v>0</v>
      </c>
      <c r="J825" s="2">
        <v>0</v>
      </c>
      <c r="K825" s="2">
        <v>731</v>
      </c>
      <c r="L825" s="2">
        <v>0</v>
      </c>
      <c r="M825" s="2">
        <v>4</v>
      </c>
      <c r="N825" s="2">
        <v>4</v>
      </c>
      <c r="O825" s="2">
        <v>0</v>
      </c>
      <c r="P825" s="2">
        <v>1</v>
      </c>
      <c r="Q825" s="2">
        <v>0</v>
      </c>
      <c r="R825" s="2">
        <v>0</v>
      </c>
      <c r="S825" s="2">
        <v>0</v>
      </c>
      <c r="T825" s="2">
        <v>4</v>
      </c>
      <c r="U825" s="2">
        <v>1</v>
      </c>
      <c r="V825" s="2">
        <v>0</v>
      </c>
      <c r="W825" s="2">
        <v>47</v>
      </c>
      <c r="X825" s="2">
        <v>0</v>
      </c>
      <c r="Y825" s="2">
        <v>0</v>
      </c>
      <c r="Z825" s="2">
        <v>1</v>
      </c>
      <c r="AA825" s="2">
        <v>2</v>
      </c>
      <c r="AB825" s="2">
        <v>1</v>
      </c>
      <c r="AC825" s="2">
        <v>1</v>
      </c>
      <c r="AD825" s="2">
        <v>0</v>
      </c>
      <c r="AE825" s="2">
        <v>0</v>
      </c>
      <c r="AF825" s="2">
        <v>1</v>
      </c>
      <c r="AG825" s="20">
        <f t="shared" si="12"/>
        <v>100</v>
      </c>
    </row>
    <row r="826" spans="1:33" x14ac:dyDescent="0.25">
      <c r="A826">
        <v>825</v>
      </c>
      <c r="B826" s="2">
        <v>3</v>
      </c>
      <c r="C826" s="2">
        <v>18</v>
      </c>
      <c r="D826" s="2">
        <v>4</v>
      </c>
      <c r="E826" s="2">
        <v>0</v>
      </c>
      <c r="F826" s="2">
        <v>0</v>
      </c>
      <c r="G826" s="2">
        <v>1</v>
      </c>
      <c r="H826" s="2">
        <v>0</v>
      </c>
      <c r="I826" s="2">
        <v>0</v>
      </c>
      <c r="J826" s="2">
        <v>0</v>
      </c>
      <c r="K826" s="2">
        <v>3780</v>
      </c>
      <c r="L826" s="2">
        <v>0</v>
      </c>
      <c r="M826" s="2">
        <v>1</v>
      </c>
      <c r="N826" s="2">
        <v>3</v>
      </c>
      <c r="O826" s="2">
        <v>1</v>
      </c>
      <c r="P826" s="2">
        <v>0</v>
      </c>
      <c r="Q826" s="2">
        <v>0</v>
      </c>
      <c r="R826" s="2">
        <v>0</v>
      </c>
      <c r="S826" s="2">
        <v>0</v>
      </c>
      <c r="T826" s="2">
        <v>2</v>
      </c>
      <c r="U826" s="2">
        <v>0</v>
      </c>
      <c r="V826" s="2">
        <v>0</v>
      </c>
      <c r="W826" s="2">
        <v>35</v>
      </c>
      <c r="X826" s="2">
        <v>0</v>
      </c>
      <c r="Y826" s="2">
        <v>0</v>
      </c>
      <c r="Z826" s="2">
        <v>1</v>
      </c>
      <c r="AA826" s="2">
        <v>2</v>
      </c>
      <c r="AB826" s="2">
        <v>3</v>
      </c>
      <c r="AC826" s="2">
        <v>1</v>
      </c>
      <c r="AD826" s="2">
        <v>1</v>
      </c>
      <c r="AE826" s="2">
        <v>0</v>
      </c>
      <c r="AF826" s="2">
        <v>1</v>
      </c>
      <c r="AG826" s="20">
        <f t="shared" si="12"/>
        <v>100</v>
      </c>
    </row>
    <row r="827" spans="1:33" x14ac:dyDescent="0.25">
      <c r="A827">
        <v>826</v>
      </c>
      <c r="B827" s="2">
        <v>0</v>
      </c>
      <c r="C827" s="2">
        <v>21</v>
      </c>
      <c r="D827" s="2">
        <v>4</v>
      </c>
      <c r="E827" s="2">
        <v>1</v>
      </c>
      <c r="F827" s="2">
        <v>0</v>
      </c>
      <c r="G827" s="2">
        <v>0</v>
      </c>
      <c r="H827" s="2">
        <v>0</v>
      </c>
      <c r="I827" s="2">
        <v>0</v>
      </c>
      <c r="J827" s="2">
        <v>0</v>
      </c>
      <c r="K827" s="2">
        <v>1602</v>
      </c>
      <c r="L827" s="2">
        <v>0</v>
      </c>
      <c r="M827" s="2">
        <v>4</v>
      </c>
      <c r="N827" s="2">
        <v>4</v>
      </c>
      <c r="O827" s="2">
        <v>0</v>
      </c>
      <c r="P827" s="2">
        <v>0</v>
      </c>
      <c r="Q827" s="2">
        <v>1</v>
      </c>
      <c r="R827" s="2">
        <v>0</v>
      </c>
      <c r="S827" s="2">
        <v>0</v>
      </c>
      <c r="T827" s="2">
        <v>3</v>
      </c>
      <c r="U827" s="2">
        <v>0</v>
      </c>
      <c r="V827" s="2">
        <v>0</v>
      </c>
      <c r="W827" s="2">
        <v>30</v>
      </c>
      <c r="X827" s="2">
        <v>0</v>
      </c>
      <c r="Y827" s="2">
        <v>0</v>
      </c>
      <c r="Z827" s="2">
        <v>1</v>
      </c>
      <c r="AA827" s="2">
        <v>2</v>
      </c>
      <c r="AB827" s="2">
        <v>2</v>
      </c>
      <c r="AC827" s="2">
        <v>1</v>
      </c>
      <c r="AD827" s="2">
        <v>1</v>
      </c>
      <c r="AE827" s="2">
        <v>0</v>
      </c>
      <c r="AF827" s="2">
        <v>1</v>
      </c>
      <c r="AG827" s="20">
        <f t="shared" si="12"/>
        <v>100</v>
      </c>
    </row>
    <row r="828" spans="1:33" x14ac:dyDescent="0.25">
      <c r="A828">
        <v>827</v>
      </c>
      <c r="B828" s="2">
        <v>0</v>
      </c>
      <c r="C828" s="2">
        <v>18</v>
      </c>
      <c r="D828" s="2">
        <v>4</v>
      </c>
      <c r="E828" s="2">
        <v>1</v>
      </c>
      <c r="F828" s="2">
        <v>0</v>
      </c>
      <c r="G828" s="2">
        <v>0</v>
      </c>
      <c r="H828" s="2">
        <v>0</v>
      </c>
      <c r="I828" s="2">
        <v>0</v>
      </c>
      <c r="J828" s="2">
        <v>0</v>
      </c>
      <c r="K828" s="2">
        <v>3966</v>
      </c>
      <c r="L828" s="2">
        <v>0</v>
      </c>
      <c r="M828" s="2">
        <v>4</v>
      </c>
      <c r="N828" s="2">
        <v>1</v>
      </c>
      <c r="O828" s="2">
        <v>0</v>
      </c>
      <c r="P828" s="2">
        <v>0</v>
      </c>
      <c r="Q828" s="2">
        <v>0</v>
      </c>
      <c r="R828" s="2">
        <v>0</v>
      </c>
      <c r="S828" s="2">
        <v>0</v>
      </c>
      <c r="T828" s="2">
        <v>4</v>
      </c>
      <c r="U828" s="2">
        <v>1</v>
      </c>
      <c r="V828" s="2">
        <v>0</v>
      </c>
      <c r="W828" s="2">
        <v>33</v>
      </c>
      <c r="X828" s="2">
        <v>1</v>
      </c>
      <c r="Y828" s="2">
        <v>1</v>
      </c>
      <c r="Z828" s="2">
        <v>0</v>
      </c>
      <c r="AA828" s="2">
        <v>3</v>
      </c>
      <c r="AB828" s="2">
        <v>2</v>
      </c>
      <c r="AC828" s="2">
        <v>1</v>
      </c>
      <c r="AD828" s="2">
        <v>1</v>
      </c>
      <c r="AE828" s="2">
        <v>0</v>
      </c>
      <c r="AF828" s="2">
        <v>0</v>
      </c>
      <c r="AG828" s="20">
        <f t="shared" si="12"/>
        <v>-500</v>
      </c>
    </row>
    <row r="829" spans="1:33" x14ac:dyDescent="0.25">
      <c r="A829">
        <v>828</v>
      </c>
      <c r="B829" s="2">
        <v>3</v>
      </c>
      <c r="C829" s="2">
        <v>18</v>
      </c>
      <c r="D829" s="2">
        <v>0</v>
      </c>
      <c r="E829" s="2">
        <v>0</v>
      </c>
      <c r="F829" s="2">
        <v>0</v>
      </c>
      <c r="G829" s="2">
        <v>0</v>
      </c>
      <c r="H829" s="2">
        <v>0</v>
      </c>
      <c r="I829" s="2">
        <v>0</v>
      </c>
      <c r="J829" s="2">
        <v>1</v>
      </c>
      <c r="K829" s="2">
        <v>4165</v>
      </c>
      <c r="L829" s="2">
        <v>0</v>
      </c>
      <c r="M829" s="2">
        <v>2</v>
      </c>
      <c r="N829" s="2">
        <v>2</v>
      </c>
      <c r="O829" s="2">
        <v>0</v>
      </c>
      <c r="P829" s="2">
        <v>1</v>
      </c>
      <c r="Q829" s="2">
        <v>0</v>
      </c>
      <c r="R829" s="2">
        <v>0</v>
      </c>
      <c r="S829" s="2">
        <v>0</v>
      </c>
      <c r="T829" s="2">
        <v>2</v>
      </c>
      <c r="U829" s="2">
        <v>0</v>
      </c>
      <c r="V829" s="2">
        <v>0</v>
      </c>
      <c r="W829" s="2">
        <v>36</v>
      </c>
      <c r="X829" s="2">
        <v>1</v>
      </c>
      <c r="Y829" s="2">
        <v>0</v>
      </c>
      <c r="Z829" s="2">
        <v>1</v>
      </c>
      <c r="AA829" s="2">
        <v>2</v>
      </c>
      <c r="AB829" s="2">
        <v>2</v>
      </c>
      <c r="AC829" s="2">
        <v>2</v>
      </c>
      <c r="AD829" s="2">
        <v>0</v>
      </c>
      <c r="AE829" s="2">
        <v>0</v>
      </c>
      <c r="AF829" s="2">
        <v>0</v>
      </c>
      <c r="AG829" s="20">
        <f t="shared" si="12"/>
        <v>-500</v>
      </c>
    </row>
    <row r="830" spans="1:33" x14ac:dyDescent="0.25">
      <c r="A830">
        <v>829</v>
      </c>
      <c r="B830" s="2">
        <v>0</v>
      </c>
      <c r="C830" s="2">
        <v>36</v>
      </c>
      <c r="D830" s="2">
        <v>2</v>
      </c>
      <c r="E830" s="2">
        <v>0</v>
      </c>
      <c r="F830" s="2">
        <v>1</v>
      </c>
      <c r="G830" s="2">
        <v>0</v>
      </c>
      <c r="H830" s="2">
        <v>0</v>
      </c>
      <c r="I830" s="2">
        <v>0</v>
      </c>
      <c r="J830" s="2">
        <v>0</v>
      </c>
      <c r="K830" s="2">
        <v>8335</v>
      </c>
      <c r="L830" s="2">
        <v>4</v>
      </c>
      <c r="M830" s="2">
        <v>4</v>
      </c>
      <c r="N830" s="2">
        <v>3</v>
      </c>
      <c r="O830" s="2">
        <v>0</v>
      </c>
      <c r="P830" s="2">
        <v>1</v>
      </c>
      <c r="Q830" s="2">
        <v>0</v>
      </c>
      <c r="R830" s="2">
        <v>0</v>
      </c>
      <c r="S830" s="2">
        <v>0</v>
      </c>
      <c r="T830" s="2">
        <v>4</v>
      </c>
      <c r="U830" s="2">
        <v>0</v>
      </c>
      <c r="V830" s="2">
        <v>1</v>
      </c>
      <c r="W830" s="2">
        <v>47</v>
      </c>
      <c r="X830" s="2">
        <v>0</v>
      </c>
      <c r="Y830" s="2">
        <v>0</v>
      </c>
      <c r="Z830" s="2">
        <v>0</v>
      </c>
      <c r="AA830" s="2">
        <v>1</v>
      </c>
      <c r="AB830" s="2">
        <v>2</v>
      </c>
      <c r="AC830" s="2">
        <v>1</v>
      </c>
      <c r="AD830" s="2">
        <v>0</v>
      </c>
      <c r="AE830" s="2">
        <v>0</v>
      </c>
      <c r="AF830" s="2">
        <v>0</v>
      </c>
      <c r="AG830" s="20">
        <f t="shared" si="12"/>
        <v>-500</v>
      </c>
    </row>
    <row r="831" spans="1:33" x14ac:dyDescent="0.25">
      <c r="A831">
        <v>830</v>
      </c>
      <c r="B831" s="2">
        <v>1</v>
      </c>
      <c r="C831" s="2">
        <v>48</v>
      </c>
      <c r="D831" s="2">
        <v>3</v>
      </c>
      <c r="E831" s="2">
        <v>0</v>
      </c>
      <c r="F831" s="2">
        <v>0</v>
      </c>
      <c r="G831" s="2">
        <v>0</v>
      </c>
      <c r="H831" s="2">
        <v>0</v>
      </c>
      <c r="I831" s="2">
        <v>0</v>
      </c>
      <c r="J831" s="2">
        <v>1</v>
      </c>
      <c r="K831" s="2">
        <v>6681</v>
      </c>
      <c r="L831" s="2">
        <v>4</v>
      </c>
      <c r="M831" s="2">
        <v>2</v>
      </c>
      <c r="N831" s="2">
        <v>4</v>
      </c>
      <c r="O831" s="2">
        <v>0</v>
      </c>
      <c r="P831" s="2">
        <v>1</v>
      </c>
      <c r="Q831" s="2">
        <v>0</v>
      </c>
      <c r="R831" s="2">
        <v>0</v>
      </c>
      <c r="S831" s="2">
        <v>0</v>
      </c>
      <c r="T831" s="2">
        <v>4</v>
      </c>
      <c r="U831" s="2">
        <v>0</v>
      </c>
      <c r="V831" s="2">
        <v>1</v>
      </c>
      <c r="W831" s="2">
        <v>38</v>
      </c>
      <c r="X831" s="2">
        <v>0</v>
      </c>
      <c r="Y831" s="2">
        <v>0</v>
      </c>
      <c r="Z831" s="2">
        <v>0</v>
      </c>
      <c r="AA831" s="2">
        <v>1</v>
      </c>
      <c r="AB831" s="2">
        <v>2</v>
      </c>
      <c r="AC831" s="2">
        <v>2</v>
      </c>
      <c r="AD831" s="2">
        <v>1</v>
      </c>
      <c r="AE831" s="2">
        <v>0</v>
      </c>
      <c r="AF831" s="2">
        <v>1</v>
      </c>
      <c r="AG831" s="20">
        <f t="shared" si="12"/>
        <v>100</v>
      </c>
    </row>
    <row r="832" spans="1:33" x14ac:dyDescent="0.25">
      <c r="A832">
        <v>831</v>
      </c>
      <c r="B832" s="2">
        <v>3</v>
      </c>
      <c r="C832" s="2">
        <v>24</v>
      </c>
      <c r="D832" s="2">
        <v>3</v>
      </c>
      <c r="E832" s="2">
        <v>0</v>
      </c>
      <c r="F832" s="2">
        <v>0</v>
      </c>
      <c r="G832" s="2">
        <v>0</v>
      </c>
      <c r="H832" s="2">
        <v>0</v>
      </c>
      <c r="I832" s="2">
        <v>0</v>
      </c>
      <c r="J832" s="2">
        <v>1</v>
      </c>
      <c r="K832" s="2">
        <v>2375</v>
      </c>
      <c r="L832" s="2">
        <v>2</v>
      </c>
      <c r="M832" s="2">
        <v>2</v>
      </c>
      <c r="N832" s="2">
        <v>4</v>
      </c>
      <c r="O832" s="2">
        <v>0</v>
      </c>
      <c r="P832" s="2">
        <v>1</v>
      </c>
      <c r="Q832" s="2">
        <v>0</v>
      </c>
      <c r="R832" s="2">
        <v>0</v>
      </c>
      <c r="S832" s="2">
        <v>0</v>
      </c>
      <c r="T832" s="2">
        <v>2</v>
      </c>
      <c r="U832" s="2">
        <v>0</v>
      </c>
      <c r="V832" s="2">
        <v>0</v>
      </c>
      <c r="W832" s="2">
        <v>44</v>
      </c>
      <c r="X832" s="2">
        <v>0</v>
      </c>
      <c r="Y832" s="2">
        <v>0</v>
      </c>
      <c r="Z832" s="2">
        <v>1</v>
      </c>
      <c r="AA832" s="2">
        <v>2</v>
      </c>
      <c r="AB832" s="2">
        <v>2</v>
      </c>
      <c r="AC832" s="2">
        <v>2</v>
      </c>
      <c r="AD832" s="2">
        <v>1</v>
      </c>
      <c r="AE832" s="2">
        <v>0</v>
      </c>
      <c r="AF832" s="2">
        <v>1</v>
      </c>
      <c r="AG832" s="20">
        <f t="shared" si="12"/>
        <v>100</v>
      </c>
    </row>
    <row r="833" spans="1:33" x14ac:dyDescent="0.25">
      <c r="A833">
        <v>832</v>
      </c>
      <c r="B833" s="2">
        <v>0</v>
      </c>
      <c r="C833" s="2">
        <v>18</v>
      </c>
      <c r="D833" s="2">
        <v>2</v>
      </c>
      <c r="E833" s="2">
        <v>1</v>
      </c>
      <c r="F833" s="2">
        <v>0</v>
      </c>
      <c r="G833" s="2">
        <v>0</v>
      </c>
      <c r="H833" s="2">
        <v>0</v>
      </c>
      <c r="I833" s="2">
        <v>0</v>
      </c>
      <c r="J833" s="2">
        <v>0</v>
      </c>
      <c r="K833" s="2">
        <v>1216</v>
      </c>
      <c r="L833" s="2">
        <v>0</v>
      </c>
      <c r="M833" s="2">
        <v>1</v>
      </c>
      <c r="N833" s="2">
        <v>4</v>
      </c>
      <c r="O833" s="2">
        <v>0</v>
      </c>
      <c r="P833" s="2">
        <v>0</v>
      </c>
      <c r="Q833" s="2">
        <v>0</v>
      </c>
      <c r="R833" s="2">
        <v>0</v>
      </c>
      <c r="S833" s="2">
        <v>0</v>
      </c>
      <c r="T833" s="2">
        <v>3</v>
      </c>
      <c r="U833" s="2">
        <v>0</v>
      </c>
      <c r="V833" s="2">
        <v>0</v>
      </c>
      <c r="W833" s="2">
        <v>23</v>
      </c>
      <c r="X833" s="2">
        <v>0</v>
      </c>
      <c r="Y833" s="2">
        <v>1</v>
      </c>
      <c r="Z833" s="2">
        <v>0</v>
      </c>
      <c r="AA833" s="2">
        <v>1</v>
      </c>
      <c r="AB833" s="2">
        <v>2</v>
      </c>
      <c r="AC833" s="2">
        <v>1</v>
      </c>
      <c r="AD833" s="2">
        <v>1</v>
      </c>
      <c r="AE833" s="2">
        <v>0</v>
      </c>
      <c r="AF833" s="2">
        <v>0</v>
      </c>
      <c r="AG833" s="20">
        <f t="shared" si="12"/>
        <v>-500</v>
      </c>
    </row>
    <row r="834" spans="1:33" x14ac:dyDescent="0.25">
      <c r="A834">
        <v>833</v>
      </c>
      <c r="B834" s="2">
        <v>0</v>
      </c>
      <c r="C834" s="2">
        <v>45</v>
      </c>
      <c r="D834" s="2">
        <v>0</v>
      </c>
      <c r="E834" s="2">
        <v>0</v>
      </c>
      <c r="F834" s="2">
        <v>0</v>
      </c>
      <c r="G834" s="2">
        <v>0</v>
      </c>
      <c r="H834" s="2">
        <v>0</v>
      </c>
      <c r="I834" s="2">
        <v>0</v>
      </c>
      <c r="J834" s="2">
        <v>1</v>
      </c>
      <c r="K834" s="2">
        <v>11816</v>
      </c>
      <c r="L834" s="2">
        <v>0</v>
      </c>
      <c r="M834" s="2">
        <v>4</v>
      </c>
      <c r="N834" s="2">
        <v>2</v>
      </c>
      <c r="O834" s="2">
        <v>0</v>
      </c>
      <c r="P834" s="2">
        <v>1</v>
      </c>
      <c r="Q834" s="2">
        <v>0</v>
      </c>
      <c r="R834" s="2">
        <v>0</v>
      </c>
      <c r="S834" s="2">
        <v>0</v>
      </c>
      <c r="T834" s="2">
        <v>4</v>
      </c>
      <c r="U834" s="2">
        <v>0</v>
      </c>
      <c r="V834" s="2">
        <v>0</v>
      </c>
      <c r="W834" s="2">
        <v>29</v>
      </c>
      <c r="X834" s="2">
        <v>0</v>
      </c>
      <c r="Y834" s="2">
        <v>1</v>
      </c>
      <c r="Z834" s="2">
        <v>0</v>
      </c>
      <c r="AA834" s="2">
        <v>2</v>
      </c>
      <c r="AB834" s="2">
        <v>2</v>
      </c>
      <c r="AC834" s="2">
        <v>1</v>
      </c>
      <c r="AD834" s="2">
        <v>0</v>
      </c>
      <c r="AE834" s="2">
        <v>0</v>
      </c>
      <c r="AF834" s="2">
        <v>0</v>
      </c>
      <c r="AG834" s="20">
        <f t="shared" si="12"/>
        <v>-500</v>
      </c>
    </row>
    <row r="835" spans="1:33" x14ac:dyDescent="0.25">
      <c r="A835">
        <v>834</v>
      </c>
      <c r="B835" s="2">
        <v>1</v>
      </c>
      <c r="C835" s="2">
        <v>24</v>
      </c>
      <c r="D835" s="2">
        <v>2</v>
      </c>
      <c r="E835" s="2">
        <v>0</v>
      </c>
      <c r="F835" s="2">
        <v>0</v>
      </c>
      <c r="G835" s="2">
        <v>0</v>
      </c>
      <c r="H835" s="2">
        <v>1</v>
      </c>
      <c r="I835" s="2">
        <v>0</v>
      </c>
      <c r="J835" s="2">
        <v>0</v>
      </c>
      <c r="K835" s="2">
        <v>5084</v>
      </c>
      <c r="L835" s="2">
        <v>4</v>
      </c>
      <c r="M835" s="2">
        <v>4</v>
      </c>
      <c r="N835" s="2">
        <v>2</v>
      </c>
      <c r="O835" s="2">
        <v>0</v>
      </c>
      <c r="P835" s="2">
        <v>0</v>
      </c>
      <c r="Q835" s="2">
        <v>0</v>
      </c>
      <c r="R835" s="2">
        <v>0</v>
      </c>
      <c r="S835" s="2">
        <v>0</v>
      </c>
      <c r="T835" s="2">
        <v>4</v>
      </c>
      <c r="U835" s="2">
        <v>0</v>
      </c>
      <c r="V835" s="2">
        <v>0</v>
      </c>
      <c r="W835" s="2">
        <v>42</v>
      </c>
      <c r="X835" s="2">
        <v>0</v>
      </c>
      <c r="Y835" s="2">
        <v>0</v>
      </c>
      <c r="Z835" s="2">
        <v>1</v>
      </c>
      <c r="AA835" s="2">
        <v>1</v>
      </c>
      <c r="AB835" s="2">
        <v>2</v>
      </c>
      <c r="AC835" s="2">
        <v>1</v>
      </c>
      <c r="AD835" s="2">
        <v>1</v>
      </c>
      <c r="AE835" s="2">
        <v>0</v>
      </c>
      <c r="AF835" s="2">
        <v>1</v>
      </c>
      <c r="AG835" s="20">
        <f t="shared" si="12"/>
        <v>100</v>
      </c>
    </row>
    <row r="836" spans="1:33" x14ac:dyDescent="0.25">
      <c r="A836">
        <v>835</v>
      </c>
      <c r="B836" s="2">
        <v>2</v>
      </c>
      <c r="C836" s="2">
        <v>15</v>
      </c>
      <c r="D836" s="2">
        <v>2</v>
      </c>
      <c r="E836" s="2">
        <v>0</v>
      </c>
      <c r="F836" s="2">
        <v>0</v>
      </c>
      <c r="G836" s="2">
        <v>0</v>
      </c>
      <c r="H836" s="2">
        <v>1</v>
      </c>
      <c r="I836" s="2">
        <v>0</v>
      </c>
      <c r="J836" s="2">
        <v>0</v>
      </c>
      <c r="K836" s="2">
        <v>2327</v>
      </c>
      <c r="L836" s="2">
        <v>0</v>
      </c>
      <c r="M836" s="2">
        <v>1</v>
      </c>
      <c r="N836" s="2">
        <v>2</v>
      </c>
      <c r="O836" s="2">
        <v>0</v>
      </c>
      <c r="P836" s="2">
        <v>0</v>
      </c>
      <c r="Q836" s="2">
        <v>0</v>
      </c>
      <c r="R836" s="2">
        <v>0</v>
      </c>
      <c r="S836" s="2">
        <v>0</v>
      </c>
      <c r="T836" s="2">
        <v>3</v>
      </c>
      <c r="U836" s="2">
        <v>1</v>
      </c>
      <c r="V836" s="2">
        <v>0</v>
      </c>
      <c r="W836" s="2">
        <v>25</v>
      </c>
      <c r="X836" s="2">
        <v>0</v>
      </c>
      <c r="Y836" s="2">
        <v>0</v>
      </c>
      <c r="Z836" s="2">
        <v>1</v>
      </c>
      <c r="AA836" s="2">
        <v>1</v>
      </c>
      <c r="AB836" s="2">
        <v>1</v>
      </c>
      <c r="AC836" s="2">
        <v>1</v>
      </c>
      <c r="AD836" s="2">
        <v>0</v>
      </c>
      <c r="AE836" s="2">
        <v>0</v>
      </c>
      <c r="AF836" s="2">
        <v>0</v>
      </c>
      <c r="AG836" s="20">
        <f t="shared" ref="AG836:AG899" si="13">IF(AF836=1,100,-500)</f>
        <v>-500</v>
      </c>
    </row>
    <row r="837" spans="1:33" x14ac:dyDescent="0.25">
      <c r="A837">
        <v>836</v>
      </c>
      <c r="B837" s="2">
        <v>0</v>
      </c>
      <c r="C837" s="2">
        <v>12</v>
      </c>
      <c r="D837" s="2">
        <v>0</v>
      </c>
      <c r="E837" s="2">
        <v>1</v>
      </c>
      <c r="F837" s="2">
        <v>0</v>
      </c>
      <c r="G837" s="2">
        <v>0</v>
      </c>
      <c r="H837" s="2">
        <v>0</v>
      </c>
      <c r="I837" s="2">
        <v>0</v>
      </c>
      <c r="J837" s="2">
        <v>0</v>
      </c>
      <c r="K837" s="2">
        <v>1082</v>
      </c>
      <c r="L837" s="2">
        <v>0</v>
      </c>
      <c r="M837" s="2">
        <v>2</v>
      </c>
      <c r="N837" s="2">
        <v>4</v>
      </c>
      <c r="O837" s="2">
        <v>0</v>
      </c>
      <c r="P837" s="2">
        <v>1</v>
      </c>
      <c r="Q837" s="2">
        <v>0</v>
      </c>
      <c r="R837" s="2">
        <v>0</v>
      </c>
      <c r="S837" s="2">
        <v>0</v>
      </c>
      <c r="T837" s="2">
        <v>4</v>
      </c>
      <c r="U837" s="2">
        <v>0</v>
      </c>
      <c r="V837" s="2">
        <v>0</v>
      </c>
      <c r="W837" s="2">
        <v>48</v>
      </c>
      <c r="X837" s="2">
        <v>1</v>
      </c>
      <c r="Y837" s="2">
        <v>0</v>
      </c>
      <c r="Z837" s="2">
        <v>1</v>
      </c>
      <c r="AA837" s="2">
        <v>2</v>
      </c>
      <c r="AB837" s="2">
        <v>2</v>
      </c>
      <c r="AC837" s="2">
        <v>1</v>
      </c>
      <c r="AD837" s="2">
        <v>0</v>
      </c>
      <c r="AE837" s="2">
        <v>0</v>
      </c>
      <c r="AF837" s="2">
        <v>0</v>
      </c>
      <c r="AG837" s="20">
        <f t="shared" si="13"/>
        <v>-500</v>
      </c>
    </row>
    <row r="838" spans="1:33" x14ac:dyDescent="0.25">
      <c r="A838">
        <v>837</v>
      </c>
      <c r="B838" s="2">
        <v>3</v>
      </c>
      <c r="C838" s="2">
        <v>12</v>
      </c>
      <c r="D838" s="2">
        <v>2</v>
      </c>
      <c r="E838" s="2">
        <v>0</v>
      </c>
      <c r="F838" s="2">
        <v>0</v>
      </c>
      <c r="G838" s="2">
        <v>0</v>
      </c>
      <c r="H838" s="2">
        <v>1</v>
      </c>
      <c r="I838" s="2">
        <v>0</v>
      </c>
      <c r="J838" s="2">
        <v>0</v>
      </c>
      <c r="K838" s="2">
        <v>886</v>
      </c>
      <c r="L838" s="2">
        <v>4</v>
      </c>
      <c r="M838" s="2">
        <v>2</v>
      </c>
      <c r="N838" s="2">
        <v>4</v>
      </c>
      <c r="O838" s="2">
        <v>0</v>
      </c>
      <c r="P838" s="2">
        <v>0</v>
      </c>
      <c r="Q838" s="2">
        <v>0</v>
      </c>
      <c r="R838" s="2">
        <v>0</v>
      </c>
      <c r="S838" s="2">
        <v>0</v>
      </c>
      <c r="T838" s="2">
        <v>2</v>
      </c>
      <c r="U838" s="2">
        <v>0</v>
      </c>
      <c r="V838" s="2">
        <v>0</v>
      </c>
      <c r="W838" s="2">
        <v>21</v>
      </c>
      <c r="X838" s="2">
        <v>0</v>
      </c>
      <c r="Y838" s="2">
        <v>0</v>
      </c>
      <c r="Z838" s="2">
        <v>1</v>
      </c>
      <c r="AA838" s="2">
        <v>1</v>
      </c>
      <c r="AB838" s="2">
        <v>2</v>
      </c>
      <c r="AC838" s="2">
        <v>1</v>
      </c>
      <c r="AD838" s="2">
        <v>0</v>
      </c>
      <c r="AE838" s="2">
        <v>0</v>
      </c>
      <c r="AF838" s="2">
        <v>1</v>
      </c>
      <c r="AG838" s="20">
        <f t="shared" si="13"/>
        <v>100</v>
      </c>
    </row>
    <row r="839" spans="1:33" x14ac:dyDescent="0.25">
      <c r="A839">
        <v>838</v>
      </c>
      <c r="B839" s="2">
        <v>3</v>
      </c>
      <c r="C839" s="2">
        <v>4</v>
      </c>
      <c r="D839" s="2">
        <v>2</v>
      </c>
      <c r="E839" s="2">
        <v>0</v>
      </c>
      <c r="F839" s="2">
        <v>0</v>
      </c>
      <c r="G839" s="2">
        <v>1</v>
      </c>
      <c r="H839" s="2">
        <v>0</v>
      </c>
      <c r="I839" s="2">
        <v>0</v>
      </c>
      <c r="J839" s="2">
        <v>0</v>
      </c>
      <c r="K839" s="2">
        <v>601</v>
      </c>
      <c r="L839" s="2">
        <v>0</v>
      </c>
      <c r="M839" s="2">
        <v>1</v>
      </c>
      <c r="N839" s="2">
        <v>1</v>
      </c>
      <c r="O839" s="2">
        <v>0</v>
      </c>
      <c r="P839" s="2">
        <v>0</v>
      </c>
      <c r="Q839" s="2">
        <v>0</v>
      </c>
      <c r="R839" s="2">
        <v>0</v>
      </c>
      <c r="S839" s="2">
        <v>0</v>
      </c>
      <c r="T839" s="2">
        <v>3</v>
      </c>
      <c r="U839" s="2">
        <v>1</v>
      </c>
      <c r="V839" s="2">
        <v>0</v>
      </c>
      <c r="W839" s="2">
        <v>23</v>
      </c>
      <c r="X839" s="2">
        <v>0</v>
      </c>
      <c r="Y839" s="2">
        <v>1</v>
      </c>
      <c r="Z839" s="2">
        <v>0</v>
      </c>
      <c r="AA839" s="2">
        <v>1</v>
      </c>
      <c r="AB839" s="2">
        <v>1</v>
      </c>
      <c r="AC839" s="2">
        <v>2</v>
      </c>
      <c r="AD839" s="2">
        <v>0</v>
      </c>
      <c r="AE839" s="2">
        <v>0</v>
      </c>
      <c r="AF839" s="2">
        <v>1</v>
      </c>
      <c r="AG839" s="20">
        <f t="shared" si="13"/>
        <v>100</v>
      </c>
    </row>
    <row r="840" spans="1:33" x14ac:dyDescent="0.25">
      <c r="A840">
        <v>839</v>
      </c>
      <c r="B840" s="2">
        <v>0</v>
      </c>
      <c r="C840" s="2">
        <v>24</v>
      </c>
      <c r="D840" s="2">
        <v>4</v>
      </c>
      <c r="E840" s="2">
        <v>0</v>
      </c>
      <c r="F840" s="2">
        <v>1</v>
      </c>
      <c r="G840" s="2">
        <v>0</v>
      </c>
      <c r="H840" s="2">
        <v>0</v>
      </c>
      <c r="I840" s="2">
        <v>0</v>
      </c>
      <c r="J840" s="2">
        <v>0</v>
      </c>
      <c r="K840" s="2">
        <v>2957</v>
      </c>
      <c r="L840" s="2">
        <v>0</v>
      </c>
      <c r="M840" s="2">
        <v>4</v>
      </c>
      <c r="N840" s="2">
        <v>4</v>
      </c>
      <c r="O840" s="2">
        <v>0</v>
      </c>
      <c r="P840" s="2">
        <v>1</v>
      </c>
      <c r="Q840" s="2">
        <v>0</v>
      </c>
      <c r="R840" s="2">
        <v>0</v>
      </c>
      <c r="S840" s="2">
        <v>0</v>
      </c>
      <c r="T840" s="2">
        <v>4</v>
      </c>
      <c r="U840" s="2">
        <v>0</v>
      </c>
      <c r="V840" s="2">
        <v>0</v>
      </c>
      <c r="W840" s="2">
        <v>63</v>
      </c>
      <c r="X840" s="2">
        <v>0</v>
      </c>
      <c r="Y840" s="2">
        <v>0</v>
      </c>
      <c r="Z840" s="2">
        <v>1</v>
      </c>
      <c r="AA840" s="2">
        <v>2</v>
      </c>
      <c r="AB840" s="2">
        <v>2</v>
      </c>
      <c r="AC840" s="2">
        <v>1</v>
      </c>
      <c r="AD840" s="2">
        <v>1</v>
      </c>
      <c r="AE840" s="2">
        <v>0</v>
      </c>
      <c r="AF840" s="2">
        <v>1</v>
      </c>
      <c r="AG840" s="20">
        <f t="shared" si="13"/>
        <v>100</v>
      </c>
    </row>
    <row r="841" spans="1:33" x14ac:dyDescent="0.25">
      <c r="A841">
        <v>840</v>
      </c>
      <c r="B841" s="2">
        <v>3</v>
      </c>
      <c r="C841" s="2">
        <v>24</v>
      </c>
      <c r="D841" s="2">
        <v>4</v>
      </c>
      <c r="E841" s="2">
        <v>0</v>
      </c>
      <c r="F841" s="2">
        <v>0</v>
      </c>
      <c r="G841" s="2">
        <v>0</v>
      </c>
      <c r="H841" s="2">
        <v>1</v>
      </c>
      <c r="I841" s="2">
        <v>0</v>
      </c>
      <c r="J841" s="2">
        <v>0</v>
      </c>
      <c r="K841" s="2">
        <v>2611</v>
      </c>
      <c r="L841" s="2">
        <v>0</v>
      </c>
      <c r="M841" s="2">
        <v>4</v>
      </c>
      <c r="N841" s="2">
        <v>4</v>
      </c>
      <c r="O841" s="2">
        <v>0</v>
      </c>
      <c r="P841" s="2">
        <v>0</v>
      </c>
      <c r="Q841" s="2">
        <v>1</v>
      </c>
      <c r="R841" s="2">
        <v>1</v>
      </c>
      <c r="S841" s="2">
        <v>0</v>
      </c>
      <c r="T841" s="2">
        <v>3</v>
      </c>
      <c r="U841" s="2">
        <v>1</v>
      </c>
      <c r="V841" s="2">
        <v>0</v>
      </c>
      <c r="W841" s="2">
        <v>46</v>
      </c>
      <c r="X841" s="2">
        <v>0</v>
      </c>
      <c r="Y841" s="2">
        <v>0</v>
      </c>
      <c r="Z841" s="2">
        <v>1</v>
      </c>
      <c r="AA841" s="2">
        <v>2</v>
      </c>
      <c r="AB841" s="2">
        <v>2</v>
      </c>
      <c r="AC841" s="2">
        <v>1</v>
      </c>
      <c r="AD841" s="2">
        <v>0</v>
      </c>
      <c r="AE841" s="2">
        <v>0</v>
      </c>
      <c r="AF841" s="2">
        <v>1</v>
      </c>
      <c r="AG841" s="20">
        <f t="shared" si="13"/>
        <v>100</v>
      </c>
    </row>
    <row r="842" spans="1:33" x14ac:dyDescent="0.25">
      <c r="A842">
        <v>841</v>
      </c>
      <c r="B842" s="2">
        <v>0</v>
      </c>
      <c r="C842" s="2">
        <v>36</v>
      </c>
      <c r="D842" s="2">
        <v>2</v>
      </c>
      <c r="E842" s="2">
        <v>0</v>
      </c>
      <c r="F842" s="2">
        <v>0</v>
      </c>
      <c r="G842" s="2">
        <v>1</v>
      </c>
      <c r="H842" s="2">
        <v>0</v>
      </c>
      <c r="I842" s="2">
        <v>0</v>
      </c>
      <c r="J842" s="2">
        <v>0</v>
      </c>
      <c r="K842" s="2">
        <v>5179</v>
      </c>
      <c r="L842" s="2">
        <v>0</v>
      </c>
      <c r="M842" s="2">
        <v>3</v>
      </c>
      <c r="N842" s="2">
        <v>4</v>
      </c>
      <c r="O842" s="2">
        <v>0</v>
      </c>
      <c r="P842" s="2">
        <v>1</v>
      </c>
      <c r="Q842" s="2">
        <v>0</v>
      </c>
      <c r="R842" s="2">
        <v>0</v>
      </c>
      <c r="S842" s="2">
        <v>0</v>
      </c>
      <c r="T842" s="2">
        <v>2</v>
      </c>
      <c r="U842" s="2">
        <v>0</v>
      </c>
      <c r="V842" s="2">
        <v>0</v>
      </c>
      <c r="W842" s="2">
        <v>29</v>
      </c>
      <c r="X842" s="2">
        <v>0</v>
      </c>
      <c r="Y842" s="2">
        <v>0</v>
      </c>
      <c r="Z842" s="2">
        <v>1</v>
      </c>
      <c r="AA842" s="2">
        <v>1</v>
      </c>
      <c r="AB842" s="2">
        <v>2</v>
      </c>
      <c r="AC842" s="2">
        <v>1</v>
      </c>
      <c r="AD842" s="2">
        <v>0</v>
      </c>
      <c r="AE842" s="2">
        <v>0</v>
      </c>
      <c r="AF842" s="2">
        <v>0</v>
      </c>
      <c r="AG842" s="20">
        <f t="shared" si="13"/>
        <v>-500</v>
      </c>
    </row>
    <row r="843" spans="1:33" x14ac:dyDescent="0.25">
      <c r="A843">
        <v>842</v>
      </c>
      <c r="B843" s="2">
        <v>3</v>
      </c>
      <c r="C843" s="2">
        <v>21</v>
      </c>
      <c r="D843" s="2">
        <v>3</v>
      </c>
      <c r="E843" s="2">
        <v>0</v>
      </c>
      <c r="F843" s="2">
        <v>1</v>
      </c>
      <c r="G843" s="2">
        <v>0</v>
      </c>
      <c r="H843" s="2">
        <v>0</v>
      </c>
      <c r="I843" s="2">
        <v>0</v>
      </c>
      <c r="J843" s="2">
        <v>0</v>
      </c>
      <c r="K843" s="2">
        <v>2993</v>
      </c>
      <c r="L843" s="2">
        <v>0</v>
      </c>
      <c r="M843" s="2">
        <v>2</v>
      </c>
      <c r="N843" s="2">
        <v>3</v>
      </c>
      <c r="O843" s="2">
        <v>0</v>
      </c>
      <c r="P843" s="2">
        <v>1</v>
      </c>
      <c r="Q843" s="2">
        <v>0</v>
      </c>
      <c r="R843" s="2">
        <v>0</v>
      </c>
      <c r="S843" s="2">
        <v>0</v>
      </c>
      <c r="T843" s="2">
        <v>2</v>
      </c>
      <c r="U843" s="2">
        <v>1</v>
      </c>
      <c r="V843" s="2">
        <v>0</v>
      </c>
      <c r="W843" s="2">
        <v>28</v>
      </c>
      <c r="X843" s="2">
        <v>1</v>
      </c>
      <c r="Y843" s="2">
        <v>0</v>
      </c>
      <c r="Z843" s="2">
        <v>1</v>
      </c>
      <c r="AA843" s="2">
        <v>2</v>
      </c>
      <c r="AB843" s="2">
        <v>1</v>
      </c>
      <c r="AC843" s="2">
        <v>1</v>
      </c>
      <c r="AD843" s="2">
        <v>0</v>
      </c>
      <c r="AE843" s="2">
        <v>0</v>
      </c>
      <c r="AF843" s="2">
        <v>1</v>
      </c>
      <c r="AG843" s="20">
        <f t="shared" si="13"/>
        <v>100</v>
      </c>
    </row>
    <row r="844" spans="1:33" x14ac:dyDescent="0.25">
      <c r="A844">
        <v>843</v>
      </c>
      <c r="B844" s="2">
        <v>3</v>
      </c>
      <c r="C844" s="2">
        <v>18</v>
      </c>
      <c r="D844" s="2">
        <v>2</v>
      </c>
      <c r="E844" s="2">
        <v>0</v>
      </c>
      <c r="F844" s="2">
        <v>0</v>
      </c>
      <c r="G844" s="2">
        <v>0</v>
      </c>
      <c r="H844" s="2">
        <v>0</v>
      </c>
      <c r="I844" s="2">
        <v>0</v>
      </c>
      <c r="J844" s="2">
        <v>0</v>
      </c>
      <c r="K844" s="2">
        <v>1943</v>
      </c>
      <c r="L844" s="2">
        <v>0</v>
      </c>
      <c r="M844" s="2">
        <v>1</v>
      </c>
      <c r="N844" s="2">
        <v>4</v>
      </c>
      <c r="O844" s="2">
        <v>0</v>
      </c>
      <c r="P844" s="2">
        <v>0</v>
      </c>
      <c r="Q844" s="2">
        <v>0</v>
      </c>
      <c r="R844" s="2">
        <v>0</v>
      </c>
      <c r="S844" s="2">
        <v>0</v>
      </c>
      <c r="T844" s="2">
        <v>4</v>
      </c>
      <c r="U844" s="2">
        <v>1</v>
      </c>
      <c r="V844" s="2">
        <v>0</v>
      </c>
      <c r="W844" s="2">
        <v>23</v>
      </c>
      <c r="X844" s="2">
        <v>0</v>
      </c>
      <c r="Y844" s="2">
        <v>0</v>
      </c>
      <c r="Z844" s="2">
        <v>1</v>
      </c>
      <c r="AA844" s="2">
        <v>1</v>
      </c>
      <c r="AB844" s="2">
        <v>2</v>
      </c>
      <c r="AC844" s="2">
        <v>1</v>
      </c>
      <c r="AD844" s="2">
        <v>0</v>
      </c>
      <c r="AE844" s="2">
        <v>0</v>
      </c>
      <c r="AF844" s="2">
        <v>0</v>
      </c>
      <c r="AG844" s="20">
        <f t="shared" si="13"/>
        <v>-500</v>
      </c>
    </row>
    <row r="845" spans="1:33" x14ac:dyDescent="0.25">
      <c r="A845">
        <v>844</v>
      </c>
      <c r="B845" s="2">
        <v>3</v>
      </c>
      <c r="C845" s="2">
        <v>24</v>
      </c>
      <c r="D845" s="2">
        <v>1</v>
      </c>
      <c r="E845" s="2">
        <v>0</v>
      </c>
      <c r="F845" s="2">
        <v>0</v>
      </c>
      <c r="G845" s="2">
        <v>0</v>
      </c>
      <c r="H845" s="2">
        <v>0</v>
      </c>
      <c r="I845" s="2">
        <v>0</v>
      </c>
      <c r="J845" s="2">
        <v>1</v>
      </c>
      <c r="K845" s="2">
        <v>1559</v>
      </c>
      <c r="L845" s="2">
        <v>0</v>
      </c>
      <c r="M845" s="2">
        <v>3</v>
      </c>
      <c r="N845" s="2">
        <v>4</v>
      </c>
      <c r="O845" s="2">
        <v>0</v>
      </c>
      <c r="P845" s="2">
        <v>1</v>
      </c>
      <c r="Q845" s="2">
        <v>0</v>
      </c>
      <c r="R845" s="2">
        <v>0</v>
      </c>
      <c r="S845" s="2">
        <v>0</v>
      </c>
      <c r="T845" s="2">
        <v>4</v>
      </c>
      <c r="U845" s="2">
        <v>0</v>
      </c>
      <c r="V845" s="2">
        <v>0</v>
      </c>
      <c r="W845" s="2">
        <v>50</v>
      </c>
      <c r="X845" s="2">
        <v>1</v>
      </c>
      <c r="Y845" s="2">
        <v>0</v>
      </c>
      <c r="Z845" s="2">
        <v>1</v>
      </c>
      <c r="AA845" s="2">
        <v>1</v>
      </c>
      <c r="AB845" s="2">
        <v>2</v>
      </c>
      <c r="AC845" s="2">
        <v>1</v>
      </c>
      <c r="AD845" s="2">
        <v>1</v>
      </c>
      <c r="AE845" s="2">
        <v>0</v>
      </c>
      <c r="AF845" s="2">
        <v>1</v>
      </c>
      <c r="AG845" s="20">
        <f t="shared" si="13"/>
        <v>100</v>
      </c>
    </row>
    <row r="846" spans="1:33" x14ac:dyDescent="0.25">
      <c r="A846">
        <v>845</v>
      </c>
      <c r="B846" s="2">
        <v>3</v>
      </c>
      <c r="C846" s="2">
        <v>18</v>
      </c>
      <c r="D846" s="2">
        <v>2</v>
      </c>
      <c r="E846" s="2">
        <v>0</v>
      </c>
      <c r="F846" s="2">
        <v>0</v>
      </c>
      <c r="G846" s="2">
        <v>1</v>
      </c>
      <c r="H846" s="2">
        <v>0</v>
      </c>
      <c r="I846" s="2">
        <v>0</v>
      </c>
      <c r="J846" s="2">
        <v>0</v>
      </c>
      <c r="K846" s="2">
        <v>3422</v>
      </c>
      <c r="L846" s="2">
        <v>0</v>
      </c>
      <c r="M846" s="2">
        <v>4</v>
      </c>
      <c r="N846" s="2">
        <v>4</v>
      </c>
      <c r="O846" s="2">
        <v>0</v>
      </c>
      <c r="P846" s="2">
        <v>1</v>
      </c>
      <c r="Q846" s="2">
        <v>0</v>
      </c>
      <c r="R846" s="2">
        <v>0</v>
      </c>
      <c r="S846" s="2">
        <v>0</v>
      </c>
      <c r="T846" s="2">
        <v>4</v>
      </c>
      <c r="U846" s="2">
        <v>0</v>
      </c>
      <c r="V846" s="2">
        <v>0</v>
      </c>
      <c r="W846" s="2">
        <v>47</v>
      </c>
      <c r="X846" s="2">
        <v>1</v>
      </c>
      <c r="Y846" s="2">
        <v>0</v>
      </c>
      <c r="Z846" s="2">
        <v>1</v>
      </c>
      <c r="AA846" s="2">
        <v>3</v>
      </c>
      <c r="AB846" s="2">
        <v>2</v>
      </c>
      <c r="AC846" s="2">
        <v>2</v>
      </c>
      <c r="AD846" s="2">
        <v>1</v>
      </c>
      <c r="AE846" s="2">
        <v>0</v>
      </c>
      <c r="AF846" s="2">
        <v>1</v>
      </c>
      <c r="AG846" s="20">
        <f t="shared" si="13"/>
        <v>100</v>
      </c>
    </row>
    <row r="847" spans="1:33" x14ac:dyDescent="0.25">
      <c r="A847">
        <v>846</v>
      </c>
      <c r="B847" s="2">
        <v>1</v>
      </c>
      <c r="C847" s="2">
        <v>21</v>
      </c>
      <c r="D847" s="2">
        <v>2</v>
      </c>
      <c r="E847" s="2">
        <v>0</v>
      </c>
      <c r="F847" s="2">
        <v>0</v>
      </c>
      <c r="G847" s="2">
        <v>1</v>
      </c>
      <c r="H847" s="2">
        <v>0</v>
      </c>
      <c r="I847" s="2">
        <v>0</v>
      </c>
      <c r="J847" s="2">
        <v>0</v>
      </c>
      <c r="K847" s="2">
        <v>3976</v>
      </c>
      <c r="L847" s="2">
        <v>4</v>
      </c>
      <c r="M847" s="2">
        <v>3</v>
      </c>
      <c r="N847" s="2">
        <v>2</v>
      </c>
      <c r="O847" s="2">
        <v>0</v>
      </c>
      <c r="P847" s="2">
        <v>1</v>
      </c>
      <c r="Q847" s="2">
        <v>0</v>
      </c>
      <c r="R847" s="2">
        <v>0</v>
      </c>
      <c r="S847" s="2">
        <v>0</v>
      </c>
      <c r="T847" s="2">
        <v>3</v>
      </c>
      <c r="U847" s="2">
        <v>0</v>
      </c>
      <c r="V847" s="2">
        <v>0</v>
      </c>
      <c r="W847" s="2">
        <v>35</v>
      </c>
      <c r="X847" s="2">
        <v>0</v>
      </c>
      <c r="Y847" s="2">
        <v>0</v>
      </c>
      <c r="Z847" s="2">
        <v>1</v>
      </c>
      <c r="AA847" s="2">
        <v>1</v>
      </c>
      <c r="AB847" s="2">
        <v>2</v>
      </c>
      <c r="AC847" s="2">
        <v>1</v>
      </c>
      <c r="AD847" s="2">
        <v>1</v>
      </c>
      <c r="AE847" s="2">
        <v>0</v>
      </c>
      <c r="AF847" s="2">
        <v>1</v>
      </c>
      <c r="AG847" s="20">
        <f t="shared" si="13"/>
        <v>100</v>
      </c>
    </row>
    <row r="848" spans="1:33" x14ac:dyDescent="0.25">
      <c r="A848">
        <v>847</v>
      </c>
      <c r="B848" s="2">
        <v>3</v>
      </c>
      <c r="C848" s="2">
        <v>18</v>
      </c>
      <c r="D848" s="2">
        <v>2</v>
      </c>
      <c r="E848" s="2">
        <v>1</v>
      </c>
      <c r="F848" s="2">
        <v>0</v>
      </c>
      <c r="G848" s="2">
        <v>0</v>
      </c>
      <c r="H848" s="2">
        <v>0</v>
      </c>
      <c r="I848" s="2">
        <v>0</v>
      </c>
      <c r="J848" s="2">
        <v>0</v>
      </c>
      <c r="K848" s="2">
        <v>6761</v>
      </c>
      <c r="L848" s="2">
        <v>4</v>
      </c>
      <c r="M848" s="2">
        <v>2</v>
      </c>
      <c r="N848" s="2">
        <v>2</v>
      </c>
      <c r="O848" s="2">
        <v>0</v>
      </c>
      <c r="P848" s="2">
        <v>1</v>
      </c>
      <c r="Q848" s="2">
        <v>0</v>
      </c>
      <c r="R848" s="2">
        <v>0</v>
      </c>
      <c r="S848" s="2">
        <v>0</v>
      </c>
      <c r="T848" s="2">
        <v>4</v>
      </c>
      <c r="U848" s="2">
        <v>0</v>
      </c>
      <c r="V848" s="2">
        <v>0</v>
      </c>
      <c r="W848" s="2">
        <v>68</v>
      </c>
      <c r="X848" s="2">
        <v>0</v>
      </c>
      <c r="Y848" s="2">
        <v>1</v>
      </c>
      <c r="Z848" s="2">
        <v>0</v>
      </c>
      <c r="AA848" s="2">
        <v>2</v>
      </c>
      <c r="AB848" s="2">
        <v>2</v>
      </c>
      <c r="AC848" s="2">
        <v>1</v>
      </c>
      <c r="AD848" s="2">
        <v>0</v>
      </c>
      <c r="AE848" s="2">
        <v>0</v>
      </c>
      <c r="AF848" s="2">
        <v>0</v>
      </c>
      <c r="AG848" s="20">
        <f t="shared" si="13"/>
        <v>-500</v>
      </c>
    </row>
    <row r="849" spans="1:33" x14ac:dyDescent="0.25">
      <c r="A849">
        <v>848</v>
      </c>
      <c r="B849" s="2">
        <v>3</v>
      </c>
      <c r="C849" s="2">
        <v>24</v>
      </c>
      <c r="D849" s="2">
        <v>2</v>
      </c>
      <c r="E849" s="2">
        <v>1</v>
      </c>
      <c r="F849" s="2">
        <v>0</v>
      </c>
      <c r="G849" s="2">
        <v>0</v>
      </c>
      <c r="H849" s="2">
        <v>0</v>
      </c>
      <c r="I849" s="2">
        <v>0</v>
      </c>
      <c r="J849" s="2">
        <v>0</v>
      </c>
      <c r="K849" s="2">
        <v>1249</v>
      </c>
      <c r="L849" s="2">
        <v>0</v>
      </c>
      <c r="M849" s="2">
        <v>1</v>
      </c>
      <c r="N849" s="2">
        <v>4</v>
      </c>
      <c r="O849" s="2">
        <v>0</v>
      </c>
      <c r="P849" s="2">
        <v>0</v>
      </c>
      <c r="Q849" s="2">
        <v>1</v>
      </c>
      <c r="R849" s="2">
        <v>0</v>
      </c>
      <c r="S849" s="2">
        <v>0</v>
      </c>
      <c r="T849" s="2">
        <v>2</v>
      </c>
      <c r="U849" s="2">
        <v>1</v>
      </c>
      <c r="V849" s="2">
        <v>0</v>
      </c>
      <c r="W849" s="2">
        <v>28</v>
      </c>
      <c r="X849" s="2">
        <v>0</v>
      </c>
      <c r="Y849" s="2">
        <v>0</v>
      </c>
      <c r="Z849" s="2">
        <v>1</v>
      </c>
      <c r="AA849" s="2">
        <v>1</v>
      </c>
      <c r="AB849" s="2">
        <v>2</v>
      </c>
      <c r="AC849" s="2">
        <v>1</v>
      </c>
      <c r="AD849" s="2">
        <v>0</v>
      </c>
      <c r="AE849" s="2">
        <v>0</v>
      </c>
      <c r="AF849" s="2">
        <v>1</v>
      </c>
      <c r="AG849" s="20">
        <f t="shared" si="13"/>
        <v>100</v>
      </c>
    </row>
    <row r="850" spans="1:33" x14ac:dyDescent="0.25">
      <c r="A850">
        <v>849</v>
      </c>
      <c r="B850" s="2">
        <v>0</v>
      </c>
      <c r="C850" s="2">
        <v>9</v>
      </c>
      <c r="D850" s="2">
        <v>2</v>
      </c>
      <c r="E850" s="2">
        <v>0</v>
      </c>
      <c r="F850" s="2">
        <v>0</v>
      </c>
      <c r="G850" s="2">
        <v>0</v>
      </c>
      <c r="H850" s="2">
        <v>1</v>
      </c>
      <c r="I850" s="2">
        <v>0</v>
      </c>
      <c r="J850" s="2">
        <v>0</v>
      </c>
      <c r="K850" s="2">
        <v>1364</v>
      </c>
      <c r="L850" s="2">
        <v>0</v>
      </c>
      <c r="M850" s="2">
        <v>3</v>
      </c>
      <c r="N850" s="2">
        <v>3</v>
      </c>
      <c r="O850" s="2">
        <v>0</v>
      </c>
      <c r="P850" s="2">
        <v>1</v>
      </c>
      <c r="Q850" s="2">
        <v>0</v>
      </c>
      <c r="R850" s="2">
        <v>0</v>
      </c>
      <c r="S850" s="2">
        <v>0</v>
      </c>
      <c r="T850" s="2">
        <v>4</v>
      </c>
      <c r="U850" s="2">
        <v>1</v>
      </c>
      <c r="V850" s="2">
        <v>0</v>
      </c>
      <c r="W850" s="2">
        <v>59</v>
      </c>
      <c r="X850" s="2">
        <v>0</v>
      </c>
      <c r="Y850" s="2">
        <v>0</v>
      </c>
      <c r="Z850" s="2">
        <v>1</v>
      </c>
      <c r="AA850" s="2">
        <v>1</v>
      </c>
      <c r="AB850" s="2">
        <v>2</v>
      </c>
      <c r="AC850" s="2">
        <v>1</v>
      </c>
      <c r="AD850" s="2">
        <v>0</v>
      </c>
      <c r="AE850" s="2">
        <v>0</v>
      </c>
      <c r="AF850" s="2">
        <v>1</v>
      </c>
      <c r="AG850" s="20">
        <f t="shared" si="13"/>
        <v>100</v>
      </c>
    </row>
    <row r="851" spans="1:33" x14ac:dyDescent="0.25">
      <c r="A851">
        <v>850</v>
      </c>
      <c r="B851" s="2">
        <v>0</v>
      </c>
      <c r="C851" s="2">
        <v>12</v>
      </c>
      <c r="D851" s="2">
        <v>2</v>
      </c>
      <c r="E851" s="2">
        <v>0</v>
      </c>
      <c r="F851" s="2">
        <v>0</v>
      </c>
      <c r="G851" s="2">
        <v>0</v>
      </c>
      <c r="H851" s="2">
        <v>1</v>
      </c>
      <c r="I851" s="2">
        <v>0</v>
      </c>
      <c r="J851" s="2">
        <v>0</v>
      </c>
      <c r="K851" s="2">
        <v>709</v>
      </c>
      <c r="L851" s="2">
        <v>0</v>
      </c>
      <c r="M851" s="2">
        <v>4</v>
      </c>
      <c r="N851" s="2">
        <v>4</v>
      </c>
      <c r="O851" s="2">
        <v>0</v>
      </c>
      <c r="P851" s="2">
        <v>1</v>
      </c>
      <c r="Q851" s="2">
        <v>0</v>
      </c>
      <c r="R851" s="2">
        <v>0</v>
      </c>
      <c r="S851" s="2">
        <v>0</v>
      </c>
      <c r="T851" s="2">
        <v>4</v>
      </c>
      <c r="U851" s="2">
        <v>1</v>
      </c>
      <c r="V851" s="2">
        <v>0</v>
      </c>
      <c r="W851" s="2">
        <v>57</v>
      </c>
      <c r="X851" s="2">
        <v>1</v>
      </c>
      <c r="Y851" s="2">
        <v>0</v>
      </c>
      <c r="Z851" s="2">
        <v>1</v>
      </c>
      <c r="AA851" s="2">
        <v>1</v>
      </c>
      <c r="AB851" s="2">
        <v>1</v>
      </c>
      <c r="AC851" s="2">
        <v>1</v>
      </c>
      <c r="AD851" s="2">
        <v>0</v>
      </c>
      <c r="AE851" s="2">
        <v>0</v>
      </c>
      <c r="AF851" s="2">
        <v>0</v>
      </c>
      <c r="AG851" s="20">
        <f t="shared" si="13"/>
        <v>-500</v>
      </c>
    </row>
    <row r="852" spans="1:33" x14ac:dyDescent="0.25">
      <c r="A852">
        <v>851</v>
      </c>
      <c r="B852" s="2">
        <v>0</v>
      </c>
      <c r="C852" s="2">
        <v>20</v>
      </c>
      <c r="D852" s="2">
        <v>4</v>
      </c>
      <c r="E852" s="2">
        <v>1</v>
      </c>
      <c r="F852" s="2">
        <v>0</v>
      </c>
      <c r="G852" s="2">
        <v>0</v>
      </c>
      <c r="H852" s="2">
        <v>0</v>
      </c>
      <c r="I852" s="2">
        <v>0</v>
      </c>
      <c r="J852" s="2">
        <v>0</v>
      </c>
      <c r="K852" s="2">
        <v>2235</v>
      </c>
      <c r="L852" s="2">
        <v>0</v>
      </c>
      <c r="M852" s="2">
        <v>2</v>
      </c>
      <c r="N852" s="2">
        <v>4</v>
      </c>
      <c r="O852" s="2">
        <v>0</v>
      </c>
      <c r="P852" s="2">
        <v>0</v>
      </c>
      <c r="Q852" s="2">
        <v>1</v>
      </c>
      <c r="R852" s="2">
        <v>0</v>
      </c>
      <c r="S852" s="2">
        <v>1</v>
      </c>
      <c r="T852" s="2">
        <v>2</v>
      </c>
      <c r="U852" s="2">
        <v>0</v>
      </c>
      <c r="V852" s="2">
        <v>0</v>
      </c>
      <c r="W852" s="2">
        <v>33</v>
      </c>
      <c r="X852" s="2">
        <v>1</v>
      </c>
      <c r="Y852" s="2">
        <v>1</v>
      </c>
      <c r="Z852" s="2">
        <v>0</v>
      </c>
      <c r="AA852" s="2">
        <v>2</v>
      </c>
      <c r="AB852" s="2">
        <v>2</v>
      </c>
      <c r="AC852" s="2">
        <v>1</v>
      </c>
      <c r="AD852" s="2">
        <v>0</v>
      </c>
      <c r="AE852" s="2">
        <v>1</v>
      </c>
      <c r="AF852" s="2">
        <v>0</v>
      </c>
      <c r="AG852" s="20">
        <f t="shared" si="13"/>
        <v>-500</v>
      </c>
    </row>
    <row r="853" spans="1:33" x14ac:dyDescent="0.25">
      <c r="A853">
        <v>852</v>
      </c>
      <c r="B853" s="2">
        <v>3</v>
      </c>
      <c r="C853" s="2">
        <v>24</v>
      </c>
      <c r="D853" s="2">
        <v>4</v>
      </c>
      <c r="E853" s="2">
        <v>0</v>
      </c>
      <c r="F853" s="2">
        <v>1</v>
      </c>
      <c r="G853" s="2">
        <v>0</v>
      </c>
      <c r="H853" s="2">
        <v>0</v>
      </c>
      <c r="I853" s="2">
        <v>0</v>
      </c>
      <c r="J853" s="2">
        <v>0</v>
      </c>
      <c r="K853" s="2">
        <v>4042</v>
      </c>
      <c r="L853" s="2">
        <v>4</v>
      </c>
      <c r="M853" s="2">
        <v>3</v>
      </c>
      <c r="N853" s="2">
        <v>3</v>
      </c>
      <c r="O853" s="2">
        <v>0</v>
      </c>
      <c r="P853" s="2">
        <v>1</v>
      </c>
      <c r="Q853" s="2">
        <v>0</v>
      </c>
      <c r="R853" s="2">
        <v>0</v>
      </c>
      <c r="S853" s="2">
        <v>0</v>
      </c>
      <c r="T853" s="2">
        <v>4</v>
      </c>
      <c r="U853" s="2">
        <v>0</v>
      </c>
      <c r="V853" s="2">
        <v>0</v>
      </c>
      <c r="W853" s="2">
        <v>43</v>
      </c>
      <c r="X853" s="2">
        <v>0</v>
      </c>
      <c r="Y853" s="2">
        <v>0</v>
      </c>
      <c r="Z853" s="2">
        <v>1</v>
      </c>
      <c r="AA853" s="2">
        <v>2</v>
      </c>
      <c r="AB853" s="2">
        <v>2</v>
      </c>
      <c r="AC853" s="2">
        <v>1</v>
      </c>
      <c r="AD853" s="2">
        <v>1</v>
      </c>
      <c r="AE853" s="2">
        <v>0</v>
      </c>
      <c r="AF853" s="2">
        <v>1</v>
      </c>
      <c r="AG853" s="20">
        <f t="shared" si="13"/>
        <v>100</v>
      </c>
    </row>
    <row r="854" spans="1:33" x14ac:dyDescent="0.25">
      <c r="A854">
        <v>853</v>
      </c>
      <c r="B854" s="2">
        <v>3</v>
      </c>
      <c r="C854" s="2">
        <v>15</v>
      </c>
      <c r="D854" s="2">
        <v>4</v>
      </c>
      <c r="E854" s="2">
        <v>0</v>
      </c>
      <c r="F854" s="2">
        <v>0</v>
      </c>
      <c r="G854" s="2">
        <v>0</v>
      </c>
      <c r="H854" s="2">
        <v>1</v>
      </c>
      <c r="I854" s="2">
        <v>0</v>
      </c>
      <c r="J854" s="2">
        <v>0</v>
      </c>
      <c r="K854" s="2">
        <v>1471</v>
      </c>
      <c r="L854" s="2">
        <v>0</v>
      </c>
      <c r="M854" s="2">
        <v>2</v>
      </c>
      <c r="N854" s="2">
        <v>4</v>
      </c>
      <c r="O854" s="2">
        <v>0</v>
      </c>
      <c r="P854" s="2">
        <v>1</v>
      </c>
      <c r="Q854" s="2">
        <v>0</v>
      </c>
      <c r="R854" s="2">
        <v>0</v>
      </c>
      <c r="S854" s="2">
        <v>0</v>
      </c>
      <c r="T854" s="2">
        <v>4</v>
      </c>
      <c r="U854" s="2">
        <v>0</v>
      </c>
      <c r="V854" s="2">
        <v>1</v>
      </c>
      <c r="W854" s="2">
        <v>35</v>
      </c>
      <c r="X854" s="2">
        <v>0</v>
      </c>
      <c r="Y854" s="2">
        <v>0</v>
      </c>
      <c r="Z854" s="2">
        <v>0</v>
      </c>
      <c r="AA854" s="2">
        <v>2</v>
      </c>
      <c r="AB854" s="2">
        <v>2</v>
      </c>
      <c r="AC854" s="2">
        <v>1</v>
      </c>
      <c r="AD854" s="2">
        <v>1</v>
      </c>
      <c r="AE854" s="2">
        <v>0</v>
      </c>
      <c r="AF854" s="2">
        <v>1</v>
      </c>
      <c r="AG854" s="20">
        <f t="shared" si="13"/>
        <v>100</v>
      </c>
    </row>
    <row r="855" spans="1:33" x14ac:dyDescent="0.25">
      <c r="A855">
        <v>854</v>
      </c>
      <c r="B855" s="2">
        <v>0</v>
      </c>
      <c r="C855" s="2">
        <v>18</v>
      </c>
      <c r="D855" s="2">
        <v>1</v>
      </c>
      <c r="E855" s="2">
        <v>1</v>
      </c>
      <c r="F855" s="2">
        <v>0</v>
      </c>
      <c r="G855" s="2">
        <v>0</v>
      </c>
      <c r="H855" s="2">
        <v>0</v>
      </c>
      <c r="I855" s="2">
        <v>0</v>
      </c>
      <c r="J855" s="2">
        <v>0</v>
      </c>
      <c r="K855" s="2">
        <v>1442</v>
      </c>
      <c r="L855" s="2">
        <v>0</v>
      </c>
      <c r="M855" s="2">
        <v>3</v>
      </c>
      <c r="N855" s="2">
        <v>4</v>
      </c>
      <c r="O855" s="2">
        <v>0</v>
      </c>
      <c r="P855" s="2">
        <v>1</v>
      </c>
      <c r="Q855" s="2">
        <v>0</v>
      </c>
      <c r="R855" s="2">
        <v>0</v>
      </c>
      <c r="S855" s="2">
        <v>0</v>
      </c>
      <c r="T855" s="2">
        <v>4</v>
      </c>
      <c r="U855" s="2">
        <v>0</v>
      </c>
      <c r="V855" s="2">
        <v>1</v>
      </c>
      <c r="W855" s="2">
        <v>32</v>
      </c>
      <c r="X855" s="2">
        <v>0</v>
      </c>
      <c r="Y855" s="2">
        <v>0</v>
      </c>
      <c r="Z855" s="2">
        <v>0</v>
      </c>
      <c r="AA855" s="2">
        <v>2</v>
      </c>
      <c r="AB855" s="2">
        <v>1</v>
      </c>
      <c r="AC855" s="2">
        <v>2</v>
      </c>
      <c r="AD855" s="2">
        <v>0</v>
      </c>
      <c r="AE855" s="2">
        <v>0</v>
      </c>
      <c r="AF855" s="2">
        <v>0</v>
      </c>
      <c r="AG855" s="20">
        <f t="shared" si="13"/>
        <v>-500</v>
      </c>
    </row>
    <row r="856" spans="1:33" x14ac:dyDescent="0.25">
      <c r="A856">
        <v>855</v>
      </c>
      <c r="B856" s="2">
        <v>3</v>
      </c>
      <c r="C856" s="2">
        <v>36</v>
      </c>
      <c r="D856" s="2">
        <v>3</v>
      </c>
      <c r="E856" s="2">
        <v>1</v>
      </c>
      <c r="F856" s="2">
        <v>0</v>
      </c>
      <c r="G856" s="2">
        <v>0</v>
      </c>
      <c r="H856" s="2">
        <v>0</v>
      </c>
      <c r="I856" s="2">
        <v>0</v>
      </c>
      <c r="J856" s="2">
        <v>0</v>
      </c>
      <c r="K856" s="2">
        <v>10875</v>
      </c>
      <c r="L856" s="2">
        <v>0</v>
      </c>
      <c r="M856" s="2">
        <v>4</v>
      </c>
      <c r="N856" s="2">
        <v>2</v>
      </c>
      <c r="O856" s="2">
        <v>0</v>
      </c>
      <c r="P856" s="2">
        <v>1</v>
      </c>
      <c r="Q856" s="2">
        <v>0</v>
      </c>
      <c r="R856" s="2">
        <v>0</v>
      </c>
      <c r="S856" s="2">
        <v>0</v>
      </c>
      <c r="T856" s="2">
        <v>2</v>
      </c>
      <c r="U856" s="2">
        <v>0</v>
      </c>
      <c r="V856" s="2">
        <v>0</v>
      </c>
      <c r="W856" s="2">
        <v>45</v>
      </c>
      <c r="X856" s="2">
        <v>0</v>
      </c>
      <c r="Y856" s="2">
        <v>0</v>
      </c>
      <c r="Z856" s="2">
        <v>1</v>
      </c>
      <c r="AA856" s="2">
        <v>2</v>
      </c>
      <c r="AB856" s="2">
        <v>2</v>
      </c>
      <c r="AC856" s="2">
        <v>2</v>
      </c>
      <c r="AD856" s="2">
        <v>1</v>
      </c>
      <c r="AE856" s="2">
        <v>0</v>
      </c>
      <c r="AF856" s="2">
        <v>1</v>
      </c>
      <c r="AG856" s="20">
        <f t="shared" si="13"/>
        <v>100</v>
      </c>
    </row>
    <row r="857" spans="1:33" x14ac:dyDescent="0.25">
      <c r="A857">
        <v>856</v>
      </c>
      <c r="B857" s="2">
        <v>3</v>
      </c>
      <c r="C857" s="2">
        <v>24</v>
      </c>
      <c r="D857" s="2">
        <v>2</v>
      </c>
      <c r="E857" s="2">
        <v>1</v>
      </c>
      <c r="F857" s="2">
        <v>0</v>
      </c>
      <c r="G857" s="2">
        <v>0</v>
      </c>
      <c r="H857" s="2">
        <v>0</v>
      </c>
      <c r="I857" s="2">
        <v>0</v>
      </c>
      <c r="J857" s="2">
        <v>0</v>
      </c>
      <c r="K857" s="2">
        <v>1474</v>
      </c>
      <c r="L857" s="2">
        <v>1</v>
      </c>
      <c r="M857" s="2">
        <v>1</v>
      </c>
      <c r="N857" s="2">
        <v>4</v>
      </c>
      <c r="O857" s="2">
        <v>0</v>
      </c>
      <c r="P857" s="2">
        <v>0</v>
      </c>
      <c r="Q857" s="2">
        <v>1</v>
      </c>
      <c r="R857" s="2">
        <v>0</v>
      </c>
      <c r="S857" s="2">
        <v>0</v>
      </c>
      <c r="T857" s="2">
        <v>3</v>
      </c>
      <c r="U857" s="2">
        <v>1</v>
      </c>
      <c r="V857" s="2">
        <v>0</v>
      </c>
      <c r="W857" s="2">
        <v>33</v>
      </c>
      <c r="X857" s="2">
        <v>0</v>
      </c>
      <c r="Y857" s="2">
        <v>0</v>
      </c>
      <c r="Z857" s="2">
        <v>1</v>
      </c>
      <c r="AA857" s="2">
        <v>1</v>
      </c>
      <c r="AB857" s="2">
        <v>2</v>
      </c>
      <c r="AC857" s="2">
        <v>1</v>
      </c>
      <c r="AD857" s="2">
        <v>1</v>
      </c>
      <c r="AE857" s="2">
        <v>0</v>
      </c>
      <c r="AF857" s="2">
        <v>1</v>
      </c>
      <c r="AG857" s="20">
        <f t="shared" si="13"/>
        <v>100</v>
      </c>
    </row>
    <row r="858" spans="1:33" x14ac:dyDescent="0.25">
      <c r="A858">
        <v>857</v>
      </c>
      <c r="B858" s="2">
        <v>3</v>
      </c>
      <c r="C858" s="2">
        <v>10</v>
      </c>
      <c r="D858" s="2">
        <v>2</v>
      </c>
      <c r="E858" s="2">
        <v>0</v>
      </c>
      <c r="F858" s="2">
        <v>0</v>
      </c>
      <c r="G858" s="2">
        <v>0</v>
      </c>
      <c r="H858" s="2">
        <v>0</v>
      </c>
      <c r="I858" s="2">
        <v>0</v>
      </c>
      <c r="J858" s="2">
        <v>0</v>
      </c>
      <c r="K858" s="2">
        <v>894</v>
      </c>
      <c r="L858" s="2">
        <v>4</v>
      </c>
      <c r="M858" s="2">
        <v>3</v>
      </c>
      <c r="N858" s="2">
        <v>4</v>
      </c>
      <c r="O858" s="2">
        <v>0</v>
      </c>
      <c r="P858" s="2">
        <v>0</v>
      </c>
      <c r="Q858" s="2">
        <v>0</v>
      </c>
      <c r="R858" s="2">
        <v>0</v>
      </c>
      <c r="S858" s="2">
        <v>0</v>
      </c>
      <c r="T858" s="2">
        <v>3</v>
      </c>
      <c r="U858" s="2">
        <v>0</v>
      </c>
      <c r="V858" s="2">
        <v>0</v>
      </c>
      <c r="W858" s="2">
        <v>40</v>
      </c>
      <c r="X858" s="2">
        <v>0</v>
      </c>
      <c r="Y858" s="2">
        <v>0</v>
      </c>
      <c r="Z858" s="2">
        <v>1</v>
      </c>
      <c r="AA858" s="2">
        <v>1</v>
      </c>
      <c r="AB858" s="2">
        <v>2</v>
      </c>
      <c r="AC858" s="2">
        <v>1</v>
      </c>
      <c r="AD858" s="2">
        <v>1</v>
      </c>
      <c r="AE858" s="2">
        <v>0</v>
      </c>
      <c r="AF858" s="2">
        <v>1</v>
      </c>
      <c r="AG858" s="20">
        <f t="shared" si="13"/>
        <v>100</v>
      </c>
    </row>
    <row r="859" spans="1:33" x14ac:dyDescent="0.25">
      <c r="A859">
        <v>858</v>
      </c>
      <c r="B859" s="2">
        <v>3</v>
      </c>
      <c r="C859" s="2">
        <v>15</v>
      </c>
      <c r="D859" s="2">
        <v>4</v>
      </c>
      <c r="E859" s="2">
        <v>0</v>
      </c>
      <c r="F859" s="2">
        <v>0</v>
      </c>
      <c r="G859" s="2">
        <v>1</v>
      </c>
      <c r="H859" s="2">
        <v>0</v>
      </c>
      <c r="I859" s="2">
        <v>0</v>
      </c>
      <c r="J859" s="2">
        <v>0</v>
      </c>
      <c r="K859" s="2">
        <v>3343</v>
      </c>
      <c r="L859" s="2">
        <v>0</v>
      </c>
      <c r="M859" s="2">
        <v>2</v>
      </c>
      <c r="N859" s="2">
        <v>4</v>
      </c>
      <c r="O859" s="2">
        <v>0</v>
      </c>
      <c r="P859" s="2">
        <v>1</v>
      </c>
      <c r="Q859" s="2">
        <v>0</v>
      </c>
      <c r="R859" s="2">
        <v>0</v>
      </c>
      <c r="S859" s="2">
        <v>0</v>
      </c>
      <c r="T859" s="2">
        <v>2</v>
      </c>
      <c r="U859" s="2">
        <v>0</v>
      </c>
      <c r="V859" s="2">
        <v>1</v>
      </c>
      <c r="W859" s="2">
        <v>28</v>
      </c>
      <c r="X859" s="2">
        <v>0</v>
      </c>
      <c r="Y859" s="2">
        <v>0</v>
      </c>
      <c r="Z859" s="2">
        <v>0</v>
      </c>
      <c r="AA859" s="2">
        <v>1</v>
      </c>
      <c r="AB859" s="2">
        <v>2</v>
      </c>
      <c r="AC859" s="2">
        <v>1</v>
      </c>
      <c r="AD859" s="2">
        <v>1</v>
      </c>
      <c r="AE859" s="2">
        <v>0</v>
      </c>
      <c r="AF859" s="2">
        <v>1</v>
      </c>
      <c r="AG859" s="20">
        <f t="shared" si="13"/>
        <v>100</v>
      </c>
    </row>
    <row r="860" spans="1:33" x14ac:dyDescent="0.25">
      <c r="A860">
        <v>859</v>
      </c>
      <c r="B860" s="2">
        <v>0</v>
      </c>
      <c r="C860" s="2">
        <v>15</v>
      </c>
      <c r="D860" s="2">
        <v>2</v>
      </c>
      <c r="E860" s="2">
        <v>1</v>
      </c>
      <c r="F860" s="2">
        <v>0</v>
      </c>
      <c r="G860" s="2">
        <v>0</v>
      </c>
      <c r="H860" s="2">
        <v>0</v>
      </c>
      <c r="I860" s="2">
        <v>0</v>
      </c>
      <c r="J860" s="2">
        <v>0</v>
      </c>
      <c r="K860" s="2">
        <v>3959</v>
      </c>
      <c r="L860" s="2">
        <v>0</v>
      </c>
      <c r="M860" s="2">
        <v>2</v>
      </c>
      <c r="N860" s="2">
        <v>3</v>
      </c>
      <c r="O860" s="2">
        <v>0</v>
      </c>
      <c r="P860" s="2">
        <v>0</v>
      </c>
      <c r="Q860" s="2">
        <v>0</v>
      </c>
      <c r="R860" s="2">
        <v>0</v>
      </c>
      <c r="S860" s="2">
        <v>0</v>
      </c>
      <c r="T860" s="2">
        <v>2</v>
      </c>
      <c r="U860" s="2">
        <v>0</v>
      </c>
      <c r="V860" s="2">
        <v>0</v>
      </c>
      <c r="W860" s="2">
        <v>29</v>
      </c>
      <c r="X860" s="2">
        <v>0</v>
      </c>
      <c r="Y860" s="2">
        <v>0</v>
      </c>
      <c r="Z860" s="2">
        <v>1</v>
      </c>
      <c r="AA860" s="2">
        <v>1</v>
      </c>
      <c r="AB860" s="2">
        <v>2</v>
      </c>
      <c r="AC860" s="2">
        <v>1</v>
      </c>
      <c r="AD860" s="2">
        <v>1</v>
      </c>
      <c r="AE860" s="2">
        <v>0</v>
      </c>
      <c r="AF860" s="2">
        <v>0</v>
      </c>
      <c r="AG860" s="20">
        <f t="shared" si="13"/>
        <v>-500</v>
      </c>
    </row>
    <row r="861" spans="1:33" x14ac:dyDescent="0.25">
      <c r="A861">
        <v>860</v>
      </c>
      <c r="B861" s="2">
        <v>3</v>
      </c>
      <c r="C861" s="2">
        <v>9</v>
      </c>
      <c r="D861" s="2">
        <v>2</v>
      </c>
      <c r="E861" s="2">
        <v>1</v>
      </c>
      <c r="F861" s="2">
        <v>0</v>
      </c>
      <c r="G861" s="2">
        <v>0</v>
      </c>
      <c r="H861" s="2">
        <v>0</v>
      </c>
      <c r="I861" s="2">
        <v>0</v>
      </c>
      <c r="J861" s="2">
        <v>0</v>
      </c>
      <c r="K861" s="2">
        <v>3577</v>
      </c>
      <c r="L861" s="2">
        <v>1</v>
      </c>
      <c r="M861" s="2">
        <v>2</v>
      </c>
      <c r="N861" s="2">
        <v>1</v>
      </c>
      <c r="O861" s="2">
        <v>0</v>
      </c>
      <c r="P861" s="2">
        <v>1</v>
      </c>
      <c r="Q861" s="2">
        <v>0</v>
      </c>
      <c r="R861" s="2">
        <v>0</v>
      </c>
      <c r="S861" s="2">
        <v>1</v>
      </c>
      <c r="T861" s="2">
        <v>2</v>
      </c>
      <c r="U861" s="2">
        <v>1</v>
      </c>
      <c r="V861" s="2">
        <v>0</v>
      </c>
      <c r="W861" s="2">
        <v>26</v>
      </c>
      <c r="X861" s="2">
        <v>0</v>
      </c>
      <c r="Y861" s="2">
        <v>1</v>
      </c>
      <c r="Z861" s="2">
        <v>0</v>
      </c>
      <c r="AA861" s="2">
        <v>1</v>
      </c>
      <c r="AB861" s="2">
        <v>2</v>
      </c>
      <c r="AC861" s="2">
        <v>2</v>
      </c>
      <c r="AD861" s="2">
        <v>0</v>
      </c>
      <c r="AE861" s="2">
        <v>1</v>
      </c>
      <c r="AF861" s="2">
        <v>1</v>
      </c>
      <c r="AG861" s="20">
        <f t="shared" si="13"/>
        <v>100</v>
      </c>
    </row>
    <row r="862" spans="1:33" x14ac:dyDescent="0.25">
      <c r="A862">
        <v>861</v>
      </c>
      <c r="B862" s="2">
        <v>3</v>
      </c>
      <c r="C862" s="2">
        <v>24</v>
      </c>
      <c r="D862" s="2">
        <v>4</v>
      </c>
      <c r="E862" s="2">
        <v>0</v>
      </c>
      <c r="F862" s="2">
        <v>1</v>
      </c>
      <c r="G862" s="2">
        <v>0</v>
      </c>
      <c r="H862" s="2">
        <v>0</v>
      </c>
      <c r="I862" s="2">
        <v>0</v>
      </c>
      <c r="J862" s="2">
        <v>0</v>
      </c>
      <c r="K862" s="2">
        <v>5804</v>
      </c>
      <c r="L862" s="2">
        <v>3</v>
      </c>
      <c r="M862" s="2">
        <v>2</v>
      </c>
      <c r="N862" s="2">
        <v>4</v>
      </c>
      <c r="O862" s="2">
        <v>0</v>
      </c>
      <c r="P862" s="2">
        <v>1</v>
      </c>
      <c r="Q862" s="2">
        <v>0</v>
      </c>
      <c r="R862" s="2">
        <v>0</v>
      </c>
      <c r="S862" s="2">
        <v>0</v>
      </c>
      <c r="T862" s="2">
        <v>2</v>
      </c>
      <c r="U862" s="2">
        <v>1</v>
      </c>
      <c r="V862" s="2">
        <v>0</v>
      </c>
      <c r="W862" s="2">
        <v>27</v>
      </c>
      <c r="X862" s="2">
        <v>0</v>
      </c>
      <c r="Y862" s="2">
        <v>0</v>
      </c>
      <c r="Z862" s="2">
        <v>1</v>
      </c>
      <c r="AA862" s="2">
        <v>2</v>
      </c>
      <c r="AB862" s="2">
        <v>2</v>
      </c>
      <c r="AC862" s="2">
        <v>1</v>
      </c>
      <c r="AD862" s="2">
        <v>0</v>
      </c>
      <c r="AE862" s="2">
        <v>0</v>
      </c>
      <c r="AF862" s="2">
        <v>1</v>
      </c>
      <c r="AG862" s="20">
        <f t="shared" si="13"/>
        <v>100</v>
      </c>
    </row>
    <row r="863" spans="1:33" x14ac:dyDescent="0.25">
      <c r="A863">
        <v>862</v>
      </c>
      <c r="B863" s="2">
        <v>3</v>
      </c>
      <c r="C863" s="2">
        <v>18</v>
      </c>
      <c r="D863" s="2">
        <v>3</v>
      </c>
      <c r="E863" s="2">
        <v>0</v>
      </c>
      <c r="F863" s="2">
        <v>0</v>
      </c>
      <c r="G863" s="2">
        <v>0</v>
      </c>
      <c r="H863" s="2">
        <v>0</v>
      </c>
      <c r="I863" s="2">
        <v>0</v>
      </c>
      <c r="J863" s="2">
        <v>1</v>
      </c>
      <c r="K863" s="2">
        <v>2169</v>
      </c>
      <c r="L863" s="2">
        <v>0</v>
      </c>
      <c r="M863" s="2">
        <v>2</v>
      </c>
      <c r="N863" s="2">
        <v>4</v>
      </c>
      <c r="O863" s="2">
        <v>0</v>
      </c>
      <c r="P863" s="2">
        <v>0</v>
      </c>
      <c r="Q863" s="2">
        <v>1</v>
      </c>
      <c r="R863" s="2">
        <v>0</v>
      </c>
      <c r="S863" s="2">
        <v>0</v>
      </c>
      <c r="T863" s="2">
        <v>2</v>
      </c>
      <c r="U863" s="2">
        <v>0</v>
      </c>
      <c r="V863" s="2">
        <v>0</v>
      </c>
      <c r="W863" s="2">
        <v>28</v>
      </c>
      <c r="X863" s="2">
        <v>0</v>
      </c>
      <c r="Y863" s="2">
        <v>0</v>
      </c>
      <c r="Z863" s="2">
        <v>1</v>
      </c>
      <c r="AA863" s="2">
        <v>1</v>
      </c>
      <c r="AB863" s="2">
        <v>2</v>
      </c>
      <c r="AC863" s="2">
        <v>1</v>
      </c>
      <c r="AD863" s="2">
        <v>1</v>
      </c>
      <c r="AE863" s="2">
        <v>0</v>
      </c>
      <c r="AF863" s="2">
        <v>0</v>
      </c>
      <c r="AG863" s="20">
        <f t="shared" si="13"/>
        <v>-500</v>
      </c>
    </row>
    <row r="864" spans="1:33" x14ac:dyDescent="0.25">
      <c r="A864">
        <v>863</v>
      </c>
      <c r="B864" s="2">
        <v>0</v>
      </c>
      <c r="C864" s="2">
        <v>24</v>
      </c>
      <c r="D864" s="2">
        <v>2</v>
      </c>
      <c r="E864" s="2">
        <v>0</v>
      </c>
      <c r="F864" s="2">
        <v>0</v>
      </c>
      <c r="G864" s="2">
        <v>0</v>
      </c>
      <c r="H864" s="2">
        <v>1</v>
      </c>
      <c r="I864" s="2">
        <v>0</v>
      </c>
      <c r="J864" s="2">
        <v>0</v>
      </c>
      <c r="K864" s="2">
        <v>2439</v>
      </c>
      <c r="L864" s="2">
        <v>0</v>
      </c>
      <c r="M864" s="2">
        <v>1</v>
      </c>
      <c r="N864" s="2">
        <v>4</v>
      </c>
      <c r="O864" s="2">
        <v>0</v>
      </c>
      <c r="P864" s="2">
        <v>0</v>
      </c>
      <c r="Q864" s="2">
        <v>0</v>
      </c>
      <c r="R864" s="2">
        <v>0</v>
      </c>
      <c r="S864" s="2">
        <v>0</v>
      </c>
      <c r="T864" s="2">
        <v>4</v>
      </c>
      <c r="U864" s="2">
        <v>1</v>
      </c>
      <c r="V864" s="2">
        <v>0</v>
      </c>
      <c r="W864" s="2">
        <v>35</v>
      </c>
      <c r="X864" s="2">
        <v>0</v>
      </c>
      <c r="Y864" s="2">
        <v>0</v>
      </c>
      <c r="Z864" s="2">
        <v>1</v>
      </c>
      <c r="AA864" s="2">
        <v>1</v>
      </c>
      <c r="AB864" s="2">
        <v>2</v>
      </c>
      <c r="AC864" s="2">
        <v>1</v>
      </c>
      <c r="AD864" s="2">
        <v>1</v>
      </c>
      <c r="AE864" s="2">
        <v>0</v>
      </c>
      <c r="AF864" s="2">
        <v>0</v>
      </c>
      <c r="AG864" s="20">
        <f t="shared" si="13"/>
        <v>-500</v>
      </c>
    </row>
    <row r="865" spans="1:33" x14ac:dyDescent="0.25">
      <c r="A865">
        <v>864</v>
      </c>
      <c r="B865" s="2">
        <v>3</v>
      </c>
      <c r="C865" s="2">
        <v>27</v>
      </c>
      <c r="D865" s="2">
        <v>4</v>
      </c>
      <c r="E865" s="2">
        <v>0</v>
      </c>
      <c r="F865" s="2">
        <v>0</v>
      </c>
      <c r="G865" s="2">
        <v>1</v>
      </c>
      <c r="H865" s="2">
        <v>0</v>
      </c>
      <c r="I865" s="2">
        <v>0</v>
      </c>
      <c r="J865" s="2">
        <v>0</v>
      </c>
      <c r="K865" s="2">
        <v>4526</v>
      </c>
      <c r="L865" s="2">
        <v>3</v>
      </c>
      <c r="M865" s="2">
        <v>1</v>
      </c>
      <c r="N865" s="2">
        <v>4</v>
      </c>
      <c r="O865" s="2">
        <v>0</v>
      </c>
      <c r="P865" s="2">
        <v>1</v>
      </c>
      <c r="Q865" s="2">
        <v>0</v>
      </c>
      <c r="R865" s="2">
        <v>0</v>
      </c>
      <c r="S865" s="2">
        <v>0</v>
      </c>
      <c r="T865" s="2">
        <v>2</v>
      </c>
      <c r="U865" s="2">
        <v>1</v>
      </c>
      <c r="V865" s="2">
        <v>0</v>
      </c>
      <c r="W865" s="2">
        <v>32</v>
      </c>
      <c r="X865" s="2">
        <v>1</v>
      </c>
      <c r="Y865" s="2">
        <v>0</v>
      </c>
      <c r="Z865" s="2">
        <v>1</v>
      </c>
      <c r="AA865" s="2">
        <v>2</v>
      </c>
      <c r="AB865" s="2">
        <v>1</v>
      </c>
      <c r="AC865" s="2">
        <v>2</v>
      </c>
      <c r="AD865" s="2">
        <v>1</v>
      </c>
      <c r="AE865" s="2">
        <v>0</v>
      </c>
      <c r="AF865" s="2">
        <v>1</v>
      </c>
      <c r="AG865" s="20">
        <f t="shared" si="13"/>
        <v>100</v>
      </c>
    </row>
    <row r="866" spans="1:33" x14ac:dyDescent="0.25">
      <c r="A866">
        <v>865</v>
      </c>
      <c r="B866" s="2">
        <v>3</v>
      </c>
      <c r="C866" s="2">
        <v>10</v>
      </c>
      <c r="D866" s="2">
        <v>2</v>
      </c>
      <c r="E866" s="2">
        <v>0</v>
      </c>
      <c r="F866" s="2">
        <v>0</v>
      </c>
      <c r="G866" s="2">
        <v>1</v>
      </c>
      <c r="H866" s="2">
        <v>0</v>
      </c>
      <c r="I866" s="2">
        <v>0</v>
      </c>
      <c r="J866" s="2">
        <v>0</v>
      </c>
      <c r="K866" s="2">
        <v>2210</v>
      </c>
      <c r="L866" s="2">
        <v>0</v>
      </c>
      <c r="M866" s="2">
        <v>2</v>
      </c>
      <c r="N866" s="2">
        <v>2</v>
      </c>
      <c r="O866" s="2">
        <v>0</v>
      </c>
      <c r="P866" s="2">
        <v>1</v>
      </c>
      <c r="Q866" s="2">
        <v>0</v>
      </c>
      <c r="R866" s="2">
        <v>0</v>
      </c>
      <c r="S866" s="2">
        <v>0</v>
      </c>
      <c r="T866" s="2">
        <v>2</v>
      </c>
      <c r="U866" s="2">
        <v>1</v>
      </c>
      <c r="V866" s="2">
        <v>0</v>
      </c>
      <c r="W866" s="2">
        <v>25</v>
      </c>
      <c r="X866" s="2">
        <v>1</v>
      </c>
      <c r="Y866" s="2">
        <v>1</v>
      </c>
      <c r="Z866" s="2">
        <v>0</v>
      </c>
      <c r="AA866" s="2">
        <v>1</v>
      </c>
      <c r="AB866" s="2">
        <v>1</v>
      </c>
      <c r="AC866" s="2">
        <v>1</v>
      </c>
      <c r="AD866" s="2">
        <v>0</v>
      </c>
      <c r="AE866" s="2">
        <v>0</v>
      </c>
      <c r="AF866" s="2">
        <v>0</v>
      </c>
      <c r="AG866" s="20">
        <f t="shared" si="13"/>
        <v>-500</v>
      </c>
    </row>
    <row r="867" spans="1:33" x14ac:dyDescent="0.25">
      <c r="A867">
        <v>866</v>
      </c>
      <c r="B867" s="2">
        <v>3</v>
      </c>
      <c r="C867" s="2">
        <v>15</v>
      </c>
      <c r="D867" s="2">
        <v>2</v>
      </c>
      <c r="E867" s="2">
        <v>0</v>
      </c>
      <c r="F867" s="2">
        <v>0</v>
      </c>
      <c r="G867" s="2">
        <v>1</v>
      </c>
      <c r="H867" s="2">
        <v>0</v>
      </c>
      <c r="I867" s="2">
        <v>0</v>
      </c>
      <c r="J867" s="2">
        <v>0</v>
      </c>
      <c r="K867" s="2">
        <v>2221</v>
      </c>
      <c r="L867" s="2">
        <v>2</v>
      </c>
      <c r="M867" s="2">
        <v>2</v>
      </c>
      <c r="N867" s="2">
        <v>2</v>
      </c>
      <c r="O867" s="2">
        <v>0</v>
      </c>
      <c r="P867" s="2">
        <v>0</v>
      </c>
      <c r="Q867" s="2">
        <v>0</v>
      </c>
      <c r="R867" s="2">
        <v>0</v>
      </c>
      <c r="S867" s="2">
        <v>0</v>
      </c>
      <c r="T867" s="2">
        <v>4</v>
      </c>
      <c r="U867" s="2">
        <v>0</v>
      </c>
      <c r="V867" s="2">
        <v>0</v>
      </c>
      <c r="W867" s="2">
        <v>20</v>
      </c>
      <c r="X867" s="2">
        <v>0</v>
      </c>
      <c r="Y867" s="2">
        <v>1</v>
      </c>
      <c r="Z867" s="2">
        <v>0</v>
      </c>
      <c r="AA867" s="2">
        <v>1</v>
      </c>
      <c r="AB867" s="2">
        <v>2</v>
      </c>
      <c r="AC867" s="2">
        <v>1</v>
      </c>
      <c r="AD867" s="2">
        <v>0</v>
      </c>
      <c r="AE867" s="2">
        <v>0</v>
      </c>
      <c r="AF867" s="2">
        <v>1</v>
      </c>
      <c r="AG867" s="20">
        <f t="shared" si="13"/>
        <v>100</v>
      </c>
    </row>
    <row r="868" spans="1:33" x14ac:dyDescent="0.25">
      <c r="A868">
        <v>867</v>
      </c>
      <c r="B868" s="2">
        <v>0</v>
      </c>
      <c r="C868" s="2">
        <v>18</v>
      </c>
      <c r="D868" s="2">
        <v>2</v>
      </c>
      <c r="E868" s="2">
        <v>0</v>
      </c>
      <c r="F868" s="2">
        <v>0</v>
      </c>
      <c r="G868" s="2">
        <v>0</v>
      </c>
      <c r="H868" s="2">
        <v>1</v>
      </c>
      <c r="I868" s="2">
        <v>0</v>
      </c>
      <c r="J868" s="2">
        <v>0</v>
      </c>
      <c r="K868" s="2">
        <v>2389</v>
      </c>
      <c r="L868" s="2">
        <v>0</v>
      </c>
      <c r="M868" s="2">
        <v>1</v>
      </c>
      <c r="N868" s="2">
        <v>4</v>
      </c>
      <c r="O868" s="2">
        <v>0</v>
      </c>
      <c r="P868" s="2">
        <v>0</v>
      </c>
      <c r="Q868" s="2">
        <v>0</v>
      </c>
      <c r="R868" s="2">
        <v>0</v>
      </c>
      <c r="S868" s="2">
        <v>0</v>
      </c>
      <c r="T868" s="2">
        <v>1</v>
      </c>
      <c r="U868" s="2">
        <v>0</v>
      </c>
      <c r="V868" s="2">
        <v>0</v>
      </c>
      <c r="W868" s="2">
        <v>27</v>
      </c>
      <c r="X868" s="2">
        <v>1</v>
      </c>
      <c r="Y868" s="2">
        <v>0</v>
      </c>
      <c r="Z868" s="2">
        <v>1</v>
      </c>
      <c r="AA868" s="2">
        <v>1</v>
      </c>
      <c r="AB868" s="2">
        <v>2</v>
      </c>
      <c r="AC868" s="2">
        <v>1</v>
      </c>
      <c r="AD868" s="2">
        <v>0</v>
      </c>
      <c r="AE868" s="2">
        <v>0</v>
      </c>
      <c r="AF868" s="2">
        <v>1</v>
      </c>
      <c r="AG868" s="20">
        <f t="shared" si="13"/>
        <v>100</v>
      </c>
    </row>
    <row r="869" spans="1:33" x14ac:dyDescent="0.25">
      <c r="A869">
        <v>868</v>
      </c>
      <c r="B869" s="2">
        <v>3</v>
      </c>
      <c r="C869" s="2">
        <v>12</v>
      </c>
      <c r="D869" s="2">
        <v>4</v>
      </c>
      <c r="E869" s="2">
        <v>0</v>
      </c>
      <c r="F869" s="2">
        <v>0</v>
      </c>
      <c r="G869" s="2">
        <v>1</v>
      </c>
      <c r="H869" s="2">
        <v>0</v>
      </c>
      <c r="I869" s="2">
        <v>0</v>
      </c>
      <c r="J869" s="2">
        <v>0</v>
      </c>
      <c r="K869" s="2">
        <v>3331</v>
      </c>
      <c r="L869" s="2">
        <v>0</v>
      </c>
      <c r="M869" s="2">
        <v>4</v>
      </c>
      <c r="N869" s="2">
        <v>2</v>
      </c>
      <c r="O869" s="2">
        <v>0</v>
      </c>
      <c r="P869" s="2">
        <v>1</v>
      </c>
      <c r="Q869" s="2">
        <v>0</v>
      </c>
      <c r="R869" s="2">
        <v>0</v>
      </c>
      <c r="S869" s="2">
        <v>0</v>
      </c>
      <c r="T869" s="2">
        <v>4</v>
      </c>
      <c r="U869" s="2">
        <v>0</v>
      </c>
      <c r="V869" s="2">
        <v>0</v>
      </c>
      <c r="W869" s="2">
        <v>42</v>
      </c>
      <c r="X869" s="2">
        <v>1</v>
      </c>
      <c r="Y869" s="2">
        <v>0</v>
      </c>
      <c r="Z869" s="2">
        <v>1</v>
      </c>
      <c r="AA869" s="2">
        <v>1</v>
      </c>
      <c r="AB869" s="2">
        <v>2</v>
      </c>
      <c r="AC869" s="2">
        <v>1</v>
      </c>
      <c r="AD869" s="2">
        <v>0</v>
      </c>
      <c r="AE869" s="2">
        <v>0</v>
      </c>
      <c r="AF869" s="2">
        <v>1</v>
      </c>
      <c r="AG869" s="20">
        <f t="shared" si="13"/>
        <v>100</v>
      </c>
    </row>
    <row r="870" spans="1:33" x14ac:dyDescent="0.25">
      <c r="A870">
        <v>869</v>
      </c>
      <c r="B870" s="2">
        <v>3</v>
      </c>
      <c r="C870" s="2">
        <v>36</v>
      </c>
      <c r="D870" s="2">
        <v>2</v>
      </c>
      <c r="E870" s="2">
        <v>0</v>
      </c>
      <c r="F870" s="2">
        <v>0</v>
      </c>
      <c r="G870" s="2">
        <v>0</v>
      </c>
      <c r="H870" s="2">
        <v>0</v>
      </c>
      <c r="I870" s="2">
        <v>0</v>
      </c>
      <c r="J870" s="2">
        <v>1</v>
      </c>
      <c r="K870" s="2">
        <v>7409</v>
      </c>
      <c r="L870" s="2">
        <v>4</v>
      </c>
      <c r="M870" s="2">
        <v>4</v>
      </c>
      <c r="N870" s="2">
        <v>3</v>
      </c>
      <c r="O870" s="2">
        <v>0</v>
      </c>
      <c r="P870" s="2">
        <v>1</v>
      </c>
      <c r="Q870" s="2">
        <v>0</v>
      </c>
      <c r="R870" s="2">
        <v>0</v>
      </c>
      <c r="S870" s="2">
        <v>0</v>
      </c>
      <c r="T870" s="2">
        <v>2</v>
      </c>
      <c r="U870" s="2">
        <v>0</v>
      </c>
      <c r="V870" s="2">
        <v>0</v>
      </c>
      <c r="W870" s="2">
        <v>37</v>
      </c>
      <c r="X870" s="2">
        <v>0</v>
      </c>
      <c r="Y870" s="2">
        <v>0</v>
      </c>
      <c r="Z870" s="2">
        <v>1</v>
      </c>
      <c r="AA870" s="2">
        <v>2</v>
      </c>
      <c r="AB870" s="2">
        <v>2</v>
      </c>
      <c r="AC870" s="2">
        <v>1</v>
      </c>
      <c r="AD870" s="2">
        <v>0</v>
      </c>
      <c r="AE870" s="2">
        <v>0</v>
      </c>
      <c r="AF870" s="2">
        <v>1</v>
      </c>
      <c r="AG870" s="20">
        <f t="shared" si="13"/>
        <v>100</v>
      </c>
    </row>
    <row r="871" spans="1:33" x14ac:dyDescent="0.25">
      <c r="A871">
        <v>870</v>
      </c>
      <c r="B871" s="2">
        <v>0</v>
      </c>
      <c r="C871" s="2">
        <v>12</v>
      </c>
      <c r="D871" s="2">
        <v>2</v>
      </c>
      <c r="E871" s="2">
        <v>0</v>
      </c>
      <c r="F871" s="2">
        <v>0</v>
      </c>
      <c r="G871" s="2">
        <v>1</v>
      </c>
      <c r="H871" s="2">
        <v>0</v>
      </c>
      <c r="I871" s="2">
        <v>0</v>
      </c>
      <c r="J871" s="2">
        <v>0</v>
      </c>
      <c r="K871" s="2">
        <v>652</v>
      </c>
      <c r="L871" s="2">
        <v>0</v>
      </c>
      <c r="M871" s="2">
        <v>4</v>
      </c>
      <c r="N871" s="2">
        <v>4</v>
      </c>
      <c r="O871" s="2">
        <v>0</v>
      </c>
      <c r="P871" s="2">
        <v>0</v>
      </c>
      <c r="Q871" s="2">
        <v>0</v>
      </c>
      <c r="R871" s="2">
        <v>0</v>
      </c>
      <c r="S871" s="2">
        <v>0</v>
      </c>
      <c r="T871" s="2">
        <v>4</v>
      </c>
      <c r="U871" s="2">
        <v>0</v>
      </c>
      <c r="V871" s="2">
        <v>0</v>
      </c>
      <c r="W871" s="2">
        <v>24</v>
      </c>
      <c r="X871" s="2">
        <v>0</v>
      </c>
      <c r="Y871" s="2">
        <v>1</v>
      </c>
      <c r="Z871" s="2">
        <v>0</v>
      </c>
      <c r="AA871" s="2">
        <v>1</v>
      </c>
      <c r="AB871" s="2">
        <v>2</v>
      </c>
      <c r="AC871" s="2">
        <v>1</v>
      </c>
      <c r="AD871" s="2">
        <v>0</v>
      </c>
      <c r="AE871" s="2">
        <v>0</v>
      </c>
      <c r="AF871" s="2">
        <v>1</v>
      </c>
      <c r="AG871" s="20">
        <f t="shared" si="13"/>
        <v>100</v>
      </c>
    </row>
    <row r="872" spans="1:33" x14ac:dyDescent="0.25">
      <c r="A872">
        <v>871</v>
      </c>
      <c r="B872" s="2">
        <v>3</v>
      </c>
      <c r="C872" s="2">
        <v>36</v>
      </c>
      <c r="D872" s="2">
        <v>3</v>
      </c>
      <c r="E872" s="2">
        <v>0</v>
      </c>
      <c r="F872" s="2">
        <v>0</v>
      </c>
      <c r="G872" s="2">
        <v>1</v>
      </c>
      <c r="H872" s="2">
        <v>0</v>
      </c>
      <c r="I872" s="2">
        <v>0</v>
      </c>
      <c r="J872" s="2">
        <v>0</v>
      </c>
      <c r="K872" s="2">
        <v>7678</v>
      </c>
      <c r="L872" s="2">
        <v>2</v>
      </c>
      <c r="M872" s="2">
        <v>3</v>
      </c>
      <c r="N872" s="2">
        <v>2</v>
      </c>
      <c r="O872" s="2">
        <v>0</v>
      </c>
      <c r="P872" s="2">
        <v>0</v>
      </c>
      <c r="Q872" s="2">
        <v>0</v>
      </c>
      <c r="R872" s="2">
        <v>0</v>
      </c>
      <c r="S872" s="2">
        <v>0</v>
      </c>
      <c r="T872" s="2">
        <v>4</v>
      </c>
      <c r="U872" s="2">
        <v>0</v>
      </c>
      <c r="V872" s="2">
        <v>0</v>
      </c>
      <c r="W872" s="2">
        <v>40</v>
      </c>
      <c r="X872" s="2">
        <v>0</v>
      </c>
      <c r="Y872" s="2">
        <v>0</v>
      </c>
      <c r="Z872" s="2">
        <v>1</v>
      </c>
      <c r="AA872" s="2">
        <v>2</v>
      </c>
      <c r="AB872" s="2">
        <v>2</v>
      </c>
      <c r="AC872" s="2">
        <v>1</v>
      </c>
      <c r="AD872" s="2">
        <v>1</v>
      </c>
      <c r="AE872" s="2">
        <v>0</v>
      </c>
      <c r="AF872" s="2">
        <v>1</v>
      </c>
      <c r="AG872" s="20">
        <f t="shared" si="13"/>
        <v>100</v>
      </c>
    </row>
    <row r="873" spans="1:33" x14ac:dyDescent="0.25">
      <c r="A873">
        <v>872</v>
      </c>
      <c r="B873" s="2">
        <v>2</v>
      </c>
      <c r="C873" s="2">
        <v>6</v>
      </c>
      <c r="D873" s="2">
        <v>4</v>
      </c>
      <c r="E873" s="2">
        <v>1</v>
      </c>
      <c r="F873" s="2">
        <v>0</v>
      </c>
      <c r="G873" s="2">
        <v>0</v>
      </c>
      <c r="H873" s="2">
        <v>0</v>
      </c>
      <c r="I873" s="2">
        <v>0</v>
      </c>
      <c r="J873" s="2">
        <v>0</v>
      </c>
      <c r="K873" s="2">
        <v>1343</v>
      </c>
      <c r="L873" s="2">
        <v>0</v>
      </c>
      <c r="M873" s="2">
        <v>4</v>
      </c>
      <c r="N873" s="2">
        <v>1</v>
      </c>
      <c r="O873" s="2">
        <v>0</v>
      </c>
      <c r="P873" s="2">
        <v>1</v>
      </c>
      <c r="Q873" s="2">
        <v>0</v>
      </c>
      <c r="R873" s="2">
        <v>0</v>
      </c>
      <c r="S873" s="2">
        <v>0</v>
      </c>
      <c r="T873" s="2">
        <v>4</v>
      </c>
      <c r="U873" s="2">
        <v>1</v>
      </c>
      <c r="V873" s="2">
        <v>0</v>
      </c>
      <c r="W873" s="2">
        <v>46</v>
      </c>
      <c r="X873" s="2">
        <v>0</v>
      </c>
      <c r="Y873" s="2">
        <v>0</v>
      </c>
      <c r="Z873" s="2">
        <v>1</v>
      </c>
      <c r="AA873" s="2">
        <v>2</v>
      </c>
      <c r="AB873" s="2">
        <v>2</v>
      </c>
      <c r="AC873" s="2">
        <v>2</v>
      </c>
      <c r="AD873" s="2">
        <v>0</v>
      </c>
      <c r="AE873" s="2">
        <v>1</v>
      </c>
      <c r="AF873" s="2">
        <v>1</v>
      </c>
      <c r="AG873" s="20">
        <f t="shared" si="13"/>
        <v>100</v>
      </c>
    </row>
    <row r="874" spans="1:33" x14ac:dyDescent="0.25">
      <c r="A874">
        <v>873</v>
      </c>
      <c r="B874" s="2">
        <v>0</v>
      </c>
      <c r="C874" s="2">
        <v>24</v>
      </c>
      <c r="D874" s="2">
        <v>4</v>
      </c>
      <c r="E874" s="2">
        <v>0</v>
      </c>
      <c r="F874" s="2">
        <v>0</v>
      </c>
      <c r="G874" s="2">
        <v>0</v>
      </c>
      <c r="H874" s="2">
        <v>0</v>
      </c>
      <c r="I874" s="2">
        <v>0</v>
      </c>
      <c r="J874" s="2">
        <v>1</v>
      </c>
      <c r="K874" s="2">
        <v>1382</v>
      </c>
      <c r="L874" s="2">
        <v>1</v>
      </c>
      <c r="M874" s="2">
        <v>3</v>
      </c>
      <c r="N874" s="2">
        <v>4</v>
      </c>
      <c r="O874" s="2">
        <v>0</v>
      </c>
      <c r="P874" s="2">
        <v>1</v>
      </c>
      <c r="Q874" s="2">
        <v>0</v>
      </c>
      <c r="R874" s="2">
        <v>0</v>
      </c>
      <c r="S874" s="2">
        <v>0</v>
      </c>
      <c r="T874" s="2">
        <v>1</v>
      </c>
      <c r="U874" s="2">
        <v>1</v>
      </c>
      <c r="V874" s="2">
        <v>0</v>
      </c>
      <c r="W874" s="2">
        <v>26</v>
      </c>
      <c r="X874" s="2">
        <v>0</v>
      </c>
      <c r="Y874" s="2">
        <v>0</v>
      </c>
      <c r="Z874" s="2">
        <v>1</v>
      </c>
      <c r="AA874" s="2">
        <v>2</v>
      </c>
      <c r="AB874" s="2">
        <v>2</v>
      </c>
      <c r="AC874" s="2">
        <v>1</v>
      </c>
      <c r="AD874" s="2">
        <v>1</v>
      </c>
      <c r="AE874" s="2">
        <v>0</v>
      </c>
      <c r="AF874" s="2">
        <v>1</v>
      </c>
      <c r="AG874" s="20">
        <f t="shared" si="13"/>
        <v>100</v>
      </c>
    </row>
    <row r="875" spans="1:33" x14ac:dyDescent="0.25">
      <c r="A875">
        <v>874</v>
      </c>
      <c r="B875" s="2">
        <v>3</v>
      </c>
      <c r="C875" s="2">
        <v>15</v>
      </c>
      <c r="D875" s="2">
        <v>2</v>
      </c>
      <c r="E875" s="2">
        <v>0</v>
      </c>
      <c r="F875" s="2">
        <v>0</v>
      </c>
      <c r="G875" s="2">
        <v>0</v>
      </c>
      <c r="H875" s="2">
        <v>0</v>
      </c>
      <c r="I875" s="2">
        <v>0</v>
      </c>
      <c r="J875" s="2">
        <v>0</v>
      </c>
      <c r="K875" s="2">
        <v>874</v>
      </c>
      <c r="L875" s="2">
        <v>4</v>
      </c>
      <c r="M875" s="2">
        <v>1</v>
      </c>
      <c r="N875" s="2">
        <v>4</v>
      </c>
      <c r="O875" s="2">
        <v>0</v>
      </c>
      <c r="P875" s="2">
        <v>0</v>
      </c>
      <c r="Q875" s="2">
        <v>0</v>
      </c>
      <c r="R875" s="2">
        <v>0</v>
      </c>
      <c r="S875" s="2">
        <v>0</v>
      </c>
      <c r="T875" s="2">
        <v>1</v>
      </c>
      <c r="U875" s="2">
        <v>1</v>
      </c>
      <c r="V875" s="2">
        <v>0</v>
      </c>
      <c r="W875" s="2">
        <v>24</v>
      </c>
      <c r="X875" s="2">
        <v>0</v>
      </c>
      <c r="Y875" s="2">
        <v>0</v>
      </c>
      <c r="Z875" s="2">
        <v>1</v>
      </c>
      <c r="AA875" s="2">
        <v>1</v>
      </c>
      <c r="AB875" s="2">
        <v>2</v>
      </c>
      <c r="AC875" s="2">
        <v>1</v>
      </c>
      <c r="AD875" s="2">
        <v>0</v>
      </c>
      <c r="AE875" s="2">
        <v>0</v>
      </c>
      <c r="AF875" s="2">
        <v>1</v>
      </c>
      <c r="AG875" s="20">
        <f t="shared" si="13"/>
        <v>100</v>
      </c>
    </row>
    <row r="876" spans="1:33" x14ac:dyDescent="0.25">
      <c r="A876">
        <v>875</v>
      </c>
      <c r="B876" s="2">
        <v>0</v>
      </c>
      <c r="C876" s="2">
        <v>12</v>
      </c>
      <c r="D876" s="2">
        <v>2</v>
      </c>
      <c r="E876" s="2">
        <v>0</v>
      </c>
      <c r="F876" s="2">
        <v>0</v>
      </c>
      <c r="G876" s="2">
        <v>1</v>
      </c>
      <c r="H876" s="2">
        <v>0</v>
      </c>
      <c r="I876" s="2">
        <v>0</v>
      </c>
      <c r="J876" s="2">
        <v>0</v>
      </c>
      <c r="K876" s="2">
        <v>3590</v>
      </c>
      <c r="L876" s="2">
        <v>0</v>
      </c>
      <c r="M876" s="2">
        <v>2</v>
      </c>
      <c r="N876" s="2">
        <v>2</v>
      </c>
      <c r="O876" s="2">
        <v>0</v>
      </c>
      <c r="P876" s="2">
        <v>1</v>
      </c>
      <c r="Q876" s="2">
        <v>0</v>
      </c>
      <c r="R876" s="2">
        <v>1</v>
      </c>
      <c r="S876" s="2">
        <v>0</v>
      </c>
      <c r="T876" s="2">
        <v>2</v>
      </c>
      <c r="U876" s="2">
        <v>0</v>
      </c>
      <c r="V876" s="2">
        <v>0</v>
      </c>
      <c r="W876" s="2">
        <v>29</v>
      </c>
      <c r="X876" s="2">
        <v>0</v>
      </c>
      <c r="Y876" s="2">
        <v>0</v>
      </c>
      <c r="Z876" s="2">
        <v>1</v>
      </c>
      <c r="AA876" s="2">
        <v>1</v>
      </c>
      <c r="AB876" s="2">
        <v>1</v>
      </c>
      <c r="AC876" s="2">
        <v>2</v>
      </c>
      <c r="AD876" s="2">
        <v>0</v>
      </c>
      <c r="AE876" s="2">
        <v>0</v>
      </c>
      <c r="AF876" s="2">
        <v>1</v>
      </c>
      <c r="AG876" s="20">
        <f t="shared" si="13"/>
        <v>100</v>
      </c>
    </row>
    <row r="877" spans="1:33" x14ac:dyDescent="0.25">
      <c r="A877">
        <v>876</v>
      </c>
      <c r="B877" s="2">
        <v>1</v>
      </c>
      <c r="C877" s="2">
        <v>11</v>
      </c>
      <c r="D877" s="2">
        <v>4</v>
      </c>
      <c r="E877" s="2">
        <v>1</v>
      </c>
      <c r="F877" s="2">
        <v>0</v>
      </c>
      <c r="G877" s="2">
        <v>0</v>
      </c>
      <c r="H877" s="2">
        <v>0</v>
      </c>
      <c r="I877" s="2">
        <v>0</v>
      </c>
      <c r="J877" s="2">
        <v>0</v>
      </c>
      <c r="K877" s="2">
        <v>1322</v>
      </c>
      <c r="L877" s="2">
        <v>3</v>
      </c>
      <c r="M877" s="2">
        <v>2</v>
      </c>
      <c r="N877" s="2">
        <v>4</v>
      </c>
      <c r="O877" s="2">
        <v>0</v>
      </c>
      <c r="P877" s="2">
        <v>0</v>
      </c>
      <c r="Q877" s="2">
        <v>0</v>
      </c>
      <c r="R877" s="2">
        <v>0</v>
      </c>
      <c r="S877" s="2">
        <v>0</v>
      </c>
      <c r="T877" s="2">
        <v>4</v>
      </c>
      <c r="U877" s="2">
        <v>0</v>
      </c>
      <c r="V877" s="2">
        <v>0</v>
      </c>
      <c r="W877" s="2">
        <v>40</v>
      </c>
      <c r="X877" s="2">
        <v>0</v>
      </c>
      <c r="Y877" s="2">
        <v>0</v>
      </c>
      <c r="Z877" s="2">
        <v>1</v>
      </c>
      <c r="AA877" s="2">
        <v>2</v>
      </c>
      <c r="AB877" s="2">
        <v>2</v>
      </c>
      <c r="AC877" s="2">
        <v>1</v>
      </c>
      <c r="AD877" s="2">
        <v>0</v>
      </c>
      <c r="AE877" s="2">
        <v>0</v>
      </c>
      <c r="AF877" s="2">
        <v>1</v>
      </c>
      <c r="AG877" s="20">
        <f t="shared" si="13"/>
        <v>100</v>
      </c>
    </row>
    <row r="878" spans="1:33" x14ac:dyDescent="0.25">
      <c r="A878">
        <v>877</v>
      </c>
      <c r="B878" s="2">
        <v>0</v>
      </c>
      <c r="C878" s="2">
        <v>18</v>
      </c>
      <c r="D878" s="2">
        <v>1</v>
      </c>
      <c r="E878" s="2">
        <v>0</v>
      </c>
      <c r="F878" s="2">
        <v>0</v>
      </c>
      <c r="G878" s="2">
        <v>0</v>
      </c>
      <c r="H878" s="2">
        <v>1</v>
      </c>
      <c r="I878" s="2">
        <v>0</v>
      </c>
      <c r="J878" s="2">
        <v>0</v>
      </c>
      <c r="K878" s="2">
        <v>1940</v>
      </c>
      <c r="L878" s="2">
        <v>0</v>
      </c>
      <c r="M878" s="2">
        <v>1</v>
      </c>
      <c r="N878" s="2">
        <v>3</v>
      </c>
      <c r="O878" s="2">
        <v>0</v>
      </c>
      <c r="P878" s="2">
        <v>1</v>
      </c>
      <c r="Q878" s="2">
        <v>0</v>
      </c>
      <c r="R878" s="2">
        <v>1</v>
      </c>
      <c r="S878" s="2">
        <v>0</v>
      </c>
      <c r="T878" s="2">
        <v>4</v>
      </c>
      <c r="U878" s="2">
        <v>0</v>
      </c>
      <c r="V878" s="2">
        <v>1</v>
      </c>
      <c r="W878" s="2">
        <v>36</v>
      </c>
      <c r="X878" s="2">
        <v>1</v>
      </c>
      <c r="Y878" s="2">
        <v>0</v>
      </c>
      <c r="Z878" s="2">
        <v>0</v>
      </c>
      <c r="AA878" s="2">
        <v>1</v>
      </c>
      <c r="AB878" s="2">
        <v>3</v>
      </c>
      <c r="AC878" s="2">
        <v>1</v>
      </c>
      <c r="AD878" s="2">
        <v>1</v>
      </c>
      <c r="AE878" s="2">
        <v>0</v>
      </c>
      <c r="AF878" s="2">
        <v>1</v>
      </c>
      <c r="AG878" s="20">
        <f t="shared" si="13"/>
        <v>100</v>
      </c>
    </row>
    <row r="879" spans="1:33" x14ac:dyDescent="0.25">
      <c r="A879">
        <v>878</v>
      </c>
      <c r="B879" s="2">
        <v>3</v>
      </c>
      <c r="C879" s="2">
        <v>36</v>
      </c>
      <c r="D879" s="2">
        <v>2</v>
      </c>
      <c r="E879" s="2">
        <v>0</v>
      </c>
      <c r="F879" s="2">
        <v>0</v>
      </c>
      <c r="G879" s="2">
        <v>0</v>
      </c>
      <c r="H879" s="2">
        <v>1</v>
      </c>
      <c r="I879" s="2">
        <v>0</v>
      </c>
      <c r="J879" s="2">
        <v>0</v>
      </c>
      <c r="K879" s="2">
        <v>3595</v>
      </c>
      <c r="L879" s="2">
        <v>0</v>
      </c>
      <c r="M879" s="2">
        <v>4</v>
      </c>
      <c r="N879" s="2">
        <v>4</v>
      </c>
      <c r="O879" s="2">
        <v>0</v>
      </c>
      <c r="P879" s="2">
        <v>1</v>
      </c>
      <c r="Q879" s="2">
        <v>0</v>
      </c>
      <c r="R879" s="2">
        <v>0</v>
      </c>
      <c r="S879" s="2">
        <v>0</v>
      </c>
      <c r="T879" s="2">
        <v>2</v>
      </c>
      <c r="U879" s="2">
        <v>0</v>
      </c>
      <c r="V879" s="2">
        <v>0</v>
      </c>
      <c r="W879" s="2">
        <v>28</v>
      </c>
      <c r="X879" s="2">
        <v>0</v>
      </c>
      <c r="Y879" s="2">
        <v>0</v>
      </c>
      <c r="Z879" s="2">
        <v>1</v>
      </c>
      <c r="AA879" s="2">
        <v>1</v>
      </c>
      <c r="AB879" s="2">
        <v>2</v>
      </c>
      <c r="AC879" s="2">
        <v>1</v>
      </c>
      <c r="AD879" s="2">
        <v>0</v>
      </c>
      <c r="AE879" s="2">
        <v>0</v>
      </c>
      <c r="AF879" s="2">
        <v>1</v>
      </c>
      <c r="AG879" s="20">
        <f t="shared" si="13"/>
        <v>100</v>
      </c>
    </row>
    <row r="880" spans="1:33" x14ac:dyDescent="0.25">
      <c r="A880">
        <v>879</v>
      </c>
      <c r="B880" s="2">
        <v>0</v>
      </c>
      <c r="C880" s="2">
        <v>9</v>
      </c>
      <c r="D880" s="2">
        <v>2</v>
      </c>
      <c r="E880" s="2">
        <v>1</v>
      </c>
      <c r="F880" s="2">
        <v>0</v>
      </c>
      <c r="G880" s="2">
        <v>0</v>
      </c>
      <c r="H880" s="2">
        <v>0</v>
      </c>
      <c r="I880" s="2">
        <v>0</v>
      </c>
      <c r="J880" s="2">
        <v>0</v>
      </c>
      <c r="K880" s="2">
        <v>1422</v>
      </c>
      <c r="L880" s="2">
        <v>0</v>
      </c>
      <c r="M880" s="2">
        <v>1</v>
      </c>
      <c r="N880" s="2">
        <v>3</v>
      </c>
      <c r="O880" s="2">
        <v>0</v>
      </c>
      <c r="P880" s="2">
        <v>1</v>
      </c>
      <c r="Q880" s="2">
        <v>0</v>
      </c>
      <c r="R880" s="2">
        <v>0</v>
      </c>
      <c r="S880" s="2">
        <v>0</v>
      </c>
      <c r="T880" s="2">
        <v>2</v>
      </c>
      <c r="U880" s="2">
        <v>0</v>
      </c>
      <c r="V880" s="2">
        <v>1</v>
      </c>
      <c r="W880" s="2">
        <v>27</v>
      </c>
      <c r="X880" s="2">
        <v>0</v>
      </c>
      <c r="Y880" s="2">
        <v>0</v>
      </c>
      <c r="Z880" s="2">
        <v>0</v>
      </c>
      <c r="AA880" s="2">
        <v>1</v>
      </c>
      <c r="AB880" s="2">
        <v>3</v>
      </c>
      <c r="AC880" s="2">
        <v>1</v>
      </c>
      <c r="AD880" s="2">
        <v>1</v>
      </c>
      <c r="AE880" s="2">
        <v>0</v>
      </c>
      <c r="AF880" s="2">
        <v>0</v>
      </c>
      <c r="AG880" s="20">
        <f t="shared" si="13"/>
        <v>-500</v>
      </c>
    </row>
    <row r="881" spans="1:33" x14ac:dyDescent="0.25">
      <c r="A881">
        <v>880</v>
      </c>
      <c r="B881" s="2">
        <v>3</v>
      </c>
      <c r="C881" s="2">
        <v>30</v>
      </c>
      <c r="D881" s="2">
        <v>4</v>
      </c>
      <c r="E881" s="2">
        <v>0</v>
      </c>
      <c r="F881" s="2">
        <v>0</v>
      </c>
      <c r="G881" s="2">
        <v>0</v>
      </c>
      <c r="H881" s="2">
        <v>1</v>
      </c>
      <c r="I881" s="2">
        <v>0</v>
      </c>
      <c r="J881" s="2">
        <v>0</v>
      </c>
      <c r="K881" s="2">
        <v>6742</v>
      </c>
      <c r="L881" s="2">
        <v>4</v>
      </c>
      <c r="M881" s="2">
        <v>3</v>
      </c>
      <c r="N881" s="2">
        <v>2</v>
      </c>
      <c r="O881" s="2">
        <v>0</v>
      </c>
      <c r="P881" s="2">
        <v>1</v>
      </c>
      <c r="Q881" s="2">
        <v>0</v>
      </c>
      <c r="R881" s="2">
        <v>0</v>
      </c>
      <c r="S881" s="2">
        <v>0</v>
      </c>
      <c r="T881" s="2">
        <v>3</v>
      </c>
      <c r="U881" s="2">
        <v>0</v>
      </c>
      <c r="V881" s="2">
        <v>0</v>
      </c>
      <c r="W881" s="2">
        <v>36</v>
      </c>
      <c r="X881" s="2">
        <v>0</v>
      </c>
      <c r="Y881" s="2">
        <v>0</v>
      </c>
      <c r="Z881" s="2">
        <v>1</v>
      </c>
      <c r="AA881" s="2">
        <v>2</v>
      </c>
      <c r="AB881" s="2">
        <v>2</v>
      </c>
      <c r="AC881" s="2">
        <v>1</v>
      </c>
      <c r="AD881" s="2">
        <v>0</v>
      </c>
      <c r="AE881" s="2">
        <v>0</v>
      </c>
      <c r="AF881" s="2">
        <v>1</v>
      </c>
      <c r="AG881" s="20">
        <f t="shared" si="13"/>
        <v>100</v>
      </c>
    </row>
    <row r="882" spans="1:33" x14ac:dyDescent="0.25">
      <c r="A882">
        <v>881</v>
      </c>
      <c r="B882" s="2">
        <v>3</v>
      </c>
      <c r="C882" s="2">
        <v>24</v>
      </c>
      <c r="D882" s="2">
        <v>2</v>
      </c>
      <c r="E882" s="2">
        <v>0</v>
      </c>
      <c r="F882" s="2">
        <v>1</v>
      </c>
      <c r="G882" s="2">
        <v>0</v>
      </c>
      <c r="H882" s="2">
        <v>0</v>
      </c>
      <c r="I882" s="2">
        <v>0</v>
      </c>
      <c r="J882" s="2">
        <v>0</v>
      </c>
      <c r="K882" s="2">
        <v>7814</v>
      </c>
      <c r="L882" s="2">
        <v>0</v>
      </c>
      <c r="M882" s="2">
        <v>3</v>
      </c>
      <c r="N882" s="2">
        <v>3</v>
      </c>
      <c r="O882" s="2">
        <v>0</v>
      </c>
      <c r="P882" s="2">
        <v>1</v>
      </c>
      <c r="Q882" s="2">
        <v>0</v>
      </c>
      <c r="R882" s="2">
        <v>0</v>
      </c>
      <c r="S882" s="2">
        <v>0</v>
      </c>
      <c r="T882" s="2">
        <v>3</v>
      </c>
      <c r="U882" s="2">
        <v>0</v>
      </c>
      <c r="V882" s="2">
        <v>0</v>
      </c>
      <c r="W882" s="2">
        <v>38</v>
      </c>
      <c r="X882" s="2">
        <v>0</v>
      </c>
      <c r="Y882" s="2">
        <v>0</v>
      </c>
      <c r="Z882" s="2">
        <v>1</v>
      </c>
      <c r="AA882" s="2">
        <v>1</v>
      </c>
      <c r="AB882" s="2">
        <v>3</v>
      </c>
      <c r="AC882" s="2">
        <v>1</v>
      </c>
      <c r="AD882" s="2">
        <v>1</v>
      </c>
      <c r="AE882" s="2">
        <v>0</v>
      </c>
      <c r="AF882" s="2">
        <v>1</v>
      </c>
      <c r="AG882" s="20">
        <f t="shared" si="13"/>
        <v>100</v>
      </c>
    </row>
    <row r="883" spans="1:33" x14ac:dyDescent="0.25">
      <c r="A883">
        <v>882</v>
      </c>
      <c r="B883" s="2">
        <v>3</v>
      </c>
      <c r="C883" s="2">
        <v>24</v>
      </c>
      <c r="D883" s="2">
        <v>2</v>
      </c>
      <c r="E883" s="2">
        <v>0</v>
      </c>
      <c r="F883" s="2">
        <v>1</v>
      </c>
      <c r="G883" s="2">
        <v>0</v>
      </c>
      <c r="H883" s="2">
        <v>0</v>
      </c>
      <c r="I883" s="2">
        <v>0</v>
      </c>
      <c r="J883" s="2">
        <v>0</v>
      </c>
      <c r="K883" s="2">
        <v>9277</v>
      </c>
      <c r="L883" s="2">
        <v>4</v>
      </c>
      <c r="M883" s="2">
        <v>2</v>
      </c>
      <c r="N883" s="2">
        <v>2</v>
      </c>
      <c r="O883" s="2">
        <v>1</v>
      </c>
      <c r="P883" s="2">
        <v>0</v>
      </c>
      <c r="Q883" s="2">
        <v>0</v>
      </c>
      <c r="R883" s="2">
        <v>0</v>
      </c>
      <c r="S883" s="2">
        <v>0</v>
      </c>
      <c r="T883" s="2">
        <v>4</v>
      </c>
      <c r="U883" s="2">
        <v>0</v>
      </c>
      <c r="V883" s="2">
        <v>1</v>
      </c>
      <c r="W883" s="2">
        <v>48</v>
      </c>
      <c r="X883" s="2">
        <v>0</v>
      </c>
      <c r="Y883" s="2">
        <v>0</v>
      </c>
      <c r="Z883" s="2">
        <v>0</v>
      </c>
      <c r="AA883" s="2">
        <v>1</v>
      </c>
      <c r="AB883" s="2">
        <v>2</v>
      </c>
      <c r="AC883" s="2">
        <v>1</v>
      </c>
      <c r="AD883" s="2">
        <v>1</v>
      </c>
      <c r="AE883" s="2">
        <v>0</v>
      </c>
      <c r="AF883" s="2">
        <v>1</v>
      </c>
      <c r="AG883" s="20">
        <f t="shared" si="13"/>
        <v>100</v>
      </c>
    </row>
    <row r="884" spans="1:33" x14ac:dyDescent="0.25">
      <c r="A884">
        <v>883</v>
      </c>
      <c r="B884" s="2">
        <v>1</v>
      </c>
      <c r="C884" s="2">
        <v>30</v>
      </c>
      <c r="D884" s="2">
        <v>4</v>
      </c>
      <c r="E884" s="2">
        <v>1</v>
      </c>
      <c r="F884" s="2">
        <v>0</v>
      </c>
      <c r="G884" s="2">
        <v>0</v>
      </c>
      <c r="H884" s="2">
        <v>0</v>
      </c>
      <c r="I884" s="2">
        <v>0</v>
      </c>
      <c r="J884" s="2">
        <v>0</v>
      </c>
      <c r="K884" s="2">
        <v>2181</v>
      </c>
      <c r="L884" s="2">
        <v>4</v>
      </c>
      <c r="M884" s="2">
        <v>4</v>
      </c>
      <c r="N884" s="2">
        <v>4</v>
      </c>
      <c r="O884" s="2">
        <v>0</v>
      </c>
      <c r="P884" s="2">
        <v>1</v>
      </c>
      <c r="Q884" s="2">
        <v>0</v>
      </c>
      <c r="R884" s="2">
        <v>0</v>
      </c>
      <c r="S884" s="2">
        <v>0</v>
      </c>
      <c r="T884" s="2">
        <v>4</v>
      </c>
      <c r="U884" s="2">
        <v>1</v>
      </c>
      <c r="V884" s="2">
        <v>0</v>
      </c>
      <c r="W884" s="2">
        <v>36</v>
      </c>
      <c r="X884" s="2">
        <v>0</v>
      </c>
      <c r="Y884" s="2">
        <v>0</v>
      </c>
      <c r="Z884" s="2">
        <v>1</v>
      </c>
      <c r="AA884" s="2">
        <v>2</v>
      </c>
      <c r="AB884" s="2">
        <v>2</v>
      </c>
      <c r="AC884" s="2">
        <v>1</v>
      </c>
      <c r="AD884" s="2">
        <v>0</v>
      </c>
      <c r="AE884" s="2">
        <v>0</v>
      </c>
      <c r="AF884" s="2">
        <v>1</v>
      </c>
      <c r="AG884" s="20">
        <f t="shared" si="13"/>
        <v>100</v>
      </c>
    </row>
    <row r="885" spans="1:33" x14ac:dyDescent="0.25">
      <c r="A885">
        <v>884</v>
      </c>
      <c r="B885" s="2">
        <v>3</v>
      </c>
      <c r="C885" s="2">
        <v>18</v>
      </c>
      <c r="D885" s="2">
        <v>4</v>
      </c>
      <c r="E885" s="2">
        <v>0</v>
      </c>
      <c r="F885" s="2">
        <v>0</v>
      </c>
      <c r="G885" s="2">
        <v>0</v>
      </c>
      <c r="H885" s="2">
        <v>1</v>
      </c>
      <c r="I885" s="2">
        <v>0</v>
      </c>
      <c r="J885" s="2">
        <v>0</v>
      </c>
      <c r="K885" s="2">
        <v>1098</v>
      </c>
      <c r="L885" s="2">
        <v>0</v>
      </c>
      <c r="M885" s="2">
        <v>0</v>
      </c>
      <c r="N885" s="2">
        <v>4</v>
      </c>
      <c r="O885" s="2">
        <v>0</v>
      </c>
      <c r="P885" s="2">
        <v>0</v>
      </c>
      <c r="Q885" s="2">
        <v>0</v>
      </c>
      <c r="R885" s="2">
        <v>0</v>
      </c>
      <c r="S885" s="2">
        <v>0</v>
      </c>
      <c r="T885" s="2">
        <v>4</v>
      </c>
      <c r="U885" s="2">
        <v>0</v>
      </c>
      <c r="V885" s="2">
        <v>0</v>
      </c>
      <c r="W885" s="2">
        <v>65</v>
      </c>
      <c r="X885" s="2">
        <v>0</v>
      </c>
      <c r="Y885" s="2">
        <v>0</v>
      </c>
      <c r="Z885" s="2">
        <v>1</v>
      </c>
      <c r="AA885" s="2">
        <v>2</v>
      </c>
      <c r="AB885" s="2">
        <v>0</v>
      </c>
      <c r="AC885" s="2">
        <v>1</v>
      </c>
      <c r="AD885" s="2">
        <v>0</v>
      </c>
      <c r="AE885" s="2">
        <v>0</v>
      </c>
      <c r="AF885" s="2">
        <v>1</v>
      </c>
      <c r="AG885" s="20">
        <f t="shared" si="13"/>
        <v>100</v>
      </c>
    </row>
    <row r="886" spans="1:33" x14ac:dyDescent="0.25">
      <c r="A886">
        <v>885</v>
      </c>
      <c r="B886" s="2">
        <v>1</v>
      </c>
      <c r="C886" s="2">
        <v>24</v>
      </c>
      <c r="D886" s="2">
        <v>2</v>
      </c>
      <c r="E886" s="2">
        <v>0</v>
      </c>
      <c r="F886" s="2">
        <v>0</v>
      </c>
      <c r="G886" s="2">
        <v>1</v>
      </c>
      <c r="H886" s="2">
        <v>0</v>
      </c>
      <c r="I886" s="2">
        <v>0</v>
      </c>
      <c r="J886" s="2">
        <v>0</v>
      </c>
      <c r="K886" s="2">
        <v>4057</v>
      </c>
      <c r="L886" s="2">
        <v>0</v>
      </c>
      <c r="M886" s="2">
        <v>3</v>
      </c>
      <c r="N886" s="2">
        <v>3</v>
      </c>
      <c r="O886" s="2">
        <v>1</v>
      </c>
      <c r="P886" s="2">
        <v>0</v>
      </c>
      <c r="Q886" s="2">
        <v>0</v>
      </c>
      <c r="R886" s="2">
        <v>0</v>
      </c>
      <c r="S886" s="2">
        <v>0</v>
      </c>
      <c r="T886" s="2">
        <v>3</v>
      </c>
      <c r="U886" s="2">
        <v>0</v>
      </c>
      <c r="V886" s="2">
        <v>0</v>
      </c>
      <c r="W886" s="2">
        <v>43</v>
      </c>
      <c r="X886" s="2">
        <v>0</v>
      </c>
      <c r="Y886" s="2">
        <v>0</v>
      </c>
      <c r="Z886" s="2">
        <v>1</v>
      </c>
      <c r="AA886" s="2">
        <v>1</v>
      </c>
      <c r="AB886" s="2">
        <v>2</v>
      </c>
      <c r="AC886" s="2">
        <v>1</v>
      </c>
      <c r="AD886" s="2">
        <v>1</v>
      </c>
      <c r="AE886" s="2">
        <v>0</v>
      </c>
      <c r="AF886" s="2">
        <v>0</v>
      </c>
      <c r="AG886" s="20">
        <f t="shared" si="13"/>
        <v>-500</v>
      </c>
    </row>
    <row r="887" spans="1:33" x14ac:dyDescent="0.25">
      <c r="A887">
        <v>886</v>
      </c>
      <c r="B887" s="2">
        <v>0</v>
      </c>
      <c r="C887" s="2">
        <v>12</v>
      </c>
      <c r="D887" s="2">
        <v>2</v>
      </c>
      <c r="E887" s="2">
        <v>0</v>
      </c>
      <c r="F887" s="2">
        <v>0</v>
      </c>
      <c r="G887" s="2">
        <v>0</v>
      </c>
      <c r="H887" s="2">
        <v>0</v>
      </c>
      <c r="I887" s="2">
        <v>1</v>
      </c>
      <c r="J887" s="2">
        <v>0</v>
      </c>
      <c r="K887" s="2">
        <v>795</v>
      </c>
      <c r="L887" s="2">
        <v>0</v>
      </c>
      <c r="M887" s="2">
        <v>1</v>
      </c>
      <c r="N887" s="2">
        <v>4</v>
      </c>
      <c r="O887" s="2">
        <v>0</v>
      </c>
      <c r="P887" s="2">
        <v>0</v>
      </c>
      <c r="Q887" s="2">
        <v>0</v>
      </c>
      <c r="R887" s="2">
        <v>0</v>
      </c>
      <c r="S887" s="2">
        <v>0</v>
      </c>
      <c r="T887" s="2">
        <v>4</v>
      </c>
      <c r="U887" s="2">
        <v>0</v>
      </c>
      <c r="V887" s="2">
        <v>0</v>
      </c>
      <c r="W887" s="2">
        <v>53</v>
      </c>
      <c r="X887" s="2">
        <v>0</v>
      </c>
      <c r="Y887" s="2">
        <v>0</v>
      </c>
      <c r="Z887" s="2">
        <v>1</v>
      </c>
      <c r="AA887" s="2">
        <v>1</v>
      </c>
      <c r="AB887" s="2">
        <v>2</v>
      </c>
      <c r="AC887" s="2">
        <v>1</v>
      </c>
      <c r="AD887" s="2">
        <v>0</v>
      </c>
      <c r="AE887" s="2">
        <v>0</v>
      </c>
      <c r="AF887" s="2">
        <v>0</v>
      </c>
      <c r="AG887" s="20">
        <f t="shared" si="13"/>
        <v>-500</v>
      </c>
    </row>
    <row r="888" spans="1:33" x14ac:dyDescent="0.25">
      <c r="A888">
        <v>887</v>
      </c>
      <c r="B888" s="2">
        <v>1</v>
      </c>
      <c r="C888" s="2">
        <v>24</v>
      </c>
      <c r="D888" s="2">
        <v>4</v>
      </c>
      <c r="E888" s="2">
        <v>0</v>
      </c>
      <c r="F888" s="2">
        <v>0</v>
      </c>
      <c r="G888" s="2">
        <v>0</v>
      </c>
      <c r="H888" s="2">
        <v>0</v>
      </c>
      <c r="I888" s="2">
        <v>0</v>
      </c>
      <c r="J888" s="2">
        <v>1</v>
      </c>
      <c r="K888" s="2">
        <v>2825</v>
      </c>
      <c r="L888" s="2">
        <v>4</v>
      </c>
      <c r="M888" s="2">
        <v>3</v>
      </c>
      <c r="N888" s="2">
        <v>4</v>
      </c>
      <c r="O888" s="2">
        <v>0</v>
      </c>
      <c r="P888" s="2">
        <v>1</v>
      </c>
      <c r="Q888" s="2">
        <v>0</v>
      </c>
      <c r="R888" s="2">
        <v>0</v>
      </c>
      <c r="S888" s="2">
        <v>0</v>
      </c>
      <c r="T888" s="2">
        <v>3</v>
      </c>
      <c r="U888" s="2">
        <v>0</v>
      </c>
      <c r="V888" s="2">
        <v>1</v>
      </c>
      <c r="W888" s="2">
        <v>34</v>
      </c>
      <c r="X888" s="2">
        <v>0</v>
      </c>
      <c r="Y888" s="2">
        <v>0</v>
      </c>
      <c r="Z888" s="2">
        <v>1</v>
      </c>
      <c r="AA888" s="2">
        <v>2</v>
      </c>
      <c r="AB888" s="2">
        <v>2</v>
      </c>
      <c r="AC888" s="2">
        <v>2</v>
      </c>
      <c r="AD888" s="2">
        <v>1</v>
      </c>
      <c r="AE888" s="2">
        <v>0</v>
      </c>
      <c r="AF888" s="2">
        <v>1</v>
      </c>
      <c r="AG888" s="20">
        <f t="shared" si="13"/>
        <v>100</v>
      </c>
    </row>
    <row r="889" spans="1:33" x14ac:dyDescent="0.25">
      <c r="A889">
        <v>888</v>
      </c>
      <c r="B889" s="2">
        <v>1</v>
      </c>
      <c r="C889" s="2">
        <v>48</v>
      </c>
      <c r="D889" s="2">
        <v>2</v>
      </c>
      <c r="E889" s="2">
        <v>0</v>
      </c>
      <c r="F889" s="2">
        <v>0</v>
      </c>
      <c r="G889" s="2">
        <v>0</v>
      </c>
      <c r="H889" s="2">
        <v>0</v>
      </c>
      <c r="I889" s="2">
        <v>0</v>
      </c>
      <c r="J889" s="2">
        <v>1</v>
      </c>
      <c r="K889" s="2">
        <v>15672</v>
      </c>
      <c r="L889" s="2">
        <v>0</v>
      </c>
      <c r="M889" s="2">
        <v>2</v>
      </c>
      <c r="N889" s="2">
        <v>2</v>
      </c>
      <c r="O889" s="2">
        <v>0</v>
      </c>
      <c r="P889" s="2">
        <v>1</v>
      </c>
      <c r="Q889" s="2">
        <v>0</v>
      </c>
      <c r="R889" s="2">
        <v>0</v>
      </c>
      <c r="S889" s="2">
        <v>0</v>
      </c>
      <c r="T889" s="2">
        <v>2</v>
      </c>
      <c r="U889" s="2">
        <v>0</v>
      </c>
      <c r="V889" s="2">
        <v>0</v>
      </c>
      <c r="W889" s="2">
        <v>23</v>
      </c>
      <c r="X889" s="2">
        <v>0</v>
      </c>
      <c r="Y889" s="2">
        <v>0</v>
      </c>
      <c r="Z889" s="2">
        <v>1</v>
      </c>
      <c r="AA889" s="2">
        <v>1</v>
      </c>
      <c r="AB889" s="2">
        <v>2</v>
      </c>
      <c r="AC889" s="2">
        <v>1</v>
      </c>
      <c r="AD889" s="2">
        <v>1</v>
      </c>
      <c r="AE889" s="2">
        <v>0</v>
      </c>
      <c r="AF889" s="2">
        <v>0</v>
      </c>
      <c r="AG889" s="20">
        <f t="shared" si="13"/>
        <v>-500</v>
      </c>
    </row>
    <row r="890" spans="1:33" x14ac:dyDescent="0.25">
      <c r="A890">
        <v>889</v>
      </c>
      <c r="B890" s="2">
        <v>3</v>
      </c>
      <c r="C890" s="2">
        <v>36</v>
      </c>
      <c r="D890" s="2">
        <v>4</v>
      </c>
      <c r="E890" s="2">
        <v>1</v>
      </c>
      <c r="F890" s="2">
        <v>0</v>
      </c>
      <c r="G890" s="2">
        <v>0</v>
      </c>
      <c r="H890" s="2">
        <v>0</v>
      </c>
      <c r="I890" s="2">
        <v>0</v>
      </c>
      <c r="J890" s="2">
        <v>0</v>
      </c>
      <c r="K890" s="2">
        <v>6614</v>
      </c>
      <c r="L890" s="2">
        <v>0</v>
      </c>
      <c r="M890" s="2">
        <v>4</v>
      </c>
      <c r="N890" s="2">
        <v>4</v>
      </c>
      <c r="O890" s="2">
        <v>0</v>
      </c>
      <c r="P890" s="2">
        <v>1</v>
      </c>
      <c r="Q890" s="2">
        <v>0</v>
      </c>
      <c r="R890" s="2">
        <v>0</v>
      </c>
      <c r="S890" s="2">
        <v>0</v>
      </c>
      <c r="T890" s="2">
        <v>4</v>
      </c>
      <c r="U890" s="2">
        <v>0</v>
      </c>
      <c r="V890" s="2">
        <v>0</v>
      </c>
      <c r="W890" s="2">
        <v>34</v>
      </c>
      <c r="X890" s="2">
        <v>0</v>
      </c>
      <c r="Y890" s="2">
        <v>0</v>
      </c>
      <c r="Z890" s="2">
        <v>1</v>
      </c>
      <c r="AA890" s="2">
        <v>2</v>
      </c>
      <c r="AB890" s="2">
        <v>3</v>
      </c>
      <c r="AC890" s="2">
        <v>1</v>
      </c>
      <c r="AD890" s="2">
        <v>1</v>
      </c>
      <c r="AE890" s="2">
        <v>0</v>
      </c>
      <c r="AF890" s="2">
        <v>1</v>
      </c>
      <c r="AG890" s="20">
        <f t="shared" si="13"/>
        <v>100</v>
      </c>
    </row>
    <row r="891" spans="1:33" x14ac:dyDescent="0.25">
      <c r="A891">
        <v>890</v>
      </c>
      <c r="B891" s="2">
        <v>3</v>
      </c>
      <c r="C891" s="2">
        <v>28</v>
      </c>
      <c r="D891" s="2">
        <v>1</v>
      </c>
      <c r="E891" s="2">
        <v>0</v>
      </c>
      <c r="F891" s="2">
        <v>1</v>
      </c>
      <c r="G891" s="2">
        <v>0</v>
      </c>
      <c r="H891" s="2">
        <v>0</v>
      </c>
      <c r="I891" s="2">
        <v>0</v>
      </c>
      <c r="J891" s="2">
        <v>0</v>
      </c>
      <c r="K891" s="2">
        <v>7824</v>
      </c>
      <c r="L891" s="2">
        <v>4</v>
      </c>
      <c r="M891" s="2">
        <v>1</v>
      </c>
      <c r="N891" s="2">
        <v>3</v>
      </c>
      <c r="O891" s="2">
        <v>0</v>
      </c>
      <c r="P891" s="2">
        <v>1</v>
      </c>
      <c r="Q891" s="2">
        <v>0</v>
      </c>
      <c r="R891" s="2">
        <v>0</v>
      </c>
      <c r="S891" s="2">
        <v>1</v>
      </c>
      <c r="T891" s="2">
        <v>4</v>
      </c>
      <c r="U891" s="2">
        <v>1</v>
      </c>
      <c r="V891" s="2">
        <v>0</v>
      </c>
      <c r="W891" s="2">
        <v>40</v>
      </c>
      <c r="X891" s="2">
        <v>1</v>
      </c>
      <c r="Y891" s="2">
        <v>1</v>
      </c>
      <c r="Z891" s="2">
        <v>0</v>
      </c>
      <c r="AA891" s="2">
        <v>2</v>
      </c>
      <c r="AB891" s="2">
        <v>2</v>
      </c>
      <c r="AC891" s="2">
        <v>2</v>
      </c>
      <c r="AD891" s="2">
        <v>1</v>
      </c>
      <c r="AE891" s="2">
        <v>0</v>
      </c>
      <c r="AF891" s="2">
        <v>1</v>
      </c>
      <c r="AG891" s="20">
        <f t="shared" si="13"/>
        <v>100</v>
      </c>
    </row>
    <row r="892" spans="1:33" x14ac:dyDescent="0.25">
      <c r="A892">
        <v>891</v>
      </c>
      <c r="B892" s="2">
        <v>0</v>
      </c>
      <c r="C892" s="2">
        <v>27</v>
      </c>
      <c r="D892" s="2">
        <v>4</v>
      </c>
      <c r="E892" s="2">
        <v>0</v>
      </c>
      <c r="F892" s="2">
        <v>0</v>
      </c>
      <c r="G892" s="2">
        <v>0</v>
      </c>
      <c r="H892" s="2">
        <v>0</v>
      </c>
      <c r="I892" s="2">
        <v>0</v>
      </c>
      <c r="J892" s="2">
        <v>1</v>
      </c>
      <c r="K892" s="2">
        <v>2442</v>
      </c>
      <c r="L892" s="2">
        <v>0</v>
      </c>
      <c r="M892" s="2">
        <v>4</v>
      </c>
      <c r="N892" s="2">
        <v>4</v>
      </c>
      <c r="O892" s="2">
        <v>0</v>
      </c>
      <c r="P892" s="2">
        <v>1</v>
      </c>
      <c r="Q892" s="2">
        <v>0</v>
      </c>
      <c r="R892" s="2">
        <v>0</v>
      </c>
      <c r="S892" s="2">
        <v>0</v>
      </c>
      <c r="T892" s="2">
        <v>4</v>
      </c>
      <c r="U892" s="2">
        <v>0</v>
      </c>
      <c r="V892" s="2">
        <v>0</v>
      </c>
      <c r="W892" s="2">
        <v>43</v>
      </c>
      <c r="X892" s="2">
        <v>1</v>
      </c>
      <c r="Y892" s="2">
        <v>0</v>
      </c>
      <c r="Z892" s="2">
        <v>1</v>
      </c>
      <c r="AA892" s="2">
        <v>4</v>
      </c>
      <c r="AB892" s="2">
        <v>3</v>
      </c>
      <c r="AC892" s="2">
        <v>2</v>
      </c>
      <c r="AD892" s="2">
        <v>1</v>
      </c>
      <c r="AE892" s="2">
        <v>0</v>
      </c>
      <c r="AF892" s="2">
        <v>1</v>
      </c>
      <c r="AG892" s="20">
        <f t="shared" si="13"/>
        <v>100</v>
      </c>
    </row>
    <row r="893" spans="1:33" x14ac:dyDescent="0.25">
      <c r="A893">
        <v>892</v>
      </c>
      <c r="B893" s="2">
        <v>3</v>
      </c>
      <c r="C893" s="2">
        <v>15</v>
      </c>
      <c r="D893" s="2">
        <v>4</v>
      </c>
      <c r="E893" s="2">
        <v>0</v>
      </c>
      <c r="F893" s="2">
        <v>0</v>
      </c>
      <c r="G893" s="2">
        <v>0</v>
      </c>
      <c r="H893" s="2">
        <v>1</v>
      </c>
      <c r="I893" s="2">
        <v>0</v>
      </c>
      <c r="J893" s="2">
        <v>0</v>
      </c>
      <c r="K893" s="2">
        <v>1829</v>
      </c>
      <c r="L893" s="2">
        <v>0</v>
      </c>
      <c r="M893" s="2">
        <v>4</v>
      </c>
      <c r="N893" s="2">
        <v>4</v>
      </c>
      <c r="O893" s="2">
        <v>0</v>
      </c>
      <c r="P893" s="2">
        <v>1</v>
      </c>
      <c r="Q893" s="2">
        <v>0</v>
      </c>
      <c r="R893" s="2">
        <v>0</v>
      </c>
      <c r="S893" s="2">
        <v>0</v>
      </c>
      <c r="T893" s="2">
        <v>4</v>
      </c>
      <c r="U893" s="2">
        <v>0</v>
      </c>
      <c r="V893" s="2">
        <v>0</v>
      </c>
      <c r="W893" s="2">
        <v>46</v>
      </c>
      <c r="X893" s="2">
        <v>0</v>
      </c>
      <c r="Y893" s="2">
        <v>0</v>
      </c>
      <c r="Z893" s="2">
        <v>1</v>
      </c>
      <c r="AA893" s="2">
        <v>2</v>
      </c>
      <c r="AB893" s="2">
        <v>2</v>
      </c>
      <c r="AC893" s="2">
        <v>1</v>
      </c>
      <c r="AD893" s="2">
        <v>1</v>
      </c>
      <c r="AE893" s="2">
        <v>0</v>
      </c>
      <c r="AF893" s="2">
        <v>1</v>
      </c>
      <c r="AG893" s="20">
        <f t="shared" si="13"/>
        <v>100</v>
      </c>
    </row>
    <row r="894" spans="1:33" x14ac:dyDescent="0.25">
      <c r="A894">
        <v>893</v>
      </c>
      <c r="B894" s="2">
        <v>0</v>
      </c>
      <c r="C894" s="2">
        <v>12</v>
      </c>
      <c r="D894" s="2">
        <v>4</v>
      </c>
      <c r="E894" s="2">
        <v>1</v>
      </c>
      <c r="F894" s="2">
        <v>0</v>
      </c>
      <c r="G894" s="2">
        <v>0</v>
      </c>
      <c r="H894" s="2">
        <v>0</v>
      </c>
      <c r="I894" s="2">
        <v>0</v>
      </c>
      <c r="J894" s="2">
        <v>0</v>
      </c>
      <c r="K894" s="2">
        <v>2171</v>
      </c>
      <c r="L894" s="2">
        <v>0</v>
      </c>
      <c r="M894" s="2">
        <v>2</v>
      </c>
      <c r="N894" s="2">
        <v>4</v>
      </c>
      <c r="O894" s="2">
        <v>0</v>
      </c>
      <c r="P894" s="2">
        <v>1</v>
      </c>
      <c r="Q894" s="2">
        <v>0</v>
      </c>
      <c r="R894" s="2">
        <v>0</v>
      </c>
      <c r="S894" s="2">
        <v>0</v>
      </c>
      <c r="T894" s="2">
        <v>4</v>
      </c>
      <c r="U894" s="2">
        <v>0</v>
      </c>
      <c r="V894" s="2">
        <v>0</v>
      </c>
      <c r="W894" s="2">
        <v>38</v>
      </c>
      <c r="X894" s="2">
        <v>1</v>
      </c>
      <c r="Y894" s="2">
        <v>0</v>
      </c>
      <c r="Z894" s="2">
        <v>1</v>
      </c>
      <c r="AA894" s="2">
        <v>2</v>
      </c>
      <c r="AB894" s="2">
        <v>1</v>
      </c>
      <c r="AC894" s="2">
        <v>1</v>
      </c>
      <c r="AD894" s="2">
        <v>0</v>
      </c>
      <c r="AE894" s="2">
        <v>1</v>
      </c>
      <c r="AF894" s="2">
        <v>1</v>
      </c>
      <c r="AG894" s="20">
        <f t="shared" si="13"/>
        <v>100</v>
      </c>
    </row>
    <row r="895" spans="1:33" x14ac:dyDescent="0.25">
      <c r="A895">
        <v>894</v>
      </c>
      <c r="B895" s="2">
        <v>1</v>
      </c>
      <c r="C895" s="2">
        <v>36</v>
      </c>
      <c r="D895" s="2">
        <v>4</v>
      </c>
      <c r="E895" s="2">
        <v>0</v>
      </c>
      <c r="F895" s="2">
        <v>1</v>
      </c>
      <c r="G895" s="2">
        <v>0</v>
      </c>
      <c r="H895" s="2">
        <v>0</v>
      </c>
      <c r="I895" s="2">
        <v>0</v>
      </c>
      <c r="J895" s="2">
        <v>0</v>
      </c>
      <c r="K895" s="2">
        <v>5800</v>
      </c>
      <c r="L895" s="2">
        <v>0</v>
      </c>
      <c r="M895" s="2">
        <v>2</v>
      </c>
      <c r="N895" s="2">
        <v>3</v>
      </c>
      <c r="O895" s="2">
        <v>0</v>
      </c>
      <c r="P895" s="2">
        <v>1</v>
      </c>
      <c r="Q895" s="2">
        <v>0</v>
      </c>
      <c r="R895" s="2">
        <v>0</v>
      </c>
      <c r="S895" s="2">
        <v>0</v>
      </c>
      <c r="T895" s="2">
        <v>4</v>
      </c>
      <c r="U895" s="2">
        <v>0</v>
      </c>
      <c r="V895" s="2">
        <v>0</v>
      </c>
      <c r="W895" s="2">
        <v>34</v>
      </c>
      <c r="X895" s="2">
        <v>0</v>
      </c>
      <c r="Y895" s="2">
        <v>0</v>
      </c>
      <c r="Z895" s="2">
        <v>1</v>
      </c>
      <c r="AA895" s="2">
        <v>2</v>
      </c>
      <c r="AB895" s="2">
        <v>2</v>
      </c>
      <c r="AC895" s="2">
        <v>1</v>
      </c>
      <c r="AD895" s="2">
        <v>1</v>
      </c>
      <c r="AE895" s="2">
        <v>0</v>
      </c>
      <c r="AF895" s="2">
        <v>1</v>
      </c>
      <c r="AG895" s="20">
        <f t="shared" si="13"/>
        <v>100</v>
      </c>
    </row>
    <row r="896" spans="1:33" x14ac:dyDescent="0.25">
      <c r="A896">
        <v>895</v>
      </c>
      <c r="B896" s="2">
        <v>3</v>
      </c>
      <c r="C896" s="2">
        <v>18</v>
      </c>
      <c r="D896" s="2">
        <v>4</v>
      </c>
      <c r="E896" s="2">
        <v>0</v>
      </c>
      <c r="F896" s="2">
        <v>0</v>
      </c>
      <c r="G896" s="2">
        <v>0</v>
      </c>
      <c r="H896" s="2">
        <v>1</v>
      </c>
      <c r="I896" s="2">
        <v>0</v>
      </c>
      <c r="J896" s="2">
        <v>0</v>
      </c>
      <c r="K896" s="2">
        <v>1169</v>
      </c>
      <c r="L896" s="2">
        <v>4</v>
      </c>
      <c r="M896" s="2">
        <v>2</v>
      </c>
      <c r="N896" s="2">
        <v>4</v>
      </c>
      <c r="O896" s="2">
        <v>0</v>
      </c>
      <c r="P896" s="2">
        <v>1</v>
      </c>
      <c r="Q896" s="2">
        <v>0</v>
      </c>
      <c r="R896" s="2">
        <v>0</v>
      </c>
      <c r="S896" s="2">
        <v>0</v>
      </c>
      <c r="T896" s="2">
        <v>3</v>
      </c>
      <c r="U896" s="2">
        <v>0</v>
      </c>
      <c r="V896" s="2">
        <v>0</v>
      </c>
      <c r="W896" s="2">
        <v>29</v>
      </c>
      <c r="X896" s="2">
        <v>0</v>
      </c>
      <c r="Y896" s="2">
        <v>0</v>
      </c>
      <c r="Z896" s="2">
        <v>1</v>
      </c>
      <c r="AA896" s="2">
        <v>2</v>
      </c>
      <c r="AB896" s="2">
        <v>2</v>
      </c>
      <c r="AC896" s="2">
        <v>1</v>
      </c>
      <c r="AD896" s="2">
        <v>1</v>
      </c>
      <c r="AE896" s="2">
        <v>0</v>
      </c>
      <c r="AF896" s="2">
        <v>1</v>
      </c>
      <c r="AG896" s="20">
        <f t="shared" si="13"/>
        <v>100</v>
      </c>
    </row>
    <row r="897" spans="1:33" x14ac:dyDescent="0.25">
      <c r="A897">
        <v>896</v>
      </c>
      <c r="B897" s="2">
        <v>3</v>
      </c>
      <c r="C897" s="2">
        <v>36</v>
      </c>
      <c r="D897" s="2">
        <v>3</v>
      </c>
      <c r="E897" s="2">
        <v>0</v>
      </c>
      <c r="F897" s="2">
        <v>1</v>
      </c>
      <c r="G897" s="2">
        <v>0</v>
      </c>
      <c r="H897" s="2">
        <v>0</v>
      </c>
      <c r="I897" s="2">
        <v>0</v>
      </c>
      <c r="J897" s="2">
        <v>0</v>
      </c>
      <c r="K897" s="2">
        <v>8947</v>
      </c>
      <c r="L897" s="2">
        <v>4</v>
      </c>
      <c r="M897" s="2">
        <v>3</v>
      </c>
      <c r="N897" s="2">
        <v>3</v>
      </c>
      <c r="O897" s="2">
        <v>0</v>
      </c>
      <c r="P897" s="2">
        <v>1</v>
      </c>
      <c r="Q897" s="2">
        <v>0</v>
      </c>
      <c r="R897" s="2">
        <v>0</v>
      </c>
      <c r="S897" s="2">
        <v>0</v>
      </c>
      <c r="T897" s="2">
        <v>2</v>
      </c>
      <c r="U897" s="2">
        <v>0</v>
      </c>
      <c r="V897" s="2">
        <v>0</v>
      </c>
      <c r="W897" s="2">
        <v>31</v>
      </c>
      <c r="X897" s="2">
        <v>1</v>
      </c>
      <c r="Y897" s="2">
        <v>0</v>
      </c>
      <c r="Z897" s="2">
        <v>1</v>
      </c>
      <c r="AA897" s="2">
        <v>1</v>
      </c>
      <c r="AB897" s="2">
        <v>3</v>
      </c>
      <c r="AC897" s="2">
        <v>2</v>
      </c>
      <c r="AD897" s="2">
        <v>1</v>
      </c>
      <c r="AE897" s="2">
        <v>0</v>
      </c>
      <c r="AF897" s="2">
        <v>1</v>
      </c>
      <c r="AG897" s="20">
        <f t="shared" si="13"/>
        <v>100</v>
      </c>
    </row>
    <row r="898" spans="1:33" x14ac:dyDescent="0.25">
      <c r="A898">
        <v>897</v>
      </c>
      <c r="B898" s="2">
        <v>0</v>
      </c>
      <c r="C898" s="2">
        <v>21</v>
      </c>
      <c r="D898" s="2">
        <v>2</v>
      </c>
      <c r="E898" s="2">
        <v>0</v>
      </c>
      <c r="F898" s="2">
        <v>0</v>
      </c>
      <c r="G898" s="2">
        <v>0</v>
      </c>
      <c r="H898" s="2">
        <v>1</v>
      </c>
      <c r="I898" s="2">
        <v>0</v>
      </c>
      <c r="J898" s="2">
        <v>0</v>
      </c>
      <c r="K898" s="2">
        <v>2606</v>
      </c>
      <c r="L898" s="2">
        <v>0</v>
      </c>
      <c r="M898" s="2">
        <v>1</v>
      </c>
      <c r="N898" s="2">
        <v>4</v>
      </c>
      <c r="O898" s="2">
        <v>0</v>
      </c>
      <c r="P898" s="2">
        <v>0</v>
      </c>
      <c r="Q898" s="2">
        <v>0</v>
      </c>
      <c r="R898" s="2">
        <v>0</v>
      </c>
      <c r="S898" s="2">
        <v>0</v>
      </c>
      <c r="T898" s="2">
        <v>4</v>
      </c>
      <c r="U898" s="2">
        <v>0</v>
      </c>
      <c r="V898" s="2">
        <v>0</v>
      </c>
      <c r="W898" s="2">
        <v>28</v>
      </c>
      <c r="X898" s="2">
        <v>0</v>
      </c>
      <c r="Y898" s="2">
        <v>1</v>
      </c>
      <c r="Z898" s="2">
        <v>0</v>
      </c>
      <c r="AA898" s="2">
        <v>1</v>
      </c>
      <c r="AB898" s="2">
        <v>3</v>
      </c>
      <c r="AC898" s="2">
        <v>1</v>
      </c>
      <c r="AD898" s="2">
        <v>1</v>
      </c>
      <c r="AE898" s="2">
        <v>0</v>
      </c>
      <c r="AF898" s="2">
        <v>1</v>
      </c>
      <c r="AG898" s="20">
        <f t="shared" si="13"/>
        <v>100</v>
      </c>
    </row>
    <row r="899" spans="1:33" x14ac:dyDescent="0.25">
      <c r="A899">
        <v>898</v>
      </c>
      <c r="B899" s="2">
        <v>3</v>
      </c>
      <c r="C899" s="2">
        <v>12</v>
      </c>
      <c r="D899" s="2">
        <v>4</v>
      </c>
      <c r="E899" s="2">
        <v>0</v>
      </c>
      <c r="F899" s="2">
        <v>0</v>
      </c>
      <c r="G899" s="2">
        <v>1</v>
      </c>
      <c r="H899" s="2">
        <v>0</v>
      </c>
      <c r="I899" s="2">
        <v>0</v>
      </c>
      <c r="J899" s="2">
        <v>0</v>
      </c>
      <c r="K899" s="2">
        <v>1592</v>
      </c>
      <c r="L899" s="2">
        <v>3</v>
      </c>
      <c r="M899" s="2">
        <v>3</v>
      </c>
      <c r="N899" s="2">
        <v>3</v>
      </c>
      <c r="O899" s="2">
        <v>0</v>
      </c>
      <c r="P899" s="2">
        <v>0</v>
      </c>
      <c r="Q899" s="2">
        <v>0</v>
      </c>
      <c r="R899" s="2">
        <v>0</v>
      </c>
      <c r="S899" s="2">
        <v>0</v>
      </c>
      <c r="T899" s="2">
        <v>2</v>
      </c>
      <c r="U899" s="2">
        <v>0</v>
      </c>
      <c r="V899" s="2">
        <v>0</v>
      </c>
      <c r="W899" s="2">
        <v>35</v>
      </c>
      <c r="X899" s="2">
        <v>0</v>
      </c>
      <c r="Y899" s="2">
        <v>0</v>
      </c>
      <c r="Z899" s="2">
        <v>1</v>
      </c>
      <c r="AA899" s="2">
        <v>1</v>
      </c>
      <c r="AB899" s="2">
        <v>2</v>
      </c>
      <c r="AC899" s="2">
        <v>1</v>
      </c>
      <c r="AD899" s="2">
        <v>0</v>
      </c>
      <c r="AE899" s="2">
        <v>1</v>
      </c>
      <c r="AF899" s="2">
        <v>1</v>
      </c>
      <c r="AG899" s="20">
        <f t="shared" si="13"/>
        <v>100</v>
      </c>
    </row>
    <row r="900" spans="1:33" x14ac:dyDescent="0.25">
      <c r="A900">
        <v>899</v>
      </c>
      <c r="B900" s="2">
        <v>3</v>
      </c>
      <c r="C900" s="2">
        <v>15</v>
      </c>
      <c r="D900" s="2">
        <v>2</v>
      </c>
      <c r="E900" s="2">
        <v>0</v>
      </c>
      <c r="F900" s="2">
        <v>0</v>
      </c>
      <c r="G900" s="2">
        <v>1</v>
      </c>
      <c r="H900" s="2">
        <v>0</v>
      </c>
      <c r="I900" s="2">
        <v>0</v>
      </c>
      <c r="J900" s="2">
        <v>0</v>
      </c>
      <c r="K900" s="2">
        <v>2186</v>
      </c>
      <c r="L900" s="2">
        <v>4</v>
      </c>
      <c r="M900" s="2">
        <v>3</v>
      </c>
      <c r="N900" s="2">
        <v>1</v>
      </c>
      <c r="O900" s="2">
        <v>0</v>
      </c>
      <c r="P900" s="2">
        <v>0</v>
      </c>
      <c r="Q900" s="2">
        <v>0</v>
      </c>
      <c r="R900" s="2">
        <v>0</v>
      </c>
      <c r="S900" s="2">
        <v>0</v>
      </c>
      <c r="T900" s="2">
        <v>4</v>
      </c>
      <c r="U900" s="2">
        <v>1</v>
      </c>
      <c r="V900" s="2">
        <v>0</v>
      </c>
      <c r="W900" s="2">
        <v>33</v>
      </c>
      <c r="X900" s="2">
        <v>1</v>
      </c>
      <c r="Y900" s="2">
        <v>1</v>
      </c>
      <c r="Z900" s="2">
        <v>0</v>
      </c>
      <c r="AA900" s="2">
        <v>1</v>
      </c>
      <c r="AB900" s="2">
        <v>1</v>
      </c>
      <c r="AC900" s="2">
        <v>1</v>
      </c>
      <c r="AD900" s="2">
        <v>0</v>
      </c>
      <c r="AE900" s="2">
        <v>0</v>
      </c>
      <c r="AF900" s="2">
        <v>1</v>
      </c>
      <c r="AG900" s="20">
        <f t="shared" ref="AG900:AG963" si="14">IF(AF900=1,100,-500)</f>
        <v>100</v>
      </c>
    </row>
    <row r="901" spans="1:33" x14ac:dyDescent="0.25">
      <c r="A901">
        <v>900</v>
      </c>
      <c r="B901" s="2">
        <v>0</v>
      </c>
      <c r="C901" s="2">
        <v>18</v>
      </c>
      <c r="D901" s="2">
        <v>2</v>
      </c>
      <c r="E901" s="2">
        <v>0</v>
      </c>
      <c r="F901" s="2">
        <v>0</v>
      </c>
      <c r="G901" s="2">
        <v>1</v>
      </c>
      <c r="H901" s="2">
        <v>0</v>
      </c>
      <c r="I901" s="2">
        <v>0</v>
      </c>
      <c r="J901" s="2">
        <v>0</v>
      </c>
      <c r="K901" s="2">
        <v>4153</v>
      </c>
      <c r="L901" s="2">
        <v>0</v>
      </c>
      <c r="M901" s="2">
        <v>2</v>
      </c>
      <c r="N901" s="2">
        <v>2</v>
      </c>
      <c r="O901" s="2">
        <v>0</v>
      </c>
      <c r="P901" s="2">
        <v>1</v>
      </c>
      <c r="Q901" s="2">
        <v>0</v>
      </c>
      <c r="R901" s="2">
        <v>1</v>
      </c>
      <c r="S901" s="2">
        <v>0</v>
      </c>
      <c r="T901" s="2">
        <v>3</v>
      </c>
      <c r="U901" s="2">
        <v>0</v>
      </c>
      <c r="V901" s="2">
        <v>0</v>
      </c>
      <c r="W901" s="2">
        <v>42</v>
      </c>
      <c r="X901" s="2">
        <v>0</v>
      </c>
      <c r="Y901" s="2">
        <v>0</v>
      </c>
      <c r="Z901" s="2">
        <v>1</v>
      </c>
      <c r="AA901" s="2">
        <v>1</v>
      </c>
      <c r="AB901" s="2">
        <v>2</v>
      </c>
      <c r="AC901" s="2">
        <v>1</v>
      </c>
      <c r="AD901" s="2">
        <v>0</v>
      </c>
      <c r="AE901" s="2">
        <v>0</v>
      </c>
      <c r="AF901" s="2">
        <v>0</v>
      </c>
      <c r="AG901" s="20">
        <f t="shared" si="14"/>
        <v>-500</v>
      </c>
    </row>
    <row r="902" spans="1:33" x14ac:dyDescent="0.25">
      <c r="A902">
        <v>901</v>
      </c>
      <c r="B902" s="2">
        <v>0</v>
      </c>
      <c r="C902" s="2">
        <v>16</v>
      </c>
      <c r="D902" s="2">
        <v>4</v>
      </c>
      <c r="E902" s="2">
        <v>1</v>
      </c>
      <c r="F902" s="2">
        <v>0</v>
      </c>
      <c r="G902" s="2">
        <v>0</v>
      </c>
      <c r="H902" s="2">
        <v>0</v>
      </c>
      <c r="I902" s="2">
        <v>0</v>
      </c>
      <c r="J902" s="2">
        <v>0</v>
      </c>
      <c r="K902" s="2">
        <v>2625</v>
      </c>
      <c r="L902" s="2">
        <v>0</v>
      </c>
      <c r="M902" s="2">
        <v>4</v>
      </c>
      <c r="N902" s="2">
        <v>2</v>
      </c>
      <c r="O902" s="2">
        <v>0</v>
      </c>
      <c r="P902" s="2">
        <v>1</v>
      </c>
      <c r="Q902" s="2">
        <v>0</v>
      </c>
      <c r="R902" s="2">
        <v>0</v>
      </c>
      <c r="S902" s="2">
        <v>1</v>
      </c>
      <c r="T902" s="2">
        <v>4</v>
      </c>
      <c r="U902" s="2">
        <v>0</v>
      </c>
      <c r="V902" s="2">
        <v>0</v>
      </c>
      <c r="W902" s="2">
        <v>43</v>
      </c>
      <c r="X902" s="2">
        <v>1</v>
      </c>
      <c r="Y902" s="2">
        <v>1</v>
      </c>
      <c r="Z902" s="2">
        <v>0</v>
      </c>
      <c r="AA902" s="2">
        <v>1</v>
      </c>
      <c r="AB902" s="2">
        <v>2</v>
      </c>
      <c r="AC902" s="2">
        <v>1</v>
      </c>
      <c r="AD902" s="2">
        <v>1</v>
      </c>
      <c r="AE902" s="2">
        <v>0</v>
      </c>
      <c r="AF902" s="2">
        <v>0</v>
      </c>
      <c r="AG902" s="20">
        <f t="shared" si="14"/>
        <v>-500</v>
      </c>
    </row>
    <row r="903" spans="1:33" x14ac:dyDescent="0.25">
      <c r="A903">
        <v>902</v>
      </c>
      <c r="B903" s="2">
        <v>3</v>
      </c>
      <c r="C903" s="2">
        <v>20</v>
      </c>
      <c r="D903" s="2">
        <v>4</v>
      </c>
      <c r="E903" s="2">
        <v>1</v>
      </c>
      <c r="F903" s="2">
        <v>0</v>
      </c>
      <c r="G903" s="2">
        <v>0</v>
      </c>
      <c r="H903" s="2">
        <v>0</v>
      </c>
      <c r="I903" s="2">
        <v>0</v>
      </c>
      <c r="J903" s="2">
        <v>0</v>
      </c>
      <c r="K903" s="2">
        <v>3485</v>
      </c>
      <c r="L903" s="2">
        <v>4</v>
      </c>
      <c r="M903" s="2">
        <v>1</v>
      </c>
      <c r="N903" s="2">
        <v>2</v>
      </c>
      <c r="O903" s="2">
        <v>1</v>
      </c>
      <c r="P903" s="2">
        <v>0</v>
      </c>
      <c r="Q903" s="2">
        <v>0</v>
      </c>
      <c r="R903" s="2">
        <v>0</v>
      </c>
      <c r="S903" s="2">
        <v>0</v>
      </c>
      <c r="T903" s="2">
        <v>4</v>
      </c>
      <c r="U903" s="2">
        <v>1</v>
      </c>
      <c r="V903" s="2">
        <v>0</v>
      </c>
      <c r="W903" s="2">
        <v>44</v>
      </c>
      <c r="X903" s="2">
        <v>0</v>
      </c>
      <c r="Y903" s="2">
        <v>0</v>
      </c>
      <c r="Z903" s="2">
        <v>1</v>
      </c>
      <c r="AA903" s="2">
        <v>2</v>
      </c>
      <c r="AB903" s="2">
        <v>2</v>
      </c>
      <c r="AC903" s="2">
        <v>1</v>
      </c>
      <c r="AD903" s="2">
        <v>1</v>
      </c>
      <c r="AE903" s="2">
        <v>0</v>
      </c>
      <c r="AF903" s="2">
        <v>1</v>
      </c>
      <c r="AG903" s="20">
        <f t="shared" si="14"/>
        <v>100</v>
      </c>
    </row>
    <row r="904" spans="1:33" x14ac:dyDescent="0.25">
      <c r="A904">
        <v>903</v>
      </c>
      <c r="B904" s="2">
        <v>3</v>
      </c>
      <c r="C904" s="2">
        <v>36</v>
      </c>
      <c r="D904" s="2">
        <v>4</v>
      </c>
      <c r="E904" s="2">
        <v>0</v>
      </c>
      <c r="F904" s="2">
        <v>1</v>
      </c>
      <c r="G904" s="2">
        <v>0</v>
      </c>
      <c r="H904" s="2">
        <v>0</v>
      </c>
      <c r="I904" s="2">
        <v>0</v>
      </c>
      <c r="J904" s="2">
        <v>0</v>
      </c>
      <c r="K904" s="2">
        <v>10477</v>
      </c>
      <c r="L904" s="2">
        <v>4</v>
      </c>
      <c r="M904" s="2">
        <v>4</v>
      </c>
      <c r="N904" s="2">
        <v>2</v>
      </c>
      <c r="O904" s="2">
        <v>0</v>
      </c>
      <c r="P904" s="2">
        <v>1</v>
      </c>
      <c r="Q904" s="2">
        <v>0</v>
      </c>
      <c r="R904" s="2">
        <v>0</v>
      </c>
      <c r="S904" s="2">
        <v>0</v>
      </c>
      <c r="T904" s="2">
        <v>4</v>
      </c>
      <c r="U904" s="2">
        <v>0</v>
      </c>
      <c r="V904" s="2">
        <v>1</v>
      </c>
      <c r="W904" s="2">
        <v>42</v>
      </c>
      <c r="X904" s="2">
        <v>0</v>
      </c>
      <c r="Y904" s="2">
        <v>0</v>
      </c>
      <c r="Z904" s="2">
        <v>0</v>
      </c>
      <c r="AA904" s="2">
        <v>2</v>
      </c>
      <c r="AB904" s="2">
        <v>2</v>
      </c>
      <c r="AC904" s="2">
        <v>1</v>
      </c>
      <c r="AD904" s="2">
        <v>0</v>
      </c>
      <c r="AE904" s="2">
        <v>0</v>
      </c>
      <c r="AF904" s="2">
        <v>1</v>
      </c>
      <c r="AG904" s="20">
        <f t="shared" si="14"/>
        <v>100</v>
      </c>
    </row>
    <row r="905" spans="1:33" x14ac:dyDescent="0.25">
      <c r="A905">
        <v>904</v>
      </c>
      <c r="B905" s="2">
        <v>3</v>
      </c>
      <c r="C905" s="2">
        <v>15</v>
      </c>
      <c r="D905" s="2">
        <v>2</v>
      </c>
      <c r="E905" s="2">
        <v>0</v>
      </c>
      <c r="F905" s="2">
        <v>0</v>
      </c>
      <c r="G905" s="2">
        <v>0</v>
      </c>
      <c r="H905" s="2">
        <v>1</v>
      </c>
      <c r="I905" s="2">
        <v>0</v>
      </c>
      <c r="J905" s="2">
        <v>0</v>
      </c>
      <c r="K905" s="2">
        <v>1386</v>
      </c>
      <c r="L905" s="2">
        <v>4</v>
      </c>
      <c r="M905" s="2">
        <v>2</v>
      </c>
      <c r="N905" s="2">
        <v>4</v>
      </c>
      <c r="O905" s="2">
        <v>0</v>
      </c>
      <c r="P905" s="2">
        <v>0</v>
      </c>
      <c r="Q905" s="2">
        <v>1</v>
      </c>
      <c r="R905" s="2">
        <v>0</v>
      </c>
      <c r="S905" s="2">
        <v>0</v>
      </c>
      <c r="T905" s="2">
        <v>2</v>
      </c>
      <c r="U905" s="2">
        <v>1</v>
      </c>
      <c r="V905" s="2">
        <v>0</v>
      </c>
      <c r="W905" s="2">
        <v>40</v>
      </c>
      <c r="X905" s="2">
        <v>0</v>
      </c>
      <c r="Y905" s="2">
        <v>1</v>
      </c>
      <c r="Z905" s="2">
        <v>0</v>
      </c>
      <c r="AA905" s="2">
        <v>1</v>
      </c>
      <c r="AB905" s="2">
        <v>2</v>
      </c>
      <c r="AC905" s="2">
        <v>1</v>
      </c>
      <c r="AD905" s="2">
        <v>1</v>
      </c>
      <c r="AE905" s="2">
        <v>0</v>
      </c>
      <c r="AF905" s="2">
        <v>1</v>
      </c>
      <c r="AG905" s="20">
        <f t="shared" si="14"/>
        <v>100</v>
      </c>
    </row>
    <row r="906" spans="1:33" x14ac:dyDescent="0.25">
      <c r="A906">
        <v>905</v>
      </c>
      <c r="B906" s="2">
        <v>3</v>
      </c>
      <c r="C906" s="2">
        <v>24</v>
      </c>
      <c r="D906" s="2">
        <v>2</v>
      </c>
      <c r="E906" s="2">
        <v>0</v>
      </c>
      <c r="F906" s="2">
        <v>0</v>
      </c>
      <c r="G906" s="2">
        <v>0</v>
      </c>
      <c r="H906" s="2">
        <v>1</v>
      </c>
      <c r="I906" s="2">
        <v>0</v>
      </c>
      <c r="J906" s="2">
        <v>0</v>
      </c>
      <c r="K906" s="2">
        <v>1278</v>
      </c>
      <c r="L906" s="2">
        <v>0</v>
      </c>
      <c r="M906" s="2">
        <v>4</v>
      </c>
      <c r="N906" s="2">
        <v>4</v>
      </c>
      <c r="O906" s="2">
        <v>0</v>
      </c>
      <c r="P906" s="2">
        <v>1</v>
      </c>
      <c r="Q906" s="2">
        <v>0</v>
      </c>
      <c r="R906" s="2">
        <v>0</v>
      </c>
      <c r="S906" s="2">
        <v>0</v>
      </c>
      <c r="T906" s="2">
        <v>1</v>
      </c>
      <c r="U906" s="2">
        <v>1</v>
      </c>
      <c r="V906" s="2">
        <v>0</v>
      </c>
      <c r="W906" s="2">
        <v>36</v>
      </c>
      <c r="X906" s="2">
        <v>0</v>
      </c>
      <c r="Y906" s="2">
        <v>0</v>
      </c>
      <c r="Z906" s="2">
        <v>1</v>
      </c>
      <c r="AA906" s="2">
        <v>1</v>
      </c>
      <c r="AB906" s="2">
        <v>3</v>
      </c>
      <c r="AC906" s="2">
        <v>1</v>
      </c>
      <c r="AD906" s="2">
        <v>1</v>
      </c>
      <c r="AE906" s="2">
        <v>0</v>
      </c>
      <c r="AF906" s="2">
        <v>1</v>
      </c>
      <c r="AG906" s="20">
        <f t="shared" si="14"/>
        <v>100</v>
      </c>
    </row>
    <row r="907" spans="1:33" x14ac:dyDescent="0.25">
      <c r="A907">
        <v>906</v>
      </c>
      <c r="B907" s="2">
        <v>0</v>
      </c>
      <c r="C907" s="2">
        <v>12</v>
      </c>
      <c r="D907" s="2">
        <v>2</v>
      </c>
      <c r="E907" s="2">
        <v>0</v>
      </c>
      <c r="F907" s="2">
        <v>0</v>
      </c>
      <c r="G907" s="2">
        <v>0</v>
      </c>
      <c r="H907" s="2">
        <v>1</v>
      </c>
      <c r="I907" s="2">
        <v>0</v>
      </c>
      <c r="J907" s="2">
        <v>0</v>
      </c>
      <c r="K907" s="2">
        <v>1107</v>
      </c>
      <c r="L907" s="2">
        <v>0</v>
      </c>
      <c r="M907" s="2">
        <v>2</v>
      </c>
      <c r="N907" s="2">
        <v>2</v>
      </c>
      <c r="O907" s="2">
        <v>0</v>
      </c>
      <c r="P907" s="2">
        <v>1</v>
      </c>
      <c r="Q907" s="2">
        <v>0</v>
      </c>
      <c r="R907" s="2">
        <v>0</v>
      </c>
      <c r="S907" s="2">
        <v>0</v>
      </c>
      <c r="T907" s="2">
        <v>2</v>
      </c>
      <c r="U907" s="2">
        <v>1</v>
      </c>
      <c r="V907" s="2">
        <v>0</v>
      </c>
      <c r="W907" s="2">
        <v>20</v>
      </c>
      <c r="X907" s="2">
        <v>0</v>
      </c>
      <c r="Y907" s="2">
        <v>1</v>
      </c>
      <c r="Z907" s="2">
        <v>0</v>
      </c>
      <c r="AA907" s="2">
        <v>1</v>
      </c>
      <c r="AB907" s="2">
        <v>3</v>
      </c>
      <c r="AC907" s="2">
        <v>2</v>
      </c>
      <c r="AD907" s="2">
        <v>1</v>
      </c>
      <c r="AE907" s="2">
        <v>0</v>
      </c>
      <c r="AF907" s="2">
        <v>1</v>
      </c>
      <c r="AG907" s="20">
        <f t="shared" si="14"/>
        <v>100</v>
      </c>
    </row>
    <row r="908" spans="1:33" x14ac:dyDescent="0.25">
      <c r="A908">
        <v>907</v>
      </c>
      <c r="B908" s="2">
        <v>0</v>
      </c>
      <c r="C908" s="2">
        <v>21</v>
      </c>
      <c r="D908" s="2">
        <v>2</v>
      </c>
      <c r="E908" s="2">
        <v>1</v>
      </c>
      <c r="F908" s="2">
        <v>0</v>
      </c>
      <c r="G908" s="2">
        <v>0</v>
      </c>
      <c r="H908" s="2">
        <v>0</v>
      </c>
      <c r="I908" s="2">
        <v>0</v>
      </c>
      <c r="J908" s="2">
        <v>0</v>
      </c>
      <c r="K908" s="2">
        <v>3763</v>
      </c>
      <c r="L908" s="2">
        <v>4</v>
      </c>
      <c r="M908" s="2">
        <v>3</v>
      </c>
      <c r="N908" s="2">
        <v>2</v>
      </c>
      <c r="O908" s="2">
        <v>0</v>
      </c>
      <c r="P908" s="2">
        <v>1</v>
      </c>
      <c r="Q908" s="2">
        <v>0</v>
      </c>
      <c r="R908" s="2">
        <v>1</v>
      </c>
      <c r="S908" s="2">
        <v>0</v>
      </c>
      <c r="T908" s="2">
        <v>2</v>
      </c>
      <c r="U908" s="2">
        <v>1</v>
      </c>
      <c r="V908" s="2">
        <v>0</v>
      </c>
      <c r="W908" s="2">
        <v>24</v>
      </c>
      <c r="X908" s="2">
        <v>0</v>
      </c>
      <c r="Y908" s="2">
        <v>0</v>
      </c>
      <c r="Z908" s="2">
        <v>1</v>
      </c>
      <c r="AA908" s="2">
        <v>1</v>
      </c>
      <c r="AB908" s="2">
        <v>1</v>
      </c>
      <c r="AC908" s="2">
        <v>1</v>
      </c>
      <c r="AD908" s="2">
        <v>0</v>
      </c>
      <c r="AE908" s="2">
        <v>1</v>
      </c>
      <c r="AF908" s="2">
        <v>1</v>
      </c>
      <c r="AG908" s="20">
        <f t="shared" si="14"/>
        <v>100</v>
      </c>
    </row>
    <row r="909" spans="1:33" x14ac:dyDescent="0.25">
      <c r="A909">
        <v>908</v>
      </c>
      <c r="B909" s="2">
        <v>1</v>
      </c>
      <c r="C909" s="2">
        <v>36</v>
      </c>
      <c r="D909" s="2">
        <v>2</v>
      </c>
      <c r="E909" s="2">
        <v>0</v>
      </c>
      <c r="F909" s="2">
        <v>0</v>
      </c>
      <c r="G909" s="2">
        <v>0</v>
      </c>
      <c r="H909" s="2">
        <v>0</v>
      </c>
      <c r="I909" s="2">
        <v>1</v>
      </c>
      <c r="J909" s="2">
        <v>0</v>
      </c>
      <c r="K909" s="2">
        <v>3711</v>
      </c>
      <c r="L909" s="2">
        <v>4</v>
      </c>
      <c r="M909" s="2">
        <v>2</v>
      </c>
      <c r="N909" s="2">
        <v>2</v>
      </c>
      <c r="O909" s="2">
        <v>0</v>
      </c>
      <c r="P909" s="2">
        <v>0</v>
      </c>
      <c r="Q909" s="2">
        <v>1</v>
      </c>
      <c r="R909" s="2">
        <v>0</v>
      </c>
      <c r="S909" s="2">
        <v>0</v>
      </c>
      <c r="T909" s="2">
        <v>2</v>
      </c>
      <c r="U909" s="2">
        <v>0</v>
      </c>
      <c r="V909" s="2">
        <v>0</v>
      </c>
      <c r="W909" s="2">
        <v>27</v>
      </c>
      <c r="X909" s="2">
        <v>0</v>
      </c>
      <c r="Y909" s="2">
        <v>0</v>
      </c>
      <c r="Z909" s="2">
        <v>1</v>
      </c>
      <c r="AA909" s="2">
        <v>1</v>
      </c>
      <c r="AB909" s="2">
        <v>2</v>
      </c>
      <c r="AC909" s="2">
        <v>1</v>
      </c>
      <c r="AD909" s="2">
        <v>0</v>
      </c>
      <c r="AE909" s="2">
        <v>0</v>
      </c>
      <c r="AF909" s="2">
        <v>1</v>
      </c>
      <c r="AG909" s="20">
        <f t="shared" si="14"/>
        <v>100</v>
      </c>
    </row>
    <row r="910" spans="1:33" x14ac:dyDescent="0.25">
      <c r="A910">
        <v>909</v>
      </c>
      <c r="B910" s="2">
        <v>3</v>
      </c>
      <c r="C910" s="2">
        <v>15</v>
      </c>
      <c r="D910" s="2">
        <v>3</v>
      </c>
      <c r="E910" s="2">
        <v>0</v>
      </c>
      <c r="F910" s="2">
        <v>1</v>
      </c>
      <c r="G910" s="2">
        <v>0</v>
      </c>
      <c r="H910" s="2">
        <v>0</v>
      </c>
      <c r="I910" s="2">
        <v>0</v>
      </c>
      <c r="J910" s="2">
        <v>0</v>
      </c>
      <c r="K910" s="2">
        <v>3594</v>
      </c>
      <c r="L910" s="2">
        <v>0</v>
      </c>
      <c r="M910" s="2">
        <v>1</v>
      </c>
      <c r="N910" s="2">
        <v>1</v>
      </c>
      <c r="O910" s="2">
        <v>0</v>
      </c>
      <c r="P910" s="2">
        <v>0</v>
      </c>
      <c r="Q910" s="2">
        <v>0</v>
      </c>
      <c r="R910" s="2">
        <v>0</v>
      </c>
      <c r="S910" s="2">
        <v>0</v>
      </c>
      <c r="T910" s="2">
        <v>2</v>
      </c>
      <c r="U910" s="2">
        <v>0</v>
      </c>
      <c r="V910" s="2">
        <v>0</v>
      </c>
      <c r="W910" s="2">
        <v>46</v>
      </c>
      <c r="X910" s="2">
        <v>0</v>
      </c>
      <c r="Y910" s="2">
        <v>0</v>
      </c>
      <c r="Z910" s="2">
        <v>1</v>
      </c>
      <c r="AA910" s="2">
        <v>2</v>
      </c>
      <c r="AB910" s="2">
        <v>1</v>
      </c>
      <c r="AC910" s="2">
        <v>1</v>
      </c>
      <c r="AD910" s="2">
        <v>0</v>
      </c>
      <c r="AE910" s="2">
        <v>0</v>
      </c>
      <c r="AF910" s="2">
        <v>1</v>
      </c>
      <c r="AG910" s="20">
        <f t="shared" si="14"/>
        <v>100</v>
      </c>
    </row>
    <row r="911" spans="1:33" x14ac:dyDescent="0.25">
      <c r="A911">
        <v>910</v>
      </c>
      <c r="B911" s="2">
        <v>1</v>
      </c>
      <c r="C911" s="2">
        <v>9</v>
      </c>
      <c r="D911" s="2">
        <v>2</v>
      </c>
      <c r="E911" s="2">
        <v>1</v>
      </c>
      <c r="F911" s="2">
        <v>0</v>
      </c>
      <c r="G911" s="2">
        <v>0</v>
      </c>
      <c r="H911" s="2">
        <v>0</v>
      </c>
      <c r="I911" s="2">
        <v>0</v>
      </c>
      <c r="J911" s="2">
        <v>0</v>
      </c>
      <c r="K911" s="2">
        <v>3195</v>
      </c>
      <c r="L911" s="2">
        <v>4</v>
      </c>
      <c r="M911" s="2">
        <v>2</v>
      </c>
      <c r="N911" s="2">
        <v>1</v>
      </c>
      <c r="O911" s="2">
        <v>0</v>
      </c>
      <c r="P911" s="2">
        <v>0</v>
      </c>
      <c r="Q911" s="2">
        <v>0</v>
      </c>
      <c r="R911" s="2">
        <v>0</v>
      </c>
      <c r="S911" s="2">
        <v>0</v>
      </c>
      <c r="T911" s="2">
        <v>2</v>
      </c>
      <c r="U911" s="2">
        <v>1</v>
      </c>
      <c r="V911" s="2">
        <v>0</v>
      </c>
      <c r="W911" s="2">
        <v>33</v>
      </c>
      <c r="X911" s="2">
        <v>0</v>
      </c>
      <c r="Y911" s="2">
        <v>0</v>
      </c>
      <c r="Z911" s="2">
        <v>1</v>
      </c>
      <c r="AA911" s="2">
        <v>1</v>
      </c>
      <c r="AB911" s="2">
        <v>1</v>
      </c>
      <c r="AC911" s="2">
        <v>1</v>
      </c>
      <c r="AD911" s="2">
        <v>0</v>
      </c>
      <c r="AE911" s="2">
        <v>0</v>
      </c>
      <c r="AF911" s="2">
        <v>1</v>
      </c>
      <c r="AG911" s="20">
        <f t="shared" si="14"/>
        <v>100</v>
      </c>
    </row>
    <row r="912" spans="1:33" x14ac:dyDescent="0.25">
      <c r="A912">
        <v>911</v>
      </c>
      <c r="B912" s="2">
        <v>3</v>
      </c>
      <c r="C912" s="2">
        <v>36</v>
      </c>
      <c r="D912" s="2">
        <v>3</v>
      </c>
      <c r="E912" s="2">
        <v>0</v>
      </c>
      <c r="F912" s="2">
        <v>0</v>
      </c>
      <c r="G912" s="2">
        <v>0</v>
      </c>
      <c r="H912" s="2">
        <v>1</v>
      </c>
      <c r="I912" s="2">
        <v>0</v>
      </c>
      <c r="J912" s="2">
        <v>0</v>
      </c>
      <c r="K912" s="2">
        <v>4454</v>
      </c>
      <c r="L912" s="2">
        <v>0</v>
      </c>
      <c r="M912" s="2">
        <v>2</v>
      </c>
      <c r="N912" s="2">
        <v>4</v>
      </c>
      <c r="O912" s="2">
        <v>0</v>
      </c>
      <c r="P912" s="2">
        <v>0</v>
      </c>
      <c r="Q912" s="2">
        <v>0</v>
      </c>
      <c r="R912" s="2">
        <v>0</v>
      </c>
      <c r="S912" s="2">
        <v>0</v>
      </c>
      <c r="T912" s="2">
        <v>4</v>
      </c>
      <c r="U912" s="2">
        <v>1</v>
      </c>
      <c r="V912" s="2">
        <v>0</v>
      </c>
      <c r="W912" s="2">
        <v>34</v>
      </c>
      <c r="X912" s="2">
        <v>0</v>
      </c>
      <c r="Y912" s="2">
        <v>0</v>
      </c>
      <c r="Z912" s="2">
        <v>1</v>
      </c>
      <c r="AA912" s="2">
        <v>2</v>
      </c>
      <c r="AB912" s="2">
        <v>2</v>
      </c>
      <c r="AC912" s="2">
        <v>1</v>
      </c>
      <c r="AD912" s="2">
        <v>0</v>
      </c>
      <c r="AE912" s="2">
        <v>0</v>
      </c>
      <c r="AF912" s="2">
        <v>1</v>
      </c>
      <c r="AG912" s="20">
        <f t="shared" si="14"/>
        <v>100</v>
      </c>
    </row>
    <row r="913" spans="1:33" x14ac:dyDescent="0.25">
      <c r="A913">
        <v>912</v>
      </c>
      <c r="B913" s="2">
        <v>1</v>
      </c>
      <c r="C913" s="2">
        <v>24</v>
      </c>
      <c r="D913" s="2">
        <v>4</v>
      </c>
      <c r="E913" s="2">
        <v>0</v>
      </c>
      <c r="F913" s="2">
        <v>0</v>
      </c>
      <c r="G913" s="2">
        <v>1</v>
      </c>
      <c r="H913" s="2">
        <v>0</v>
      </c>
      <c r="I913" s="2">
        <v>0</v>
      </c>
      <c r="J913" s="2">
        <v>0</v>
      </c>
      <c r="K913" s="2">
        <v>4736</v>
      </c>
      <c r="L913" s="2">
        <v>0</v>
      </c>
      <c r="M913" s="2">
        <v>1</v>
      </c>
      <c r="N913" s="2">
        <v>2</v>
      </c>
      <c r="O913" s="2">
        <v>0</v>
      </c>
      <c r="P913" s="2">
        <v>0</v>
      </c>
      <c r="Q913" s="2">
        <v>0</v>
      </c>
      <c r="R913" s="2">
        <v>0</v>
      </c>
      <c r="S913" s="2">
        <v>0</v>
      </c>
      <c r="T913" s="2">
        <v>4</v>
      </c>
      <c r="U913" s="2">
        <v>0</v>
      </c>
      <c r="V913" s="2">
        <v>0</v>
      </c>
      <c r="W913" s="2">
        <v>25</v>
      </c>
      <c r="X913" s="2">
        <v>1</v>
      </c>
      <c r="Y913" s="2">
        <v>0</v>
      </c>
      <c r="Z913" s="2">
        <v>1</v>
      </c>
      <c r="AA913" s="2">
        <v>1</v>
      </c>
      <c r="AB913" s="2">
        <v>1</v>
      </c>
      <c r="AC913" s="2">
        <v>1</v>
      </c>
      <c r="AD913" s="2">
        <v>0</v>
      </c>
      <c r="AE913" s="2">
        <v>0</v>
      </c>
      <c r="AF913" s="2">
        <v>0</v>
      </c>
      <c r="AG913" s="20">
        <f t="shared" si="14"/>
        <v>-500</v>
      </c>
    </row>
    <row r="914" spans="1:33" x14ac:dyDescent="0.25">
      <c r="A914">
        <v>913</v>
      </c>
      <c r="B914" s="2">
        <v>1</v>
      </c>
      <c r="C914" s="2">
        <v>30</v>
      </c>
      <c r="D914" s="2">
        <v>2</v>
      </c>
      <c r="E914" s="2">
        <v>0</v>
      </c>
      <c r="F914" s="2">
        <v>0</v>
      </c>
      <c r="G914" s="2">
        <v>0</v>
      </c>
      <c r="H914" s="2">
        <v>1</v>
      </c>
      <c r="I914" s="2">
        <v>0</v>
      </c>
      <c r="J914" s="2">
        <v>0</v>
      </c>
      <c r="K914" s="2">
        <v>2991</v>
      </c>
      <c r="L914" s="2">
        <v>4</v>
      </c>
      <c r="M914" s="2">
        <v>4</v>
      </c>
      <c r="N914" s="2">
        <v>2</v>
      </c>
      <c r="O914" s="2">
        <v>0</v>
      </c>
      <c r="P914" s="2">
        <v>0</v>
      </c>
      <c r="Q914" s="2">
        <v>0</v>
      </c>
      <c r="R914" s="2">
        <v>0</v>
      </c>
      <c r="S914" s="2">
        <v>0</v>
      </c>
      <c r="T914" s="2">
        <v>4</v>
      </c>
      <c r="U914" s="2">
        <v>0</v>
      </c>
      <c r="V914" s="2">
        <v>0</v>
      </c>
      <c r="W914" s="2">
        <v>25</v>
      </c>
      <c r="X914" s="2">
        <v>0</v>
      </c>
      <c r="Y914" s="2">
        <v>0</v>
      </c>
      <c r="Z914" s="2">
        <v>1</v>
      </c>
      <c r="AA914" s="2">
        <v>1</v>
      </c>
      <c r="AB914" s="2">
        <v>2</v>
      </c>
      <c r="AC914" s="2">
        <v>1</v>
      </c>
      <c r="AD914" s="2">
        <v>0</v>
      </c>
      <c r="AE914" s="2">
        <v>0</v>
      </c>
      <c r="AF914" s="2">
        <v>1</v>
      </c>
      <c r="AG914" s="20">
        <f t="shared" si="14"/>
        <v>100</v>
      </c>
    </row>
    <row r="915" spans="1:33" x14ac:dyDescent="0.25">
      <c r="A915">
        <v>914</v>
      </c>
      <c r="B915" s="2">
        <v>3</v>
      </c>
      <c r="C915" s="2">
        <v>11</v>
      </c>
      <c r="D915" s="2">
        <v>2</v>
      </c>
      <c r="E915" s="2">
        <v>0</v>
      </c>
      <c r="F915" s="2">
        <v>0</v>
      </c>
      <c r="G915" s="2">
        <v>0</v>
      </c>
      <c r="H915" s="2">
        <v>0</v>
      </c>
      <c r="I915" s="2">
        <v>0</v>
      </c>
      <c r="J915" s="2">
        <v>1</v>
      </c>
      <c r="K915" s="2">
        <v>2142</v>
      </c>
      <c r="L915" s="2">
        <v>3</v>
      </c>
      <c r="M915" s="2">
        <v>4</v>
      </c>
      <c r="N915" s="2">
        <v>1</v>
      </c>
      <c r="O915" s="2">
        <v>1</v>
      </c>
      <c r="P915" s="2">
        <v>0</v>
      </c>
      <c r="Q915" s="2">
        <v>0</v>
      </c>
      <c r="R915" s="2">
        <v>0</v>
      </c>
      <c r="S915" s="2">
        <v>0</v>
      </c>
      <c r="T915" s="2">
        <v>2</v>
      </c>
      <c r="U915" s="2">
        <v>1</v>
      </c>
      <c r="V915" s="2">
        <v>0</v>
      </c>
      <c r="W915" s="2">
        <v>28</v>
      </c>
      <c r="X915" s="2">
        <v>0</v>
      </c>
      <c r="Y915" s="2">
        <v>0</v>
      </c>
      <c r="Z915" s="2">
        <v>1</v>
      </c>
      <c r="AA915" s="2">
        <v>1</v>
      </c>
      <c r="AB915" s="2">
        <v>2</v>
      </c>
      <c r="AC915" s="2">
        <v>1</v>
      </c>
      <c r="AD915" s="2">
        <v>1</v>
      </c>
      <c r="AE915" s="2">
        <v>0</v>
      </c>
      <c r="AF915" s="2">
        <v>1</v>
      </c>
      <c r="AG915" s="20">
        <f t="shared" si="14"/>
        <v>100</v>
      </c>
    </row>
    <row r="916" spans="1:33" x14ac:dyDescent="0.25">
      <c r="A916">
        <v>915</v>
      </c>
      <c r="B916" s="2">
        <v>0</v>
      </c>
      <c r="C916" s="2">
        <v>24</v>
      </c>
      <c r="D916" s="2">
        <v>1</v>
      </c>
      <c r="E916" s="2">
        <v>0</v>
      </c>
      <c r="F916" s="2">
        <v>0</v>
      </c>
      <c r="G916" s="2">
        <v>0</v>
      </c>
      <c r="H916" s="2">
        <v>0</v>
      </c>
      <c r="I916" s="2">
        <v>0</v>
      </c>
      <c r="J916" s="2">
        <v>1</v>
      </c>
      <c r="K916" s="2">
        <v>3161</v>
      </c>
      <c r="L916" s="2">
        <v>0</v>
      </c>
      <c r="M916" s="2">
        <v>2</v>
      </c>
      <c r="N916" s="2">
        <v>4</v>
      </c>
      <c r="O916" s="2">
        <v>0</v>
      </c>
      <c r="P916" s="2">
        <v>1</v>
      </c>
      <c r="Q916" s="2">
        <v>0</v>
      </c>
      <c r="R916" s="2">
        <v>0</v>
      </c>
      <c r="S916" s="2">
        <v>0</v>
      </c>
      <c r="T916" s="2">
        <v>2</v>
      </c>
      <c r="U916" s="2">
        <v>0</v>
      </c>
      <c r="V916" s="2">
        <v>0</v>
      </c>
      <c r="W916" s="2">
        <v>31</v>
      </c>
      <c r="X916" s="2">
        <v>0</v>
      </c>
      <c r="Y916" s="2">
        <v>1</v>
      </c>
      <c r="Z916" s="2">
        <v>0</v>
      </c>
      <c r="AA916" s="2">
        <v>1</v>
      </c>
      <c r="AB916" s="2">
        <v>2</v>
      </c>
      <c r="AC916" s="2">
        <v>1</v>
      </c>
      <c r="AD916" s="2">
        <v>1</v>
      </c>
      <c r="AE916" s="2">
        <v>0</v>
      </c>
      <c r="AF916" s="2">
        <v>0</v>
      </c>
      <c r="AG916" s="20">
        <f t="shared" si="14"/>
        <v>-500</v>
      </c>
    </row>
    <row r="917" spans="1:33" x14ac:dyDescent="0.25">
      <c r="A917">
        <v>916</v>
      </c>
      <c r="B917" s="2">
        <v>1</v>
      </c>
      <c r="C917" s="2">
        <v>48</v>
      </c>
      <c r="D917" s="2">
        <v>0</v>
      </c>
      <c r="E917" s="2">
        <v>0</v>
      </c>
      <c r="F917" s="2">
        <v>0</v>
      </c>
      <c r="G917" s="2">
        <v>0</v>
      </c>
      <c r="H917" s="2">
        <v>0</v>
      </c>
      <c r="I917" s="2">
        <v>0</v>
      </c>
      <c r="J917" s="2">
        <v>0</v>
      </c>
      <c r="K917" s="2">
        <v>18424</v>
      </c>
      <c r="L917" s="2">
        <v>0</v>
      </c>
      <c r="M917" s="2">
        <v>2</v>
      </c>
      <c r="N917" s="2">
        <v>1</v>
      </c>
      <c r="O917" s="2">
        <v>0</v>
      </c>
      <c r="P917" s="2">
        <v>0</v>
      </c>
      <c r="Q917" s="2">
        <v>0</v>
      </c>
      <c r="R917" s="2">
        <v>0</v>
      </c>
      <c r="S917" s="2">
        <v>0</v>
      </c>
      <c r="T917" s="2">
        <v>2</v>
      </c>
      <c r="U917" s="2">
        <v>0</v>
      </c>
      <c r="V917" s="2">
        <v>0</v>
      </c>
      <c r="W917" s="2">
        <v>32</v>
      </c>
      <c r="X917" s="2">
        <v>1</v>
      </c>
      <c r="Y917" s="2">
        <v>0</v>
      </c>
      <c r="Z917" s="2">
        <v>1</v>
      </c>
      <c r="AA917" s="2">
        <v>1</v>
      </c>
      <c r="AB917" s="2">
        <v>3</v>
      </c>
      <c r="AC917" s="2">
        <v>1</v>
      </c>
      <c r="AD917" s="2">
        <v>1</v>
      </c>
      <c r="AE917" s="2">
        <v>1</v>
      </c>
      <c r="AF917" s="2">
        <v>0</v>
      </c>
      <c r="AG917" s="20">
        <f t="shared" si="14"/>
        <v>-500</v>
      </c>
    </row>
    <row r="918" spans="1:33" x14ac:dyDescent="0.25">
      <c r="A918">
        <v>917</v>
      </c>
      <c r="B918" s="2">
        <v>3</v>
      </c>
      <c r="C918" s="2">
        <v>10</v>
      </c>
      <c r="D918" s="2">
        <v>2</v>
      </c>
      <c r="E918" s="2">
        <v>0</v>
      </c>
      <c r="F918" s="2">
        <v>1</v>
      </c>
      <c r="G918" s="2">
        <v>0</v>
      </c>
      <c r="H918" s="2">
        <v>0</v>
      </c>
      <c r="I918" s="2">
        <v>0</v>
      </c>
      <c r="J918" s="2">
        <v>0</v>
      </c>
      <c r="K918" s="2">
        <v>2848</v>
      </c>
      <c r="L918" s="2">
        <v>1</v>
      </c>
      <c r="M918" s="2">
        <v>2</v>
      </c>
      <c r="N918" s="2">
        <v>1</v>
      </c>
      <c r="O918" s="2">
        <v>0</v>
      </c>
      <c r="P918" s="2">
        <v>1</v>
      </c>
      <c r="Q918" s="2">
        <v>0</v>
      </c>
      <c r="R918" s="2">
        <v>1</v>
      </c>
      <c r="S918" s="2">
        <v>0</v>
      </c>
      <c r="T918" s="2">
        <v>2</v>
      </c>
      <c r="U918" s="2">
        <v>1</v>
      </c>
      <c r="V918" s="2">
        <v>0</v>
      </c>
      <c r="W918" s="2">
        <v>32</v>
      </c>
      <c r="X918" s="2">
        <v>0</v>
      </c>
      <c r="Y918" s="2">
        <v>0</v>
      </c>
      <c r="Z918" s="2">
        <v>1</v>
      </c>
      <c r="AA918" s="2">
        <v>1</v>
      </c>
      <c r="AB918" s="2">
        <v>2</v>
      </c>
      <c r="AC918" s="2">
        <v>2</v>
      </c>
      <c r="AD918" s="2">
        <v>0</v>
      </c>
      <c r="AE918" s="2">
        <v>0</v>
      </c>
      <c r="AF918" s="2">
        <v>1</v>
      </c>
      <c r="AG918" s="20">
        <f t="shared" si="14"/>
        <v>100</v>
      </c>
    </row>
    <row r="919" spans="1:33" x14ac:dyDescent="0.25">
      <c r="A919">
        <v>918</v>
      </c>
      <c r="B919" s="2">
        <v>0</v>
      </c>
      <c r="C919" s="2">
        <v>6</v>
      </c>
      <c r="D919" s="2">
        <v>2</v>
      </c>
      <c r="E919" s="2">
        <v>1</v>
      </c>
      <c r="F919" s="2">
        <v>0</v>
      </c>
      <c r="G919" s="2">
        <v>0</v>
      </c>
      <c r="H919" s="2">
        <v>0</v>
      </c>
      <c r="I919" s="2">
        <v>0</v>
      </c>
      <c r="J919" s="2">
        <v>0</v>
      </c>
      <c r="K919" s="2">
        <v>14896</v>
      </c>
      <c r="L919" s="2">
        <v>0</v>
      </c>
      <c r="M919" s="2">
        <v>4</v>
      </c>
      <c r="N919" s="2">
        <v>1</v>
      </c>
      <c r="O919" s="2">
        <v>0</v>
      </c>
      <c r="P919" s="2">
        <v>1</v>
      </c>
      <c r="Q919" s="2">
        <v>0</v>
      </c>
      <c r="R919" s="2">
        <v>0</v>
      </c>
      <c r="S919" s="2">
        <v>0</v>
      </c>
      <c r="T919" s="2">
        <v>4</v>
      </c>
      <c r="U919" s="2">
        <v>0</v>
      </c>
      <c r="V919" s="2">
        <v>1</v>
      </c>
      <c r="W919" s="2">
        <v>68</v>
      </c>
      <c r="X919" s="2">
        <v>1</v>
      </c>
      <c r="Y919" s="2">
        <v>0</v>
      </c>
      <c r="Z919" s="2">
        <v>1</v>
      </c>
      <c r="AA919" s="2">
        <v>1</v>
      </c>
      <c r="AB919" s="2">
        <v>3</v>
      </c>
      <c r="AC919" s="2">
        <v>1</v>
      </c>
      <c r="AD919" s="2">
        <v>1</v>
      </c>
      <c r="AE919" s="2">
        <v>0</v>
      </c>
      <c r="AF919" s="2">
        <v>0</v>
      </c>
      <c r="AG919" s="20">
        <f t="shared" si="14"/>
        <v>-500</v>
      </c>
    </row>
    <row r="920" spans="1:33" x14ac:dyDescent="0.25">
      <c r="A920">
        <v>919</v>
      </c>
      <c r="B920" s="2">
        <v>0</v>
      </c>
      <c r="C920" s="2">
        <v>24</v>
      </c>
      <c r="D920" s="2">
        <v>2</v>
      </c>
      <c r="E920" s="2">
        <v>0</v>
      </c>
      <c r="F920" s="2">
        <v>0</v>
      </c>
      <c r="G920" s="2">
        <v>1</v>
      </c>
      <c r="H920" s="2">
        <v>0</v>
      </c>
      <c r="I920" s="2">
        <v>0</v>
      </c>
      <c r="J920" s="2">
        <v>0</v>
      </c>
      <c r="K920" s="2">
        <v>2359</v>
      </c>
      <c r="L920" s="2">
        <v>1</v>
      </c>
      <c r="M920" s="2">
        <v>0</v>
      </c>
      <c r="N920" s="2">
        <v>1</v>
      </c>
      <c r="O920" s="2">
        <v>1</v>
      </c>
      <c r="P920" s="2">
        <v>0</v>
      </c>
      <c r="Q920" s="2">
        <v>0</v>
      </c>
      <c r="R920" s="2">
        <v>0</v>
      </c>
      <c r="S920" s="2">
        <v>0</v>
      </c>
      <c r="T920" s="2">
        <v>1</v>
      </c>
      <c r="U920" s="2">
        <v>0</v>
      </c>
      <c r="V920" s="2">
        <v>0</v>
      </c>
      <c r="W920" s="2">
        <v>33</v>
      </c>
      <c r="X920" s="2">
        <v>0</v>
      </c>
      <c r="Y920" s="2">
        <v>0</v>
      </c>
      <c r="Z920" s="2">
        <v>1</v>
      </c>
      <c r="AA920" s="2">
        <v>1</v>
      </c>
      <c r="AB920" s="2">
        <v>2</v>
      </c>
      <c r="AC920" s="2">
        <v>1</v>
      </c>
      <c r="AD920" s="2">
        <v>0</v>
      </c>
      <c r="AE920" s="2">
        <v>0</v>
      </c>
      <c r="AF920" s="2">
        <v>0</v>
      </c>
      <c r="AG920" s="20">
        <f t="shared" si="14"/>
        <v>-500</v>
      </c>
    </row>
    <row r="921" spans="1:33" x14ac:dyDescent="0.25">
      <c r="A921">
        <v>920</v>
      </c>
      <c r="B921" s="2">
        <v>0</v>
      </c>
      <c r="C921" s="2">
        <v>24</v>
      </c>
      <c r="D921" s="2">
        <v>2</v>
      </c>
      <c r="E921" s="2">
        <v>0</v>
      </c>
      <c r="F921" s="2">
        <v>0</v>
      </c>
      <c r="G921" s="2">
        <v>1</v>
      </c>
      <c r="H921" s="2">
        <v>0</v>
      </c>
      <c r="I921" s="2">
        <v>0</v>
      </c>
      <c r="J921" s="2">
        <v>0</v>
      </c>
      <c r="K921" s="2">
        <v>3345</v>
      </c>
      <c r="L921" s="2">
        <v>0</v>
      </c>
      <c r="M921" s="2">
        <v>4</v>
      </c>
      <c r="N921" s="2">
        <v>4</v>
      </c>
      <c r="O921" s="2">
        <v>0</v>
      </c>
      <c r="P921" s="2">
        <v>1</v>
      </c>
      <c r="Q921" s="2">
        <v>0</v>
      </c>
      <c r="R921" s="2">
        <v>0</v>
      </c>
      <c r="S921" s="2">
        <v>0</v>
      </c>
      <c r="T921" s="2">
        <v>2</v>
      </c>
      <c r="U921" s="2">
        <v>0</v>
      </c>
      <c r="V921" s="2">
        <v>0</v>
      </c>
      <c r="W921" s="2">
        <v>39</v>
      </c>
      <c r="X921" s="2">
        <v>0</v>
      </c>
      <c r="Y921" s="2">
        <v>1</v>
      </c>
      <c r="Z921" s="2">
        <v>0</v>
      </c>
      <c r="AA921" s="2">
        <v>1</v>
      </c>
      <c r="AB921" s="2">
        <v>3</v>
      </c>
      <c r="AC921" s="2">
        <v>1</v>
      </c>
      <c r="AD921" s="2">
        <v>1</v>
      </c>
      <c r="AE921" s="2">
        <v>0</v>
      </c>
      <c r="AF921" s="2">
        <v>0</v>
      </c>
      <c r="AG921" s="20">
        <f t="shared" si="14"/>
        <v>-500</v>
      </c>
    </row>
    <row r="922" spans="1:33" x14ac:dyDescent="0.25">
      <c r="A922">
        <v>921</v>
      </c>
      <c r="B922" s="2">
        <v>3</v>
      </c>
      <c r="C922" s="2">
        <v>18</v>
      </c>
      <c r="D922" s="2">
        <v>4</v>
      </c>
      <c r="E922" s="2">
        <v>0</v>
      </c>
      <c r="F922" s="2">
        <v>0</v>
      </c>
      <c r="G922" s="2">
        <v>1</v>
      </c>
      <c r="H922" s="2">
        <v>0</v>
      </c>
      <c r="I922" s="2">
        <v>0</v>
      </c>
      <c r="J922" s="2">
        <v>0</v>
      </c>
      <c r="K922" s="2">
        <v>1817</v>
      </c>
      <c r="L922" s="2">
        <v>0</v>
      </c>
      <c r="M922" s="2">
        <v>2</v>
      </c>
      <c r="N922" s="2">
        <v>4</v>
      </c>
      <c r="O922" s="2">
        <v>0</v>
      </c>
      <c r="P922" s="2">
        <v>0</v>
      </c>
      <c r="Q922" s="2">
        <v>0</v>
      </c>
      <c r="R922" s="2">
        <v>0</v>
      </c>
      <c r="S922" s="2">
        <v>0</v>
      </c>
      <c r="T922" s="2">
        <v>2</v>
      </c>
      <c r="U922" s="2">
        <v>0</v>
      </c>
      <c r="V922" s="2">
        <v>1</v>
      </c>
      <c r="W922" s="2">
        <v>28</v>
      </c>
      <c r="X922" s="2">
        <v>0</v>
      </c>
      <c r="Y922" s="2">
        <v>0</v>
      </c>
      <c r="Z922" s="2">
        <v>1</v>
      </c>
      <c r="AA922" s="2">
        <v>2</v>
      </c>
      <c r="AB922" s="2">
        <v>2</v>
      </c>
      <c r="AC922" s="2">
        <v>1</v>
      </c>
      <c r="AD922" s="2">
        <v>0</v>
      </c>
      <c r="AE922" s="2">
        <v>0</v>
      </c>
      <c r="AF922" s="2">
        <v>1</v>
      </c>
      <c r="AG922" s="20">
        <f t="shared" si="14"/>
        <v>100</v>
      </c>
    </row>
    <row r="923" spans="1:33" x14ac:dyDescent="0.25">
      <c r="A923">
        <v>922</v>
      </c>
      <c r="B923" s="2">
        <v>3</v>
      </c>
      <c r="C923" s="2">
        <v>48</v>
      </c>
      <c r="D923" s="2">
        <v>3</v>
      </c>
      <c r="E923" s="2">
        <v>0</v>
      </c>
      <c r="F923" s="2">
        <v>0</v>
      </c>
      <c r="G923" s="2">
        <v>0</v>
      </c>
      <c r="H923" s="2">
        <v>1</v>
      </c>
      <c r="I923" s="2">
        <v>0</v>
      </c>
      <c r="J923" s="2">
        <v>0</v>
      </c>
      <c r="K923" s="2">
        <v>12749</v>
      </c>
      <c r="L923" s="2">
        <v>2</v>
      </c>
      <c r="M923" s="2">
        <v>3</v>
      </c>
      <c r="N923" s="2">
        <v>4</v>
      </c>
      <c r="O923" s="2">
        <v>0</v>
      </c>
      <c r="P923" s="2">
        <v>1</v>
      </c>
      <c r="Q923" s="2">
        <v>0</v>
      </c>
      <c r="R923" s="2">
        <v>0</v>
      </c>
      <c r="S923" s="2">
        <v>0</v>
      </c>
      <c r="T923" s="2">
        <v>1</v>
      </c>
      <c r="U923" s="2">
        <v>0</v>
      </c>
      <c r="V923" s="2">
        <v>0</v>
      </c>
      <c r="W923" s="2">
        <v>37</v>
      </c>
      <c r="X923" s="2">
        <v>0</v>
      </c>
      <c r="Y923" s="2">
        <v>0</v>
      </c>
      <c r="Z923" s="2">
        <v>1</v>
      </c>
      <c r="AA923" s="2">
        <v>1</v>
      </c>
      <c r="AB923" s="2">
        <v>3</v>
      </c>
      <c r="AC923" s="2">
        <v>1</v>
      </c>
      <c r="AD923" s="2">
        <v>1</v>
      </c>
      <c r="AE923" s="2">
        <v>0</v>
      </c>
      <c r="AF923" s="2">
        <v>1</v>
      </c>
      <c r="AG923" s="20">
        <f t="shared" si="14"/>
        <v>100</v>
      </c>
    </row>
    <row r="924" spans="1:33" x14ac:dyDescent="0.25">
      <c r="A924">
        <v>923</v>
      </c>
      <c r="B924" s="2">
        <v>0</v>
      </c>
      <c r="C924" s="2">
        <v>9</v>
      </c>
      <c r="D924" s="2">
        <v>2</v>
      </c>
      <c r="E924" s="2">
        <v>0</v>
      </c>
      <c r="F924" s="2">
        <v>0</v>
      </c>
      <c r="G924" s="2">
        <v>0</v>
      </c>
      <c r="H924" s="2">
        <v>1</v>
      </c>
      <c r="I924" s="2">
        <v>0</v>
      </c>
      <c r="J924" s="2">
        <v>0</v>
      </c>
      <c r="K924" s="2">
        <v>1366</v>
      </c>
      <c r="L924" s="2">
        <v>0</v>
      </c>
      <c r="M924" s="2">
        <v>1</v>
      </c>
      <c r="N924" s="2">
        <v>3</v>
      </c>
      <c r="O924" s="2">
        <v>0</v>
      </c>
      <c r="P924" s="2">
        <v>0</v>
      </c>
      <c r="Q924" s="2">
        <v>0</v>
      </c>
      <c r="R924" s="2">
        <v>0</v>
      </c>
      <c r="S924" s="2">
        <v>0</v>
      </c>
      <c r="T924" s="2">
        <v>4</v>
      </c>
      <c r="U924" s="2">
        <v>0</v>
      </c>
      <c r="V924" s="2">
        <v>0</v>
      </c>
      <c r="W924" s="2">
        <v>22</v>
      </c>
      <c r="X924" s="2">
        <v>0</v>
      </c>
      <c r="Y924" s="2">
        <v>1</v>
      </c>
      <c r="Z924" s="2">
        <v>0</v>
      </c>
      <c r="AA924" s="2">
        <v>1</v>
      </c>
      <c r="AB924" s="2">
        <v>2</v>
      </c>
      <c r="AC924" s="2">
        <v>1</v>
      </c>
      <c r="AD924" s="2">
        <v>0</v>
      </c>
      <c r="AE924" s="2">
        <v>0</v>
      </c>
      <c r="AF924" s="2">
        <v>0</v>
      </c>
      <c r="AG924" s="20">
        <f t="shared" si="14"/>
        <v>-500</v>
      </c>
    </row>
    <row r="925" spans="1:33" x14ac:dyDescent="0.25">
      <c r="A925">
        <v>924</v>
      </c>
      <c r="B925" s="2">
        <v>1</v>
      </c>
      <c r="C925" s="2">
        <v>12</v>
      </c>
      <c r="D925" s="2">
        <v>2</v>
      </c>
      <c r="E925" s="2">
        <v>1</v>
      </c>
      <c r="F925" s="2">
        <v>0</v>
      </c>
      <c r="G925" s="2">
        <v>0</v>
      </c>
      <c r="H925" s="2">
        <v>0</v>
      </c>
      <c r="I925" s="2">
        <v>0</v>
      </c>
      <c r="J925" s="2">
        <v>0</v>
      </c>
      <c r="K925" s="2">
        <v>2002</v>
      </c>
      <c r="L925" s="2">
        <v>0</v>
      </c>
      <c r="M925" s="2">
        <v>3</v>
      </c>
      <c r="N925" s="2">
        <v>3</v>
      </c>
      <c r="O925" s="2">
        <v>0</v>
      </c>
      <c r="P925" s="2">
        <v>1</v>
      </c>
      <c r="Q925" s="2">
        <v>0</v>
      </c>
      <c r="R925" s="2">
        <v>0</v>
      </c>
      <c r="S925" s="2">
        <v>0</v>
      </c>
      <c r="T925" s="2">
        <v>4</v>
      </c>
      <c r="U925" s="2">
        <v>0</v>
      </c>
      <c r="V925" s="2">
        <v>0</v>
      </c>
      <c r="W925" s="2">
        <v>30</v>
      </c>
      <c r="X925" s="2">
        <v>0</v>
      </c>
      <c r="Y925" s="2">
        <v>1</v>
      </c>
      <c r="Z925" s="2">
        <v>0</v>
      </c>
      <c r="AA925" s="2">
        <v>1</v>
      </c>
      <c r="AB925" s="2">
        <v>2</v>
      </c>
      <c r="AC925" s="2">
        <v>2</v>
      </c>
      <c r="AD925" s="2">
        <v>1</v>
      </c>
      <c r="AE925" s="2">
        <v>0</v>
      </c>
      <c r="AF925" s="2">
        <v>1</v>
      </c>
      <c r="AG925" s="20">
        <f t="shared" si="14"/>
        <v>100</v>
      </c>
    </row>
    <row r="926" spans="1:33" x14ac:dyDescent="0.25">
      <c r="A926">
        <v>925</v>
      </c>
      <c r="B926" s="2">
        <v>0</v>
      </c>
      <c r="C926" s="2">
        <v>24</v>
      </c>
      <c r="D926" s="2">
        <v>1</v>
      </c>
      <c r="E926" s="2">
        <v>0</v>
      </c>
      <c r="F926" s="2">
        <v>0</v>
      </c>
      <c r="G926" s="2">
        <v>1</v>
      </c>
      <c r="H926" s="2">
        <v>0</v>
      </c>
      <c r="I926" s="2">
        <v>0</v>
      </c>
      <c r="J926" s="2">
        <v>0</v>
      </c>
      <c r="K926" s="2">
        <v>6872</v>
      </c>
      <c r="L926" s="2">
        <v>0</v>
      </c>
      <c r="M926" s="2">
        <v>1</v>
      </c>
      <c r="N926" s="2">
        <v>2</v>
      </c>
      <c r="O926" s="2">
        <v>1</v>
      </c>
      <c r="P926" s="2">
        <v>0</v>
      </c>
      <c r="Q926" s="2">
        <v>0</v>
      </c>
      <c r="R926" s="2">
        <v>0</v>
      </c>
      <c r="S926" s="2">
        <v>0</v>
      </c>
      <c r="T926" s="2">
        <v>1</v>
      </c>
      <c r="U926" s="2">
        <v>0</v>
      </c>
      <c r="V926" s="2">
        <v>0</v>
      </c>
      <c r="W926" s="2">
        <v>55</v>
      </c>
      <c r="X926" s="2">
        <v>1</v>
      </c>
      <c r="Y926" s="2">
        <v>0</v>
      </c>
      <c r="Z926" s="2">
        <v>1</v>
      </c>
      <c r="AA926" s="2">
        <v>1</v>
      </c>
      <c r="AB926" s="2">
        <v>2</v>
      </c>
      <c r="AC926" s="2">
        <v>1</v>
      </c>
      <c r="AD926" s="2">
        <v>1</v>
      </c>
      <c r="AE926" s="2">
        <v>0</v>
      </c>
      <c r="AF926" s="2">
        <v>0</v>
      </c>
      <c r="AG926" s="20">
        <f t="shared" si="14"/>
        <v>-500</v>
      </c>
    </row>
    <row r="927" spans="1:33" x14ac:dyDescent="0.25">
      <c r="A927">
        <v>926</v>
      </c>
      <c r="B927" s="2">
        <v>0</v>
      </c>
      <c r="C927" s="2">
        <v>12</v>
      </c>
      <c r="D927" s="2">
        <v>1</v>
      </c>
      <c r="E927" s="2">
        <v>1</v>
      </c>
      <c r="F927" s="2">
        <v>0</v>
      </c>
      <c r="G927" s="2">
        <v>0</v>
      </c>
      <c r="H927" s="2">
        <v>0</v>
      </c>
      <c r="I927" s="2">
        <v>0</v>
      </c>
      <c r="J927" s="2">
        <v>0</v>
      </c>
      <c r="K927" s="2">
        <v>697</v>
      </c>
      <c r="L927" s="2">
        <v>0</v>
      </c>
      <c r="M927" s="2">
        <v>1</v>
      </c>
      <c r="N927" s="2">
        <v>4</v>
      </c>
      <c r="O927" s="2">
        <v>0</v>
      </c>
      <c r="P927" s="2">
        <v>1</v>
      </c>
      <c r="Q927" s="2">
        <v>0</v>
      </c>
      <c r="R927" s="2">
        <v>0</v>
      </c>
      <c r="S927" s="2">
        <v>0</v>
      </c>
      <c r="T927" s="2">
        <v>2</v>
      </c>
      <c r="U927" s="2">
        <v>0</v>
      </c>
      <c r="V927" s="2">
        <v>0</v>
      </c>
      <c r="W927" s="2">
        <v>46</v>
      </c>
      <c r="X927" s="2">
        <v>1</v>
      </c>
      <c r="Y927" s="2">
        <v>0</v>
      </c>
      <c r="Z927" s="2">
        <v>1</v>
      </c>
      <c r="AA927" s="2">
        <v>2</v>
      </c>
      <c r="AB927" s="2">
        <v>2</v>
      </c>
      <c r="AC927" s="2">
        <v>1</v>
      </c>
      <c r="AD927" s="2">
        <v>1</v>
      </c>
      <c r="AE927" s="2">
        <v>0</v>
      </c>
      <c r="AF927" s="2">
        <v>0</v>
      </c>
      <c r="AG927" s="20">
        <f t="shared" si="14"/>
        <v>-500</v>
      </c>
    </row>
    <row r="928" spans="1:33" x14ac:dyDescent="0.25">
      <c r="A928">
        <v>927</v>
      </c>
      <c r="B928" s="2">
        <v>0</v>
      </c>
      <c r="C928" s="2">
        <v>18</v>
      </c>
      <c r="D928" s="2">
        <v>4</v>
      </c>
      <c r="E928" s="2">
        <v>0</v>
      </c>
      <c r="F928" s="2">
        <v>0</v>
      </c>
      <c r="G928" s="2">
        <v>1</v>
      </c>
      <c r="H928" s="2">
        <v>0</v>
      </c>
      <c r="I928" s="2">
        <v>0</v>
      </c>
      <c r="J928" s="2">
        <v>0</v>
      </c>
      <c r="K928" s="2">
        <v>1049</v>
      </c>
      <c r="L928" s="2">
        <v>0</v>
      </c>
      <c r="M928" s="2">
        <v>1</v>
      </c>
      <c r="N928" s="2">
        <v>4</v>
      </c>
      <c r="O928" s="2">
        <v>0</v>
      </c>
      <c r="P928" s="2">
        <v>0</v>
      </c>
      <c r="Q928" s="2">
        <v>0</v>
      </c>
      <c r="R928" s="2">
        <v>0</v>
      </c>
      <c r="S928" s="2">
        <v>0</v>
      </c>
      <c r="T928" s="2">
        <v>4</v>
      </c>
      <c r="U928" s="2">
        <v>0</v>
      </c>
      <c r="V928" s="2">
        <v>0</v>
      </c>
      <c r="W928" s="2">
        <v>21</v>
      </c>
      <c r="X928" s="2">
        <v>0</v>
      </c>
      <c r="Y928" s="2">
        <v>1</v>
      </c>
      <c r="Z928" s="2">
        <v>0</v>
      </c>
      <c r="AA928" s="2">
        <v>1</v>
      </c>
      <c r="AB928" s="2">
        <v>2</v>
      </c>
      <c r="AC928" s="2">
        <v>1</v>
      </c>
      <c r="AD928" s="2">
        <v>0</v>
      </c>
      <c r="AE928" s="2">
        <v>0</v>
      </c>
      <c r="AF928" s="2">
        <v>1</v>
      </c>
      <c r="AG928" s="20">
        <f t="shared" si="14"/>
        <v>100</v>
      </c>
    </row>
    <row r="929" spans="1:33" x14ac:dyDescent="0.25">
      <c r="A929">
        <v>928</v>
      </c>
      <c r="B929" s="2">
        <v>0</v>
      </c>
      <c r="C929" s="2">
        <v>48</v>
      </c>
      <c r="D929" s="2">
        <v>2</v>
      </c>
      <c r="E929" s="2">
        <v>0</v>
      </c>
      <c r="F929" s="2">
        <v>1</v>
      </c>
      <c r="G929" s="2">
        <v>0</v>
      </c>
      <c r="H929" s="2">
        <v>0</v>
      </c>
      <c r="I929" s="2">
        <v>0</v>
      </c>
      <c r="J929" s="2">
        <v>0</v>
      </c>
      <c r="K929" s="2">
        <v>10297</v>
      </c>
      <c r="L929" s="2">
        <v>0</v>
      </c>
      <c r="M929" s="2">
        <v>3</v>
      </c>
      <c r="N929" s="2">
        <v>4</v>
      </c>
      <c r="O929" s="2">
        <v>0</v>
      </c>
      <c r="P929" s="2">
        <v>1</v>
      </c>
      <c r="Q929" s="2">
        <v>0</v>
      </c>
      <c r="R929" s="2">
        <v>0</v>
      </c>
      <c r="S929" s="2">
        <v>0</v>
      </c>
      <c r="T929" s="2">
        <v>4</v>
      </c>
      <c r="U929" s="2">
        <v>0</v>
      </c>
      <c r="V929" s="2">
        <v>1</v>
      </c>
      <c r="W929" s="2">
        <v>39</v>
      </c>
      <c r="X929" s="2">
        <v>1</v>
      </c>
      <c r="Y929" s="2">
        <v>0</v>
      </c>
      <c r="Z929" s="2">
        <v>0</v>
      </c>
      <c r="AA929" s="2">
        <v>3</v>
      </c>
      <c r="AB929" s="2">
        <v>2</v>
      </c>
      <c r="AC929" s="2">
        <v>2</v>
      </c>
      <c r="AD929" s="2">
        <v>1</v>
      </c>
      <c r="AE929" s="2">
        <v>0</v>
      </c>
      <c r="AF929" s="2">
        <v>0</v>
      </c>
      <c r="AG929" s="20">
        <f t="shared" si="14"/>
        <v>-500</v>
      </c>
    </row>
    <row r="930" spans="1:33" x14ac:dyDescent="0.25">
      <c r="A930">
        <v>929</v>
      </c>
      <c r="B930" s="2">
        <v>3</v>
      </c>
      <c r="C930" s="2">
        <v>30</v>
      </c>
      <c r="D930" s="2">
        <v>2</v>
      </c>
      <c r="E930" s="2">
        <v>0</v>
      </c>
      <c r="F930" s="2">
        <v>0</v>
      </c>
      <c r="G930" s="2">
        <v>0</v>
      </c>
      <c r="H930" s="2">
        <v>1</v>
      </c>
      <c r="I930" s="2">
        <v>0</v>
      </c>
      <c r="J930" s="2">
        <v>0</v>
      </c>
      <c r="K930" s="2">
        <v>1867</v>
      </c>
      <c r="L930" s="2">
        <v>4</v>
      </c>
      <c r="M930" s="2">
        <v>4</v>
      </c>
      <c r="N930" s="2">
        <v>4</v>
      </c>
      <c r="O930" s="2">
        <v>0</v>
      </c>
      <c r="P930" s="2">
        <v>1</v>
      </c>
      <c r="Q930" s="2">
        <v>0</v>
      </c>
      <c r="R930" s="2">
        <v>0</v>
      </c>
      <c r="S930" s="2">
        <v>0</v>
      </c>
      <c r="T930" s="2">
        <v>4</v>
      </c>
      <c r="U930" s="2">
        <v>0</v>
      </c>
      <c r="V930" s="2">
        <v>0</v>
      </c>
      <c r="W930" s="2">
        <v>58</v>
      </c>
      <c r="X930" s="2">
        <v>0</v>
      </c>
      <c r="Y930" s="2">
        <v>0</v>
      </c>
      <c r="Z930" s="2">
        <v>1</v>
      </c>
      <c r="AA930" s="2">
        <v>1</v>
      </c>
      <c r="AB930" s="2">
        <v>2</v>
      </c>
      <c r="AC930" s="2">
        <v>1</v>
      </c>
      <c r="AD930" s="2">
        <v>1</v>
      </c>
      <c r="AE930" s="2">
        <v>0</v>
      </c>
      <c r="AF930" s="2">
        <v>1</v>
      </c>
      <c r="AG930" s="20">
        <f t="shared" si="14"/>
        <v>100</v>
      </c>
    </row>
    <row r="931" spans="1:33" x14ac:dyDescent="0.25">
      <c r="A931">
        <v>930</v>
      </c>
      <c r="B931" s="2">
        <v>0</v>
      </c>
      <c r="C931" s="2">
        <v>12</v>
      </c>
      <c r="D931" s="2">
        <v>3</v>
      </c>
      <c r="E931" s="2">
        <v>1</v>
      </c>
      <c r="F931" s="2">
        <v>0</v>
      </c>
      <c r="G931" s="2">
        <v>0</v>
      </c>
      <c r="H931" s="2">
        <v>0</v>
      </c>
      <c r="I931" s="2">
        <v>0</v>
      </c>
      <c r="J931" s="2">
        <v>0</v>
      </c>
      <c r="K931" s="2">
        <v>1344</v>
      </c>
      <c r="L931" s="2">
        <v>0</v>
      </c>
      <c r="M931" s="2">
        <v>2</v>
      </c>
      <c r="N931" s="2">
        <v>4</v>
      </c>
      <c r="O931" s="2">
        <v>0</v>
      </c>
      <c r="P931" s="2">
        <v>1</v>
      </c>
      <c r="Q931" s="2">
        <v>0</v>
      </c>
      <c r="R931" s="2">
        <v>0</v>
      </c>
      <c r="S931" s="2">
        <v>0</v>
      </c>
      <c r="T931" s="2">
        <v>2</v>
      </c>
      <c r="U931" s="2">
        <v>1</v>
      </c>
      <c r="V931" s="2">
        <v>0</v>
      </c>
      <c r="W931" s="2">
        <v>43</v>
      </c>
      <c r="X931" s="2">
        <v>0</v>
      </c>
      <c r="Y931" s="2">
        <v>0</v>
      </c>
      <c r="Z931" s="2">
        <v>1</v>
      </c>
      <c r="AA931" s="2">
        <v>2</v>
      </c>
      <c r="AB931" s="2">
        <v>1</v>
      </c>
      <c r="AC931" s="2">
        <v>2</v>
      </c>
      <c r="AD931" s="2">
        <v>0</v>
      </c>
      <c r="AE931" s="2">
        <v>0</v>
      </c>
      <c r="AF931" s="2">
        <v>1</v>
      </c>
      <c r="AG931" s="20">
        <f t="shared" si="14"/>
        <v>100</v>
      </c>
    </row>
    <row r="932" spans="1:33" x14ac:dyDescent="0.25">
      <c r="A932">
        <v>931</v>
      </c>
      <c r="B932" s="2">
        <v>0</v>
      </c>
      <c r="C932" s="2">
        <v>24</v>
      </c>
      <c r="D932" s="2">
        <v>2</v>
      </c>
      <c r="E932" s="2">
        <v>0</v>
      </c>
      <c r="F932" s="2">
        <v>0</v>
      </c>
      <c r="G932" s="2">
        <v>1</v>
      </c>
      <c r="H932" s="2">
        <v>0</v>
      </c>
      <c r="I932" s="2">
        <v>0</v>
      </c>
      <c r="J932" s="2">
        <v>0</v>
      </c>
      <c r="K932" s="2">
        <v>1747</v>
      </c>
      <c r="L932" s="2">
        <v>0</v>
      </c>
      <c r="M932" s="2">
        <v>1</v>
      </c>
      <c r="N932" s="2">
        <v>4</v>
      </c>
      <c r="O932" s="2">
        <v>0</v>
      </c>
      <c r="P932" s="2">
        <v>1</v>
      </c>
      <c r="Q932" s="2">
        <v>0</v>
      </c>
      <c r="R932" s="2">
        <v>1</v>
      </c>
      <c r="S932" s="2">
        <v>0</v>
      </c>
      <c r="T932" s="2">
        <v>1</v>
      </c>
      <c r="U932" s="2">
        <v>0</v>
      </c>
      <c r="V932" s="2">
        <v>0</v>
      </c>
      <c r="W932" s="2">
        <v>24</v>
      </c>
      <c r="X932" s="2">
        <v>0</v>
      </c>
      <c r="Y932" s="2">
        <v>0</v>
      </c>
      <c r="Z932" s="2">
        <v>1</v>
      </c>
      <c r="AA932" s="2">
        <v>1</v>
      </c>
      <c r="AB932" s="2">
        <v>1</v>
      </c>
      <c r="AC932" s="2">
        <v>1</v>
      </c>
      <c r="AD932" s="2">
        <v>0</v>
      </c>
      <c r="AE932" s="2">
        <v>1</v>
      </c>
      <c r="AF932" s="2">
        <v>1</v>
      </c>
      <c r="AG932" s="20">
        <f t="shared" si="14"/>
        <v>100</v>
      </c>
    </row>
    <row r="933" spans="1:33" x14ac:dyDescent="0.25">
      <c r="A933">
        <v>932</v>
      </c>
      <c r="B933" s="2">
        <v>1</v>
      </c>
      <c r="C933" s="2">
        <v>9</v>
      </c>
      <c r="D933" s="2">
        <v>2</v>
      </c>
      <c r="E933" s="2">
        <v>0</v>
      </c>
      <c r="F933" s="2">
        <v>0</v>
      </c>
      <c r="G933" s="2">
        <v>0</v>
      </c>
      <c r="H933" s="2">
        <v>1</v>
      </c>
      <c r="I933" s="2">
        <v>0</v>
      </c>
      <c r="J933" s="2">
        <v>0</v>
      </c>
      <c r="K933" s="2">
        <v>1670</v>
      </c>
      <c r="L933" s="2">
        <v>0</v>
      </c>
      <c r="M933" s="2">
        <v>1</v>
      </c>
      <c r="N933" s="2">
        <v>4</v>
      </c>
      <c r="O933" s="2">
        <v>0</v>
      </c>
      <c r="P933" s="2">
        <v>0</v>
      </c>
      <c r="Q933" s="2">
        <v>0</v>
      </c>
      <c r="R933" s="2">
        <v>0</v>
      </c>
      <c r="S933" s="2">
        <v>0</v>
      </c>
      <c r="T933" s="2">
        <v>2</v>
      </c>
      <c r="U933" s="2">
        <v>0</v>
      </c>
      <c r="V933" s="2">
        <v>0</v>
      </c>
      <c r="W933" s="2">
        <v>22</v>
      </c>
      <c r="X933" s="2">
        <v>0</v>
      </c>
      <c r="Y933" s="2">
        <v>0</v>
      </c>
      <c r="Z933" s="2">
        <v>1</v>
      </c>
      <c r="AA933" s="2">
        <v>1</v>
      </c>
      <c r="AB933" s="2">
        <v>2</v>
      </c>
      <c r="AC933" s="2">
        <v>1</v>
      </c>
      <c r="AD933" s="2">
        <v>1</v>
      </c>
      <c r="AE933" s="2">
        <v>0</v>
      </c>
      <c r="AF933" s="2">
        <v>0</v>
      </c>
      <c r="AG933" s="20">
        <f t="shared" si="14"/>
        <v>-500</v>
      </c>
    </row>
    <row r="934" spans="1:33" x14ac:dyDescent="0.25">
      <c r="A934">
        <v>933</v>
      </c>
      <c r="B934" s="2">
        <v>3</v>
      </c>
      <c r="C934" s="2">
        <v>9</v>
      </c>
      <c r="D934" s="2">
        <v>4</v>
      </c>
      <c r="E934" s="2">
        <v>1</v>
      </c>
      <c r="F934" s="2">
        <v>0</v>
      </c>
      <c r="G934" s="2">
        <v>0</v>
      </c>
      <c r="H934" s="2">
        <v>0</v>
      </c>
      <c r="I934" s="2">
        <v>0</v>
      </c>
      <c r="J934" s="2">
        <v>0</v>
      </c>
      <c r="K934" s="2">
        <v>1224</v>
      </c>
      <c r="L934" s="2">
        <v>0</v>
      </c>
      <c r="M934" s="2">
        <v>2</v>
      </c>
      <c r="N934" s="2">
        <v>3</v>
      </c>
      <c r="O934" s="2">
        <v>0</v>
      </c>
      <c r="P934" s="2">
        <v>1</v>
      </c>
      <c r="Q934" s="2">
        <v>0</v>
      </c>
      <c r="R934" s="2">
        <v>0</v>
      </c>
      <c r="S934" s="2">
        <v>0</v>
      </c>
      <c r="T934" s="2">
        <v>1</v>
      </c>
      <c r="U934" s="2">
        <v>1</v>
      </c>
      <c r="V934" s="2">
        <v>0</v>
      </c>
      <c r="W934" s="2">
        <v>30</v>
      </c>
      <c r="X934" s="2">
        <v>0</v>
      </c>
      <c r="Y934" s="2">
        <v>0</v>
      </c>
      <c r="Z934" s="2">
        <v>1</v>
      </c>
      <c r="AA934" s="2">
        <v>2</v>
      </c>
      <c r="AB934" s="2">
        <v>2</v>
      </c>
      <c r="AC934" s="2">
        <v>1</v>
      </c>
      <c r="AD934" s="2">
        <v>0</v>
      </c>
      <c r="AE934" s="2">
        <v>0</v>
      </c>
      <c r="AF934" s="2">
        <v>1</v>
      </c>
      <c r="AG934" s="20">
        <f t="shared" si="14"/>
        <v>100</v>
      </c>
    </row>
    <row r="935" spans="1:33" x14ac:dyDescent="0.25">
      <c r="A935">
        <v>934</v>
      </c>
      <c r="B935" s="2">
        <v>3</v>
      </c>
      <c r="C935" s="2">
        <v>12</v>
      </c>
      <c r="D935" s="2">
        <v>4</v>
      </c>
      <c r="E935" s="2">
        <v>0</v>
      </c>
      <c r="F935" s="2">
        <v>0</v>
      </c>
      <c r="G935" s="2">
        <v>0</v>
      </c>
      <c r="H935" s="2">
        <v>1</v>
      </c>
      <c r="I935" s="2">
        <v>0</v>
      </c>
      <c r="J935" s="2">
        <v>0</v>
      </c>
      <c r="K935" s="2">
        <v>522</v>
      </c>
      <c r="L935" s="2">
        <v>2</v>
      </c>
      <c r="M935" s="2">
        <v>4</v>
      </c>
      <c r="N935" s="2">
        <v>4</v>
      </c>
      <c r="O935" s="2">
        <v>0</v>
      </c>
      <c r="P935" s="2">
        <v>1</v>
      </c>
      <c r="Q935" s="2">
        <v>0</v>
      </c>
      <c r="R935" s="2">
        <v>0</v>
      </c>
      <c r="S935" s="2">
        <v>0</v>
      </c>
      <c r="T935" s="2">
        <v>4</v>
      </c>
      <c r="U935" s="2">
        <v>0</v>
      </c>
      <c r="V935" s="2">
        <v>0</v>
      </c>
      <c r="W935" s="2">
        <v>42</v>
      </c>
      <c r="X935" s="2">
        <v>0</v>
      </c>
      <c r="Y935" s="2">
        <v>0</v>
      </c>
      <c r="Z935" s="2">
        <v>1</v>
      </c>
      <c r="AA935" s="2">
        <v>2</v>
      </c>
      <c r="AB935" s="2">
        <v>2</v>
      </c>
      <c r="AC935" s="2">
        <v>2</v>
      </c>
      <c r="AD935" s="2">
        <v>1</v>
      </c>
      <c r="AE935" s="2">
        <v>0</v>
      </c>
      <c r="AF935" s="2">
        <v>1</v>
      </c>
      <c r="AG935" s="20">
        <f t="shared" si="14"/>
        <v>100</v>
      </c>
    </row>
    <row r="936" spans="1:33" x14ac:dyDescent="0.25">
      <c r="A936">
        <v>935</v>
      </c>
      <c r="B936" s="2">
        <v>0</v>
      </c>
      <c r="C936" s="2">
        <v>12</v>
      </c>
      <c r="D936" s="2">
        <v>2</v>
      </c>
      <c r="E936" s="2">
        <v>0</v>
      </c>
      <c r="F936" s="2">
        <v>0</v>
      </c>
      <c r="G936" s="2">
        <v>0</v>
      </c>
      <c r="H936" s="2">
        <v>1</v>
      </c>
      <c r="I936" s="2">
        <v>0</v>
      </c>
      <c r="J936" s="2">
        <v>0</v>
      </c>
      <c r="K936" s="2">
        <v>1498</v>
      </c>
      <c r="L936" s="2">
        <v>0</v>
      </c>
      <c r="M936" s="2">
        <v>2</v>
      </c>
      <c r="N936" s="2">
        <v>4</v>
      </c>
      <c r="O936" s="2">
        <v>0</v>
      </c>
      <c r="P936" s="2">
        <v>0</v>
      </c>
      <c r="Q936" s="2">
        <v>0</v>
      </c>
      <c r="R936" s="2">
        <v>0</v>
      </c>
      <c r="S936" s="2">
        <v>0</v>
      </c>
      <c r="T936" s="2">
        <v>1</v>
      </c>
      <c r="U936" s="2">
        <v>0</v>
      </c>
      <c r="V936" s="2">
        <v>0</v>
      </c>
      <c r="W936" s="2">
        <v>23</v>
      </c>
      <c r="X936" s="2">
        <v>1</v>
      </c>
      <c r="Y936" s="2">
        <v>0</v>
      </c>
      <c r="Z936" s="2">
        <v>1</v>
      </c>
      <c r="AA936" s="2">
        <v>1</v>
      </c>
      <c r="AB936" s="2">
        <v>2</v>
      </c>
      <c r="AC936" s="2">
        <v>1</v>
      </c>
      <c r="AD936" s="2">
        <v>0</v>
      </c>
      <c r="AE936" s="2">
        <v>0</v>
      </c>
      <c r="AF936" s="2">
        <v>1</v>
      </c>
      <c r="AG936" s="20">
        <f t="shared" si="14"/>
        <v>100</v>
      </c>
    </row>
    <row r="937" spans="1:33" x14ac:dyDescent="0.25">
      <c r="A937">
        <v>936</v>
      </c>
      <c r="B937" s="2">
        <v>1</v>
      </c>
      <c r="C937" s="2">
        <v>30</v>
      </c>
      <c r="D937" s="2">
        <v>3</v>
      </c>
      <c r="E937" s="2">
        <v>0</v>
      </c>
      <c r="F937" s="2">
        <v>0</v>
      </c>
      <c r="G937" s="2">
        <v>0</v>
      </c>
      <c r="H937" s="2">
        <v>1</v>
      </c>
      <c r="I937" s="2">
        <v>0</v>
      </c>
      <c r="J937" s="2">
        <v>0</v>
      </c>
      <c r="K937" s="2">
        <v>1919</v>
      </c>
      <c r="L937" s="2">
        <v>1</v>
      </c>
      <c r="M937" s="2">
        <v>1</v>
      </c>
      <c r="N937" s="2">
        <v>4</v>
      </c>
      <c r="O937" s="2">
        <v>0</v>
      </c>
      <c r="P937" s="2">
        <v>1</v>
      </c>
      <c r="Q937" s="2">
        <v>0</v>
      </c>
      <c r="R937" s="2">
        <v>0</v>
      </c>
      <c r="S937" s="2">
        <v>0</v>
      </c>
      <c r="T937" s="2">
        <v>3</v>
      </c>
      <c r="U937" s="2">
        <v>0</v>
      </c>
      <c r="V937" s="2">
        <v>1</v>
      </c>
      <c r="W937" s="2">
        <v>30</v>
      </c>
      <c r="X937" s="2">
        <v>1</v>
      </c>
      <c r="Y937" s="2">
        <v>0</v>
      </c>
      <c r="Z937" s="2">
        <v>1</v>
      </c>
      <c r="AA937" s="2">
        <v>2</v>
      </c>
      <c r="AB937" s="2">
        <v>3</v>
      </c>
      <c r="AC937" s="2">
        <v>1</v>
      </c>
      <c r="AD937" s="2">
        <v>0</v>
      </c>
      <c r="AE937" s="2">
        <v>0</v>
      </c>
      <c r="AF937" s="2">
        <v>0</v>
      </c>
      <c r="AG937" s="20">
        <f t="shared" si="14"/>
        <v>-500</v>
      </c>
    </row>
    <row r="938" spans="1:33" x14ac:dyDescent="0.25">
      <c r="A938">
        <v>937</v>
      </c>
      <c r="B938" s="2">
        <v>2</v>
      </c>
      <c r="C938" s="2">
        <v>9</v>
      </c>
      <c r="D938" s="2">
        <v>2</v>
      </c>
      <c r="E938" s="2">
        <v>0</v>
      </c>
      <c r="F938" s="2">
        <v>0</v>
      </c>
      <c r="G938" s="2">
        <v>0</v>
      </c>
      <c r="H938" s="2">
        <v>1</v>
      </c>
      <c r="I938" s="2">
        <v>0</v>
      </c>
      <c r="J938" s="2">
        <v>0</v>
      </c>
      <c r="K938" s="2">
        <v>745</v>
      </c>
      <c r="L938" s="2">
        <v>0</v>
      </c>
      <c r="M938" s="2">
        <v>2</v>
      </c>
      <c r="N938" s="2">
        <v>3</v>
      </c>
      <c r="O938" s="2">
        <v>0</v>
      </c>
      <c r="P938" s="2">
        <v>0</v>
      </c>
      <c r="Q938" s="2">
        <v>0</v>
      </c>
      <c r="R938" s="2">
        <v>0</v>
      </c>
      <c r="S938" s="2">
        <v>0</v>
      </c>
      <c r="T938" s="2">
        <v>2</v>
      </c>
      <c r="U938" s="2">
        <v>1</v>
      </c>
      <c r="V938" s="2">
        <v>0</v>
      </c>
      <c r="W938" s="2">
        <v>28</v>
      </c>
      <c r="X938" s="2">
        <v>0</v>
      </c>
      <c r="Y938" s="2">
        <v>0</v>
      </c>
      <c r="Z938" s="2">
        <v>1</v>
      </c>
      <c r="AA938" s="2">
        <v>1</v>
      </c>
      <c r="AB938" s="2">
        <v>1</v>
      </c>
      <c r="AC938" s="2">
        <v>1</v>
      </c>
      <c r="AD938" s="2">
        <v>0</v>
      </c>
      <c r="AE938" s="2">
        <v>0</v>
      </c>
      <c r="AF938" s="2">
        <v>0</v>
      </c>
      <c r="AG938" s="20">
        <f t="shared" si="14"/>
        <v>-500</v>
      </c>
    </row>
    <row r="939" spans="1:33" x14ac:dyDescent="0.25">
      <c r="A939">
        <v>938</v>
      </c>
      <c r="B939" s="2">
        <v>1</v>
      </c>
      <c r="C939" s="2">
        <v>6</v>
      </c>
      <c r="D939" s="2">
        <v>2</v>
      </c>
      <c r="E939" s="2">
        <v>0</v>
      </c>
      <c r="F939" s="2">
        <v>0</v>
      </c>
      <c r="G939" s="2">
        <v>0</v>
      </c>
      <c r="H939" s="2">
        <v>1</v>
      </c>
      <c r="I939" s="2">
        <v>0</v>
      </c>
      <c r="J939" s="2">
        <v>0</v>
      </c>
      <c r="K939" s="2">
        <v>2063</v>
      </c>
      <c r="L939" s="2">
        <v>0</v>
      </c>
      <c r="M939" s="2">
        <v>1</v>
      </c>
      <c r="N939" s="2">
        <v>4</v>
      </c>
      <c r="O939" s="2">
        <v>0</v>
      </c>
      <c r="P939" s="2">
        <v>0</v>
      </c>
      <c r="Q939" s="2">
        <v>1</v>
      </c>
      <c r="R939" s="2">
        <v>0</v>
      </c>
      <c r="S939" s="2">
        <v>0</v>
      </c>
      <c r="T939" s="2">
        <v>3</v>
      </c>
      <c r="U939" s="2">
        <v>0</v>
      </c>
      <c r="V939" s="2">
        <v>0</v>
      </c>
      <c r="W939" s="2">
        <v>30</v>
      </c>
      <c r="X939" s="2">
        <v>0</v>
      </c>
      <c r="Y939" s="2">
        <v>1</v>
      </c>
      <c r="Z939" s="2">
        <v>0</v>
      </c>
      <c r="AA939" s="2">
        <v>1</v>
      </c>
      <c r="AB939" s="2">
        <v>3</v>
      </c>
      <c r="AC939" s="2">
        <v>1</v>
      </c>
      <c r="AD939" s="2">
        <v>1</v>
      </c>
      <c r="AE939" s="2">
        <v>0</v>
      </c>
      <c r="AF939" s="2">
        <v>1</v>
      </c>
      <c r="AG939" s="20">
        <f t="shared" si="14"/>
        <v>100</v>
      </c>
    </row>
    <row r="940" spans="1:33" x14ac:dyDescent="0.25">
      <c r="A940">
        <v>939</v>
      </c>
      <c r="B940" s="2">
        <v>1</v>
      </c>
      <c r="C940" s="2">
        <v>60</v>
      </c>
      <c r="D940" s="2">
        <v>2</v>
      </c>
      <c r="E940" s="2">
        <v>0</v>
      </c>
      <c r="F940" s="2">
        <v>0</v>
      </c>
      <c r="G940" s="2">
        <v>0</v>
      </c>
      <c r="H940" s="2">
        <v>0</v>
      </c>
      <c r="I940" s="2">
        <v>1</v>
      </c>
      <c r="J940" s="2">
        <v>0</v>
      </c>
      <c r="K940" s="2">
        <v>6288</v>
      </c>
      <c r="L940" s="2">
        <v>0</v>
      </c>
      <c r="M940" s="2">
        <v>2</v>
      </c>
      <c r="N940" s="2">
        <v>4</v>
      </c>
      <c r="O940" s="2">
        <v>0</v>
      </c>
      <c r="P940" s="2">
        <v>1</v>
      </c>
      <c r="Q940" s="2">
        <v>0</v>
      </c>
      <c r="R940" s="2">
        <v>0</v>
      </c>
      <c r="S940" s="2">
        <v>0</v>
      </c>
      <c r="T940" s="2">
        <v>4</v>
      </c>
      <c r="U940" s="2">
        <v>0</v>
      </c>
      <c r="V940" s="2">
        <v>1</v>
      </c>
      <c r="W940" s="2">
        <v>42</v>
      </c>
      <c r="X940" s="2">
        <v>0</v>
      </c>
      <c r="Y940" s="2">
        <v>0</v>
      </c>
      <c r="Z940" s="2">
        <v>0</v>
      </c>
      <c r="AA940" s="2">
        <v>1</v>
      </c>
      <c r="AB940" s="2">
        <v>2</v>
      </c>
      <c r="AC940" s="2">
        <v>1</v>
      </c>
      <c r="AD940" s="2">
        <v>0</v>
      </c>
      <c r="AE940" s="2">
        <v>0</v>
      </c>
      <c r="AF940" s="2">
        <v>0</v>
      </c>
      <c r="AG940" s="20">
        <f t="shared" si="14"/>
        <v>-500</v>
      </c>
    </row>
    <row r="941" spans="1:33" x14ac:dyDescent="0.25">
      <c r="A941">
        <v>940</v>
      </c>
      <c r="B941" s="2">
        <v>3</v>
      </c>
      <c r="C941" s="2">
        <v>24</v>
      </c>
      <c r="D941" s="2">
        <v>4</v>
      </c>
      <c r="E941" s="2">
        <v>0</v>
      </c>
      <c r="F941" s="2">
        <v>1</v>
      </c>
      <c r="G941" s="2">
        <v>0</v>
      </c>
      <c r="H941" s="2">
        <v>0</v>
      </c>
      <c r="I941" s="2">
        <v>0</v>
      </c>
      <c r="J941" s="2">
        <v>0</v>
      </c>
      <c r="K941" s="2">
        <v>6842</v>
      </c>
      <c r="L941" s="2">
        <v>4</v>
      </c>
      <c r="M941" s="2">
        <v>2</v>
      </c>
      <c r="N941" s="2">
        <v>2</v>
      </c>
      <c r="O941" s="2">
        <v>0</v>
      </c>
      <c r="P941" s="2">
        <v>1</v>
      </c>
      <c r="Q941" s="2">
        <v>0</v>
      </c>
      <c r="R941" s="2">
        <v>0</v>
      </c>
      <c r="S941" s="2">
        <v>0</v>
      </c>
      <c r="T941" s="2">
        <v>4</v>
      </c>
      <c r="U941" s="2">
        <v>0</v>
      </c>
      <c r="V941" s="2">
        <v>0</v>
      </c>
      <c r="W941" s="2">
        <v>46</v>
      </c>
      <c r="X941" s="2">
        <v>0</v>
      </c>
      <c r="Y941" s="2">
        <v>0</v>
      </c>
      <c r="Z941" s="2">
        <v>1</v>
      </c>
      <c r="AA941" s="2">
        <v>2</v>
      </c>
      <c r="AB941" s="2">
        <v>3</v>
      </c>
      <c r="AC941" s="2">
        <v>2</v>
      </c>
      <c r="AD941" s="2">
        <v>1</v>
      </c>
      <c r="AE941" s="2">
        <v>0</v>
      </c>
      <c r="AF941" s="2">
        <v>1</v>
      </c>
      <c r="AG941" s="20">
        <f t="shared" si="14"/>
        <v>100</v>
      </c>
    </row>
    <row r="942" spans="1:33" x14ac:dyDescent="0.25">
      <c r="A942">
        <v>941</v>
      </c>
      <c r="B942" s="2">
        <v>3</v>
      </c>
      <c r="C942" s="2">
        <v>12</v>
      </c>
      <c r="D942" s="2">
        <v>2</v>
      </c>
      <c r="E942" s="2">
        <v>1</v>
      </c>
      <c r="F942" s="2">
        <v>0</v>
      </c>
      <c r="G942" s="2">
        <v>0</v>
      </c>
      <c r="H942" s="2">
        <v>0</v>
      </c>
      <c r="I942" s="2">
        <v>0</v>
      </c>
      <c r="J942" s="2">
        <v>0</v>
      </c>
      <c r="K942" s="2">
        <v>3527</v>
      </c>
      <c r="L942" s="2">
        <v>4</v>
      </c>
      <c r="M942" s="2">
        <v>1</v>
      </c>
      <c r="N942" s="2">
        <v>2</v>
      </c>
      <c r="O942" s="2">
        <v>0</v>
      </c>
      <c r="P942" s="2">
        <v>1</v>
      </c>
      <c r="Q942" s="2">
        <v>0</v>
      </c>
      <c r="R942" s="2">
        <v>0</v>
      </c>
      <c r="S942" s="2">
        <v>0</v>
      </c>
      <c r="T942" s="2">
        <v>3</v>
      </c>
      <c r="U942" s="2">
        <v>0</v>
      </c>
      <c r="V942" s="2">
        <v>0</v>
      </c>
      <c r="W942" s="2">
        <v>45</v>
      </c>
      <c r="X942" s="2">
        <v>0</v>
      </c>
      <c r="Y942" s="2">
        <v>0</v>
      </c>
      <c r="Z942" s="2">
        <v>1</v>
      </c>
      <c r="AA942" s="2">
        <v>1</v>
      </c>
      <c r="AB942" s="2">
        <v>3</v>
      </c>
      <c r="AC942" s="2">
        <v>2</v>
      </c>
      <c r="AD942" s="2">
        <v>1</v>
      </c>
      <c r="AE942" s="2">
        <v>0</v>
      </c>
      <c r="AF942" s="2">
        <v>1</v>
      </c>
      <c r="AG942" s="20">
        <f t="shared" si="14"/>
        <v>100</v>
      </c>
    </row>
    <row r="943" spans="1:33" x14ac:dyDescent="0.25">
      <c r="A943">
        <v>942</v>
      </c>
      <c r="B943" s="2">
        <v>3</v>
      </c>
      <c r="C943" s="2">
        <v>10</v>
      </c>
      <c r="D943" s="2">
        <v>2</v>
      </c>
      <c r="E943" s="2">
        <v>1</v>
      </c>
      <c r="F943" s="2">
        <v>0</v>
      </c>
      <c r="G943" s="2">
        <v>0</v>
      </c>
      <c r="H943" s="2">
        <v>0</v>
      </c>
      <c r="I943" s="2">
        <v>0</v>
      </c>
      <c r="J943" s="2">
        <v>0</v>
      </c>
      <c r="K943" s="2">
        <v>1546</v>
      </c>
      <c r="L943" s="2">
        <v>0</v>
      </c>
      <c r="M943" s="2">
        <v>2</v>
      </c>
      <c r="N943" s="2">
        <v>3</v>
      </c>
      <c r="O943" s="2">
        <v>0</v>
      </c>
      <c r="P943" s="2">
        <v>1</v>
      </c>
      <c r="Q943" s="2">
        <v>0</v>
      </c>
      <c r="R943" s="2">
        <v>0</v>
      </c>
      <c r="S943" s="2">
        <v>0</v>
      </c>
      <c r="T943" s="2">
        <v>2</v>
      </c>
      <c r="U943" s="2">
        <v>1</v>
      </c>
      <c r="V943" s="2">
        <v>0</v>
      </c>
      <c r="W943" s="2">
        <v>31</v>
      </c>
      <c r="X943" s="2">
        <v>0</v>
      </c>
      <c r="Y943" s="2">
        <v>0</v>
      </c>
      <c r="Z943" s="2">
        <v>1</v>
      </c>
      <c r="AA943" s="2">
        <v>1</v>
      </c>
      <c r="AB943" s="2">
        <v>1</v>
      </c>
      <c r="AC943" s="2">
        <v>2</v>
      </c>
      <c r="AD943" s="2">
        <v>0</v>
      </c>
      <c r="AE943" s="2">
        <v>1</v>
      </c>
      <c r="AF943" s="2">
        <v>1</v>
      </c>
      <c r="AG943" s="20">
        <f t="shared" si="14"/>
        <v>100</v>
      </c>
    </row>
    <row r="944" spans="1:33" x14ac:dyDescent="0.25">
      <c r="A944">
        <v>943</v>
      </c>
      <c r="B944" s="2">
        <v>3</v>
      </c>
      <c r="C944" s="2">
        <v>24</v>
      </c>
      <c r="D944" s="2">
        <v>2</v>
      </c>
      <c r="E944" s="2">
        <v>0</v>
      </c>
      <c r="F944" s="2">
        <v>0</v>
      </c>
      <c r="G944" s="2">
        <v>1</v>
      </c>
      <c r="H944" s="2">
        <v>0</v>
      </c>
      <c r="I944" s="2">
        <v>0</v>
      </c>
      <c r="J944" s="2">
        <v>0</v>
      </c>
      <c r="K944" s="2">
        <v>929</v>
      </c>
      <c r="L944" s="2">
        <v>4</v>
      </c>
      <c r="M944" s="2">
        <v>3</v>
      </c>
      <c r="N944" s="2">
        <v>4</v>
      </c>
      <c r="O944" s="2">
        <v>0</v>
      </c>
      <c r="P944" s="2">
        <v>1</v>
      </c>
      <c r="Q944" s="2">
        <v>0</v>
      </c>
      <c r="R944" s="2">
        <v>0</v>
      </c>
      <c r="S944" s="2">
        <v>0</v>
      </c>
      <c r="T944" s="2">
        <v>2</v>
      </c>
      <c r="U944" s="2">
        <v>0</v>
      </c>
      <c r="V944" s="2">
        <v>0</v>
      </c>
      <c r="W944" s="2">
        <v>31</v>
      </c>
      <c r="X944" s="2">
        <v>1</v>
      </c>
      <c r="Y944" s="2">
        <v>0</v>
      </c>
      <c r="Z944" s="2">
        <v>1</v>
      </c>
      <c r="AA944" s="2">
        <v>1</v>
      </c>
      <c r="AB944" s="2">
        <v>2</v>
      </c>
      <c r="AC944" s="2">
        <v>1</v>
      </c>
      <c r="AD944" s="2">
        <v>1</v>
      </c>
      <c r="AE944" s="2">
        <v>0</v>
      </c>
      <c r="AF944" s="2">
        <v>1</v>
      </c>
      <c r="AG944" s="20">
        <f t="shared" si="14"/>
        <v>100</v>
      </c>
    </row>
    <row r="945" spans="1:33" x14ac:dyDescent="0.25">
      <c r="A945">
        <v>944</v>
      </c>
      <c r="B945" s="2">
        <v>3</v>
      </c>
      <c r="C945" s="2">
        <v>4</v>
      </c>
      <c r="D945" s="2">
        <v>4</v>
      </c>
      <c r="E945" s="2">
        <v>1</v>
      </c>
      <c r="F945" s="2">
        <v>0</v>
      </c>
      <c r="G945" s="2">
        <v>0</v>
      </c>
      <c r="H945" s="2">
        <v>0</v>
      </c>
      <c r="I945" s="2">
        <v>0</v>
      </c>
      <c r="J945" s="2">
        <v>0</v>
      </c>
      <c r="K945" s="2">
        <v>1455</v>
      </c>
      <c r="L945" s="2">
        <v>0</v>
      </c>
      <c r="M945" s="2">
        <v>3</v>
      </c>
      <c r="N945" s="2">
        <v>2</v>
      </c>
      <c r="O945" s="2">
        <v>0</v>
      </c>
      <c r="P945" s="2">
        <v>1</v>
      </c>
      <c r="Q945" s="2">
        <v>0</v>
      </c>
      <c r="R945" s="2">
        <v>0</v>
      </c>
      <c r="S945" s="2">
        <v>0</v>
      </c>
      <c r="T945" s="2">
        <v>1</v>
      </c>
      <c r="U945" s="2">
        <v>1</v>
      </c>
      <c r="V945" s="2">
        <v>0</v>
      </c>
      <c r="W945" s="2">
        <v>42</v>
      </c>
      <c r="X945" s="2">
        <v>0</v>
      </c>
      <c r="Y945" s="2">
        <v>0</v>
      </c>
      <c r="Z945" s="2">
        <v>1</v>
      </c>
      <c r="AA945" s="2">
        <v>3</v>
      </c>
      <c r="AB945" s="2">
        <v>1</v>
      </c>
      <c r="AC945" s="2">
        <v>2</v>
      </c>
      <c r="AD945" s="2">
        <v>0</v>
      </c>
      <c r="AE945" s="2">
        <v>0</v>
      </c>
      <c r="AF945" s="2">
        <v>1</v>
      </c>
      <c r="AG945" s="20">
        <f t="shared" si="14"/>
        <v>100</v>
      </c>
    </row>
    <row r="946" spans="1:33" x14ac:dyDescent="0.25">
      <c r="A946">
        <v>945</v>
      </c>
      <c r="B946" s="2">
        <v>0</v>
      </c>
      <c r="C946" s="2">
        <v>15</v>
      </c>
      <c r="D946" s="2">
        <v>2</v>
      </c>
      <c r="E946" s="2">
        <v>0</v>
      </c>
      <c r="F946" s="2">
        <v>0</v>
      </c>
      <c r="G946" s="2">
        <v>1</v>
      </c>
      <c r="H946" s="2">
        <v>0</v>
      </c>
      <c r="I946" s="2">
        <v>0</v>
      </c>
      <c r="J946" s="2">
        <v>0</v>
      </c>
      <c r="K946" s="2">
        <v>1845</v>
      </c>
      <c r="L946" s="2">
        <v>0</v>
      </c>
      <c r="M946" s="2">
        <v>1</v>
      </c>
      <c r="N946" s="2">
        <v>4</v>
      </c>
      <c r="O946" s="2">
        <v>0</v>
      </c>
      <c r="P946" s="2">
        <v>0</v>
      </c>
      <c r="Q946" s="2">
        <v>0</v>
      </c>
      <c r="R946" s="2">
        <v>0</v>
      </c>
      <c r="S946" s="2">
        <v>1</v>
      </c>
      <c r="T946" s="2">
        <v>1</v>
      </c>
      <c r="U946" s="2">
        <v>0</v>
      </c>
      <c r="V946" s="2">
        <v>0</v>
      </c>
      <c r="W946" s="2">
        <v>46</v>
      </c>
      <c r="X946" s="2">
        <v>0</v>
      </c>
      <c r="Y946" s="2">
        <v>1</v>
      </c>
      <c r="Z946" s="2">
        <v>0</v>
      </c>
      <c r="AA946" s="2">
        <v>1</v>
      </c>
      <c r="AB946" s="2">
        <v>2</v>
      </c>
      <c r="AC946" s="2">
        <v>1</v>
      </c>
      <c r="AD946" s="2">
        <v>0</v>
      </c>
      <c r="AE946" s="2">
        <v>0</v>
      </c>
      <c r="AF946" s="2">
        <v>1</v>
      </c>
      <c r="AG946" s="20">
        <f t="shared" si="14"/>
        <v>100</v>
      </c>
    </row>
    <row r="947" spans="1:33" x14ac:dyDescent="0.25">
      <c r="A947">
        <v>946</v>
      </c>
      <c r="B947" s="2">
        <v>1</v>
      </c>
      <c r="C947" s="2">
        <v>48</v>
      </c>
      <c r="D947" s="2">
        <v>0</v>
      </c>
      <c r="E947" s="2">
        <v>1</v>
      </c>
      <c r="F947" s="2">
        <v>0</v>
      </c>
      <c r="G947" s="2">
        <v>0</v>
      </c>
      <c r="H947" s="2">
        <v>0</v>
      </c>
      <c r="I947" s="2">
        <v>0</v>
      </c>
      <c r="J947" s="2">
        <v>0</v>
      </c>
      <c r="K947" s="2">
        <v>8358</v>
      </c>
      <c r="L947" s="2">
        <v>2</v>
      </c>
      <c r="M947" s="2">
        <v>1</v>
      </c>
      <c r="N947" s="2">
        <v>1</v>
      </c>
      <c r="O947" s="2">
        <v>0</v>
      </c>
      <c r="P947" s="2">
        <v>0</v>
      </c>
      <c r="Q947" s="2">
        <v>0</v>
      </c>
      <c r="R947" s="2">
        <v>0</v>
      </c>
      <c r="S947" s="2">
        <v>0</v>
      </c>
      <c r="T947" s="2">
        <v>1</v>
      </c>
      <c r="U947" s="2">
        <v>0</v>
      </c>
      <c r="V947" s="2">
        <v>0</v>
      </c>
      <c r="W947" s="2">
        <v>30</v>
      </c>
      <c r="X947" s="2">
        <v>0</v>
      </c>
      <c r="Y947" s="2">
        <v>0</v>
      </c>
      <c r="Z947" s="2">
        <v>1</v>
      </c>
      <c r="AA947" s="2">
        <v>2</v>
      </c>
      <c r="AB947" s="2">
        <v>2</v>
      </c>
      <c r="AC947" s="2">
        <v>1</v>
      </c>
      <c r="AD947" s="2">
        <v>0</v>
      </c>
      <c r="AE947" s="2">
        <v>0</v>
      </c>
      <c r="AF947" s="2">
        <v>1</v>
      </c>
      <c r="AG947" s="20">
        <f t="shared" si="14"/>
        <v>100</v>
      </c>
    </row>
    <row r="948" spans="1:33" x14ac:dyDescent="0.25">
      <c r="A948">
        <v>947</v>
      </c>
      <c r="B948" s="2">
        <v>0</v>
      </c>
      <c r="C948" s="2">
        <v>24</v>
      </c>
      <c r="D948" s="2">
        <v>1</v>
      </c>
      <c r="E948" s="2">
        <v>0</v>
      </c>
      <c r="F948" s="2">
        <v>0</v>
      </c>
      <c r="G948" s="2">
        <v>1</v>
      </c>
      <c r="H948" s="2">
        <v>0</v>
      </c>
      <c r="I948" s="2">
        <v>0</v>
      </c>
      <c r="J948" s="2">
        <v>0</v>
      </c>
      <c r="K948" s="2">
        <v>3349</v>
      </c>
      <c r="L948" s="2">
        <v>2</v>
      </c>
      <c r="M948" s="2">
        <v>1</v>
      </c>
      <c r="N948" s="2">
        <v>4</v>
      </c>
      <c r="O948" s="2">
        <v>0</v>
      </c>
      <c r="P948" s="2">
        <v>1</v>
      </c>
      <c r="Q948" s="2">
        <v>0</v>
      </c>
      <c r="R948" s="2">
        <v>0</v>
      </c>
      <c r="S948" s="2">
        <v>0</v>
      </c>
      <c r="T948" s="2">
        <v>4</v>
      </c>
      <c r="U948" s="2">
        <v>0</v>
      </c>
      <c r="V948" s="2">
        <v>1</v>
      </c>
      <c r="W948" s="2">
        <v>30</v>
      </c>
      <c r="X948" s="2">
        <v>0</v>
      </c>
      <c r="Y948" s="2">
        <v>0</v>
      </c>
      <c r="Z948" s="2">
        <v>0</v>
      </c>
      <c r="AA948" s="2">
        <v>1</v>
      </c>
      <c r="AB948" s="2">
        <v>2</v>
      </c>
      <c r="AC948" s="2">
        <v>2</v>
      </c>
      <c r="AD948" s="2">
        <v>1</v>
      </c>
      <c r="AE948" s="2">
        <v>0</v>
      </c>
      <c r="AF948" s="2">
        <v>0</v>
      </c>
      <c r="AG948" s="20">
        <f t="shared" si="14"/>
        <v>-500</v>
      </c>
    </row>
    <row r="949" spans="1:33" x14ac:dyDescent="0.25">
      <c r="A949">
        <v>948</v>
      </c>
      <c r="B949" s="2">
        <v>3</v>
      </c>
      <c r="C949" s="2">
        <v>12</v>
      </c>
      <c r="D949" s="2">
        <v>2</v>
      </c>
      <c r="E949" s="2">
        <v>1</v>
      </c>
      <c r="F949" s="2">
        <v>0</v>
      </c>
      <c r="G949" s="2">
        <v>0</v>
      </c>
      <c r="H949" s="2">
        <v>0</v>
      </c>
      <c r="I949" s="2">
        <v>0</v>
      </c>
      <c r="J949" s="2">
        <v>0</v>
      </c>
      <c r="K949" s="2">
        <v>2859</v>
      </c>
      <c r="L949" s="2">
        <v>4</v>
      </c>
      <c r="M949" s="2">
        <v>0</v>
      </c>
      <c r="N949" s="2">
        <v>4</v>
      </c>
      <c r="O949" s="2">
        <v>0</v>
      </c>
      <c r="P949" s="2">
        <v>1</v>
      </c>
      <c r="Q949" s="2">
        <v>0</v>
      </c>
      <c r="R949" s="2">
        <v>0</v>
      </c>
      <c r="S949" s="2">
        <v>0</v>
      </c>
      <c r="T949" s="2">
        <v>4</v>
      </c>
      <c r="U949" s="2">
        <v>0</v>
      </c>
      <c r="V949" s="2">
        <v>1</v>
      </c>
      <c r="W949" s="2">
        <v>38</v>
      </c>
      <c r="X949" s="2">
        <v>0</v>
      </c>
      <c r="Y949" s="2">
        <v>0</v>
      </c>
      <c r="Z949" s="2">
        <v>1</v>
      </c>
      <c r="AA949" s="2">
        <v>1</v>
      </c>
      <c r="AB949" s="2">
        <v>3</v>
      </c>
      <c r="AC949" s="2">
        <v>1</v>
      </c>
      <c r="AD949" s="2">
        <v>1</v>
      </c>
      <c r="AE949" s="2">
        <v>0</v>
      </c>
      <c r="AF949" s="2">
        <v>1</v>
      </c>
      <c r="AG949" s="20">
        <f t="shared" si="14"/>
        <v>100</v>
      </c>
    </row>
    <row r="950" spans="1:33" x14ac:dyDescent="0.25">
      <c r="A950">
        <v>949</v>
      </c>
      <c r="B950" s="2">
        <v>3</v>
      </c>
      <c r="C950" s="2">
        <v>18</v>
      </c>
      <c r="D950" s="2">
        <v>2</v>
      </c>
      <c r="E950" s="2">
        <v>0</v>
      </c>
      <c r="F950" s="2">
        <v>0</v>
      </c>
      <c r="G950" s="2">
        <v>1</v>
      </c>
      <c r="H950" s="2">
        <v>0</v>
      </c>
      <c r="I950" s="2">
        <v>0</v>
      </c>
      <c r="J950" s="2">
        <v>0</v>
      </c>
      <c r="K950" s="2">
        <v>1533</v>
      </c>
      <c r="L950" s="2">
        <v>0</v>
      </c>
      <c r="M950" s="2">
        <v>1</v>
      </c>
      <c r="N950" s="2">
        <v>4</v>
      </c>
      <c r="O950" s="2">
        <v>0</v>
      </c>
      <c r="P950" s="2">
        <v>0</v>
      </c>
      <c r="Q950" s="2">
        <v>1</v>
      </c>
      <c r="R950" s="2">
        <v>1</v>
      </c>
      <c r="S950" s="2">
        <v>0</v>
      </c>
      <c r="T950" s="2">
        <v>1</v>
      </c>
      <c r="U950" s="2">
        <v>0</v>
      </c>
      <c r="V950" s="2">
        <v>0</v>
      </c>
      <c r="W950" s="2">
        <v>43</v>
      </c>
      <c r="X950" s="2">
        <v>0</v>
      </c>
      <c r="Y950" s="2">
        <v>0</v>
      </c>
      <c r="Z950" s="2">
        <v>1</v>
      </c>
      <c r="AA950" s="2">
        <v>1</v>
      </c>
      <c r="AB950" s="2">
        <v>1</v>
      </c>
      <c r="AC950" s="2">
        <v>2</v>
      </c>
      <c r="AD950" s="2">
        <v>0</v>
      </c>
      <c r="AE950" s="2">
        <v>0</v>
      </c>
      <c r="AF950" s="2">
        <v>0</v>
      </c>
      <c r="AG950" s="20">
        <f t="shared" si="14"/>
        <v>-500</v>
      </c>
    </row>
    <row r="951" spans="1:33" x14ac:dyDescent="0.25">
      <c r="A951">
        <v>950</v>
      </c>
      <c r="B951" s="2">
        <v>3</v>
      </c>
      <c r="C951" s="2">
        <v>24</v>
      </c>
      <c r="D951" s="2">
        <v>2</v>
      </c>
      <c r="E951" s="2">
        <v>0</v>
      </c>
      <c r="F951" s="2">
        <v>0</v>
      </c>
      <c r="G951" s="2">
        <v>0</v>
      </c>
      <c r="H951" s="2">
        <v>1</v>
      </c>
      <c r="I951" s="2">
        <v>0</v>
      </c>
      <c r="J951" s="2">
        <v>0</v>
      </c>
      <c r="K951" s="2">
        <v>3621</v>
      </c>
      <c r="L951" s="2">
        <v>1</v>
      </c>
      <c r="M951" s="2">
        <v>4</v>
      </c>
      <c r="N951" s="2">
        <v>2</v>
      </c>
      <c r="O951" s="2">
        <v>0</v>
      </c>
      <c r="P951" s="2">
        <v>1</v>
      </c>
      <c r="Q951" s="2">
        <v>0</v>
      </c>
      <c r="R951" s="2">
        <v>0</v>
      </c>
      <c r="S951" s="2">
        <v>0</v>
      </c>
      <c r="T951" s="2">
        <v>4</v>
      </c>
      <c r="U951" s="2">
        <v>0</v>
      </c>
      <c r="V951" s="2">
        <v>0</v>
      </c>
      <c r="W951" s="2">
        <v>31</v>
      </c>
      <c r="X951" s="2">
        <v>0</v>
      </c>
      <c r="Y951" s="2">
        <v>0</v>
      </c>
      <c r="Z951" s="2">
        <v>1</v>
      </c>
      <c r="AA951" s="2">
        <v>2</v>
      </c>
      <c r="AB951" s="2">
        <v>2</v>
      </c>
      <c r="AC951" s="2">
        <v>1</v>
      </c>
      <c r="AD951" s="2">
        <v>0</v>
      </c>
      <c r="AE951" s="2">
        <v>0</v>
      </c>
      <c r="AF951" s="2">
        <v>0</v>
      </c>
      <c r="AG951" s="20">
        <f t="shared" si="14"/>
        <v>-500</v>
      </c>
    </row>
    <row r="952" spans="1:33" x14ac:dyDescent="0.25">
      <c r="A952">
        <v>951</v>
      </c>
      <c r="B952" s="2">
        <v>1</v>
      </c>
      <c r="C952" s="2">
        <v>18</v>
      </c>
      <c r="D952" s="2">
        <v>4</v>
      </c>
      <c r="E952" s="2">
        <v>0</v>
      </c>
      <c r="F952" s="2">
        <v>0</v>
      </c>
      <c r="G952" s="2">
        <v>0</v>
      </c>
      <c r="H952" s="2">
        <v>0</v>
      </c>
      <c r="I952" s="2">
        <v>0</v>
      </c>
      <c r="J952" s="2">
        <v>1</v>
      </c>
      <c r="K952" s="2">
        <v>3590</v>
      </c>
      <c r="L952" s="2">
        <v>0</v>
      </c>
      <c r="M952" s="2">
        <v>0</v>
      </c>
      <c r="N952" s="2">
        <v>3</v>
      </c>
      <c r="O952" s="2">
        <v>0</v>
      </c>
      <c r="P952" s="2">
        <v>0</v>
      </c>
      <c r="Q952" s="2">
        <v>1</v>
      </c>
      <c r="R952" s="2">
        <v>0</v>
      </c>
      <c r="S952" s="2">
        <v>0</v>
      </c>
      <c r="T952" s="2">
        <v>3</v>
      </c>
      <c r="U952" s="2">
        <v>0</v>
      </c>
      <c r="V952" s="2">
        <v>0</v>
      </c>
      <c r="W952" s="2">
        <v>40</v>
      </c>
      <c r="X952" s="2">
        <v>0</v>
      </c>
      <c r="Y952" s="2">
        <v>0</v>
      </c>
      <c r="Z952" s="2">
        <v>1</v>
      </c>
      <c r="AA952" s="2">
        <v>3</v>
      </c>
      <c r="AB952" s="2">
        <v>0</v>
      </c>
      <c r="AC952" s="2">
        <v>2</v>
      </c>
      <c r="AD952" s="2">
        <v>1</v>
      </c>
      <c r="AE952" s="2">
        <v>0</v>
      </c>
      <c r="AF952" s="2">
        <v>1</v>
      </c>
      <c r="AG952" s="20">
        <f t="shared" si="14"/>
        <v>100</v>
      </c>
    </row>
    <row r="953" spans="1:33" x14ac:dyDescent="0.25">
      <c r="A953">
        <v>952</v>
      </c>
      <c r="B953" s="2">
        <v>0</v>
      </c>
      <c r="C953" s="2">
        <v>36</v>
      </c>
      <c r="D953" s="2">
        <v>3</v>
      </c>
      <c r="E953" s="2">
        <v>0</v>
      </c>
      <c r="F953" s="2">
        <v>0</v>
      </c>
      <c r="G953" s="2">
        <v>0</v>
      </c>
      <c r="H953" s="2">
        <v>0</v>
      </c>
      <c r="I953" s="2">
        <v>0</v>
      </c>
      <c r="J953" s="2">
        <v>1</v>
      </c>
      <c r="K953" s="2">
        <v>2145</v>
      </c>
      <c r="L953" s="2">
        <v>0</v>
      </c>
      <c r="M953" s="2">
        <v>3</v>
      </c>
      <c r="N953" s="2">
        <v>2</v>
      </c>
      <c r="O953" s="2">
        <v>0</v>
      </c>
      <c r="P953" s="2">
        <v>1</v>
      </c>
      <c r="Q953" s="2">
        <v>0</v>
      </c>
      <c r="R953" s="2">
        <v>0</v>
      </c>
      <c r="S953" s="2">
        <v>0</v>
      </c>
      <c r="T953" s="2">
        <v>1</v>
      </c>
      <c r="U953" s="2">
        <v>0</v>
      </c>
      <c r="V953" s="2">
        <v>0</v>
      </c>
      <c r="W953" s="2">
        <v>24</v>
      </c>
      <c r="X953" s="2">
        <v>0</v>
      </c>
      <c r="Y953" s="2">
        <v>0</v>
      </c>
      <c r="Z953" s="2">
        <v>1</v>
      </c>
      <c r="AA953" s="2">
        <v>2</v>
      </c>
      <c r="AB953" s="2">
        <v>2</v>
      </c>
      <c r="AC953" s="2">
        <v>1</v>
      </c>
      <c r="AD953" s="2">
        <v>1</v>
      </c>
      <c r="AE953" s="2">
        <v>0</v>
      </c>
      <c r="AF953" s="2">
        <v>0</v>
      </c>
      <c r="AG953" s="20">
        <f t="shared" si="14"/>
        <v>-500</v>
      </c>
    </row>
    <row r="954" spans="1:33" x14ac:dyDescent="0.25">
      <c r="A954">
        <v>953</v>
      </c>
      <c r="B954" s="2">
        <v>1</v>
      </c>
      <c r="C954" s="2">
        <v>24</v>
      </c>
      <c r="D954" s="2">
        <v>2</v>
      </c>
      <c r="E954" s="2">
        <v>0</v>
      </c>
      <c r="F954" s="2">
        <v>1</v>
      </c>
      <c r="G954" s="2">
        <v>0</v>
      </c>
      <c r="H954" s="2">
        <v>0</v>
      </c>
      <c r="I954" s="2">
        <v>0</v>
      </c>
      <c r="J954" s="2">
        <v>0</v>
      </c>
      <c r="K954" s="2">
        <v>4113</v>
      </c>
      <c r="L954" s="2">
        <v>2</v>
      </c>
      <c r="M954" s="2">
        <v>1</v>
      </c>
      <c r="N954" s="2">
        <v>3</v>
      </c>
      <c r="O954" s="2">
        <v>0</v>
      </c>
      <c r="P954" s="2">
        <v>0</v>
      </c>
      <c r="Q954" s="2">
        <v>0</v>
      </c>
      <c r="R954" s="2">
        <v>0</v>
      </c>
      <c r="S954" s="2">
        <v>0</v>
      </c>
      <c r="T954" s="2">
        <v>4</v>
      </c>
      <c r="U954" s="2">
        <v>0</v>
      </c>
      <c r="V954" s="2">
        <v>0</v>
      </c>
      <c r="W954" s="2">
        <v>28</v>
      </c>
      <c r="X954" s="2">
        <v>0</v>
      </c>
      <c r="Y954" s="2">
        <v>1</v>
      </c>
      <c r="Z954" s="2">
        <v>0</v>
      </c>
      <c r="AA954" s="2">
        <v>1</v>
      </c>
      <c r="AB954" s="2">
        <v>2</v>
      </c>
      <c r="AC954" s="2">
        <v>1</v>
      </c>
      <c r="AD954" s="2">
        <v>0</v>
      </c>
      <c r="AE954" s="2">
        <v>0</v>
      </c>
      <c r="AF954" s="2">
        <v>0</v>
      </c>
      <c r="AG954" s="20">
        <f t="shared" si="14"/>
        <v>-500</v>
      </c>
    </row>
    <row r="955" spans="1:33" x14ac:dyDescent="0.25">
      <c r="A955">
        <v>954</v>
      </c>
      <c r="B955" s="2">
        <v>3</v>
      </c>
      <c r="C955" s="2">
        <v>36</v>
      </c>
      <c r="D955" s="2">
        <v>2</v>
      </c>
      <c r="E955" s="2">
        <v>0</v>
      </c>
      <c r="F955" s="2">
        <v>0</v>
      </c>
      <c r="G955" s="2">
        <v>1</v>
      </c>
      <c r="H955" s="2">
        <v>0</v>
      </c>
      <c r="I955" s="2">
        <v>0</v>
      </c>
      <c r="J955" s="2">
        <v>0</v>
      </c>
      <c r="K955" s="2">
        <v>10974</v>
      </c>
      <c r="L955" s="2">
        <v>0</v>
      </c>
      <c r="M955" s="2">
        <v>0</v>
      </c>
      <c r="N955" s="2">
        <v>4</v>
      </c>
      <c r="O955" s="2">
        <v>0</v>
      </c>
      <c r="P955" s="2">
        <v>0</v>
      </c>
      <c r="Q955" s="2">
        <v>0</v>
      </c>
      <c r="R955" s="2">
        <v>0</v>
      </c>
      <c r="S955" s="2">
        <v>0</v>
      </c>
      <c r="T955" s="2">
        <v>2</v>
      </c>
      <c r="U955" s="2">
        <v>0</v>
      </c>
      <c r="V955" s="2">
        <v>0</v>
      </c>
      <c r="W955" s="2">
        <v>26</v>
      </c>
      <c r="X955" s="2">
        <v>0</v>
      </c>
      <c r="Y955" s="2">
        <v>0</v>
      </c>
      <c r="Z955" s="2">
        <v>1</v>
      </c>
      <c r="AA955" s="2">
        <v>2</v>
      </c>
      <c r="AB955" s="2">
        <v>3</v>
      </c>
      <c r="AC955" s="2">
        <v>1</v>
      </c>
      <c r="AD955" s="2">
        <v>1</v>
      </c>
      <c r="AE955" s="2">
        <v>0</v>
      </c>
      <c r="AF955" s="2">
        <v>0</v>
      </c>
      <c r="AG955" s="20">
        <f t="shared" si="14"/>
        <v>-500</v>
      </c>
    </row>
    <row r="956" spans="1:33" x14ac:dyDescent="0.25">
      <c r="A956">
        <v>955</v>
      </c>
      <c r="B956" s="2">
        <v>0</v>
      </c>
      <c r="C956" s="2">
        <v>12</v>
      </c>
      <c r="D956" s="2">
        <v>2</v>
      </c>
      <c r="E956" s="2">
        <v>1</v>
      </c>
      <c r="F956" s="2">
        <v>0</v>
      </c>
      <c r="G956" s="2">
        <v>0</v>
      </c>
      <c r="H956" s="2">
        <v>0</v>
      </c>
      <c r="I956" s="2">
        <v>0</v>
      </c>
      <c r="J956" s="2">
        <v>0</v>
      </c>
      <c r="K956" s="2">
        <v>1893</v>
      </c>
      <c r="L956" s="2">
        <v>0</v>
      </c>
      <c r="M956" s="2">
        <v>2</v>
      </c>
      <c r="N956" s="2">
        <v>4</v>
      </c>
      <c r="O956" s="2">
        <v>0</v>
      </c>
      <c r="P956" s="2">
        <v>0</v>
      </c>
      <c r="Q956" s="2">
        <v>0</v>
      </c>
      <c r="R956" s="2">
        <v>0</v>
      </c>
      <c r="S956" s="2">
        <v>1</v>
      </c>
      <c r="T956" s="2">
        <v>4</v>
      </c>
      <c r="U956" s="2">
        <v>0</v>
      </c>
      <c r="V956" s="2">
        <v>0</v>
      </c>
      <c r="W956" s="2">
        <v>29</v>
      </c>
      <c r="X956" s="2">
        <v>0</v>
      </c>
      <c r="Y956" s="2">
        <v>0</v>
      </c>
      <c r="Z956" s="2">
        <v>1</v>
      </c>
      <c r="AA956" s="2">
        <v>1</v>
      </c>
      <c r="AB956" s="2">
        <v>2</v>
      </c>
      <c r="AC956" s="2">
        <v>1</v>
      </c>
      <c r="AD956" s="2">
        <v>1</v>
      </c>
      <c r="AE956" s="2">
        <v>0</v>
      </c>
      <c r="AF956" s="2">
        <v>1</v>
      </c>
      <c r="AG956" s="20">
        <f t="shared" si="14"/>
        <v>100</v>
      </c>
    </row>
    <row r="957" spans="1:33" x14ac:dyDescent="0.25">
      <c r="A957">
        <v>956</v>
      </c>
      <c r="B957" s="2">
        <v>0</v>
      </c>
      <c r="C957" s="2">
        <v>24</v>
      </c>
      <c r="D957" s="2">
        <v>4</v>
      </c>
      <c r="E957" s="2">
        <v>0</v>
      </c>
      <c r="F957" s="2">
        <v>0</v>
      </c>
      <c r="G957" s="2">
        <v>0</v>
      </c>
      <c r="H957" s="2">
        <v>1</v>
      </c>
      <c r="I957" s="2">
        <v>0</v>
      </c>
      <c r="J957" s="2">
        <v>0</v>
      </c>
      <c r="K957" s="2">
        <v>1231</v>
      </c>
      <c r="L957" s="2">
        <v>3</v>
      </c>
      <c r="M957" s="2">
        <v>4</v>
      </c>
      <c r="N957" s="2">
        <v>4</v>
      </c>
      <c r="O957" s="2">
        <v>0</v>
      </c>
      <c r="P957" s="2">
        <v>0</v>
      </c>
      <c r="Q957" s="2">
        <v>0</v>
      </c>
      <c r="R957" s="2">
        <v>0</v>
      </c>
      <c r="S957" s="2">
        <v>0</v>
      </c>
      <c r="T957" s="2">
        <v>4</v>
      </c>
      <c r="U957" s="2">
        <v>0</v>
      </c>
      <c r="V957" s="2">
        <v>0</v>
      </c>
      <c r="W957" s="2">
        <v>57</v>
      </c>
      <c r="X957" s="2">
        <v>0</v>
      </c>
      <c r="Y957" s="2">
        <v>1</v>
      </c>
      <c r="Z957" s="2">
        <v>0</v>
      </c>
      <c r="AA957" s="2">
        <v>2</v>
      </c>
      <c r="AB957" s="2">
        <v>3</v>
      </c>
      <c r="AC957" s="2">
        <v>1</v>
      </c>
      <c r="AD957" s="2">
        <v>1</v>
      </c>
      <c r="AE957" s="2">
        <v>0</v>
      </c>
      <c r="AF957" s="2">
        <v>1</v>
      </c>
      <c r="AG957" s="20">
        <f t="shared" si="14"/>
        <v>100</v>
      </c>
    </row>
    <row r="958" spans="1:33" x14ac:dyDescent="0.25">
      <c r="A958">
        <v>957</v>
      </c>
      <c r="B958" s="2">
        <v>2</v>
      </c>
      <c r="C958" s="2">
        <v>30</v>
      </c>
      <c r="D958" s="2">
        <v>4</v>
      </c>
      <c r="E958" s="2">
        <v>0</v>
      </c>
      <c r="F958" s="2">
        <v>0</v>
      </c>
      <c r="G958" s="2">
        <v>0</v>
      </c>
      <c r="H958" s="2">
        <v>1</v>
      </c>
      <c r="I958" s="2">
        <v>0</v>
      </c>
      <c r="J958" s="2">
        <v>0</v>
      </c>
      <c r="K958" s="2">
        <v>3656</v>
      </c>
      <c r="L958" s="2">
        <v>4</v>
      </c>
      <c r="M958" s="2">
        <v>4</v>
      </c>
      <c r="N958" s="2">
        <v>4</v>
      </c>
      <c r="O958" s="2">
        <v>0</v>
      </c>
      <c r="P958" s="2">
        <v>1</v>
      </c>
      <c r="Q958" s="2">
        <v>0</v>
      </c>
      <c r="R958" s="2">
        <v>0</v>
      </c>
      <c r="S958" s="2">
        <v>0</v>
      </c>
      <c r="T958" s="2">
        <v>4</v>
      </c>
      <c r="U958" s="2">
        <v>0</v>
      </c>
      <c r="V958" s="2">
        <v>0</v>
      </c>
      <c r="W958" s="2">
        <v>49</v>
      </c>
      <c r="X958" s="2">
        <v>1</v>
      </c>
      <c r="Y958" s="2">
        <v>0</v>
      </c>
      <c r="Z958" s="2">
        <v>1</v>
      </c>
      <c r="AA958" s="2">
        <v>2</v>
      </c>
      <c r="AB958" s="2">
        <v>1</v>
      </c>
      <c r="AC958" s="2">
        <v>1</v>
      </c>
      <c r="AD958" s="2">
        <v>0</v>
      </c>
      <c r="AE958" s="2">
        <v>0</v>
      </c>
      <c r="AF958" s="2">
        <v>1</v>
      </c>
      <c r="AG958" s="20">
        <f t="shared" si="14"/>
        <v>100</v>
      </c>
    </row>
    <row r="959" spans="1:33" x14ac:dyDescent="0.25">
      <c r="A959">
        <v>958</v>
      </c>
      <c r="B959" s="2">
        <v>1</v>
      </c>
      <c r="C959" s="2">
        <v>9</v>
      </c>
      <c r="D959" s="2">
        <v>4</v>
      </c>
      <c r="E959" s="2">
        <v>0</v>
      </c>
      <c r="F959" s="2">
        <v>0</v>
      </c>
      <c r="G959" s="2">
        <v>0</v>
      </c>
      <c r="H959" s="2">
        <v>1</v>
      </c>
      <c r="I959" s="2">
        <v>0</v>
      </c>
      <c r="J959" s="2">
        <v>0</v>
      </c>
      <c r="K959" s="2">
        <v>1154</v>
      </c>
      <c r="L959" s="2">
        <v>0</v>
      </c>
      <c r="M959" s="2">
        <v>4</v>
      </c>
      <c r="N959" s="2">
        <v>2</v>
      </c>
      <c r="O959" s="2">
        <v>0</v>
      </c>
      <c r="P959" s="2">
        <v>1</v>
      </c>
      <c r="Q959" s="2">
        <v>0</v>
      </c>
      <c r="R959" s="2">
        <v>0</v>
      </c>
      <c r="S959" s="2">
        <v>0</v>
      </c>
      <c r="T959" s="2">
        <v>4</v>
      </c>
      <c r="U959" s="2">
        <v>1</v>
      </c>
      <c r="V959" s="2">
        <v>0</v>
      </c>
      <c r="W959" s="2">
        <v>37</v>
      </c>
      <c r="X959" s="2">
        <v>0</v>
      </c>
      <c r="Y959" s="2">
        <v>0</v>
      </c>
      <c r="Z959" s="2">
        <v>1</v>
      </c>
      <c r="AA959" s="2">
        <v>3</v>
      </c>
      <c r="AB959" s="2">
        <v>1</v>
      </c>
      <c r="AC959" s="2">
        <v>1</v>
      </c>
      <c r="AD959" s="2">
        <v>0</v>
      </c>
      <c r="AE959" s="2">
        <v>0</v>
      </c>
      <c r="AF959" s="2">
        <v>1</v>
      </c>
      <c r="AG959" s="20">
        <f t="shared" si="14"/>
        <v>100</v>
      </c>
    </row>
    <row r="960" spans="1:33" x14ac:dyDescent="0.25">
      <c r="A960">
        <v>959</v>
      </c>
      <c r="B960" s="2">
        <v>0</v>
      </c>
      <c r="C960" s="2">
        <v>28</v>
      </c>
      <c r="D960" s="2">
        <v>2</v>
      </c>
      <c r="E960" s="2">
        <v>1</v>
      </c>
      <c r="F960" s="2">
        <v>0</v>
      </c>
      <c r="G960" s="2">
        <v>0</v>
      </c>
      <c r="H960" s="2">
        <v>0</v>
      </c>
      <c r="I960" s="2">
        <v>0</v>
      </c>
      <c r="J960" s="2">
        <v>0</v>
      </c>
      <c r="K960" s="2">
        <v>4006</v>
      </c>
      <c r="L960" s="2">
        <v>0</v>
      </c>
      <c r="M960" s="2">
        <v>2</v>
      </c>
      <c r="N960" s="2">
        <v>3</v>
      </c>
      <c r="O960" s="2">
        <v>0</v>
      </c>
      <c r="P960" s="2">
        <v>1</v>
      </c>
      <c r="Q960" s="2">
        <v>0</v>
      </c>
      <c r="R960" s="2">
        <v>0</v>
      </c>
      <c r="S960" s="2">
        <v>0</v>
      </c>
      <c r="T960" s="2">
        <v>2</v>
      </c>
      <c r="U960" s="2">
        <v>0</v>
      </c>
      <c r="V960" s="2">
        <v>0</v>
      </c>
      <c r="W960" s="2">
        <v>45</v>
      </c>
      <c r="X960" s="2">
        <v>0</v>
      </c>
      <c r="Y960" s="2">
        <v>0</v>
      </c>
      <c r="Z960" s="2">
        <v>1</v>
      </c>
      <c r="AA960" s="2">
        <v>1</v>
      </c>
      <c r="AB960" s="2">
        <v>1</v>
      </c>
      <c r="AC960" s="2">
        <v>1</v>
      </c>
      <c r="AD960" s="2">
        <v>0</v>
      </c>
      <c r="AE960" s="2">
        <v>0</v>
      </c>
      <c r="AF960" s="2">
        <v>0</v>
      </c>
      <c r="AG960" s="20">
        <f t="shared" si="14"/>
        <v>-500</v>
      </c>
    </row>
    <row r="961" spans="1:33" x14ac:dyDescent="0.25">
      <c r="A961">
        <v>960</v>
      </c>
      <c r="B961" s="2">
        <v>1</v>
      </c>
      <c r="C961" s="2">
        <v>24</v>
      </c>
      <c r="D961" s="2">
        <v>2</v>
      </c>
      <c r="E961" s="2">
        <v>0</v>
      </c>
      <c r="F961" s="2">
        <v>0</v>
      </c>
      <c r="G961" s="2">
        <v>1</v>
      </c>
      <c r="H961" s="2">
        <v>0</v>
      </c>
      <c r="I961" s="2">
        <v>0</v>
      </c>
      <c r="J961" s="2">
        <v>0</v>
      </c>
      <c r="K961" s="2">
        <v>3069</v>
      </c>
      <c r="L961" s="2">
        <v>1</v>
      </c>
      <c r="M961" s="2">
        <v>4</v>
      </c>
      <c r="N961" s="2">
        <v>4</v>
      </c>
      <c r="O961" s="2">
        <v>0</v>
      </c>
      <c r="P961" s="2">
        <v>1</v>
      </c>
      <c r="Q961" s="2">
        <v>0</v>
      </c>
      <c r="R961" s="2">
        <v>0</v>
      </c>
      <c r="S961" s="2">
        <v>0</v>
      </c>
      <c r="T961" s="2">
        <v>4</v>
      </c>
      <c r="U961" s="2">
        <v>0</v>
      </c>
      <c r="V961" s="2">
        <v>1</v>
      </c>
      <c r="W961" s="2">
        <v>30</v>
      </c>
      <c r="X961" s="2">
        <v>0</v>
      </c>
      <c r="Y961" s="2">
        <v>0</v>
      </c>
      <c r="Z961" s="2">
        <v>0</v>
      </c>
      <c r="AA961" s="2">
        <v>1</v>
      </c>
      <c r="AB961" s="2">
        <v>2</v>
      </c>
      <c r="AC961" s="2">
        <v>1</v>
      </c>
      <c r="AD961" s="2">
        <v>0</v>
      </c>
      <c r="AE961" s="2">
        <v>0</v>
      </c>
      <c r="AF961" s="2">
        <v>1</v>
      </c>
      <c r="AG961" s="20">
        <f t="shared" si="14"/>
        <v>100</v>
      </c>
    </row>
    <row r="962" spans="1:33" x14ac:dyDescent="0.25">
      <c r="A962">
        <v>961</v>
      </c>
      <c r="B962" s="2">
        <v>3</v>
      </c>
      <c r="C962" s="2">
        <v>6</v>
      </c>
      <c r="D962" s="2">
        <v>4</v>
      </c>
      <c r="E962" s="2">
        <v>0</v>
      </c>
      <c r="F962" s="2">
        <v>0</v>
      </c>
      <c r="G962" s="2">
        <v>0</v>
      </c>
      <c r="H962" s="2">
        <v>1</v>
      </c>
      <c r="I962" s="2">
        <v>0</v>
      </c>
      <c r="J962" s="2">
        <v>0</v>
      </c>
      <c r="K962" s="2">
        <v>1740</v>
      </c>
      <c r="L962" s="2">
        <v>0</v>
      </c>
      <c r="M962" s="2">
        <v>4</v>
      </c>
      <c r="N962" s="2">
        <v>2</v>
      </c>
      <c r="O962" s="2">
        <v>0</v>
      </c>
      <c r="P962" s="2">
        <v>0</v>
      </c>
      <c r="Q962" s="2">
        <v>1</v>
      </c>
      <c r="R962" s="2">
        <v>0</v>
      </c>
      <c r="S962" s="2">
        <v>0</v>
      </c>
      <c r="T962" s="2">
        <v>2</v>
      </c>
      <c r="U962" s="2">
        <v>1</v>
      </c>
      <c r="V962" s="2">
        <v>0</v>
      </c>
      <c r="W962" s="2">
        <v>30</v>
      </c>
      <c r="X962" s="2">
        <v>0</v>
      </c>
      <c r="Y962" s="2">
        <v>1</v>
      </c>
      <c r="Z962" s="2">
        <v>0</v>
      </c>
      <c r="AA962" s="2">
        <v>2</v>
      </c>
      <c r="AB962" s="2">
        <v>2</v>
      </c>
      <c r="AC962" s="2">
        <v>1</v>
      </c>
      <c r="AD962" s="2">
        <v>0</v>
      </c>
      <c r="AE962" s="2">
        <v>0</v>
      </c>
      <c r="AF962" s="2">
        <v>1</v>
      </c>
      <c r="AG962" s="20">
        <f t="shared" si="14"/>
        <v>100</v>
      </c>
    </row>
    <row r="963" spans="1:33" x14ac:dyDescent="0.25">
      <c r="A963">
        <v>962</v>
      </c>
      <c r="B963" s="2">
        <v>1</v>
      </c>
      <c r="C963" s="2">
        <v>21</v>
      </c>
      <c r="D963" s="2">
        <v>3</v>
      </c>
      <c r="E963" s="2">
        <v>1</v>
      </c>
      <c r="F963" s="2">
        <v>0</v>
      </c>
      <c r="G963" s="2">
        <v>0</v>
      </c>
      <c r="H963" s="2">
        <v>0</v>
      </c>
      <c r="I963" s="2">
        <v>0</v>
      </c>
      <c r="J963" s="2">
        <v>0</v>
      </c>
      <c r="K963" s="2">
        <v>2353</v>
      </c>
      <c r="L963" s="2">
        <v>0</v>
      </c>
      <c r="M963" s="2">
        <v>2</v>
      </c>
      <c r="N963" s="2">
        <v>1</v>
      </c>
      <c r="O963" s="2">
        <v>1</v>
      </c>
      <c r="P963" s="2">
        <v>0</v>
      </c>
      <c r="Q963" s="2">
        <v>0</v>
      </c>
      <c r="R963" s="2">
        <v>0</v>
      </c>
      <c r="S963" s="2">
        <v>0</v>
      </c>
      <c r="T963" s="2">
        <v>4</v>
      </c>
      <c r="U963" s="2">
        <v>0</v>
      </c>
      <c r="V963" s="2">
        <v>0</v>
      </c>
      <c r="W963" s="2">
        <v>47</v>
      </c>
      <c r="X963" s="2">
        <v>0</v>
      </c>
      <c r="Y963" s="2">
        <v>0</v>
      </c>
      <c r="Z963" s="2">
        <v>1</v>
      </c>
      <c r="AA963" s="2">
        <v>2</v>
      </c>
      <c r="AB963" s="2">
        <v>2</v>
      </c>
      <c r="AC963" s="2">
        <v>1</v>
      </c>
      <c r="AD963" s="2">
        <v>0</v>
      </c>
      <c r="AE963" s="2">
        <v>0</v>
      </c>
      <c r="AF963" s="2">
        <v>1</v>
      </c>
      <c r="AG963" s="20">
        <f t="shared" si="14"/>
        <v>100</v>
      </c>
    </row>
    <row r="964" spans="1:33" x14ac:dyDescent="0.25">
      <c r="A964">
        <v>963</v>
      </c>
      <c r="B964" s="2">
        <v>3</v>
      </c>
      <c r="C964" s="2">
        <v>15</v>
      </c>
      <c r="D964" s="2">
        <v>2</v>
      </c>
      <c r="E964" s="2">
        <v>1</v>
      </c>
      <c r="F964" s="2">
        <v>0</v>
      </c>
      <c r="G964" s="2">
        <v>0</v>
      </c>
      <c r="H964" s="2">
        <v>0</v>
      </c>
      <c r="I964" s="2">
        <v>0</v>
      </c>
      <c r="J964" s="2">
        <v>0</v>
      </c>
      <c r="K964" s="2">
        <v>3556</v>
      </c>
      <c r="L964" s="2">
        <v>4</v>
      </c>
      <c r="M964" s="2">
        <v>2</v>
      </c>
      <c r="N964" s="2">
        <v>3</v>
      </c>
      <c r="O964" s="2">
        <v>0</v>
      </c>
      <c r="P964" s="2">
        <v>1</v>
      </c>
      <c r="Q964" s="2">
        <v>0</v>
      </c>
      <c r="R964" s="2">
        <v>0</v>
      </c>
      <c r="S964" s="2">
        <v>0</v>
      </c>
      <c r="T964" s="2">
        <v>2</v>
      </c>
      <c r="U964" s="2">
        <v>0</v>
      </c>
      <c r="V964" s="2">
        <v>1</v>
      </c>
      <c r="W964" s="2">
        <v>29</v>
      </c>
      <c r="X964" s="2">
        <v>0</v>
      </c>
      <c r="Y964" s="2">
        <v>0</v>
      </c>
      <c r="Z964" s="2">
        <v>1</v>
      </c>
      <c r="AA964" s="2">
        <v>1</v>
      </c>
      <c r="AB964" s="2">
        <v>2</v>
      </c>
      <c r="AC964" s="2">
        <v>1</v>
      </c>
      <c r="AD964" s="2">
        <v>0</v>
      </c>
      <c r="AE964" s="2">
        <v>0</v>
      </c>
      <c r="AF964" s="2">
        <v>1</v>
      </c>
      <c r="AG964" s="20">
        <f t="shared" ref="AG964:AG1001" si="15">IF(AF964=1,100,-500)</f>
        <v>100</v>
      </c>
    </row>
    <row r="965" spans="1:33" x14ac:dyDescent="0.25">
      <c r="A965">
        <v>964</v>
      </c>
      <c r="B965" s="2">
        <v>3</v>
      </c>
      <c r="C965" s="2">
        <v>24</v>
      </c>
      <c r="D965" s="2">
        <v>2</v>
      </c>
      <c r="E965" s="2">
        <v>0</v>
      </c>
      <c r="F965" s="2">
        <v>0</v>
      </c>
      <c r="G965" s="2">
        <v>0</v>
      </c>
      <c r="H965" s="2">
        <v>1</v>
      </c>
      <c r="I965" s="2">
        <v>0</v>
      </c>
      <c r="J965" s="2">
        <v>0</v>
      </c>
      <c r="K965" s="2">
        <v>2397</v>
      </c>
      <c r="L965" s="2">
        <v>2</v>
      </c>
      <c r="M965" s="2">
        <v>4</v>
      </c>
      <c r="N965" s="2">
        <v>3</v>
      </c>
      <c r="O965" s="2">
        <v>0</v>
      </c>
      <c r="P965" s="2">
        <v>1</v>
      </c>
      <c r="Q965" s="2">
        <v>0</v>
      </c>
      <c r="R965" s="2">
        <v>0</v>
      </c>
      <c r="S965" s="2">
        <v>0</v>
      </c>
      <c r="T965" s="2">
        <v>2</v>
      </c>
      <c r="U965" s="2">
        <v>0</v>
      </c>
      <c r="V965" s="2">
        <v>0</v>
      </c>
      <c r="W965" s="2">
        <v>35</v>
      </c>
      <c r="X965" s="2">
        <v>1</v>
      </c>
      <c r="Y965" s="2">
        <v>0</v>
      </c>
      <c r="Z965" s="2">
        <v>1</v>
      </c>
      <c r="AA965" s="2">
        <v>2</v>
      </c>
      <c r="AB965" s="2">
        <v>2</v>
      </c>
      <c r="AC965" s="2">
        <v>1</v>
      </c>
      <c r="AD965" s="2">
        <v>1</v>
      </c>
      <c r="AE965" s="2">
        <v>0</v>
      </c>
      <c r="AF965" s="2">
        <v>0</v>
      </c>
      <c r="AG965" s="20">
        <f t="shared" si="15"/>
        <v>-500</v>
      </c>
    </row>
    <row r="966" spans="1:33" x14ac:dyDescent="0.25">
      <c r="A966">
        <v>965</v>
      </c>
      <c r="B966" s="2">
        <v>1</v>
      </c>
      <c r="C966" s="2">
        <v>6</v>
      </c>
      <c r="D966" s="2">
        <v>2</v>
      </c>
      <c r="E966" s="2">
        <v>0</v>
      </c>
      <c r="F966" s="2">
        <v>0</v>
      </c>
      <c r="G966" s="2">
        <v>0</v>
      </c>
      <c r="H966" s="2">
        <v>0</v>
      </c>
      <c r="I966" s="2">
        <v>0</v>
      </c>
      <c r="J966" s="2">
        <v>0</v>
      </c>
      <c r="K966" s="2">
        <v>454</v>
      </c>
      <c r="L966" s="2">
        <v>0</v>
      </c>
      <c r="M966" s="2">
        <v>1</v>
      </c>
      <c r="N966" s="2">
        <v>3</v>
      </c>
      <c r="O966" s="2">
        <v>0</v>
      </c>
      <c r="P966" s="2">
        <v>0</v>
      </c>
      <c r="Q966" s="2">
        <v>1</v>
      </c>
      <c r="R966" s="2">
        <v>0</v>
      </c>
      <c r="S966" s="2">
        <v>0</v>
      </c>
      <c r="T966" s="2">
        <v>1</v>
      </c>
      <c r="U966" s="2">
        <v>0</v>
      </c>
      <c r="V966" s="2">
        <v>0</v>
      </c>
      <c r="W966" s="2">
        <v>22</v>
      </c>
      <c r="X966" s="2">
        <v>0</v>
      </c>
      <c r="Y966" s="2">
        <v>0</v>
      </c>
      <c r="Z966" s="2">
        <v>1</v>
      </c>
      <c r="AA966" s="2">
        <v>1</v>
      </c>
      <c r="AB966" s="2">
        <v>1</v>
      </c>
      <c r="AC966" s="2">
        <v>1</v>
      </c>
      <c r="AD966" s="2">
        <v>0</v>
      </c>
      <c r="AE966" s="2">
        <v>0</v>
      </c>
      <c r="AF966" s="2">
        <v>1</v>
      </c>
      <c r="AG966" s="20">
        <f t="shared" si="15"/>
        <v>100</v>
      </c>
    </row>
    <row r="967" spans="1:33" x14ac:dyDescent="0.25">
      <c r="A967">
        <v>966</v>
      </c>
      <c r="B967" s="2">
        <v>1</v>
      </c>
      <c r="C967" s="2">
        <v>30</v>
      </c>
      <c r="D967" s="2">
        <v>2</v>
      </c>
      <c r="E967" s="2">
        <v>0</v>
      </c>
      <c r="F967" s="2">
        <v>0</v>
      </c>
      <c r="G967" s="2">
        <v>0</v>
      </c>
      <c r="H967" s="2">
        <v>1</v>
      </c>
      <c r="I967" s="2">
        <v>0</v>
      </c>
      <c r="J967" s="2">
        <v>0</v>
      </c>
      <c r="K967" s="2">
        <v>1715</v>
      </c>
      <c r="L967" s="2">
        <v>4</v>
      </c>
      <c r="M967" s="2">
        <v>2</v>
      </c>
      <c r="N967" s="2">
        <v>4</v>
      </c>
      <c r="O967" s="2">
        <v>0</v>
      </c>
      <c r="P967" s="2">
        <v>0</v>
      </c>
      <c r="Q967" s="2">
        <v>0</v>
      </c>
      <c r="R967" s="2">
        <v>0</v>
      </c>
      <c r="S967" s="2">
        <v>0</v>
      </c>
      <c r="T967" s="2">
        <v>1</v>
      </c>
      <c r="U967" s="2">
        <v>0</v>
      </c>
      <c r="V967" s="2">
        <v>0</v>
      </c>
      <c r="W967" s="2">
        <v>26</v>
      </c>
      <c r="X967" s="2">
        <v>0</v>
      </c>
      <c r="Y967" s="2">
        <v>0</v>
      </c>
      <c r="Z967" s="2">
        <v>1</v>
      </c>
      <c r="AA967" s="2">
        <v>1</v>
      </c>
      <c r="AB967" s="2">
        <v>2</v>
      </c>
      <c r="AC967" s="2">
        <v>1</v>
      </c>
      <c r="AD967" s="2">
        <v>0</v>
      </c>
      <c r="AE967" s="2">
        <v>0</v>
      </c>
      <c r="AF967" s="2">
        <v>1</v>
      </c>
      <c r="AG967" s="20">
        <f t="shared" si="15"/>
        <v>100</v>
      </c>
    </row>
    <row r="968" spans="1:33" x14ac:dyDescent="0.25">
      <c r="A968">
        <v>967</v>
      </c>
      <c r="B968" s="2">
        <v>1</v>
      </c>
      <c r="C968" s="2">
        <v>27</v>
      </c>
      <c r="D968" s="2">
        <v>4</v>
      </c>
      <c r="E968" s="2">
        <v>0</v>
      </c>
      <c r="F968" s="2">
        <v>0</v>
      </c>
      <c r="G968" s="2">
        <v>0</v>
      </c>
      <c r="H968" s="2">
        <v>1</v>
      </c>
      <c r="I968" s="2">
        <v>0</v>
      </c>
      <c r="J968" s="2">
        <v>0</v>
      </c>
      <c r="K968" s="2">
        <v>2520</v>
      </c>
      <c r="L968" s="2">
        <v>2</v>
      </c>
      <c r="M968" s="2">
        <v>2</v>
      </c>
      <c r="N968" s="2">
        <v>4</v>
      </c>
      <c r="O968" s="2">
        <v>0</v>
      </c>
      <c r="P968" s="2">
        <v>1</v>
      </c>
      <c r="Q968" s="2">
        <v>0</v>
      </c>
      <c r="R968" s="2">
        <v>0</v>
      </c>
      <c r="S968" s="2">
        <v>0</v>
      </c>
      <c r="T968" s="2">
        <v>2</v>
      </c>
      <c r="U968" s="2">
        <v>0</v>
      </c>
      <c r="V968" s="2">
        <v>0</v>
      </c>
      <c r="W968" s="2">
        <v>23</v>
      </c>
      <c r="X968" s="2">
        <v>0</v>
      </c>
      <c r="Y968" s="2">
        <v>0</v>
      </c>
      <c r="Z968" s="2">
        <v>1</v>
      </c>
      <c r="AA968" s="2">
        <v>2</v>
      </c>
      <c r="AB968" s="2">
        <v>1</v>
      </c>
      <c r="AC968" s="2">
        <v>1</v>
      </c>
      <c r="AD968" s="2">
        <v>0</v>
      </c>
      <c r="AE968" s="2">
        <v>0</v>
      </c>
      <c r="AF968" s="2">
        <v>0</v>
      </c>
      <c r="AG968" s="20">
        <f t="shared" si="15"/>
        <v>-500</v>
      </c>
    </row>
    <row r="969" spans="1:33" x14ac:dyDescent="0.25">
      <c r="A969">
        <v>968</v>
      </c>
      <c r="B969" s="2">
        <v>3</v>
      </c>
      <c r="C969" s="2">
        <v>15</v>
      </c>
      <c r="D969" s="2">
        <v>2</v>
      </c>
      <c r="E969" s="2">
        <v>0</v>
      </c>
      <c r="F969" s="2">
        <v>0</v>
      </c>
      <c r="G969" s="2">
        <v>0</v>
      </c>
      <c r="H969" s="2">
        <v>1</v>
      </c>
      <c r="I969" s="2">
        <v>0</v>
      </c>
      <c r="J969" s="2">
        <v>0</v>
      </c>
      <c r="K969" s="2">
        <v>3568</v>
      </c>
      <c r="L969" s="2">
        <v>0</v>
      </c>
      <c r="M969" s="2">
        <v>4</v>
      </c>
      <c r="N969" s="2">
        <v>4</v>
      </c>
      <c r="O969" s="2">
        <v>0</v>
      </c>
      <c r="P969" s="2">
        <v>0</v>
      </c>
      <c r="Q969" s="2">
        <v>0</v>
      </c>
      <c r="R969" s="2">
        <v>0</v>
      </c>
      <c r="S969" s="2">
        <v>0</v>
      </c>
      <c r="T969" s="2">
        <v>2</v>
      </c>
      <c r="U969" s="2">
        <v>0</v>
      </c>
      <c r="V969" s="2">
        <v>0</v>
      </c>
      <c r="W969" s="2">
        <v>54</v>
      </c>
      <c r="X969" s="2">
        <v>1</v>
      </c>
      <c r="Y969" s="2">
        <v>1</v>
      </c>
      <c r="Z969" s="2">
        <v>0</v>
      </c>
      <c r="AA969" s="2">
        <v>1</v>
      </c>
      <c r="AB969" s="2">
        <v>3</v>
      </c>
      <c r="AC969" s="2">
        <v>1</v>
      </c>
      <c r="AD969" s="2">
        <v>1</v>
      </c>
      <c r="AE969" s="2">
        <v>0</v>
      </c>
      <c r="AF969" s="2">
        <v>1</v>
      </c>
      <c r="AG969" s="20">
        <f t="shared" si="15"/>
        <v>100</v>
      </c>
    </row>
    <row r="970" spans="1:33" x14ac:dyDescent="0.25">
      <c r="A970">
        <v>969</v>
      </c>
      <c r="B970" s="2">
        <v>3</v>
      </c>
      <c r="C970" s="2">
        <v>42</v>
      </c>
      <c r="D970" s="2">
        <v>2</v>
      </c>
      <c r="E970" s="2">
        <v>0</v>
      </c>
      <c r="F970" s="2">
        <v>0</v>
      </c>
      <c r="G970" s="2">
        <v>0</v>
      </c>
      <c r="H970" s="2">
        <v>1</v>
      </c>
      <c r="I970" s="2">
        <v>0</v>
      </c>
      <c r="J970" s="2">
        <v>0</v>
      </c>
      <c r="K970" s="2">
        <v>7166</v>
      </c>
      <c r="L970" s="2">
        <v>4</v>
      </c>
      <c r="M970" s="2">
        <v>3</v>
      </c>
      <c r="N970" s="2">
        <v>2</v>
      </c>
      <c r="O970" s="2">
        <v>0</v>
      </c>
      <c r="P970" s="2">
        <v>0</v>
      </c>
      <c r="Q970" s="2">
        <v>1</v>
      </c>
      <c r="R970" s="2">
        <v>0</v>
      </c>
      <c r="S970" s="2">
        <v>0</v>
      </c>
      <c r="T970" s="2">
        <v>4</v>
      </c>
      <c r="U970" s="2">
        <v>0</v>
      </c>
      <c r="V970" s="2">
        <v>0</v>
      </c>
      <c r="W970" s="2">
        <v>29</v>
      </c>
      <c r="X970" s="2">
        <v>0</v>
      </c>
      <c r="Y970" s="2">
        <v>1</v>
      </c>
      <c r="Z970" s="2">
        <v>0</v>
      </c>
      <c r="AA970" s="2">
        <v>1</v>
      </c>
      <c r="AB970" s="2">
        <v>2</v>
      </c>
      <c r="AC970" s="2">
        <v>1</v>
      </c>
      <c r="AD970" s="2">
        <v>1</v>
      </c>
      <c r="AE970" s="2">
        <v>0</v>
      </c>
      <c r="AF970" s="2">
        <v>1</v>
      </c>
      <c r="AG970" s="20">
        <f t="shared" si="15"/>
        <v>100</v>
      </c>
    </row>
    <row r="971" spans="1:33" x14ac:dyDescent="0.25">
      <c r="A971">
        <v>970</v>
      </c>
      <c r="B971" s="2">
        <v>0</v>
      </c>
      <c r="C971" s="2">
        <v>11</v>
      </c>
      <c r="D971" s="2">
        <v>4</v>
      </c>
      <c r="E971" s="2">
        <v>1</v>
      </c>
      <c r="F971" s="2">
        <v>0</v>
      </c>
      <c r="G971" s="2">
        <v>0</v>
      </c>
      <c r="H971" s="2">
        <v>0</v>
      </c>
      <c r="I971" s="2">
        <v>0</v>
      </c>
      <c r="J971" s="2">
        <v>0</v>
      </c>
      <c r="K971" s="2">
        <v>3939</v>
      </c>
      <c r="L971" s="2">
        <v>0</v>
      </c>
      <c r="M971" s="2">
        <v>2</v>
      </c>
      <c r="N971" s="2">
        <v>1</v>
      </c>
      <c r="O971" s="2">
        <v>0</v>
      </c>
      <c r="P971" s="2">
        <v>1</v>
      </c>
      <c r="Q971" s="2">
        <v>0</v>
      </c>
      <c r="R971" s="2">
        <v>0</v>
      </c>
      <c r="S971" s="2">
        <v>0</v>
      </c>
      <c r="T971" s="2">
        <v>2</v>
      </c>
      <c r="U971" s="2">
        <v>1</v>
      </c>
      <c r="V971" s="2">
        <v>0</v>
      </c>
      <c r="W971" s="2">
        <v>40</v>
      </c>
      <c r="X971" s="2">
        <v>0</v>
      </c>
      <c r="Y971" s="2">
        <v>0</v>
      </c>
      <c r="Z971" s="2">
        <v>1</v>
      </c>
      <c r="AA971" s="2">
        <v>2</v>
      </c>
      <c r="AB971" s="2">
        <v>1</v>
      </c>
      <c r="AC971" s="2">
        <v>2</v>
      </c>
      <c r="AD971" s="2">
        <v>0</v>
      </c>
      <c r="AE971" s="2">
        <v>0</v>
      </c>
      <c r="AF971" s="2">
        <v>1</v>
      </c>
      <c r="AG971" s="20">
        <f t="shared" si="15"/>
        <v>100</v>
      </c>
    </row>
    <row r="972" spans="1:33" x14ac:dyDescent="0.25">
      <c r="A972">
        <v>971</v>
      </c>
      <c r="B972" s="2">
        <v>1</v>
      </c>
      <c r="C972" s="2">
        <v>15</v>
      </c>
      <c r="D972" s="2">
        <v>2</v>
      </c>
      <c r="E972" s="2">
        <v>0</v>
      </c>
      <c r="F972" s="2">
        <v>0</v>
      </c>
      <c r="G972" s="2">
        <v>0</v>
      </c>
      <c r="H972" s="2">
        <v>0</v>
      </c>
      <c r="I972" s="2">
        <v>0</v>
      </c>
      <c r="J972" s="2">
        <v>0</v>
      </c>
      <c r="K972" s="2">
        <v>1514</v>
      </c>
      <c r="L972" s="2">
        <v>1</v>
      </c>
      <c r="M972" s="2">
        <v>2</v>
      </c>
      <c r="N972" s="2">
        <v>4</v>
      </c>
      <c r="O972" s="2">
        <v>0</v>
      </c>
      <c r="P972" s="2">
        <v>1</v>
      </c>
      <c r="Q972" s="2">
        <v>0</v>
      </c>
      <c r="R972" s="2">
        <v>0</v>
      </c>
      <c r="S972" s="2">
        <v>1</v>
      </c>
      <c r="T972" s="2">
        <v>2</v>
      </c>
      <c r="U972" s="2">
        <v>1</v>
      </c>
      <c r="V972" s="2">
        <v>0</v>
      </c>
      <c r="W972" s="2">
        <v>22</v>
      </c>
      <c r="X972" s="2">
        <v>0</v>
      </c>
      <c r="Y972" s="2">
        <v>0</v>
      </c>
      <c r="Z972" s="2">
        <v>1</v>
      </c>
      <c r="AA972" s="2">
        <v>1</v>
      </c>
      <c r="AB972" s="2">
        <v>2</v>
      </c>
      <c r="AC972" s="2">
        <v>1</v>
      </c>
      <c r="AD972" s="2">
        <v>0</v>
      </c>
      <c r="AE972" s="2">
        <v>0</v>
      </c>
      <c r="AF972" s="2">
        <v>1</v>
      </c>
      <c r="AG972" s="20">
        <f t="shared" si="15"/>
        <v>100</v>
      </c>
    </row>
    <row r="973" spans="1:33" x14ac:dyDescent="0.25">
      <c r="A973">
        <v>972</v>
      </c>
      <c r="B973" s="2">
        <v>3</v>
      </c>
      <c r="C973" s="2">
        <v>24</v>
      </c>
      <c r="D973" s="2">
        <v>2</v>
      </c>
      <c r="E973" s="2">
        <v>1</v>
      </c>
      <c r="F973" s="2">
        <v>0</v>
      </c>
      <c r="G973" s="2">
        <v>0</v>
      </c>
      <c r="H973" s="2">
        <v>0</v>
      </c>
      <c r="I973" s="2">
        <v>0</v>
      </c>
      <c r="J973" s="2">
        <v>0</v>
      </c>
      <c r="K973" s="2">
        <v>7393</v>
      </c>
      <c r="L973" s="2">
        <v>0</v>
      </c>
      <c r="M973" s="2">
        <v>2</v>
      </c>
      <c r="N973" s="2">
        <v>1</v>
      </c>
      <c r="O973" s="2">
        <v>0</v>
      </c>
      <c r="P973" s="2">
        <v>1</v>
      </c>
      <c r="Q973" s="2">
        <v>0</v>
      </c>
      <c r="R973" s="2">
        <v>0</v>
      </c>
      <c r="S973" s="2">
        <v>0</v>
      </c>
      <c r="T973" s="2">
        <v>4</v>
      </c>
      <c r="U973" s="2">
        <v>0</v>
      </c>
      <c r="V973" s="2">
        <v>0</v>
      </c>
      <c r="W973" s="2">
        <v>43</v>
      </c>
      <c r="X973" s="2">
        <v>0</v>
      </c>
      <c r="Y973" s="2">
        <v>0</v>
      </c>
      <c r="Z973" s="2">
        <v>1</v>
      </c>
      <c r="AA973" s="2">
        <v>1</v>
      </c>
      <c r="AB973" s="2">
        <v>1</v>
      </c>
      <c r="AC973" s="2">
        <v>2</v>
      </c>
      <c r="AD973" s="2">
        <v>0</v>
      </c>
      <c r="AE973" s="2">
        <v>0</v>
      </c>
      <c r="AF973" s="2">
        <v>1</v>
      </c>
      <c r="AG973" s="20">
        <f t="shared" si="15"/>
        <v>100</v>
      </c>
    </row>
    <row r="974" spans="1:33" x14ac:dyDescent="0.25">
      <c r="A974">
        <v>973</v>
      </c>
      <c r="B974" s="2">
        <v>0</v>
      </c>
      <c r="C974" s="2">
        <v>24</v>
      </c>
      <c r="D974" s="2">
        <v>1</v>
      </c>
      <c r="E974" s="2">
        <v>1</v>
      </c>
      <c r="F974" s="2">
        <v>0</v>
      </c>
      <c r="G974" s="2">
        <v>0</v>
      </c>
      <c r="H974" s="2">
        <v>0</v>
      </c>
      <c r="I974" s="2">
        <v>0</v>
      </c>
      <c r="J974" s="2">
        <v>0</v>
      </c>
      <c r="K974" s="2">
        <v>1193</v>
      </c>
      <c r="L974" s="2">
        <v>0</v>
      </c>
      <c r="M974" s="2">
        <v>0</v>
      </c>
      <c r="N974" s="2">
        <v>1</v>
      </c>
      <c r="O974" s="2">
        <v>0</v>
      </c>
      <c r="P974" s="2">
        <v>0</v>
      </c>
      <c r="Q974" s="2">
        <v>0</v>
      </c>
      <c r="R974" s="2">
        <v>1</v>
      </c>
      <c r="S974" s="2">
        <v>0</v>
      </c>
      <c r="T974" s="2">
        <v>4</v>
      </c>
      <c r="U974" s="2">
        <v>0</v>
      </c>
      <c r="V974" s="2">
        <v>1</v>
      </c>
      <c r="W974" s="2">
        <v>29</v>
      </c>
      <c r="X974" s="2">
        <v>0</v>
      </c>
      <c r="Y974" s="2">
        <v>1</v>
      </c>
      <c r="Z974" s="2">
        <v>0</v>
      </c>
      <c r="AA974" s="2">
        <v>2</v>
      </c>
      <c r="AB974" s="2">
        <v>0</v>
      </c>
      <c r="AC974" s="2">
        <v>1</v>
      </c>
      <c r="AD974" s="2">
        <v>0</v>
      </c>
      <c r="AE974" s="2">
        <v>0</v>
      </c>
      <c r="AF974" s="2">
        <v>0</v>
      </c>
      <c r="AG974" s="20">
        <f t="shared" si="15"/>
        <v>-500</v>
      </c>
    </row>
    <row r="975" spans="1:33" x14ac:dyDescent="0.25">
      <c r="A975">
        <v>974</v>
      </c>
      <c r="B975" s="2">
        <v>0</v>
      </c>
      <c r="C975" s="2">
        <v>60</v>
      </c>
      <c r="D975" s="2">
        <v>2</v>
      </c>
      <c r="E975" s="2">
        <v>0</v>
      </c>
      <c r="F975" s="2">
        <v>0</v>
      </c>
      <c r="G975" s="2">
        <v>0</v>
      </c>
      <c r="H975" s="2">
        <v>0</v>
      </c>
      <c r="I975" s="2">
        <v>0</v>
      </c>
      <c r="J975" s="2">
        <v>1</v>
      </c>
      <c r="K975" s="2">
        <v>7297</v>
      </c>
      <c r="L975" s="2">
        <v>0</v>
      </c>
      <c r="M975" s="2">
        <v>4</v>
      </c>
      <c r="N975" s="2">
        <v>4</v>
      </c>
      <c r="O975" s="2">
        <v>0</v>
      </c>
      <c r="P975" s="2">
        <v>1</v>
      </c>
      <c r="Q975" s="2">
        <v>0</v>
      </c>
      <c r="R975" s="2">
        <v>1</v>
      </c>
      <c r="S975" s="2">
        <v>0</v>
      </c>
      <c r="T975" s="2">
        <v>4</v>
      </c>
      <c r="U975" s="2">
        <v>0</v>
      </c>
      <c r="V975" s="2">
        <v>1</v>
      </c>
      <c r="W975" s="2">
        <v>36</v>
      </c>
      <c r="X975" s="2">
        <v>0</v>
      </c>
      <c r="Y975" s="2">
        <v>1</v>
      </c>
      <c r="Z975" s="2">
        <v>0</v>
      </c>
      <c r="AA975" s="2">
        <v>1</v>
      </c>
      <c r="AB975" s="2">
        <v>2</v>
      </c>
      <c r="AC975" s="2">
        <v>1</v>
      </c>
      <c r="AD975" s="2">
        <v>0</v>
      </c>
      <c r="AE975" s="2">
        <v>0</v>
      </c>
      <c r="AF975" s="2">
        <v>0</v>
      </c>
      <c r="AG975" s="20">
        <f t="shared" si="15"/>
        <v>-500</v>
      </c>
    </row>
    <row r="976" spans="1:33" x14ac:dyDescent="0.25">
      <c r="A976">
        <v>975</v>
      </c>
      <c r="B976" s="2">
        <v>3</v>
      </c>
      <c r="C976" s="2">
        <v>30</v>
      </c>
      <c r="D976" s="2">
        <v>4</v>
      </c>
      <c r="E976" s="2">
        <v>0</v>
      </c>
      <c r="F976" s="2">
        <v>0</v>
      </c>
      <c r="G976" s="2">
        <v>0</v>
      </c>
      <c r="H976" s="2">
        <v>1</v>
      </c>
      <c r="I976" s="2">
        <v>0</v>
      </c>
      <c r="J976" s="2">
        <v>0</v>
      </c>
      <c r="K976" s="2">
        <v>2831</v>
      </c>
      <c r="L976" s="2">
        <v>0</v>
      </c>
      <c r="M976" s="2">
        <v>2</v>
      </c>
      <c r="N976" s="2">
        <v>4</v>
      </c>
      <c r="O976" s="2">
        <v>0</v>
      </c>
      <c r="P976" s="2">
        <v>0</v>
      </c>
      <c r="Q976" s="2">
        <v>0</v>
      </c>
      <c r="R976" s="2">
        <v>0</v>
      </c>
      <c r="S976" s="2">
        <v>0</v>
      </c>
      <c r="T976" s="2">
        <v>2</v>
      </c>
      <c r="U976" s="2">
        <v>0</v>
      </c>
      <c r="V976" s="2">
        <v>0</v>
      </c>
      <c r="W976" s="2">
        <v>33</v>
      </c>
      <c r="X976" s="2">
        <v>0</v>
      </c>
      <c r="Y976" s="2">
        <v>0</v>
      </c>
      <c r="Z976" s="2">
        <v>1</v>
      </c>
      <c r="AA976" s="2">
        <v>1</v>
      </c>
      <c r="AB976" s="2">
        <v>2</v>
      </c>
      <c r="AC976" s="2">
        <v>1</v>
      </c>
      <c r="AD976" s="2">
        <v>1</v>
      </c>
      <c r="AE976" s="2">
        <v>0</v>
      </c>
      <c r="AF976" s="2">
        <v>1</v>
      </c>
      <c r="AG976" s="20">
        <f t="shared" si="15"/>
        <v>100</v>
      </c>
    </row>
    <row r="977" spans="1:33" x14ac:dyDescent="0.25">
      <c r="A977">
        <v>976</v>
      </c>
      <c r="B977" s="2">
        <v>2</v>
      </c>
      <c r="C977" s="2">
        <v>24</v>
      </c>
      <c r="D977" s="2">
        <v>2</v>
      </c>
      <c r="E977" s="2">
        <v>0</v>
      </c>
      <c r="F977" s="2">
        <v>0</v>
      </c>
      <c r="G977" s="2">
        <v>0</v>
      </c>
      <c r="H977" s="2">
        <v>1</v>
      </c>
      <c r="I977" s="2">
        <v>0</v>
      </c>
      <c r="J977" s="2">
        <v>0</v>
      </c>
      <c r="K977" s="2">
        <v>1258</v>
      </c>
      <c r="L977" s="2">
        <v>2</v>
      </c>
      <c r="M977" s="2">
        <v>2</v>
      </c>
      <c r="N977" s="2">
        <v>3</v>
      </c>
      <c r="O977" s="2">
        <v>0</v>
      </c>
      <c r="P977" s="2">
        <v>0</v>
      </c>
      <c r="Q977" s="2">
        <v>0</v>
      </c>
      <c r="R977" s="2">
        <v>0</v>
      </c>
      <c r="S977" s="2">
        <v>0</v>
      </c>
      <c r="T977" s="2">
        <v>3</v>
      </c>
      <c r="U977" s="2">
        <v>0</v>
      </c>
      <c r="V977" s="2">
        <v>0</v>
      </c>
      <c r="W977" s="2">
        <v>57</v>
      </c>
      <c r="X977" s="2">
        <v>0</v>
      </c>
      <c r="Y977" s="2">
        <v>0</v>
      </c>
      <c r="Z977" s="2">
        <v>1</v>
      </c>
      <c r="AA977" s="2">
        <v>1</v>
      </c>
      <c r="AB977" s="2">
        <v>1</v>
      </c>
      <c r="AC977" s="2">
        <v>1</v>
      </c>
      <c r="AD977" s="2">
        <v>0</v>
      </c>
      <c r="AE977" s="2">
        <v>0</v>
      </c>
      <c r="AF977" s="2">
        <v>1</v>
      </c>
      <c r="AG977" s="20">
        <f t="shared" si="15"/>
        <v>100</v>
      </c>
    </row>
    <row r="978" spans="1:33" x14ac:dyDescent="0.25">
      <c r="A978">
        <v>977</v>
      </c>
      <c r="B978" s="2">
        <v>1</v>
      </c>
      <c r="C978" s="2">
        <v>6</v>
      </c>
      <c r="D978" s="2">
        <v>2</v>
      </c>
      <c r="E978" s="2">
        <v>0</v>
      </c>
      <c r="F978" s="2">
        <v>0</v>
      </c>
      <c r="G978" s="2">
        <v>0</v>
      </c>
      <c r="H978" s="2">
        <v>1</v>
      </c>
      <c r="I978" s="2">
        <v>0</v>
      </c>
      <c r="J978" s="2">
        <v>0</v>
      </c>
      <c r="K978" s="2">
        <v>753</v>
      </c>
      <c r="L978" s="2">
        <v>0</v>
      </c>
      <c r="M978" s="2">
        <v>2</v>
      </c>
      <c r="N978" s="2">
        <v>2</v>
      </c>
      <c r="O978" s="2">
        <v>0</v>
      </c>
      <c r="P978" s="2">
        <v>0</v>
      </c>
      <c r="Q978" s="2">
        <v>0</v>
      </c>
      <c r="R978" s="2">
        <v>0</v>
      </c>
      <c r="S978" s="2">
        <v>1</v>
      </c>
      <c r="T978" s="2">
        <v>3</v>
      </c>
      <c r="U978" s="2">
        <v>1</v>
      </c>
      <c r="V978" s="2">
        <v>0</v>
      </c>
      <c r="W978" s="2">
        <v>64</v>
      </c>
      <c r="X978" s="2">
        <v>0</v>
      </c>
      <c r="Y978" s="2">
        <v>0</v>
      </c>
      <c r="Z978" s="2">
        <v>1</v>
      </c>
      <c r="AA978" s="2">
        <v>1</v>
      </c>
      <c r="AB978" s="2">
        <v>2</v>
      </c>
      <c r="AC978" s="2">
        <v>1</v>
      </c>
      <c r="AD978" s="2">
        <v>0</v>
      </c>
      <c r="AE978" s="2">
        <v>0</v>
      </c>
      <c r="AF978" s="2">
        <v>1</v>
      </c>
      <c r="AG978" s="20">
        <f t="shared" si="15"/>
        <v>100</v>
      </c>
    </row>
    <row r="979" spans="1:33" x14ac:dyDescent="0.25">
      <c r="A979">
        <v>978</v>
      </c>
      <c r="B979" s="2">
        <v>1</v>
      </c>
      <c r="C979" s="2">
        <v>18</v>
      </c>
      <c r="D979" s="2">
        <v>3</v>
      </c>
      <c r="E979" s="2">
        <v>0</v>
      </c>
      <c r="F979" s="2">
        <v>0</v>
      </c>
      <c r="G979" s="2">
        <v>0</v>
      </c>
      <c r="H979" s="2">
        <v>0</v>
      </c>
      <c r="I979" s="2">
        <v>0</v>
      </c>
      <c r="J979" s="2">
        <v>1</v>
      </c>
      <c r="K979" s="2">
        <v>2427</v>
      </c>
      <c r="L979" s="2">
        <v>4</v>
      </c>
      <c r="M979" s="2">
        <v>4</v>
      </c>
      <c r="N979" s="2">
        <v>4</v>
      </c>
      <c r="O979" s="2">
        <v>0</v>
      </c>
      <c r="P979" s="2">
        <v>1</v>
      </c>
      <c r="Q979" s="2">
        <v>0</v>
      </c>
      <c r="R979" s="2">
        <v>0</v>
      </c>
      <c r="S979" s="2">
        <v>0</v>
      </c>
      <c r="T979" s="2">
        <v>2</v>
      </c>
      <c r="U979" s="2">
        <v>0</v>
      </c>
      <c r="V979" s="2">
        <v>0</v>
      </c>
      <c r="W979" s="2">
        <v>42</v>
      </c>
      <c r="X979" s="2">
        <v>0</v>
      </c>
      <c r="Y979" s="2">
        <v>0</v>
      </c>
      <c r="Z979" s="2">
        <v>1</v>
      </c>
      <c r="AA979" s="2">
        <v>2</v>
      </c>
      <c r="AB979" s="2">
        <v>2</v>
      </c>
      <c r="AC979" s="2">
        <v>1</v>
      </c>
      <c r="AD979" s="2">
        <v>0</v>
      </c>
      <c r="AE979" s="2">
        <v>0</v>
      </c>
      <c r="AF979" s="2">
        <v>1</v>
      </c>
      <c r="AG979" s="20">
        <f t="shared" si="15"/>
        <v>100</v>
      </c>
    </row>
    <row r="980" spans="1:33" x14ac:dyDescent="0.25">
      <c r="A980">
        <v>979</v>
      </c>
      <c r="B980" s="2">
        <v>3</v>
      </c>
      <c r="C980" s="2">
        <v>24</v>
      </c>
      <c r="D980" s="2">
        <v>3</v>
      </c>
      <c r="E980" s="2">
        <v>1</v>
      </c>
      <c r="F980" s="2">
        <v>0</v>
      </c>
      <c r="G980" s="2">
        <v>0</v>
      </c>
      <c r="H980" s="2">
        <v>0</v>
      </c>
      <c r="I980" s="2">
        <v>0</v>
      </c>
      <c r="J980" s="2">
        <v>0</v>
      </c>
      <c r="K980" s="2">
        <v>2538</v>
      </c>
      <c r="L980" s="2">
        <v>0</v>
      </c>
      <c r="M980" s="2">
        <v>4</v>
      </c>
      <c r="N980" s="2">
        <v>4</v>
      </c>
      <c r="O980" s="2">
        <v>0</v>
      </c>
      <c r="P980" s="2">
        <v>1</v>
      </c>
      <c r="Q980" s="2">
        <v>0</v>
      </c>
      <c r="R980" s="2">
        <v>0</v>
      </c>
      <c r="S980" s="2">
        <v>0</v>
      </c>
      <c r="T980" s="2">
        <v>4</v>
      </c>
      <c r="U980" s="2">
        <v>0</v>
      </c>
      <c r="V980" s="2">
        <v>0</v>
      </c>
      <c r="W980" s="2">
        <v>47</v>
      </c>
      <c r="X980" s="2">
        <v>0</v>
      </c>
      <c r="Y980" s="2">
        <v>0</v>
      </c>
      <c r="Z980" s="2">
        <v>1</v>
      </c>
      <c r="AA980" s="2">
        <v>2</v>
      </c>
      <c r="AB980" s="2">
        <v>1</v>
      </c>
      <c r="AC980" s="2">
        <v>2</v>
      </c>
      <c r="AD980" s="2">
        <v>0</v>
      </c>
      <c r="AE980" s="2">
        <v>0</v>
      </c>
      <c r="AF980" s="2">
        <v>0</v>
      </c>
      <c r="AG980" s="20">
        <f t="shared" si="15"/>
        <v>-500</v>
      </c>
    </row>
    <row r="981" spans="1:33" x14ac:dyDescent="0.25">
      <c r="A981">
        <v>980</v>
      </c>
      <c r="B981" s="2">
        <v>1</v>
      </c>
      <c r="C981" s="2">
        <v>15</v>
      </c>
      <c r="D981" s="2">
        <v>1</v>
      </c>
      <c r="E981" s="2">
        <v>1</v>
      </c>
      <c r="F981" s="2">
        <v>0</v>
      </c>
      <c r="G981" s="2">
        <v>0</v>
      </c>
      <c r="H981" s="2">
        <v>0</v>
      </c>
      <c r="I981" s="2">
        <v>0</v>
      </c>
      <c r="J981" s="2">
        <v>0</v>
      </c>
      <c r="K981" s="2">
        <v>1264</v>
      </c>
      <c r="L981" s="2">
        <v>1</v>
      </c>
      <c r="M981" s="2">
        <v>2</v>
      </c>
      <c r="N981" s="2">
        <v>2</v>
      </c>
      <c r="O981" s="2">
        <v>0</v>
      </c>
      <c r="P981" s="2">
        <v>0</v>
      </c>
      <c r="Q981" s="2">
        <v>1</v>
      </c>
      <c r="R981" s="2">
        <v>0</v>
      </c>
      <c r="S981" s="2">
        <v>0</v>
      </c>
      <c r="T981" s="2">
        <v>2</v>
      </c>
      <c r="U981" s="2">
        <v>0</v>
      </c>
      <c r="V981" s="2">
        <v>0</v>
      </c>
      <c r="W981" s="2">
        <v>25</v>
      </c>
      <c r="X981" s="2">
        <v>0</v>
      </c>
      <c r="Y981" s="2">
        <v>1</v>
      </c>
      <c r="Z981" s="2">
        <v>0</v>
      </c>
      <c r="AA981" s="2">
        <v>1</v>
      </c>
      <c r="AB981" s="2">
        <v>2</v>
      </c>
      <c r="AC981" s="2">
        <v>1</v>
      </c>
      <c r="AD981" s="2">
        <v>0</v>
      </c>
      <c r="AE981" s="2">
        <v>0</v>
      </c>
      <c r="AF981" s="2">
        <v>0</v>
      </c>
      <c r="AG981" s="20">
        <f t="shared" si="15"/>
        <v>-500</v>
      </c>
    </row>
    <row r="982" spans="1:33" x14ac:dyDescent="0.25">
      <c r="A982">
        <v>981</v>
      </c>
      <c r="B982" s="2">
        <v>1</v>
      </c>
      <c r="C982" s="2">
        <v>30</v>
      </c>
      <c r="D982" s="2">
        <v>4</v>
      </c>
      <c r="E982" s="2">
        <v>0</v>
      </c>
      <c r="F982" s="2">
        <v>0</v>
      </c>
      <c r="G982" s="2">
        <v>1</v>
      </c>
      <c r="H982" s="2">
        <v>0</v>
      </c>
      <c r="I982" s="2">
        <v>0</v>
      </c>
      <c r="J982" s="2">
        <v>0</v>
      </c>
      <c r="K982" s="2">
        <v>8386</v>
      </c>
      <c r="L982" s="2">
        <v>0</v>
      </c>
      <c r="M982" s="2">
        <v>3</v>
      </c>
      <c r="N982" s="2">
        <v>2</v>
      </c>
      <c r="O982" s="2">
        <v>0</v>
      </c>
      <c r="P982" s="2">
        <v>1</v>
      </c>
      <c r="Q982" s="2">
        <v>0</v>
      </c>
      <c r="R982" s="2">
        <v>0</v>
      </c>
      <c r="S982" s="2">
        <v>0</v>
      </c>
      <c r="T982" s="2">
        <v>2</v>
      </c>
      <c r="U982" s="2">
        <v>0</v>
      </c>
      <c r="V982" s="2">
        <v>0</v>
      </c>
      <c r="W982" s="2">
        <v>49</v>
      </c>
      <c r="X982" s="2">
        <v>0</v>
      </c>
      <c r="Y982" s="2">
        <v>0</v>
      </c>
      <c r="Z982" s="2">
        <v>1</v>
      </c>
      <c r="AA982" s="2">
        <v>1</v>
      </c>
      <c r="AB982" s="2">
        <v>2</v>
      </c>
      <c r="AC982" s="2">
        <v>1</v>
      </c>
      <c r="AD982" s="2">
        <v>0</v>
      </c>
      <c r="AE982" s="2">
        <v>0</v>
      </c>
      <c r="AF982" s="2">
        <v>0</v>
      </c>
      <c r="AG982" s="20">
        <f t="shared" si="15"/>
        <v>-500</v>
      </c>
    </row>
    <row r="983" spans="1:33" x14ac:dyDescent="0.25">
      <c r="A983">
        <v>982</v>
      </c>
      <c r="B983" s="2">
        <v>3</v>
      </c>
      <c r="C983" s="2">
        <v>48</v>
      </c>
      <c r="D983" s="2">
        <v>2</v>
      </c>
      <c r="E983" s="2">
        <v>0</v>
      </c>
      <c r="F983" s="2">
        <v>0</v>
      </c>
      <c r="G983" s="2">
        <v>0</v>
      </c>
      <c r="H983" s="2">
        <v>0</v>
      </c>
      <c r="I983" s="2">
        <v>0</v>
      </c>
      <c r="J983" s="2">
        <v>1</v>
      </c>
      <c r="K983" s="2">
        <v>4844</v>
      </c>
      <c r="L983" s="2">
        <v>0</v>
      </c>
      <c r="M983" s="2">
        <v>0</v>
      </c>
      <c r="N983" s="2">
        <v>3</v>
      </c>
      <c r="O983" s="2">
        <v>0</v>
      </c>
      <c r="P983" s="2">
        <v>1</v>
      </c>
      <c r="Q983" s="2">
        <v>0</v>
      </c>
      <c r="R983" s="2">
        <v>0</v>
      </c>
      <c r="S983" s="2">
        <v>0</v>
      </c>
      <c r="T983" s="2">
        <v>2</v>
      </c>
      <c r="U983" s="2">
        <v>0</v>
      </c>
      <c r="V983" s="2">
        <v>0</v>
      </c>
      <c r="W983" s="2">
        <v>33</v>
      </c>
      <c r="X983" s="2">
        <v>1</v>
      </c>
      <c r="Y983" s="2">
        <v>1</v>
      </c>
      <c r="Z983" s="2">
        <v>0</v>
      </c>
      <c r="AA983" s="2">
        <v>1</v>
      </c>
      <c r="AB983" s="2">
        <v>3</v>
      </c>
      <c r="AC983" s="2">
        <v>1</v>
      </c>
      <c r="AD983" s="2">
        <v>1</v>
      </c>
      <c r="AE983" s="2">
        <v>0</v>
      </c>
      <c r="AF983" s="2">
        <v>0</v>
      </c>
      <c r="AG983" s="20">
        <f t="shared" si="15"/>
        <v>-500</v>
      </c>
    </row>
    <row r="984" spans="1:33" x14ac:dyDescent="0.25">
      <c r="A984">
        <v>983</v>
      </c>
      <c r="B984" s="2">
        <v>2</v>
      </c>
      <c r="C984" s="2">
        <v>21</v>
      </c>
      <c r="D984" s="2">
        <v>2</v>
      </c>
      <c r="E984" s="2">
        <v>1</v>
      </c>
      <c r="F984" s="2">
        <v>0</v>
      </c>
      <c r="G984" s="2">
        <v>0</v>
      </c>
      <c r="H984" s="2">
        <v>0</v>
      </c>
      <c r="I984" s="2">
        <v>0</v>
      </c>
      <c r="J984" s="2">
        <v>0</v>
      </c>
      <c r="K984" s="2">
        <v>2923</v>
      </c>
      <c r="L984" s="2">
        <v>1</v>
      </c>
      <c r="M984" s="2">
        <v>2</v>
      </c>
      <c r="N984" s="2">
        <v>1</v>
      </c>
      <c r="O984" s="2">
        <v>0</v>
      </c>
      <c r="P984" s="2">
        <v>0</v>
      </c>
      <c r="Q984" s="2">
        <v>0</v>
      </c>
      <c r="R984" s="2">
        <v>0</v>
      </c>
      <c r="S984" s="2">
        <v>0</v>
      </c>
      <c r="T984" s="2">
        <v>1</v>
      </c>
      <c r="U984" s="2">
        <v>0</v>
      </c>
      <c r="V984" s="2">
        <v>0</v>
      </c>
      <c r="W984" s="2">
        <v>28</v>
      </c>
      <c r="X984" s="2">
        <v>1</v>
      </c>
      <c r="Y984" s="2">
        <v>0</v>
      </c>
      <c r="Z984" s="2">
        <v>1</v>
      </c>
      <c r="AA984" s="2">
        <v>1</v>
      </c>
      <c r="AB984" s="2">
        <v>3</v>
      </c>
      <c r="AC984" s="2">
        <v>1</v>
      </c>
      <c r="AD984" s="2">
        <v>1</v>
      </c>
      <c r="AE984" s="2">
        <v>0</v>
      </c>
      <c r="AF984" s="2">
        <v>1</v>
      </c>
      <c r="AG984" s="20">
        <f t="shared" si="15"/>
        <v>100</v>
      </c>
    </row>
    <row r="985" spans="1:33" x14ac:dyDescent="0.25">
      <c r="A985">
        <v>984</v>
      </c>
      <c r="B985" s="2">
        <v>0</v>
      </c>
      <c r="C985" s="2">
        <v>36</v>
      </c>
      <c r="D985" s="2">
        <v>2</v>
      </c>
      <c r="E985" s="2">
        <v>0</v>
      </c>
      <c r="F985" s="2">
        <v>1</v>
      </c>
      <c r="G985" s="2">
        <v>0</v>
      </c>
      <c r="H985" s="2">
        <v>0</v>
      </c>
      <c r="I985" s="2">
        <v>0</v>
      </c>
      <c r="J985" s="2">
        <v>0</v>
      </c>
      <c r="K985" s="2">
        <v>8229</v>
      </c>
      <c r="L985" s="2">
        <v>0</v>
      </c>
      <c r="M985" s="2">
        <v>2</v>
      </c>
      <c r="N985" s="2">
        <v>2</v>
      </c>
      <c r="O985" s="2">
        <v>0</v>
      </c>
      <c r="P985" s="2">
        <v>1</v>
      </c>
      <c r="Q985" s="2">
        <v>0</v>
      </c>
      <c r="R985" s="2">
        <v>0</v>
      </c>
      <c r="S985" s="2">
        <v>0</v>
      </c>
      <c r="T985" s="2">
        <v>2</v>
      </c>
      <c r="U985" s="2">
        <v>0</v>
      </c>
      <c r="V985" s="2">
        <v>0</v>
      </c>
      <c r="W985" s="2">
        <v>26</v>
      </c>
      <c r="X985" s="2">
        <v>0</v>
      </c>
      <c r="Y985" s="2">
        <v>0</v>
      </c>
      <c r="Z985" s="2">
        <v>1</v>
      </c>
      <c r="AA985" s="2">
        <v>1</v>
      </c>
      <c r="AB985" s="2">
        <v>2</v>
      </c>
      <c r="AC985" s="2">
        <v>2</v>
      </c>
      <c r="AD985" s="2">
        <v>0</v>
      </c>
      <c r="AE985" s="2">
        <v>0</v>
      </c>
      <c r="AF985" s="2">
        <v>0</v>
      </c>
      <c r="AG985" s="20">
        <f t="shared" si="15"/>
        <v>-500</v>
      </c>
    </row>
    <row r="986" spans="1:33" x14ac:dyDescent="0.25">
      <c r="A986">
        <v>985</v>
      </c>
      <c r="B986" s="2">
        <v>3</v>
      </c>
      <c r="C986" s="2">
        <v>24</v>
      </c>
      <c r="D986" s="2">
        <v>4</v>
      </c>
      <c r="E986" s="2">
        <v>0</v>
      </c>
      <c r="F986" s="2">
        <v>0</v>
      </c>
      <c r="G986" s="2">
        <v>1</v>
      </c>
      <c r="H986" s="2">
        <v>0</v>
      </c>
      <c r="I986" s="2">
        <v>0</v>
      </c>
      <c r="J986" s="2">
        <v>0</v>
      </c>
      <c r="K986" s="2">
        <v>2028</v>
      </c>
      <c r="L986" s="2">
        <v>0</v>
      </c>
      <c r="M986" s="2">
        <v>3</v>
      </c>
      <c r="N986" s="2">
        <v>2</v>
      </c>
      <c r="O986" s="2">
        <v>0</v>
      </c>
      <c r="P986" s="2">
        <v>1</v>
      </c>
      <c r="Q986" s="2">
        <v>0</v>
      </c>
      <c r="R986" s="2">
        <v>0</v>
      </c>
      <c r="S986" s="2">
        <v>0</v>
      </c>
      <c r="T986" s="2">
        <v>2</v>
      </c>
      <c r="U986" s="2">
        <v>0</v>
      </c>
      <c r="V986" s="2">
        <v>0</v>
      </c>
      <c r="W986" s="2">
        <v>30</v>
      </c>
      <c r="X986" s="2">
        <v>0</v>
      </c>
      <c r="Y986" s="2">
        <v>0</v>
      </c>
      <c r="Z986" s="2">
        <v>1</v>
      </c>
      <c r="AA986" s="2">
        <v>2</v>
      </c>
      <c r="AB986" s="2">
        <v>1</v>
      </c>
      <c r="AC986" s="2">
        <v>1</v>
      </c>
      <c r="AD986" s="2">
        <v>0</v>
      </c>
      <c r="AE986" s="2">
        <v>0</v>
      </c>
      <c r="AF986" s="2">
        <v>1</v>
      </c>
      <c r="AG986" s="20">
        <f t="shared" si="15"/>
        <v>100</v>
      </c>
    </row>
    <row r="987" spans="1:33" x14ac:dyDescent="0.25">
      <c r="A987">
        <v>986</v>
      </c>
      <c r="B987" s="2">
        <v>0</v>
      </c>
      <c r="C987" s="2">
        <v>15</v>
      </c>
      <c r="D987" s="2">
        <v>4</v>
      </c>
      <c r="E987" s="2">
        <v>0</v>
      </c>
      <c r="F987" s="2">
        <v>0</v>
      </c>
      <c r="G987" s="2">
        <v>1</v>
      </c>
      <c r="H987" s="2">
        <v>0</v>
      </c>
      <c r="I987" s="2">
        <v>0</v>
      </c>
      <c r="J987" s="2">
        <v>0</v>
      </c>
      <c r="K987" s="2">
        <v>1433</v>
      </c>
      <c r="L987" s="2">
        <v>0</v>
      </c>
      <c r="M987" s="2">
        <v>2</v>
      </c>
      <c r="N987" s="2">
        <v>4</v>
      </c>
      <c r="O987" s="2">
        <v>0</v>
      </c>
      <c r="P987" s="2">
        <v>0</v>
      </c>
      <c r="Q987" s="2">
        <v>0</v>
      </c>
      <c r="R987" s="2">
        <v>0</v>
      </c>
      <c r="S987" s="2">
        <v>0</v>
      </c>
      <c r="T987" s="2">
        <v>3</v>
      </c>
      <c r="U987" s="2">
        <v>0</v>
      </c>
      <c r="V987" s="2">
        <v>0</v>
      </c>
      <c r="W987" s="2">
        <v>25</v>
      </c>
      <c r="X987" s="2">
        <v>0</v>
      </c>
      <c r="Y987" s="2">
        <v>1</v>
      </c>
      <c r="Z987" s="2">
        <v>0</v>
      </c>
      <c r="AA987" s="2">
        <v>2</v>
      </c>
      <c r="AB987" s="2">
        <v>2</v>
      </c>
      <c r="AC987" s="2">
        <v>1</v>
      </c>
      <c r="AD987" s="2">
        <v>0</v>
      </c>
      <c r="AE987" s="2">
        <v>0</v>
      </c>
      <c r="AF987" s="2">
        <v>1</v>
      </c>
      <c r="AG987" s="20">
        <f t="shared" si="15"/>
        <v>100</v>
      </c>
    </row>
    <row r="988" spans="1:33" x14ac:dyDescent="0.25">
      <c r="A988">
        <v>987</v>
      </c>
      <c r="B988" s="2">
        <v>2</v>
      </c>
      <c r="C988" s="2">
        <v>42</v>
      </c>
      <c r="D988" s="2">
        <v>0</v>
      </c>
      <c r="E988" s="2">
        <v>0</v>
      </c>
      <c r="F988" s="2">
        <v>0</v>
      </c>
      <c r="G988" s="2">
        <v>0</v>
      </c>
      <c r="H988" s="2">
        <v>0</v>
      </c>
      <c r="I988" s="2">
        <v>0</v>
      </c>
      <c r="J988" s="2">
        <v>1</v>
      </c>
      <c r="K988" s="2">
        <v>6289</v>
      </c>
      <c r="L988" s="2">
        <v>0</v>
      </c>
      <c r="M988" s="2">
        <v>1</v>
      </c>
      <c r="N988" s="2">
        <v>2</v>
      </c>
      <c r="O988" s="2">
        <v>1</v>
      </c>
      <c r="P988" s="2">
        <v>0</v>
      </c>
      <c r="Q988" s="2">
        <v>0</v>
      </c>
      <c r="R988" s="2">
        <v>0</v>
      </c>
      <c r="S988" s="2">
        <v>0</v>
      </c>
      <c r="T988" s="2">
        <v>1</v>
      </c>
      <c r="U988" s="2">
        <v>0</v>
      </c>
      <c r="V988" s="2">
        <v>0</v>
      </c>
      <c r="W988" s="2">
        <v>33</v>
      </c>
      <c r="X988" s="2">
        <v>0</v>
      </c>
      <c r="Y988" s="2">
        <v>0</v>
      </c>
      <c r="Z988" s="2">
        <v>1</v>
      </c>
      <c r="AA988" s="2">
        <v>2</v>
      </c>
      <c r="AB988" s="2">
        <v>2</v>
      </c>
      <c r="AC988" s="2">
        <v>1</v>
      </c>
      <c r="AD988" s="2">
        <v>0</v>
      </c>
      <c r="AE988" s="2">
        <v>0</v>
      </c>
      <c r="AF988" s="2">
        <v>1</v>
      </c>
      <c r="AG988" s="20">
        <f t="shared" si="15"/>
        <v>100</v>
      </c>
    </row>
    <row r="989" spans="1:33" x14ac:dyDescent="0.25">
      <c r="A989">
        <v>988</v>
      </c>
      <c r="B989" s="2">
        <v>3</v>
      </c>
      <c r="C989" s="2">
        <v>13</v>
      </c>
      <c r="D989" s="2">
        <v>2</v>
      </c>
      <c r="E989" s="2">
        <v>0</v>
      </c>
      <c r="F989" s="2">
        <v>0</v>
      </c>
      <c r="G989" s="2">
        <v>0</v>
      </c>
      <c r="H989" s="2">
        <v>1</v>
      </c>
      <c r="I989" s="2">
        <v>0</v>
      </c>
      <c r="J989" s="2">
        <v>0</v>
      </c>
      <c r="K989" s="2">
        <v>1409</v>
      </c>
      <c r="L989" s="2">
        <v>1</v>
      </c>
      <c r="M989" s="2">
        <v>0</v>
      </c>
      <c r="N989" s="2">
        <v>2</v>
      </c>
      <c r="O989" s="2">
        <v>0</v>
      </c>
      <c r="P989" s="2">
        <v>0</v>
      </c>
      <c r="Q989" s="2">
        <v>0</v>
      </c>
      <c r="R989" s="2">
        <v>0</v>
      </c>
      <c r="S989" s="2">
        <v>0</v>
      </c>
      <c r="T989" s="2">
        <v>4</v>
      </c>
      <c r="U989" s="2">
        <v>1</v>
      </c>
      <c r="V989" s="2">
        <v>0</v>
      </c>
      <c r="W989" s="2">
        <v>64</v>
      </c>
      <c r="X989" s="2">
        <v>0</v>
      </c>
      <c r="Y989" s="2">
        <v>0</v>
      </c>
      <c r="Z989" s="2">
        <v>1</v>
      </c>
      <c r="AA989" s="2">
        <v>1</v>
      </c>
      <c r="AB989" s="2">
        <v>2</v>
      </c>
      <c r="AC989" s="2">
        <v>1</v>
      </c>
      <c r="AD989" s="2">
        <v>0</v>
      </c>
      <c r="AE989" s="2">
        <v>0</v>
      </c>
      <c r="AF989" s="2">
        <v>1</v>
      </c>
      <c r="AG989" s="20">
        <f t="shared" si="15"/>
        <v>100</v>
      </c>
    </row>
    <row r="990" spans="1:33" x14ac:dyDescent="0.25">
      <c r="A990">
        <v>989</v>
      </c>
      <c r="B990" s="2">
        <v>0</v>
      </c>
      <c r="C990" s="2">
        <v>24</v>
      </c>
      <c r="D990" s="2">
        <v>2</v>
      </c>
      <c r="E990" s="2">
        <v>0</v>
      </c>
      <c r="F990" s="2">
        <v>1</v>
      </c>
      <c r="G990" s="2">
        <v>0</v>
      </c>
      <c r="H990" s="2">
        <v>0</v>
      </c>
      <c r="I990" s="2">
        <v>0</v>
      </c>
      <c r="J990" s="2">
        <v>0</v>
      </c>
      <c r="K990" s="2">
        <v>6579</v>
      </c>
      <c r="L990" s="2">
        <v>0</v>
      </c>
      <c r="M990" s="2">
        <v>0</v>
      </c>
      <c r="N990" s="2">
        <v>4</v>
      </c>
      <c r="O990" s="2">
        <v>0</v>
      </c>
      <c r="P990" s="2">
        <v>1</v>
      </c>
      <c r="Q990" s="2">
        <v>0</v>
      </c>
      <c r="R990" s="2">
        <v>0</v>
      </c>
      <c r="S990" s="2">
        <v>0</v>
      </c>
      <c r="T990" s="2">
        <v>2</v>
      </c>
      <c r="U990" s="2">
        <v>0</v>
      </c>
      <c r="V990" s="2">
        <v>1</v>
      </c>
      <c r="W990" s="2">
        <v>29</v>
      </c>
      <c r="X990" s="2">
        <v>0</v>
      </c>
      <c r="Y990" s="2">
        <v>0</v>
      </c>
      <c r="Z990" s="2">
        <v>0</v>
      </c>
      <c r="AA990" s="2">
        <v>1</v>
      </c>
      <c r="AB990" s="2">
        <v>3</v>
      </c>
      <c r="AC990" s="2">
        <v>1</v>
      </c>
      <c r="AD990" s="2">
        <v>1</v>
      </c>
      <c r="AE990" s="2">
        <v>0</v>
      </c>
      <c r="AF990" s="2">
        <v>1</v>
      </c>
      <c r="AG990" s="20">
        <f t="shared" si="15"/>
        <v>100</v>
      </c>
    </row>
    <row r="991" spans="1:33" x14ac:dyDescent="0.25">
      <c r="A991">
        <v>990</v>
      </c>
      <c r="B991" s="2">
        <v>1</v>
      </c>
      <c r="C991" s="2">
        <v>24</v>
      </c>
      <c r="D991" s="2">
        <v>4</v>
      </c>
      <c r="E991" s="2">
        <v>0</v>
      </c>
      <c r="F991" s="2">
        <v>0</v>
      </c>
      <c r="G991" s="2">
        <v>0</v>
      </c>
      <c r="H991" s="2">
        <v>1</v>
      </c>
      <c r="I991" s="2">
        <v>0</v>
      </c>
      <c r="J991" s="2">
        <v>0</v>
      </c>
      <c r="K991" s="2">
        <v>1743</v>
      </c>
      <c r="L991" s="2">
        <v>0</v>
      </c>
      <c r="M991" s="2">
        <v>4</v>
      </c>
      <c r="N991" s="2">
        <v>4</v>
      </c>
      <c r="O991" s="2">
        <v>0</v>
      </c>
      <c r="P991" s="2">
        <v>1</v>
      </c>
      <c r="Q991" s="2">
        <v>0</v>
      </c>
      <c r="R991" s="2">
        <v>0</v>
      </c>
      <c r="S991" s="2">
        <v>0</v>
      </c>
      <c r="T991" s="2">
        <v>2</v>
      </c>
      <c r="U991" s="2">
        <v>0</v>
      </c>
      <c r="V991" s="2">
        <v>0</v>
      </c>
      <c r="W991" s="2">
        <v>48</v>
      </c>
      <c r="X991" s="2">
        <v>0</v>
      </c>
      <c r="Y991" s="2">
        <v>0</v>
      </c>
      <c r="Z991" s="2">
        <v>1</v>
      </c>
      <c r="AA991" s="2">
        <v>2</v>
      </c>
      <c r="AB991" s="2">
        <v>1</v>
      </c>
      <c r="AC991" s="2">
        <v>1</v>
      </c>
      <c r="AD991" s="2">
        <v>0</v>
      </c>
      <c r="AE991" s="2">
        <v>0</v>
      </c>
      <c r="AF991" s="2">
        <v>1</v>
      </c>
      <c r="AG991" s="20">
        <f t="shared" si="15"/>
        <v>100</v>
      </c>
    </row>
    <row r="992" spans="1:33" x14ac:dyDescent="0.25">
      <c r="A992">
        <v>991</v>
      </c>
      <c r="B992" s="2">
        <v>3</v>
      </c>
      <c r="C992" s="2">
        <v>12</v>
      </c>
      <c r="D992" s="2">
        <v>4</v>
      </c>
      <c r="E992" s="2">
        <v>0</v>
      </c>
      <c r="F992" s="2">
        <v>0</v>
      </c>
      <c r="G992" s="2">
        <v>0</v>
      </c>
      <c r="H992" s="2">
        <v>0</v>
      </c>
      <c r="I992" s="2">
        <v>1</v>
      </c>
      <c r="J992" s="2">
        <v>0</v>
      </c>
      <c r="K992" s="2">
        <v>3565</v>
      </c>
      <c r="L992" s="2">
        <v>4</v>
      </c>
      <c r="M992" s="2">
        <v>1</v>
      </c>
      <c r="N992" s="2">
        <v>2</v>
      </c>
      <c r="O992" s="2">
        <v>0</v>
      </c>
      <c r="P992" s="2">
        <v>1</v>
      </c>
      <c r="Q992" s="2">
        <v>0</v>
      </c>
      <c r="R992" s="2">
        <v>0</v>
      </c>
      <c r="S992" s="2">
        <v>0</v>
      </c>
      <c r="T992" s="2">
        <v>1</v>
      </c>
      <c r="U992" s="2">
        <v>0</v>
      </c>
      <c r="V992" s="2">
        <v>0</v>
      </c>
      <c r="W992" s="2">
        <v>37</v>
      </c>
      <c r="X992" s="2">
        <v>0</v>
      </c>
      <c r="Y992" s="2">
        <v>0</v>
      </c>
      <c r="Z992" s="2">
        <v>1</v>
      </c>
      <c r="AA992" s="2">
        <v>2</v>
      </c>
      <c r="AB992" s="2">
        <v>1</v>
      </c>
      <c r="AC992" s="2">
        <v>2</v>
      </c>
      <c r="AD992" s="2">
        <v>0</v>
      </c>
      <c r="AE992" s="2">
        <v>0</v>
      </c>
      <c r="AF992" s="2">
        <v>1</v>
      </c>
      <c r="AG992" s="20">
        <f t="shared" si="15"/>
        <v>100</v>
      </c>
    </row>
    <row r="993" spans="1:33" x14ac:dyDescent="0.25">
      <c r="A993">
        <v>992</v>
      </c>
      <c r="B993" s="2">
        <v>3</v>
      </c>
      <c r="C993" s="2">
        <v>15</v>
      </c>
      <c r="D993" s="2">
        <v>1</v>
      </c>
      <c r="E993" s="2">
        <v>0</v>
      </c>
      <c r="F993" s="2">
        <v>0</v>
      </c>
      <c r="G993" s="2">
        <v>0</v>
      </c>
      <c r="H993" s="2">
        <v>1</v>
      </c>
      <c r="I993" s="2">
        <v>0</v>
      </c>
      <c r="J993" s="2">
        <v>0</v>
      </c>
      <c r="K993" s="2">
        <v>1569</v>
      </c>
      <c r="L993" s="2">
        <v>1</v>
      </c>
      <c r="M993" s="2">
        <v>4</v>
      </c>
      <c r="N993" s="2">
        <v>4</v>
      </c>
      <c r="O993" s="2">
        <v>0</v>
      </c>
      <c r="P993" s="2">
        <v>1</v>
      </c>
      <c r="Q993" s="2">
        <v>0</v>
      </c>
      <c r="R993" s="2">
        <v>0</v>
      </c>
      <c r="S993" s="2">
        <v>0</v>
      </c>
      <c r="T993" s="2">
        <v>4</v>
      </c>
      <c r="U993" s="2">
        <v>0</v>
      </c>
      <c r="V993" s="2">
        <v>0</v>
      </c>
      <c r="W993" s="2">
        <v>34</v>
      </c>
      <c r="X993" s="2">
        <v>1</v>
      </c>
      <c r="Y993" s="2">
        <v>0</v>
      </c>
      <c r="Z993" s="2">
        <v>1</v>
      </c>
      <c r="AA993" s="2">
        <v>1</v>
      </c>
      <c r="AB993" s="2">
        <v>1</v>
      </c>
      <c r="AC993" s="2">
        <v>2</v>
      </c>
      <c r="AD993" s="2">
        <v>0</v>
      </c>
      <c r="AE993" s="2">
        <v>0</v>
      </c>
      <c r="AF993" s="2">
        <v>1</v>
      </c>
      <c r="AG993" s="20">
        <f t="shared" si="15"/>
        <v>100</v>
      </c>
    </row>
    <row r="994" spans="1:33" x14ac:dyDescent="0.25">
      <c r="A994">
        <v>993</v>
      </c>
      <c r="B994" s="2">
        <v>0</v>
      </c>
      <c r="C994" s="2">
        <v>18</v>
      </c>
      <c r="D994" s="2">
        <v>2</v>
      </c>
      <c r="E994" s="2">
        <v>0</v>
      </c>
      <c r="F994" s="2">
        <v>0</v>
      </c>
      <c r="G994" s="2">
        <v>0</v>
      </c>
      <c r="H994" s="2">
        <v>1</v>
      </c>
      <c r="I994" s="2">
        <v>0</v>
      </c>
      <c r="J994" s="2">
        <v>0</v>
      </c>
      <c r="K994" s="2">
        <v>1936</v>
      </c>
      <c r="L994" s="2">
        <v>4</v>
      </c>
      <c r="M994" s="2">
        <v>3</v>
      </c>
      <c r="N994" s="2">
        <v>2</v>
      </c>
      <c r="O994" s="2">
        <v>0</v>
      </c>
      <c r="P994" s="2">
        <v>0</v>
      </c>
      <c r="Q994" s="2">
        <v>1</v>
      </c>
      <c r="R994" s="2">
        <v>0</v>
      </c>
      <c r="S994" s="2">
        <v>0</v>
      </c>
      <c r="T994" s="2">
        <v>4</v>
      </c>
      <c r="U994" s="2">
        <v>0</v>
      </c>
      <c r="V994" s="2">
        <v>0</v>
      </c>
      <c r="W994" s="2">
        <v>23</v>
      </c>
      <c r="X994" s="2">
        <v>0</v>
      </c>
      <c r="Y994" s="2">
        <v>1</v>
      </c>
      <c r="Z994" s="2">
        <v>0</v>
      </c>
      <c r="AA994" s="2">
        <v>2</v>
      </c>
      <c r="AB994" s="2">
        <v>1</v>
      </c>
      <c r="AC994" s="2">
        <v>1</v>
      </c>
      <c r="AD994" s="2">
        <v>0</v>
      </c>
      <c r="AE994" s="2">
        <v>0</v>
      </c>
      <c r="AF994" s="2">
        <v>1</v>
      </c>
      <c r="AG994" s="20">
        <f t="shared" si="15"/>
        <v>100</v>
      </c>
    </row>
    <row r="995" spans="1:33" x14ac:dyDescent="0.25">
      <c r="A995">
        <v>994</v>
      </c>
      <c r="B995" s="2">
        <v>0</v>
      </c>
      <c r="C995" s="2">
        <v>36</v>
      </c>
      <c r="D995" s="2">
        <v>2</v>
      </c>
      <c r="E995" s="2">
        <v>0</v>
      </c>
      <c r="F995" s="2">
        <v>0</v>
      </c>
      <c r="G995" s="2">
        <v>1</v>
      </c>
      <c r="H995" s="2">
        <v>0</v>
      </c>
      <c r="I995" s="2">
        <v>0</v>
      </c>
      <c r="J995" s="2">
        <v>0</v>
      </c>
      <c r="K995" s="2">
        <v>3959</v>
      </c>
      <c r="L995" s="2">
        <v>0</v>
      </c>
      <c r="M995" s="2">
        <v>0</v>
      </c>
      <c r="N995" s="2">
        <v>4</v>
      </c>
      <c r="O995" s="2">
        <v>0</v>
      </c>
      <c r="P995" s="2">
        <v>1</v>
      </c>
      <c r="Q995" s="2">
        <v>0</v>
      </c>
      <c r="R995" s="2">
        <v>0</v>
      </c>
      <c r="S995" s="2">
        <v>0</v>
      </c>
      <c r="T995" s="2">
        <v>3</v>
      </c>
      <c r="U995" s="2">
        <v>0</v>
      </c>
      <c r="V995" s="2">
        <v>0</v>
      </c>
      <c r="W995" s="2">
        <v>30</v>
      </c>
      <c r="X995" s="2">
        <v>0</v>
      </c>
      <c r="Y995" s="2">
        <v>0</v>
      </c>
      <c r="Z995" s="2">
        <v>1</v>
      </c>
      <c r="AA995" s="2">
        <v>1</v>
      </c>
      <c r="AB995" s="2">
        <v>3</v>
      </c>
      <c r="AC995" s="2">
        <v>1</v>
      </c>
      <c r="AD995" s="2">
        <v>1</v>
      </c>
      <c r="AE995" s="2">
        <v>0</v>
      </c>
      <c r="AF995" s="2">
        <v>1</v>
      </c>
      <c r="AG995" s="20">
        <f t="shared" si="15"/>
        <v>100</v>
      </c>
    </row>
    <row r="996" spans="1:33" x14ac:dyDescent="0.25">
      <c r="A996">
        <v>995</v>
      </c>
      <c r="B996" s="2">
        <v>3</v>
      </c>
      <c r="C996" s="2">
        <v>12</v>
      </c>
      <c r="D996" s="2">
        <v>2</v>
      </c>
      <c r="E996" s="2">
        <v>1</v>
      </c>
      <c r="F996" s="2">
        <v>0</v>
      </c>
      <c r="G996" s="2">
        <v>0</v>
      </c>
      <c r="H996" s="2">
        <v>0</v>
      </c>
      <c r="I996" s="2">
        <v>0</v>
      </c>
      <c r="J996" s="2">
        <v>0</v>
      </c>
      <c r="K996" s="2">
        <v>2390</v>
      </c>
      <c r="L996" s="2">
        <v>4</v>
      </c>
      <c r="M996" s="2">
        <v>4</v>
      </c>
      <c r="N996" s="2">
        <v>4</v>
      </c>
      <c r="O996" s="2">
        <v>0</v>
      </c>
      <c r="P996" s="2">
        <v>1</v>
      </c>
      <c r="Q996" s="2">
        <v>0</v>
      </c>
      <c r="R996" s="2">
        <v>0</v>
      </c>
      <c r="S996" s="2">
        <v>0</v>
      </c>
      <c r="T996" s="2">
        <v>3</v>
      </c>
      <c r="U996" s="2">
        <v>0</v>
      </c>
      <c r="V996" s="2">
        <v>0</v>
      </c>
      <c r="W996" s="2">
        <v>50</v>
      </c>
      <c r="X996" s="2">
        <v>0</v>
      </c>
      <c r="Y996" s="2">
        <v>0</v>
      </c>
      <c r="Z996" s="2">
        <v>1</v>
      </c>
      <c r="AA996" s="2">
        <v>1</v>
      </c>
      <c r="AB996" s="2">
        <v>2</v>
      </c>
      <c r="AC996" s="2">
        <v>1</v>
      </c>
      <c r="AD996" s="2">
        <v>1</v>
      </c>
      <c r="AE996" s="2">
        <v>0</v>
      </c>
      <c r="AF996" s="2">
        <v>1</v>
      </c>
      <c r="AG996" s="20">
        <f t="shared" si="15"/>
        <v>100</v>
      </c>
    </row>
    <row r="997" spans="1:33" x14ac:dyDescent="0.25">
      <c r="A997">
        <v>996</v>
      </c>
      <c r="B997" s="2">
        <v>3</v>
      </c>
      <c r="C997" s="2">
        <v>12</v>
      </c>
      <c r="D997" s="2">
        <v>2</v>
      </c>
      <c r="E997" s="2">
        <v>0</v>
      </c>
      <c r="F997" s="2">
        <v>0</v>
      </c>
      <c r="G997" s="2">
        <v>1</v>
      </c>
      <c r="H997" s="2">
        <v>0</v>
      </c>
      <c r="I997" s="2">
        <v>0</v>
      </c>
      <c r="J997" s="2">
        <v>0</v>
      </c>
      <c r="K997" s="2">
        <v>1736</v>
      </c>
      <c r="L997" s="2">
        <v>0</v>
      </c>
      <c r="M997" s="2">
        <v>3</v>
      </c>
      <c r="N997" s="2">
        <v>3</v>
      </c>
      <c r="O997" s="2">
        <v>0</v>
      </c>
      <c r="P997" s="2">
        <v>0</v>
      </c>
      <c r="Q997" s="2">
        <v>0</v>
      </c>
      <c r="R997" s="2">
        <v>0</v>
      </c>
      <c r="S997" s="2">
        <v>0</v>
      </c>
      <c r="T997" s="2">
        <v>4</v>
      </c>
      <c r="U997" s="2">
        <v>1</v>
      </c>
      <c r="V997" s="2">
        <v>0</v>
      </c>
      <c r="W997" s="2">
        <v>31</v>
      </c>
      <c r="X997" s="2">
        <v>0</v>
      </c>
      <c r="Y997" s="2">
        <v>0</v>
      </c>
      <c r="Z997" s="2">
        <v>1</v>
      </c>
      <c r="AA997" s="2">
        <v>1</v>
      </c>
      <c r="AB997" s="2">
        <v>1</v>
      </c>
      <c r="AC997" s="2">
        <v>1</v>
      </c>
      <c r="AD997" s="2">
        <v>0</v>
      </c>
      <c r="AE997" s="2">
        <v>0</v>
      </c>
      <c r="AF997" s="2">
        <v>1</v>
      </c>
      <c r="AG997" s="20">
        <f t="shared" si="15"/>
        <v>100</v>
      </c>
    </row>
    <row r="998" spans="1:33" x14ac:dyDescent="0.25">
      <c r="A998">
        <v>997</v>
      </c>
      <c r="B998" s="2">
        <v>0</v>
      </c>
      <c r="C998" s="2">
        <v>30</v>
      </c>
      <c r="D998" s="2">
        <v>2</v>
      </c>
      <c r="E998" s="2">
        <v>0</v>
      </c>
      <c r="F998" s="2">
        <v>1</v>
      </c>
      <c r="G998" s="2">
        <v>0</v>
      </c>
      <c r="H998" s="2">
        <v>0</v>
      </c>
      <c r="I998" s="2">
        <v>0</v>
      </c>
      <c r="J998" s="2">
        <v>0</v>
      </c>
      <c r="K998" s="2">
        <v>3857</v>
      </c>
      <c r="L998" s="2">
        <v>0</v>
      </c>
      <c r="M998" s="2">
        <v>2</v>
      </c>
      <c r="N998" s="2">
        <v>4</v>
      </c>
      <c r="O998" s="2">
        <v>1</v>
      </c>
      <c r="P998" s="2">
        <v>0</v>
      </c>
      <c r="Q998" s="2">
        <v>0</v>
      </c>
      <c r="R998" s="2">
        <v>0</v>
      </c>
      <c r="S998" s="2">
        <v>0</v>
      </c>
      <c r="T998" s="2">
        <v>4</v>
      </c>
      <c r="U998" s="2">
        <v>0</v>
      </c>
      <c r="V998" s="2">
        <v>0</v>
      </c>
      <c r="W998" s="2">
        <v>40</v>
      </c>
      <c r="X998" s="2">
        <v>0</v>
      </c>
      <c r="Y998" s="2">
        <v>0</v>
      </c>
      <c r="Z998" s="2">
        <v>1</v>
      </c>
      <c r="AA998" s="2">
        <v>1</v>
      </c>
      <c r="AB998" s="2">
        <v>3</v>
      </c>
      <c r="AC998" s="2">
        <v>1</v>
      </c>
      <c r="AD998" s="2">
        <v>1</v>
      </c>
      <c r="AE998" s="2">
        <v>0</v>
      </c>
      <c r="AF998" s="2">
        <v>1</v>
      </c>
      <c r="AG998" s="20">
        <f t="shared" si="15"/>
        <v>100</v>
      </c>
    </row>
    <row r="999" spans="1:33" x14ac:dyDescent="0.25">
      <c r="A999">
        <v>998</v>
      </c>
      <c r="B999" s="2">
        <v>3</v>
      </c>
      <c r="C999" s="2">
        <v>12</v>
      </c>
      <c r="D999" s="2">
        <v>2</v>
      </c>
      <c r="E999" s="2">
        <v>0</v>
      </c>
      <c r="F999" s="2">
        <v>0</v>
      </c>
      <c r="G999" s="2">
        <v>0</v>
      </c>
      <c r="H999" s="2">
        <v>1</v>
      </c>
      <c r="I999" s="2">
        <v>0</v>
      </c>
      <c r="J999" s="2">
        <v>0</v>
      </c>
      <c r="K999" s="2">
        <v>804</v>
      </c>
      <c r="L999" s="2">
        <v>0</v>
      </c>
      <c r="M999" s="2">
        <v>4</v>
      </c>
      <c r="N999" s="2">
        <v>4</v>
      </c>
      <c r="O999" s="2">
        <v>0</v>
      </c>
      <c r="P999" s="2">
        <v>1</v>
      </c>
      <c r="Q999" s="2">
        <v>0</v>
      </c>
      <c r="R999" s="2">
        <v>0</v>
      </c>
      <c r="S999" s="2">
        <v>0</v>
      </c>
      <c r="T999" s="2">
        <v>4</v>
      </c>
      <c r="U999" s="2">
        <v>0</v>
      </c>
      <c r="V999" s="2">
        <v>0</v>
      </c>
      <c r="W999" s="2">
        <v>38</v>
      </c>
      <c r="X999" s="2">
        <v>0</v>
      </c>
      <c r="Y999" s="2">
        <v>0</v>
      </c>
      <c r="Z999" s="2">
        <v>1</v>
      </c>
      <c r="AA999" s="2">
        <v>1</v>
      </c>
      <c r="AB999" s="2">
        <v>2</v>
      </c>
      <c r="AC999" s="2">
        <v>1</v>
      </c>
      <c r="AD999" s="2">
        <v>0</v>
      </c>
      <c r="AE999" s="2">
        <v>0</v>
      </c>
      <c r="AF999" s="2">
        <v>1</v>
      </c>
      <c r="AG999" s="20">
        <f t="shared" si="15"/>
        <v>100</v>
      </c>
    </row>
    <row r="1000" spans="1:33" x14ac:dyDescent="0.25">
      <c r="A1000">
        <v>999</v>
      </c>
      <c r="B1000" s="2">
        <v>0</v>
      </c>
      <c r="C1000" s="2">
        <v>45</v>
      </c>
      <c r="D1000" s="2">
        <v>2</v>
      </c>
      <c r="E1000" s="2">
        <v>0</v>
      </c>
      <c r="F1000" s="2">
        <v>0</v>
      </c>
      <c r="G1000" s="2">
        <v>0</v>
      </c>
      <c r="H1000" s="2">
        <v>1</v>
      </c>
      <c r="I1000" s="2">
        <v>0</v>
      </c>
      <c r="J1000" s="2">
        <v>0</v>
      </c>
      <c r="K1000" s="2">
        <v>1845</v>
      </c>
      <c r="L1000" s="2">
        <v>0</v>
      </c>
      <c r="M1000" s="2">
        <v>2</v>
      </c>
      <c r="N1000" s="2">
        <v>4</v>
      </c>
      <c r="O1000" s="2">
        <v>0</v>
      </c>
      <c r="P1000" s="2">
        <v>1</v>
      </c>
      <c r="Q1000" s="2">
        <v>0</v>
      </c>
      <c r="R1000" s="2">
        <v>0</v>
      </c>
      <c r="S1000" s="2">
        <v>0</v>
      </c>
      <c r="T1000" s="2">
        <v>4</v>
      </c>
      <c r="U1000" s="2">
        <v>0</v>
      </c>
      <c r="V1000" s="2">
        <v>1</v>
      </c>
      <c r="W1000" s="2">
        <v>23</v>
      </c>
      <c r="X1000" s="2">
        <v>0</v>
      </c>
      <c r="Y1000" s="2">
        <v>0</v>
      </c>
      <c r="Z1000" s="2">
        <v>0</v>
      </c>
      <c r="AA1000" s="2">
        <v>1</v>
      </c>
      <c r="AB1000" s="2">
        <v>2</v>
      </c>
      <c r="AC1000" s="2">
        <v>1</v>
      </c>
      <c r="AD1000" s="2">
        <v>1</v>
      </c>
      <c r="AE1000" s="2">
        <v>0</v>
      </c>
      <c r="AF1000" s="2">
        <v>0</v>
      </c>
      <c r="AG1000" s="20">
        <f t="shared" si="15"/>
        <v>-500</v>
      </c>
    </row>
    <row r="1001" spans="1:33" x14ac:dyDescent="0.25">
      <c r="A1001">
        <v>1000</v>
      </c>
      <c r="B1001" s="2">
        <v>1</v>
      </c>
      <c r="C1001" s="2">
        <v>45</v>
      </c>
      <c r="D1001" s="2">
        <v>4</v>
      </c>
      <c r="E1001" s="2">
        <v>0</v>
      </c>
      <c r="F1001" s="2">
        <v>1</v>
      </c>
      <c r="G1001" s="2">
        <v>0</v>
      </c>
      <c r="H1001" s="2">
        <v>0</v>
      </c>
      <c r="I1001" s="2">
        <v>0</v>
      </c>
      <c r="J1001" s="2">
        <v>0</v>
      </c>
      <c r="K1001" s="2">
        <v>4576</v>
      </c>
      <c r="L1001" s="2">
        <v>1</v>
      </c>
      <c r="M1001" s="2">
        <v>0</v>
      </c>
      <c r="N1001" s="2">
        <v>3</v>
      </c>
      <c r="O1001" s="2">
        <v>0</v>
      </c>
      <c r="P1001" s="2">
        <v>1</v>
      </c>
      <c r="Q1001" s="2">
        <v>0</v>
      </c>
      <c r="R1001" s="2">
        <v>0</v>
      </c>
      <c r="S1001" s="2">
        <v>0</v>
      </c>
      <c r="T1001" s="2">
        <v>4</v>
      </c>
      <c r="U1001" s="2">
        <v>0</v>
      </c>
      <c r="V1001" s="2">
        <v>0</v>
      </c>
      <c r="W1001" s="2">
        <v>27</v>
      </c>
      <c r="X1001" s="2">
        <v>0</v>
      </c>
      <c r="Y1001" s="2">
        <v>0</v>
      </c>
      <c r="Z1001" s="2">
        <v>1</v>
      </c>
      <c r="AA1001" s="2">
        <v>1</v>
      </c>
      <c r="AB1001" s="2">
        <v>2</v>
      </c>
      <c r="AC1001" s="2">
        <v>1</v>
      </c>
      <c r="AD1001" s="2">
        <v>0</v>
      </c>
      <c r="AE1001" s="2">
        <v>0</v>
      </c>
      <c r="AF1001" s="2">
        <v>1</v>
      </c>
      <c r="AG1001" s="20">
        <f t="shared" si="15"/>
        <v>100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Y600"/>
  <sheetViews>
    <sheetView showGridLines="0" topLeftCell="A66" workbookViewId="0">
      <selection activeCell="I86" sqref="I86"/>
    </sheetView>
  </sheetViews>
  <sheetFormatPr defaultRowHeight="13.2" x14ac:dyDescent="0.25"/>
  <cols>
    <col min="3" max="3" width="14.21875" bestFit="1" customWidth="1"/>
    <col min="16" max="16" width="13.5546875" bestFit="1" customWidth="1"/>
  </cols>
  <sheetData>
    <row r="1" spans="2:103" ht="18" x14ac:dyDescent="0.35">
      <c r="B1" s="23" t="s">
        <v>180</v>
      </c>
      <c r="N1" t="s">
        <v>759</v>
      </c>
      <c r="CQ1" s="24">
        <v>0.99234003297003892</v>
      </c>
      <c r="CR1" s="24" t="str">
        <f>"1"</f>
        <v>1</v>
      </c>
      <c r="CS1" t="str">
        <f ca="1">IF((OFFSET($A$1, 1 - 1, 95 - 1)) &gt;= (OFFSET($A$1, 55 - 1, 7 - 1)), "1","0")</f>
        <v>1</v>
      </c>
      <c r="CT1">
        <f ca="1" xml:space="preserve"> IF( AND( OFFSET($A$1, 1 - 1, 96 - 1) = "1", OFFSET($A$1, 1 - 1, 97 - 1) = "1" ), 1, IF( AND( OFFSET($A$1, 1 - 1, 96 - 1) = "1", OFFSET($A$1, 1 - 1, 97 - 1) = "0" ), 2, IF( AND( OFFSET($A$1, 1 - 1, 96 - 1) = "0", OFFSET($A$1, 1 - 1, 97 - 1) = "1" ), 3, 4 ) ) )</f>
        <v>1</v>
      </c>
      <c r="CV1" s="24">
        <v>0.99616345475744938</v>
      </c>
      <c r="CW1" s="24" t="str">
        <f t="shared" ref="CW1:CW10" si="0">"1"</f>
        <v>1</v>
      </c>
      <c r="CX1" t="str">
        <f ca="1">IF((OFFSET($A$1, 1 - 1, 100 - 1)) &gt;= (OFFSET($A$1, 79 - 1, 7 - 1)), "1","0")</f>
        <v>1</v>
      </c>
      <c r="CY1">
        <f ca="1" xml:space="preserve"> IF( AND( OFFSET($A$1, 1 - 1, 101 - 1) = "1", OFFSET($A$1, 1 - 1, 102 - 1) = "1" ), 1, IF( AND( OFFSET($A$1, 1 - 1, 101 - 1) = "1", OFFSET($A$1, 1 - 1, 102 - 1) = "0" ), 2, IF( AND( OFFSET($A$1, 1 - 1, 101 - 1) = "0", OFFSET($A$1, 1 - 1, 102 - 1) = "1" ), 3, 4 ) ) )</f>
        <v>1</v>
      </c>
    </row>
    <row r="2" spans="2:103" ht="13.8" x14ac:dyDescent="0.3">
      <c r="CQ2" s="24">
        <v>0.17933761500453924</v>
      </c>
      <c r="CR2" s="24" t="str">
        <f>"0"</f>
        <v>0</v>
      </c>
      <c r="CS2" t="str">
        <f ca="1">IF((OFFSET($A$1, 2 - 1, 95 - 1)) &gt;= (OFFSET($A$1, 55 - 1, 7 - 1)), "1","0")</f>
        <v>0</v>
      </c>
      <c r="CT2">
        <f ca="1" xml:space="preserve"> IF( AND( OFFSET($A$1, 2 - 1, 96 - 1) = "1", OFFSET($A$1, 2 - 1, 97 - 1) = "1" ), 1, IF( AND( OFFSET($A$1, 2 - 1, 96 - 1) = "1", OFFSET($A$1, 2 - 1, 97 - 1) = "0" ), 2, IF( AND( OFFSET($A$1, 2 - 1, 96 - 1) = "0", OFFSET($A$1, 2 - 1, 97 - 1) = "1" ), 3, 4 ) ) )</f>
        <v>4</v>
      </c>
      <c r="CV2" s="24">
        <v>0.99903883775234947</v>
      </c>
      <c r="CW2" s="24" t="str">
        <f t="shared" si="0"/>
        <v>1</v>
      </c>
      <c r="CX2" t="str">
        <f ca="1">IF((OFFSET($A$1, 2 - 1, 100 - 1)) &gt;= (OFFSET($A$1, 79 - 1, 7 - 1)), "1","0")</f>
        <v>1</v>
      </c>
      <c r="CY2">
        <f ca="1" xml:space="preserve"> IF( AND( OFFSET($A$1, 2 - 1, 101 - 1) = "1", OFFSET($A$1, 2 - 1, 102 - 1) = "1" ), 1, IF( AND( OFFSET($A$1, 2 - 1, 101 - 1) = "1", OFFSET($A$1, 2 - 1, 102 - 1) = "0" ), 2, IF( AND( OFFSET($A$1, 2 - 1, 101 - 1) = "0", OFFSET($A$1, 2 - 1, 102 - 1) = "1" ), 3, 4 ) ) )</f>
        <v>1</v>
      </c>
    </row>
    <row r="3" spans="2:103" ht="15.6" x14ac:dyDescent="0.3">
      <c r="B3" s="59" t="s">
        <v>136</v>
      </c>
      <c r="C3" s="60"/>
      <c r="D3" s="60"/>
      <c r="E3" s="60"/>
      <c r="F3" s="60"/>
      <c r="G3" s="60"/>
      <c r="H3" s="60"/>
      <c r="I3" s="60"/>
      <c r="J3" s="60"/>
      <c r="K3" s="60"/>
      <c r="L3" s="60"/>
      <c r="M3" s="61"/>
      <c r="P3" s="59" t="s">
        <v>137</v>
      </c>
      <c r="Q3" s="60"/>
      <c r="R3" s="60"/>
      <c r="S3" s="61"/>
      <c r="CQ3" s="24">
        <v>0.93745722558550837</v>
      </c>
      <c r="CR3" s="24" t="str">
        <f>"1"</f>
        <v>1</v>
      </c>
      <c r="CS3" t="str">
        <f ca="1">IF((OFFSET($A$1, 3 - 1, 95 - 1)) &gt;= (OFFSET($A$1, 55 - 1, 7 - 1)), "1","0")</f>
        <v>1</v>
      </c>
      <c r="CT3">
        <f ca="1" xml:space="preserve"> IF( AND( OFFSET($A$1, 3 - 1, 96 - 1) = "1", OFFSET($A$1, 3 - 1, 97 - 1) = "1" ), 1, IF( AND( OFFSET($A$1, 3 - 1, 96 - 1) = "1", OFFSET($A$1, 3 - 1, 97 - 1) = "0" ), 2, IF( AND( OFFSET($A$1, 3 - 1, 96 - 1) = "0", OFFSET($A$1, 3 - 1, 97 - 1) = "1" ), 3, 4 ) ) )</f>
        <v>1</v>
      </c>
      <c r="CV3" s="24">
        <v>0.946796089113767</v>
      </c>
      <c r="CW3" s="24" t="str">
        <f t="shared" si="0"/>
        <v>1</v>
      </c>
      <c r="CX3" t="str">
        <f ca="1">IF((OFFSET($A$1, 3 - 1, 100 - 1)) &gt;= (OFFSET($A$1, 79 - 1, 7 - 1)), "1","0")</f>
        <v>1</v>
      </c>
      <c r="CY3">
        <f ca="1" xml:space="preserve"> IF( AND( OFFSET($A$1, 3 - 1, 101 - 1) = "1", OFFSET($A$1, 3 - 1, 102 - 1) = "1" ), 1, IF( AND( OFFSET($A$1, 3 - 1, 101 - 1) = "1", OFFSET($A$1, 3 - 1, 102 - 1) = "0" ), 2, IF( AND( OFFSET($A$1, 3 - 1, 101 - 1) = "0", OFFSET($A$1, 3 - 1, 102 - 1) = "1" ), 3, 4 ) ) )</f>
        <v>1</v>
      </c>
    </row>
    <row r="4" spans="2:103" ht="13.8" x14ac:dyDescent="0.3">
      <c r="B4" s="65" t="s">
        <v>141</v>
      </c>
      <c r="C4" s="66"/>
      <c r="D4" s="65" t="s">
        <v>683</v>
      </c>
      <c r="E4" s="66"/>
      <c r="F4" s="65" t="s">
        <v>684</v>
      </c>
      <c r="G4" s="66"/>
      <c r="H4" s="65" t="s">
        <v>685</v>
      </c>
      <c r="I4" s="66"/>
      <c r="J4" s="65" t="s">
        <v>686</v>
      </c>
      <c r="K4" s="66"/>
      <c r="L4" s="65" t="s">
        <v>687</v>
      </c>
      <c r="M4" s="66"/>
      <c r="P4" s="26" t="s">
        <v>182</v>
      </c>
      <c r="Q4" s="26" t="s">
        <v>183</v>
      </c>
      <c r="R4" s="26" t="s">
        <v>139</v>
      </c>
      <c r="S4" s="26" t="s">
        <v>140</v>
      </c>
      <c r="CQ4" s="24">
        <v>0.21317814551554895</v>
      </c>
      <c r="CR4" s="24" t="str">
        <f>"0"</f>
        <v>0</v>
      </c>
      <c r="CS4" t="str">
        <f ca="1">IF((OFFSET($A$1, 4 - 1, 95 - 1)) &gt;= (OFFSET($A$1, 55 - 1, 7 - 1)), "1","0")</f>
        <v>0</v>
      </c>
      <c r="CT4">
        <f ca="1" xml:space="preserve"> IF( AND( OFFSET($A$1, 4 - 1, 96 - 1) = "1", OFFSET($A$1, 4 - 1, 97 - 1) = "1" ), 1, IF( AND( OFFSET($A$1, 4 - 1, 96 - 1) = "1", OFFSET($A$1, 4 - 1, 97 - 1) = "0" ), 2, IF( AND( OFFSET($A$1, 4 - 1, 96 - 1) = "0", OFFSET($A$1, 4 - 1, 97 - 1) = "1" ), 3, 4 ) ) )</f>
        <v>4</v>
      </c>
      <c r="CV4" s="24">
        <v>0.99054618998902555</v>
      </c>
      <c r="CW4" s="24" t="str">
        <f t="shared" si="0"/>
        <v>1</v>
      </c>
      <c r="CX4" t="str">
        <f ca="1">IF((OFFSET($A$1, 4 - 1, 100 - 1)) &gt;= (OFFSET($A$1, 79 - 1, 7 - 1)), "1","0")</f>
        <v>1</v>
      </c>
      <c r="CY4">
        <f ca="1" xml:space="preserve"> IF( AND( OFFSET($A$1, 4 - 1, 101 - 1) = "1", OFFSET($A$1, 4 - 1, 102 - 1) = "1" ), 1, IF( AND( OFFSET($A$1, 4 - 1, 101 - 1) = "1", OFFSET($A$1, 4 - 1, 102 - 1) = "0" ), 2, IF( AND( OFFSET($A$1, 4 - 1, 101 - 1) = "0", OFFSET($A$1, 4 - 1, 102 - 1) = "1" ), 3, 4 ) ) )</f>
        <v>1</v>
      </c>
    </row>
    <row r="5" spans="2:103" ht="13.8" x14ac:dyDescent="0.3">
      <c r="P5" s="24">
        <v>47</v>
      </c>
      <c r="Q5" s="24">
        <v>414</v>
      </c>
      <c r="R5" s="24">
        <v>141</v>
      </c>
      <c r="S5" s="24">
        <v>602</v>
      </c>
      <c r="CQ5" s="24">
        <v>6.0757335573656771E-2</v>
      </c>
      <c r="CR5" s="24" t="str">
        <f>"0"</f>
        <v>0</v>
      </c>
      <c r="CS5" t="str">
        <f ca="1">IF((OFFSET($A$1, 5 - 1, 95 - 1)) &gt;= (OFFSET($A$1, 55 - 1, 7 - 1)), "1","0")</f>
        <v>0</v>
      </c>
      <c r="CT5">
        <f ca="1" xml:space="preserve"> IF( AND( OFFSET($A$1, 5 - 1, 96 - 1) = "1", OFFSET($A$1, 5 - 1, 97 - 1) = "1" ), 1, IF( AND( OFFSET($A$1, 5 - 1, 96 - 1) = "1", OFFSET($A$1, 5 - 1, 97 - 1) = "0" ), 2, IF( AND( OFFSET($A$1, 5 - 1, 96 - 1) = "0", OFFSET($A$1, 5 - 1, 97 - 1) = "1" ), 3, 4 ) ) )</f>
        <v>4</v>
      </c>
      <c r="CV5" s="24">
        <v>0.99543415782546429</v>
      </c>
      <c r="CW5" s="24" t="str">
        <f t="shared" si="0"/>
        <v>1</v>
      </c>
      <c r="CX5" t="str">
        <f ca="1">IF((OFFSET($A$1, 5 - 1, 100 - 1)) &gt;= (OFFSET($A$1, 79 - 1, 7 - 1)), "1","0")</f>
        <v>1</v>
      </c>
      <c r="CY5">
        <f ca="1" xml:space="preserve"> IF( AND( OFFSET($A$1, 5 - 1, 101 - 1) = "1", OFFSET($A$1, 5 - 1, 102 - 1) = "1" ), 1, IF( AND( OFFSET($A$1, 5 - 1, 101 - 1) = "1", OFFSET($A$1, 5 - 1, 102 - 1) = "0" ), 2, IF( AND( OFFSET($A$1, 5 - 1, 101 - 1) = "0", OFFSET($A$1, 5 - 1, 102 - 1) = "1" ), 3, 4 ) ) )</f>
        <v>1</v>
      </c>
    </row>
    <row r="6" spans="2:103" ht="13.8" x14ac:dyDescent="0.3">
      <c r="CQ6" s="24">
        <v>0.12194055941389073</v>
      </c>
      <c r="CR6" s="24" t="str">
        <f>"1"</f>
        <v>1</v>
      </c>
      <c r="CS6" t="str">
        <f ca="1">IF((OFFSET($A$1, 6 - 1, 95 - 1)) &gt;= (OFFSET($A$1, 55 - 1, 7 - 1)), "1","0")</f>
        <v>0</v>
      </c>
      <c r="CT6">
        <f ca="1" xml:space="preserve"> IF( AND( OFFSET($A$1, 6 - 1, 96 - 1) = "1", OFFSET($A$1, 6 - 1, 97 - 1) = "1" ), 1, IF( AND( OFFSET($A$1, 6 - 1, 96 - 1) = "1", OFFSET($A$1, 6 - 1, 97 - 1) = "0" ), 2, IF( AND( OFFSET($A$1, 6 - 1, 96 - 1) = "0", OFFSET($A$1, 6 - 1, 97 - 1) = "1" ), 3, 4 ) ) )</f>
        <v>2</v>
      </c>
      <c r="CV6" s="24">
        <v>0.99905655116970637</v>
      </c>
      <c r="CW6" s="24" t="str">
        <f t="shared" si="0"/>
        <v>1</v>
      </c>
      <c r="CX6" t="str">
        <f ca="1">IF((OFFSET($A$1, 6 - 1, 100 - 1)) &gt;= (OFFSET($A$1, 79 - 1, 7 - 1)), "1","0")</f>
        <v>1</v>
      </c>
      <c r="CY6">
        <f ca="1" xml:space="preserve"> IF( AND( OFFSET($A$1, 6 - 1, 101 - 1) = "1", OFFSET($A$1, 6 - 1, 102 - 1) = "1" ), 1, IF( AND( OFFSET($A$1, 6 - 1, 101 - 1) = "1", OFFSET($A$1, 6 - 1, 102 - 1) = "0" ), 2, IF( AND( OFFSET($A$1, 6 - 1, 101 - 1) = "0", OFFSET($A$1, 6 - 1, 102 - 1) = "1" ), 3, 4 ) ) )</f>
        <v>1</v>
      </c>
    </row>
    <row r="7" spans="2:103" ht="13.8" x14ac:dyDescent="0.3">
      <c r="CQ7" s="24">
        <v>6.9880272348735784E-2</v>
      </c>
      <c r="CR7" s="24" t="str">
        <f>"0"</f>
        <v>0</v>
      </c>
      <c r="CS7" t="str">
        <f ca="1">IF((OFFSET($A$1, 7 - 1, 95 - 1)) &gt;= (OFFSET($A$1, 55 - 1, 7 - 1)), "1","0")</f>
        <v>0</v>
      </c>
      <c r="CT7">
        <f ca="1" xml:space="preserve"> IF( AND( OFFSET($A$1, 7 - 1, 96 - 1) = "1", OFFSET($A$1, 7 - 1, 97 - 1) = "1" ), 1, IF( AND( OFFSET($A$1, 7 - 1, 96 - 1) = "1", OFFSET($A$1, 7 - 1, 97 - 1) = "0" ), 2, IF( AND( OFFSET($A$1, 7 - 1, 96 - 1) = "0", OFFSET($A$1, 7 - 1, 97 - 1) = "1" ), 3, 4 ) ) )</f>
        <v>4</v>
      </c>
      <c r="CV7" s="24">
        <v>0.55422188168124364</v>
      </c>
      <c r="CW7" s="24" t="str">
        <f t="shared" si="0"/>
        <v>1</v>
      </c>
      <c r="CX7" t="str">
        <f ca="1">IF((OFFSET($A$1, 7 - 1, 100 - 1)) &gt;= (OFFSET($A$1, 79 - 1, 7 - 1)), "1","0")</f>
        <v>1</v>
      </c>
      <c r="CY7">
        <f ca="1" xml:space="preserve"> IF( AND( OFFSET($A$1, 7 - 1, 101 - 1) = "1", OFFSET($A$1, 7 - 1, 102 - 1) = "1" ), 1, IF( AND( OFFSET($A$1, 7 - 1, 101 - 1) = "1", OFFSET($A$1, 7 - 1, 102 - 1) = "0" ), 2, IF( AND( OFFSET($A$1, 7 - 1, 101 - 1) = "0", OFFSET($A$1, 7 - 1, 102 - 1) = "1" ), 3, 4 ) ) )</f>
        <v>1</v>
      </c>
    </row>
    <row r="8" spans="2:103" ht="13.8" x14ac:dyDescent="0.3">
      <c r="CQ8" s="24">
        <v>0.98728676451789699</v>
      </c>
      <c r="CR8" s="24" t="str">
        <f t="shared" ref="CR8:CR24" si="1">"1"</f>
        <v>1</v>
      </c>
      <c r="CS8" t="str">
        <f ca="1">IF((OFFSET($A$1, 8 - 1, 95 - 1)) &gt;= (OFFSET($A$1, 55 - 1, 7 - 1)), "1","0")</f>
        <v>1</v>
      </c>
      <c r="CT8">
        <f ca="1" xml:space="preserve"> IF( AND( OFFSET($A$1, 8 - 1, 96 - 1) = "1", OFFSET($A$1, 8 - 1, 97 - 1) = "1" ), 1, IF( AND( OFFSET($A$1, 8 - 1, 96 - 1) = "1", OFFSET($A$1, 8 - 1, 97 - 1) = "0" ), 2, IF( AND( OFFSET($A$1, 8 - 1, 96 - 1) = "0", OFFSET($A$1, 8 - 1, 97 - 1) = "1" ), 3, 4 ) ) )</f>
        <v>1</v>
      </c>
      <c r="CV8" s="24">
        <v>0.97859621059279345</v>
      </c>
      <c r="CW8" s="24" t="str">
        <f t="shared" si="0"/>
        <v>1</v>
      </c>
      <c r="CX8" t="str">
        <f ca="1">IF((OFFSET($A$1, 8 - 1, 100 - 1)) &gt;= (OFFSET($A$1, 79 - 1, 7 - 1)), "1","0")</f>
        <v>1</v>
      </c>
      <c r="CY8">
        <f ca="1" xml:space="preserve"> IF( AND( OFFSET($A$1, 8 - 1, 101 - 1) = "1", OFFSET($A$1, 8 - 1, 102 - 1) = "1" ), 1, IF( AND( OFFSET($A$1, 8 - 1, 101 - 1) = "1", OFFSET($A$1, 8 - 1, 102 - 1) = "0" ), 2, IF( AND( OFFSET($A$1, 8 - 1, 101 - 1) = "0", OFFSET($A$1, 8 - 1, 102 - 1) = "1" ), 3, 4 ) ) )</f>
        <v>1</v>
      </c>
    </row>
    <row r="9" spans="2:103" ht="13.8" x14ac:dyDescent="0.3">
      <c r="CQ9" s="24">
        <v>0.96743911890083278</v>
      </c>
      <c r="CR9" s="24" t="str">
        <f t="shared" si="1"/>
        <v>1</v>
      </c>
      <c r="CS9" t="str">
        <f ca="1">IF((OFFSET($A$1, 9 - 1, 95 - 1)) &gt;= (OFFSET($A$1, 55 - 1, 7 - 1)), "1","0")</f>
        <v>1</v>
      </c>
      <c r="CT9">
        <f ca="1" xml:space="preserve"> IF( AND( OFFSET($A$1, 9 - 1, 96 - 1) = "1", OFFSET($A$1, 9 - 1, 97 - 1) = "1" ), 1, IF( AND( OFFSET($A$1, 9 - 1, 96 - 1) = "1", OFFSET($A$1, 9 - 1, 97 - 1) = "0" ), 2, IF( AND( OFFSET($A$1, 9 - 1, 96 - 1) = "0", OFFSET($A$1, 9 - 1, 97 - 1) = "1" ), 3, 4 ) ) )</f>
        <v>1</v>
      </c>
      <c r="CV9" s="24">
        <v>0.98956125651501259</v>
      </c>
      <c r="CW9" s="24" t="str">
        <f t="shared" si="0"/>
        <v>1</v>
      </c>
      <c r="CX9" t="str">
        <f ca="1">IF((OFFSET($A$1, 9 - 1, 100 - 1)) &gt;= (OFFSET($A$1, 79 - 1, 7 - 1)), "1","0")</f>
        <v>1</v>
      </c>
      <c r="CY9">
        <f ca="1" xml:space="preserve"> IF( AND( OFFSET($A$1, 9 - 1, 101 - 1) = "1", OFFSET($A$1, 9 - 1, 102 - 1) = "1" ), 1, IF( AND( OFFSET($A$1, 9 - 1, 101 - 1) = "1", OFFSET($A$1, 9 - 1, 102 - 1) = "0" ), 2, IF( AND( OFFSET($A$1, 9 - 1, 101 - 1) = "0", OFFSET($A$1, 9 - 1, 102 - 1) = "1" ), 3, 4 ) ) )</f>
        <v>1</v>
      </c>
    </row>
    <row r="10" spans="2:103" ht="18" x14ac:dyDescent="0.35">
      <c r="B10" s="22" t="s">
        <v>141</v>
      </c>
      <c r="CQ10" s="24">
        <v>0.9930278672463253</v>
      </c>
      <c r="CR10" s="24" t="str">
        <f t="shared" si="1"/>
        <v>1</v>
      </c>
      <c r="CS10" t="str">
        <f ca="1">IF((OFFSET($A$1, 10 - 1, 95 - 1)) &gt;= (OFFSET($A$1, 55 - 1, 7 - 1)), "1","0")</f>
        <v>1</v>
      </c>
      <c r="CT10">
        <f ca="1" xml:space="preserve"> IF( AND( OFFSET($A$1, 10 - 1, 96 - 1) = "1", OFFSET($A$1, 10 - 1, 97 - 1) = "1" ), 1, IF( AND( OFFSET($A$1, 10 - 1, 96 - 1) = "1", OFFSET($A$1, 10 - 1, 97 - 1) = "0" ), 2, IF( AND( OFFSET($A$1, 10 - 1, 96 - 1) = "0", OFFSET($A$1, 10 - 1, 97 - 1) = "1" ), 3, 4 ) ) )</f>
        <v>1</v>
      </c>
      <c r="CV10" s="24">
        <v>0.99908567201048826</v>
      </c>
      <c r="CW10" s="24" t="str">
        <f t="shared" si="0"/>
        <v>1</v>
      </c>
      <c r="CX10" t="str">
        <f ca="1">IF((OFFSET($A$1, 10 - 1, 100 - 1)) &gt;= (OFFSET($A$1, 79 - 1, 7 - 1)), "1","0")</f>
        <v>1</v>
      </c>
      <c r="CY10">
        <f ca="1" xml:space="preserve"> IF( AND( OFFSET($A$1, 10 - 1, 101 - 1) = "1", OFFSET($A$1, 10 - 1, 102 - 1) = "1" ), 1, IF( AND( OFFSET($A$1, 10 - 1, 101 - 1) = "1", OFFSET($A$1, 10 - 1, 102 - 1) = "0" ), 2, IF( AND( OFFSET($A$1, 10 - 1, 101 - 1) = "0", OFFSET($A$1, 10 - 1, 102 - 1) = "1" ), 3, 4 ) ) )</f>
        <v>1</v>
      </c>
    </row>
    <row r="11" spans="2:103" ht="13.8" x14ac:dyDescent="0.3">
      <c r="CQ11" s="24">
        <v>0.98432834440193828</v>
      </c>
      <c r="CR11" s="24" t="str">
        <f t="shared" si="1"/>
        <v>1</v>
      </c>
      <c r="CS11" t="str">
        <f ca="1">IF((OFFSET($A$1, 11 - 1, 95 - 1)) &gt;= (OFFSET($A$1, 55 - 1, 7 - 1)), "1","0")</f>
        <v>1</v>
      </c>
      <c r="CT11">
        <f ca="1" xml:space="preserve"> IF( AND( OFFSET($A$1, 11 - 1, 96 - 1) = "1", OFFSET($A$1, 11 - 1, 97 - 1) = "1" ), 1, IF( AND( OFFSET($A$1, 11 - 1, 96 - 1) = "1", OFFSET($A$1, 11 - 1, 97 - 1) = "0" ), 2, IF( AND( OFFSET($A$1, 11 - 1, 96 - 1) = "0", OFFSET($A$1, 11 - 1, 97 - 1) = "1" ), 3, 4 ) ) )</f>
        <v>1</v>
      </c>
      <c r="CV11" s="24">
        <v>0.89706221047519807</v>
      </c>
      <c r="CW11" s="24" t="str">
        <f>"0"</f>
        <v>0</v>
      </c>
      <c r="CX11" t="str">
        <f ca="1">IF((OFFSET($A$1, 11 - 1, 100 - 1)) &gt;= (OFFSET($A$1, 79 - 1, 7 - 1)), "1","0")</f>
        <v>1</v>
      </c>
      <c r="CY11">
        <f ca="1" xml:space="preserve"> IF( AND( OFFSET($A$1, 11 - 1, 101 - 1) = "1", OFFSET($A$1, 11 - 1, 102 - 1) = "1" ), 1, IF( AND( OFFSET($A$1, 11 - 1, 101 - 1) = "1", OFFSET($A$1, 11 - 1, 102 - 1) = "0" ), 2, IF( AND( OFFSET($A$1, 11 - 1, 101 - 1) = "0", OFFSET($A$1, 11 - 1, 102 - 1) = "1" ), 3, 4 ) ) )</f>
        <v>3</v>
      </c>
    </row>
    <row r="12" spans="2:103" ht="15.6" x14ac:dyDescent="0.3">
      <c r="C12" s="59" t="s">
        <v>142</v>
      </c>
      <c r="D12" s="60"/>
      <c r="E12" s="60"/>
      <c r="F12" s="60"/>
      <c r="G12" s="60"/>
      <c r="H12" s="60"/>
      <c r="I12" s="60"/>
      <c r="J12" s="60"/>
      <c r="K12" s="61"/>
      <c r="CQ12" s="24">
        <v>0.94560952350768224</v>
      </c>
      <c r="CR12" s="24" t="str">
        <f t="shared" si="1"/>
        <v>1</v>
      </c>
      <c r="CS12" t="str">
        <f ca="1">IF((OFFSET($A$1, 12 - 1, 95 - 1)) &gt;= (OFFSET($A$1, 55 - 1, 7 - 1)), "1","0")</f>
        <v>1</v>
      </c>
      <c r="CT12">
        <f ca="1" xml:space="preserve"> IF( AND( OFFSET($A$1, 12 - 1, 96 - 1) = "1", OFFSET($A$1, 12 - 1, 97 - 1) = "1" ), 1, IF( AND( OFFSET($A$1, 12 - 1, 96 - 1) = "1", OFFSET($A$1, 12 - 1, 97 - 1) = "0" ), 2, IF( AND( OFFSET($A$1, 12 - 1, 96 - 1) = "0", OFFSET($A$1, 12 - 1, 97 - 1) = "1" ), 3, 4 ) ) )</f>
        <v>1</v>
      </c>
      <c r="CV12" s="24">
        <v>0.99934134856436296</v>
      </c>
      <c r="CW12" s="24" t="str">
        <f>"1"</f>
        <v>1</v>
      </c>
      <c r="CX12" t="str">
        <f ca="1">IF((OFFSET($A$1, 12 - 1, 100 - 1)) &gt;= (OFFSET($A$1, 79 - 1, 7 - 1)), "1","0")</f>
        <v>1</v>
      </c>
      <c r="CY12">
        <f ca="1" xml:space="preserve"> IF( AND( OFFSET($A$1, 12 - 1, 101 - 1) = "1", OFFSET($A$1, 12 - 1, 102 - 1) = "1" ), 1, IF( AND( OFFSET($A$1, 12 - 1, 101 - 1) = "1", OFFSET($A$1, 12 - 1, 102 - 1) = "0" ), 2, IF( AND( OFFSET($A$1, 12 - 1, 101 - 1) = "0", OFFSET($A$1, 12 - 1, 102 - 1) = "1" ), 3, 4 ) ) )</f>
        <v>1</v>
      </c>
    </row>
    <row r="13" spans="2:103" ht="13.8" x14ac:dyDescent="0.3">
      <c r="C13" s="62" t="s">
        <v>143</v>
      </c>
      <c r="D13" s="63"/>
      <c r="E13" s="63"/>
      <c r="F13" s="64"/>
      <c r="G13" s="69" t="s">
        <v>144</v>
      </c>
      <c r="H13" s="70"/>
      <c r="I13" s="70"/>
      <c r="J13" s="70"/>
      <c r="K13" s="71"/>
      <c r="CQ13" s="24">
        <v>0.99779350046214743</v>
      </c>
      <c r="CR13" s="24" t="str">
        <f t="shared" si="1"/>
        <v>1</v>
      </c>
      <c r="CS13" t="str">
        <f ca="1">IF((OFFSET($A$1, 13 - 1, 95 - 1)) &gt;= (OFFSET($A$1, 55 - 1, 7 - 1)), "1","0")</f>
        <v>1</v>
      </c>
      <c r="CT13">
        <f ca="1" xml:space="preserve"> IF( AND( OFFSET($A$1, 13 - 1, 96 - 1) = "1", OFFSET($A$1, 13 - 1, 97 - 1) = "1" ), 1, IF( AND( OFFSET($A$1, 13 - 1, 96 - 1) = "1", OFFSET($A$1, 13 - 1, 97 - 1) = "0" ), 2, IF( AND( OFFSET($A$1, 13 - 1, 96 - 1) = "0", OFFSET($A$1, 13 - 1, 97 - 1) = "1" ), 3, 4 ) ) )</f>
        <v>1</v>
      </c>
      <c r="CV13" s="24">
        <v>0.99906299199550586</v>
      </c>
      <c r="CW13" s="24" t="str">
        <f>"1"</f>
        <v>1</v>
      </c>
      <c r="CX13" t="str">
        <f ca="1">IF((OFFSET($A$1, 13 - 1, 100 - 1)) &gt;= (OFFSET($A$1, 79 - 1, 7 - 1)), "1","0")</f>
        <v>1</v>
      </c>
      <c r="CY13">
        <f ca="1" xml:space="preserve"> IF( AND( OFFSET($A$1, 13 - 1, 101 - 1) = "1", OFFSET($A$1, 13 - 1, 102 - 1) = "1" ), 1, IF( AND( OFFSET($A$1, 13 - 1, 101 - 1) = "1", OFFSET($A$1, 13 - 1, 102 - 1) = "0" ), 2, IF( AND( OFFSET($A$1, 13 - 1, 101 - 1) = "0", OFFSET($A$1, 13 - 1, 102 - 1) = "1" ), 3, 4 ) ) )</f>
        <v>1</v>
      </c>
    </row>
    <row r="14" spans="2:103" ht="13.8" x14ac:dyDescent="0.3">
      <c r="C14" s="62" t="s">
        <v>145</v>
      </c>
      <c r="D14" s="63"/>
      <c r="E14" s="63"/>
      <c r="F14" s="64"/>
      <c r="G14" s="69" t="s">
        <v>184</v>
      </c>
      <c r="H14" s="70"/>
      <c r="I14" s="70"/>
      <c r="J14" s="70"/>
      <c r="K14" s="71"/>
      <c r="CQ14" s="24">
        <v>0.99967070757411103</v>
      </c>
      <c r="CR14" s="24" t="str">
        <f t="shared" si="1"/>
        <v>1</v>
      </c>
      <c r="CS14" t="str">
        <f ca="1">IF((OFFSET($A$1, 14 - 1, 95 - 1)) &gt;= (OFFSET($A$1, 55 - 1, 7 - 1)), "1","0")</f>
        <v>1</v>
      </c>
      <c r="CT14">
        <f ca="1" xml:space="preserve"> IF( AND( OFFSET($A$1, 14 - 1, 96 - 1) = "1", OFFSET($A$1, 14 - 1, 97 - 1) = "1" ), 1, IF( AND( OFFSET($A$1, 14 - 1, 96 - 1) = "1", OFFSET($A$1, 14 - 1, 97 - 1) = "0" ), 2, IF( AND( OFFSET($A$1, 14 - 1, 96 - 1) = "0", OFFSET($A$1, 14 - 1, 97 - 1) = "1" ), 3, 4 ) ) )</f>
        <v>1</v>
      </c>
      <c r="CV14" s="24">
        <v>0.99921045408968745</v>
      </c>
      <c r="CW14" s="24" t="str">
        <f>"0"</f>
        <v>0</v>
      </c>
      <c r="CX14" t="str">
        <f ca="1">IF((OFFSET($A$1, 14 - 1, 100 - 1)) &gt;= (OFFSET($A$1, 79 - 1, 7 - 1)), "1","0")</f>
        <v>1</v>
      </c>
      <c r="CY14">
        <f ca="1" xml:space="preserve"> IF( AND( OFFSET($A$1, 14 - 1, 101 - 1) = "1", OFFSET($A$1, 14 - 1, 102 - 1) = "1" ), 1, IF( AND( OFFSET($A$1, 14 - 1, 101 - 1) = "1", OFFSET($A$1, 14 - 1, 102 - 1) = "0" ), 2, IF( AND( OFFSET($A$1, 14 - 1, 101 - 1) = "0", OFFSET($A$1, 14 - 1, 102 - 1) = "1" ), 3, 4 ) ) )</f>
        <v>3</v>
      </c>
    </row>
    <row r="15" spans="2:103" ht="13.8" x14ac:dyDescent="0.3">
      <c r="C15" s="62" t="s">
        <v>185</v>
      </c>
      <c r="D15" s="63"/>
      <c r="E15" s="63"/>
      <c r="F15" s="64"/>
      <c r="G15" s="69">
        <v>600</v>
      </c>
      <c r="H15" s="70"/>
      <c r="I15" s="70"/>
      <c r="J15" s="70"/>
      <c r="K15" s="71"/>
      <c r="CQ15" s="24">
        <v>0.98440603067860522</v>
      </c>
      <c r="CR15" s="24" t="str">
        <f t="shared" si="1"/>
        <v>1</v>
      </c>
      <c r="CS15" t="str">
        <f ca="1">IF((OFFSET($A$1, 15 - 1, 95 - 1)) &gt;= (OFFSET($A$1, 55 - 1, 7 - 1)), "1","0")</f>
        <v>1</v>
      </c>
      <c r="CT15">
        <f ca="1" xml:space="preserve"> IF( AND( OFFSET($A$1, 15 - 1, 96 - 1) = "1", OFFSET($A$1, 15 - 1, 97 - 1) = "1" ), 1, IF( AND( OFFSET($A$1, 15 - 1, 96 - 1) = "1", OFFSET($A$1, 15 - 1, 97 - 1) = "0" ), 2, IF( AND( OFFSET($A$1, 15 - 1, 96 - 1) = "0", OFFSET($A$1, 15 - 1, 97 - 1) = "1" ), 3, 4 ) ) )</f>
        <v>1</v>
      </c>
      <c r="CV15" s="24">
        <v>0.81994475697278313</v>
      </c>
      <c r="CW15" s="24" t="str">
        <f>"1"</f>
        <v>1</v>
      </c>
      <c r="CX15" t="str">
        <f ca="1">IF((OFFSET($A$1, 15 - 1, 100 - 1)) &gt;= (OFFSET($A$1, 79 - 1, 7 - 1)), "1","0")</f>
        <v>1</v>
      </c>
      <c r="CY15">
        <f ca="1" xml:space="preserve"> IF( AND( OFFSET($A$1, 15 - 1, 101 - 1) = "1", OFFSET($A$1, 15 - 1, 102 - 1) = "1" ), 1, IF( AND( OFFSET($A$1, 15 - 1, 101 - 1) = "1", OFFSET($A$1, 15 - 1, 102 - 1) = "0" ), 2, IF( AND( OFFSET($A$1, 15 - 1, 101 - 1) = "0", OFFSET($A$1, 15 - 1, 102 - 1) = "1" ), 3, 4 ) ) )</f>
        <v>1</v>
      </c>
    </row>
    <row r="16" spans="2:103" ht="13.8" x14ac:dyDescent="0.3">
      <c r="C16" s="62" t="s">
        <v>186</v>
      </c>
      <c r="D16" s="63"/>
      <c r="E16" s="63"/>
      <c r="F16" s="64"/>
      <c r="G16" s="69">
        <v>400</v>
      </c>
      <c r="H16" s="70"/>
      <c r="I16" s="70"/>
      <c r="J16" s="70"/>
      <c r="K16" s="71"/>
      <c r="CQ16" s="24">
        <v>0.99805379575926145</v>
      </c>
      <c r="CR16" s="24" t="str">
        <f t="shared" si="1"/>
        <v>1</v>
      </c>
      <c r="CS16" t="str">
        <f ca="1">IF((OFFSET($A$1, 16 - 1, 95 - 1)) &gt;= (OFFSET($A$1, 55 - 1, 7 - 1)), "1","0")</f>
        <v>1</v>
      </c>
      <c r="CT16">
        <f ca="1" xml:space="preserve"> IF( AND( OFFSET($A$1, 16 - 1, 96 - 1) = "1", OFFSET($A$1, 16 - 1, 97 - 1) = "1" ), 1, IF( AND( OFFSET($A$1, 16 - 1, 96 - 1) = "1", OFFSET($A$1, 16 - 1, 97 - 1) = "0" ), 2, IF( AND( OFFSET($A$1, 16 - 1, 96 - 1) = "0", OFFSET($A$1, 16 - 1, 97 - 1) = "1" ), 3, 4 ) ) )</f>
        <v>1</v>
      </c>
      <c r="CV16" s="24">
        <v>0.99939720542950561</v>
      </c>
      <c r="CW16" s="24" t="str">
        <f>"1"</f>
        <v>1</v>
      </c>
      <c r="CX16" t="str">
        <f ca="1">IF((OFFSET($A$1, 16 - 1, 100 - 1)) &gt;= (OFFSET($A$1, 79 - 1, 7 - 1)), "1","0")</f>
        <v>1</v>
      </c>
      <c r="CY16">
        <f ca="1" xml:space="preserve"> IF( AND( OFFSET($A$1, 16 - 1, 101 - 1) = "1", OFFSET($A$1, 16 - 1, 102 - 1) = "1" ), 1, IF( AND( OFFSET($A$1, 16 - 1, 101 - 1) = "1", OFFSET($A$1, 16 - 1, 102 - 1) = "0" ), 2, IF( AND( OFFSET($A$1, 16 - 1, 101 - 1) = "0", OFFSET($A$1, 16 - 1, 102 - 1) = "1" ), 3, 4 ) ) )</f>
        <v>1</v>
      </c>
    </row>
    <row r="17" spans="3:103" ht="13.8" x14ac:dyDescent="0.3">
      <c r="CQ17" s="24">
        <v>0.98852723394001052</v>
      </c>
      <c r="CR17" s="24" t="str">
        <f t="shared" si="1"/>
        <v>1</v>
      </c>
      <c r="CS17" t="str">
        <f ca="1">IF((OFFSET($A$1, 17 - 1, 95 - 1)) &gt;= (OFFSET($A$1, 55 - 1, 7 - 1)), "1","0")</f>
        <v>1</v>
      </c>
      <c r="CT17">
        <f ca="1" xml:space="preserve"> IF( AND( OFFSET($A$1, 17 - 1, 96 - 1) = "1", OFFSET($A$1, 17 - 1, 97 - 1) = "1" ), 1, IF( AND( OFFSET($A$1, 17 - 1, 96 - 1) = "1", OFFSET($A$1, 17 - 1, 97 - 1) = "0" ), 2, IF( AND( OFFSET($A$1, 17 - 1, 96 - 1) = "0", OFFSET($A$1, 17 - 1, 97 - 1) = "1" ), 3, 4 ) ) )</f>
        <v>1</v>
      </c>
      <c r="CV17" s="24">
        <v>0.93933070397008001</v>
      </c>
      <c r="CW17" s="24" t="str">
        <f>"1"</f>
        <v>1</v>
      </c>
      <c r="CX17" t="str">
        <f ca="1">IF((OFFSET($A$1, 17 - 1, 100 - 1)) &gt;= (OFFSET($A$1, 79 - 1, 7 - 1)), "1","0")</f>
        <v>1</v>
      </c>
      <c r="CY17">
        <f ca="1" xml:space="preserve"> IF( AND( OFFSET($A$1, 17 - 1, 101 - 1) = "1", OFFSET($A$1, 17 - 1, 102 - 1) = "1" ), 1, IF( AND( OFFSET($A$1, 17 - 1, 101 - 1) = "1", OFFSET($A$1, 17 - 1, 102 - 1) = "0" ), 2, IF( AND( OFFSET($A$1, 17 - 1, 101 - 1) = "0", OFFSET($A$1, 17 - 1, 102 - 1) = "1" ), 3, 4 ) ) )</f>
        <v>1</v>
      </c>
    </row>
    <row r="18" spans="3:103" ht="15.6" x14ac:dyDescent="0.3">
      <c r="C18" s="59" t="s">
        <v>187</v>
      </c>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1"/>
      <c r="CQ18" s="24">
        <v>0.73822718558704914</v>
      </c>
      <c r="CR18" s="24" t="str">
        <f t="shared" si="1"/>
        <v>1</v>
      </c>
      <c r="CS18" t="str">
        <f ca="1">IF((OFFSET($A$1, 18 - 1, 95 - 1)) &gt;= (OFFSET($A$1, 55 - 1, 7 - 1)), "1","0")</f>
        <v>1</v>
      </c>
      <c r="CT18">
        <f ca="1" xml:space="preserve"> IF( AND( OFFSET($A$1, 18 - 1, 96 - 1) = "1", OFFSET($A$1, 18 - 1, 97 - 1) = "1" ), 1, IF( AND( OFFSET($A$1, 18 - 1, 96 - 1) = "1", OFFSET($A$1, 18 - 1, 97 - 1) = "0" ), 2, IF( AND( OFFSET($A$1, 18 - 1, 96 - 1) = "0", OFFSET($A$1, 18 - 1, 97 - 1) = "1" ), 3, 4 ) ) )</f>
        <v>1</v>
      </c>
      <c r="CV18" s="24">
        <v>0.9856442428013793</v>
      </c>
      <c r="CW18" s="24" t="str">
        <f>"0"</f>
        <v>0</v>
      </c>
      <c r="CX18" t="str">
        <f ca="1">IF((OFFSET($A$1, 18 - 1, 100 - 1)) &gt;= (OFFSET($A$1, 79 - 1, 7 - 1)), "1","0")</f>
        <v>1</v>
      </c>
      <c r="CY18">
        <f ca="1" xml:space="preserve"> IF( AND( OFFSET($A$1, 18 - 1, 101 - 1) = "1", OFFSET($A$1, 18 - 1, 102 - 1) = "1" ), 1, IF( AND( OFFSET($A$1, 18 - 1, 101 - 1) = "1", OFFSET($A$1, 18 - 1, 102 - 1) = "0" ), 2, IF( AND( OFFSET($A$1, 18 - 1, 101 - 1) = "0", OFFSET($A$1, 18 - 1, 102 - 1) = "1" ), 3, 4 ) ) )</f>
        <v>3</v>
      </c>
    </row>
    <row r="19" spans="3:103" ht="13.8" x14ac:dyDescent="0.3">
      <c r="C19" s="62" t="s">
        <v>188</v>
      </c>
      <c r="D19" s="64"/>
      <c r="E19" s="69">
        <v>45</v>
      </c>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1"/>
      <c r="CQ19" s="24">
        <v>0.90566878847402443</v>
      </c>
      <c r="CR19" s="24" t="str">
        <f t="shared" si="1"/>
        <v>1</v>
      </c>
      <c r="CS19" t="str">
        <f ca="1">IF((OFFSET($A$1, 19 - 1, 95 - 1)) &gt;= (OFFSET($A$1, 55 - 1, 7 - 1)), "1","0")</f>
        <v>1</v>
      </c>
      <c r="CT19">
        <f ca="1" xml:space="preserve"> IF( AND( OFFSET($A$1, 19 - 1, 96 - 1) = "1", OFFSET($A$1, 19 - 1, 97 - 1) = "1" ), 1, IF( AND( OFFSET($A$1, 19 - 1, 96 - 1) = "1", OFFSET($A$1, 19 - 1, 97 - 1) = "0" ), 2, IF( AND( OFFSET($A$1, 19 - 1, 96 - 1) = "0", OFFSET($A$1, 19 - 1, 97 - 1) = "1" ), 3, 4 ) ) )</f>
        <v>1</v>
      </c>
      <c r="CV19" s="24">
        <v>0.99663569674460462</v>
      </c>
      <c r="CW19" s="24" t="str">
        <f t="shared" ref="CW19:CW24" si="2">"1"</f>
        <v>1</v>
      </c>
      <c r="CX19" t="str">
        <f ca="1">IF((OFFSET($A$1, 19 - 1, 100 - 1)) &gt;= (OFFSET($A$1, 79 - 1, 7 - 1)), "1","0")</f>
        <v>1</v>
      </c>
      <c r="CY19">
        <f ca="1" xml:space="preserve"> IF( AND( OFFSET($A$1, 19 - 1, 101 - 1) = "1", OFFSET($A$1, 19 - 1, 102 - 1) = "1" ), 1, IF( AND( OFFSET($A$1, 19 - 1, 101 - 1) = "1", OFFSET($A$1, 19 - 1, 102 - 1) = "0" ), 2, IF( AND( OFFSET($A$1, 19 - 1, 101 - 1) = "0", OFFSET($A$1, 19 - 1, 102 - 1) = "1" ), 3, 4 ) ) )</f>
        <v>1</v>
      </c>
    </row>
    <row r="20" spans="3:103" ht="13.8" x14ac:dyDescent="0.3">
      <c r="C20" s="62" t="s">
        <v>189</v>
      </c>
      <c r="D20" s="64"/>
      <c r="E20" s="24" t="s">
        <v>0</v>
      </c>
      <c r="F20" s="24" t="s">
        <v>68</v>
      </c>
      <c r="G20" s="24" t="s">
        <v>69</v>
      </c>
      <c r="H20" s="24" t="s">
        <v>70</v>
      </c>
      <c r="I20" s="24" t="s">
        <v>71</v>
      </c>
      <c r="J20" s="24" t="s">
        <v>81</v>
      </c>
      <c r="K20" s="24" t="s">
        <v>72</v>
      </c>
      <c r="L20" s="24" t="s">
        <v>2</v>
      </c>
      <c r="M20" s="24" t="s">
        <v>6</v>
      </c>
      <c r="N20" s="24" t="s">
        <v>74</v>
      </c>
      <c r="O20" s="24" t="s">
        <v>75</v>
      </c>
      <c r="P20" s="24" t="s">
        <v>76</v>
      </c>
      <c r="Q20" s="24" t="s">
        <v>73</v>
      </c>
      <c r="R20" s="24" t="s">
        <v>77</v>
      </c>
      <c r="S20" s="24" t="s">
        <v>78</v>
      </c>
      <c r="T20" s="24" t="s">
        <v>82</v>
      </c>
      <c r="U20" s="24" t="s">
        <v>8</v>
      </c>
      <c r="V20" s="24" t="s">
        <v>79</v>
      </c>
      <c r="W20" s="24" t="s">
        <v>80</v>
      </c>
      <c r="X20" s="24" t="s">
        <v>83</v>
      </c>
      <c r="Y20" s="24" t="s">
        <v>9</v>
      </c>
      <c r="Z20" s="24" t="s">
        <v>11</v>
      </c>
      <c r="AA20" s="24" t="s">
        <v>12</v>
      </c>
      <c r="AB20" s="24" t="s">
        <v>13</v>
      </c>
      <c r="AC20" s="24" t="s">
        <v>152</v>
      </c>
      <c r="AD20" s="24" t="s">
        <v>153</v>
      </c>
      <c r="AE20" s="24" t="s">
        <v>154</v>
      </c>
      <c r="AF20" s="24" t="s">
        <v>156</v>
      </c>
      <c r="AG20" s="24" t="s">
        <v>157</v>
      </c>
      <c r="AH20" s="24" t="s">
        <v>158</v>
      </c>
      <c r="AI20" s="24" t="s">
        <v>159</v>
      </c>
      <c r="AJ20" s="24" t="s">
        <v>161</v>
      </c>
      <c r="AK20" s="24" t="s">
        <v>162</v>
      </c>
      <c r="AL20" s="24" t="s">
        <v>163</v>
      </c>
      <c r="AM20" s="24" t="s">
        <v>164</v>
      </c>
      <c r="AN20" s="24" t="s">
        <v>166</v>
      </c>
      <c r="AO20" s="24" t="s">
        <v>167</v>
      </c>
      <c r="AP20" s="24" t="s">
        <v>168</v>
      </c>
      <c r="AQ20" s="24" t="s">
        <v>169</v>
      </c>
      <c r="AR20" s="24" t="s">
        <v>171</v>
      </c>
      <c r="AS20" s="24" t="s">
        <v>172</v>
      </c>
      <c r="AT20" s="24" t="s">
        <v>173</v>
      </c>
      <c r="AU20" s="24" t="s">
        <v>176</v>
      </c>
      <c r="AV20" s="24" t="s">
        <v>177</v>
      </c>
      <c r="AW20" s="24" t="s">
        <v>178</v>
      </c>
      <c r="CQ20" s="24">
        <v>0.99441766442492407</v>
      </c>
      <c r="CR20" s="24" t="str">
        <f t="shared" si="1"/>
        <v>1</v>
      </c>
      <c r="CS20" t="str">
        <f ca="1">IF((OFFSET($A$1, 20 - 1, 95 - 1)) &gt;= (OFFSET($A$1, 55 - 1, 7 - 1)), "1","0")</f>
        <v>1</v>
      </c>
      <c r="CT20">
        <f ca="1" xml:space="preserve"> IF( AND( OFFSET($A$1, 20 - 1, 96 - 1) = "1", OFFSET($A$1, 20 - 1, 97 - 1) = "1" ), 1, IF( AND( OFFSET($A$1, 20 - 1, 96 - 1) = "1", OFFSET($A$1, 20 - 1, 97 - 1) = "0" ), 2, IF( AND( OFFSET($A$1, 20 - 1, 96 - 1) = "0", OFFSET($A$1, 20 - 1, 97 - 1) = "1" ), 3, 4 ) ) )</f>
        <v>1</v>
      </c>
      <c r="CV20" s="24">
        <v>0.9856181228011508</v>
      </c>
      <c r="CW20" s="24" t="str">
        <f t="shared" si="2"/>
        <v>1</v>
      </c>
      <c r="CX20" t="str">
        <f ca="1">IF((OFFSET($A$1, 20 - 1, 100 - 1)) &gt;= (OFFSET($A$1, 79 - 1, 7 - 1)), "1","0")</f>
        <v>1</v>
      </c>
      <c r="CY20">
        <f ca="1" xml:space="preserve"> IF( AND( OFFSET($A$1, 20 - 1, 101 - 1) = "1", OFFSET($A$1, 20 - 1, 102 - 1) = "1" ), 1, IF( AND( OFFSET($A$1, 20 - 1, 101 - 1) = "1", OFFSET($A$1, 20 - 1, 102 - 1) = "0" ), 2, IF( AND( OFFSET($A$1, 20 - 1, 101 - 1) = "0", OFFSET($A$1, 20 - 1, 102 - 1) = "1" ), 3, 4 ) ) )</f>
        <v>1</v>
      </c>
    </row>
    <row r="21" spans="3:103" ht="13.8" x14ac:dyDescent="0.3">
      <c r="C21" s="62" t="s">
        <v>190</v>
      </c>
      <c r="D21" s="64"/>
      <c r="E21" s="67" t="s">
        <v>14</v>
      </c>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6"/>
      <c r="CQ21" s="24">
        <v>0.99384215402192677</v>
      </c>
      <c r="CR21" s="24" t="str">
        <f t="shared" si="1"/>
        <v>1</v>
      </c>
      <c r="CS21" t="str">
        <f ca="1">IF((OFFSET($A$1, 21 - 1, 95 - 1)) &gt;= (OFFSET($A$1, 55 - 1, 7 - 1)), "1","0")</f>
        <v>1</v>
      </c>
      <c r="CT21">
        <f ca="1" xml:space="preserve"> IF( AND( OFFSET($A$1, 21 - 1, 96 - 1) = "1", OFFSET($A$1, 21 - 1, 97 - 1) = "1" ), 1, IF( AND( OFFSET($A$1, 21 - 1, 96 - 1) = "1", OFFSET($A$1, 21 - 1, 97 - 1) = "0" ), 2, IF( AND( OFFSET($A$1, 21 - 1, 96 - 1) = "0", OFFSET($A$1, 21 - 1, 97 - 1) = "1" ), 3, 4 ) ) )</f>
        <v>1</v>
      </c>
      <c r="CV21" s="24">
        <v>0.95601003662743811</v>
      </c>
      <c r="CW21" s="24" t="str">
        <f t="shared" si="2"/>
        <v>1</v>
      </c>
      <c r="CX21" t="str">
        <f ca="1">IF((OFFSET($A$1, 21 - 1, 100 - 1)) &gt;= (OFFSET($A$1, 79 - 1, 7 - 1)), "1","0")</f>
        <v>1</v>
      </c>
      <c r="CY21">
        <f ca="1" xml:space="preserve"> IF( AND( OFFSET($A$1, 21 - 1, 101 - 1) = "1", OFFSET($A$1, 21 - 1, 102 - 1) = "1" ), 1, IF( AND( OFFSET($A$1, 21 - 1, 101 - 1) = "1", OFFSET($A$1, 21 - 1, 102 - 1) = "0" ), 2, IF( AND( OFFSET($A$1, 21 - 1, 101 - 1) = "0", OFFSET($A$1, 21 - 1, 102 - 1) = "1" ), 3, 4 ) ) )</f>
        <v>1</v>
      </c>
    </row>
    <row r="22" spans="3:103" ht="13.8" x14ac:dyDescent="0.3">
      <c r="CQ22" s="24">
        <v>0.99573517904425735</v>
      </c>
      <c r="CR22" s="24" t="str">
        <f t="shared" si="1"/>
        <v>1</v>
      </c>
      <c r="CS22" t="str">
        <f ca="1">IF((OFFSET($A$1, 22 - 1, 95 - 1)) &gt;= (OFFSET($A$1, 55 - 1, 7 - 1)), "1","0")</f>
        <v>1</v>
      </c>
      <c r="CT22">
        <f ca="1" xml:space="preserve"> IF( AND( OFFSET($A$1, 22 - 1, 96 - 1) = "1", OFFSET($A$1, 22 - 1, 97 - 1) = "1" ), 1, IF( AND( OFFSET($A$1, 22 - 1, 96 - 1) = "1", OFFSET($A$1, 22 - 1, 97 - 1) = "0" ), 2, IF( AND( OFFSET($A$1, 22 - 1, 96 - 1) = "0", OFFSET($A$1, 22 - 1, 97 - 1) = "1" ), 3, 4 ) ) )</f>
        <v>1</v>
      </c>
      <c r="CV22" s="24">
        <v>0.46066032688255271</v>
      </c>
      <c r="CW22" s="24" t="str">
        <f t="shared" si="2"/>
        <v>1</v>
      </c>
      <c r="CX22" t="str">
        <f ca="1">IF((OFFSET($A$1, 22 - 1, 100 - 1)) &gt;= (OFFSET($A$1, 79 - 1, 7 - 1)), "1","0")</f>
        <v>0</v>
      </c>
      <c r="CY22">
        <f ca="1" xml:space="preserve"> IF( AND( OFFSET($A$1, 22 - 1, 101 - 1) = "1", OFFSET($A$1, 22 - 1, 102 - 1) = "1" ), 1, IF( AND( OFFSET($A$1, 22 - 1, 101 - 1) = "1", OFFSET($A$1, 22 - 1, 102 - 1) = "0" ), 2, IF( AND( OFFSET($A$1, 22 - 1, 101 - 1) = "0", OFFSET($A$1, 22 - 1, 102 - 1) = "1" ), 3, 4 ) ) )</f>
        <v>2</v>
      </c>
    </row>
    <row r="23" spans="3:103" ht="15.6" x14ac:dyDescent="0.3">
      <c r="C23" s="59" t="s">
        <v>191</v>
      </c>
      <c r="D23" s="60"/>
      <c r="E23" s="60"/>
      <c r="F23" s="60"/>
      <c r="G23" s="60"/>
      <c r="H23" s="60"/>
      <c r="I23" s="60"/>
      <c r="J23" s="61"/>
      <c r="CQ23" s="24">
        <v>0.94029438962635892</v>
      </c>
      <c r="CR23" s="24" t="str">
        <f t="shared" si="1"/>
        <v>1</v>
      </c>
      <c r="CS23" t="str">
        <f ca="1">IF((OFFSET($A$1, 23 - 1, 95 - 1)) &gt;= (OFFSET($A$1, 55 - 1, 7 - 1)), "1","0")</f>
        <v>1</v>
      </c>
      <c r="CT23">
        <f ca="1" xml:space="preserve"> IF( AND( OFFSET($A$1, 23 - 1, 96 - 1) = "1", OFFSET($A$1, 23 - 1, 97 - 1) = "1" ), 1, IF( AND( OFFSET($A$1, 23 - 1, 96 - 1) = "1", OFFSET($A$1, 23 - 1, 97 - 1) = "0" ), 2, IF( AND( OFFSET($A$1, 23 - 1, 96 - 1) = "0", OFFSET($A$1, 23 - 1, 97 - 1) = "1" ), 3, 4 ) ) )</f>
        <v>1</v>
      </c>
      <c r="CV23" s="24">
        <v>0.99488202199659515</v>
      </c>
      <c r="CW23" s="24" t="str">
        <f t="shared" si="2"/>
        <v>1</v>
      </c>
      <c r="CX23" t="str">
        <f ca="1">IF((OFFSET($A$1, 23 - 1, 100 - 1)) &gt;= (OFFSET($A$1, 79 - 1, 7 - 1)), "1","0")</f>
        <v>1</v>
      </c>
      <c r="CY23">
        <f ca="1" xml:space="preserve"> IF( AND( OFFSET($A$1, 23 - 1, 101 - 1) = "1", OFFSET($A$1, 23 - 1, 102 - 1) = "1" ), 1, IF( AND( OFFSET($A$1, 23 - 1, 101 - 1) = "1", OFFSET($A$1, 23 - 1, 102 - 1) = "0" ), 2, IF( AND( OFFSET($A$1, 23 - 1, 101 - 1) = "0", OFFSET($A$1, 23 - 1, 102 - 1) = "1" ), 3, 4 ) ) )</f>
        <v>1</v>
      </c>
    </row>
    <row r="24" spans="3:103" ht="13.8" x14ac:dyDescent="0.3">
      <c r="C24" s="62" t="s">
        <v>192</v>
      </c>
      <c r="D24" s="63"/>
      <c r="E24" s="63"/>
      <c r="F24" s="64"/>
      <c r="G24" s="69" t="s">
        <v>193</v>
      </c>
      <c r="H24" s="70"/>
      <c r="I24" s="70"/>
      <c r="J24" s="71"/>
      <c r="CQ24" s="24">
        <v>0.98851595597353548</v>
      </c>
      <c r="CR24" s="24" t="str">
        <f t="shared" si="1"/>
        <v>1</v>
      </c>
      <c r="CS24" t="str">
        <f ca="1">IF((OFFSET($A$1, 24 - 1, 95 - 1)) &gt;= (OFFSET($A$1, 55 - 1, 7 - 1)), "1","0")</f>
        <v>1</v>
      </c>
      <c r="CT24">
        <f ca="1" xml:space="preserve"> IF( AND( OFFSET($A$1, 24 - 1, 96 - 1) = "1", OFFSET($A$1, 24 - 1, 97 - 1) = "1" ), 1, IF( AND( OFFSET($A$1, 24 - 1, 96 - 1) = "1", OFFSET($A$1, 24 - 1, 97 - 1) = "0" ), 2, IF( AND( OFFSET($A$1, 24 - 1, 96 - 1) = "0", OFFSET($A$1, 24 - 1, 97 - 1) = "1" ), 3, 4 ) ) )</f>
        <v>1</v>
      </c>
      <c r="CV24" s="24">
        <v>0.99776493526362897</v>
      </c>
      <c r="CW24" s="24" t="str">
        <f t="shared" si="2"/>
        <v>1</v>
      </c>
      <c r="CX24" t="str">
        <f ca="1">IF((OFFSET($A$1, 24 - 1, 100 - 1)) &gt;= (OFFSET($A$1, 79 - 1, 7 - 1)), "1","0")</f>
        <v>1</v>
      </c>
      <c r="CY24">
        <f ca="1" xml:space="preserve"> IF( AND( OFFSET($A$1, 24 - 1, 101 - 1) = "1", OFFSET($A$1, 24 - 1, 102 - 1) = "1" ), 1, IF( AND( OFFSET($A$1, 24 - 1, 101 - 1) = "1", OFFSET($A$1, 24 - 1, 102 - 1) = "0" ), 2, IF( AND( OFFSET($A$1, 24 - 1, 101 - 1) = "0", OFFSET($A$1, 24 - 1, 102 - 1) = "1" ), 3, 4 ) ) )</f>
        <v>1</v>
      </c>
    </row>
    <row r="25" spans="3:103" ht="13.8" x14ac:dyDescent="0.3">
      <c r="C25" s="62" t="s">
        <v>194</v>
      </c>
      <c r="D25" s="63"/>
      <c r="E25" s="63"/>
      <c r="F25" s="64"/>
      <c r="G25" s="69" t="s">
        <v>695</v>
      </c>
      <c r="H25" s="70"/>
      <c r="I25" s="70"/>
      <c r="J25" s="71"/>
      <c r="CQ25" s="24">
        <v>0.18129769976263954</v>
      </c>
      <c r="CR25" s="24" t="str">
        <f>"0"</f>
        <v>0</v>
      </c>
      <c r="CS25" t="str">
        <f ca="1">IF((OFFSET($A$1, 25 - 1, 95 - 1)) &gt;= (OFFSET($A$1, 55 - 1, 7 - 1)), "1","0")</f>
        <v>0</v>
      </c>
      <c r="CT25">
        <f ca="1" xml:space="preserve"> IF( AND( OFFSET($A$1, 25 - 1, 96 - 1) = "1", OFFSET($A$1, 25 - 1, 97 - 1) = "1" ), 1, IF( AND( OFFSET($A$1, 25 - 1, 96 - 1) = "1", OFFSET($A$1, 25 - 1, 97 - 1) = "0" ), 2, IF( AND( OFFSET($A$1, 25 - 1, 96 - 1) = "0", OFFSET($A$1, 25 - 1, 97 - 1) = "1" ), 3, 4 ) ) )</f>
        <v>4</v>
      </c>
      <c r="CV25" s="24">
        <v>0.18188129774928385</v>
      </c>
      <c r="CW25" s="24" t="str">
        <f>"0"</f>
        <v>0</v>
      </c>
      <c r="CX25" t="str">
        <f ca="1">IF((OFFSET($A$1, 25 - 1, 100 - 1)) &gt;= (OFFSET($A$1, 79 - 1, 7 - 1)), "1","0")</f>
        <v>0</v>
      </c>
      <c r="CY25">
        <f ca="1" xml:space="preserve"> IF( AND( OFFSET($A$1, 25 - 1, 101 - 1) = "1", OFFSET($A$1, 25 - 1, 102 - 1) = "1" ), 1, IF( AND( OFFSET($A$1, 25 - 1, 101 - 1) = "1", OFFSET($A$1, 25 - 1, 102 - 1) = "0" ), 2, IF( AND( OFFSET($A$1, 25 - 1, 101 - 1) = "0", OFFSET($A$1, 25 - 1, 102 - 1) = "1" ), 3, 4 ) ) )</f>
        <v>4</v>
      </c>
    </row>
    <row r="26" spans="3:103" ht="13.8" x14ac:dyDescent="0.3">
      <c r="C26" s="62" t="s">
        <v>196</v>
      </c>
      <c r="D26" s="63"/>
      <c r="E26" s="63"/>
      <c r="F26" s="64"/>
      <c r="G26" s="69">
        <v>12345</v>
      </c>
      <c r="H26" s="70"/>
      <c r="I26" s="70"/>
      <c r="J26" s="71"/>
      <c r="CQ26" s="24">
        <v>0.9937443482010675</v>
      </c>
      <c r="CR26" s="24" t="str">
        <f>"1"</f>
        <v>1</v>
      </c>
      <c r="CS26" t="str">
        <f ca="1">IF((OFFSET($A$1, 26 - 1, 95 - 1)) &gt;= (OFFSET($A$1, 55 - 1, 7 - 1)), "1","0")</f>
        <v>1</v>
      </c>
      <c r="CT26">
        <f ca="1" xml:space="preserve"> IF( AND( OFFSET($A$1, 26 - 1, 96 - 1) = "1", OFFSET($A$1, 26 - 1, 97 - 1) = "1" ), 1, IF( AND( OFFSET($A$1, 26 - 1, 96 - 1) = "1", OFFSET($A$1, 26 - 1, 97 - 1) = "0" ), 2, IF( AND( OFFSET($A$1, 26 - 1, 96 - 1) = "0", OFFSET($A$1, 26 - 1, 97 - 1) = "1" ), 3, 4 ) ) )</f>
        <v>1</v>
      </c>
      <c r="CV26" s="24">
        <v>0.92767061960032016</v>
      </c>
      <c r="CW26" s="24" t="str">
        <f>"0"</f>
        <v>0</v>
      </c>
      <c r="CX26" t="str">
        <f ca="1">IF((OFFSET($A$1, 26 - 1, 100 - 1)) &gt;= (OFFSET($A$1, 79 - 1, 7 - 1)), "1","0")</f>
        <v>1</v>
      </c>
      <c r="CY26">
        <f ca="1" xml:space="preserve"> IF( AND( OFFSET($A$1, 26 - 1, 101 - 1) = "1", OFFSET($A$1, 26 - 1, 102 - 1) = "1" ), 1, IF( AND( OFFSET($A$1, 26 - 1, 101 - 1) = "1", OFFSET($A$1, 26 - 1, 102 - 1) = "0" ), 2, IF( AND( OFFSET($A$1, 26 - 1, 101 - 1) = "0", OFFSET($A$1, 26 - 1, 102 - 1) = "1" ), 3, 4 ) ) )</f>
        <v>3</v>
      </c>
    </row>
    <row r="27" spans="3:103" ht="13.8" x14ac:dyDescent="0.3">
      <c r="C27" s="62" t="s">
        <v>652</v>
      </c>
      <c r="D27" s="63"/>
      <c r="E27" s="63"/>
      <c r="F27" s="64"/>
      <c r="G27" s="69">
        <v>2</v>
      </c>
      <c r="H27" s="70"/>
      <c r="I27" s="70"/>
      <c r="J27" s="71"/>
      <c r="CQ27" s="24">
        <v>0.99762711618748323</v>
      </c>
      <c r="CR27" s="24" t="str">
        <f>"1"</f>
        <v>1</v>
      </c>
      <c r="CS27" t="str">
        <f ca="1">IF((OFFSET($A$1, 27 - 1, 95 - 1)) &gt;= (OFFSET($A$1, 55 - 1, 7 - 1)), "1","0")</f>
        <v>1</v>
      </c>
      <c r="CT27">
        <f ca="1" xml:space="preserve"> IF( AND( OFFSET($A$1, 27 - 1, 96 - 1) = "1", OFFSET($A$1, 27 - 1, 97 - 1) = "1" ), 1, IF( AND( OFFSET($A$1, 27 - 1, 96 - 1) = "1", OFFSET($A$1, 27 - 1, 97 - 1) = "0" ), 2, IF( AND( OFFSET($A$1, 27 - 1, 96 - 1) = "0", OFFSET($A$1, 27 - 1, 97 - 1) = "1" ), 3, 4 ) ) )</f>
        <v>1</v>
      </c>
      <c r="CV27" s="24">
        <v>0.99822220807012729</v>
      </c>
      <c r="CW27" s="24" t="str">
        <f>"1"</f>
        <v>1</v>
      </c>
      <c r="CX27" t="str">
        <f ca="1">IF((OFFSET($A$1, 27 - 1, 100 - 1)) &gt;= (OFFSET($A$1, 79 - 1, 7 - 1)), "1","0")</f>
        <v>1</v>
      </c>
      <c r="CY27">
        <f ca="1" xml:space="preserve"> IF( AND( OFFSET($A$1, 27 - 1, 101 - 1) = "1", OFFSET($A$1, 27 - 1, 102 - 1) = "1" ), 1, IF( AND( OFFSET($A$1, 27 - 1, 101 - 1) = "1", OFFSET($A$1, 27 - 1, 102 - 1) = "0" ), 2, IF( AND( OFFSET($A$1, 27 - 1, 101 - 1) = "0", OFFSET($A$1, 27 - 1, 102 - 1) = "1" ), 3, 4 ) ) )</f>
        <v>1</v>
      </c>
    </row>
    <row r="28" spans="3:103" ht="13.8" x14ac:dyDescent="0.3">
      <c r="C28" s="62" t="s">
        <v>696</v>
      </c>
      <c r="D28" s="63"/>
      <c r="E28" s="63"/>
      <c r="F28" s="64"/>
      <c r="G28" s="69">
        <v>13</v>
      </c>
      <c r="H28" s="70"/>
      <c r="I28" s="70"/>
      <c r="J28" s="71"/>
      <c r="CQ28" s="24">
        <v>0.9976811246862719</v>
      </c>
      <c r="CR28" s="24" t="str">
        <f>"1"</f>
        <v>1</v>
      </c>
      <c r="CS28" t="str">
        <f ca="1">IF((OFFSET($A$1, 28 - 1, 95 - 1)) &gt;= (OFFSET($A$1, 55 - 1, 7 - 1)), "1","0")</f>
        <v>1</v>
      </c>
      <c r="CT28">
        <f ca="1" xml:space="preserve"> IF( AND( OFFSET($A$1, 28 - 1, 96 - 1) = "1", OFFSET($A$1, 28 - 1, 97 - 1) = "1" ), 1, IF( AND( OFFSET($A$1, 28 - 1, 96 - 1) = "1", OFFSET($A$1, 28 - 1, 97 - 1) = "0" ), 2, IF( AND( OFFSET($A$1, 28 - 1, 96 - 1) = "0", OFFSET($A$1, 28 - 1, 97 - 1) = "1" ), 3, 4 ) ) )</f>
        <v>1</v>
      </c>
      <c r="CV28" s="24">
        <v>2.9334379145047908E-2</v>
      </c>
      <c r="CW28" s="24" t="str">
        <f>"0"</f>
        <v>0</v>
      </c>
      <c r="CX28" t="str">
        <f ca="1">IF((OFFSET($A$1, 28 - 1, 100 - 1)) &gt;= (OFFSET($A$1, 79 - 1, 7 - 1)), "1","0")</f>
        <v>0</v>
      </c>
      <c r="CY28">
        <f ca="1" xml:space="preserve"> IF( AND( OFFSET($A$1, 28 - 1, 101 - 1) = "1", OFFSET($A$1, 28 - 1, 102 - 1) = "1" ), 1, IF( AND( OFFSET($A$1, 28 - 1, 101 - 1) = "1", OFFSET($A$1, 28 - 1, 102 - 1) = "0" ), 2, IF( AND( OFFSET($A$1, 28 - 1, 101 - 1) = "0", OFFSET($A$1, 28 - 1, 102 - 1) = "1" ), 3, 4 ) ) )</f>
        <v>4</v>
      </c>
    </row>
    <row r="29" spans="3:103" ht="13.8" x14ac:dyDescent="0.3">
      <c r="C29" s="62" t="s">
        <v>751</v>
      </c>
      <c r="D29" s="63"/>
      <c r="E29" s="63"/>
      <c r="F29" s="64"/>
      <c r="G29" s="69">
        <v>25</v>
      </c>
      <c r="H29" s="70"/>
      <c r="I29" s="70"/>
      <c r="J29" s="71"/>
      <c r="CQ29" s="24">
        <v>0.99920307065642822</v>
      </c>
      <c r="CR29" s="24" t="str">
        <f>"1"</f>
        <v>1</v>
      </c>
      <c r="CS29" t="str">
        <f ca="1">IF((OFFSET($A$1, 29 - 1, 95 - 1)) &gt;= (OFFSET($A$1, 55 - 1, 7 - 1)), "1","0")</f>
        <v>1</v>
      </c>
      <c r="CT29">
        <f ca="1" xml:space="preserve"> IF( AND( OFFSET($A$1, 29 - 1, 96 - 1) = "1", OFFSET($A$1, 29 - 1, 97 - 1) = "1" ), 1, IF( AND( OFFSET($A$1, 29 - 1, 96 - 1) = "1", OFFSET($A$1, 29 - 1, 97 - 1) = "0" ), 2, IF( AND( OFFSET($A$1, 29 - 1, 96 - 1) = "0", OFFSET($A$1, 29 - 1, 97 - 1) = "1" ), 3, 4 ) ) )</f>
        <v>1</v>
      </c>
      <c r="CV29" s="24">
        <v>0.99843766488236263</v>
      </c>
      <c r="CW29" s="24" t="str">
        <f>"1"</f>
        <v>1</v>
      </c>
      <c r="CX29" t="str">
        <f ca="1">IF((OFFSET($A$1, 29 - 1, 100 - 1)) &gt;= (OFFSET($A$1, 79 - 1, 7 - 1)), "1","0")</f>
        <v>1</v>
      </c>
      <c r="CY29">
        <f ca="1" xml:space="preserve"> IF( AND( OFFSET($A$1, 29 - 1, 101 - 1) = "1", OFFSET($A$1, 29 - 1, 102 - 1) = "1" ), 1, IF( AND( OFFSET($A$1, 29 - 1, 101 - 1) = "1", OFFSET($A$1, 29 - 1, 102 - 1) = "0" ), 2, IF( AND( OFFSET($A$1, 29 - 1, 101 - 1) = "0", OFFSET($A$1, 29 - 1, 102 - 1) = "1" ), 3, 4 ) ) )</f>
        <v>1</v>
      </c>
    </row>
    <row r="30" spans="3:103" ht="13.8" x14ac:dyDescent="0.3">
      <c r="C30" s="62" t="s">
        <v>200</v>
      </c>
      <c r="D30" s="63"/>
      <c r="E30" s="63"/>
      <c r="F30" s="64"/>
      <c r="G30" s="69">
        <v>30</v>
      </c>
      <c r="H30" s="70"/>
      <c r="I30" s="70"/>
      <c r="J30" s="71"/>
      <c r="CQ30" s="24">
        <v>0.86264529268036816</v>
      </c>
      <c r="CR30" s="24" t="str">
        <f>"1"</f>
        <v>1</v>
      </c>
      <c r="CS30" t="str">
        <f ca="1">IF((OFFSET($A$1, 30 - 1, 95 - 1)) &gt;= (OFFSET($A$1, 55 - 1, 7 - 1)), "1","0")</f>
        <v>1</v>
      </c>
      <c r="CT30">
        <f ca="1" xml:space="preserve"> IF( AND( OFFSET($A$1, 30 - 1, 96 - 1) = "1", OFFSET($A$1, 30 - 1, 97 - 1) = "1" ), 1, IF( AND( OFFSET($A$1, 30 - 1, 96 - 1) = "1", OFFSET($A$1, 30 - 1, 97 - 1) = "0" ), 2, IF( AND( OFFSET($A$1, 30 - 1, 96 - 1) = "0", OFFSET($A$1, 30 - 1, 97 - 1) = "1" ), 3, 4 ) ) )</f>
        <v>1</v>
      </c>
      <c r="CV30" s="24">
        <v>0.98409531406158679</v>
      </c>
      <c r="CW30" s="24" t="str">
        <f>"1"</f>
        <v>1</v>
      </c>
      <c r="CX30" t="str">
        <f ca="1">IF((OFFSET($A$1, 30 - 1, 100 - 1)) &gt;= (OFFSET($A$1, 79 - 1, 7 - 1)), "1","0")</f>
        <v>1</v>
      </c>
      <c r="CY30">
        <f ca="1" xml:space="preserve"> IF( AND( OFFSET($A$1, 30 - 1, 101 - 1) = "1", OFFSET($A$1, 30 - 1, 102 - 1) = "1" ), 1, IF( AND( OFFSET($A$1, 30 - 1, 101 - 1) = "1", OFFSET($A$1, 30 - 1, 102 - 1) = "0" ), 2, IF( AND( OFFSET($A$1, 30 - 1, 101 - 1) = "0", OFFSET($A$1, 30 - 1, 102 - 1) = "1" ), 3, 4 ) ) )</f>
        <v>1</v>
      </c>
    </row>
    <row r="31" spans="3:103" ht="13.8" x14ac:dyDescent="0.3">
      <c r="C31" s="62" t="s">
        <v>201</v>
      </c>
      <c r="D31" s="63"/>
      <c r="E31" s="63"/>
      <c r="F31" s="64"/>
      <c r="G31" s="69">
        <v>0.1</v>
      </c>
      <c r="H31" s="70"/>
      <c r="I31" s="70"/>
      <c r="J31" s="71"/>
      <c r="CQ31" s="24">
        <v>0.4844297650933812</v>
      </c>
      <c r="CR31" s="24" t="str">
        <f>"0"</f>
        <v>0</v>
      </c>
      <c r="CS31" t="str">
        <f ca="1">IF((OFFSET($A$1, 31 - 1, 95 - 1)) &gt;= (OFFSET($A$1, 55 - 1, 7 - 1)), "1","0")</f>
        <v>0</v>
      </c>
      <c r="CT31">
        <f ca="1" xml:space="preserve"> IF( AND( OFFSET($A$1, 31 - 1, 96 - 1) = "1", OFFSET($A$1, 31 - 1, 97 - 1) = "1" ), 1, IF( AND( OFFSET($A$1, 31 - 1, 96 - 1) = "1", OFFSET($A$1, 31 - 1, 97 - 1) = "0" ), 2, IF( AND( OFFSET($A$1, 31 - 1, 96 - 1) = "0", OFFSET($A$1, 31 - 1, 97 - 1) = "1" ), 3, 4 ) ) )</f>
        <v>4</v>
      </c>
      <c r="CV31" s="24">
        <v>0.91790963494285283</v>
      </c>
      <c r="CW31" s="24" t="str">
        <f>"0"</f>
        <v>0</v>
      </c>
      <c r="CX31" t="str">
        <f ca="1">IF((OFFSET($A$1, 31 - 1, 100 - 1)) &gt;= (OFFSET($A$1, 79 - 1, 7 - 1)), "1","0")</f>
        <v>1</v>
      </c>
      <c r="CY31">
        <f ca="1" xml:space="preserve"> IF( AND( OFFSET($A$1, 31 - 1, 101 - 1) = "1", OFFSET($A$1, 31 - 1, 102 - 1) = "1" ), 1, IF( AND( OFFSET($A$1, 31 - 1, 101 - 1) = "1", OFFSET($A$1, 31 - 1, 102 - 1) = "0" ), 2, IF( AND( OFFSET($A$1, 31 - 1, 101 - 1) = "0", OFFSET($A$1, 31 - 1, 102 - 1) = "1" ), 3, 4 ) ) )</f>
        <v>3</v>
      </c>
    </row>
    <row r="32" spans="3:103" ht="13.8" x14ac:dyDescent="0.3">
      <c r="C32" s="62" t="s">
        <v>202</v>
      </c>
      <c r="D32" s="63"/>
      <c r="E32" s="63"/>
      <c r="F32" s="64"/>
      <c r="G32" s="69">
        <v>0.6</v>
      </c>
      <c r="H32" s="70"/>
      <c r="I32" s="70"/>
      <c r="J32" s="71"/>
      <c r="CQ32" s="24">
        <v>0.92950946892812503</v>
      </c>
      <c r="CR32" s="24" t="str">
        <f>"1"</f>
        <v>1</v>
      </c>
      <c r="CS32" t="str">
        <f ca="1">IF((OFFSET($A$1, 32 - 1, 95 - 1)) &gt;= (OFFSET($A$1, 55 - 1, 7 - 1)), "1","0")</f>
        <v>1</v>
      </c>
      <c r="CT32">
        <f ca="1" xml:space="preserve"> IF( AND( OFFSET($A$1, 32 - 1, 96 - 1) = "1", OFFSET($A$1, 32 - 1, 97 - 1) = "1" ), 1, IF( AND( OFFSET($A$1, 32 - 1, 96 - 1) = "1", OFFSET($A$1, 32 - 1, 97 - 1) = "0" ), 2, IF( AND( OFFSET($A$1, 32 - 1, 96 - 1) = "0", OFFSET($A$1, 32 - 1, 97 - 1) = "1" ), 3, 4 ) ) )</f>
        <v>1</v>
      </c>
      <c r="CV32" s="24">
        <v>0.99903938634028044</v>
      </c>
      <c r="CW32" s="24" t="str">
        <f>"1"</f>
        <v>1</v>
      </c>
      <c r="CX32" t="str">
        <f ca="1">IF((OFFSET($A$1, 32 - 1, 100 - 1)) &gt;= (OFFSET($A$1, 79 - 1, 7 - 1)), "1","0")</f>
        <v>1</v>
      </c>
      <c r="CY32">
        <f ca="1" xml:space="preserve"> IF( AND( OFFSET($A$1, 32 - 1, 101 - 1) = "1", OFFSET($A$1, 32 - 1, 102 - 1) = "1" ), 1, IF( AND( OFFSET($A$1, 32 - 1, 101 - 1) = "1", OFFSET($A$1, 32 - 1, 102 - 1) = "0" ), 2, IF( AND( OFFSET($A$1, 32 - 1, 101 - 1) = "0", OFFSET($A$1, 32 - 1, 102 - 1) = "1" ), 3, 4 ) ) )</f>
        <v>1</v>
      </c>
    </row>
    <row r="33" spans="2:103" ht="13.8" x14ac:dyDescent="0.3">
      <c r="C33" s="62" t="s">
        <v>203</v>
      </c>
      <c r="D33" s="63"/>
      <c r="E33" s="63"/>
      <c r="F33" s="64"/>
      <c r="G33" s="69">
        <v>0.01</v>
      </c>
      <c r="H33" s="70"/>
      <c r="I33" s="70"/>
      <c r="J33" s="71"/>
      <c r="CQ33" s="24">
        <v>2.7107009051901179E-2</v>
      </c>
      <c r="CR33" s="24" t="str">
        <f>"0"</f>
        <v>0</v>
      </c>
      <c r="CS33" t="str">
        <f ca="1">IF((OFFSET($A$1, 33 - 1, 95 - 1)) &gt;= (OFFSET($A$1, 55 - 1, 7 - 1)), "1","0")</f>
        <v>0</v>
      </c>
      <c r="CT33">
        <f ca="1" xml:space="preserve"> IF( AND( OFFSET($A$1, 33 - 1, 96 - 1) = "1", OFFSET($A$1, 33 - 1, 97 - 1) = "1" ), 1, IF( AND( OFFSET($A$1, 33 - 1, 96 - 1) = "1", OFFSET($A$1, 33 - 1, 97 - 1) = "0" ), 2, IF( AND( OFFSET($A$1, 33 - 1, 96 - 1) = "0", OFFSET($A$1, 33 - 1, 97 - 1) = "1" ), 3, 4 ) ) )</f>
        <v>4</v>
      </c>
      <c r="CV33" s="24">
        <v>0.60125592923423576</v>
      </c>
      <c r="CW33" s="24" t="str">
        <f>"0"</f>
        <v>0</v>
      </c>
      <c r="CX33" t="str">
        <f ca="1">IF((OFFSET($A$1, 33 - 1, 100 - 1)) &gt;= (OFFSET($A$1, 79 - 1, 7 - 1)), "1","0")</f>
        <v>1</v>
      </c>
      <c r="CY33">
        <f ca="1" xml:space="preserve"> IF( AND( OFFSET($A$1, 33 - 1, 101 - 1) = "1", OFFSET($A$1, 33 - 1, 102 - 1) = "1" ), 1, IF( AND( OFFSET($A$1, 33 - 1, 101 - 1) = "1", OFFSET($A$1, 33 - 1, 102 - 1) = "0" ), 2, IF( AND( OFFSET($A$1, 33 - 1, 101 - 1) = "0", OFFSET($A$1, 33 - 1, 102 - 1) = "1" ), 3, 4 ) ) )</f>
        <v>3</v>
      </c>
    </row>
    <row r="34" spans="2:103" ht="13.8" x14ac:dyDescent="0.3">
      <c r="C34" s="62" t="s">
        <v>204</v>
      </c>
      <c r="D34" s="63"/>
      <c r="E34" s="63"/>
      <c r="F34" s="64"/>
      <c r="G34" s="69">
        <v>0</v>
      </c>
      <c r="H34" s="70"/>
      <c r="I34" s="70"/>
      <c r="J34" s="71"/>
      <c r="CQ34" s="24">
        <v>0.99738140246872264</v>
      </c>
      <c r="CR34" s="24" t="str">
        <f t="shared" ref="CR34:CR43" si="3">"1"</f>
        <v>1</v>
      </c>
      <c r="CS34" t="str">
        <f ca="1">IF((OFFSET($A$1, 34 - 1, 95 - 1)) &gt;= (OFFSET($A$1, 55 - 1, 7 - 1)), "1","0")</f>
        <v>1</v>
      </c>
      <c r="CT34">
        <f ca="1" xml:space="preserve"> IF( AND( OFFSET($A$1, 34 - 1, 96 - 1) = "1", OFFSET($A$1, 34 - 1, 97 - 1) = "1" ), 1, IF( AND( OFFSET($A$1, 34 - 1, 96 - 1) = "1", OFFSET($A$1, 34 - 1, 97 - 1) = "0" ), 2, IF( AND( OFFSET($A$1, 34 - 1, 96 - 1) = "0", OFFSET($A$1, 34 - 1, 97 - 1) = "1" ), 3, 4 ) ) )</f>
        <v>1</v>
      </c>
      <c r="CV34" s="24">
        <v>0.9932499166851485</v>
      </c>
      <c r="CW34" s="24" t="str">
        <f>"1"</f>
        <v>1</v>
      </c>
      <c r="CX34" t="str">
        <f ca="1">IF((OFFSET($A$1, 34 - 1, 100 - 1)) &gt;= (OFFSET($A$1, 79 - 1, 7 - 1)), "1","0")</f>
        <v>1</v>
      </c>
      <c r="CY34">
        <f ca="1" xml:space="preserve"> IF( AND( OFFSET($A$1, 34 - 1, 101 - 1) = "1", OFFSET($A$1, 34 - 1, 102 - 1) = "1" ), 1, IF( AND( OFFSET($A$1, 34 - 1, 101 - 1) = "1", OFFSET($A$1, 34 - 1, 102 - 1) = "0" ), 2, IF( AND( OFFSET($A$1, 34 - 1, 101 - 1) = "0", OFFSET($A$1, 34 - 1, 102 - 1) = "1" ), 3, 4 ) ) )</f>
        <v>1</v>
      </c>
    </row>
    <row r="35" spans="2:103" ht="13.8" x14ac:dyDescent="0.3">
      <c r="C35" s="62" t="s">
        <v>205</v>
      </c>
      <c r="D35" s="63"/>
      <c r="E35" s="63"/>
      <c r="F35" s="64"/>
      <c r="G35" s="69" t="s">
        <v>206</v>
      </c>
      <c r="H35" s="70"/>
      <c r="I35" s="70"/>
      <c r="J35" s="71"/>
      <c r="CQ35" s="24">
        <v>0.99866526044550319</v>
      </c>
      <c r="CR35" s="24" t="str">
        <f t="shared" si="3"/>
        <v>1</v>
      </c>
      <c r="CS35" t="str">
        <f ca="1">IF((OFFSET($A$1, 35 - 1, 95 - 1)) &gt;= (OFFSET($A$1, 55 - 1, 7 - 1)), "1","0")</f>
        <v>1</v>
      </c>
      <c r="CT35">
        <f ca="1" xml:space="preserve"> IF( AND( OFFSET($A$1, 35 - 1, 96 - 1) = "1", OFFSET($A$1, 35 - 1, 97 - 1) = "1" ), 1, IF( AND( OFFSET($A$1, 35 - 1, 96 - 1) = "1", OFFSET($A$1, 35 - 1, 97 - 1) = "0" ), 2, IF( AND( OFFSET($A$1, 35 - 1, 96 - 1) = "0", OFFSET($A$1, 35 - 1, 97 - 1) = "1" ), 3, 4 ) ) )</f>
        <v>1</v>
      </c>
      <c r="CV35" s="24">
        <v>0.92175498918895848</v>
      </c>
      <c r="CW35" s="24" t="str">
        <f>"1"</f>
        <v>1</v>
      </c>
      <c r="CX35" t="str">
        <f ca="1">IF((OFFSET($A$1, 35 - 1, 100 - 1)) &gt;= (OFFSET($A$1, 79 - 1, 7 - 1)), "1","0")</f>
        <v>1</v>
      </c>
      <c r="CY35">
        <f ca="1" xml:space="preserve"> IF( AND( OFFSET($A$1, 35 - 1, 101 - 1) = "1", OFFSET($A$1, 35 - 1, 102 - 1) = "1" ), 1, IF( AND( OFFSET($A$1, 35 - 1, 101 - 1) = "1", OFFSET($A$1, 35 - 1, 102 - 1) = "0" ), 2, IF( AND( OFFSET($A$1, 35 - 1, 101 - 1) = "0", OFFSET($A$1, 35 - 1, 102 - 1) = "1" ), 3, 4 ) ) )</f>
        <v>1</v>
      </c>
    </row>
    <row r="36" spans="2:103" ht="13.8" x14ac:dyDescent="0.3">
      <c r="C36" s="62" t="s">
        <v>207</v>
      </c>
      <c r="D36" s="63"/>
      <c r="E36" s="63"/>
      <c r="F36" s="64"/>
      <c r="G36" s="69" t="s">
        <v>208</v>
      </c>
      <c r="H36" s="70"/>
      <c r="I36" s="70"/>
      <c r="J36" s="71"/>
      <c r="CQ36" s="24">
        <v>0.95426116691533991</v>
      </c>
      <c r="CR36" s="24" t="str">
        <f t="shared" si="3"/>
        <v>1</v>
      </c>
      <c r="CS36" t="str">
        <f ca="1">IF((OFFSET($A$1, 36 - 1, 95 - 1)) &gt;= (OFFSET($A$1, 55 - 1, 7 - 1)), "1","0")</f>
        <v>1</v>
      </c>
      <c r="CT36">
        <f ca="1" xml:space="preserve"> IF( AND( OFFSET($A$1, 36 - 1, 96 - 1) = "1", OFFSET($A$1, 36 - 1, 97 - 1) = "1" ), 1, IF( AND( OFFSET($A$1, 36 - 1, 96 - 1) = "1", OFFSET($A$1, 36 - 1, 97 - 1) = "0" ), 2, IF( AND( OFFSET($A$1, 36 - 1, 96 - 1) = "0", OFFSET($A$1, 36 - 1, 97 - 1) = "1" ), 3, 4 ) ) )</f>
        <v>1</v>
      </c>
      <c r="CV36" s="24">
        <v>0.99490571795668348</v>
      </c>
      <c r="CW36" s="24" t="str">
        <f>"1"</f>
        <v>1</v>
      </c>
      <c r="CX36" t="str">
        <f ca="1">IF((OFFSET($A$1, 36 - 1, 100 - 1)) &gt;= (OFFSET($A$1, 79 - 1, 7 - 1)), "1","0")</f>
        <v>1</v>
      </c>
      <c r="CY36">
        <f ca="1" xml:space="preserve"> IF( AND( OFFSET($A$1, 36 - 1, 101 - 1) = "1", OFFSET($A$1, 36 - 1, 102 - 1) = "1" ), 1, IF( AND( OFFSET($A$1, 36 - 1, 101 - 1) = "1", OFFSET($A$1, 36 - 1, 102 - 1) = "0" ), 2, IF( AND( OFFSET($A$1, 36 - 1, 101 - 1) = "0", OFFSET($A$1, 36 - 1, 102 - 1) = "1" ), 3, 4 ) ) )</f>
        <v>1</v>
      </c>
    </row>
    <row r="37" spans="2:103" ht="13.8" x14ac:dyDescent="0.3">
      <c r="C37" s="62" t="s">
        <v>209</v>
      </c>
      <c r="D37" s="63"/>
      <c r="E37" s="63"/>
      <c r="F37" s="64"/>
      <c r="G37" s="69" t="s">
        <v>208</v>
      </c>
      <c r="H37" s="70"/>
      <c r="I37" s="70"/>
      <c r="J37" s="71"/>
      <c r="CQ37" s="24">
        <v>0.99606322550314852</v>
      </c>
      <c r="CR37" s="24" t="str">
        <f t="shared" si="3"/>
        <v>1</v>
      </c>
      <c r="CS37" t="str">
        <f ca="1">IF((OFFSET($A$1, 37 - 1, 95 - 1)) &gt;= (OFFSET($A$1, 55 - 1, 7 - 1)), "1","0")</f>
        <v>1</v>
      </c>
      <c r="CT37">
        <f ca="1" xml:space="preserve"> IF( AND( OFFSET($A$1, 37 - 1, 96 - 1) = "1", OFFSET($A$1, 37 - 1, 97 - 1) = "1" ), 1, IF( AND( OFFSET($A$1, 37 - 1, 96 - 1) = "1", OFFSET($A$1, 37 - 1, 97 - 1) = "0" ), 2, IF( AND( OFFSET($A$1, 37 - 1, 96 - 1) = "0", OFFSET($A$1, 37 - 1, 97 - 1) = "1" ), 3, 4 ) ) )</f>
        <v>1</v>
      </c>
      <c r="CV37" s="24">
        <v>0.86532314402276922</v>
      </c>
      <c r="CW37" s="24" t="str">
        <f>"1"</f>
        <v>1</v>
      </c>
      <c r="CX37" t="str">
        <f ca="1">IF((OFFSET($A$1, 37 - 1, 100 - 1)) &gt;= (OFFSET($A$1, 79 - 1, 7 - 1)), "1","0")</f>
        <v>1</v>
      </c>
      <c r="CY37">
        <f ca="1" xml:space="preserve"> IF( AND( OFFSET($A$1, 37 - 1, 101 - 1) = "1", OFFSET($A$1, 37 - 1, 102 - 1) = "1" ), 1, IF( AND( OFFSET($A$1, 37 - 1, 101 - 1) = "1", OFFSET($A$1, 37 - 1, 102 - 1) = "0" ), 2, IF( AND( OFFSET($A$1, 37 - 1, 101 - 1) = "0", OFFSET($A$1, 37 - 1, 102 - 1) = "1" ), 3, 4 ) ) )</f>
        <v>1</v>
      </c>
    </row>
    <row r="38" spans="2:103" ht="13.8" x14ac:dyDescent="0.3">
      <c r="CQ38" s="24">
        <v>0.98487977406714977</v>
      </c>
      <c r="CR38" s="24" t="str">
        <f t="shared" si="3"/>
        <v>1</v>
      </c>
      <c r="CS38" t="str">
        <f ca="1">IF((OFFSET($A$1, 38 - 1, 95 - 1)) &gt;= (OFFSET($A$1, 55 - 1, 7 - 1)), "1","0")</f>
        <v>1</v>
      </c>
      <c r="CT38">
        <f ca="1" xml:space="preserve"> IF( AND( OFFSET($A$1, 38 - 1, 96 - 1) = "1", OFFSET($A$1, 38 - 1, 97 - 1) = "1" ), 1, IF( AND( OFFSET($A$1, 38 - 1, 96 - 1) = "1", OFFSET($A$1, 38 - 1, 97 - 1) = "0" ), 2, IF( AND( OFFSET($A$1, 38 - 1, 96 - 1) = "0", OFFSET($A$1, 38 - 1, 97 - 1) = "1" ), 3, 4 ) ) )</f>
        <v>1</v>
      </c>
      <c r="CV38" s="24">
        <v>0.51619395387505396</v>
      </c>
      <c r="CW38" s="24" t="str">
        <f>"0"</f>
        <v>0</v>
      </c>
      <c r="CX38" t="str">
        <f ca="1">IF((OFFSET($A$1, 38 - 1, 100 - 1)) &gt;= (OFFSET($A$1, 79 - 1, 7 - 1)), "1","0")</f>
        <v>1</v>
      </c>
      <c r="CY38">
        <f ca="1" xml:space="preserve"> IF( AND( OFFSET($A$1, 38 - 1, 101 - 1) = "1", OFFSET($A$1, 38 - 1, 102 - 1) = "1" ), 1, IF( AND( OFFSET($A$1, 38 - 1, 101 - 1) = "1", OFFSET($A$1, 38 - 1, 102 - 1) = "0" ), 2, IF( AND( OFFSET($A$1, 38 - 1, 101 - 1) = "0", OFFSET($A$1, 38 - 1, 102 - 1) = "1" ), 3, 4 ) ) )</f>
        <v>3</v>
      </c>
    </row>
    <row r="39" spans="2:103" ht="15.6" x14ac:dyDescent="0.3">
      <c r="C39" s="59" t="s">
        <v>697</v>
      </c>
      <c r="D39" s="60"/>
      <c r="E39" s="60"/>
      <c r="F39" s="60"/>
      <c r="G39" s="61"/>
      <c r="CQ39" s="24">
        <v>0.77236710282402821</v>
      </c>
      <c r="CR39" s="24" t="str">
        <f t="shared" si="3"/>
        <v>1</v>
      </c>
      <c r="CS39" t="str">
        <f ca="1">IF((OFFSET($A$1, 39 - 1, 95 - 1)) &gt;= (OFFSET($A$1, 55 - 1, 7 - 1)), "1","0")</f>
        <v>1</v>
      </c>
      <c r="CT39">
        <f ca="1" xml:space="preserve"> IF( AND( OFFSET($A$1, 39 - 1, 96 - 1) = "1", OFFSET($A$1, 39 - 1, 97 - 1) = "1" ), 1, IF( AND( OFFSET($A$1, 39 - 1, 96 - 1) = "1", OFFSET($A$1, 39 - 1, 97 - 1) = "0" ), 2, IF( AND( OFFSET($A$1, 39 - 1, 96 - 1) = "0", OFFSET($A$1, 39 - 1, 97 - 1) = "1" ), 3, 4 ) ) )</f>
        <v>1</v>
      </c>
      <c r="CV39" s="24">
        <v>0.99638228495062398</v>
      </c>
      <c r="CW39" s="24" t="str">
        <f>"1"</f>
        <v>1</v>
      </c>
      <c r="CX39" t="str">
        <f ca="1">IF((OFFSET($A$1, 39 - 1, 100 - 1)) &gt;= (OFFSET($A$1, 79 - 1, 7 - 1)), "1","0")</f>
        <v>1</v>
      </c>
      <c r="CY39">
        <f ca="1" xml:space="preserve"> IF( AND( OFFSET($A$1, 39 - 1, 101 - 1) = "1", OFFSET($A$1, 39 - 1, 102 - 1) = "1" ), 1, IF( AND( OFFSET($A$1, 39 - 1, 101 - 1) = "1", OFFSET($A$1, 39 - 1, 102 - 1) = "0" ), 2, IF( AND( OFFSET($A$1, 39 - 1, 101 - 1) = "0", OFFSET($A$1, 39 - 1, 102 - 1) = "1" ), 3, 4 ) ) )</f>
        <v>1</v>
      </c>
    </row>
    <row r="40" spans="2:103" ht="13.8" x14ac:dyDescent="0.3">
      <c r="C40" s="67" t="s">
        <v>698</v>
      </c>
      <c r="D40" s="68"/>
      <c r="E40" s="68"/>
      <c r="F40" s="68"/>
      <c r="G40" s="66"/>
      <c r="CQ40" s="24">
        <v>0.98912199217260166</v>
      </c>
      <c r="CR40" s="24" t="str">
        <f t="shared" si="3"/>
        <v>1</v>
      </c>
      <c r="CS40" t="str">
        <f ca="1">IF((OFFSET($A$1, 40 - 1, 95 - 1)) &gt;= (OFFSET($A$1, 55 - 1, 7 - 1)), "1","0")</f>
        <v>1</v>
      </c>
      <c r="CT40">
        <f ca="1" xml:space="preserve"> IF( AND( OFFSET($A$1, 40 - 1, 96 - 1) = "1", OFFSET($A$1, 40 - 1, 97 - 1) = "1" ), 1, IF( AND( OFFSET($A$1, 40 - 1, 96 - 1) = "1", OFFSET($A$1, 40 - 1, 97 - 1) = "0" ), 2, IF( AND( OFFSET($A$1, 40 - 1, 96 - 1) = "0", OFFSET($A$1, 40 - 1, 97 - 1) = "1" ), 3, 4 ) ) )</f>
        <v>1</v>
      </c>
      <c r="CV40" s="24">
        <v>0.89868166564781504</v>
      </c>
      <c r="CW40" s="24" t="str">
        <f>"1"</f>
        <v>1</v>
      </c>
      <c r="CX40" t="str">
        <f ca="1">IF((OFFSET($A$1, 40 - 1, 100 - 1)) &gt;= (OFFSET($A$1, 79 - 1, 7 - 1)), "1","0")</f>
        <v>1</v>
      </c>
      <c r="CY40">
        <f ca="1" xml:space="preserve"> IF( AND( OFFSET($A$1, 40 - 1, 101 - 1) = "1", OFFSET($A$1, 40 - 1, 102 - 1) = "1" ), 1, IF( AND( OFFSET($A$1, 40 - 1, 101 - 1) = "1", OFFSET($A$1, 40 - 1, 102 - 1) = "0" ), 2, IF( AND( OFFSET($A$1, 40 - 1, 101 - 1) = "0", OFFSET($A$1, 40 - 1, 102 - 1) = "1" ), 3, 4 ) ) )</f>
        <v>1</v>
      </c>
    </row>
    <row r="41" spans="2:103" ht="13.8" x14ac:dyDescent="0.3">
      <c r="C41" s="67" t="s">
        <v>700</v>
      </c>
      <c r="D41" s="68"/>
      <c r="E41" s="68"/>
      <c r="F41" s="68"/>
      <c r="G41" s="66"/>
      <c r="CQ41" s="24">
        <v>0.96272206112198322</v>
      </c>
      <c r="CR41" s="24" t="str">
        <f t="shared" si="3"/>
        <v>1</v>
      </c>
      <c r="CS41" t="str">
        <f ca="1">IF((OFFSET($A$1, 41 - 1, 95 - 1)) &gt;= (OFFSET($A$1, 55 - 1, 7 - 1)), "1","0")</f>
        <v>1</v>
      </c>
      <c r="CT41">
        <f ca="1" xml:space="preserve"> IF( AND( OFFSET($A$1, 41 - 1, 96 - 1) = "1", OFFSET($A$1, 41 - 1, 97 - 1) = "1" ), 1, IF( AND( OFFSET($A$1, 41 - 1, 96 - 1) = "1", OFFSET($A$1, 41 - 1, 97 - 1) = "0" ), 2, IF( AND( OFFSET($A$1, 41 - 1, 96 - 1) = "0", OFFSET($A$1, 41 - 1, 97 - 1) = "1" ), 3, 4 ) ) )</f>
        <v>1</v>
      </c>
      <c r="CV41" s="24">
        <v>0.86860106134824377</v>
      </c>
      <c r="CW41" s="24" t="str">
        <f>"1"</f>
        <v>1</v>
      </c>
      <c r="CX41" t="str">
        <f ca="1">IF((OFFSET($A$1, 41 - 1, 100 - 1)) &gt;= (OFFSET($A$1, 79 - 1, 7 - 1)), "1","0")</f>
        <v>1</v>
      </c>
      <c r="CY41">
        <f ca="1" xml:space="preserve"> IF( AND( OFFSET($A$1, 41 - 1, 101 - 1) = "1", OFFSET($A$1, 41 - 1, 102 - 1) = "1" ), 1, IF( AND( OFFSET($A$1, 41 - 1, 101 - 1) = "1", OFFSET($A$1, 41 - 1, 102 - 1) = "0" ), 2, IF( AND( OFFSET($A$1, 41 - 1, 101 - 1) = "0", OFFSET($A$1, 41 - 1, 102 - 1) = "1" ), 3, 4 ) ) )</f>
        <v>1</v>
      </c>
    </row>
    <row r="42" spans="2:103" ht="13.8" x14ac:dyDescent="0.3">
      <c r="CQ42" s="24">
        <v>0.93748595698937431</v>
      </c>
      <c r="CR42" s="24" t="str">
        <f t="shared" si="3"/>
        <v>1</v>
      </c>
      <c r="CS42" t="str">
        <f ca="1">IF((OFFSET($A$1, 42 - 1, 95 - 1)) &gt;= (OFFSET($A$1, 55 - 1, 7 - 1)), "1","0")</f>
        <v>1</v>
      </c>
      <c r="CT42">
        <f ca="1" xml:space="preserve"> IF( AND( OFFSET($A$1, 42 - 1, 96 - 1) = "1", OFFSET($A$1, 42 - 1, 97 - 1) = "1" ), 1, IF( AND( OFFSET($A$1, 42 - 1, 96 - 1) = "1", OFFSET($A$1, 42 - 1, 97 - 1) = "0" ), 2, IF( AND( OFFSET($A$1, 42 - 1, 96 - 1) = "0", OFFSET($A$1, 42 - 1, 97 - 1) = "1" ), 3, 4 ) ) )</f>
        <v>1</v>
      </c>
      <c r="CV42" s="24">
        <v>0.99759022830455868</v>
      </c>
      <c r="CW42" s="24" t="str">
        <f>"1"</f>
        <v>1</v>
      </c>
      <c r="CX42" t="str">
        <f ca="1">IF((OFFSET($A$1, 42 - 1, 100 - 1)) &gt;= (OFFSET($A$1, 79 - 1, 7 - 1)), "1","0")</f>
        <v>1</v>
      </c>
      <c r="CY42">
        <f ca="1" xml:space="preserve"> IF( AND( OFFSET($A$1, 42 - 1, 101 - 1) = "1", OFFSET($A$1, 42 - 1, 102 - 1) = "1" ), 1, IF( AND( OFFSET($A$1, 42 - 1, 101 - 1) = "1", OFFSET($A$1, 42 - 1, 102 - 1) = "0" ), 2, IF( AND( OFFSET($A$1, 42 - 1, 101 - 1) = "0", OFFSET($A$1, 42 - 1, 102 - 1) = "1" ), 3, 4 ) ) )</f>
        <v>1</v>
      </c>
    </row>
    <row r="43" spans="2:103" ht="13.8" x14ac:dyDescent="0.3">
      <c r="CQ43" s="24">
        <v>0.99254859383266048</v>
      </c>
      <c r="CR43" s="24" t="str">
        <f t="shared" si="3"/>
        <v>1</v>
      </c>
      <c r="CS43" t="str">
        <f ca="1">IF((OFFSET($A$1, 43 - 1, 95 - 1)) &gt;= (OFFSET($A$1, 55 - 1, 7 - 1)), "1","0")</f>
        <v>1</v>
      </c>
      <c r="CT43">
        <f ca="1" xml:space="preserve"> IF( AND( OFFSET($A$1, 43 - 1, 96 - 1) = "1", OFFSET($A$1, 43 - 1, 97 - 1) = "1" ), 1, IF( AND( OFFSET($A$1, 43 - 1, 96 - 1) = "1", OFFSET($A$1, 43 - 1, 97 - 1) = "0" ), 2, IF( AND( OFFSET($A$1, 43 - 1, 96 - 1) = "0", OFFSET($A$1, 43 - 1, 97 - 1) = "1" ), 3, 4 ) ) )</f>
        <v>1</v>
      </c>
      <c r="CV43" s="24">
        <v>0.58052599630742596</v>
      </c>
      <c r="CW43" s="24" t="str">
        <f>"0"</f>
        <v>0</v>
      </c>
      <c r="CX43" t="str">
        <f ca="1">IF((OFFSET($A$1, 43 - 1, 100 - 1)) &gt;= (OFFSET($A$1, 79 - 1, 7 - 1)), "1","0")</f>
        <v>1</v>
      </c>
      <c r="CY43">
        <f ca="1" xml:space="preserve"> IF( AND( OFFSET($A$1, 43 - 1, 101 - 1) = "1", OFFSET($A$1, 43 - 1, 102 - 1) = "1" ), 1, IF( AND( OFFSET($A$1, 43 - 1, 101 - 1) = "1", OFFSET($A$1, 43 - 1, 102 - 1) = "0" ), 2, IF( AND( OFFSET($A$1, 43 - 1, 101 - 1) = "0", OFFSET($A$1, 43 - 1, 102 - 1) = "1" ), 3, 4 ) ) )</f>
        <v>3</v>
      </c>
    </row>
    <row r="44" spans="2:103" ht="18" x14ac:dyDescent="0.35">
      <c r="B44" s="22" t="s">
        <v>702</v>
      </c>
      <c r="CQ44" s="24">
        <v>0.76923207832378082</v>
      </c>
      <c r="CR44" s="24" t="str">
        <f>"0"</f>
        <v>0</v>
      </c>
      <c r="CS44" t="str">
        <f ca="1">IF((OFFSET($A$1, 44 - 1, 95 - 1)) &gt;= (OFFSET($A$1, 55 - 1, 7 - 1)), "1","0")</f>
        <v>1</v>
      </c>
      <c r="CT44">
        <f ca="1" xml:space="preserve"> IF( AND( OFFSET($A$1, 44 - 1, 96 - 1) = "1", OFFSET($A$1, 44 - 1, 97 - 1) = "1" ), 1, IF( AND( OFFSET($A$1, 44 - 1, 96 - 1) = "1", OFFSET($A$1, 44 - 1, 97 - 1) = "0" ), 2, IF( AND( OFFSET($A$1, 44 - 1, 96 - 1) = "0", OFFSET($A$1, 44 - 1, 97 - 1) = "1" ), 3, 4 ) ) )</f>
        <v>3</v>
      </c>
      <c r="CV44" s="24">
        <v>1.5428321472146792E-2</v>
      </c>
      <c r="CW44" s="24" t="str">
        <f>"1"</f>
        <v>1</v>
      </c>
      <c r="CX44" t="str">
        <f ca="1">IF((OFFSET($A$1, 44 - 1, 100 - 1)) &gt;= (OFFSET($A$1, 79 - 1, 7 - 1)), "1","0")</f>
        <v>0</v>
      </c>
      <c r="CY44">
        <f ca="1" xml:space="preserve"> IF( AND( OFFSET($A$1, 44 - 1, 101 - 1) = "1", OFFSET($A$1, 44 - 1, 102 - 1) = "1" ), 1, IF( AND( OFFSET($A$1, 44 - 1, 101 - 1) = "1", OFFSET($A$1, 44 - 1, 102 - 1) = "0" ), 2, IF( AND( OFFSET($A$1, 44 - 1, 101 - 1) = "0", OFFSET($A$1, 44 - 1, 102 - 1) = "1" ), 3, 4 ) ) )</f>
        <v>2</v>
      </c>
    </row>
    <row r="45" spans="2:103" ht="13.8" x14ac:dyDescent="0.3">
      <c r="CQ45" s="24">
        <v>0.98350295817356836</v>
      </c>
      <c r="CR45" s="24" t="str">
        <f>"1"</f>
        <v>1</v>
      </c>
      <c r="CS45" t="str">
        <f ca="1">IF((OFFSET($A$1, 45 - 1, 95 - 1)) &gt;= (OFFSET($A$1, 55 - 1, 7 - 1)), "1","0")</f>
        <v>1</v>
      </c>
      <c r="CT45">
        <f ca="1" xml:space="preserve"> IF( AND( OFFSET($A$1, 45 - 1, 96 - 1) = "1", OFFSET($A$1, 45 - 1, 97 - 1) = "1" ), 1, IF( AND( OFFSET($A$1, 45 - 1, 96 - 1) = "1", OFFSET($A$1, 45 - 1, 97 - 1) = "0" ), 2, IF( AND( OFFSET($A$1, 45 - 1, 96 - 1) = "0", OFFSET($A$1, 45 - 1, 97 - 1) = "1" ), 3, 4 ) ) )</f>
        <v>1</v>
      </c>
      <c r="CV45" s="24">
        <v>0.99828674756306945</v>
      </c>
      <c r="CW45" s="24" t="str">
        <f>"1"</f>
        <v>1</v>
      </c>
      <c r="CX45" t="str">
        <f ca="1">IF((OFFSET($A$1, 45 - 1, 100 - 1)) &gt;= (OFFSET($A$1, 79 - 1, 7 - 1)), "1","0")</f>
        <v>1</v>
      </c>
      <c r="CY45">
        <f ca="1" xml:space="preserve"> IF( AND( OFFSET($A$1, 45 - 1, 101 - 1) = "1", OFFSET($A$1, 45 - 1, 102 - 1) = "1" ), 1, IF( AND( OFFSET($A$1, 45 - 1, 101 - 1) = "1", OFFSET($A$1, 45 - 1, 102 - 1) = "0" ), 2, IF( AND( OFFSET($A$1, 45 - 1, 101 - 1) = "0", OFFSET($A$1, 45 - 1, 102 - 1) = "1" ), 3, 4 ) ) )</f>
        <v>1</v>
      </c>
    </row>
    <row r="46" spans="2:103" ht="13.8" x14ac:dyDescent="0.3">
      <c r="C46" s="67" t="s">
        <v>703</v>
      </c>
      <c r="D46" s="68"/>
      <c r="E46" s="68"/>
      <c r="F46" s="68"/>
      <c r="G46" s="66"/>
      <c r="CQ46" s="24">
        <v>0.99715158434908435</v>
      </c>
      <c r="CR46" s="24" t="str">
        <f>"1"</f>
        <v>1</v>
      </c>
      <c r="CS46" t="str">
        <f ca="1">IF((OFFSET($A$1, 46 - 1, 95 - 1)) &gt;= (OFFSET($A$1, 55 - 1, 7 - 1)), "1","0")</f>
        <v>1</v>
      </c>
      <c r="CT46">
        <f ca="1" xml:space="preserve"> IF( AND( OFFSET($A$1, 46 - 1, 96 - 1) = "1", OFFSET($A$1, 46 - 1, 97 - 1) = "1" ), 1, IF( AND( OFFSET($A$1, 46 - 1, 96 - 1) = "1", OFFSET($A$1, 46 - 1, 97 - 1) = "0" ), 2, IF( AND( OFFSET($A$1, 46 - 1, 96 - 1) = "0", OFFSET($A$1, 46 - 1, 97 - 1) = "1" ), 3, 4 ) ) )</f>
        <v>1</v>
      </c>
      <c r="CV46" s="24">
        <v>0.797915124570441</v>
      </c>
      <c r="CW46" s="24" t="str">
        <f>"0"</f>
        <v>0</v>
      </c>
      <c r="CX46" t="str">
        <f ca="1">IF((OFFSET($A$1, 46 - 1, 100 - 1)) &gt;= (OFFSET($A$1, 79 - 1, 7 - 1)), "1","0")</f>
        <v>1</v>
      </c>
      <c r="CY46">
        <f ca="1" xml:space="preserve"> IF( AND( OFFSET($A$1, 46 - 1, 101 - 1) = "1", OFFSET($A$1, 46 - 1, 102 - 1) = "1" ), 1, IF( AND( OFFSET($A$1, 46 - 1, 101 - 1) = "1", OFFSET($A$1, 46 - 1, 102 - 1) = "0" ), 2, IF( AND( OFFSET($A$1, 46 - 1, 101 - 1) = "0", OFFSET($A$1, 46 - 1, 102 - 1) = "1" ), 3, 4 ) ) )</f>
        <v>3</v>
      </c>
    </row>
    <row r="47" spans="2:103" ht="13.8" x14ac:dyDescent="0.3">
      <c r="CQ47" s="24">
        <v>0.99541637658067683</v>
      </c>
      <c r="CR47" s="24" t="str">
        <f>"1"</f>
        <v>1</v>
      </c>
      <c r="CS47" t="str">
        <f ca="1">IF((OFFSET($A$1, 47 - 1, 95 - 1)) &gt;= (OFFSET($A$1, 55 - 1, 7 - 1)), "1","0")</f>
        <v>1</v>
      </c>
      <c r="CT47">
        <f ca="1" xml:space="preserve"> IF( AND( OFFSET($A$1, 47 - 1, 96 - 1) = "1", OFFSET($A$1, 47 - 1, 97 - 1) = "1" ), 1, IF( AND( OFFSET($A$1, 47 - 1, 96 - 1) = "1", OFFSET($A$1, 47 - 1, 97 - 1) = "0" ), 2, IF( AND( OFFSET($A$1, 47 - 1, 96 - 1) = "0", OFFSET($A$1, 47 - 1, 97 - 1) = "1" ), 3, 4 ) ) )</f>
        <v>1</v>
      </c>
      <c r="CV47" s="24">
        <v>3.7061122361793944E-2</v>
      </c>
      <c r="CW47" s="24" t="str">
        <f>"0"</f>
        <v>0</v>
      </c>
      <c r="CX47" t="str">
        <f ca="1">IF((OFFSET($A$1, 47 - 1, 100 - 1)) &gt;= (OFFSET($A$1, 79 - 1, 7 - 1)), "1","0")</f>
        <v>0</v>
      </c>
      <c r="CY47">
        <f ca="1" xml:space="preserve"> IF( AND( OFFSET($A$1, 47 - 1, 101 - 1) = "1", OFFSET($A$1, 47 - 1, 102 - 1) = "1" ), 1, IF( AND( OFFSET($A$1, 47 - 1, 101 - 1) = "1", OFFSET($A$1, 47 - 1, 102 - 1) = "0" ), 2, IF( AND( OFFSET($A$1, 47 - 1, 101 - 1) = "0", OFFSET($A$1, 47 - 1, 102 - 1) = "1" ), 3, 4 ) ) )</f>
        <v>4</v>
      </c>
    </row>
    <row r="48" spans="2:103" ht="13.8" x14ac:dyDescent="0.3">
      <c r="C48" s="26" t="s">
        <v>332</v>
      </c>
      <c r="D48" s="26" t="s">
        <v>704</v>
      </c>
      <c r="CQ48" s="24">
        <v>0.3706392634087432</v>
      </c>
      <c r="CR48" s="24" t="str">
        <f>"0"</f>
        <v>0</v>
      </c>
      <c r="CS48" t="str">
        <f ca="1">IF((OFFSET($A$1, 48 - 1, 95 - 1)) &gt;= (OFFSET($A$1, 55 - 1, 7 - 1)), "1","0")</f>
        <v>0</v>
      </c>
      <c r="CT48">
        <f ca="1" xml:space="preserve"> IF( AND( OFFSET($A$1, 48 - 1, 96 - 1) = "1", OFFSET($A$1, 48 - 1, 97 - 1) = "1" ), 1, IF( AND( OFFSET($A$1, 48 - 1, 96 - 1) = "1", OFFSET($A$1, 48 - 1, 97 - 1) = "0" ), 2, IF( AND( OFFSET($A$1, 48 - 1, 96 - 1) = "0", OFFSET($A$1, 48 - 1, 97 - 1) = "1" ), 3, 4 ) ) )</f>
        <v>4</v>
      </c>
      <c r="CV48" s="24">
        <v>0.52241423840020162</v>
      </c>
      <c r="CW48" s="24" t="str">
        <f>"1"</f>
        <v>1</v>
      </c>
      <c r="CX48" t="str">
        <f ca="1">IF((OFFSET($A$1, 48 - 1, 100 - 1)) &gt;= (OFFSET($A$1, 79 - 1, 7 - 1)), "1","0")</f>
        <v>1</v>
      </c>
      <c r="CY48">
        <f ca="1" xml:space="preserve"> IF( AND( OFFSET($A$1, 48 - 1, 101 - 1) = "1", OFFSET($A$1, 48 - 1, 102 - 1) = "1" ), 1, IF( AND( OFFSET($A$1, 48 - 1, 101 - 1) = "1", OFFSET($A$1, 48 - 1, 102 - 1) = "0" ), 2, IF( AND( OFFSET($A$1, 48 - 1, 101 - 1) = "0", OFFSET($A$1, 48 - 1, 102 - 1) = "1" ), 3, 4 ) ) )</f>
        <v>1</v>
      </c>
    </row>
    <row r="49" spans="2:103" ht="13.8" x14ac:dyDescent="0.3">
      <c r="C49" s="25">
        <v>0</v>
      </c>
      <c r="D49" s="24">
        <v>0.28500000000000003</v>
      </c>
      <c r="CQ49" s="24">
        <v>0.87754451707097181</v>
      </c>
      <c r="CR49" s="24" t="str">
        <f t="shared" ref="CR49:CR55" si="4">"1"</f>
        <v>1</v>
      </c>
      <c r="CS49" t="str">
        <f ca="1">IF((OFFSET($A$1, 49 - 1, 95 - 1)) &gt;= (OFFSET($A$1, 55 - 1, 7 - 1)), "1","0")</f>
        <v>1</v>
      </c>
      <c r="CT49">
        <f ca="1" xml:space="preserve"> IF( AND( OFFSET($A$1, 49 - 1, 96 - 1) = "1", OFFSET($A$1, 49 - 1, 97 - 1) = "1" ), 1, IF( AND( OFFSET($A$1, 49 - 1, 96 - 1) = "1", OFFSET($A$1, 49 - 1, 97 - 1) = "0" ), 2, IF( AND( OFFSET($A$1, 49 - 1, 96 - 1) = "0", OFFSET($A$1, 49 - 1, 97 - 1) = "1" ), 3, 4 ) ) )</f>
        <v>1</v>
      </c>
      <c r="CV49" s="24">
        <v>0.99431483235056917</v>
      </c>
      <c r="CW49" s="24" t="str">
        <f>"1"</f>
        <v>1</v>
      </c>
      <c r="CX49" t="str">
        <f ca="1">IF((OFFSET($A$1, 49 - 1, 100 - 1)) &gt;= (OFFSET($A$1, 79 - 1, 7 - 1)), "1","0")</f>
        <v>1</v>
      </c>
      <c r="CY49">
        <f ca="1" xml:space="preserve"> IF( AND( OFFSET($A$1, 49 - 1, 101 - 1) = "1", OFFSET($A$1, 49 - 1, 102 - 1) = "1" ), 1, IF( AND( OFFSET($A$1, 49 - 1, 101 - 1) = "1", OFFSET($A$1, 49 - 1, 102 - 1) = "0" ), 2, IF( AND( OFFSET($A$1, 49 - 1, 101 - 1) = "0", OFFSET($A$1, 49 - 1, 102 - 1) = "1" ), 3, 4 ) ) )</f>
        <v>1</v>
      </c>
    </row>
    <row r="50" spans="2:103" ht="13.8" x14ac:dyDescent="0.3">
      <c r="C50" s="25">
        <v>1</v>
      </c>
      <c r="D50" s="24">
        <v>0.71500000000000008</v>
      </c>
      <c r="CQ50" s="24">
        <v>0.99914226597910216</v>
      </c>
      <c r="CR50" s="24" t="str">
        <f t="shared" si="4"/>
        <v>1</v>
      </c>
      <c r="CS50" t="str">
        <f ca="1">IF((OFFSET($A$1, 50 - 1, 95 - 1)) &gt;= (OFFSET($A$1, 55 - 1, 7 - 1)), "1","0")</f>
        <v>1</v>
      </c>
      <c r="CT50">
        <f ca="1" xml:space="preserve"> IF( AND( OFFSET($A$1, 50 - 1, 96 - 1) = "1", OFFSET($A$1, 50 - 1, 97 - 1) = "1" ), 1, IF( AND( OFFSET($A$1, 50 - 1, 96 - 1) = "1", OFFSET($A$1, 50 - 1, 97 - 1) = "0" ), 2, IF( AND( OFFSET($A$1, 50 - 1, 96 - 1) = "0", OFFSET($A$1, 50 - 1, 97 - 1) = "1" ), 3, 4 ) ) )</f>
        <v>1</v>
      </c>
      <c r="CV50" s="24">
        <v>0.88161475757087993</v>
      </c>
      <c r="CW50" s="24" t="str">
        <f>"0"</f>
        <v>0</v>
      </c>
      <c r="CX50" t="str">
        <f ca="1">IF((OFFSET($A$1, 50 - 1, 100 - 1)) &gt;= (OFFSET($A$1, 79 - 1, 7 - 1)), "1","0")</f>
        <v>1</v>
      </c>
      <c r="CY50">
        <f ca="1" xml:space="preserve"> IF( AND( OFFSET($A$1, 50 - 1, 101 - 1) = "1", OFFSET($A$1, 50 - 1, 102 - 1) = "1" ), 1, IF( AND( OFFSET($A$1, 50 - 1, 101 - 1) = "1", OFFSET($A$1, 50 - 1, 102 - 1) = "0" ), 2, IF( AND( OFFSET($A$1, 50 - 1, 101 - 1) = "0", OFFSET($A$1, 50 - 1, 102 - 1) = "1" ), 3, 4 ) ) )</f>
        <v>3</v>
      </c>
    </row>
    <row r="51" spans="2:103" ht="13.8" x14ac:dyDescent="0.3">
      <c r="CQ51" s="24">
        <v>0.99847056331495843</v>
      </c>
      <c r="CR51" s="24" t="str">
        <f t="shared" si="4"/>
        <v>1</v>
      </c>
      <c r="CS51" t="str">
        <f ca="1">IF((OFFSET($A$1, 51 - 1, 95 - 1)) &gt;= (OFFSET($A$1, 55 - 1, 7 - 1)), "1","0")</f>
        <v>1</v>
      </c>
      <c r="CT51">
        <f ca="1" xml:space="preserve"> IF( AND( OFFSET($A$1, 51 - 1, 96 - 1) = "1", OFFSET($A$1, 51 - 1, 97 - 1) = "1" ), 1, IF( AND( OFFSET($A$1, 51 - 1, 96 - 1) = "1", OFFSET($A$1, 51 - 1, 97 - 1) = "0" ), 2, IF( AND( OFFSET($A$1, 51 - 1, 96 - 1) = "0", OFFSET($A$1, 51 - 1, 97 - 1) = "1" ), 3, 4 ) ) )</f>
        <v>1</v>
      </c>
      <c r="CV51" s="24">
        <v>0.60524156434328569</v>
      </c>
      <c r="CW51" s="24" t="str">
        <f>"1"</f>
        <v>1</v>
      </c>
      <c r="CX51" t="str">
        <f ca="1">IF((OFFSET($A$1, 51 - 1, 100 - 1)) &gt;= (OFFSET($A$1, 79 - 1, 7 - 1)), "1","0")</f>
        <v>1</v>
      </c>
      <c r="CY51">
        <f ca="1" xml:space="preserve"> IF( AND( OFFSET($A$1, 51 - 1, 101 - 1) = "1", OFFSET($A$1, 51 - 1, 102 - 1) = "1" ), 1, IF( AND( OFFSET($A$1, 51 - 1, 101 - 1) = "1", OFFSET($A$1, 51 - 1, 102 - 1) = "0" ), 2, IF( AND( OFFSET($A$1, 51 - 1, 101 - 1) = "0", OFFSET($A$1, 51 - 1, 102 - 1) = "1" ), 3, 4 ) ) )</f>
        <v>1</v>
      </c>
    </row>
    <row r="52" spans="2:103" ht="13.8" x14ac:dyDescent="0.3">
      <c r="CQ52" s="24">
        <v>0.99936825427073572</v>
      </c>
      <c r="CR52" s="24" t="str">
        <f t="shared" si="4"/>
        <v>1</v>
      </c>
      <c r="CS52" t="str">
        <f ca="1">IF((OFFSET($A$1, 52 - 1, 95 - 1)) &gt;= (OFFSET($A$1, 55 - 1, 7 - 1)), "1","0")</f>
        <v>1</v>
      </c>
      <c r="CT52">
        <f ca="1" xml:space="preserve"> IF( AND( OFFSET($A$1, 52 - 1, 96 - 1) = "1", OFFSET($A$1, 52 - 1, 97 - 1) = "1" ), 1, IF( AND( OFFSET($A$1, 52 - 1, 96 - 1) = "1", OFFSET($A$1, 52 - 1, 97 - 1) = "0" ), 2, IF( AND( OFFSET($A$1, 52 - 1, 96 - 1) = "0", OFFSET($A$1, 52 - 1, 97 - 1) = "1" ), 3, 4 ) ) )</f>
        <v>1</v>
      </c>
      <c r="CV52" s="24">
        <v>0.99808733670026772</v>
      </c>
      <c r="CW52" s="24" t="str">
        <f>"0"</f>
        <v>0</v>
      </c>
      <c r="CX52" t="str">
        <f ca="1">IF((OFFSET($A$1, 52 - 1, 100 - 1)) &gt;= (OFFSET($A$1, 79 - 1, 7 - 1)), "1","0")</f>
        <v>1</v>
      </c>
      <c r="CY52">
        <f ca="1" xml:space="preserve"> IF( AND( OFFSET($A$1, 52 - 1, 101 - 1) = "1", OFFSET($A$1, 52 - 1, 102 - 1) = "1" ), 1, IF( AND( OFFSET($A$1, 52 - 1, 101 - 1) = "1", OFFSET($A$1, 52 - 1, 102 - 1) = "0" ), 2, IF( AND( OFFSET($A$1, 52 - 1, 101 - 1) = "0", OFFSET($A$1, 52 - 1, 102 - 1) = "1" ), 3, 4 ) ) )</f>
        <v>3</v>
      </c>
    </row>
    <row r="53" spans="2:103" ht="18" x14ac:dyDescent="0.35">
      <c r="B53" s="22" t="s">
        <v>705</v>
      </c>
      <c r="CQ53" s="24">
        <v>0.96332747262425111</v>
      </c>
      <c r="CR53" s="24" t="str">
        <f t="shared" si="4"/>
        <v>1</v>
      </c>
      <c r="CS53" t="str">
        <f ca="1">IF((OFFSET($A$1, 53 - 1, 95 - 1)) &gt;= (OFFSET($A$1, 55 - 1, 7 - 1)), "1","0")</f>
        <v>1</v>
      </c>
      <c r="CT53">
        <f ca="1" xml:space="preserve"> IF( AND( OFFSET($A$1, 53 - 1, 96 - 1) = "1", OFFSET($A$1, 53 - 1, 97 - 1) = "1" ), 1, IF( AND( OFFSET($A$1, 53 - 1, 96 - 1) = "1", OFFSET($A$1, 53 - 1, 97 - 1) = "0" ), 2, IF( AND( OFFSET($A$1, 53 - 1, 96 - 1) = "0", OFFSET($A$1, 53 - 1, 97 - 1) = "1" ), 3, 4 ) ) )</f>
        <v>1</v>
      </c>
      <c r="CV53" s="24">
        <v>0.98893505340997778</v>
      </c>
      <c r="CW53" s="24" t="str">
        <f>"0"</f>
        <v>0</v>
      </c>
      <c r="CX53" t="str">
        <f ca="1">IF((OFFSET($A$1, 53 - 1, 100 - 1)) &gt;= (OFFSET($A$1, 79 - 1, 7 - 1)), "1","0")</f>
        <v>1</v>
      </c>
      <c r="CY53">
        <f ca="1" xml:space="preserve"> IF( AND( OFFSET($A$1, 53 - 1, 101 - 1) = "1", OFFSET($A$1, 53 - 1, 102 - 1) = "1" ), 1, IF( AND( OFFSET($A$1, 53 - 1, 101 - 1) = "1", OFFSET($A$1, 53 - 1, 102 - 1) = "0" ), 2, IF( AND( OFFSET($A$1, 53 - 1, 101 - 1) = "0", OFFSET($A$1, 53 - 1, 102 - 1) = "1" ), 3, 4 ) ) )</f>
        <v>3</v>
      </c>
    </row>
    <row r="54" spans="2:103" ht="13.8" x14ac:dyDescent="0.3">
      <c r="CQ54" s="24">
        <v>0.99205747967754798</v>
      </c>
      <c r="CR54" s="24" t="str">
        <f t="shared" si="4"/>
        <v>1</v>
      </c>
      <c r="CS54" t="str">
        <f ca="1">IF((OFFSET($A$1, 54 - 1, 95 - 1)) &gt;= (OFFSET($A$1, 55 - 1, 7 - 1)), "1","0")</f>
        <v>1</v>
      </c>
      <c r="CT54">
        <f ca="1" xml:space="preserve"> IF( AND( OFFSET($A$1, 54 - 1, 96 - 1) = "1", OFFSET($A$1, 54 - 1, 97 - 1) = "1" ), 1, IF( AND( OFFSET($A$1, 54 - 1, 96 - 1) = "1", OFFSET($A$1, 54 - 1, 97 - 1) = "0" ), 2, IF( AND( OFFSET($A$1, 54 - 1, 96 - 1) = "0", OFFSET($A$1, 54 - 1, 97 - 1) = "1" ), 3, 4 ) ) )</f>
        <v>1</v>
      </c>
      <c r="CV54" s="24">
        <v>0.98809049685156591</v>
      </c>
      <c r="CW54" s="24" t="str">
        <f>"1"</f>
        <v>1</v>
      </c>
      <c r="CX54" t="str">
        <f ca="1">IF((OFFSET($A$1, 54 - 1, 100 - 1)) &gt;= (OFFSET($A$1, 79 - 1, 7 - 1)), "1","0")</f>
        <v>1</v>
      </c>
      <c r="CY54">
        <f ca="1" xml:space="preserve"> IF( AND( OFFSET($A$1, 54 - 1, 101 - 1) = "1", OFFSET($A$1, 54 - 1, 102 - 1) = "1" ), 1, IF( AND( OFFSET($A$1, 54 - 1, 101 - 1) = "1", OFFSET($A$1, 54 - 1, 102 - 1) = "0" ), 2, IF( AND( OFFSET($A$1, 54 - 1, 101 - 1) = "0", OFFSET($A$1, 54 - 1, 102 - 1) = "1" ), 3, 4 ) ) )</f>
        <v>1</v>
      </c>
    </row>
    <row r="55" spans="2:103" ht="13.8" x14ac:dyDescent="0.3">
      <c r="C55" s="72" t="s">
        <v>706</v>
      </c>
      <c r="D55" s="73"/>
      <c r="E55" s="73"/>
      <c r="F55" s="74"/>
      <c r="G55" s="35">
        <v>0.5</v>
      </c>
      <c r="H55" s="72" t="s">
        <v>707</v>
      </c>
      <c r="I55" s="73"/>
      <c r="J55" s="73"/>
      <c r="K55" s="73"/>
      <c r="L55" s="73"/>
      <c r="M55" s="74"/>
      <c r="CQ55" s="24">
        <v>0.97776680065209276</v>
      </c>
      <c r="CR55" s="24" t="str">
        <f t="shared" si="4"/>
        <v>1</v>
      </c>
      <c r="CS55" t="str">
        <f ca="1">IF((OFFSET($A$1, 55 - 1, 95 - 1)) &gt;= (OFFSET($A$1, 55 - 1, 7 - 1)), "1","0")</f>
        <v>1</v>
      </c>
      <c r="CT55">
        <f ca="1" xml:space="preserve"> IF( AND( OFFSET($A$1, 55 - 1, 96 - 1) = "1", OFFSET($A$1, 55 - 1, 97 - 1) = "1" ), 1, IF( AND( OFFSET($A$1, 55 - 1, 96 - 1) = "1", OFFSET($A$1, 55 - 1, 97 - 1) = "0" ), 2, IF( AND( OFFSET($A$1, 55 - 1, 96 - 1) = "0", OFFSET($A$1, 55 - 1, 97 - 1) = "1" ), 3, 4 ) ) )</f>
        <v>1</v>
      </c>
      <c r="CV55" s="24">
        <v>0.54786809818022553</v>
      </c>
      <c r="CW55" s="24" t="str">
        <f>"0"</f>
        <v>0</v>
      </c>
      <c r="CX55" t="str">
        <f ca="1">IF((OFFSET($A$1, 55 - 1, 100 - 1)) &gt;= (OFFSET($A$1, 79 - 1, 7 - 1)), "1","0")</f>
        <v>1</v>
      </c>
      <c r="CY55">
        <f ca="1" xml:space="preserve"> IF( AND( OFFSET($A$1, 55 - 1, 101 - 1) = "1", OFFSET($A$1, 55 - 1, 102 - 1) = "1" ), 1, IF( AND( OFFSET($A$1, 55 - 1, 101 - 1) = "1", OFFSET($A$1, 55 - 1, 102 - 1) = "0" ), 2, IF( AND( OFFSET($A$1, 55 - 1, 101 - 1) = "0", OFFSET($A$1, 55 - 1, 102 - 1) = "1" ), 3, 4 ) ) )</f>
        <v>3</v>
      </c>
    </row>
    <row r="56" spans="2:103" ht="13.8" x14ac:dyDescent="0.3">
      <c r="CQ56" s="24">
        <v>7.9089695582850825E-2</v>
      </c>
      <c r="CR56" s="24" t="str">
        <f>"0"</f>
        <v>0</v>
      </c>
      <c r="CS56" t="str">
        <f ca="1">IF((OFFSET($A$1, 56 - 1, 95 - 1)) &gt;= (OFFSET($A$1, 55 - 1, 7 - 1)), "1","0")</f>
        <v>0</v>
      </c>
      <c r="CT56">
        <f ca="1" xml:space="preserve"> IF( AND( OFFSET($A$1, 56 - 1, 96 - 1) = "1", OFFSET($A$1, 56 - 1, 97 - 1) = "1" ), 1, IF( AND( OFFSET($A$1, 56 - 1, 96 - 1) = "1", OFFSET($A$1, 56 - 1, 97 - 1) = "0" ), 2, IF( AND( OFFSET($A$1, 56 - 1, 96 - 1) = "0", OFFSET($A$1, 56 - 1, 97 - 1) = "1" ), 3, 4 ) ) )</f>
        <v>4</v>
      </c>
      <c r="CV56" s="24">
        <v>0.99720870581130761</v>
      </c>
      <c r="CW56" s="24" t="str">
        <f>"0"</f>
        <v>0</v>
      </c>
      <c r="CX56" t="str">
        <f ca="1">IF((OFFSET($A$1, 56 - 1, 100 - 1)) &gt;= (OFFSET($A$1, 79 - 1, 7 - 1)), "1","0")</f>
        <v>1</v>
      </c>
      <c r="CY56">
        <f ca="1" xml:space="preserve"> IF( AND( OFFSET($A$1, 56 - 1, 101 - 1) = "1", OFFSET($A$1, 56 - 1, 102 - 1) = "1" ), 1, IF( AND( OFFSET($A$1, 56 - 1, 101 - 1) = "1", OFFSET($A$1, 56 - 1, 102 - 1) = "0" ), 2, IF( AND( OFFSET($A$1, 56 - 1, 101 - 1) = "0", OFFSET($A$1, 56 - 1, 102 - 1) = "1" ), 3, 4 ) ) )</f>
        <v>3</v>
      </c>
    </row>
    <row r="57" spans="2:103" ht="15.6" x14ac:dyDescent="0.3">
      <c r="C57" s="59" t="s">
        <v>329</v>
      </c>
      <c r="D57" s="60"/>
      <c r="E57" s="61"/>
      <c r="CQ57" s="24">
        <v>3.3560368680545953E-2</v>
      </c>
      <c r="CR57" s="24" t="str">
        <f>"0"</f>
        <v>0</v>
      </c>
      <c r="CS57" t="str">
        <f ca="1">IF((OFFSET($A$1, 57 - 1, 95 - 1)) &gt;= (OFFSET($A$1, 55 - 1, 7 - 1)), "1","0")</f>
        <v>0</v>
      </c>
      <c r="CT57">
        <f ca="1" xml:space="preserve"> IF( AND( OFFSET($A$1, 57 - 1, 96 - 1) = "1", OFFSET($A$1, 57 - 1, 97 - 1) = "1" ), 1, IF( AND( OFFSET($A$1, 57 - 1, 96 - 1) = "1", OFFSET($A$1, 57 - 1, 97 - 1) = "0" ), 2, IF( AND( OFFSET($A$1, 57 - 1, 96 - 1) = "0", OFFSET($A$1, 57 - 1, 97 - 1) = "1" ), 3, 4 ) ) )</f>
        <v>4</v>
      </c>
      <c r="CV57" s="24">
        <v>0.88262640442498475</v>
      </c>
      <c r="CW57" s="24" t="str">
        <f>"0"</f>
        <v>0</v>
      </c>
      <c r="CX57" t="str">
        <f ca="1">IF((OFFSET($A$1, 57 - 1, 100 - 1)) &gt;= (OFFSET($A$1, 79 - 1, 7 - 1)), "1","0")</f>
        <v>1</v>
      </c>
      <c r="CY57">
        <f ca="1" xml:space="preserve"> IF( AND( OFFSET($A$1, 57 - 1, 101 - 1) = "1", OFFSET($A$1, 57 - 1, 102 - 1) = "1" ), 1, IF( AND( OFFSET($A$1, 57 - 1, 101 - 1) = "1", OFFSET($A$1, 57 - 1, 102 - 1) = "0" ), 2, IF( AND( OFFSET($A$1, 57 - 1, 101 - 1) = "0", OFFSET($A$1, 57 - 1, 102 - 1) = "1" ), 3, 4 ) ) )</f>
        <v>3</v>
      </c>
    </row>
    <row r="58" spans="2:103" ht="13.8" x14ac:dyDescent="0.3">
      <c r="C58" s="26"/>
      <c r="D58" s="75" t="s">
        <v>330</v>
      </c>
      <c r="E58" s="76"/>
      <c r="CQ58" s="24">
        <v>0.91083555465669963</v>
      </c>
      <c r="CR58" s="24" t="str">
        <f>"1"</f>
        <v>1</v>
      </c>
      <c r="CS58" t="str">
        <f ca="1">IF((OFFSET($A$1, 58 - 1, 95 - 1)) &gt;= (OFFSET($A$1, 55 - 1, 7 - 1)), "1","0")</f>
        <v>1</v>
      </c>
      <c r="CT58">
        <f ca="1" xml:space="preserve"> IF( AND( OFFSET($A$1, 58 - 1, 96 - 1) = "1", OFFSET($A$1, 58 - 1, 97 - 1) = "1" ), 1, IF( AND( OFFSET($A$1, 58 - 1, 96 - 1) = "1", OFFSET($A$1, 58 - 1, 97 - 1) = "0" ), 2, IF( AND( OFFSET($A$1, 58 - 1, 96 - 1) = "0", OFFSET($A$1, 58 - 1, 97 - 1) = "1" ), 3, 4 ) ) )</f>
        <v>1</v>
      </c>
      <c r="CV58" s="24">
        <v>0.99877530197399078</v>
      </c>
      <c r="CW58" s="24" t="str">
        <f>"1"</f>
        <v>1</v>
      </c>
      <c r="CX58" t="str">
        <f ca="1">IF((OFFSET($A$1, 58 - 1, 100 - 1)) &gt;= (OFFSET($A$1, 79 - 1, 7 - 1)), "1","0")</f>
        <v>1</v>
      </c>
      <c r="CY58">
        <f ca="1" xml:space="preserve"> IF( AND( OFFSET($A$1, 58 - 1, 101 - 1) = "1", OFFSET($A$1, 58 - 1, 102 - 1) = "1" ), 1, IF( AND( OFFSET($A$1, 58 - 1, 101 - 1) = "1", OFFSET($A$1, 58 - 1, 102 - 1) = "0" ), 2, IF( AND( OFFSET($A$1, 58 - 1, 101 - 1) = "0", OFFSET($A$1, 58 - 1, 102 - 1) = "1" ), 3, 4 ) ) )</f>
        <v>1</v>
      </c>
    </row>
    <row r="59" spans="2:103" ht="13.8" x14ac:dyDescent="0.3">
      <c r="C59" s="25" t="s">
        <v>331</v>
      </c>
      <c r="D59" s="26">
        <v>1</v>
      </c>
      <c r="E59" s="26">
        <v>0</v>
      </c>
      <c r="CQ59" s="24">
        <v>0.99518033351477719</v>
      </c>
      <c r="CR59" s="24" t="str">
        <f>"1"</f>
        <v>1</v>
      </c>
      <c r="CS59" t="str">
        <f ca="1">IF((OFFSET($A$1, 59 - 1, 95 - 1)) &gt;= (OFFSET($A$1, 55 - 1, 7 - 1)), "1","0")</f>
        <v>1</v>
      </c>
      <c r="CT59">
        <f ca="1" xml:space="preserve"> IF( AND( OFFSET($A$1, 59 - 1, 96 - 1) = "1", OFFSET($A$1, 59 - 1, 97 - 1) = "1" ), 1, IF( AND( OFFSET($A$1, 59 - 1, 96 - 1) = "1", OFFSET($A$1, 59 - 1, 97 - 1) = "0" ), 2, IF( AND( OFFSET($A$1, 59 - 1, 96 - 1) = "0", OFFSET($A$1, 59 - 1, 97 - 1) = "1" ), 3, 4 ) ) )</f>
        <v>1</v>
      </c>
      <c r="CV59" s="24">
        <v>0.31197674993070545</v>
      </c>
      <c r="CW59" s="24" t="str">
        <f>"1"</f>
        <v>1</v>
      </c>
      <c r="CX59" t="str">
        <f ca="1">IF((OFFSET($A$1, 59 - 1, 100 - 1)) &gt;= (OFFSET($A$1, 79 - 1, 7 - 1)), "1","0")</f>
        <v>0</v>
      </c>
      <c r="CY59">
        <f ca="1" xml:space="preserve"> IF( AND( OFFSET($A$1, 59 - 1, 101 - 1) = "1", OFFSET($A$1, 59 - 1, 102 - 1) = "1" ), 1, IF( AND( OFFSET($A$1, 59 - 1, 101 - 1) = "1", OFFSET($A$1, 59 - 1, 102 - 1) = "0" ), 2, IF( AND( OFFSET($A$1, 59 - 1, 101 - 1) = "0", OFFSET($A$1, 59 - 1, 102 - 1) = "1" ), 3, 4 ) ) )</f>
        <v>2</v>
      </c>
    </row>
    <row r="60" spans="2:103" ht="13.8" x14ac:dyDescent="0.3">
      <c r="C60" s="25">
        <v>1</v>
      </c>
      <c r="D60" s="24">
        <f ca="1" xml:space="preserve"> COUNTIF( OFFSET($A$1, 1 - 1, 98 - 1, 601, 1), 1 )</f>
        <v>427</v>
      </c>
      <c r="E60" s="24">
        <f ca="1" xml:space="preserve"> COUNTIF( OFFSET($A$1, 1 - 1, 98 - 1, 601, 1), 2 )</f>
        <v>2</v>
      </c>
      <c r="CQ60" s="24">
        <v>0.9976346864346689</v>
      </c>
      <c r="CR60" s="24" t="str">
        <f>"1"</f>
        <v>1</v>
      </c>
      <c r="CS60" t="str">
        <f ca="1">IF((OFFSET($A$1, 60 - 1, 95 - 1)) &gt;= (OFFSET($A$1, 55 - 1, 7 - 1)), "1","0")</f>
        <v>1</v>
      </c>
      <c r="CT60">
        <f ca="1" xml:space="preserve"> IF( AND( OFFSET($A$1, 60 - 1, 96 - 1) = "1", OFFSET($A$1, 60 - 1, 97 - 1) = "1" ), 1, IF( AND( OFFSET($A$1, 60 - 1, 96 - 1) = "1", OFFSET($A$1, 60 - 1, 97 - 1) = "0" ), 2, IF( AND( OFFSET($A$1, 60 - 1, 96 - 1) = "0", OFFSET($A$1, 60 - 1, 97 - 1) = "1" ), 3, 4 ) ) )</f>
        <v>1</v>
      </c>
      <c r="CV60" s="24">
        <v>6.2549704038643494E-3</v>
      </c>
      <c r="CW60" s="24" t="str">
        <f>"0"</f>
        <v>0</v>
      </c>
      <c r="CX60" t="str">
        <f ca="1">IF((OFFSET($A$1, 60 - 1, 100 - 1)) &gt;= (OFFSET($A$1, 79 - 1, 7 - 1)), "1","0")</f>
        <v>0</v>
      </c>
      <c r="CY60">
        <f ca="1" xml:space="preserve"> IF( AND( OFFSET($A$1, 60 - 1, 101 - 1) = "1", OFFSET($A$1, 60 - 1, 102 - 1) = "1" ), 1, IF( AND( OFFSET($A$1, 60 - 1, 101 - 1) = "1", OFFSET($A$1, 60 - 1, 102 - 1) = "0" ), 2, IF( AND( OFFSET($A$1, 60 - 1, 101 - 1) = "0", OFFSET($A$1, 60 - 1, 102 - 1) = "1" ), 3, 4 ) ) )</f>
        <v>4</v>
      </c>
    </row>
    <row r="61" spans="2:103" ht="13.8" x14ac:dyDescent="0.3">
      <c r="C61" s="25">
        <v>0</v>
      </c>
      <c r="D61" s="24">
        <f ca="1" xml:space="preserve"> COUNTIF( OFFSET($A$1, 1 - 1, 98 - 1, 601, 1), 3 )</f>
        <v>27</v>
      </c>
      <c r="E61" s="24">
        <f ca="1" xml:space="preserve"> COUNTIF( OFFSET($A$1, 1 - 1, 98 - 1, 601, 1), 4 )</f>
        <v>144</v>
      </c>
      <c r="CQ61" s="24">
        <v>0.97676481123473113</v>
      </c>
      <c r="CR61" s="24" t="str">
        <f>"1"</f>
        <v>1</v>
      </c>
      <c r="CS61" t="str">
        <f ca="1">IF((OFFSET($A$1, 61 - 1, 95 - 1)) &gt;= (OFFSET($A$1, 55 - 1, 7 - 1)), "1","0")</f>
        <v>1</v>
      </c>
      <c r="CT61">
        <f ca="1" xml:space="preserve"> IF( AND( OFFSET($A$1, 61 - 1, 96 - 1) = "1", OFFSET($A$1, 61 - 1, 97 - 1) = "1" ), 1, IF( AND( OFFSET($A$1, 61 - 1, 96 - 1) = "1", OFFSET($A$1, 61 - 1, 97 - 1) = "0" ), 2, IF( AND( OFFSET($A$1, 61 - 1, 96 - 1) = "0", OFFSET($A$1, 61 - 1, 97 - 1) = "1" ), 3, 4 ) ) )</f>
        <v>1</v>
      </c>
      <c r="CV61" s="24">
        <v>0.96054557029909637</v>
      </c>
      <c r="CW61" s="24" t="str">
        <f>"0"</f>
        <v>0</v>
      </c>
      <c r="CX61" t="str">
        <f ca="1">IF((OFFSET($A$1, 61 - 1, 100 - 1)) &gt;= (OFFSET($A$1, 79 - 1, 7 - 1)), "1","0")</f>
        <v>1</v>
      </c>
      <c r="CY61">
        <f ca="1" xml:space="preserve"> IF( AND( OFFSET($A$1, 61 - 1, 101 - 1) = "1", OFFSET($A$1, 61 - 1, 102 - 1) = "1" ), 1, IF( AND( OFFSET($A$1, 61 - 1, 101 - 1) = "1", OFFSET($A$1, 61 - 1, 102 - 1) = "0" ), 2, IF( AND( OFFSET($A$1, 61 - 1, 101 - 1) = "0", OFFSET($A$1, 61 - 1, 102 - 1) = "1" ), 3, 4 ) ) )</f>
        <v>3</v>
      </c>
    </row>
    <row r="62" spans="2:103" ht="13.8" x14ac:dyDescent="0.3">
      <c r="CQ62" s="24">
        <v>0.91362328704560158</v>
      </c>
      <c r="CR62" s="24" t="str">
        <f>"1"</f>
        <v>1</v>
      </c>
      <c r="CS62" t="str">
        <f ca="1">IF((OFFSET($A$1, 62 - 1, 95 - 1)) &gt;= (OFFSET($A$1, 55 - 1, 7 - 1)), "1","0")</f>
        <v>1</v>
      </c>
      <c r="CT62">
        <f ca="1" xml:space="preserve"> IF( AND( OFFSET($A$1, 62 - 1, 96 - 1) = "1", OFFSET($A$1, 62 - 1, 97 - 1) = "1" ), 1, IF( AND( OFFSET($A$1, 62 - 1, 96 - 1) = "1", OFFSET($A$1, 62 - 1, 97 - 1) = "0" ), 2, IF( AND( OFFSET($A$1, 62 - 1, 96 - 1) = "0", OFFSET($A$1, 62 - 1, 97 - 1) = "1" ), 3, 4 ) ) )</f>
        <v>1</v>
      </c>
      <c r="CV62" s="24">
        <v>0.98457160365279284</v>
      </c>
      <c r="CW62" s="24" t="str">
        <f>"1"</f>
        <v>1</v>
      </c>
      <c r="CX62" t="str">
        <f ca="1">IF((OFFSET($A$1, 62 - 1, 100 - 1)) &gt;= (OFFSET($A$1, 79 - 1, 7 - 1)), "1","0")</f>
        <v>1</v>
      </c>
      <c r="CY62">
        <f ca="1" xml:space="preserve"> IF( AND( OFFSET($A$1, 62 - 1, 101 - 1) = "1", OFFSET($A$1, 62 - 1, 102 - 1) = "1" ), 1, IF( AND( OFFSET($A$1, 62 - 1, 101 - 1) = "1", OFFSET($A$1, 62 - 1, 102 - 1) = "0" ), 2, IF( AND( OFFSET($A$1, 62 - 1, 101 - 1) = "0", OFFSET($A$1, 62 - 1, 102 - 1) = "1" ), 3, 4 ) ) )</f>
        <v>1</v>
      </c>
    </row>
    <row r="63" spans="2:103" ht="15.6" x14ac:dyDescent="0.3">
      <c r="C63" s="59" t="s">
        <v>210</v>
      </c>
      <c r="D63" s="60"/>
      <c r="E63" s="60"/>
      <c r="F63" s="61"/>
      <c r="CQ63" s="24">
        <v>4.0464881423892832E-2</v>
      </c>
      <c r="CR63" s="24" t="str">
        <f>"0"</f>
        <v>0</v>
      </c>
      <c r="CS63" t="str">
        <f ca="1">IF((OFFSET($A$1, 63 - 1, 95 - 1)) &gt;= (OFFSET($A$1, 55 - 1, 7 - 1)), "1","0")</f>
        <v>0</v>
      </c>
      <c r="CT63">
        <f ca="1" xml:space="preserve"> IF( AND( OFFSET($A$1, 63 - 1, 96 - 1) = "1", OFFSET($A$1, 63 - 1, 97 - 1) = "1" ), 1, IF( AND( OFFSET($A$1, 63 - 1, 96 - 1) = "1", OFFSET($A$1, 63 - 1, 97 - 1) = "0" ), 2, IF( AND( OFFSET($A$1, 63 - 1, 96 - 1) = "0", OFFSET($A$1, 63 - 1, 97 - 1) = "1" ), 3, 4 ) ) )</f>
        <v>4</v>
      </c>
      <c r="CV63" s="24">
        <v>0.96501934145669799</v>
      </c>
      <c r="CW63" s="24" t="str">
        <f>"0"</f>
        <v>0</v>
      </c>
      <c r="CX63" t="str">
        <f ca="1">IF((OFFSET($A$1, 63 - 1, 100 - 1)) &gt;= (OFFSET($A$1, 79 - 1, 7 - 1)), "1","0")</f>
        <v>1</v>
      </c>
      <c r="CY63">
        <f ca="1" xml:space="preserve"> IF( AND( OFFSET($A$1, 63 - 1, 101 - 1) = "1", OFFSET($A$1, 63 - 1, 102 - 1) = "1" ), 1, IF( AND( OFFSET($A$1, 63 - 1, 101 - 1) = "1", OFFSET($A$1, 63 - 1, 102 - 1) = "0" ), 2, IF( AND( OFFSET($A$1, 63 - 1, 101 - 1) = "0", OFFSET($A$1, 63 - 1, 102 - 1) = "1" ), 3, 4 ) ) )</f>
        <v>3</v>
      </c>
    </row>
    <row r="64" spans="2:103" ht="13.8" x14ac:dyDescent="0.3">
      <c r="C64" s="26" t="s">
        <v>332</v>
      </c>
      <c r="D64" s="26" t="s">
        <v>333</v>
      </c>
      <c r="E64" s="26" t="s">
        <v>334</v>
      </c>
      <c r="F64" s="26" t="s">
        <v>335</v>
      </c>
      <c r="CQ64" s="24">
        <v>0.91377871648681119</v>
      </c>
      <c r="CR64" s="24" t="str">
        <f>"1"</f>
        <v>1</v>
      </c>
      <c r="CS64" t="str">
        <f ca="1">IF((OFFSET($A$1, 64 - 1, 95 - 1)) &gt;= (OFFSET($A$1, 55 - 1, 7 - 1)), "1","0")</f>
        <v>1</v>
      </c>
      <c r="CT64">
        <f ca="1" xml:space="preserve"> IF( AND( OFFSET($A$1, 64 - 1, 96 - 1) = "1", OFFSET($A$1, 64 - 1, 97 - 1) = "1" ), 1, IF( AND( OFFSET($A$1, 64 - 1, 96 - 1) = "1", OFFSET($A$1, 64 - 1, 97 - 1) = "0" ), 2, IF( AND( OFFSET($A$1, 64 - 1, 96 - 1) = "0", OFFSET($A$1, 64 - 1, 97 - 1) = "1" ), 3, 4 ) ) )</f>
        <v>1</v>
      </c>
      <c r="CV64" s="24">
        <v>0.33117470752475492</v>
      </c>
      <c r="CW64" s="24" t="str">
        <f>"0"</f>
        <v>0</v>
      </c>
      <c r="CX64" t="str">
        <f ca="1">IF((OFFSET($A$1, 64 - 1, 100 - 1)) &gt;= (OFFSET($A$1, 79 - 1, 7 - 1)), "1","0")</f>
        <v>0</v>
      </c>
      <c r="CY64">
        <f ca="1" xml:space="preserve"> IF( AND( OFFSET($A$1, 64 - 1, 101 - 1) = "1", OFFSET($A$1, 64 - 1, 102 - 1) = "1" ), 1, IF( AND( OFFSET($A$1, 64 - 1, 101 - 1) = "1", OFFSET($A$1, 64 - 1, 102 - 1) = "0" ), 2, IF( AND( OFFSET($A$1, 64 - 1, 101 - 1) = "0", OFFSET($A$1, 64 - 1, 102 - 1) = "1" ), 3, 4 ) ) )</f>
        <v>4</v>
      </c>
    </row>
    <row r="65" spans="2:103" ht="13.8" x14ac:dyDescent="0.3">
      <c r="C65" s="25">
        <v>1</v>
      </c>
      <c r="D65" s="24">
        <f ca="1">SUM(OFFSET($A$1, 60 - 1, 4 - 1, 1, 2))</f>
        <v>429</v>
      </c>
      <c r="E65" s="24">
        <f ca="1">SUM(OFFSET($A$1, 60 - 1, 4 - 1, 1, 2)) - OFFSET($A$1, 60 - 1, 4 - 1)</f>
        <v>2</v>
      </c>
      <c r="F65" s="24">
        <f ca="1">IF(OFFSET($A$1, 65 - 1, 4 - 1)=0,"Undefined",((OFFSET($A$1, 65 - 1, 5 - 1))*100) / (OFFSET($A$1, 65 - 1, 4 - 1)))</f>
        <v>0.46620046620046618</v>
      </c>
      <c r="CQ65" s="24">
        <v>0.98819894199909264</v>
      </c>
      <c r="CR65" s="24" t="str">
        <f>"1"</f>
        <v>1</v>
      </c>
      <c r="CS65" t="str">
        <f ca="1">IF((OFFSET($A$1, 65 - 1, 95 - 1)) &gt;= (OFFSET($A$1, 55 - 1, 7 - 1)), "1","0")</f>
        <v>1</v>
      </c>
      <c r="CT65">
        <f ca="1" xml:space="preserve"> IF( AND( OFFSET($A$1, 65 - 1, 96 - 1) = "1", OFFSET($A$1, 65 - 1, 97 - 1) = "1" ), 1, IF( AND( OFFSET($A$1, 65 - 1, 96 - 1) = "1", OFFSET($A$1, 65 - 1, 97 - 1) = "0" ), 2, IF( AND( OFFSET($A$1, 65 - 1, 96 - 1) = "0", OFFSET($A$1, 65 - 1, 97 - 1) = "1" ), 3, 4 ) ) )</f>
        <v>1</v>
      </c>
      <c r="CV65" s="24">
        <v>0.95418081917666675</v>
      </c>
      <c r="CW65" s="24" t="str">
        <f>"1"</f>
        <v>1</v>
      </c>
      <c r="CX65" t="str">
        <f ca="1">IF((OFFSET($A$1, 65 - 1, 100 - 1)) &gt;= (OFFSET($A$1, 79 - 1, 7 - 1)), "1","0")</f>
        <v>1</v>
      </c>
      <c r="CY65">
        <f ca="1" xml:space="preserve"> IF( AND( OFFSET($A$1, 65 - 1, 101 - 1) = "1", OFFSET($A$1, 65 - 1, 102 - 1) = "1" ), 1, IF( AND( OFFSET($A$1, 65 - 1, 101 - 1) = "1", OFFSET($A$1, 65 - 1, 102 - 1) = "0" ), 2, IF( AND( OFFSET($A$1, 65 - 1, 101 - 1) = "0", OFFSET($A$1, 65 - 1, 102 - 1) = "1" ), 3, 4 ) ) )</f>
        <v>1</v>
      </c>
    </row>
    <row r="66" spans="2:103" ht="13.8" x14ac:dyDescent="0.3">
      <c r="C66" s="25">
        <v>0</v>
      </c>
      <c r="D66" s="24">
        <f ca="1">SUM(OFFSET($A$1, 61 - 1, 4 - 1, 1, 2))</f>
        <v>171</v>
      </c>
      <c r="E66" s="24">
        <f ca="1">SUM(OFFSET($A$1, 61 - 1, 4 - 1, 1, 2)) - OFFSET($A$1, 61 - 1, 5 - 1)</f>
        <v>27</v>
      </c>
      <c r="F66" s="24">
        <f ca="1">IF(OFFSET($A$1, 66 - 1, 4 - 1)=0,"Undefined",((OFFSET($A$1, 66 - 1, 5 - 1))*100) / (OFFSET($A$1, 66 - 1, 4 - 1)))</f>
        <v>15.789473684210526</v>
      </c>
      <c r="CQ66" s="24">
        <v>0.10225383556058763</v>
      </c>
      <c r="CR66" s="24" t="str">
        <f>"0"</f>
        <v>0</v>
      </c>
      <c r="CS66" t="str">
        <f ca="1">IF((OFFSET($A$1, 66 - 1, 95 - 1)) &gt;= (OFFSET($A$1, 55 - 1, 7 - 1)), "1","0")</f>
        <v>0</v>
      </c>
      <c r="CT66">
        <f ca="1" xml:space="preserve"> IF( AND( OFFSET($A$1, 66 - 1, 96 - 1) = "1", OFFSET($A$1, 66 - 1, 97 - 1) = "1" ), 1, IF( AND( OFFSET($A$1, 66 - 1, 96 - 1) = "1", OFFSET($A$1, 66 - 1, 97 - 1) = "0" ), 2, IF( AND( OFFSET($A$1, 66 - 1, 96 - 1) = "0", OFFSET($A$1, 66 - 1, 97 - 1) = "1" ), 3, 4 ) ) )</f>
        <v>4</v>
      </c>
      <c r="CV66" s="24">
        <v>0.99410123630418812</v>
      </c>
      <c r="CW66" s="24" t="str">
        <f>"1"</f>
        <v>1</v>
      </c>
      <c r="CX66" t="str">
        <f ca="1">IF((OFFSET($A$1, 66 - 1, 100 - 1)) &gt;= (OFFSET($A$1, 79 - 1, 7 - 1)), "1","0")</f>
        <v>1</v>
      </c>
      <c r="CY66">
        <f ca="1" xml:space="preserve"> IF( AND( OFFSET($A$1, 66 - 1, 101 - 1) = "1", OFFSET($A$1, 66 - 1, 102 - 1) = "1" ), 1, IF( AND( OFFSET($A$1, 66 - 1, 101 - 1) = "1", OFFSET($A$1, 66 - 1, 102 - 1) = "0" ), 2, IF( AND( OFFSET($A$1, 66 - 1, 101 - 1) = "0", OFFSET($A$1, 66 - 1, 102 - 1) = "1" ), 3, 4 ) ) )</f>
        <v>1</v>
      </c>
    </row>
    <row r="67" spans="2:103" ht="13.8" x14ac:dyDescent="0.3">
      <c r="C67" s="25" t="s">
        <v>336</v>
      </c>
      <c r="D67" s="24">
        <f ca="1">SUM(OFFSET($A$1, 65 - 1, 4 - 1, 2, 1))</f>
        <v>600</v>
      </c>
      <c r="E67" s="24">
        <f ca="1">SUM(OFFSET($A$1, 65 - 1, 5 - 1, 2, 1))</f>
        <v>29</v>
      </c>
      <c r="F67" s="24">
        <f ca="1">IF(OFFSET($A$1, 67 - 1, 4 - 1)=0,"Undefined",((OFFSET($A$1, 67 - 1, 5 - 1))*100) / (OFFSET($A$1, 67 - 1, 4 - 1)))</f>
        <v>4.833333333333333</v>
      </c>
      <c r="CQ67" s="24">
        <v>0.94365694766800667</v>
      </c>
      <c r="CR67" s="24" t="str">
        <f>"1"</f>
        <v>1</v>
      </c>
      <c r="CS67" t="str">
        <f ca="1">IF((OFFSET($A$1, 67 - 1, 95 - 1)) &gt;= (OFFSET($A$1, 55 - 1, 7 - 1)), "1","0")</f>
        <v>1</v>
      </c>
      <c r="CT67">
        <f ca="1" xml:space="preserve"> IF( AND( OFFSET($A$1, 67 - 1, 96 - 1) = "1", OFFSET($A$1, 67 - 1, 97 - 1) = "1" ), 1, IF( AND( OFFSET($A$1, 67 - 1, 96 - 1) = "1", OFFSET($A$1, 67 - 1, 97 - 1) = "0" ), 2, IF( AND( OFFSET($A$1, 67 - 1, 96 - 1) = "0", OFFSET($A$1, 67 - 1, 97 - 1) = "1" ), 3, 4 ) ) )</f>
        <v>1</v>
      </c>
      <c r="CV67" s="24">
        <v>0.98495488105629236</v>
      </c>
      <c r="CW67" s="24" t="str">
        <f>"1"</f>
        <v>1</v>
      </c>
      <c r="CX67" t="str">
        <f ca="1">IF((OFFSET($A$1, 67 - 1, 100 - 1)) &gt;= (OFFSET($A$1, 79 - 1, 7 - 1)), "1","0")</f>
        <v>1</v>
      </c>
      <c r="CY67">
        <f ca="1" xml:space="preserve"> IF( AND( OFFSET($A$1, 67 - 1, 101 - 1) = "1", OFFSET($A$1, 67 - 1, 102 - 1) = "1" ), 1, IF( AND( OFFSET($A$1, 67 - 1, 101 - 1) = "1", OFFSET($A$1, 67 - 1, 102 - 1) = "0" ), 2, IF( AND( OFFSET($A$1, 67 - 1, 101 - 1) = "0", OFFSET($A$1, 67 - 1, 102 - 1) = "1" ), 3, 4 ) ) )</f>
        <v>1</v>
      </c>
    </row>
    <row r="68" spans="2:103" ht="13.8" x14ac:dyDescent="0.3">
      <c r="CQ68" s="24">
        <v>0.99129834487820112</v>
      </c>
      <c r="CR68" s="24" t="str">
        <f>"1"</f>
        <v>1</v>
      </c>
      <c r="CS68" t="str">
        <f ca="1">IF((OFFSET($A$1, 68 - 1, 95 - 1)) &gt;= (OFFSET($A$1, 55 - 1, 7 - 1)), "1","0")</f>
        <v>1</v>
      </c>
      <c r="CT68">
        <f ca="1" xml:space="preserve"> IF( AND( OFFSET($A$1, 68 - 1, 96 - 1) = "1", OFFSET($A$1, 68 - 1, 97 - 1) = "1" ), 1, IF( AND( OFFSET($A$1, 68 - 1, 96 - 1) = "1", OFFSET($A$1, 68 - 1, 97 - 1) = "0" ), 2, IF( AND( OFFSET($A$1, 68 - 1, 96 - 1) = "0", OFFSET($A$1, 68 - 1, 97 - 1) = "1" ), 3, 4 ) ) )</f>
        <v>1</v>
      </c>
      <c r="CV68" s="24">
        <v>0.29387124008500942</v>
      </c>
      <c r="CW68" s="24" t="str">
        <f>"0"</f>
        <v>0</v>
      </c>
      <c r="CX68" t="str">
        <f ca="1">IF((OFFSET($A$1, 68 - 1, 100 - 1)) &gt;= (OFFSET($A$1, 79 - 1, 7 - 1)), "1","0")</f>
        <v>0</v>
      </c>
      <c r="CY68">
        <f ca="1" xml:space="preserve"> IF( AND( OFFSET($A$1, 68 - 1, 101 - 1) = "1", OFFSET($A$1, 68 - 1, 102 - 1) = "1" ), 1, IF( AND( OFFSET($A$1, 68 - 1, 101 - 1) = "1", OFFSET($A$1, 68 - 1, 102 - 1) = "0" ), 2, IF( AND( OFFSET($A$1, 68 - 1, 101 - 1) = "0", OFFSET($A$1, 68 - 1, 102 - 1) = "1" ), 3, 4 ) ) )</f>
        <v>4</v>
      </c>
    </row>
    <row r="69" spans="2:103" ht="15.6" x14ac:dyDescent="0.3">
      <c r="C69" s="59" t="s">
        <v>708</v>
      </c>
      <c r="D69" s="60"/>
      <c r="E69" s="61"/>
      <c r="CQ69" s="24">
        <v>0.60674656300229546</v>
      </c>
      <c r="CR69" s="24" t="str">
        <f>"1"</f>
        <v>1</v>
      </c>
      <c r="CS69" t="str">
        <f ca="1">IF((OFFSET($A$1, 69 - 1, 95 - 1)) &gt;= (OFFSET($A$1, 55 - 1, 7 - 1)), "1","0")</f>
        <v>1</v>
      </c>
      <c r="CT69">
        <f ca="1" xml:space="preserve"> IF( AND( OFFSET($A$1, 69 - 1, 96 - 1) = "1", OFFSET($A$1, 69 - 1, 97 - 1) = "1" ), 1, IF( AND( OFFSET($A$1, 69 - 1, 96 - 1) = "1", OFFSET($A$1, 69 - 1, 97 - 1) = "0" ), 2, IF( AND( OFFSET($A$1, 69 - 1, 96 - 1) = "0", OFFSET($A$1, 69 - 1, 97 - 1) = "1" ), 3, 4 ) ) )</f>
        <v>1</v>
      </c>
      <c r="CV69" s="24">
        <v>0.99946112391105113</v>
      </c>
      <c r="CW69" s="24" t="str">
        <f>"1"</f>
        <v>1</v>
      </c>
      <c r="CX69" t="str">
        <f ca="1">IF((OFFSET($A$1, 69 - 1, 100 - 1)) &gt;= (OFFSET($A$1, 79 - 1, 7 - 1)), "1","0")</f>
        <v>1</v>
      </c>
      <c r="CY69">
        <f ca="1" xml:space="preserve"> IF( AND( OFFSET($A$1, 69 - 1, 101 - 1) = "1", OFFSET($A$1, 69 - 1, 102 - 1) = "1" ), 1, IF( AND( OFFSET($A$1, 69 - 1, 101 - 1) = "1", OFFSET($A$1, 69 - 1, 102 - 1) = "0" ), 2, IF( AND( OFFSET($A$1, 69 - 1, 101 - 1) = "0", OFFSET($A$1, 69 - 1, 102 - 1) = "1" ), 3, 4 ) ) )</f>
        <v>1</v>
      </c>
    </row>
    <row r="70" spans="2:103" ht="13.8" x14ac:dyDescent="0.3">
      <c r="C70" s="62" t="s">
        <v>709</v>
      </c>
      <c r="D70" s="64"/>
      <c r="E70" s="34">
        <v>1</v>
      </c>
      <c r="CQ70" s="24">
        <v>0.18535516757376183</v>
      </c>
      <c r="CR70" s="24" t="str">
        <f>"0"</f>
        <v>0</v>
      </c>
      <c r="CS70" t="str">
        <f ca="1">IF((OFFSET($A$1, 70 - 1, 95 - 1)) &gt;= (OFFSET($A$1, 55 - 1, 7 - 1)), "1","0")</f>
        <v>0</v>
      </c>
      <c r="CT70">
        <f ca="1" xml:space="preserve"> IF( AND( OFFSET($A$1, 70 - 1, 96 - 1) = "1", OFFSET($A$1, 70 - 1, 97 - 1) = "1" ), 1, IF( AND( OFFSET($A$1, 70 - 1, 96 - 1) = "1", OFFSET($A$1, 70 - 1, 97 - 1) = "0" ), 2, IF( AND( OFFSET($A$1, 70 - 1, 96 - 1) = "0", OFFSET($A$1, 70 - 1, 97 - 1) = "1" ), 3, 4 ) ) )</f>
        <v>4</v>
      </c>
      <c r="CV70" s="24">
        <v>7.7789052491320371E-2</v>
      </c>
      <c r="CW70" s="24" t="str">
        <f>"0"</f>
        <v>0</v>
      </c>
      <c r="CX70" t="str">
        <f ca="1">IF((OFFSET($A$1, 70 - 1, 100 - 1)) &gt;= (OFFSET($A$1, 79 - 1, 7 - 1)), "1","0")</f>
        <v>0</v>
      </c>
      <c r="CY70">
        <f ca="1" xml:space="preserve"> IF( AND( OFFSET($A$1, 70 - 1, 101 - 1) = "1", OFFSET($A$1, 70 - 1, 102 - 1) = "1" ), 1, IF( AND( OFFSET($A$1, 70 - 1, 101 - 1) = "1", OFFSET($A$1, 70 - 1, 102 - 1) = "0" ), 2, IF( AND( OFFSET($A$1, 70 - 1, 101 - 1) = "0", OFFSET($A$1, 70 - 1, 102 - 1) = "1" ), 3, 4 ) ) )</f>
        <v>4</v>
      </c>
    </row>
    <row r="71" spans="2:103" ht="13.8" x14ac:dyDescent="0.3">
      <c r="C71" s="62" t="s">
        <v>710</v>
      </c>
      <c r="D71" s="64"/>
      <c r="E71" s="34">
        <f ca="1">IF((OFFSET($A$1, 60 - 1, 4 - 1) + OFFSET($A$1, 61 - 1, 4 - 1)) = 0,"Undefined",OFFSET($A$1, 60 - 1, 4 - 1)/(OFFSET($A$1, 60 - 1, 4 - 1) + OFFSET($A$1, 61 - 1, 4 - 1)))</f>
        <v>0.94052863436123346</v>
      </c>
      <c r="CQ71" s="24">
        <v>0.99563889435055697</v>
      </c>
      <c r="CR71" s="24" t="str">
        <f>"1"</f>
        <v>1</v>
      </c>
      <c r="CS71" t="str">
        <f ca="1">IF((OFFSET($A$1, 71 - 1, 95 - 1)) &gt;= (OFFSET($A$1, 55 - 1, 7 - 1)), "1","0")</f>
        <v>1</v>
      </c>
      <c r="CT71">
        <f ca="1" xml:space="preserve"> IF( AND( OFFSET($A$1, 71 - 1, 96 - 1) = "1", OFFSET($A$1, 71 - 1, 97 - 1) = "1" ), 1, IF( AND( OFFSET($A$1, 71 - 1, 96 - 1) = "1", OFFSET($A$1, 71 - 1, 97 - 1) = "0" ), 2, IF( AND( OFFSET($A$1, 71 - 1, 96 - 1) = "0", OFFSET($A$1, 71 - 1, 97 - 1) = "1" ), 3, 4 ) ) )</f>
        <v>1</v>
      </c>
      <c r="CV71" s="24">
        <v>0.96494541219561625</v>
      </c>
      <c r="CW71" s="24" t="str">
        <f>"1"</f>
        <v>1</v>
      </c>
      <c r="CX71" t="str">
        <f ca="1">IF((OFFSET($A$1, 71 - 1, 100 - 1)) &gt;= (OFFSET($A$1, 79 - 1, 7 - 1)), "1","0")</f>
        <v>1</v>
      </c>
      <c r="CY71">
        <f ca="1" xml:space="preserve"> IF( AND( OFFSET($A$1, 71 - 1, 101 - 1) = "1", OFFSET($A$1, 71 - 1, 102 - 1) = "1" ), 1, IF( AND( OFFSET($A$1, 71 - 1, 101 - 1) = "1", OFFSET($A$1, 71 - 1, 102 - 1) = "0" ), 2, IF( AND( OFFSET($A$1, 71 - 1, 101 - 1) = "0", OFFSET($A$1, 71 - 1, 102 - 1) = "1" ), 3, 4 ) ) )</f>
        <v>1</v>
      </c>
    </row>
    <row r="72" spans="2:103" ht="13.8" x14ac:dyDescent="0.3">
      <c r="C72" s="62" t="s">
        <v>711</v>
      </c>
      <c r="D72" s="64"/>
      <c r="E72" s="34">
        <f ca="1">IF((OFFSET($A$1, 60 - 1, 4 - 1) + OFFSET($A$1, 60 - 1, 5 - 1)) = 0,"Undefined",OFFSET($A$1, 60 - 1, 4 - 1)/(OFFSET($A$1, 60 - 1, 4 - 1) + OFFSET($A$1, 60 - 1, 5 - 1)))</f>
        <v>0.99533799533799538</v>
      </c>
      <c r="CQ72" s="24">
        <v>5.0824032917708165E-2</v>
      </c>
      <c r="CR72" s="24" t="str">
        <f>"0"</f>
        <v>0</v>
      </c>
      <c r="CS72" t="str">
        <f ca="1">IF((OFFSET($A$1, 72 - 1, 95 - 1)) &gt;= (OFFSET($A$1, 55 - 1, 7 - 1)), "1","0")</f>
        <v>0</v>
      </c>
      <c r="CT72">
        <f ca="1" xml:space="preserve"> IF( AND( OFFSET($A$1, 72 - 1, 96 - 1) = "1", OFFSET($A$1, 72 - 1, 97 - 1) = "1" ), 1, IF( AND( OFFSET($A$1, 72 - 1, 96 - 1) = "1", OFFSET($A$1, 72 - 1, 97 - 1) = "0" ), 2, IF( AND( OFFSET($A$1, 72 - 1, 96 - 1) = "0", OFFSET($A$1, 72 - 1, 97 - 1) = "1" ), 3, 4 ) ) )</f>
        <v>4</v>
      </c>
      <c r="CV72" s="24">
        <v>0.99150157843972042</v>
      </c>
      <c r="CW72" s="24" t="str">
        <f>"0"</f>
        <v>0</v>
      </c>
      <c r="CX72" t="str">
        <f ca="1">IF((OFFSET($A$1, 72 - 1, 100 - 1)) &gt;= (OFFSET($A$1, 79 - 1, 7 - 1)), "1","0")</f>
        <v>1</v>
      </c>
      <c r="CY72">
        <f ca="1" xml:space="preserve"> IF( AND( OFFSET($A$1, 72 - 1, 101 - 1) = "1", OFFSET($A$1, 72 - 1, 102 - 1) = "1" ), 1, IF( AND( OFFSET($A$1, 72 - 1, 101 - 1) = "1", OFFSET($A$1, 72 - 1, 102 - 1) = "0" ), 2, IF( AND( OFFSET($A$1, 72 - 1, 101 - 1) = "0", OFFSET($A$1, 72 - 1, 102 - 1) = "1" ), 3, 4 ) ) )</f>
        <v>3</v>
      </c>
    </row>
    <row r="73" spans="2:103" ht="13.8" x14ac:dyDescent="0.3">
      <c r="C73" s="62" t="s">
        <v>712</v>
      </c>
      <c r="D73" s="64"/>
      <c r="E73" s="34">
        <f ca="1">IF((OFFSET($A$1, 61 - 1, 4 - 1) + OFFSET($A$1, 61 - 1, 5 - 1)) = 0,"Undefined",OFFSET($A$1, 61 - 1, 5 - 1)/(OFFSET($A$1, 61 - 1, 4 - 1) + OFFSET($A$1, 61 - 1, 5 - 1)))</f>
        <v>0.84210526315789469</v>
      </c>
      <c r="CQ73" s="24">
        <v>9.7612196223312631E-2</v>
      </c>
      <c r="CR73" s="24" t="str">
        <f>"0"</f>
        <v>0</v>
      </c>
      <c r="CS73" t="str">
        <f ca="1">IF((OFFSET($A$1, 73 - 1, 95 - 1)) &gt;= (OFFSET($A$1, 55 - 1, 7 - 1)), "1","0")</f>
        <v>0</v>
      </c>
      <c r="CT73">
        <f ca="1" xml:space="preserve"> IF( AND( OFFSET($A$1, 73 - 1, 96 - 1) = "1", OFFSET($A$1, 73 - 1, 97 - 1) = "1" ), 1, IF( AND( OFFSET($A$1, 73 - 1, 96 - 1) = "1", OFFSET($A$1, 73 - 1, 97 - 1) = "0" ), 2, IF( AND( OFFSET($A$1, 73 - 1, 96 - 1) = "0", OFFSET($A$1, 73 - 1, 97 - 1) = "1" ), 3, 4 ) ) )</f>
        <v>4</v>
      </c>
      <c r="CV73" s="24">
        <v>0.98831822856647678</v>
      </c>
      <c r="CW73" s="24" t="str">
        <f>"1"</f>
        <v>1</v>
      </c>
      <c r="CX73" t="str">
        <f ca="1">IF((OFFSET($A$1, 73 - 1, 100 - 1)) &gt;= (OFFSET($A$1, 79 - 1, 7 - 1)), "1","0")</f>
        <v>1</v>
      </c>
      <c r="CY73">
        <f ca="1" xml:space="preserve"> IF( AND( OFFSET($A$1, 73 - 1, 101 - 1) = "1", OFFSET($A$1, 73 - 1, 102 - 1) = "1" ), 1, IF( AND( OFFSET($A$1, 73 - 1, 101 - 1) = "1", OFFSET($A$1, 73 - 1, 102 - 1) = "0" ), 2, IF( AND( OFFSET($A$1, 73 - 1, 101 - 1) = "0", OFFSET($A$1, 73 - 1, 102 - 1) = "1" ), 3, 4 ) ) )</f>
        <v>1</v>
      </c>
    </row>
    <row r="74" spans="2:103" ht="13.8" x14ac:dyDescent="0.3">
      <c r="C74" s="62" t="s">
        <v>713</v>
      </c>
      <c r="D74" s="64"/>
      <c r="E74" s="34">
        <f ca="1">IF(OR(OFFSET($A$1, 71 - 1, 5 - 1)="Undefined",OFFSET($A$1, 72 - 1, 5 - 1)="Undefined"),"Undefined",IF((OFFSET($A$1, 71 - 1, 5 - 1) + OFFSET($A$1, 72 - 1, 5 - 1))=0,"Undefined",2*OFFSET($A$1, 71 - 1, 5 - 1)*OFFSET($A$1, 72 - 1, 5 - 1)/(OFFSET($A$1, 71 - 1, 5 - 1)+OFFSET($A$1, 72 - 1, 5 - 1))))</f>
        <v>0.96715741789354481</v>
      </c>
      <c r="CQ74" s="24">
        <v>0.93245906356315766</v>
      </c>
      <c r="CR74" s="24" t="str">
        <f t="shared" ref="CR74:CR84" si="5">"1"</f>
        <v>1</v>
      </c>
      <c r="CS74" t="str">
        <f ca="1">IF((OFFSET($A$1, 74 - 1, 95 - 1)) &gt;= (OFFSET($A$1, 55 - 1, 7 - 1)), "1","0")</f>
        <v>1</v>
      </c>
      <c r="CT74">
        <f ca="1" xml:space="preserve"> IF( AND( OFFSET($A$1, 74 - 1, 96 - 1) = "1", OFFSET($A$1, 74 - 1, 97 - 1) = "1" ), 1, IF( AND( OFFSET($A$1, 74 - 1, 96 - 1) = "1", OFFSET($A$1, 74 - 1, 97 - 1) = "0" ), 2, IF( AND( OFFSET($A$1, 74 - 1, 96 - 1) = "0", OFFSET($A$1, 74 - 1, 97 - 1) = "1" ), 3, 4 ) ) )</f>
        <v>1</v>
      </c>
      <c r="CV74" s="24">
        <v>0.66001137467946758</v>
      </c>
      <c r="CW74" s="24" t="str">
        <f>"0"</f>
        <v>0</v>
      </c>
      <c r="CX74" t="str">
        <f ca="1">IF((OFFSET($A$1, 74 - 1, 100 - 1)) &gt;= (OFFSET($A$1, 79 - 1, 7 - 1)), "1","0")</f>
        <v>1</v>
      </c>
      <c r="CY74">
        <f ca="1" xml:space="preserve"> IF( AND( OFFSET($A$1, 74 - 1, 101 - 1) = "1", OFFSET($A$1, 74 - 1, 102 - 1) = "1" ), 1, IF( AND( OFFSET($A$1, 74 - 1, 101 - 1) = "1", OFFSET($A$1, 74 - 1, 102 - 1) = "0" ), 2, IF( AND( OFFSET($A$1, 74 - 1, 101 - 1) = "0", OFFSET($A$1, 74 - 1, 102 - 1) = "1" ), 3, 4 ) ) )</f>
        <v>3</v>
      </c>
    </row>
    <row r="75" spans="2:103" ht="13.8" x14ac:dyDescent="0.3">
      <c r="CQ75" s="24">
        <v>0.99831146170640384</v>
      </c>
      <c r="CR75" s="24" t="str">
        <f t="shared" si="5"/>
        <v>1</v>
      </c>
      <c r="CS75" t="str">
        <f ca="1">IF((OFFSET($A$1, 75 - 1, 95 - 1)) &gt;= (OFFSET($A$1, 55 - 1, 7 - 1)), "1","0")</f>
        <v>1</v>
      </c>
      <c r="CT75">
        <f ca="1" xml:space="preserve"> IF( AND( OFFSET($A$1, 75 - 1, 96 - 1) = "1", OFFSET($A$1, 75 - 1, 97 - 1) = "1" ), 1, IF( AND( OFFSET($A$1, 75 - 1, 96 - 1) = "1", OFFSET($A$1, 75 - 1, 97 - 1) = "0" ), 2, IF( AND( OFFSET($A$1, 75 - 1, 96 - 1) = "0", OFFSET($A$1, 75 - 1, 97 - 1) = "1" ), 3, 4 ) ) )</f>
        <v>1</v>
      </c>
      <c r="CV75" s="24">
        <v>0.87910997988178008</v>
      </c>
      <c r="CW75" s="24" t="str">
        <f t="shared" ref="CW75:CW84" si="6">"1"</f>
        <v>1</v>
      </c>
      <c r="CX75" t="str">
        <f ca="1">IF((OFFSET($A$1, 75 - 1, 100 - 1)) &gt;= (OFFSET($A$1, 79 - 1, 7 - 1)), "1","0")</f>
        <v>1</v>
      </c>
      <c r="CY75">
        <f ca="1" xml:space="preserve"> IF( AND( OFFSET($A$1, 75 - 1, 101 - 1) = "1", OFFSET($A$1, 75 - 1, 102 - 1) = "1" ), 1, IF( AND( OFFSET($A$1, 75 - 1, 101 - 1) = "1", OFFSET($A$1, 75 - 1, 102 - 1) = "0" ), 2, IF( AND( OFFSET($A$1, 75 - 1, 101 - 1) = "0", OFFSET($A$1, 75 - 1, 102 - 1) = "1" ), 3, 4 ) ) )</f>
        <v>1</v>
      </c>
    </row>
    <row r="76" spans="2:103" ht="13.8" x14ac:dyDescent="0.3">
      <c r="CQ76" s="24">
        <v>0.99751188333074381</v>
      </c>
      <c r="CR76" s="24" t="str">
        <f t="shared" si="5"/>
        <v>1</v>
      </c>
      <c r="CS76" t="str">
        <f ca="1">IF((OFFSET($A$1, 76 - 1, 95 - 1)) &gt;= (OFFSET($A$1, 55 - 1, 7 - 1)), "1","0")</f>
        <v>1</v>
      </c>
      <c r="CT76">
        <f ca="1" xml:space="preserve"> IF( AND( OFFSET($A$1, 76 - 1, 96 - 1) = "1", OFFSET($A$1, 76 - 1, 97 - 1) = "1" ), 1, IF( AND( OFFSET($A$1, 76 - 1, 96 - 1) = "1", OFFSET($A$1, 76 - 1, 97 - 1) = "0" ), 2, IF( AND( OFFSET($A$1, 76 - 1, 96 - 1) = "0", OFFSET($A$1, 76 - 1, 97 - 1) = "1" ), 3, 4 ) ) )</f>
        <v>1</v>
      </c>
      <c r="CV76" s="24">
        <v>0.91524208728954193</v>
      </c>
      <c r="CW76" s="24" t="str">
        <f t="shared" si="6"/>
        <v>1</v>
      </c>
      <c r="CX76" t="str">
        <f ca="1">IF((OFFSET($A$1, 76 - 1, 100 - 1)) &gt;= (OFFSET($A$1, 79 - 1, 7 - 1)), "1","0")</f>
        <v>1</v>
      </c>
      <c r="CY76">
        <f ca="1" xml:space="preserve"> IF( AND( OFFSET($A$1, 76 - 1, 101 - 1) = "1", OFFSET($A$1, 76 - 1, 102 - 1) = "1" ), 1, IF( AND( OFFSET($A$1, 76 - 1, 101 - 1) = "1", OFFSET($A$1, 76 - 1, 102 - 1) = "0" ), 2, IF( AND( OFFSET($A$1, 76 - 1, 101 - 1) = "0", OFFSET($A$1, 76 - 1, 102 - 1) = "1" ), 3, 4 ) ) )</f>
        <v>1</v>
      </c>
    </row>
    <row r="77" spans="2:103" ht="18" x14ac:dyDescent="0.35">
      <c r="B77" s="22" t="s">
        <v>714</v>
      </c>
      <c r="CQ77" s="24">
        <v>0.9988134625976447</v>
      </c>
      <c r="CR77" s="24" t="str">
        <f t="shared" si="5"/>
        <v>1</v>
      </c>
      <c r="CS77" t="str">
        <f ca="1">IF((OFFSET($A$1, 77 - 1, 95 - 1)) &gt;= (OFFSET($A$1, 55 - 1, 7 - 1)), "1","0")</f>
        <v>1</v>
      </c>
      <c r="CT77">
        <f ca="1" xml:space="preserve"> IF( AND( OFFSET($A$1, 77 - 1, 96 - 1) = "1", OFFSET($A$1, 77 - 1, 97 - 1) = "1" ), 1, IF( AND( OFFSET($A$1, 77 - 1, 96 - 1) = "1", OFFSET($A$1, 77 - 1, 97 - 1) = "0" ), 2, IF( AND( OFFSET($A$1, 77 - 1, 96 - 1) = "0", OFFSET($A$1, 77 - 1, 97 - 1) = "1" ), 3, 4 ) ) )</f>
        <v>1</v>
      </c>
      <c r="CV77" s="24">
        <v>0.4080242613249816</v>
      </c>
      <c r="CW77" s="24" t="str">
        <f t="shared" si="6"/>
        <v>1</v>
      </c>
      <c r="CX77" t="str">
        <f ca="1">IF((OFFSET($A$1, 77 - 1, 100 - 1)) &gt;= (OFFSET($A$1, 79 - 1, 7 - 1)), "1","0")</f>
        <v>0</v>
      </c>
      <c r="CY77">
        <f ca="1" xml:space="preserve"> IF( AND( OFFSET($A$1, 77 - 1, 101 - 1) = "1", OFFSET($A$1, 77 - 1, 102 - 1) = "1" ), 1, IF( AND( OFFSET($A$1, 77 - 1, 101 - 1) = "1", OFFSET($A$1, 77 - 1, 102 - 1) = "0" ), 2, IF( AND( OFFSET($A$1, 77 - 1, 101 - 1) = "0", OFFSET($A$1, 77 - 1, 102 - 1) = "1" ), 3, 4 ) ) )</f>
        <v>2</v>
      </c>
    </row>
    <row r="78" spans="2:103" ht="13.8" x14ac:dyDescent="0.3">
      <c r="CQ78" s="24">
        <v>0.94777425301673368</v>
      </c>
      <c r="CR78" s="24" t="str">
        <f t="shared" si="5"/>
        <v>1</v>
      </c>
      <c r="CS78" t="str">
        <f ca="1">IF((OFFSET($A$1, 78 - 1, 95 - 1)) &gt;= (OFFSET($A$1, 55 - 1, 7 - 1)), "1","0")</f>
        <v>1</v>
      </c>
      <c r="CT78">
        <f ca="1" xml:space="preserve"> IF( AND( OFFSET($A$1, 78 - 1, 96 - 1) = "1", OFFSET($A$1, 78 - 1, 97 - 1) = "1" ), 1, IF( AND( OFFSET($A$1, 78 - 1, 96 - 1) = "1", OFFSET($A$1, 78 - 1, 97 - 1) = "0" ), 2, IF( AND( OFFSET($A$1, 78 - 1, 96 - 1) = "0", OFFSET($A$1, 78 - 1, 97 - 1) = "1" ), 3, 4 ) ) )</f>
        <v>1</v>
      </c>
      <c r="CV78" s="24">
        <v>0.99018481898642019</v>
      </c>
      <c r="CW78" s="24" t="str">
        <f t="shared" si="6"/>
        <v>1</v>
      </c>
      <c r="CX78" t="str">
        <f ca="1">IF((OFFSET($A$1, 78 - 1, 100 - 1)) &gt;= (OFFSET($A$1, 79 - 1, 7 - 1)), "1","0")</f>
        <v>1</v>
      </c>
      <c r="CY78">
        <f ca="1" xml:space="preserve"> IF( AND( OFFSET($A$1, 78 - 1, 101 - 1) = "1", OFFSET($A$1, 78 - 1, 102 - 1) = "1" ), 1, IF( AND( OFFSET($A$1, 78 - 1, 101 - 1) = "1", OFFSET($A$1, 78 - 1, 102 - 1) = "0" ), 2, IF( AND( OFFSET($A$1, 78 - 1, 101 - 1) = "0", OFFSET($A$1, 78 - 1, 102 - 1) = "1" ), 3, 4 ) ) )</f>
        <v>1</v>
      </c>
    </row>
    <row r="79" spans="2:103" ht="13.8" x14ac:dyDescent="0.3">
      <c r="C79" s="72" t="s">
        <v>706</v>
      </c>
      <c r="D79" s="73"/>
      <c r="E79" s="73"/>
      <c r="F79" s="74"/>
      <c r="G79" s="35">
        <v>0.5</v>
      </c>
      <c r="H79" s="72" t="s">
        <v>707</v>
      </c>
      <c r="I79" s="73"/>
      <c r="J79" s="73"/>
      <c r="K79" s="73"/>
      <c r="L79" s="73"/>
      <c r="M79" s="74"/>
      <c r="CQ79" s="24">
        <v>0.58597488393966868</v>
      </c>
      <c r="CR79" s="24" t="str">
        <f t="shared" si="5"/>
        <v>1</v>
      </c>
      <c r="CS79" t="str">
        <f ca="1">IF((OFFSET($A$1, 79 - 1, 95 - 1)) &gt;= (OFFSET($A$1, 55 - 1, 7 - 1)), "1","0")</f>
        <v>1</v>
      </c>
      <c r="CT79">
        <f ca="1" xml:space="preserve"> IF( AND( OFFSET($A$1, 79 - 1, 96 - 1) = "1", OFFSET($A$1, 79 - 1, 97 - 1) = "1" ), 1, IF( AND( OFFSET($A$1, 79 - 1, 96 - 1) = "1", OFFSET($A$1, 79 - 1, 97 - 1) = "0" ), 2, IF( AND( OFFSET($A$1, 79 - 1, 96 - 1) = "0", OFFSET($A$1, 79 - 1, 97 - 1) = "1" ), 3, 4 ) ) )</f>
        <v>1</v>
      </c>
      <c r="CV79" s="24">
        <v>0.99943088029732585</v>
      </c>
      <c r="CW79" s="24" t="str">
        <f t="shared" si="6"/>
        <v>1</v>
      </c>
      <c r="CX79" t="str">
        <f ca="1">IF((OFFSET($A$1, 79 - 1, 100 - 1)) &gt;= (OFFSET($A$1, 79 - 1, 7 - 1)), "1","0")</f>
        <v>1</v>
      </c>
      <c r="CY79">
        <f ca="1" xml:space="preserve"> IF( AND( OFFSET($A$1, 79 - 1, 101 - 1) = "1", OFFSET($A$1, 79 - 1, 102 - 1) = "1" ), 1, IF( AND( OFFSET($A$1, 79 - 1, 101 - 1) = "1", OFFSET($A$1, 79 - 1, 102 - 1) = "0" ), 2, IF( AND( OFFSET($A$1, 79 - 1, 101 - 1) = "0", OFFSET($A$1, 79 - 1, 102 - 1) = "1" ), 3, 4 ) ) )</f>
        <v>1</v>
      </c>
    </row>
    <row r="80" spans="2:103" ht="13.8" x14ac:dyDescent="0.3">
      <c r="CQ80" s="24">
        <v>0.99654706892271561</v>
      </c>
      <c r="CR80" s="24" t="str">
        <f t="shared" si="5"/>
        <v>1</v>
      </c>
      <c r="CS80" t="str">
        <f ca="1">IF((OFFSET($A$1, 80 - 1, 95 - 1)) &gt;= (OFFSET($A$1, 55 - 1, 7 - 1)), "1","0")</f>
        <v>1</v>
      </c>
      <c r="CT80">
        <f ca="1" xml:space="preserve"> IF( AND( OFFSET($A$1, 80 - 1, 96 - 1) = "1", OFFSET($A$1, 80 - 1, 97 - 1) = "1" ), 1, IF( AND( OFFSET($A$1, 80 - 1, 96 - 1) = "1", OFFSET($A$1, 80 - 1, 97 - 1) = "0" ), 2, IF( AND( OFFSET($A$1, 80 - 1, 96 - 1) = "0", OFFSET($A$1, 80 - 1, 97 - 1) = "1" ), 3, 4 ) ) )</f>
        <v>1</v>
      </c>
      <c r="CV80" s="24">
        <v>0.99898075315171686</v>
      </c>
      <c r="CW80" s="24" t="str">
        <f t="shared" si="6"/>
        <v>1</v>
      </c>
      <c r="CX80" t="str">
        <f ca="1">IF((OFFSET($A$1, 80 - 1, 100 - 1)) &gt;= (OFFSET($A$1, 79 - 1, 7 - 1)), "1","0")</f>
        <v>1</v>
      </c>
      <c r="CY80">
        <f ca="1" xml:space="preserve"> IF( AND( OFFSET($A$1, 80 - 1, 101 - 1) = "1", OFFSET($A$1, 80 - 1, 102 - 1) = "1" ), 1, IF( AND( OFFSET($A$1, 80 - 1, 101 - 1) = "1", OFFSET($A$1, 80 - 1, 102 - 1) = "0" ), 2, IF( AND( OFFSET($A$1, 80 - 1, 101 - 1) = "0", OFFSET($A$1, 80 - 1, 102 - 1) = "1" ), 3, 4 ) ) )</f>
        <v>1</v>
      </c>
    </row>
    <row r="81" spans="3:103" ht="15.6" x14ac:dyDescent="0.3">
      <c r="C81" s="59" t="s">
        <v>329</v>
      </c>
      <c r="D81" s="60"/>
      <c r="E81" s="61"/>
      <c r="CQ81" s="24">
        <v>0.9623638020873343</v>
      </c>
      <c r="CR81" s="24" t="str">
        <f t="shared" si="5"/>
        <v>1</v>
      </c>
      <c r="CS81" t="str">
        <f ca="1">IF((OFFSET($A$1, 81 - 1, 95 - 1)) &gt;= (OFFSET($A$1, 55 - 1, 7 - 1)), "1","0")</f>
        <v>1</v>
      </c>
      <c r="CT81">
        <f ca="1" xml:space="preserve"> IF( AND( OFFSET($A$1, 81 - 1, 96 - 1) = "1", OFFSET($A$1, 81 - 1, 97 - 1) = "1" ), 1, IF( AND( OFFSET($A$1, 81 - 1, 96 - 1) = "1", OFFSET($A$1, 81 - 1, 97 - 1) = "0" ), 2, IF( AND( OFFSET($A$1, 81 - 1, 96 - 1) = "0", OFFSET($A$1, 81 - 1, 97 - 1) = "1" ), 3, 4 ) ) )</f>
        <v>1</v>
      </c>
      <c r="CV81" s="24">
        <v>0.99611546610946677</v>
      </c>
      <c r="CW81" s="24" t="str">
        <f t="shared" si="6"/>
        <v>1</v>
      </c>
      <c r="CX81" t="str">
        <f ca="1">IF((OFFSET($A$1, 81 - 1, 100 - 1)) &gt;= (OFFSET($A$1, 79 - 1, 7 - 1)), "1","0")</f>
        <v>1</v>
      </c>
      <c r="CY81">
        <f ca="1" xml:space="preserve"> IF( AND( OFFSET($A$1, 81 - 1, 101 - 1) = "1", OFFSET($A$1, 81 - 1, 102 - 1) = "1" ), 1, IF( AND( OFFSET($A$1, 81 - 1, 101 - 1) = "1", OFFSET($A$1, 81 - 1, 102 - 1) = "0" ), 2, IF( AND( OFFSET($A$1, 81 - 1, 101 - 1) = "0", OFFSET($A$1, 81 - 1, 102 - 1) = "1" ), 3, 4 ) ) )</f>
        <v>1</v>
      </c>
    </row>
    <row r="82" spans="3:103" ht="13.8" x14ac:dyDescent="0.3">
      <c r="C82" s="26"/>
      <c r="D82" s="75" t="s">
        <v>330</v>
      </c>
      <c r="E82" s="76"/>
      <c r="CQ82" s="24">
        <v>0.99832722217683445</v>
      </c>
      <c r="CR82" s="24" t="str">
        <f t="shared" si="5"/>
        <v>1</v>
      </c>
      <c r="CS82" t="str">
        <f ca="1">IF((OFFSET($A$1, 82 - 1, 95 - 1)) &gt;= (OFFSET($A$1, 55 - 1, 7 - 1)), "1","0")</f>
        <v>1</v>
      </c>
      <c r="CT82">
        <f ca="1" xml:space="preserve"> IF( AND( OFFSET($A$1, 82 - 1, 96 - 1) = "1", OFFSET($A$1, 82 - 1, 97 - 1) = "1" ), 1, IF( AND( OFFSET($A$1, 82 - 1, 96 - 1) = "1", OFFSET($A$1, 82 - 1, 97 - 1) = "0" ), 2, IF( AND( OFFSET($A$1, 82 - 1, 96 - 1) = "0", OFFSET($A$1, 82 - 1, 97 - 1) = "1" ), 3, 4 ) ) )</f>
        <v>1</v>
      </c>
      <c r="CV82" s="24">
        <v>0.999476842063728</v>
      </c>
      <c r="CW82" s="24" t="str">
        <f t="shared" si="6"/>
        <v>1</v>
      </c>
      <c r="CX82" t="str">
        <f ca="1">IF((OFFSET($A$1, 82 - 1, 100 - 1)) &gt;= (OFFSET($A$1, 79 - 1, 7 - 1)), "1","0")</f>
        <v>1</v>
      </c>
      <c r="CY82">
        <f ca="1" xml:space="preserve"> IF( AND( OFFSET($A$1, 82 - 1, 101 - 1) = "1", OFFSET($A$1, 82 - 1, 102 - 1) = "1" ), 1, IF( AND( OFFSET($A$1, 82 - 1, 101 - 1) = "1", OFFSET($A$1, 82 - 1, 102 - 1) = "0" ), 2, IF( AND( OFFSET($A$1, 82 - 1, 101 - 1) = "0", OFFSET($A$1, 82 - 1, 102 - 1) = "1" ), 3, 4 ) ) )</f>
        <v>1</v>
      </c>
    </row>
    <row r="83" spans="3:103" ht="13.8" x14ac:dyDescent="0.3">
      <c r="C83" s="25" t="s">
        <v>331</v>
      </c>
      <c r="D83" s="26">
        <v>1</v>
      </c>
      <c r="E83" s="26">
        <v>0</v>
      </c>
      <c r="CQ83" s="24">
        <v>0.99971435961674804</v>
      </c>
      <c r="CR83" s="24" t="str">
        <f t="shared" si="5"/>
        <v>1</v>
      </c>
      <c r="CS83" t="str">
        <f ca="1">IF((OFFSET($A$1, 83 - 1, 95 - 1)) &gt;= (OFFSET($A$1, 55 - 1, 7 - 1)), "1","0")</f>
        <v>1</v>
      </c>
      <c r="CT83">
        <f ca="1" xml:space="preserve"> IF( AND( OFFSET($A$1, 83 - 1, 96 - 1) = "1", OFFSET($A$1, 83 - 1, 97 - 1) = "1" ), 1, IF( AND( OFFSET($A$1, 83 - 1, 96 - 1) = "1", OFFSET($A$1, 83 - 1, 97 - 1) = "0" ), 2, IF( AND( OFFSET($A$1, 83 - 1, 96 - 1) = "0", OFFSET($A$1, 83 - 1, 97 - 1) = "1" ), 3, 4 ) ) )</f>
        <v>1</v>
      </c>
      <c r="CV83" s="24">
        <v>0.99955224898938977</v>
      </c>
      <c r="CW83" s="24" t="str">
        <f t="shared" si="6"/>
        <v>1</v>
      </c>
      <c r="CX83" t="str">
        <f ca="1">IF((OFFSET($A$1, 83 - 1, 100 - 1)) &gt;= (OFFSET($A$1, 79 - 1, 7 - 1)), "1","0")</f>
        <v>1</v>
      </c>
      <c r="CY83">
        <f ca="1" xml:space="preserve"> IF( AND( OFFSET($A$1, 83 - 1, 101 - 1) = "1", OFFSET($A$1, 83 - 1, 102 - 1) = "1" ), 1, IF( AND( OFFSET($A$1, 83 - 1, 101 - 1) = "1", OFFSET($A$1, 83 - 1, 102 - 1) = "0" ), 2, IF( AND( OFFSET($A$1, 83 - 1, 101 - 1) = "0", OFFSET($A$1, 83 - 1, 102 - 1) = "1" ), 3, 4 ) ) )</f>
        <v>1</v>
      </c>
    </row>
    <row r="84" spans="3:103" ht="13.8" x14ac:dyDescent="0.3">
      <c r="C84" s="25">
        <v>1</v>
      </c>
      <c r="D84" s="24">
        <f ca="1" xml:space="preserve"> COUNTIF( OFFSET($A$1, 1 - 1, 103 - 1, 401, 1), 1 )</f>
        <v>242</v>
      </c>
      <c r="E84" s="24">
        <f ca="1" xml:space="preserve"> COUNTIF( OFFSET($A$1, 1 - 1, 103 - 1, 401, 1), 2 )</f>
        <v>29</v>
      </c>
      <c r="CQ84" s="24">
        <v>0.97582373984326398</v>
      </c>
      <c r="CR84" s="24" t="str">
        <f t="shared" si="5"/>
        <v>1</v>
      </c>
      <c r="CS84" t="str">
        <f ca="1">IF((OFFSET($A$1, 84 - 1, 95 - 1)) &gt;= (OFFSET($A$1, 55 - 1, 7 - 1)), "1","0")</f>
        <v>1</v>
      </c>
      <c r="CT84">
        <f ca="1" xml:space="preserve"> IF( AND( OFFSET($A$1, 84 - 1, 96 - 1) = "1", OFFSET($A$1, 84 - 1, 97 - 1) = "1" ), 1, IF( AND( OFFSET($A$1, 84 - 1, 96 - 1) = "1", OFFSET($A$1, 84 - 1, 97 - 1) = "0" ), 2, IF( AND( OFFSET($A$1, 84 - 1, 96 - 1) = "0", OFFSET($A$1, 84 - 1, 97 - 1) = "1" ), 3, 4 ) ) )</f>
        <v>1</v>
      </c>
      <c r="CV84" s="24">
        <v>0.99134032761670221</v>
      </c>
      <c r="CW84" s="24" t="str">
        <f t="shared" si="6"/>
        <v>1</v>
      </c>
      <c r="CX84" t="str">
        <f ca="1">IF((OFFSET($A$1, 84 - 1, 100 - 1)) &gt;= (OFFSET($A$1, 79 - 1, 7 - 1)), "1","0")</f>
        <v>1</v>
      </c>
      <c r="CY84">
        <f ca="1" xml:space="preserve"> IF( AND( OFFSET($A$1, 84 - 1, 101 - 1) = "1", OFFSET($A$1, 84 - 1, 102 - 1) = "1" ), 1, IF( AND( OFFSET($A$1, 84 - 1, 101 - 1) = "1", OFFSET($A$1, 84 - 1, 102 - 1) = "0" ), 2, IF( AND( OFFSET($A$1, 84 - 1, 101 - 1) = "0", OFFSET($A$1, 84 - 1, 102 - 1) = "1" ), 3, 4 ) ) )</f>
        <v>1</v>
      </c>
    </row>
    <row r="85" spans="3:103" ht="13.8" x14ac:dyDescent="0.3">
      <c r="C85" s="25">
        <v>0</v>
      </c>
      <c r="D85" s="24">
        <f ca="1" xml:space="preserve"> COUNTIF( OFFSET($A$1, 1 - 1, 103 - 1, 401, 1), 3 )</f>
        <v>78</v>
      </c>
      <c r="E85" s="24">
        <f ca="1" xml:space="preserve"> COUNTIF( OFFSET($A$1, 1 - 1, 103 - 1, 401, 1), 4 )</f>
        <v>51</v>
      </c>
      <c r="CQ85" s="24">
        <v>0.21982021117738521</v>
      </c>
      <c r="CR85" s="24" t="str">
        <f>"0"</f>
        <v>0</v>
      </c>
      <c r="CS85" t="str">
        <f ca="1">IF((OFFSET($A$1, 85 - 1, 95 - 1)) &gt;= (OFFSET($A$1, 55 - 1, 7 - 1)), "1","0")</f>
        <v>0</v>
      </c>
      <c r="CT85">
        <f ca="1" xml:space="preserve"> IF( AND( OFFSET($A$1, 85 - 1, 96 - 1) = "1", OFFSET($A$1, 85 - 1, 97 - 1) = "1" ), 1, IF( AND( OFFSET($A$1, 85 - 1, 96 - 1) = "1", OFFSET($A$1, 85 - 1, 97 - 1) = "0" ), 2, IF( AND( OFFSET($A$1, 85 - 1, 96 - 1) = "0", OFFSET($A$1, 85 - 1, 97 - 1) = "1" ), 3, 4 ) ) )</f>
        <v>4</v>
      </c>
      <c r="CV85" s="24">
        <v>3.7901524446180314E-2</v>
      </c>
      <c r="CW85" s="24" t="str">
        <f>"0"</f>
        <v>0</v>
      </c>
      <c r="CX85" t="str">
        <f ca="1">IF((OFFSET($A$1, 85 - 1, 100 - 1)) &gt;= (OFFSET($A$1, 79 - 1, 7 - 1)), "1","0")</f>
        <v>0</v>
      </c>
      <c r="CY85">
        <f ca="1" xml:space="preserve"> IF( AND( OFFSET($A$1, 85 - 1, 101 - 1) = "1", OFFSET($A$1, 85 - 1, 102 - 1) = "1" ), 1, IF( AND( OFFSET($A$1, 85 - 1, 101 - 1) = "1", OFFSET($A$1, 85 - 1, 102 - 1) = "0" ), 2, IF( AND( OFFSET($A$1, 85 - 1, 101 - 1) = "0", OFFSET($A$1, 85 - 1, 102 - 1) = "1" ), 3, 4 ) ) )</f>
        <v>4</v>
      </c>
    </row>
    <row r="86" spans="3:103" ht="13.8" x14ac:dyDescent="0.3">
      <c r="CQ86" s="24">
        <v>0.99907271958911759</v>
      </c>
      <c r="CR86" s="24" t="str">
        <f>"1"</f>
        <v>1</v>
      </c>
      <c r="CS86" t="str">
        <f ca="1">IF((OFFSET($A$1, 86 - 1, 95 - 1)) &gt;= (OFFSET($A$1, 55 - 1, 7 - 1)), "1","0")</f>
        <v>1</v>
      </c>
      <c r="CT86">
        <f ca="1" xml:space="preserve"> IF( AND( OFFSET($A$1, 86 - 1, 96 - 1) = "1", OFFSET($A$1, 86 - 1, 97 - 1) = "1" ), 1, IF( AND( OFFSET($A$1, 86 - 1, 96 - 1) = "1", OFFSET($A$1, 86 - 1, 97 - 1) = "0" ), 2, IF( AND( OFFSET($A$1, 86 - 1, 96 - 1) = "0", OFFSET($A$1, 86 - 1, 97 - 1) = "1" ), 3, 4 ) ) )</f>
        <v>1</v>
      </c>
      <c r="CV86" s="24">
        <v>0.99501185606723019</v>
      </c>
      <c r="CW86" s="24" t="str">
        <f>"1"</f>
        <v>1</v>
      </c>
      <c r="CX86" t="str">
        <f ca="1">IF((OFFSET($A$1, 86 - 1, 100 - 1)) &gt;= (OFFSET($A$1, 79 - 1, 7 - 1)), "1","0")</f>
        <v>1</v>
      </c>
      <c r="CY86">
        <f ca="1" xml:space="preserve"> IF( AND( OFFSET($A$1, 86 - 1, 101 - 1) = "1", OFFSET($A$1, 86 - 1, 102 - 1) = "1" ), 1, IF( AND( OFFSET($A$1, 86 - 1, 101 - 1) = "1", OFFSET($A$1, 86 - 1, 102 - 1) = "0" ), 2, IF( AND( OFFSET($A$1, 86 - 1, 101 - 1) = "0", OFFSET($A$1, 86 - 1, 102 - 1) = "1" ), 3, 4 ) ) )</f>
        <v>1</v>
      </c>
    </row>
    <row r="87" spans="3:103" ht="15.6" x14ac:dyDescent="0.3">
      <c r="C87" s="59" t="s">
        <v>210</v>
      </c>
      <c r="D87" s="60"/>
      <c r="E87" s="60"/>
      <c r="F87" s="61"/>
      <c r="CQ87" s="24">
        <v>0.87951823445757216</v>
      </c>
      <c r="CR87" s="24" t="str">
        <f>"1"</f>
        <v>1</v>
      </c>
      <c r="CS87" t="str">
        <f ca="1">IF((OFFSET($A$1, 87 - 1, 95 - 1)) &gt;= (OFFSET($A$1, 55 - 1, 7 - 1)), "1","0")</f>
        <v>1</v>
      </c>
      <c r="CT87">
        <f ca="1" xml:space="preserve"> IF( AND( OFFSET($A$1, 87 - 1, 96 - 1) = "1", OFFSET($A$1, 87 - 1, 97 - 1) = "1" ), 1, IF( AND( OFFSET($A$1, 87 - 1, 96 - 1) = "1", OFFSET($A$1, 87 - 1, 97 - 1) = "0" ), 2, IF( AND( OFFSET($A$1, 87 - 1, 96 - 1) = "0", OFFSET($A$1, 87 - 1, 97 - 1) = "1" ), 3, 4 ) ) )</f>
        <v>1</v>
      </c>
      <c r="CV87" s="24">
        <v>0.98523575036609157</v>
      </c>
      <c r="CW87" s="24" t="str">
        <f>"1"</f>
        <v>1</v>
      </c>
      <c r="CX87" t="str">
        <f ca="1">IF((OFFSET($A$1, 87 - 1, 100 - 1)) &gt;= (OFFSET($A$1, 79 - 1, 7 - 1)), "1","0")</f>
        <v>1</v>
      </c>
      <c r="CY87">
        <f ca="1" xml:space="preserve"> IF( AND( OFFSET($A$1, 87 - 1, 101 - 1) = "1", OFFSET($A$1, 87 - 1, 102 - 1) = "1" ), 1, IF( AND( OFFSET($A$1, 87 - 1, 101 - 1) = "1", OFFSET($A$1, 87 - 1, 102 - 1) = "0" ), 2, IF( AND( OFFSET($A$1, 87 - 1, 101 - 1) = "0", OFFSET($A$1, 87 - 1, 102 - 1) = "1" ), 3, 4 ) ) )</f>
        <v>1</v>
      </c>
    </row>
    <row r="88" spans="3:103" ht="13.8" x14ac:dyDescent="0.3">
      <c r="C88" s="26" t="s">
        <v>332</v>
      </c>
      <c r="D88" s="26" t="s">
        <v>333</v>
      </c>
      <c r="E88" s="26" t="s">
        <v>334</v>
      </c>
      <c r="F88" s="26" t="s">
        <v>335</v>
      </c>
      <c r="CQ88" s="24">
        <v>0.9871646655102807</v>
      </c>
      <c r="CR88" s="24" t="str">
        <f>"1"</f>
        <v>1</v>
      </c>
      <c r="CS88" t="str">
        <f ca="1">IF((OFFSET($A$1, 88 - 1, 95 - 1)) &gt;= (OFFSET($A$1, 55 - 1, 7 - 1)), "1","0")</f>
        <v>1</v>
      </c>
      <c r="CT88">
        <f ca="1" xml:space="preserve"> IF( AND( OFFSET($A$1, 88 - 1, 96 - 1) = "1", OFFSET($A$1, 88 - 1, 97 - 1) = "1" ), 1, IF( AND( OFFSET($A$1, 88 - 1, 96 - 1) = "1", OFFSET($A$1, 88 - 1, 97 - 1) = "0" ), 2, IF( AND( OFFSET($A$1, 88 - 1, 96 - 1) = "0", OFFSET($A$1, 88 - 1, 97 - 1) = "1" ), 3, 4 ) ) )</f>
        <v>1</v>
      </c>
      <c r="CV88" s="24">
        <v>0.93664015383989196</v>
      </c>
      <c r="CW88" s="24" t="str">
        <f>"1"</f>
        <v>1</v>
      </c>
      <c r="CX88" t="str">
        <f ca="1">IF((OFFSET($A$1, 88 - 1, 100 - 1)) &gt;= (OFFSET($A$1, 79 - 1, 7 - 1)), "1","0")</f>
        <v>1</v>
      </c>
      <c r="CY88">
        <f ca="1" xml:space="preserve"> IF( AND( OFFSET($A$1, 88 - 1, 101 - 1) = "1", OFFSET($A$1, 88 - 1, 102 - 1) = "1" ), 1, IF( AND( OFFSET($A$1, 88 - 1, 101 - 1) = "1", OFFSET($A$1, 88 - 1, 102 - 1) = "0" ), 2, IF( AND( OFFSET($A$1, 88 - 1, 101 - 1) = "0", OFFSET($A$1, 88 - 1, 102 - 1) = "1" ), 3, 4 ) ) )</f>
        <v>1</v>
      </c>
    </row>
    <row r="89" spans="3:103" ht="13.8" x14ac:dyDescent="0.3">
      <c r="C89" s="25">
        <v>1</v>
      </c>
      <c r="D89" s="24">
        <f ca="1">SUM(OFFSET($A$1, 84 - 1, 4 - 1, 1, 2))</f>
        <v>271</v>
      </c>
      <c r="E89" s="24">
        <f ca="1">SUM(OFFSET($A$1, 84 - 1, 4 - 1, 1, 2)) - OFFSET($A$1, 84 - 1, 4 - 1)</f>
        <v>29</v>
      </c>
      <c r="F89" s="24">
        <f ca="1">IF(OFFSET($A$1, 89 - 1, 4 - 1)=0,"Undefined",((OFFSET($A$1, 89 - 1, 5 - 1))*100) / (OFFSET($A$1, 89 - 1, 4 - 1)))</f>
        <v>10.701107011070111</v>
      </c>
      <c r="CQ89" s="24">
        <v>0.93611947509887206</v>
      </c>
      <c r="CR89" s="24" t="str">
        <f>"1"</f>
        <v>1</v>
      </c>
      <c r="CS89" t="str">
        <f ca="1">IF((OFFSET($A$1, 89 - 1, 95 - 1)) &gt;= (OFFSET($A$1, 55 - 1, 7 - 1)), "1","0")</f>
        <v>1</v>
      </c>
      <c r="CT89">
        <f ca="1" xml:space="preserve"> IF( AND( OFFSET($A$1, 89 - 1, 96 - 1) = "1", OFFSET($A$1, 89 - 1, 97 - 1) = "1" ), 1, IF( AND( OFFSET($A$1, 89 - 1, 96 - 1) = "1", OFFSET($A$1, 89 - 1, 97 - 1) = "0" ), 2, IF( AND( OFFSET($A$1, 89 - 1, 96 - 1) = "0", OFFSET($A$1, 89 - 1, 97 - 1) = "1" ), 3, 4 ) ) )</f>
        <v>1</v>
      </c>
      <c r="CV89" s="24">
        <v>0.99577253514450037</v>
      </c>
      <c r="CW89" s="24" t="str">
        <f>"0"</f>
        <v>0</v>
      </c>
      <c r="CX89" t="str">
        <f ca="1">IF((OFFSET($A$1, 89 - 1, 100 - 1)) &gt;= (OFFSET($A$1, 79 - 1, 7 - 1)), "1","0")</f>
        <v>1</v>
      </c>
      <c r="CY89">
        <f ca="1" xml:space="preserve"> IF( AND( OFFSET($A$1, 89 - 1, 101 - 1) = "1", OFFSET($A$1, 89 - 1, 102 - 1) = "1" ), 1, IF( AND( OFFSET($A$1, 89 - 1, 101 - 1) = "1", OFFSET($A$1, 89 - 1, 102 - 1) = "0" ), 2, IF( AND( OFFSET($A$1, 89 - 1, 101 - 1) = "0", OFFSET($A$1, 89 - 1, 102 - 1) = "1" ), 3, 4 ) ) )</f>
        <v>3</v>
      </c>
    </row>
    <row r="90" spans="3:103" ht="13.8" x14ac:dyDescent="0.3">
      <c r="C90" s="25">
        <v>0</v>
      </c>
      <c r="D90" s="24">
        <f ca="1">SUM(OFFSET($A$1, 85 - 1, 4 - 1, 1, 2))</f>
        <v>129</v>
      </c>
      <c r="E90" s="24">
        <f ca="1">SUM(OFFSET($A$1, 85 - 1, 4 - 1, 1, 2)) - OFFSET($A$1, 85 - 1, 5 - 1)</f>
        <v>78</v>
      </c>
      <c r="F90" s="24">
        <f ca="1">IF(OFFSET($A$1, 90 - 1, 4 - 1)=0,"Undefined",((OFFSET($A$1, 90 - 1, 5 - 1))*100) / (OFFSET($A$1, 90 - 1, 4 - 1)))</f>
        <v>60.465116279069768</v>
      </c>
      <c r="CQ90" s="24">
        <v>0.9916296195566201</v>
      </c>
      <c r="CR90" s="24" t="str">
        <f>"1"</f>
        <v>1</v>
      </c>
      <c r="CS90" t="str">
        <f ca="1">IF((OFFSET($A$1, 90 - 1, 95 - 1)) &gt;= (OFFSET($A$1, 55 - 1, 7 - 1)), "1","0")</f>
        <v>1</v>
      </c>
      <c r="CT90">
        <f ca="1" xml:space="preserve"> IF( AND( OFFSET($A$1, 90 - 1, 96 - 1) = "1", OFFSET($A$1, 90 - 1, 97 - 1) = "1" ), 1, IF( AND( OFFSET($A$1, 90 - 1, 96 - 1) = "1", OFFSET($A$1, 90 - 1, 97 - 1) = "0" ), 2, IF( AND( OFFSET($A$1, 90 - 1, 96 - 1) = "0", OFFSET($A$1, 90 - 1, 97 - 1) = "1" ), 3, 4 ) ) )</f>
        <v>1</v>
      </c>
      <c r="CV90" s="24">
        <v>1.5508068513918834E-2</v>
      </c>
      <c r="CW90" s="24" t="str">
        <f>"0"</f>
        <v>0</v>
      </c>
      <c r="CX90" t="str">
        <f ca="1">IF((OFFSET($A$1, 90 - 1, 100 - 1)) &gt;= (OFFSET($A$1, 79 - 1, 7 - 1)), "1","0")</f>
        <v>0</v>
      </c>
      <c r="CY90">
        <f ca="1" xml:space="preserve"> IF( AND( OFFSET($A$1, 90 - 1, 101 - 1) = "1", OFFSET($A$1, 90 - 1, 102 - 1) = "1" ), 1, IF( AND( OFFSET($A$1, 90 - 1, 101 - 1) = "1", OFFSET($A$1, 90 - 1, 102 - 1) = "0" ), 2, IF( AND( OFFSET($A$1, 90 - 1, 101 - 1) = "0", OFFSET($A$1, 90 - 1, 102 - 1) = "1" ), 3, 4 ) ) )</f>
        <v>4</v>
      </c>
    </row>
    <row r="91" spans="3:103" ht="13.8" x14ac:dyDescent="0.3">
      <c r="C91" s="25" t="s">
        <v>336</v>
      </c>
      <c r="D91" s="24">
        <f ca="1">SUM(OFFSET($A$1, 89 - 1, 4 - 1, 2, 1))</f>
        <v>400</v>
      </c>
      <c r="E91" s="24">
        <f ca="1">SUM(OFFSET($A$1, 89 - 1, 5 - 1, 2, 1))</f>
        <v>107</v>
      </c>
      <c r="F91" s="24">
        <f ca="1">IF(OFFSET($A$1, 91 - 1, 4 - 1)=0,"Undefined",((OFFSET($A$1, 91 - 1, 5 - 1))*100) / (OFFSET($A$1, 91 - 1, 4 - 1)))</f>
        <v>26.75</v>
      </c>
      <c r="CQ91" s="24">
        <v>0.16613622303646924</v>
      </c>
      <c r="CR91" s="24" t="str">
        <f>"0"</f>
        <v>0</v>
      </c>
      <c r="CS91" t="str">
        <f ca="1">IF((OFFSET($A$1, 91 - 1, 95 - 1)) &gt;= (OFFSET($A$1, 55 - 1, 7 - 1)), "1","0")</f>
        <v>0</v>
      </c>
      <c r="CT91">
        <f ca="1" xml:space="preserve"> IF( AND( OFFSET($A$1, 91 - 1, 96 - 1) = "1", OFFSET($A$1, 91 - 1, 97 - 1) = "1" ), 1, IF( AND( OFFSET($A$1, 91 - 1, 96 - 1) = "1", OFFSET($A$1, 91 - 1, 97 - 1) = "0" ), 2, IF( AND( OFFSET($A$1, 91 - 1, 96 - 1) = "0", OFFSET($A$1, 91 - 1, 97 - 1) = "1" ), 3, 4 ) ) )</f>
        <v>4</v>
      </c>
      <c r="CV91" s="24">
        <v>0.93746685993713774</v>
      </c>
      <c r="CW91" s="24" t="str">
        <f>"1"</f>
        <v>1</v>
      </c>
      <c r="CX91" t="str">
        <f ca="1">IF((OFFSET($A$1, 91 - 1, 100 - 1)) &gt;= (OFFSET($A$1, 79 - 1, 7 - 1)), "1","0")</f>
        <v>1</v>
      </c>
      <c r="CY91">
        <f ca="1" xml:space="preserve"> IF( AND( OFFSET($A$1, 91 - 1, 101 - 1) = "1", OFFSET($A$1, 91 - 1, 102 - 1) = "1" ), 1, IF( AND( OFFSET($A$1, 91 - 1, 101 - 1) = "1", OFFSET($A$1, 91 - 1, 102 - 1) = "0" ), 2, IF( AND( OFFSET($A$1, 91 - 1, 101 - 1) = "0", OFFSET($A$1, 91 - 1, 102 - 1) = "1" ), 3, 4 ) ) )</f>
        <v>1</v>
      </c>
    </row>
    <row r="92" spans="3:103" ht="13.8" x14ac:dyDescent="0.3">
      <c r="CQ92" s="24">
        <v>0.99890575417850225</v>
      </c>
      <c r="CR92" s="24" t="str">
        <f>"1"</f>
        <v>1</v>
      </c>
      <c r="CS92" t="str">
        <f ca="1">IF((OFFSET($A$1, 92 - 1, 95 - 1)) &gt;= (OFFSET($A$1, 55 - 1, 7 - 1)), "1","0")</f>
        <v>1</v>
      </c>
      <c r="CT92">
        <f ca="1" xml:space="preserve"> IF( AND( OFFSET($A$1, 92 - 1, 96 - 1) = "1", OFFSET($A$1, 92 - 1, 97 - 1) = "1" ), 1, IF( AND( OFFSET($A$1, 92 - 1, 96 - 1) = "1", OFFSET($A$1, 92 - 1, 97 - 1) = "0" ), 2, IF( AND( OFFSET($A$1, 92 - 1, 96 - 1) = "0", OFFSET($A$1, 92 - 1, 97 - 1) = "1" ), 3, 4 ) ) )</f>
        <v>1</v>
      </c>
      <c r="CV92" s="24">
        <v>0.9670938950190503</v>
      </c>
      <c r="CW92" s="24" t="str">
        <f>"0"</f>
        <v>0</v>
      </c>
      <c r="CX92" t="str">
        <f ca="1">IF((OFFSET($A$1, 92 - 1, 100 - 1)) &gt;= (OFFSET($A$1, 79 - 1, 7 - 1)), "1","0")</f>
        <v>1</v>
      </c>
      <c r="CY92">
        <f ca="1" xml:space="preserve"> IF( AND( OFFSET($A$1, 92 - 1, 101 - 1) = "1", OFFSET($A$1, 92 - 1, 102 - 1) = "1" ), 1, IF( AND( OFFSET($A$1, 92 - 1, 101 - 1) = "1", OFFSET($A$1, 92 - 1, 102 - 1) = "0" ), 2, IF( AND( OFFSET($A$1, 92 - 1, 101 - 1) = "0", OFFSET($A$1, 92 - 1, 102 - 1) = "1" ), 3, 4 ) ) )</f>
        <v>3</v>
      </c>
    </row>
    <row r="93" spans="3:103" ht="15.6" x14ac:dyDescent="0.3">
      <c r="C93" s="59" t="s">
        <v>708</v>
      </c>
      <c r="D93" s="60"/>
      <c r="E93" s="61"/>
      <c r="CQ93" s="24">
        <v>0.99799294162309671</v>
      </c>
      <c r="CR93" s="24" t="str">
        <f>"1"</f>
        <v>1</v>
      </c>
      <c r="CS93" t="str">
        <f ca="1">IF((OFFSET($A$1, 93 - 1, 95 - 1)) &gt;= (OFFSET($A$1, 55 - 1, 7 - 1)), "1","0")</f>
        <v>1</v>
      </c>
      <c r="CT93">
        <f ca="1" xml:space="preserve"> IF( AND( OFFSET($A$1, 93 - 1, 96 - 1) = "1", OFFSET($A$1, 93 - 1, 97 - 1) = "1" ), 1, IF( AND( OFFSET($A$1, 93 - 1, 96 - 1) = "1", OFFSET($A$1, 93 - 1, 97 - 1) = "0" ), 2, IF( AND( OFFSET($A$1, 93 - 1, 96 - 1) = "0", OFFSET($A$1, 93 - 1, 97 - 1) = "1" ), 3, 4 ) ) )</f>
        <v>1</v>
      </c>
      <c r="CV93" s="24">
        <v>0.99820263731991399</v>
      </c>
      <c r="CW93" s="24" t="str">
        <f>"1"</f>
        <v>1</v>
      </c>
      <c r="CX93" t="str">
        <f ca="1">IF((OFFSET($A$1, 93 - 1, 100 - 1)) &gt;= (OFFSET($A$1, 79 - 1, 7 - 1)), "1","0")</f>
        <v>1</v>
      </c>
      <c r="CY93">
        <f ca="1" xml:space="preserve"> IF( AND( OFFSET($A$1, 93 - 1, 101 - 1) = "1", OFFSET($A$1, 93 - 1, 102 - 1) = "1" ), 1, IF( AND( OFFSET($A$1, 93 - 1, 101 - 1) = "1", OFFSET($A$1, 93 - 1, 102 - 1) = "0" ), 2, IF( AND( OFFSET($A$1, 93 - 1, 101 - 1) = "0", OFFSET($A$1, 93 - 1, 102 - 1) = "1" ), 3, 4 ) ) )</f>
        <v>1</v>
      </c>
    </row>
    <row r="94" spans="3:103" ht="13.8" x14ac:dyDescent="0.3">
      <c r="C94" s="62" t="s">
        <v>709</v>
      </c>
      <c r="D94" s="64"/>
      <c r="E94" s="34">
        <v>1</v>
      </c>
      <c r="CQ94" s="24">
        <v>8.2818711164663786E-2</v>
      </c>
      <c r="CR94" s="24" t="str">
        <f>"0"</f>
        <v>0</v>
      </c>
      <c r="CS94" t="str">
        <f ca="1">IF((OFFSET($A$1, 94 - 1, 95 - 1)) &gt;= (OFFSET($A$1, 55 - 1, 7 - 1)), "1","0")</f>
        <v>0</v>
      </c>
      <c r="CT94">
        <f ca="1" xml:space="preserve"> IF( AND( OFFSET($A$1, 94 - 1, 96 - 1) = "1", OFFSET($A$1, 94 - 1, 97 - 1) = "1" ), 1, IF( AND( OFFSET($A$1, 94 - 1, 96 - 1) = "1", OFFSET($A$1, 94 - 1, 97 - 1) = "0" ), 2, IF( AND( OFFSET($A$1, 94 - 1, 96 - 1) = "0", OFFSET($A$1, 94 - 1, 97 - 1) = "1" ), 3, 4 ) ) )</f>
        <v>4</v>
      </c>
      <c r="CV94" s="24">
        <v>0.91232058867697363</v>
      </c>
      <c r="CW94" s="24" t="str">
        <f>"0"</f>
        <v>0</v>
      </c>
      <c r="CX94" t="str">
        <f ca="1">IF((OFFSET($A$1, 94 - 1, 100 - 1)) &gt;= (OFFSET($A$1, 79 - 1, 7 - 1)), "1","0")</f>
        <v>1</v>
      </c>
      <c r="CY94">
        <f ca="1" xml:space="preserve"> IF( AND( OFFSET($A$1, 94 - 1, 101 - 1) = "1", OFFSET($A$1, 94 - 1, 102 - 1) = "1" ), 1, IF( AND( OFFSET($A$1, 94 - 1, 101 - 1) = "1", OFFSET($A$1, 94 - 1, 102 - 1) = "0" ), 2, IF( AND( OFFSET($A$1, 94 - 1, 101 - 1) = "0", OFFSET($A$1, 94 - 1, 102 - 1) = "1" ), 3, 4 ) ) )</f>
        <v>3</v>
      </c>
    </row>
    <row r="95" spans="3:103" ht="13.8" x14ac:dyDescent="0.3">
      <c r="C95" s="62" t="s">
        <v>710</v>
      </c>
      <c r="D95" s="64"/>
      <c r="E95" s="34">
        <f ca="1">IF((OFFSET($A$1, 84 - 1, 4 - 1) + OFFSET($A$1, 85 - 1, 4 - 1)) = 0,"Undefined",OFFSET($A$1, 84 - 1, 4 - 1)/(OFFSET($A$1, 84 - 1, 4 - 1) + OFFSET($A$1, 85 - 1, 4 - 1)))</f>
        <v>0.75624999999999998</v>
      </c>
      <c r="CQ95" s="24">
        <v>0.99830070076373745</v>
      </c>
      <c r="CR95" s="24" t="str">
        <f>"1"</f>
        <v>1</v>
      </c>
      <c r="CS95" t="str">
        <f ca="1">IF((OFFSET($A$1, 95 - 1, 95 - 1)) &gt;= (OFFSET($A$1, 55 - 1, 7 - 1)), "1","0")</f>
        <v>1</v>
      </c>
      <c r="CT95">
        <f ca="1" xml:space="preserve"> IF( AND( OFFSET($A$1, 95 - 1, 96 - 1) = "1", OFFSET($A$1, 95 - 1, 97 - 1) = "1" ), 1, IF( AND( OFFSET($A$1, 95 - 1, 96 - 1) = "1", OFFSET($A$1, 95 - 1, 97 - 1) = "0" ), 2, IF( AND( OFFSET($A$1, 95 - 1, 96 - 1) = "0", OFFSET($A$1, 95 - 1, 97 - 1) = "1" ), 3, 4 ) ) )</f>
        <v>1</v>
      </c>
      <c r="CV95" s="24">
        <v>0.8368526481926023</v>
      </c>
      <c r="CW95" s="24" t="str">
        <f>"1"</f>
        <v>1</v>
      </c>
      <c r="CX95" t="str">
        <f ca="1">IF((OFFSET($A$1, 95 - 1, 100 - 1)) &gt;= (OFFSET($A$1, 79 - 1, 7 - 1)), "1","0")</f>
        <v>1</v>
      </c>
      <c r="CY95">
        <f ca="1" xml:space="preserve"> IF( AND( OFFSET($A$1, 95 - 1, 101 - 1) = "1", OFFSET($A$1, 95 - 1, 102 - 1) = "1" ), 1, IF( AND( OFFSET($A$1, 95 - 1, 101 - 1) = "1", OFFSET($A$1, 95 - 1, 102 - 1) = "0" ), 2, IF( AND( OFFSET($A$1, 95 - 1, 101 - 1) = "0", OFFSET($A$1, 95 - 1, 102 - 1) = "1" ), 3, 4 ) ) )</f>
        <v>1</v>
      </c>
    </row>
    <row r="96" spans="3:103" ht="13.8" x14ac:dyDescent="0.3">
      <c r="C96" s="62" t="s">
        <v>711</v>
      </c>
      <c r="D96" s="64"/>
      <c r="E96" s="34">
        <f ca="1">IF((OFFSET($A$1, 84 - 1, 4 - 1) + OFFSET($A$1, 84 - 1, 5 - 1)) = 0,"Undefined",OFFSET($A$1, 84 - 1, 4 - 1)/(OFFSET($A$1, 84 - 1, 4 - 1) + OFFSET($A$1, 84 - 1, 5 - 1)))</f>
        <v>0.8929889298892989</v>
      </c>
      <c r="CQ96" s="24">
        <v>0.991297538105951</v>
      </c>
      <c r="CR96" s="24" t="str">
        <f>"1"</f>
        <v>1</v>
      </c>
      <c r="CS96" t="str">
        <f ca="1">IF((OFFSET($A$1, 96 - 1, 95 - 1)) &gt;= (OFFSET($A$1, 55 - 1, 7 - 1)), "1","0")</f>
        <v>1</v>
      </c>
      <c r="CT96">
        <f ca="1" xml:space="preserve"> IF( AND( OFFSET($A$1, 96 - 1, 96 - 1) = "1", OFFSET($A$1, 96 - 1, 97 - 1) = "1" ), 1, IF( AND( OFFSET($A$1, 96 - 1, 96 - 1) = "1", OFFSET($A$1, 96 - 1, 97 - 1) = "0" ), 2, IF( AND( OFFSET($A$1, 96 - 1, 96 - 1) = "0", OFFSET($A$1, 96 - 1, 97 - 1) = "1" ), 3, 4 ) ) )</f>
        <v>1</v>
      </c>
      <c r="CV96" s="24">
        <v>0.19478998624036828</v>
      </c>
      <c r="CW96" s="24" t="str">
        <f>"0"</f>
        <v>0</v>
      </c>
      <c r="CX96" t="str">
        <f ca="1">IF((OFFSET($A$1, 96 - 1, 100 - 1)) &gt;= (OFFSET($A$1, 79 - 1, 7 - 1)), "1","0")</f>
        <v>0</v>
      </c>
      <c r="CY96">
        <f ca="1" xml:space="preserve"> IF( AND( OFFSET($A$1, 96 - 1, 101 - 1) = "1", OFFSET($A$1, 96 - 1, 102 - 1) = "1" ), 1, IF( AND( OFFSET($A$1, 96 - 1, 101 - 1) = "1", OFFSET($A$1, 96 - 1, 102 - 1) = "0" ), 2, IF( AND( OFFSET($A$1, 96 - 1, 101 - 1) = "0", OFFSET($A$1, 96 - 1, 102 - 1) = "1" ), 3, 4 ) ) )</f>
        <v>4</v>
      </c>
    </row>
    <row r="97" spans="2:103" ht="13.8" x14ac:dyDescent="0.3">
      <c r="C97" s="62" t="s">
        <v>712</v>
      </c>
      <c r="D97" s="64"/>
      <c r="E97" s="34">
        <f ca="1">IF((OFFSET($A$1, 85 - 1, 4 - 1) + OFFSET($A$1, 85 - 1, 5 - 1)) = 0,"Undefined",OFFSET($A$1, 85 - 1, 5 - 1)/(OFFSET($A$1, 85 - 1, 4 - 1) + OFFSET($A$1, 85 - 1, 5 - 1)))</f>
        <v>0.39534883720930231</v>
      </c>
      <c r="CQ97" s="24">
        <v>0.65913776863724327</v>
      </c>
      <c r="CR97" s="24" t="str">
        <f>"0"</f>
        <v>0</v>
      </c>
      <c r="CS97" t="str">
        <f ca="1">IF((OFFSET($A$1, 97 - 1, 95 - 1)) &gt;= (OFFSET($A$1, 55 - 1, 7 - 1)), "1","0")</f>
        <v>1</v>
      </c>
      <c r="CT97">
        <f ca="1" xml:space="preserve"> IF( AND( OFFSET($A$1, 97 - 1, 96 - 1) = "1", OFFSET($A$1, 97 - 1, 97 - 1) = "1" ), 1, IF( AND( OFFSET($A$1, 97 - 1, 96 - 1) = "1", OFFSET($A$1, 97 - 1, 97 - 1) = "0" ), 2, IF( AND( OFFSET($A$1, 97 - 1, 96 - 1) = "0", OFFSET($A$1, 97 - 1, 97 - 1) = "1" ), 3, 4 ) ) )</f>
        <v>3</v>
      </c>
      <c r="CV97" s="24">
        <v>0.97099694347300192</v>
      </c>
      <c r="CW97" s="24" t="str">
        <f>"1"</f>
        <v>1</v>
      </c>
      <c r="CX97" t="str">
        <f ca="1">IF((OFFSET($A$1, 97 - 1, 100 - 1)) &gt;= (OFFSET($A$1, 79 - 1, 7 - 1)), "1","0")</f>
        <v>1</v>
      </c>
      <c r="CY97">
        <f ca="1" xml:space="preserve"> IF( AND( OFFSET($A$1, 97 - 1, 101 - 1) = "1", OFFSET($A$1, 97 - 1, 102 - 1) = "1" ), 1, IF( AND( OFFSET($A$1, 97 - 1, 101 - 1) = "1", OFFSET($A$1, 97 - 1, 102 - 1) = "0" ), 2, IF( AND( OFFSET($A$1, 97 - 1, 101 - 1) = "0", OFFSET($A$1, 97 - 1, 102 - 1) = "1" ), 3, 4 ) ) )</f>
        <v>1</v>
      </c>
    </row>
    <row r="98" spans="2:103" ht="13.8" x14ac:dyDescent="0.3">
      <c r="C98" s="62" t="s">
        <v>713</v>
      </c>
      <c r="D98" s="64"/>
      <c r="E98" s="34">
        <f ca="1">IF(OR(OFFSET($A$1, 95 - 1, 5 - 1)="Undefined",OFFSET($A$1, 96 - 1, 5 - 1)="Undefined"),"Undefined",IF((OFFSET($A$1, 95 - 1, 5 - 1) + OFFSET($A$1, 96 - 1, 5 - 1))=0,"Undefined",2*OFFSET($A$1, 95 - 1, 5 - 1)*OFFSET($A$1, 96 - 1, 5 - 1)/(OFFSET($A$1, 95 - 1, 5 - 1)+OFFSET($A$1, 96 - 1, 5 - 1))))</f>
        <v>0.81895093062605751</v>
      </c>
      <c r="CQ98" s="24">
        <v>4.5763956688590082E-2</v>
      </c>
      <c r="CR98" s="24" t="str">
        <f>"0"</f>
        <v>0</v>
      </c>
      <c r="CS98" t="str">
        <f ca="1">IF((OFFSET($A$1, 98 - 1, 95 - 1)) &gt;= (OFFSET($A$1, 55 - 1, 7 - 1)), "1","0")</f>
        <v>0</v>
      </c>
      <c r="CT98">
        <f ca="1" xml:space="preserve"> IF( AND( OFFSET($A$1, 98 - 1, 96 - 1) = "1", OFFSET($A$1, 98 - 1, 97 - 1) = "1" ), 1, IF( AND( OFFSET($A$1, 98 - 1, 96 - 1) = "1", OFFSET($A$1, 98 - 1, 97 - 1) = "0" ), 2, IF( AND( OFFSET($A$1, 98 - 1, 96 - 1) = "0", OFFSET($A$1, 98 - 1, 97 - 1) = "1" ), 3, 4 ) ) )</f>
        <v>4</v>
      </c>
      <c r="CV98" s="24">
        <v>0.99709784363431264</v>
      </c>
      <c r="CW98" s="24" t="str">
        <f>"1"</f>
        <v>1</v>
      </c>
      <c r="CX98" t="str">
        <f ca="1">IF((OFFSET($A$1, 98 - 1, 100 - 1)) &gt;= (OFFSET($A$1, 79 - 1, 7 - 1)), "1","0")</f>
        <v>1</v>
      </c>
      <c r="CY98">
        <f ca="1" xml:space="preserve"> IF( AND( OFFSET($A$1, 98 - 1, 101 - 1) = "1", OFFSET($A$1, 98 - 1, 102 - 1) = "1" ), 1, IF( AND( OFFSET($A$1, 98 - 1, 101 - 1) = "1", OFFSET($A$1, 98 - 1, 102 - 1) = "0" ), 2, IF( AND( OFFSET($A$1, 98 - 1, 101 - 1) = "0", OFFSET($A$1, 98 - 1, 102 - 1) = "1" ), 3, 4 ) ) )</f>
        <v>1</v>
      </c>
    </row>
    <row r="99" spans="2:103" ht="13.8" x14ac:dyDescent="0.3">
      <c r="CQ99" s="24">
        <v>0.21310168265336912</v>
      </c>
      <c r="CR99" s="24" t="str">
        <f>"0"</f>
        <v>0</v>
      </c>
      <c r="CS99" t="str">
        <f ca="1">IF((OFFSET($A$1, 99 - 1, 95 - 1)) &gt;= (OFFSET($A$1, 55 - 1, 7 - 1)), "1","0")</f>
        <v>0</v>
      </c>
      <c r="CT99">
        <f ca="1" xml:space="preserve"> IF( AND( OFFSET($A$1, 99 - 1, 96 - 1) = "1", OFFSET($A$1, 99 - 1, 97 - 1) = "1" ), 1, IF( AND( OFFSET($A$1, 99 - 1, 96 - 1) = "1", OFFSET($A$1, 99 - 1, 97 - 1) = "0" ), 2, IF( AND( OFFSET($A$1, 99 - 1, 96 - 1) = "0", OFFSET($A$1, 99 - 1, 97 - 1) = "1" ), 3, 4 ) ) )</f>
        <v>4</v>
      </c>
      <c r="CV99" s="24">
        <v>0.99358733277992894</v>
      </c>
      <c r="CW99" s="24" t="str">
        <f>"0"</f>
        <v>0</v>
      </c>
      <c r="CX99" t="str">
        <f ca="1">IF((OFFSET($A$1, 99 - 1, 100 - 1)) &gt;= (OFFSET($A$1, 79 - 1, 7 - 1)), "1","0")</f>
        <v>1</v>
      </c>
      <c r="CY99">
        <f ca="1" xml:space="preserve"> IF( AND( OFFSET($A$1, 99 - 1, 101 - 1) = "1", OFFSET($A$1, 99 - 1, 102 - 1) = "1" ), 1, IF( AND( OFFSET($A$1, 99 - 1, 101 - 1) = "1", OFFSET($A$1, 99 - 1, 102 - 1) = "0" ), 2, IF( AND( OFFSET($A$1, 99 - 1, 101 - 1) = "0", OFFSET($A$1, 99 - 1, 102 - 1) = "1" ), 3, 4 ) ) )</f>
        <v>3</v>
      </c>
    </row>
    <row r="100" spans="2:103" ht="13.8" x14ac:dyDescent="0.3">
      <c r="CQ100" s="24">
        <v>0.989857931201646</v>
      </c>
      <c r="CR100" s="24" t="str">
        <f>"1"</f>
        <v>1</v>
      </c>
      <c r="CS100" t="str">
        <f ca="1">IF((OFFSET($A$1, 100 - 1, 95 - 1)) &gt;= (OFFSET($A$1, 55 - 1, 7 - 1)), "1","0")</f>
        <v>1</v>
      </c>
      <c r="CT100">
        <f ca="1" xml:space="preserve"> IF( AND( OFFSET($A$1, 100 - 1, 96 - 1) = "1", OFFSET($A$1, 100 - 1, 97 - 1) = "1" ), 1, IF( AND( OFFSET($A$1, 100 - 1, 96 - 1) = "1", OFFSET($A$1, 100 - 1, 97 - 1) = "0" ), 2, IF( AND( OFFSET($A$1, 100 - 1, 96 - 1) = "0", OFFSET($A$1, 100 - 1, 97 - 1) = "1" ), 3, 4 ) ) )</f>
        <v>1</v>
      </c>
      <c r="CV100" s="24">
        <v>0.84854187947962523</v>
      </c>
      <c r="CW100" s="24" t="str">
        <f>"0"</f>
        <v>0</v>
      </c>
      <c r="CX100" t="str">
        <f ca="1">IF((OFFSET($A$1, 100 - 1, 100 - 1)) &gt;= (OFFSET($A$1, 79 - 1, 7 - 1)), "1","0")</f>
        <v>1</v>
      </c>
      <c r="CY100">
        <f ca="1" xml:space="preserve"> IF( AND( OFFSET($A$1, 100 - 1, 101 - 1) = "1", OFFSET($A$1, 100 - 1, 102 - 1) = "1" ), 1, IF( AND( OFFSET($A$1, 100 - 1, 101 - 1) = "1", OFFSET($A$1, 100 - 1, 102 - 1) = "0" ), 2, IF( AND( OFFSET($A$1, 100 - 1, 101 - 1) = "0", OFFSET($A$1, 100 - 1, 102 - 1) = "1" ), 3, 4 ) ) )</f>
        <v>3</v>
      </c>
    </row>
    <row r="101" spans="2:103" ht="18" x14ac:dyDescent="0.35">
      <c r="B101" s="22" t="s">
        <v>715</v>
      </c>
      <c r="CQ101" s="24">
        <v>7.1245771927565885E-2</v>
      </c>
      <c r="CR101" s="24" t="str">
        <f>"0"</f>
        <v>0</v>
      </c>
      <c r="CS101" t="str">
        <f ca="1">IF((OFFSET($A$1, 101 - 1, 95 - 1)) &gt;= (OFFSET($A$1, 55 - 1, 7 - 1)), "1","0")</f>
        <v>0</v>
      </c>
      <c r="CT101">
        <f ca="1" xml:space="preserve"> IF( AND( OFFSET($A$1, 101 - 1, 96 - 1) = "1", OFFSET($A$1, 101 - 1, 97 - 1) = "1" ), 1, IF( AND( OFFSET($A$1, 101 - 1, 96 - 1) = "1", OFFSET($A$1, 101 - 1, 97 - 1) = "0" ), 2, IF( AND( OFFSET($A$1, 101 - 1, 96 - 1) = "0", OFFSET($A$1, 101 - 1, 97 - 1) = "1" ), 3, 4 ) ) )</f>
        <v>4</v>
      </c>
      <c r="CV101" s="24">
        <v>0.11217108249289449</v>
      </c>
      <c r="CW101" s="24" t="str">
        <f>"0"</f>
        <v>0</v>
      </c>
      <c r="CX101" t="str">
        <f ca="1">IF((OFFSET($A$1, 101 - 1, 100 - 1)) &gt;= (OFFSET($A$1, 79 - 1, 7 - 1)), "1","0")</f>
        <v>0</v>
      </c>
      <c r="CY101">
        <f ca="1" xml:space="preserve"> IF( AND( OFFSET($A$1, 101 - 1, 101 - 1) = "1", OFFSET($A$1, 101 - 1, 102 - 1) = "1" ), 1, IF( AND( OFFSET($A$1, 101 - 1, 101 - 1) = "1", OFFSET($A$1, 101 - 1, 102 - 1) = "0" ), 2, IF( AND( OFFSET($A$1, 101 - 1, 101 - 1) = "0", OFFSET($A$1, 101 - 1, 102 - 1) = "1" ), 3, 4 ) ) )</f>
        <v>4</v>
      </c>
    </row>
    <row r="102" spans="2:103" ht="13.8" x14ac:dyDescent="0.3">
      <c r="CQ102" s="24">
        <v>0.99646527206923985</v>
      </c>
      <c r="CR102" s="24" t="str">
        <f>"1"</f>
        <v>1</v>
      </c>
      <c r="CS102" t="str">
        <f ca="1">IF((OFFSET($A$1, 102 - 1, 95 - 1)) &gt;= (OFFSET($A$1, 55 - 1, 7 - 1)), "1","0")</f>
        <v>1</v>
      </c>
      <c r="CT102">
        <f ca="1" xml:space="preserve"> IF( AND( OFFSET($A$1, 102 - 1, 96 - 1) = "1", OFFSET($A$1, 102 - 1, 97 - 1) = "1" ), 1, IF( AND( OFFSET($A$1, 102 - 1, 96 - 1) = "1", OFFSET($A$1, 102 - 1, 97 - 1) = "0" ), 2, IF( AND( OFFSET($A$1, 102 - 1, 96 - 1) = "0", OFFSET($A$1, 102 - 1, 97 - 1) = "1" ), 3, 4 ) ) )</f>
        <v>1</v>
      </c>
      <c r="CV102" s="24">
        <v>0.99853276364968513</v>
      </c>
      <c r="CW102" s="24" t="str">
        <f>"1"</f>
        <v>1</v>
      </c>
      <c r="CX102" t="str">
        <f ca="1">IF((OFFSET($A$1, 102 - 1, 100 - 1)) &gt;= (OFFSET($A$1, 79 - 1, 7 - 1)), "1","0")</f>
        <v>1</v>
      </c>
      <c r="CY102">
        <f ca="1" xml:space="preserve"> IF( AND( OFFSET($A$1, 102 - 1, 101 - 1) = "1", OFFSET($A$1, 102 - 1, 102 - 1) = "1" ), 1, IF( AND( OFFSET($A$1, 102 - 1, 101 - 1) = "1", OFFSET($A$1, 102 - 1, 102 - 1) = "0" ), 2, IF( AND( OFFSET($A$1, 102 - 1, 101 - 1) = "0", OFFSET($A$1, 102 - 1, 102 - 1) = "1" ), 3, 4 ) ) )</f>
        <v>1</v>
      </c>
    </row>
    <row r="103" spans="2:103" ht="13.8" x14ac:dyDescent="0.3">
      <c r="D103" s="77" t="s">
        <v>716</v>
      </c>
      <c r="E103" s="77"/>
      <c r="F103" s="77"/>
      <c r="G103" s="77"/>
      <c r="H103" s="77"/>
      <c r="I103" s="77"/>
      <c r="J103" s="77"/>
      <c r="K103" s="77"/>
      <c r="L103" s="77"/>
      <c r="M103" s="77"/>
      <c r="N103" s="77"/>
      <c r="O103" s="77"/>
      <c r="P103" s="77"/>
      <c r="Q103" s="77"/>
      <c r="R103" s="77"/>
      <c r="S103" s="77"/>
      <c r="T103" s="77"/>
      <c r="U103" s="77"/>
      <c r="V103" s="77"/>
      <c r="W103" s="77"/>
      <c r="X103" s="77"/>
      <c r="Y103" s="77"/>
      <c r="Z103" s="77"/>
      <c r="AA103" s="77"/>
      <c r="AB103" s="77"/>
      <c r="AC103" s="77"/>
      <c r="AD103" s="77"/>
      <c r="AE103" s="77"/>
      <c r="AF103" s="77"/>
      <c r="AG103" s="77"/>
      <c r="AH103" s="77"/>
      <c r="AI103" s="77"/>
      <c r="AJ103" s="77"/>
      <c r="AK103" s="77"/>
      <c r="AL103" s="77"/>
      <c r="AM103" s="77"/>
      <c r="AN103" s="77"/>
      <c r="AO103" s="77"/>
      <c r="AP103" s="77"/>
      <c r="AQ103" s="77"/>
      <c r="AR103" s="77"/>
      <c r="AS103" s="77"/>
      <c r="AT103" s="77"/>
      <c r="AU103" s="77"/>
      <c r="AV103" s="77"/>
      <c r="AW103" s="77"/>
      <c r="CQ103" s="24">
        <v>5.9173274405614658E-2</v>
      </c>
      <c r="CR103" s="24" t="str">
        <f>"0"</f>
        <v>0</v>
      </c>
      <c r="CS103" t="str">
        <f ca="1">IF((OFFSET($A$1, 103 - 1, 95 - 1)) &gt;= (OFFSET($A$1, 55 - 1, 7 - 1)), "1","0")</f>
        <v>0</v>
      </c>
      <c r="CT103">
        <f ca="1" xml:space="preserve"> IF( AND( OFFSET($A$1, 103 - 1, 96 - 1) = "1", OFFSET($A$1, 103 - 1, 97 - 1) = "1" ), 1, IF( AND( OFFSET($A$1, 103 - 1, 96 - 1) = "1", OFFSET($A$1, 103 - 1, 97 - 1) = "0" ), 2, IF( AND( OFFSET($A$1, 103 - 1, 96 - 1) = "0", OFFSET($A$1, 103 - 1, 97 - 1) = "1" ), 3, 4 ) ) )</f>
        <v>4</v>
      </c>
      <c r="CV103" s="24">
        <v>0.99914493564589935</v>
      </c>
      <c r="CW103" s="24" t="str">
        <f>"1"</f>
        <v>1</v>
      </c>
      <c r="CX103" t="str">
        <f ca="1">IF((OFFSET($A$1, 103 - 1, 100 - 1)) &gt;= (OFFSET($A$1, 79 - 1, 7 - 1)), "1","0")</f>
        <v>1</v>
      </c>
      <c r="CY103">
        <f ca="1" xml:space="preserve"> IF( AND( OFFSET($A$1, 103 - 1, 101 - 1) = "1", OFFSET($A$1, 103 - 1, 102 - 1) = "1" ), 1, IF( AND( OFFSET($A$1, 103 - 1, 101 - 1) = "1", OFFSET($A$1, 103 - 1, 102 - 1) = "0" ), 2, IF( AND( OFFSET($A$1, 103 - 1, 101 - 1) = "0", OFFSET($A$1, 103 - 1, 102 - 1) = "1" ), 3, 4 ) ) )</f>
        <v>1</v>
      </c>
    </row>
    <row r="104" spans="2:103" ht="13.8" x14ac:dyDescent="0.3">
      <c r="C104" s="36" t="s">
        <v>717</v>
      </c>
      <c r="D104" s="26" t="s">
        <v>0</v>
      </c>
      <c r="E104" s="26" t="s">
        <v>68</v>
      </c>
      <c r="F104" s="26" t="s">
        <v>69</v>
      </c>
      <c r="G104" s="26" t="s">
        <v>70</v>
      </c>
      <c r="H104" s="26" t="s">
        <v>71</v>
      </c>
      <c r="I104" s="26" t="s">
        <v>81</v>
      </c>
      <c r="J104" s="26" t="s">
        <v>72</v>
      </c>
      <c r="K104" s="26" t="s">
        <v>2</v>
      </c>
      <c r="L104" s="26" t="s">
        <v>6</v>
      </c>
      <c r="M104" s="26" t="s">
        <v>74</v>
      </c>
      <c r="N104" s="26" t="s">
        <v>75</v>
      </c>
      <c r="O104" s="26" t="s">
        <v>76</v>
      </c>
      <c r="P104" s="26" t="s">
        <v>73</v>
      </c>
      <c r="Q104" s="26" t="s">
        <v>77</v>
      </c>
      <c r="R104" s="26" t="s">
        <v>78</v>
      </c>
      <c r="S104" s="26" t="s">
        <v>82</v>
      </c>
      <c r="T104" s="26" t="s">
        <v>8</v>
      </c>
      <c r="U104" s="26" t="s">
        <v>79</v>
      </c>
      <c r="V104" s="26" t="s">
        <v>80</v>
      </c>
      <c r="W104" s="26" t="s">
        <v>83</v>
      </c>
      <c r="X104" s="26" t="s">
        <v>9</v>
      </c>
      <c r="Y104" s="26" t="s">
        <v>11</v>
      </c>
      <c r="Z104" s="26" t="s">
        <v>12</v>
      </c>
      <c r="AA104" s="26" t="s">
        <v>13</v>
      </c>
      <c r="AB104" s="26" t="s">
        <v>152</v>
      </c>
      <c r="AC104" s="26" t="s">
        <v>153</v>
      </c>
      <c r="AD104" s="26" t="s">
        <v>154</v>
      </c>
      <c r="AE104" s="26" t="s">
        <v>156</v>
      </c>
      <c r="AF104" s="26" t="s">
        <v>157</v>
      </c>
      <c r="AG104" s="26" t="s">
        <v>158</v>
      </c>
      <c r="AH104" s="26" t="s">
        <v>159</v>
      </c>
      <c r="AI104" s="26" t="s">
        <v>161</v>
      </c>
      <c r="AJ104" s="26" t="s">
        <v>162</v>
      </c>
      <c r="AK104" s="26" t="s">
        <v>163</v>
      </c>
      <c r="AL104" s="26" t="s">
        <v>164</v>
      </c>
      <c r="AM104" s="26" t="s">
        <v>166</v>
      </c>
      <c r="AN104" s="26" t="s">
        <v>167</v>
      </c>
      <c r="AO104" s="26" t="s">
        <v>168</v>
      </c>
      <c r="AP104" s="26" t="s">
        <v>169</v>
      </c>
      <c r="AQ104" s="26" t="s">
        <v>171</v>
      </c>
      <c r="AR104" s="26" t="s">
        <v>172</v>
      </c>
      <c r="AS104" s="26" t="s">
        <v>173</v>
      </c>
      <c r="AT104" s="26" t="s">
        <v>176</v>
      </c>
      <c r="AU104" s="26" t="s">
        <v>177</v>
      </c>
      <c r="AV104" s="26" t="s">
        <v>178</v>
      </c>
      <c r="AW104" s="26" t="s">
        <v>732</v>
      </c>
      <c r="CQ104" s="24">
        <v>0.99824775214237382</v>
      </c>
      <c r="CR104" s="24" t="str">
        <f>"1"</f>
        <v>1</v>
      </c>
      <c r="CS104" t="str">
        <f ca="1">IF((OFFSET($A$1, 104 - 1, 95 - 1)) &gt;= (OFFSET($A$1, 55 - 1, 7 - 1)), "1","0")</f>
        <v>1</v>
      </c>
      <c r="CT104">
        <f ca="1" xml:space="preserve"> IF( AND( OFFSET($A$1, 104 - 1, 96 - 1) = "1", OFFSET($A$1, 104 - 1, 97 - 1) = "1" ), 1, IF( AND( OFFSET($A$1, 104 - 1, 96 - 1) = "1", OFFSET($A$1, 104 - 1, 97 - 1) = "0" ), 2, IF( AND( OFFSET($A$1, 104 - 1, 96 - 1) = "0", OFFSET($A$1, 104 - 1, 97 - 1) = "1" ), 3, 4 ) ) )</f>
        <v>1</v>
      </c>
      <c r="CV104" s="24">
        <v>1.5022954604434844E-2</v>
      </c>
      <c r="CW104" s="24" t="str">
        <f>"0"</f>
        <v>0</v>
      </c>
      <c r="CX104" t="str">
        <f ca="1">IF((OFFSET($A$1, 104 - 1, 100 - 1)) &gt;= (OFFSET($A$1, 79 - 1, 7 - 1)), "1","0")</f>
        <v>0</v>
      </c>
      <c r="CY104">
        <f ca="1" xml:space="preserve"> IF( AND( OFFSET($A$1, 104 - 1, 101 - 1) = "1", OFFSET($A$1, 104 - 1, 102 - 1) = "1" ), 1, IF( AND( OFFSET($A$1, 104 - 1, 101 - 1) = "1", OFFSET($A$1, 104 - 1, 102 - 1) = "0" ), 2, IF( AND( OFFSET($A$1, 104 - 1, 101 - 1) = "0", OFFSET($A$1, 104 - 1, 102 - 1) = "1" ), 3, 4 ) ) )</f>
        <v>4</v>
      </c>
    </row>
    <row r="105" spans="2:103" ht="13.8" x14ac:dyDescent="0.3">
      <c r="C105" s="26" t="s">
        <v>718</v>
      </c>
      <c r="D105" s="24">
        <v>-0.13052709360899298</v>
      </c>
      <c r="E105" s="24">
        <v>-0.58671263087510328</v>
      </c>
      <c r="F105" s="24">
        <v>-1.0973543074180119</v>
      </c>
      <c r="G105" s="24">
        <v>0.25615533787645811</v>
      </c>
      <c r="H105" s="24">
        <v>-0.12521107802935011</v>
      </c>
      <c r="I105" s="24">
        <v>0.23093585512362474</v>
      </c>
      <c r="J105" s="24">
        <v>1.0685963495857493</v>
      </c>
      <c r="K105" s="24">
        <v>-0.16782029004783461</v>
      </c>
      <c r="L105" s="24">
        <v>-0.21585594642504569</v>
      </c>
      <c r="M105" s="24">
        <v>1.9117129905362547</v>
      </c>
      <c r="N105" s="24">
        <v>-0.20563100994724434</v>
      </c>
      <c r="O105" s="24">
        <v>-0.24585409280233256</v>
      </c>
      <c r="P105" s="24">
        <v>1.5650691208096641</v>
      </c>
      <c r="Q105" s="24">
        <v>0.25225100920609106</v>
      </c>
      <c r="R105" s="24">
        <v>-0.2055065613848053</v>
      </c>
      <c r="S105" s="24">
        <v>-0.64368304234421825</v>
      </c>
      <c r="T105" s="24">
        <v>-1.1642678775465918</v>
      </c>
      <c r="U105" s="24">
        <v>1.4905125215550348</v>
      </c>
      <c r="V105" s="24">
        <v>-0.56598813755505395</v>
      </c>
      <c r="W105" s="24">
        <v>1.2955534377267275</v>
      </c>
      <c r="X105" s="24">
        <v>-0.73828535720754374</v>
      </c>
      <c r="Y105" s="24">
        <v>0.24572182841871468</v>
      </c>
      <c r="Z105" s="24">
        <v>-1.1827626307225481</v>
      </c>
      <c r="AA105" s="24">
        <v>-0.51913201211100279</v>
      </c>
      <c r="AB105" s="24">
        <v>0.27028962429829267</v>
      </c>
      <c r="AC105" s="24">
        <v>0.89528735153833205</v>
      </c>
      <c r="AD105" s="24">
        <v>0.85055660276995182</v>
      </c>
      <c r="AE105" s="24">
        <v>1.5810899140549475</v>
      </c>
      <c r="AF105" s="24">
        <v>1.2303460024775266</v>
      </c>
      <c r="AG105" s="24">
        <v>0.40749517650247619</v>
      </c>
      <c r="AH105" s="24">
        <v>-0.96065403739214217</v>
      </c>
      <c r="AI105" s="24">
        <v>-0.10561150091495436</v>
      </c>
      <c r="AJ105" s="24">
        <v>1.2088299602752584</v>
      </c>
      <c r="AK105" s="24">
        <v>0.3695297126431783</v>
      </c>
      <c r="AL105" s="24">
        <v>-0.32311286041235682</v>
      </c>
      <c r="AM105" s="24">
        <v>-0.71497216812117315</v>
      </c>
      <c r="AN105" s="24">
        <v>-0.58315845957511325</v>
      </c>
      <c r="AO105" s="24">
        <v>-0.35884927679436573</v>
      </c>
      <c r="AP105" s="24">
        <v>0.48295568097930197</v>
      </c>
      <c r="AQ105" s="24">
        <v>-1.3333312713955936</v>
      </c>
      <c r="AR105" s="24">
        <v>1.2655928597249488</v>
      </c>
      <c r="AS105" s="24">
        <v>0.38390083669803526</v>
      </c>
      <c r="AT105" s="24">
        <v>-0.14359124730776565</v>
      </c>
      <c r="AU105" s="24">
        <v>-7.5128767442608602E-2</v>
      </c>
      <c r="AV105" s="24">
        <v>-0.97156974330246604</v>
      </c>
      <c r="AW105" s="24">
        <v>-0.33261423871700679</v>
      </c>
      <c r="CQ105" s="24">
        <v>0.53091233346479594</v>
      </c>
      <c r="CR105" s="24" t="str">
        <f>"0"</f>
        <v>0</v>
      </c>
      <c r="CS105" t="str">
        <f ca="1">IF((OFFSET($A$1, 105 - 1, 95 - 1)) &gt;= (OFFSET($A$1, 55 - 1, 7 - 1)), "1","0")</f>
        <v>1</v>
      </c>
      <c r="CT105">
        <f ca="1" xml:space="preserve"> IF( AND( OFFSET($A$1, 105 - 1, 96 - 1) = "1", OFFSET($A$1, 105 - 1, 97 - 1) = "1" ), 1, IF( AND( OFFSET($A$1, 105 - 1, 96 - 1) = "1", OFFSET($A$1, 105 - 1, 97 - 1) = "0" ), 2, IF( AND( OFFSET($A$1, 105 - 1, 96 - 1) = "0", OFFSET($A$1, 105 - 1, 97 - 1) = "1" ), 3, 4 ) ) )</f>
        <v>3</v>
      </c>
      <c r="CV105" s="24">
        <v>0.99481315835217787</v>
      </c>
      <c r="CW105" s="24" t="str">
        <f>"1"</f>
        <v>1</v>
      </c>
      <c r="CX105" t="str">
        <f ca="1">IF((OFFSET($A$1, 105 - 1, 100 - 1)) &gt;= (OFFSET($A$1, 79 - 1, 7 - 1)), "1","0")</f>
        <v>1</v>
      </c>
      <c r="CY105">
        <f ca="1" xml:space="preserve"> IF( AND( OFFSET($A$1, 105 - 1, 101 - 1) = "1", OFFSET($A$1, 105 - 1, 102 - 1) = "1" ), 1, IF( AND( OFFSET($A$1, 105 - 1, 101 - 1) = "1", OFFSET($A$1, 105 - 1, 102 - 1) = "0" ), 2, IF( AND( OFFSET($A$1, 105 - 1, 101 - 1) = "0", OFFSET($A$1, 105 - 1, 102 - 1) = "1" ), 3, 4 ) ) )</f>
        <v>1</v>
      </c>
    </row>
    <row r="106" spans="2:103" ht="13.8" x14ac:dyDescent="0.3">
      <c r="C106" s="26" t="s">
        <v>719</v>
      </c>
      <c r="D106" s="24">
        <v>1.3963052120308204</v>
      </c>
      <c r="E106" s="24">
        <v>4.9510248716882699E-2</v>
      </c>
      <c r="F106" s="24">
        <v>-0.3657906395217066</v>
      </c>
      <c r="G106" s="24">
        <v>-1.3668553810283151</v>
      </c>
      <c r="H106" s="24">
        <v>0.77647371724281433</v>
      </c>
      <c r="I106" s="24">
        <v>0.6195772894833883</v>
      </c>
      <c r="J106" s="24">
        <v>0.60979962607026172</v>
      </c>
      <c r="K106" s="24">
        <v>1.0431582527307317</v>
      </c>
      <c r="L106" s="24">
        <v>0.53264718781822162</v>
      </c>
      <c r="M106" s="24">
        <v>0.25631666708588324</v>
      </c>
      <c r="N106" s="24">
        <v>-1.1197906762613343</v>
      </c>
      <c r="O106" s="24">
        <v>-1.6648599435839877</v>
      </c>
      <c r="P106" s="24">
        <v>0.38037570834989459</v>
      </c>
      <c r="Q106" s="24">
        <v>-0.22623843283180028</v>
      </c>
      <c r="R106" s="24">
        <v>0.59701263722935372</v>
      </c>
      <c r="S106" s="24">
        <v>0.35553671441223988</v>
      </c>
      <c r="T106" s="24">
        <v>1.0331533274768174</v>
      </c>
      <c r="U106" s="24">
        <v>1.1376592846168547</v>
      </c>
      <c r="V106" s="24">
        <v>0.21882969197875485</v>
      </c>
      <c r="W106" s="24">
        <v>-0.27016574529113352</v>
      </c>
      <c r="X106" s="24">
        <v>-3.9885618768068433E-2</v>
      </c>
      <c r="Y106" s="24">
        <v>0.4389772640378502</v>
      </c>
      <c r="Z106" s="24">
        <v>1.7688493871104334</v>
      </c>
      <c r="AA106" s="24">
        <v>-0.80376831029424156</v>
      </c>
      <c r="AB106" s="24">
        <v>0.84491596747907605</v>
      </c>
      <c r="AC106" s="24">
        <v>0.19912756302662735</v>
      </c>
      <c r="AD106" s="24">
        <v>1.1094865332166681</v>
      </c>
      <c r="AE106" s="24">
        <v>0.4051255413393296</v>
      </c>
      <c r="AF106" s="24">
        <v>-0.28168882517037319</v>
      </c>
      <c r="AG106" s="24">
        <v>0.80592801598152464</v>
      </c>
      <c r="AH106" s="24">
        <v>-1.3579746476215151</v>
      </c>
      <c r="AI106" s="24">
        <v>0.34360909074871859</v>
      </c>
      <c r="AJ106" s="24">
        <v>-6.6869444050179389E-2</v>
      </c>
      <c r="AK106" s="24">
        <v>-9.6927417953773312E-2</v>
      </c>
      <c r="AL106" s="24">
        <v>-0.30595655729816224</v>
      </c>
      <c r="AM106" s="24">
        <v>1.7073094777140274</v>
      </c>
      <c r="AN106" s="24">
        <v>1.1901571745697843</v>
      </c>
      <c r="AO106" s="24">
        <v>-0.94042792025297961</v>
      </c>
      <c r="AP106" s="24">
        <v>-0.94684843173282529</v>
      </c>
      <c r="AQ106" s="24">
        <v>-0.92715399217845451</v>
      </c>
      <c r="AR106" s="24">
        <v>-0.16378313003753087</v>
      </c>
      <c r="AS106" s="24">
        <v>-0.16782418416713046</v>
      </c>
      <c r="AT106" s="24">
        <v>0.36397454187419631</v>
      </c>
      <c r="AU106" s="24">
        <v>-1.0944256948598106</v>
      </c>
      <c r="AV106" s="24">
        <v>-2.0104617923743135</v>
      </c>
      <c r="AW106" s="24">
        <v>-0.2624449606843165</v>
      </c>
      <c r="CQ106" s="24">
        <v>0.14784800311349683</v>
      </c>
      <c r="CR106" s="24" t="str">
        <f>"0"</f>
        <v>0</v>
      </c>
      <c r="CS106" t="str">
        <f ca="1">IF((OFFSET($A$1, 106 - 1, 95 - 1)) &gt;= (OFFSET($A$1, 55 - 1, 7 - 1)), "1","0")</f>
        <v>0</v>
      </c>
      <c r="CT106">
        <f ca="1" xml:space="preserve"> IF( AND( OFFSET($A$1, 106 - 1, 96 - 1) = "1", OFFSET($A$1, 106 - 1, 97 - 1) = "1" ), 1, IF( AND( OFFSET($A$1, 106 - 1, 96 - 1) = "1", OFFSET($A$1, 106 - 1, 97 - 1) = "0" ), 2, IF( AND( OFFSET($A$1, 106 - 1, 96 - 1) = "0", OFFSET($A$1, 106 - 1, 97 - 1) = "1" ), 3, 4 ) ) )</f>
        <v>4</v>
      </c>
      <c r="CV106" s="24">
        <v>0.92285436546959565</v>
      </c>
      <c r="CW106" s="24" t="str">
        <f>"1"</f>
        <v>1</v>
      </c>
      <c r="CX106" t="str">
        <f ca="1">IF((OFFSET($A$1, 106 - 1, 100 - 1)) &gt;= (OFFSET($A$1, 79 - 1, 7 - 1)), "1","0")</f>
        <v>1</v>
      </c>
      <c r="CY106">
        <f ca="1" xml:space="preserve"> IF( AND( OFFSET($A$1, 106 - 1, 101 - 1) = "1", OFFSET($A$1, 106 - 1, 102 - 1) = "1" ), 1, IF( AND( OFFSET($A$1, 106 - 1, 101 - 1) = "1", OFFSET($A$1, 106 - 1, 102 - 1) = "0" ), 2, IF( AND( OFFSET($A$1, 106 - 1, 101 - 1) = "0", OFFSET($A$1, 106 - 1, 102 - 1) = "1" ), 3, 4 ) ) )</f>
        <v>1</v>
      </c>
    </row>
    <row r="107" spans="2:103" ht="13.8" x14ac:dyDescent="0.3">
      <c r="C107" s="26" t="s">
        <v>720</v>
      </c>
      <c r="D107" s="24">
        <v>0.66625881903964468</v>
      </c>
      <c r="E107" s="24">
        <v>0.77544063979580091</v>
      </c>
      <c r="F107" s="24">
        <v>0.39473006742962158</v>
      </c>
      <c r="G107" s="24">
        <v>6.1793166091940577E-2</v>
      </c>
      <c r="H107" s="24">
        <v>-1.0564176725551853</v>
      </c>
      <c r="I107" s="24">
        <v>-0.70489021995524115</v>
      </c>
      <c r="J107" s="24">
        <v>9.7960936437969173E-2</v>
      </c>
      <c r="K107" s="24">
        <v>1.0214537244593189</v>
      </c>
      <c r="L107" s="24">
        <v>0.98344018292583113</v>
      </c>
      <c r="M107" s="24">
        <v>1.1152339028789862</v>
      </c>
      <c r="N107" s="24">
        <v>-0.63937174323832757</v>
      </c>
      <c r="O107" s="24">
        <v>-0.96442377478393937</v>
      </c>
      <c r="P107" s="24">
        <v>-0.68841201183671852</v>
      </c>
      <c r="Q107" s="24">
        <v>0.37920307551705768</v>
      </c>
      <c r="R107" s="24">
        <v>0.69826374078358966</v>
      </c>
      <c r="S107" s="24">
        <v>0.3139606406757075</v>
      </c>
      <c r="T107" s="24">
        <v>0.73868407228587185</v>
      </c>
      <c r="U107" s="24">
        <v>-0.26815664975789361</v>
      </c>
      <c r="V107" s="24">
        <v>1.1938421912265895</v>
      </c>
      <c r="W107" s="24">
        <v>-0.3930689215339141</v>
      </c>
      <c r="X107" s="24">
        <v>-0.28338035384908511</v>
      </c>
      <c r="Y107" s="24">
        <v>-0.21509009238026539</v>
      </c>
      <c r="Z107" s="24">
        <v>-0.96105349863902512</v>
      </c>
      <c r="AA107" s="24">
        <v>0.38868730448771732</v>
      </c>
      <c r="AB107" s="24">
        <v>6.4914537619720922E-2</v>
      </c>
      <c r="AC107" s="24">
        <v>0.27677781013963032</v>
      </c>
      <c r="AD107" s="24">
        <v>-0.37072916712210496</v>
      </c>
      <c r="AE107" s="24">
        <v>0.59526983347690865</v>
      </c>
      <c r="AF107" s="24">
        <v>0.51336189462854054</v>
      </c>
      <c r="AG107" s="24">
        <v>-1.2639833237181961</v>
      </c>
      <c r="AH107" s="24">
        <v>-0.96956955301075498</v>
      </c>
      <c r="AI107" s="24">
        <v>0.13023123724701544</v>
      </c>
      <c r="AJ107" s="24">
        <v>-0.50468373047885851</v>
      </c>
      <c r="AK107" s="24">
        <v>0.30257569543960205</v>
      </c>
      <c r="AL107" s="24">
        <v>-0.39231790912037751</v>
      </c>
      <c r="AM107" s="24">
        <v>-0.64474634643842144</v>
      </c>
      <c r="AN107" s="24">
        <v>1.1439824042627194</v>
      </c>
      <c r="AO107" s="24">
        <v>1.1303046985959095</v>
      </c>
      <c r="AP107" s="24">
        <v>0.22139134992187109</v>
      </c>
      <c r="AQ107" s="24">
        <v>-1.3469769571930781</v>
      </c>
      <c r="AR107" s="24">
        <v>1.0454671576956636</v>
      </c>
      <c r="AS107" s="24">
        <v>-2.0389695770417426</v>
      </c>
      <c r="AT107" s="24">
        <v>-7.8928198508724401E-2</v>
      </c>
      <c r="AU107" s="24">
        <v>-0.55999874123476279</v>
      </c>
      <c r="AV107" s="24">
        <v>0.77749035085191176</v>
      </c>
      <c r="AW107" s="24">
        <v>-1.6895616793241741</v>
      </c>
      <c r="CQ107" s="24">
        <v>0.10940886702209196</v>
      </c>
      <c r="CR107" s="24" t="str">
        <f>"0"</f>
        <v>0</v>
      </c>
      <c r="CS107" t="str">
        <f ca="1">IF((OFFSET($A$1, 107 - 1, 95 - 1)) &gt;= (OFFSET($A$1, 55 - 1, 7 - 1)), "1","0")</f>
        <v>0</v>
      </c>
      <c r="CT107">
        <f ca="1" xml:space="preserve"> IF( AND( OFFSET($A$1, 107 - 1, 96 - 1) = "1", OFFSET($A$1, 107 - 1, 97 - 1) = "1" ), 1, IF( AND( OFFSET($A$1, 107 - 1, 96 - 1) = "1", OFFSET($A$1, 107 - 1, 97 - 1) = "0" ), 2, IF( AND( OFFSET($A$1, 107 - 1, 96 - 1) = "0", OFFSET($A$1, 107 - 1, 97 - 1) = "1" ), 3, 4 ) ) )</f>
        <v>4</v>
      </c>
      <c r="CV107" s="24">
        <v>6.1707797255059135E-2</v>
      </c>
      <c r="CW107" s="24" t="str">
        <f>"0"</f>
        <v>0</v>
      </c>
      <c r="CX107" t="str">
        <f ca="1">IF((OFFSET($A$1, 107 - 1, 100 - 1)) &gt;= (OFFSET($A$1, 79 - 1, 7 - 1)), "1","0")</f>
        <v>0</v>
      </c>
      <c r="CY107">
        <f ca="1" xml:space="preserve"> IF( AND( OFFSET($A$1, 107 - 1, 101 - 1) = "1", OFFSET($A$1, 107 - 1, 102 - 1) = "1" ), 1, IF( AND( OFFSET($A$1, 107 - 1, 101 - 1) = "1", OFFSET($A$1, 107 - 1, 102 - 1) = "0" ), 2, IF( AND( OFFSET($A$1, 107 - 1, 101 - 1) = "0", OFFSET($A$1, 107 - 1, 102 - 1) = "1" ), 3, 4 ) ) )</f>
        <v>4</v>
      </c>
    </row>
    <row r="108" spans="2:103" ht="13.8" x14ac:dyDescent="0.3">
      <c r="C108" s="26" t="s">
        <v>721</v>
      </c>
      <c r="D108" s="24">
        <v>0.48578222047539549</v>
      </c>
      <c r="E108" s="24">
        <v>4.6509441556940943E-2</v>
      </c>
      <c r="F108" s="24">
        <v>-0.10252596365252978</v>
      </c>
      <c r="G108" s="24">
        <v>-0.55577723066405782</v>
      </c>
      <c r="H108" s="24">
        <v>2.420663846006978E-2</v>
      </c>
      <c r="I108" s="24">
        <v>0.69525013551825487</v>
      </c>
      <c r="J108" s="24">
        <v>-7.7195980296735328E-2</v>
      </c>
      <c r="K108" s="24">
        <v>-0.2487757138083127</v>
      </c>
      <c r="L108" s="24">
        <v>0.20459883233630083</v>
      </c>
      <c r="M108" s="24">
        <v>0.11152830080235959</v>
      </c>
      <c r="N108" s="24">
        <v>-0.35376039514942692</v>
      </c>
      <c r="O108" s="24">
        <v>1.7011112840419323E-2</v>
      </c>
      <c r="P108" s="24">
        <v>0.48917201737677546</v>
      </c>
      <c r="Q108" s="24">
        <v>-4.4129074441585266E-2</v>
      </c>
      <c r="R108" s="24">
        <v>-0.16460980719407539</v>
      </c>
      <c r="S108" s="24">
        <v>0.60457222117477183</v>
      </c>
      <c r="T108" s="24">
        <v>0.12359071772482891</v>
      </c>
      <c r="U108" s="24">
        <v>8.4360355000968557E-2</v>
      </c>
      <c r="V108" s="24">
        <v>-0.18682202125525979</v>
      </c>
      <c r="W108" s="24">
        <v>-3.2695623058653624E-2</v>
      </c>
      <c r="X108" s="24">
        <v>-0.2685405344454338</v>
      </c>
      <c r="Y108" s="24">
        <v>0.12385691748603139</v>
      </c>
      <c r="Z108" s="24">
        <v>0.47345212873484566</v>
      </c>
      <c r="AA108" s="24">
        <v>-0.26927248825034167</v>
      </c>
      <c r="AB108" s="24">
        <v>0.54038112674311167</v>
      </c>
      <c r="AC108" s="24">
        <v>-0.24532089619818581</v>
      </c>
      <c r="AD108" s="24">
        <v>-0.6526933268278694</v>
      </c>
      <c r="AE108" s="24">
        <v>-0.13854551100678586</v>
      </c>
      <c r="AF108" s="24">
        <v>-5.9344005974075492E-2</v>
      </c>
      <c r="AG108" s="24">
        <v>0.51492841810648249</v>
      </c>
      <c r="AH108" s="24">
        <v>0.15772129344270447</v>
      </c>
      <c r="AI108" s="24">
        <v>0.29099011294395577</v>
      </c>
      <c r="AJ108" s="24">
        <v>6.5206389190420955E-3</v>
      </c>
      <c r="AK108" s="24">
        <v>-0.50127943142954523</v>
      </c>
      <c r="AL108" s="24">
        <v>-0.39730361678581327</v>
      </c>
      <c r="AM108" s="24">
        <v>0.17239479403919175</v>
      </c>
      <c r="AN108" s="24">
        <v>-7.1569205182683407E-2</v>
      </c>
      <c r="AO108" s="24">
        <v>-0.1852473573391519</v>
      </c>
      <c r="AP108" s="24">
        <v>-1.5652171023113112E-2</v>
      </c>
      <c r="AQ108" s="24">
        <v>-5.8482073797638777E-2</v>
      </c>
      <c r="AR108" s="24">
        <v>-0.37836896474218751</v>
      </c>
      <c r="AS108" s="24">
        <v>-0.302167735559142</v>
      </c>
      <c r="AT108" s="24">
        <v>-0.74096418195155378</v>
      </c>
      <c r="AU108" s="24">
        <v>-0.66414129710023162</v>
      </c>
      <c r="AV108" s="24">
        <v>-6.9632355441175381E-2</v>
      </c>
      <c r="AW108" s="24">
        <v>0.35361783490209014</v>
      </c>
      <c r="CQ108" s="24">
        <v>0.19268626954848209</v>
      </c>
      <c r="CR108" s="24" t="str">
        <f>"0"</f>
        <v>0</v>
      </c>
      <c r="CS108" t="str">
        <f ca="1">IF((OFFSET($A$1, 108 - 1, 95 - 1)) &gt;= (OFFSET($A$1, 55 - 1, 7 - 1)), "1","0")</f>
        <v>0</v>
      </c>
      <c r="CT108">
        <f ca="1" xml:space="preserve"> IF( AND( OFFSET($A$1, 108 - 1, 96 - 1) = "1", OFFSET($A$1, 108 - 1, 97 - 1) = "1" ), 1, IF( AND( OFFSET($A$1, 108 - 1, 96 - 1) = "1", OFFSET($A$1, 108 - 1, 97 - 1) = "0" ), 2, IF( AND( OFFSET($A$1, 108 - 1, 96 - 1) = "0", OFFSET($A$1, 108 - 1, 97 - 1) = "1" ), 3, 4 ) ) )</f>
        <v>4</v>
      </c>
      <c r="CV108" s="24">
        <v>0.91609209277448</v>
      </c>
      <c r="CW108" s="24" t="str">
        <f>"1"</f>
        <v>1</v>
      </c>
      <c r="CX108" t="str">
        <f ca="1">IF((OFFSET($A$1, 108 - 1, 100 - 1)) &gt;= (OFFSET($A$1, 79 - 1, 7 - 1)), "1","0")</f>
        <v>1</v>
      </c>
      <c r="CY108">
        <f ca="1" xml:space="preserve"> IF( AND( OFFSET($A$1, 108 - 1, 101 - 1) = "1", OFFSET($A$1, 108 - 1, 102 - 1) = "1" ), 1, IF( AND( OFFSET($A$1, 108 - 1, 101 - 1) = "1", OFFSET($A$1, 108 - 1, 102 - 1) = "0" ), 2, IF( AND( OFFSET($A$1, 108 - 1, 101 - 1) = "0", OFFSET($A$1, 108 - 1, 102 - 1) = "1" ), 3, 4 ) ) )</f>
        <v>1</v>
      </c>
    </row>
    <row r="109" spans="2:103" ht="13.8" x14ac:dyDescent="0.3">
      <c r="C109" s="26" t="s">
        <v>722</v>
      </c>
      <c r="D109" s="24">
        <v>0.72802420569884696</v>
      </c>
      <c r="E109" s="24">
        <v>0.78358363984176238</v>
      </c>
      <c r="F109" s="24">
        <v>-0.5601173603634928</v>
      </c>
      <c r="G109" s="24">
        <v>0.2243114294616923</v>
      </c>
      <c r="H109" s="24">
        <v>-0.50330185524120874</v>
      </c>
      <c r="I109" s="24">
        <v>0.74165648942072837</v>
      </c>
      <c r="J109" s="24">
        <v>0.38312709614163565</v>
      </c>
      <c r="K109" s="24">
        <v>0.8154674356633741</v>
      </c>
      <c r="L109" s="24">
        <v>-1.0154902783014377</v>
      </c>
      <c r="M109" s="24">
        <v>0.61792647147246971</v>
      </c>
      <c r="N109" s="24">
        <v>-0.10983050526729438</v>
      </c>
      <c r="O109" s="24">
        <v>-0.30504358354299771</v>
      </c>
      <c r="P109" s="24">
        <v>0.17384757846437968</v>
      </c>
      <c r="Q109" s="24">
        <v>-0.40780314924048322</v>
      </c>
      <c r="R109" s="24">
        <v>0.55491003109349724</v>
      </c>
      <c r="S109" s="24">
        <v>0.12418626579163554</v>
      </c>
      <c r="T109" s="24">
        <v>4.7079984786685819E-2</v>
      </c>
      <c r="U109" s="24">
        <v>-0.50262154071075205</v>
      </c>
      <c r="V109" s="24">
        <v>-0.69874009632607992</v>
      </c>
      <c r="W109" s="24">
        <v>0.10981804728551979</v>
      </c>
      <c r="X109" s="24">
        <v>-0.66431669484973943</v>
      </c>
      <c r="Y109" s="24">
        <v>0.39535320888937586</v>
      </c>
      <c r="Z109" s="24">
        <v>0.67087585823144502</v>
      </c>
      <c r="AA109" s="24">
        <v>-0.28865856105367677</v>
      </c>
      <c r="AB109" s="24">
        <v>-0.35126825763832759</v>
      </c>
      <c r="AC109" s="24">
        <v>4.102605809409314E-2</v>
      </c>
      <c r="AD109" s="24">
        <v>-0.17870667316369718</v>
      </c>
      <c r="AE109" s="24">
        <v>0.19611785965174577</v>
      </c>
      <c r="AF109" s="24">
        <v>1.7051661827152481E-2</v>
      </c>
      <c r="AG109" s="24">
        <v>0.39146108405118807</v>
      </c>
      <c r="AH109" s="24">
        <v>-0.68172318336130999</v>
      </c>
      <c r="AI109" s="24">
        <v>0.41630452797476425</v>
      </c>
      <c r="AJ109" s="24">
        <v>0.53741025595122405</v>
      </c>
      <c r="AK109" s="24">
        <v>0.72153302002481456</v>
      </c>
      <c r="AL109" s="24">
        <v>0.13407412506367447</v>
      </c>
      <c r="AM109" s="24">
        <v>9.824686191223439E-3</v>
      </c>
      <c r="AN109" s="24">
        <v>-0.29208895068935614</v>
      </c>
      <c r="AO109" s="24">
        <v>0.69244452850505367</v>
      </c>
      <c r="AP109" s="24">
        <v>5.8202812965935574E-2</v>
      </c>
      <c r="AQ109" s="24">
        <v>-0.7338906936637577</v>
      </c>
      <c r="AR109" s="24">
        <v>0.57190322927626047</v>
      </c>
      <c r="AS109" s="24">
        <v>0.47315078448231362</v>
      </c>
      <c r="AT109" s="24">
        <v>4.8618029723224217E-2</v>
      </c>
      <c r="AU109" s="24">
        <v>-0.96293788819132609</v>
      </c>
      <c r="AV109" s="24">
        <v>-0.26715073273466006</v>
      </c>
      <c r="AW109" s="24">
        <v>-0.79738186270229339</v>
      </c>
      <c r="CQ109" s="24">
        <v>0.38991972833225974</v>
      </c>
      <c r="CR109" s="24" t="str">
        <f>"0"</f>
        <v>0</v>
      </c>
      <c r="CS109" t="str">
        <f ca="1">IF((OFFSET($A$1, 109 - 1, 95 - 1)) &gt;= (OFFSET($A$1, 55 - 1, 7 - 1)), "1","0")</f>
        <v>0</v>
      </c>
      <c r="CT109">
        <f ca="1" xml:space="preserve"> IF( AND( OFFSET($A$1, 109 - 1, 96 - 1) = "1", OFFSET($A$1, 109 - 1, 97 - 1) = "1" ), 1, IF( AND( OFFSET($A$1, 109 - 1, 96 - 1) = "1", OFFSET($A$1, 109 - 1, 97 - 1) = "0" ), 2, IF( AND( OFFSET($A$1, 109 - 1, 96 - 1) = "0", OFFSET($A$1, 109 - 1, 97 - 1) = "1" ), 3, 4 ) ) )</f>
        <v>4</v>
      </c>
      <c r="CV109" s="24">
        <v>0.99027452946435157</v>
      </c>
      <c r="CW109" s="24" t="str">
        <f>"1"</f>
        <v>1</v>
      </c>
      <c r="CX109" t="str">
        <f ca="1">IF((OFFSET($A$1, 109 - 1, 100 - 1)) &gt;= (OFFSET($A$1, 79 - 1, 7 - 1)), "1","0")</f>
        <v>1</v>
      </c>
      <c r="CY109">
        <f ca="1" xml:space="preserve"> IF( AND( OFFSET($A$1, 109 - 1, 101 - 1) = "1", OFFSET($A$1, 109 - 1, 102 - 1) = "1" ), 1, IF( AND( OFFSET($A$1, 109 - 1, 101 - 1) = "1", OFFSET($A$1, 109 - 1, 102 - 1) = "0" ), 2, IF( AND( OFFSET($A$1, 109 - 1, 101 - 1) = "0", OFFSET($A$1, 109 - 1, 102 - 1) = "1" ), 3, 4 ) ) )</f>
        <v>1</v>
      </c>
    </row>
    <row r="110" spans="2:103" ht="13.8" x14ac:dyDescent="0.3">
      <c r="C110" s="26" t="s">
        <v>723</v>
      </c>
      <c r="D110" s="24">
        <v>0.55107919969974206</v>
      </c>
      <c r="E110" s="24">
        <v>1.3373730215908695</v>
      </c>
      <c r="F110" s="24">
        <v>-1.0147209257973751</v>
      </c>
      <c r="G110" s="24">
        <v>-0.45794872022840594</v>
      </c>
      <c r="H110" s="24">
        <v>0.11565686560775464</v>
      </c>
      <c r="I110" s="24">
        <v>0.99226281520397264</v>
      </c>
      <c r="J110" s="24">
        <v>-0.84368352708755767</v>
      </c>
      <c r="K110" s="24">
        <v>1.0892991441328908</v>
      </c>
      <c r="L110" s="24">
        <v>-1.8914330412573301</v>
      </c>
      <c r="M110" s="24">
        <v>-0.27132778998102092</v>
      </c>
      <c r="N110" s="24">
        <v>1.5330333628805808</v>
      </c>
      <c r="O110" s="24">
        <v>-5.2573729873529587E-3</v>
      </c>
      <c r="P110" s="24">
        <v>-0.95223608696671824</v>
      </c>
      <c r="Q110" s="24">
        <v>-0.46748142167807033</v>
      </c>
      <c r="R110" s="24">
        <v>-0.3414719647985886</v>
      </c>
      <c r="S110" s="24">
        <v>-0.50594216573485262</v>
      </c>
      <c r="T110" s="24">
        <v>-0.53493774583398024</v>
      </c>
      <c r="U110" s="24">
        <v>-0.22817647488257081</v>
      </c>
      <c r="V110" s="24">
        <v>0.26421086541074473</v>
      </c>
      <c r="W110" s="24">
        <v>0.4057232848429842</v>
      </c>
      <c r="X110" s="24">
        <v>-1.6431869536072695E-2</v>
      </c>
      <c r="Y110" s="24">
        <v>2.1340261570169081E-2</v>
      </c>
      <c r="Z110" s="24">
        <v>-0.13478060874090178</v>
      </c>
      <c r="AA110" s="24">
        <v>-0.65820423937241923</v>
      </c>
      <c r="AB110" s="24">
        <v>1.0262858408399815</v>
      </c>
      <c r="AC110" s="24">
        <v>-8.3950935512127865E-3</v>
      </c>
      <c r="AD110" s="24">
        <v>0.40278337358819333</v>
      </c>
      <c r="AE110" s="24">
        <v>-0.82302821595374298</v>
      </c>
      <c r="AF110" s="24">
        <v>-0.35530291825540078</v>
      </c>
      <c r="AG110" s="24">
        <v>0.89452291764935188</v>
      </c>
      <c r="AH110" s="24">
        <v>0.18891191574851685</v>
      </c>
      <c r="AI110" s="24">
        <v>0.30146742395904025</v>
      </c>
      <c r="AJ110" s="24">
        <v>0.37087984050938733</v>
      </c>
      <c r="AK110" s="24">
        <v>-0.71117011242232042</v>
      </c>
      <c r="AL110" s="24">
        <v>-0.41143092568317657</v>
      </c>
      <c r="AM110" s="24">
        <v>0.31380516526468977</v>
      </c>
      <c r="AN110" s="24">
        <v>-0.6510847740411817</v>
      </c>
      <c r="AO110" s="24">
        <v>0.60770539454716732</v>
      </c>
      <c r="AP110" s="24">
        <v>0.22495958546902264</v>
      </c>
      <c r="AQ110" s="24">
        <v>0.29836276065540612</v>
      </c>
      <c r="AR110" s="24">
        <v>0.74022327970581092</v>
      </c>
      <c r="AS110" s="24">
        <v>0.29042118591535337</v>
      </c>
      <c r="AT110" s="24">
        <v>-0.67902411411784636</v>
      </c>
      <c r="AU110" s="24">
        <v>0.24812521605529869</v>
      </c>
      <c r="AV110" s="24">
        <v>-0.22950132185055946</v>
      </c>
      <c r="AW110" s="24">
        <v>0.9960578678279759</v>
      </c>
      <c r="CQ110" s="24">
        <v>0.99672730297374634</v>
      </c>
      <c r="CR110" s="24" t="str">
        <f t="shared" ref="CR110:CR126" si="7">"1"</f>
        <v>1</v>
      </c>
      <c r="CS110" t="str">
        <f ca="1">IF((OFFSET($A$1, 110 - 1, 95 - 1)) &gt;= (OFFSET($A$1, 55 - 1, 7 - 1)), "1","0")</f>
        <v>1</v>
      </c>
      <c r="CT110">
        <f ca="1" xml:space="preserve"> IF( AND( OFFSET($A$1, 110 - 1, 96 - 1) = "1", OFFSET($A$1, 110 - 1, 97 - 1) = "1" ), 1, IF( AND( OFFSET($A$1, 110 - 1, 96 - 1) = "1", OFFSET($A$1, 110 - 1, 97 - 1) = "0" ), 2, IF( AND( OFFSET($A$1, 110 - 1, 96 - 1) = "0", OFFSET($A$1, 110 - 1, 97 - 1) = "1" ), 3, 4 ) ) )</f>
        <v>1</v>
      </c>
      <c r="CV110" s="24">
        <v>0.93235392635218739</v>
      </c>
      <c r="CW110" s="24" t="str">
        <f>"0"</f>
        <v>0</v>
      </c>
      <c r="CX110" t="str">
        <f ca="1">IF((OFFSET($A$1, 110 - 1, 100 - 1)) &gt;= (OFFSET($A$1, 79 - 1, 7 - 1)), "1","0")</f>
        <v>1</v>
      </c>
      <c r="CY110">
        <f ca="1" xml:space="preserve"> IF( AND( OFFSET($A$1, 110 - 1, 101 - 1) = "1", OFFSET($A$1, 110 - 1, 102 - 1) = "1" ), 1, IF( AND( OFFSET($A$1, 110 - 1, 101 - 1) = "1", OFFSET($A$1, 110 - 1, 102 - 1) = "0" ), 2, IF( AND( OFFSET($A$1, 110 - 1, 101 - 1) = "0", OFFSET($A$1, 110 - 1, 102 - 1) = "1" ), 3, 4 ) ) )</f>
        <v>3</v>
      </c>
    </row>
    <row r="111" spans="2:103" ht="13.8" x14ac:dyDescent="0.3">
      <c r="C111" s="26" t="s">
        <v>724</v>
      </c>
      <c r="D111" s="24">
        <v>0.1882315534482861</v>
      </c>
      <c r="E111" s="24">
        <v>-4.6808903007964198E-2</v>
      </c>
      <c r="F111" s="24">
        <v>-6.8215683607358954E-2</v>
      </c>
      <c r="G111" s="24">
        <v>-0.35928780935569787</v>
      </c>
      <c r="H111" s="24">
        <v>2.4361728484878893E-2</v>
      </c>
      <c r="I111" s="24">
        <v>0.28864061928936458</v>
      </c>
      <c r="J111" s="24">
        <v>-0.1092538972102442</v>
      </c>
      <c r="K111" s="24">
        <v>-8.2738430652602404E-2</v>
      </c>
      <c r="L111" s="24">
        <v>0.1024069759811761</v>
      </c>
      <c r="M111" s="24">
        <v>-0.20428540700285788</v>
      </c>
      <c r="N111" s="24">
        <v>4.1575752948694415E-2</v>
      </c>
      <c r="O111" s="24">
        <v>-0.55104091791625454</v>
      </c>
      <c r="P111" s="24">
        <v>-0.1307161469111576</v>
      </c>
      <c r="Q111" s="24">
        <v>-0.16510314237792056</v>
      </c>
      <c r="R111" s="24">
        <v>-3.3917944493035805E-2</v>
      </c>
      <c r="S111" s="24">
        <v>-9.5949934117156896E-2</v>
      </c>
      <c r="T111" s="24">
        <v>-0.14428110072776876</v>
      </c>
      <c r="U111" s="24">
        <v>-3.8026122981551558E-2</v>
      </c>
      <c r="V111" s="24">
        <v>0.33562793040758537</v>
      </c>
      <c r="W111" s="24">
        <v>-0.33654088593617854</v>
      </c>
      <c r="X111" s="24">
        <v>0.25699951869507415</v>
      </c>
      <c r="Y111" s="24">
        <v>0.20994668675630326</v>
      </c>
      <c r="Z111" s="24">
        <v>0.10226473933086795</v>
      </c>
      <c r="AA111" s="24">
        <v>6.315732794558461E-2</v>
      </c>
      <c r="AB111" s="24">
        <v>0.27896889249318269</v>
      </c>
      <c r="AC111" s="24">
        <v>6.8334589561219683E-2</v>
      </c>
      <c r="AD111" s="24">
        <v>-4.5777947019054938E-2</v>
      </c>
      <c r="AE111" s="24">
        <v>-0.11764776592039444</v>
      </c>
      <c r="AF111" s="24">
        <v>4.1864062004919461E-2</v>
      </c>
      <c r="AG111" s="24">
        <v>8.8742807514150729E-2</v>
      </c>
      <c r="AH111" s="24">
        <v>1.7723666110185988E-2</v>
      </c>
      <c r="AI111" s="24">
        <v>0.22214413631975213</v>
      </c>
      <c r="AJ111" s="24">
        <v>0.21516820953412427</v>
      </c>
      <c r="AK111" s="24">
        <v>-3.7173834971358746E-2</v>
      </c>
      <c r="AL111" s="24">
        <v>-0.22979226175837597</v>
      </c>
      <c r="AM111" s="24">
        <v>-0.27429063618194899</v>
      </c>
      <c r="AN111" s="24">
        <v>0.16392131099991125</v>
      </c>
      <c r="AO111" s="24">
        <v>-0.30811171642503132</v>
      </c>
      <c r="AP111" s="24">
        <v>0.35293064271249952</v>
      </c>
      <c r="AQ111" s="24">
        <v>-7.0051881244015943E-2</v>
      </c>
      <c r="AR111" s="24">
        <v>0.14374595704803103</v>
      </c>
      <c r="AS111" s="24">
        <v>-0.28247563131057313</v>
      </c>
      <c r="AT111" s="24">
        <v>-4.5143262076221435E-2</v>
      </c>
      <c r="AU111" s="24">
        <v>-5.8500914868446059E-2</v>
      </c>
      <c r="AV111" s="24">
        <v>-0.27777288306670939</v>
      </c>
      <c r="AW111" s="24">
        <v>-0.1913686704624406</v>
      </c>
      <c r="CQ111" s="24">
        <v>0.97534202569590789</v>
      </c>
      <c r="CR111" s="24" t="str">
        <f t="shared" si="7"/>
        <v>1</v>
      </c>
      <c r="CS111" t="str">
        <f ca="1">IF((OFFSET($A$1, 111 - 1, 95 - 1)) &gt;= (OFFSET($A$1, 55 - 1, 7 - 1)), "1","0")</f>
        <v>1</v>
      </c>
      <c r="CT111">
        <f ca="1" xml:space="preserve"> IF( AND( OFFSET($A$1, 111 - 1, 96 - 1) = "1", OFFSET($A$1, 111 - 1, 97 - 1) = "1" ), 1, IF( AND( OFFSET($A$1, 111 - 1, 96 - 1) = "1", OFFSET($A$1, 111 - 1, 97 - 1) = "0" ), 2, IF( AND( OFFSET($A$1, 111 - 1, 96 - 1) = "0", OFFSET($A$1, 111 - 1, 97 - 1) = "1" ), 3, 4 ) ) )</f>
        <v>1</v>
      </c>
      <c r="CV111" s="24">
        <v>0.97899068560095637</v>
      </c>
      <c r="CW111" s="24" t="str">
        <f>"0"</f>
        <v>0</v>
      </c>
      <c r="CX111" t="str">
        <f ca="1">IF((OFFSET($A$1, 111 - 1, 100 - 1)) &gt;= (OFFSET($A$1, 79 - 1, 7 - 1)), "1","0")</f>
        <v>1</v>
      </c>
      <c r="CY111">
        <f ca="1" xml:space="preserve"> IF( AND( OFFSET($A$1, 111 - 1, 101 - 1) = "1", OFFSET($A$1, 111 - 1, 102 - 1) = "1" ), 1, IF( AND( OFFSET($A$1, 111 - 1, 101 - 1) = "1", OFFSET($A$1, 111 - 1, 102 - 1) = "0" ), 2, IF( AND( OFFSET($A$1, 111 - 1, 101 - 1) = "0", OFFSET($A$1, 111 - 1, 102 - 1) = "1" ), 3, 4 ) ) )</f>
        <v>3</v>
      </c>
    </row>
    <row r="112" spans="2:103" ht="13.8" x14ac:dyDescent="0.3">
      <c r="C112" s="26" t="s">
        <v>725</v>
      </c>
      <c r="D112" s="24">
        <v>-1.3835847433319799</v>
      </c>
      <c r="E112" s="24">
        <v>-0.70522733362004453</v>
      </c>
      <c r="F112" s="24">
        <v>0.89787969814295021</v>
      </c>
      <c r="G112" s="24">
        <v>0.92133329697362154</v>
      </c>
      <c r="H112" s="24">
        <v>-1.0384577990419122</v>
      </c>
      <c r="I112" s="24">
        <v>1.0393356380641046</v>
      </c>
      <c r="J112" s="24">
        <v>0.73169200096935882</v>
      </c>
      <c r="K112" s="24">
        <v>-1.5571076520269864</v>
      </c>
      <c r="L112" s="24">
        <v>-0.21424232755796518</v>
      </c>
      <c r="M112" s="24">
        <v>0.42447127159786296</v>
      </c>
      <c r="N112" s="24">
        <v>2.030506119728424</v>
      </c>
      <c r="O112" s="24">
        <v>0.67772557801165234</v>
      </c>
      <c r="P112" s="24">
        <v>-0.73416723131239092</v>
      </c>
      <c r="Q112" s="24">
        <v>1.1519055945047314</v>
      </c>
      <c r="R112" s="24">
        <v>0.51076796001964242</v>
      </c>
      <c r="S112" s="24">
        <v>-1.7562031462876737</v>
      </c>
      <c r="T112" s="24">
        <v>0.87816444949055816</v>
      </c>
      <c r="U112" s="24">
        <v>6.5200128362070731E-2</v>
      </c>
      <c r="V112" s="24">
        <v>-9.3839079404584302E-2</v>
      </c>
      <c r="W112" s="24">
        <v>0.17973655033845173</v>
      </c>
      <c r="X112" s="24">
        <v>0.95750007713001573</v>
      </c>
      <c r="Y112" s="24">
        <v>-1.3130168221492173</v>
      </c>
      <c r="Z112" s="24">
        <v>0.7528611024787234</v>
      </c>
      <c r="AA112" s="24">
        <v>0.44193264739212584</v>
      </c>
      <c r="AB112" s="24">
        <v>-2.0064284432401389</v>
      </c>
      <c r="AC112" s="24">
        <v>-1.8544128997728166</v>
      </c>
      <c r="AD112" s="24">
        <v>0.43597262817500626</v>
      </c>
      <c r="AE112" s="24">
        <v>0.17998960298796424</v>
      </c>
      <c r="AF112" s="24">
        <v>8.385317565924047E-2</v>
      </c>
      <c r="AG112" s="24">
        <v>-0.10057870631738318</v>
      </c>
      <c r="AH112" s="24">
        <v>-2.2393137094309741</v>
      </c>
      <c r="AI112" s="24">
        <v>-0.14785458557987788</v>
      </c>
      <c r="AJ112" s="24">
        <v>-0.10301994926009196</v>
      </c>
      <c r="AK112" s="24">
        <v>-0.78280141396719061</v>
      </c>
      <c r="AL112" s="24">
        <v>-0.12754248597342843</v>
      </c>
      <c r="AM112" s="24">
        <v>-0.49796465702957859</v>
      </c>
      <c r="AN112" s="24">
        <v>-0.69432724903849385</v>
      </c>
      <c r="AO112" s="24">
        <v>-5.4475151778175933E-2</v>
      </c>
      <c r="AP112" s="24">
        <v>0.44152568067263381</v>
      </c>
      <c r="AQ112" s="24">
        <v>-1.1644467727100498</v>
      </c>
      <c r="AR112" s="24">
        <v>1.4343738281886977</v>
      </c>
      <c r="AS112" s="24">
        <v>0.67746123106229805</v>
      </c>
      <c r="AT112" s="24">
        <v>-0.28857130463342351</v>
      </c>
      <c r="AU112" s="24">
        <v>-0.3217246782586386</v>
      </c>
      <c r="AV112" s="24">
        <v>-1.6133097477499434</v>
      </c>
      <c r="AW112" s="24">
        <v>1.7480446475388893</v>
      </c>
      <c r="CQ112" s="24">
        <v>0.9954378482596169</v>
      </c>
      <c r="CR112" s="24" t="str">
        <f t="shared" si="7"/>
        <v>1</v>
      </c>
      <c r="CS112" t="str">
        <f ca="1">IF((OFFSET($A$1, 112 - 1, 95 - 1)) &gt;= (OFFSET($A$1, 55 - 1, 7 - 1)), "1","0")</f>
        <v>1</v>
      </c>
      <c r="CT112">
        <f ca="1" xml:space="preserve"> IF( AND( OFFSET($A$1, 112 - 1, 96 - 1) = "1", OFFSET($A$1, 112 - 1, 97 - 1) = "1" ), 1, IF( AND( OFFSET($A$1, 112 - 1, 96 - 1) = "1", OFFSET($A$1, 112 - 1, 97 - 1) = "0" ), 2, IF( AND( OFFSET($A$1, 112 - 1, 96 - 1) = "0", OFFSET($A$1, 112 - 1, 97 - 1) = "1" ), 3, 4 ) ) )</f>
        <v>1</v>
      </c>
      <c r="CV112" s="24">
        <v>5.4525833920715486E-2</v>
      </c>
      <c r="CW112" s="24" t="str">
        <f>"1"</f>
        <v>1</v>
      </c>
      <c r="CX112" t="str">
        <f ca="1">IF((OFFSET($A$1, 112 - 1, 100 - 1)) &gt;= (OFFSET($A$1, 79 - 1, 7 - 1)), "1","0")</f>
        <v>0</v>
      </c>
      <c r="CY112">
        <f ca="1" xml:space="preserve"> IF( AND( OFFSET($A$1, 112 - 1, 101 - 1) = "1", OFFSET($A$1, 112 - 1, 102 - 1) = "1" ), 1, IF( AND( OFFSET($A$1, 112 - 1, 101 - 1) = "1", OFFSET($A$1, 112 - 1, 102 - 1) = "0" ), 2, IF( AND( OFFSET($A$1, 112 - 1, 101 - 1) = "0", OFFSET($A$1, 112 - 1, 102 - 1) = "1" ), 3, 4 ) ) )</f>
        <v>2</v>
      </c>
    </row>
    <row r="113" spans="3:103" ht="13.8" x14ac:dyDescent="0.3">
      <c r="C113" s="26" t="s">
        <v>726</v>
      </c>
      <c r="D113" s="24">
        <v>7.7951794924756318E-2</v>
      </c>
      <c r="E113" s="24">
        <v>-0.18039345671345997</v>
      </c>
      <c r="F113" s="24">
        <v>0.23957148218835364</v>
      </c>
      <c r="G113" s="24">
        <v>-0.45829318696171756</v>
      </c>
      <c r="H113" s="24">
        <v>9.3142708845889328E-3</v>
      </c>
      <c r="I113" s="24">
        <v>2.9722409738599551E-2</v>
      </c>
      <c r="J113" s="24">
        <v>0.29872052035432439</v>
      </c>
      <c r="K113" s="24">
        <v>0.46154543444303409</v>
      </c>
      <c r="L113" s="24">
        <v>-0.17787977136100513</v>
      </c>
      <c r="M113" s="24">
        <v>0.62581774340597973</v>
      </c>
      <c r="N113" s="24">
        <v>0.48300921468643893</v>
      </c>
      <c r="O113" s="24">
        <v>-0.33313280646668636</v>
      </c>
      <c r="P113" s="24">
        <v>0.40764611194821626</v>
      </c>
      <c r="Q113" s="24">
        <v>6.4531936143429017E-2</v>
      </c>
      <c r="R113" s="24">
        <v>5.8814463495615615E-2</v>
      </c>
      <c r="S113" s="24">
        <v>-0.5756635937083332</v>
      </c>
      <c r="T113" s="24">
        <v>-0.40626229266792513</v>
      </c>
      <c r="U113" s="24">
        <v>-6.6335960633343068E-3</v>
      </c>
      <c r="V113" s="24">
        <v>-3.4706580936560205E-2</v>
      </c>
      <c r="W113" s="24">
        <v>0.53541949914714293</v>
      </c>
      <c r="X113" s="24">
        <v>0.27217942155462926</v>
      </c>
      <c r="Y113" s="24">
        <v>0.51639166914696855</v>
      </c>
      <c r="Z113" s="24">
        <v>-0.41058953709806206</v>
      </c>
      <c r="AA113" s="24">
        <v>5.1270467688818142E-2</v>
      </c>
      <c r="AB113" s="24">
        <v>-0.44837942544193615</v>
      </c>
      <c r="AC113" s="24">
        <v>0.26055810216144837</v>
      </c>
      <c r="AD113" s="24">
        <v>-0.31291084468629021</v>
      </c>
      <c r="AE113" s="24">
        <v>-2.7121272564819936E-2</v>
      </c>
      <c r="AF113" s="24">
        <v>0.16956121091943041</v>
      </c>
      <c r="AG113" s="24">
        <v>-0.20177467174081873</v>
      </c>
      <c r="AH113" s="24">
        <v>0.11827620018664289</v>
      </c>
      <c r="AI113" s="24">
        <v>-0.29940273274439522</v>
      </c>
      <c r="AJ113" s="24">
        <v>0.23140494353779323</v>
      </c>
      <c r="AK113" s="24">
        <v>0.1695953508460509</v>
      </c>
      <c r="AL113" s="24">
        <v>0.30264439810577676</v>
      </c>
      <c r="AM113" s="24">
        <v>-0.44722386590763169</v>
      </c>
      <c r="AN113" s="24">
        <v>-0.25426408019981489</v>
      </c>
      <c r="AO113" s="24">
        <v>0.92625883473850867</v>
      </c>
      <c r="AP113" s="24">
        <v>-4.9276878032710122E-2</v>
      </c>
      <c r="AQ113" s="24">
        <v>-0.31084517034190395</v>
      </c>
      <c r="AR113" s="24">
        <v>0.50995864110493883</v>
      </c>
      <c r="AS113" s="24">
        <v>0.15393228274217069</v>
      </c>
      <c r="AT113" s="24">
        <v>-0.13439770186858319</v>
      </c>
      <c r="AU113" s="24">
        <v>-0.18384798825936607</v>
      </c>
      <c r="AV113" s="24">
        <v>0.22444639405914521</v>
      </c>
      <c r="AW113" s="24">
        <v>-0.55982427477880392</v>
      </c>
      <c r="CQ113" s="24">
        <v>0.96205004305638053</v>
      </c>
      <c r="CR113" s="24" t="str">
        <f t="shared" si="7"/>
        <v>1</v>
      </c>
      <c r="CS113" t="str">
        <f ca="1">IF((OFFSET($A$1, 113 - 1, 95 - 1)) &gt;= (OFFSET($A$1, 55 - 1, 7 - 1)), "1","0")</f>
        <v>1</v>
      </c>
      <c r="CT113">
        <f ca="1" xml:space="preserve"> IF( AND( OFFSET($A$1, 113 - 1, 96 - 1) = "1", OFFSET($A$1, 113 - 1, 97 - 1) = "1" ), 1, IF( AND( OFFSET($A$1, 113 - 1, 96 - 1) = "1", OFFSET($A$1, 113 - 1, 97 - 1) = "0" ), 2, IF( AND( OFFSET($A$1, 113 - 1, 96 - 1) = "0", OFFSET($A$1, 113 - 1, 97 - 1) = "1" ), 3, 4 ) ) )</f>
        <v>1</v>
      </c>
      <c r="CV113" s="24">
        <v>2.052045413053602E-2</v>
      </c>
      <c r="CW113" s="24" t="str">
        <f>"0"</f>
        <v>0</v>
      </c>
      <c r="CX113" t="str">
        <f ca="1">IF((OFFSET($A$1, 113 - 1, 100 - 1)) &gt;= (OFFSET($A$1, 79 - 1, 7 - 1)), "1","0")</f>
        <v>0</v>
      </c>
      <c r="CY113">
        <f ca="1" xml:space="preserve"> IF( AND( OFFSET($A$1, 113 - 1, 101 - 1) = "1", OFFSET($A$1, 113 - 1, 102 - 1) = "1" ), 1, IF( AND( OFFSET($A$1, 113 - 1, 101 - 1) = "1", OFFSET($A$1, 113 - 1, 102 - 1) = "0" ), 2, IF( AND( OFFSET($A$1, 113 - 1, 101 - 1) = "0", OFFSET($A$1, 113 - 1, 102 - 1) = "1" ), 3, 4 ) ) )</f>
        <v>4</v>
      </c>
    </row>
    <row r="114" spans="3:103" ht="13.8" x14ac:dyDescent="0.3">
      <c r="C114" s="26" t="s">
        <v>727</v>
      </c>
      <c r="D114" s="24">
        <v>0.21769440569472895</v>
      </c>
      <c r="E114" s="24">
        <v>0.23109163192386392</v>
      </c>
      <c r="F114" s="24">
        <v>-8.5535095279869966E-2</v>
      </c>
      <c r="G114" s="24">
        <v>-0.4086138866373315</v>
      </c>
      <c r="H114" s="24">
        <v>0.17683466275044463</v>
      </c>
      <c r="I114" s="24">
        <v>0.18733761838136065</v>
      </c>
      <c r="J114" s="24">
        <v>-0.45321486825578688</v>
      </c>
      <c r="K114" s="24">
        <v>0.31247966723824472</v>
      </c>
      <c r="L114" s="24">
        <v>9.0164287563714834E-2</v>
      </c>
      <c r="M114" s="24">
        <v>-0.59854472270160586</v>
      </c>
      <c r="N114" s="24">
        <v>4.297436876047897E-2</v>
      </c>
      <c r="O114" s="24">
        <v>6.8152781040232396E-2</v>
      </c>
      <c r="P114" s="24">
        <v>-0.13402168695153527</v>
      </c>
      <c r="Q114" s="24">
        <v>0.24107001289560662</v>
      </c>
      <c r="R114" s="24">
        <v>-0.615127055939789</v>
      </c>
      <c r="S114" s="24">
        <v>-0.28435179297432928</v>
      </c>
      <c r="T114" s="24">
        <v>0.54424789364199533</v>
      </c>
      <c r="U114" s="24">
        <v>-0.20500133124131911</v>
      </c>
      <c r="V114" s="24">
        <v>-0.37736618410635653</v>
      </c>
      <c r="W114" s="24">
        <v>0.88121981969012542</v>
      </c>
      <c r="X114" s="24">
        <v>1.8473418620223704E-2</v>
      </c>
      <c r="Y114" s="24">
        <v>-0.5778724191171033</v>
      </c>
      <c r="Z114" s="24">
        <v>-0.19697500400165105</v>
      </c>
      <c r="AA114" s="24">
        <v>6.9161101978857898E-3</v>
      </c>
      <c r="AB114" s="24">
        <v>0.31729454416122821</v>
      </c>
      <c r="AC114" s="24">
        <v>0.54315077790564181</v>
      </c>
      <c r="AD114" s="24">
        <v>-0.8169385484124464</v>
      </c>
      <c r="AE114" s="24">
        <v>-0.56921480749567832</v>
      </c>
      <c r="AF114" s="24">
        <v>-0.21831058973648221</v>
      </c>
      <c r="AG114" s="24">
        <v>0.12299016401908651</v>
      </c>
      <c r="AH114" s="24">
        <v>0.15996320694273736</v>
      </c>
      <c r="AI114" s="24">
        <v>-8.9856006327927576E-2</v>
      </c>
      <c r="AJ114" s="24">
        <v>0.11041380496222097</v>
      </c>
      <c r="AK114" s="24">
        <v>5.6530240132331849E-2</v>
      </c>
      <c r="AL114" s="24">
        <v>-0.32602107099926986</v>
      </c>
      <c r="AM114" s="24">
        <v>-0.46303720558176714</v>
      </c>
      <c r="AN114" s="24">
        <v>0.21604832314067066</v>
      </c>
      <c r="AO114" s="24">
        <v>-0.55886814688410313</v>
      </c>
      <c r="AP114" s="24">
        <v>-0.22799145148354119</v>
      </c>
      <c r="AQ114" s="24">
        <v>0.4340210090658243</v>
      </c>
      <c r="AR114" s="24">
        <v>0.2964926435341228</v>
      </c>
      <c r="AS114" s="24">
        <v>-0.55812102852774736</v>
      </c>
      <c r="AT114" s="24">
        <v>-3.4557584011626966E-2</v>
      </c>
      <c r="AU114" s="24">
        <v>-0.13311811643744412</v>
      </c>
      <c r="AV114" s="24">
        <v>0.33631322629786103</v>
      </c>
      <c r="AW114" s="24">
        <v>-2.3695952172585986E-2</v>
      </c>
      <c r="CQ114" s="24">
        <v>0.99957157936007257</v>
      </c>
      <c r="CR114" s="24" t="str">
        <f t="shared" si="7"/>
        <v>1</v>
      </c>
      <c r="CS114" t="str">
        <f ca="1">IF((OFFSET($A$1, 114 - 1, 95 - 1)) &gt;= (OFFSET($A$1, 55 - 1, 7 - 1)), "1","0")</f>
        <v>1</v>
      </c>
      <c r="CT114">
        <f ca="1" xml:space="preserve"> IF( AND( OFFSET($A$1, 114 - 1, 96 - 1) = "1", OFFSET($A$1, 114 - 1, 97 - 1) = "1" ), 1, IF( AND( OFFSET($A$1, 114 - 1, 96 - 1) = "1", OFFSET($A$1, 114 - 1, 97 - 1) = "0" ), 2, IF( AND( OFFSET($A$1, 114 - 1, 96 - 1) = "0", OFFSET($A$1, 114 - 1, 97 - 1) = "1" ), 3, 4 ) ) )</f>
        <v>1</v>
      </c>
      <c r="CV114" s="24">
        <v>0.98198751471636425</v>
      </c>
      <c r="CW114" s="24" t="str">
        <f>"1"</f>
        <v>1</v>
      </c>
      <c r="CX114" t="str">
        <f ca="1">IF((OFFSET($A$1, 114 - 1, 100 - 1)) &gt;= (OFFSET($A$1, 79 - 1, 7 - 1)), "1","0")</f>
        <v>1</v>
      </c>
      <c r="CY114">
        <f ca="1" xml:space="preserve"> IF( AND( OFFSET($A$1, 114 - 1, 101 - 1) = "1", OFFSET($A$1, 114 - 1, 102 - 1) = "1" ), 1, IF( AND( OFFSET($A$1, 114 - 1, 101 - 1) = "1", OFFSET($A$1, 114 - 1, 102 - 1) = "0" ), 2, IF( AND( OFFSET($A$1, 114 - 1, 101 - 1) = "0", OFFSET($A$1, 114 - 1, 102 - 1) = "1" ), 3, 4 ) ) )</f>
        <v>1</v>
      </c>
    </row>
    <row r="115" spans="3:103" ht="13.8" x14ac:dyDescent="0.3">
      <c r="C115" s="26" t="s">
        <v>728</v>
      </c>
      <c r="D115" s="24">
        <v>0.81135871501900525</v>
      </c>
      <c r="E115" s="24">
        <v>-0.18675781949468467</v>
      </c>
      <c r="F115" s="24">
        <v>0.14931623887037054</v>
      </c>
      <c r="G115" s="24">
        <v>-0.17263791175439069</v>
      </c>
      <c r="H115" s="24">
        <v>1.0099974276261341</v>
      </c>
      <c r="I115" s="24">
        <v>-6.2192306018931234E-2</v>
      </c>
      <c r="J115" s="24">
        <v>0.91301698688771793</v>
      </c>
      <c r="K115" s="24">
        <v>-0.61669887922777256</v>
      </c>
      <c r="L115" s="24">
        <v>-1.0060598882475995</v>
      </c>
      <c r="M115" s="24">
        <v>-1.3993018304243316</v>
      </c>
      <c r="N115" s="24">
        <v>0.14618796597064496</v>
      </c>
      <c r="O115" s="24">
        <v>-1.5143904870595</v>
      </c>
      <c r="P115" s="24">
        <v>-0.63256255100692194</v>
      </c>
      <c r="Q115" s="24">
        <v>1.9739964340577627</v>
      </c>
      <c r="R115" s="24">
        <v>-1.8704259245707866</v>
      </c>
      <c r="S115" s="24">
        <v>0.29213364230101524</v>
      </c>
      <c r="T115" s="24">
        <v>-0.27808615754479765</v>
      </c>
      <c r="U115" s="24">
        <v>0.21137650557841206</v>
      </c>
      <c r="V115" s="24">
        <v>0.28021915038060807</v>
      </c>
      <c r="W115" s="24">
        <v>-0.82663038602392491</v>
      </c>
      <c r="X115" s="24">
        <v>-0.18823238378833806</v>
      </c>
      <c r="Y115" s="24">
        <v>-0.98913381524761279</v>
      </c>
      <c r="Z115" s="24">
        <v>0.65132232516685284</v>
      </c>
      <c r="AA115" s="24">
        <v>0.45740521111155913</v>
      </c>
      <c r="AB115" s="24">
        <v>-1.6988368497631363</v>
      </c>
      <c r="AC115" s="24">
        <v>-0.34151393390411572</v>
      </c>
      <c r="AD115" s="24">
        <v>0.26535162191422568</v>
      </c>
      <c r="AE115" s="24">
        <v>-0.10589241005572393</v>
      </c>
      <c r="AF115" s="24">
        <v>-1.0825604882060307</v>
      </c>
      <c r="AG115" s="24">
        <v>-0.25349422838415908</v>
      </c>
      <c r="AH115" s="24">
        <v>1.1342250695498781</v>
      </c>
      <c r="AI115" s="24">
        <v>-0.80893036837968235</v>
      </c>
      <c r="AJ115" s="24">
        <v>-1.4266758254295755</v>
      </c>
      <c r="AK115" s="24">
        <v>-0.97875939435804638</v>
      </c>
      <c r="AL115" s="24">
        <v>0.37477632376124809</v>
      </c>
      <c r="AM115" s="24">
        <v>0.8360581772367609</v>
      </c>
      <c r="AN115" s="24">
        <v>-1.6160012944344784E-2</v>
      </c>
      <c r="AO115" s="24">
        <v>-1.9029453254215054</v>
      </c>
      <c r="AP115" s="24">
        <v>-2.7855771370292316E-2</v>
      </c>
      <c r="AQ115" s="24">
        <v>0.99463891078352928</v>
      </c>
      <c r="AR115" s="24">
        <v>-1.3160889314771447</v>
      </c>
      <c r="AS115" s="24">
        <v>-2.1558035911974063</v>
      </c>
      <c r="AT115" s="24">
        <v>-0.16783942814111508</v>
      </c>
      <c r="AU115" s="24">
        <v>8.8393751949390531E-2</v>
      </c>
      <c r="AV115" s="24">
        <v>1.0278745758689121</v>
      </c>
      <c r="AW115" s="24">
        <v>0.49488072987735976</v>
      </c>
      <c r="CQ115" s="24">
        <v>0.99609452837302559</v>
      </c>
      <c r="CR115" s="24" t="str">
        <f t="shared" si="7"/>
        <v>1</v>
      </c>
      <c r="CS115" t="str">
        <f ca="1">IF((OFFSET($A$1, 115 - 1, 95 - 1)) &gt;= (OFFSET($A$1, 55 - 1, 7 - 1)), "1","0")</f>
        <v>1</v>
      </c>
      <c r="CT115">
        <f ca="1" xml:space="preserve"> IF( AND( OFFSET($A$1, 115 - 1, 96 - 1) = "1", OFFSET($A$1, 115 - 1, 97 - 1) = "1" ), 1, IF( AND( OFFSET($A$1, 115 - 1, 96 - 1) = "1", OFFSET($A$1, 115 - 1, 97 - 1) = "0" ), 2, IF( AND( OFFSET($A$1, 115 - 1, 96 - 1) = "0", OFFSET($A$1, 115 - 1, 97 - 1) = "1" ), 3, 4 ) ) )</f>
        <v>1</v>
      </c>
      <c r="CV115" s="24">
        <v>0.99946397328173298</v>
      </c>
      <c r="CW115" s="24" t="str">
        <f>"1"</f>
        <v>1</v>
      </c>
      <c r="CX115" t="str">
        <f ca="1">IF((OFFSET($A$1, 115 - 1, 100 - 1)) &gt;= (OFFSET($A$1, 79 - 1, 7 - 1)), "1","0")</f>
        <v>1</v>
      </c>
      <c r="CY115">
        <f ca="1" xml:space="preserve"> IF( AND( OFFSET($A$1, 115 - 1, 101 - 1) = "1", OFFSET($A$1, 115 - 1, 102 - 1) = "1" ), 1, IF( AND( OFFSET($A$1, 115 - 1, 101 - 1) = "1", OFFSET($A$1, 115 - 1, 102 - 1) = "0" ), 2, IF( AND( OFFSET($A$1, 115 - 1, 101 - 1) = "0", OFFSET($A$1, 115 - 1, 102 - 1) = "1" ), 3, 4 ) ) )</f>
        <v>1</v>
      </c>
    </row>
    <row r="116" spans="3:103" ht="13.8" x14ac:dyDescent="0.3">
      <c r="C116" s="26" t="s">
        <v>729</v>
      </c>
      <c r="D116" s="24">
        <v>0.87073378091713693</v>
      </c>
      <c r="E116" s="24">
        <v>0.74795053667167055</v>
      </c>
      <c r="F116" s="24">
        <v>-0.41900697070046988</v>
      </c>
      <c r="G116" s="24">
        <v>-0.49405553273108233</v>
      </c>
      <c r="H116" s="24">
        <v>-1.4726623450116729</v>
      </c>
      <c r="I116" s="24">
        <v>1.5251319551405023</v>
      </c>
      <c r="J116" s="24">
        <v>0.31830757427054557</v>
      </c>
      <c r="K116" s="24">
        <v>0.25470130553742276</v>
      </c>
      <c r="L116" s="24">
        <v>1.4988311411160447E-2</v>
      </c>
      <c r="M116" s="24">
        <v>-5.268824477435214E-2</v>
      </c>
      <c r="N116" s="24">
        <v>0.63479627650225423</v>
      </c>
      <c r="O116" s="24">
        <v>-1.4723707115382092</v>
      </c>
      <c r="P116" s="24">
        <v>-0.20119662704557503</v>
      </c>
      <c r="Q116" s="24">
        <v>-0.39137660301113136</v>
      </c>
      <c r="R116" s="24">
        <v>-0.54930191687734131</v>
      </c>
      <c r="S116" s="24">
        <v>0.81483962182850489</v>
      </c>
      <c r="T116" s="24">
        <v>-0.74200827421094839</v>
      </c>
      <c r="U116" s="24">
        <v>0.96291366913153964</v>
      </c>
      <c r="V116" s="24">
        <v>0.29754050027841433</v>
      </c>
      <c r="W116" s="24">
        <v>-0.98742805881657292</v>
      </c>
      <c r="X116" s="24">
        <v>-0.81857387325539543</v>
      </c>
      <c r="Y116" s="24">
        <v>-1.1870540540134096</v>
      </c>
      <c r="Z116" s="24">
        <v>-0.4824497509536696</v>
      </c>
      <c r="AA116" s="24">
        <v>-0.3194203557090225</v>
      </c>
      <c r="AB116" s="24">
        <v>0.20465034164705789</v>
      </c>
      <c r="AC116" s="24">
        <v>1.5903863158293354</v>
      </c>
      <c r="AD116" s="24">
        <v>-0.83395411062368707</v>
      </c>
      <c r="AE116" s="24">
        <v>-0.55574504980289352</v>
      </c>
      <c r="AF116" s="24">
        <v>1.1281283339110475</v>
      </c>
      <c r="AG116" s="24">
        <v>-0.11906636166725029</v>
      </c>
      <c r="AH116" s="24">
        <v>0.71536639670757063</v>
      </c>
      <c r="AI116" s="24">
        <v>0.86288027111480559</v>
      </c>
      <c r="AJ116" s="24">
        <v>-7.2173243378992016E-2</v>
      </c>
      <c r="AK116" s="24">
        <v>0.80032026020729075</v>
      </c>
      <c r="AL116" s="24">
        <v>-0.3394279537035837</v>
      </c>
      <c r="AM116" s="24">
        <v>1.6690699430044789</v>
      </c>
      <c r="AN116" s="24">
        <v>0.52229642972333723</v>
      </c>
      <c r="AO116" s="24">
        <v>-5.9281985817097975E-2</v>
      </c>
      <c r="AP116" s="24">
        <v>0.25823946857589858</v>
      </c>
      <c r="AQ116" s="24">
        <v>-0.92748862506955454</v>
      </c>
      <c r="AR116" s="24">
        <v>0.2773529406258553</v>
      </c>
      <c r="AS116" s="24">
        <v>-0.90803341432432771</v>
      </c>
      <c r="AT116" s="24">
        <v>0.28471397450193509</v>
      </c>
      <c r="AU116" s="24">
        <v>-0.48788653368952162</v>
      </c>
      <c r="AV116" s="24">
        <v>0.70002680381295479</v>
      </c>
      <c r="AW116" s="24">
        <v>-0.65035028440136844</v>
      </c>
      <c r="CQ116" s="24">
        <v>0.99476415375256499</v>
      </c>
      <c r="CR116" s="24" t="str">
        <f t="shared" si="7"/>
        <v>1</v>
      </c>
      <c r="CS116" t="str">
        <f ca="1">IF((OFFSET($A$1, 116 - 1, 95 - 1)) &gt;= (OFFSET($A$1, 55 - 1, 7 - 1)), "1","0")</f>
        <v>1</v>
      </c>
      <c r="CT116">
        <f ca="1" xml:space="preserve"> IF( AND( OFFSET($A$1, 116 - 1, 96 - 1) = "1", OFFSET($A$1, 116 - 1, 97 - 1) = "1" ), 1, IF( AND( OFFSET($A$1, 116 - 1, 96 - 1) = "1", OFFSET($A$1, 116 - 1, 97 - 1) = "0" ), 2, IF( AND( OFFSET($A$1, 116 - 1, 96 - 1) = "0", OFFSET($A$1, 116 - 1, 97 - 1) = "1" ), 3, 4 ) ) )</f>
        <v>1</v>
      </c>
      <c r="CV116" s="24">
        <v>0.99872611727661631</v>
      </c>
      <c r="CW116" s="24" t="str">
        <f>"0"</f>
        <v>0</v>
      </c>
      <c r="CX116" t="str">
        <f ca="1">IF((OFFSET($A$1, 116 - 1, 100 - 1)) &gt;= (OFFSET($A$1, 79 - 1, 7 - 1)), "1","0")</f>
        <v>1</v>
      </c>
      <c r="CY116">
        <f ca="1" xml:space="preserve"> IF( AND( OFFSET($A$1, 116 - 1, 101 - 1) = "1", OFFSET($A$1, 116 - 1, 102 - 1) = "1" ), 1, IF( AND( OFFSET($A$1, 116 - 1, 101 - 1) = "1", OFFSET($A$1, 116 - 1, 102 - 1) = "0" ), 2, IF( AND( OFFSET($A$1, 116 - 1, 101 - 1) = "0", OFFSET($A$1, 116 - 1, 102 - 1) = "1" ), 3, 4 ) ) )</f>
        <v>3</v>
      </c>
    </row>
    <row r="117" spans="3:103" ht="13.8" x14ac:dyDescent="0.3">
      <c r="C117" s="26" t="s">
        <v>730</v>
      </c>
      <c r="D117" s="24">
        <v>0.55451748515529675</v>
      </c>
      <c r="E117" s="24">
        <v>-3.3724785956496736E-2</v>
      </c>
      <c r="F117" s="24">
        <v>0.13994427633884463</v>
      </c>
      <c r="G117" s="24">
        <v>0.1172838714796345</v>
      </c>
      <c r="H117" s="24">
        <v>0.16140584910036807</v>
      </c>
      <c r="I117" s="24">
        <v>6.2337162481346173E-2</v>
      </c>
      <c r="J117" s="24">
        <v>7.214863995305458E-2</v>
      </c>
      <c r="K117" s="24">
        <v>3.5985761580812917E-2</v>
      </c>
      <c r="L117" s="24">
        <v>-0.30187564690534174</v>
      </c>
      <c r="M117" s="24">
        <v>0.55468145931222568</v>
      </c>
      <c r="N117" s="24">
        <v>0.38279218057629849</v>
      </c>
      <c r="O117" s="24">
        <v>-0.43533728273784184</v>
      </c>
      <c r="P117" s="24">
        <v>-0.21777644202242877</v>
      </c>
      <c r="Q117" s="24">
        <v>-1.2685970111867478E-2</v>
      </c>
      <c r="R117" s="24">
        <v>-0.32286979959740042</v>
      </c>
      <c r="S117" s="24">
        <v>0.4344551101074427</v>
      </c>
      <c r="T117" s="24">
        <v>-3.8688509194919694E-2</v>
      </c>
      <c r="U117" s="24">
        <v>0.30833358591420473</v>
      </c>
      <c r="V117" s="24">
        <v>-0.74806553810692755</v>
      </c>
      <c r="W117" s="24">
        <v>0.54931982282606284</v>
      </c>
      <c r="X117" s="24">
        <v>-0.40805291964236912</v>
      </c>
      <c r="Y117" s="24">
        <v>0.2669316568210241</v>
      </c>
      <c r="Z117" s="24">
        <v>-0.33720999597937146</v>
      </c>
      <c r="AA117" s="24">
        <v>0.39127179269327578</v>
      </c>
      <c r="AB117" s="24">
        <v>0.26511012304673637</v>
      </c>
      <c r="AC117" s="24">
        <v>0.34806711967210818</v>
      </c>
      <c r="AD117" s="24">
        <v>-0.2533063288221884</v>
      </c>
      <c r="AE117" s="24">
        <v>0.27109667350831379</v>
      </c>
      <c r="AF117" s="24">
        <v>0.53108111394431978</v>
      </c>
      <c r="AG117" s="24">
        <v>0.27421974735387783</v>
      </c>
      <c r="AH117" s="24">
        <v>-0.77134764320941418</v>
      </c>
      <c r="AI117" s="24">
        <v>-8.8472699048765063E-2</v>
      </c>
      <c r="AJ117" s="24">
        <v>0.42693726767196766</v>
      </c>
      <c r="AK117" s="24">
        <v>-8.7545301757198535E-3</v>
      </c>
      <c r="AL117" s="24">
        <v>0.26615907653823145</v>
      </c>
      <c r="AM117" s="24">
        <v>0.52887143114136248</v>
      </c>
      <c r="AN117" s="24">
        <v>-3.1809910959134817E-2</v>
      </c>
      <c r="AO117" s="24">
        <v>-7.4543435952482501E-2</v>
      </c>
      <c r="AP117" s="24">
        <v>-4.794555373011547E-2</v>
      </c>
      <c r="AQ117" s="24">
        <v>0.29383037045849403</v>
      </c>
      <c r="AR117" s="24">
        <v>-3.2611947663535153E-2</v>
      </c>
      <c r="AS117" s="24">
        <v>-8.8042480165128764E-2</v>
      </c>
      <c r="AT117" s="24">
        <v>0.15669745193302739</v>
      </c>
      <c r="AU117" s="24">
        <v>3.2990957855267539E-2</v>
      </c>
      <c r="AV117" s="24">
        <v>-0.24068774618383665</v>
      </c>
      <c r="AW117" s="24">
        <v>-0.6826615831914854</v>
      </c>
      <c r="CQ117" s="24">
        <v>0.99416392022000055</v>
      </c>
      <c r="CR117" s="24" t="str">
        <f t="shared" si="7"/>
        <v>1</v>
      </c>
      <c r="CS117" t="str">
        <f ca="1">IF((OFFSET($A$1, 117 - 1, 95 - 1)) &gt;= (OFFSET($A$1, 55 - 1, 7 - 1)), "1","0")</f>
        <v>1</v>
      </c>
      <c r="CT117">
        <f ca="1" xml:space="preserve"> IF( AND( OFFSET($A$1, 117 - 1, 96 - 1) = "1", OFFSET($A$1, 117 - 1, 97 - 1) = "1" ), 1, IF( AND( OFFSET($A$1, 117 - 1, 96 - 1) = "1", OFFSET($A$1, 117 - 1, 97 - 1) = "0" ), 2, IF( AND( OFFSET($A$1, 117 - 1, 96 - 1) = "0", OFFSET($A$1, 117 - 1, 97 - 1) = "1" ), 3, 4 ) ) )</f>
        <v>1</v>
      </c>
      <c r="CV117" s="24">
        <v>0.9982839570816312</v>
      </c>
      <c r="CW117" s="24" t="str">
        <f>"0"</f>
        <v>0</v>
      </c>
      <c r="CX117" t="str">
        <f ca="1">IF((OFFSET($A$1, 117 - 1, 100 - 1)) &gt;= (OFFSET($A$1, 79 - 1, 7 - 1)), "1","0")</f>
        <v>1</v>
      </c>
      <c r="CY117">
        <f ca="1" xml:space="preserve"> IF( AND( OFFSET($A$1, 117 - 1, 101 - 1) = "1", OFFSET($A$1, 117 - 1, 102 - 1) = "1" ), 1, IF( AND( OFFSET($A$1, 117 - 1, 101 - 1) = "1", OFFSET($A$1, 117 - 1, 102 - 1) = "0" ), 2, IF( AND( OFFSET($A$1, 117 - 1, 101 - 1) = "0", OFFSET($A$1, 117 - 1, 102 - 1) = "1" ), 3, 4 ) ) )</f>
        <v>3</v>
      </c>
    </row>
    <row r="118" spans="3:103" ht="13.8" x14ac:dyDescent="0.3">
      <c r="CQ118" s="24">
        <v>0.99462707359167291</v>
      </c>
      <c r="CR118" s="24" t="str">
        <f t="shared" si="7"/>
        <v>1</v>
      </c>
      <c r="CS118" t="str">
        <f ca="1">IF((OFFSET($A$1, 118 - 1, 95 - 1)) &gt;= (OFFSET($A$1, 55 - 1, 7 - 1)), "1","0")</f>
        <v>1</v>
      </c>
      <c r="CT118">
        <f ca="1" xml:space="preserve"> IF( AND( OFFSET($A$1, 118 - 1, 96 - 1) = "1", OFFSET($A$1, 118 - 1, 97 - 1) = "1" ), 1, IF( AND( OFFSET($A$1, 118 - 1, 96 - 1) = "1", OFFSET($A$1, 118 - 1, 97 - 1) = "0" ), 2, IF( AND( OFFSET($A$1, 118 - 1, 96 - 1) = "0", OFFSET($A$1, 118 - 1, 97 - 1) = "1" ), 3, 4 ) ) )</f>
        <v>1</v>
      </c>
      <c r="CV118" s="24">
        <v>2.0149860169146445E-2</v>
      </c>
      <c r="CW118" s="24" t="str">
        <f>"0"</f>
        <v>0</v>
      </c>
      <c r="CX118" t="str">
        <f ca="1">IF((OFFSET($A$1, 118 - 1, 100 - 1)) &gt;= (OFFSET($A$1, 79 - 1, 7 - 1)), "1","0")</f>
        <v>0</v>
      </c>
      <c r="CY118">
        <f ca="1" xml:space="preserve"> IF( AND( OFFSET($A$1, 118 - 1, 101 - 1) = "1", OFFSET($A$1, 118 - 1, 102 - 1) = "1" ), 1, IF( AND( OFFSET($A$1, 118 - 1, 101 - 1) = "1", OFFSET($A$1, 118 - 1, 102 - 1) = "0" ), 2, IF( AND( OFFSET($A$1, 118 - 1, 101 - 1) = "0", OFFSET($A$1, 118 - 1, 102 - 1) = "1" ), 3, 4 ) ) )</f>
        <v>4</v>
      </c>
    </row>
    <row r="119" spans="3:103" ht="13.8" x14ac:dyDescent="0.3">
      <c r="CQ119" s="24">
        <v>0.75049929338408428</v>
      </c>
      <c r="CR119" s="24" t="str">
        <f t="shared" si="7"/>
        <v>1</v>
      </c>
      <c r="CS119" t="str">
        <f ca="1">IF((OFFSET($A$1, 119 - 1, 95 - 1)) &gt;= (OFFSET($A$1, 55 - 1, 7 - 1)), "1","0")</f>
        <v>1</v>
      </c>
      <c r="CT119">
        <f ca="1" xml:space="preserve"> IF( AND( OFFSET($A$1, 119 - 1, 96 - 1) = "1", OFFSET($A$1, 119 - 1, 97 - 1) = "1" ), 1, IF( AND( OFFSET($A$1, 119 - 1, 96 - 1) = "1", OFFSET($A$1, 119 - 1, 97 - 1) = "0" ), 2, IF( AND( OFFSET($A$1, 119 - 1, 96 - 1) = "0", OFFSET($A$1, 119 - 1, 97 - 1) = "1" ), 3, 4 ) ) )</f>
        <v>1</v>
      </c>
      <c r="CV119" s="24">
        <v>0.97659805395630883</v>
      </c>
      <c r="CW119" s="24" t="str">
        <f t="shared" ref="CW119:CW124" si="8">"1"</f>
        <v>1</v>
      </c>
      <c r="CX119" t="str">
        <f ca="1">IF((OFFSET($A$1, 119 - 1, 100 - 1)) &gt;= (OFFSET($A$1, 79 - 1, 7 - 1)), "1","0")</f>
        <v>1</v>
      </c>
      <c r="CY119">
        <f ca="1" xml:space="preserve"> IF( AND( OFFSET($A$1, 119 - 1, 101 - 1) = "1", OFFSET($A$1, 119 - 1, 102 - 1) = "1" ), 1, IF( AND( OFFSET($A$1, 119 - 1, 101 - 1) = "1", OFFSET($A$1, 119 - 1, 102 - 1) = "0" ), 2, IF( AND( OFFSET($A$1, 119 - 1, 101 - 1) = "0", OFFSET($A$1, 119 - 1, 102 - 1) = "1" ), 3, 4 ) ) )</f>
        <v>1</v>
      </c>
    </row>
    <row r="120" spans="3:103" ht="13.8" x14ac:dyDescent="0.3">
      <c r="D120" s="77" t="s">
        <v>717</v>
      </c>
      <c r="E120" s="77"/>
      <c r="F120" s="77"/>
      <c r="G120" s="77"/>
      <c r="H120" s="77"/>
      <c r="I120" s="77"/>
      <c r="J120" s="77"/>
      <c r="K120" s="77"/>
      <c r="L120" s="77"/>
      <c r="M120" s="77"/>
      <c r="N120" s="77"/>
      <c r="O120" s="77"/>
      <c r="P120" s="77"/>
      <c r="Q120" s="77"/>
      <c r="CQ120" s="24">
        <v>0.9939320250272965</v>
      </c>
      <c r="CR120" s="24" t="str">
        <f t="shared" si="7"/>
        <v>1</v>
      </c>
      <c r="CS120" t="str">
        <f ca="1">IF((OFFSET($A$1, 120 - 1, 95 - 1)) &gt;= (OFFSET($A$1, 55 - 1, 7 - 1)), "1","0")</f>
        <v>1</v>
      </c>
      <c r="CT120">
        <f ca="1" xml:space="preserve"> IF( AND( OFFSET($A$1, 120 - 1, 96 - 1) = "1", OFFSET($A$1, 120 - 1, 97 - 1) = "1" ), 1, IF( AND( OFFSET($A$1, 120 - 1, 96 - 1) = "1", OFFSET($A$1, 120 - 1, 97 - 1) = "0" ), 2, IF( AND( OFFSET($A$1, 120 - 1, 96 - 1) = "0", OFFSET($A$1, 120 - 1, 97 - 1) = "1" ), 3, 4 ) ) )</f>
        <v>1</v>
      </c>
      <c r="CV120" s="24">
        <v>0.99465126446127605</v>
      </c>
      <c r="CW120" s="24" t="str">
        <f t="shared" si="8"/>
        <v>1</v>
      </c>
      <c r="CX120" t="str">
        <f ca="1">IF((OFFSET($A$1, 120 - 1, 100 - 1)) &gt;= (OFFSET($A$1, 79 - 1, 7 - 1)), "1","0")</f>
        <v>1</v>
      </c>
      <c r="CY120">
        <f ca="1" xml:space="preserve"> IF( AND( OFFSET($A$1, 120 - 1, 101 - 1) = "1", OFFSET($A$1, 120 - 1, 102 - 1) = "1" ), 1, IF( AND( OFFSET($A$1, 120 - 1, 101 - 1) = "1", OFFSET($A$1, 120 - 1, 102 - 1) = "0" ), 2, IF( AND( OFFSET($A$1, 120 - 1, 101 - 1) = "0", OFFSET($A$1, 120 - 1, 102 - 1) = "1" ), 3, 4 ) ) )</f>
        <v>1</v>
      </c>
    </row>
    <row r="121" spans="3:103" ht="13.8" x14ac:dyDescent="0.3">
      <c r="C121" s="36" t="s">
        <v>752</v>
      </c>
      <c r="D121" s="26" t="s">
        <v>718</v>
      </c>
      <c r="E121" s="26" t="s">
        <v>719</v>
      </c>
      <c r="F121" s="26" t="s">
        <v>720</v>
      </c>
      <c r="G121" s="26" t="s">
        <v>721</v>
      </c>
      <c r="H121" s="26" t="s">
        <v>722</v>
      </c>
      <c r="I121" s="26" t="s">
        <v>723</v>
      </c>
      <c r="J121" s="26" t="s">
        <v>724</v>
      </c>
      <c r="K121" s="26" t="s">
        <v>725</v>
      </c>
      <c r="L121" s="26" t="s">
        <v>726</v>
      </c>
      <c r="M121" s="26" t="s">
        <v>727</v>
      </c>
      <c r="N121" s="26" t="s">
        <v>728</v>
      </c>
      <c r="O121" s="26" t="s">
        <v>729</v>
      </c>
      <c r="P121" s="26" t="s">
        <v>730</v>
      </c>
      <c r="Q121" s="26" t="s">
        <v>732</v>
      </c>
      <c r="CQ121" s="24">
        <v>0.99763427001378213</v>
      </c>
      <c r="CR121" s="24" t="str">
        <f t="shared" si="7"/>
        <v>1</v>
      </c>
      <c r="CS121" t="str">
        <f ca="1">IF((OFFSET($A$1, 121 - 1, 95 - 1)) &gt;= (OFFSET($A$1, 55 - 1, 7 - 1)), "1","0")</f>
        <v>1</v>
      </c>
      <c r="CT121">
        <f ca="1" xml:space="preserve"> IF( AND( OFFSET($A$1, 121 - 1, 96 - 1) = "1", OFFSET($A$1, 121 - 1, 97 - 1) = "1" ), 1, IF( AND( OFFSET($A$1, 121 - 1, 96 - 1) = "1", OFFSET($A$1, 121 - 1, 97 - 1) = "0" ), 2, IF( AND( OFFSET($A$1, 121 - 1, 96 - 1) = "0", OFFSET($A$1, 121 - 1, 97 - 1) = "1" ), 3, 4 ) ) )</f>
        <v>1</v>
      </c>
      <c r="CV121" s="24">
        <v>0.17275274256032361</v>
      </c>
      <c r="CW121" s="24" t="str">
        <f t="shared" si="8"/>
        <v>1</v>
      </c>
      <c r="CX121" t="str">
        <f ca="1">IF((OFFSET($A$1, 121 - 1, 100 - 1)) &gt;= (OFFSET($A$1, 79 - 1, 7 - 1)), "1","0")</f>
        <v>0</v>
      </c>
      <c r="CY121">
        <f ca="1" xml:space="preserve"> IF( AND( OFFSET($A$1, 121 - 1, 101 - 1) = "1", OFFSET($A$1, 121 - 1, 102 - 1) = "1" ), 1, IF( AND( OFFSET($A$1, 121 - 1, 101 - 1) = "1", OFFSET($A$1, 121 - 1, 102 - 1) = "0" ), 2, IF( AND( OFFSET($A$1, 121 - 1, 101 - 1) = "0", OFFSET($A$1, 121 - 1, 102 - 1) = "1" ), 3, 4 ) ) )</f>
        <v>2</v>
      </c>
    </row>
    <row r="122" spans="3:103" ht="13.8" x14ac:dyDescent="0.3">
      <c r="C122" s="26" t="s">
        <v>718</v>
      </c>
      <c r="D122" s="24">
        <v>-0.78252295181265363</v>
      </c>
      <c r="E122" s="24">
        <v>-0.86154625029819798</v>
      </c>
      <c r="F122" s="24">
        <v>-0.61215756431218793</v>
      </c>
      <c r="G122" s="24">
        <v>-0.1604015713563737</v>
      </c>
      <c r="H122" s="24">
        <v>0.44800003455024034</v>
      </c>
      <c r="I122" s="24">
        <v>-0.39442702415626063</v>
      </c>
      <c r="J122" s="24">
        <v>7.5699567829798461E-2</v>
      </c>
      <c r="K122" s="24">
        <v>0.63637645269486942</v>
      </c>
      <c r="L122" s="24">
        <v>6.9957394921971505E-2</v>
      </c>
      <c r="M122" s="24">
        <v>-0.15663962444617605</v>
      </c>
      <c r="N122" s="24">
        <v>0.59432670283991351</v>
      </c>
      <c r="O122" s="24">
        <v>-0.31174334224339678</v>
      </c>
      <c r="P122" s="24">
        <v>0.15776882583850374</v>
      </c>
      <c r="Q122" s="24">
        <v>0.14973953176043178</v>
      </c>
      <c r="CQ122" s="24">
        <v>0.9762658295493557</v>
      </c>
      <c r="CR122" s="24" t="str">
        <f t="shared" si="7"/>
        <v>1</v>
      </c>
      <c r="CS122" t="str">
        <f ca="1">IF((OFFSET($A$1, 122 - 1, 95 - 1)) &gt;= (OFFSET($A$1, 55 - 1, 7 - 1)), "1","0")</f>
        <v>1</v>
      </c>
      <c r="CT122">
        <f ca="1" xml:space="preserve"> IF( AND( OFFSET($A$1, 122 - 1, 96 - 1) = "1", OFFSET($A$1, 122 - 1, 97 - 1) = "1" ), 1, IF( AND( OFFSET($A$1, 122 - 1, 96 - 1) = "1", OFFSET($A$1, 122 - 1, 97 - 1) = "0" ), 2, IF( AND( OFFSET($A$1, 122 - 1, 96 - 1) = "0", OFFSET($A$1, 122 - 1, 97 - 1) = "1" ), 3, 4 ) ) )</f>
        <v>1</v>
      </c>
      <c r="CV122" s="24">
        <v>0.80036847211162931</v>
      </c>
      <c r="CW122" s="24" t="str">
        <f t="shared" si="8"/>
        <v>1</v>
      </c>
      <c r="CX122" t="str">
        <f ca="1">IF((OFFSET($A$1, 122 - 1, 100 - 1)) &gt;= (OFFSET($A$1, 79 - 1, 7 - 1)), "1","0")</f>
        <v>1</v>
      </c>
      <c r="CY122">
        <f ca="1" xml:space="preserve"> IF( AND( OFFSET($A$1, 122 - 1, 101 - 1) = "1", OFFSET($A$1, 122 - 1, 102 - 1) = "1" ), 1, IF( AND( OFFSET($A$1, 122 - 1, 101 - 1) = "1", OFFSET($A$1, 122 - 1, 102 - 1) = "0" ), 2, IF( AND( OFFSET($A$1, 122 - 1, 101 - 1) = "0", OFFSET($A$1, 122 - 1, 102 - 1) = "1" ), 3, 4 ) ) )</f>
        <v>1</v>
      </c>
    </row>
    <row r="123" spans="3:103" ht="13.8" x14ac:dyDescent="0.3">
      <c r="C123" s="26" t="s">
        <v>719</v>
      </c>
      <c r="D123" s="24">
        <v>-4.0666700162644037E-2</v>
      </c>
      <c r="E123" s="24">
        <v>-0.22779604836921535</v>
      </c>
      <c r="F123" s="24">
        <v>-0.10160152575552035</v>
      </c>
      <c r="G123" s="24">
        <v>-0.19105652807648929</v>
      </c>
      <c r="H123" s="24">
        <v>-1.7571133899699651E-2</v>
      </c>
      <c r="I123" s="24">
        <v>-0.31148884318721204</v>
      </c>
      <c r="J123" s="24">
        <v>-0.1631208900219937</v>
      </c>
      <c r="K123" s="24">
        <v>-0.22485671582182096</v>
      </c>
      <c r="L123" s="24">
        <v>-0.15168448759448894</v>
      </c>
      <c r="M123" s="24">
        <v>-0.37122337534302507</v>
      </c>
      <c r="N123" s="24">
        <v>-0.13916227663505676</v>
      </c>
      <c r="O123" s="24">
        <v>-0.21535446390750709</v>
      </c>
      <c r="P123" s="24">
        <v>-3.8950803077279987E-2</v>
      </c>
      <c r="Q123" s="24">
        <v>-0.22394830844347641</v>
      </c>
      <c r="CQ123" s="24">
        <v>0.99654914178694798</v>
      </c>
      <c r="CR123" s="24" t="str">
        <f t="shared" si="7"/>
        <v>1</v>
      </c>
      <c r="CS123" t="str">
        <f ca="1">IF((OFFSET($A$1, 123 - 1, 95 - 1)) &gt;= (OFFSET($A$1, 55 - 1, 7 - 1)), "1","0")</f>
        <v>1</v>
      </c>
      <c r="CT123">
        <f ca="1" xml:space="preserve"> IF( AND( OFFSET($A$1, 123 - 1, 96 - 1) = "1", OFFSET($A$1, 123 - 1, 97 - 1) = "1" ), 1, IF( AND( OFFSET($A$1, 123 - 1, 96 - 1) = "1", OFFSET($A$1, 123 - 1, 97 - 1) = "0" ), 2, IF( AND( OFFSET($A$1, 123 - 1, 96 - 1) = "0", OFFSET($A$1, 123 - 1, 97 - 1) = "1" ), 3, 4 ) ) )</f>
        <v>1</v>
      </c>
      <c r="CV123" s="24">
        <v>0.97966421593085218</v>
      </c>
      <c r="CW123" s="24" t="str">
        <f t="shared" si="8"/>
        <v>1</v>
      </c>
      <c r="CX123" t="str">
        <f ca="1">IF((OFFSET($A$1, 123 - 1, 100 - 1)) &gt;= (OFFSET($A$1, 79 - 1, 7 - 1)), "1","0")</f>
        <v>1</v>
      </c>
      <c r="CY123">
        <f ca="1" xml:space="preserve"> IF( AND( OFFSET($A$1, 123 - 1, 101 - 1) = "1", OFFSET($A$1, 123 - 1, 102 - 1) = "1" ), 1, IF( AND( OFFSET($A$1, 123 - 1, 101 - 1) = "1", OFFSET($A$1, 123 - 1, 102 - 1) = "0" ), 2, IF( AND( OFFSET($A$1, 123 - 1, 101 - 1) = "0", OFFSET($A$1, 123 - 1, 102 - 1) = "1" ), 3, 4 ) ) )</f>
        <v>1</v>
      </c>
    </row>
    <row r="124" spans="3:103" ht="13.8" x14ac:dyDescent="0.3">
      <c r="C124" s="26" t="s">
        <v>720</v>
      </c>
      <c r="D124" s="24">
        <v>-0.55928666295731366</v>
      </c>
      <c r="E124" s="24">
        <v>-0.76751217729624932</v>
      </c>
      <c r="F124" s="24">
        <v>-0.28535044949524302</v>
      </c>
      <c r="G124" s="24">
        <v>-0.20111664238991375</v>
      </c>
      <c r="H124" s="24">
        <v>0.20126638208240116</v>
      </c>
      <c r="I124" s="24">
        <v>-0.4842418722935386</v>
      </c>
      <c r="J124" s="24">
        <v>-0.20743896550518123</v>
      </c>
      <c r="K124" s="24">
        <v>0.62844584956397509</v>
      </c>
      <c r="L124" s="24">
        <v>0.25169198999644804</v>
      </c>
      <c r="M124" s="24">
        <v>-0.43963901371832281</v>
      </c>
      <c r="N124" s="24">
        <v>0.65598735167796463</v>
      </c>
      <c r="O124" s="24">
        <v>-0.37165515318065834</v>
      </c>
      <c r="P124" s="24">
        <v>0.26491737735665122</v>
      </c>
      <c r="Q124" s="24">
        <v>-0.10436545269388429</v>
      </c>
      <c r="CQ124" s="24">
        <v>0.97918001226129503</v>
      </c>
      <c r="CR124" s="24" t="str">
        <f t="shared" si="7"/>
        <v>1</v>
      </c>
      <c r="CS124" t="str">
        <f ca="1">IF((OFFSET($A$1, 124 - 1, 95 - 1)) &gt;= (OFFSET($A$1, 55 - 1, 7 - 1)), "1","0")</f>
        <v>1</v>
      </c>
      <c r="CT124">
        <f ca="1" xml:space="preserve"> IF( AND( OFFSET($A$1, 124 - 1, 96 - 1) = "1", OFFSET($A$1, 124 - 1, 97 - 1) = "1" ), 1, IF( AND( OFFSET($A$1, 124 - 1, 96 - 1) = "1", OFFSET($A$1, 124 - 1, 97 - 1) = "0" ), 2, IF( AND( OFFSET($A$1, 124 - 1, 96 - 1) = "0", OFFSET($A$1, 124 - 1, 97 - 1) = "1" ), 3, 4 ) ) )</f>
        <v>1</v>
      </c>
      <c r="CV124" s="24">
        <v>0.33559104584634997</v>
      </c>
      <c r="CW124" s="24" t="str">
        <f t="shared" si="8"/>
        <v>1</v>
      </c>
      <c r="CX124" t="str">
        <f ca="1">IF((OFFSET($A$1, 124 - 1, 100 - 1)) &gt;= (OFFSET($A$1, 79 - 1, 7 - 1)), "1","0")</f>
        <v>0</v>
      </c>
      <c r="CY124">
        <f ca="1" xml:space="preserve"> IF( AND( OFFSET($A$1, 124 - 1, 101 - 1) = "1", OFFSET($A$1, 124 - 1, 102 - 1) = "1" ), 1, IF( AND( OFFSET($A$1, 124 - 1, 101 - 1) = "1", OFFSET($A$1, 124 - 1, 102 - 1) = "0" ), 2, IF( AND( OFFSET($A$1, 124 - 1, 101 - 1) = "0", OFFSET($A$1, 124 - 1, 102 - 1) = "1" ), 3, 4 ) ) )</f>
        <v>2</v>
      </c>
    </row>
    <row r="125" spans="3:103" ht="13.8" x14ac:dyDescent="0.3">
      <c r="C125" s="26" t="s">
        <v>721</v>
      </c>
      <c r="D125" s="24">
        <v>0.27395700162334341</v>
      </c>
      <c r="E125" s="24">
        <v>0.25557097218179914</v>
      </c>
      <c r="F125" s="24">
        <v>0.22280451361527723</v>
      </c>
      <c r="G125" s="24">
        <v>2.4889224810099298E-2</v>
      </c>
      <c r="H125" s="24">
        <v>-0.40701513614110529</v>
      </c>
      <c r="I125" s="24">
        <v>0.17967401415766895</v>
      </c>
      <c r="J125" s="24">
        <v>-0.13949855692421725</v>
      </c>
      <c r="K125" s="24">
        <v>-0.32988586498404632</v>
      </c>
      <c r="L125" s="24">
        <v>-0.27268418703805047</v>
      </c>
      <c r="M125" s="24">
        <v>0.16453613032156625</v>
      </c>
      <c r="N125" s="24">
        <v>-0.45392283506717279</v>
      </c>
      <c r="O125" s="24">
        <v>0.15293386755459348</v>
      </c>
      <c r="P125" s="24">
        <v>-0.15727628929956392</v>
      </c>
      <c r="Q125" s="24">
        <v>-0.42129157053281541</v>
      </c>
      <c r="CQ125" s="24">
        <v>0.99425645143974173</v>
      </c>
      <c r="CR125" s="24" t="str">
        <f t="shared" si="7"/>
        <v>1</v>
      </c>
      <c r="CS125" t="str">
        <f ca="1">IF((OFFSET($A$1, 125 - 1, 95 - 1)) &gt;= (OFFSET($A$1, 55 - 1, 7 - 1)), "1","0")</f>
        <v>1</v>
      </c>
      <c r="CT125">
        <f ca="1" xml:space="preserve"> IF( AND( OFFSET($A$1, 125 - 1, 96 - 1) = "1", OFFSET($A$1, 125 - 1, 97 - 1) = "1" ), 1, IF( AND( OFFSET($A$1, 125 - 1, 96 - 1) = "1", OFFSET($A$1, 125 - 1, 97 - 1) = "0" ), 2, IF( AND( OFFSET($A$1, 125 - 1, 96 - 1) = "0", OFFSET($A$1, 125 - 1, 97 - 1) = "1" ), 3, 4 ) ) )</f>
        <v>1</v>
      </c>
      <c r="CV125" s="24">
        <v>0.10114254031258869</v>
      </c>
      <c r="CW125" s="24" t="str">
        <f>"0"</f>
        <v>0</v>
      </c>
      <c r="CX125" t="str">
        <f ca="1">IF((OFFSET($A$1, 125 - 1, 100 - 1)) &gt;= (OFFSET($A$1, 79 - 1, 7 - 1)), "1","0")</f>
        <v>0</v>
      </c>
      <c r="CY125">
        <f ca="1" xml:space="preserve"> IF( AND( OFFSET($A$1, 125 - 1, 101 - 1) = "1", OFFSET($A$1, 125 - 1, 102 - 1) = "1" ), 1, IF( AND( OFFSET($A$1, 125 - 1, 101 - 1) = "1", OFFSET($A$1, 125 - 1, 102 - 1) = "0" ), 2, IF( AND( OFFSET($A$1, 125 - 1, 101 - 1) = "0", OFFSET($A$1, 125 - 1, 102 - 1) = "1" ), 3, 4 ) ) )</f>
        <v>4</v>
      </c>
    </row>
    <row r="126" spans="3:103" ht="13.8" x14ac:dyDescent="0.3">
      <c r="C126" s="26" t="s">
        <v>722</v>
      </c>
      <c r="D126" s="24">
        <v>-0.80993624549473275</v>
      </c>
      <c r="E126" s="24">
        <v>-0.82471900665227804</v>
      </c>
      <c r="F126" s="24">
        <v>-0.74250392028202483</v>
      </c>
      <c r="G126" s="24">
        <v>0.12236742420781768</v>
      </c>
      <c r="H126" s="24">
        <v>0.80412643412089613</v>
      </c>
      <c r="I126" s="24">
        <v>-0.91341690848228618</v>
      </c>
      <c r="J126" s="24">
        <v>0.13728926980731396</v>
      </c>
      <c r="K126" s="24">
        <v>0.96090796653138977</v>
      </c>
      <c r="L126" s="24">
        <v>0.19104573656482379</v>
      </c>
      <c r="M126" s="24">
        <v>-0.22832196728638859</v>
      </c>
      <c r="N126" s="24">
        <v>0.80198500920953752</v>
      </c>
      <c r="O126" s="24">
        <v>-0.59351855039951706</v>
      </c>
      <c r="P126" s="24">
        <v>0.14519277447187517</v>
      </c>
      <c r="Q126" s="24">
        <v>0.42931990552374188</v>
      </c>
      <c r="CQ126" s="24">
        <v>0.99095488394736708</v>
      </c>
      <c r="CR126" s="24" t="str">
        <f t="shared" si="7"/>
        <v>1</v>
      </c>
      <c r="CS126" t="str">
        <f ca="1">IF((OFFSET($A$1, 126 - 1, 95 - 1)) &gt;= (OFFSET($A$1, 55 - 1, 7 - 1)), "1","0")</f>
        <v>1</v>
      </c>
      <c r="CT126">
        <f ca="1" xml:space="preserve"> IF( AND( OFFSET($A$1, 126 - 1, 96 - 1) = "1", OFFSET($A$1, 126 - 1, 97 - 1) = "1" ), 1, IF( AND( OFFSET($A$1, 126 - 1, 96 - 1) = "1", OFFSET($A$1, 126 - 1, 97 - 1) = "0" ), 2, IF( AND( OFFSET($A$1, 126 - 1, 96 - 1) = "0", OFFSET($A$1, 126 - 1, 97 - 1) = "1" ), 3, 4 ) ) )</f>
        <v>1</v>
      </c>
      <c r="CV126" s="24">
        <v>0.39518112236379738</v>
      </c>
      <c r="CW126" s="24" t="str">
        <f>"1"</f>
        <v>1</v>
      </c>
      <c r="CX126" t="str">
        <f ca="1">IF((OFFSET($A$1, 126 - 1, 100 - 1)) &gt;= (OFFSET($A$1, 79 - 1, 7 - 1)), "1","0")</f>
        <v>0</v>
      </c>
      <c r="CY126">
        <f ca="1" xml:space="preserve"> IF( AND( OFFSET($A$1, 126 - 1, 101 - 1) = "1", OFFSET($A$1, 126 - 1, 102 - 1) = "1" ), 1, IF( AND( OFFSET($A$1, 126 - 1, 101 - 1) = "1", OFFSET($A$1, 126 - 1, 102 - 1) = "0" ), 2, IF( AND( OFFSET($A$1, 126 - 1, 101 - 1) = "0", OFFSET($A$1, 126 - 1, 102 - 1) = "1" ), 3, 4 ) ) )</f>
        <v>2</v>
      </c>
    </row>
    <row r="127" spans="3:103" ht="13.8" x14ac:dyDescent="0.3">
      <c r="C127" s="26" t="s">
        <v>723</v>
      </c>
      <c r="D127" s="24">
        <v>-0.70743734597228647</v>
      </c>
      <c r="E127" s="24">
        <v>-1.0923059713879482</v>
      </c>
      <c r="F127" s="24">
        <v>-0.28521129332671374</v>
      </c>
      <c r="G127" s="24">
        <v>-0.43038892735232703</v>
      </c>
      <c r="H127" s="24">
        <v>0.55198354318426468</v>
      </c>
      <c r="I127" s="24">
        <v>-1.0696417901913833</v>
      </c>
      <c r="J127" s="24">
        <v>-0.13468605064784911</v>
      </c>
      <c r="K127" s="24">
        <v>1.2752745506014544</v>
      </c>
      <c r="L127" s="24">
        <v>0.568619716754594</v>
      </c>
      <c r="M127" s="24">
        <v>-0.31245478642565011</v>
      </c>
      <c r="N127" s="24">
        <v>0.95775682460069578</v>
      </c>
      <c r="O127" s="24">
        <v>-0.78313498143627625</v>
      </c>
      <c r="P127" s="24">
        <v>0.20908129304786491</v>
      </c>
      <c r="Q127" s="24">
        <v>0.34337344525996671</v>
      </c>
      <c r="CQ127" s="24">
        <v>5.5436343458209626E-3</v>
      </c>
      <c r="CR127" s="24" t="str">
        <f>"0"</f>
        <v>0</v>
      </c>
      <c r="CS127" t="str">
        <f ca="1">IF((OFFSET($A$1, 127 - 1, 95 - 1)) &gt;= (OFFSET($A$1, 55 - 1, 7 - 1)), "1","0")</f>
        <v>0</v>
      </c>
      <c r="CT127">
        <f ca="1" xml:space="preserve"> IF( AND( OFFSET($A$1, 127 - 1, 96 - 1) = "1", OFFSET($A$1, 127 - 1, 97 - 1) = "1" ), 1, IF( AND( OFFSET($A$1, 127 - 1, 96 - 1) = "1", OFFSET($A$1, 127 - 1, 97 - 1) = "0" ), 2, IF( AND( OFFSET($A$1, 127 - 1, 96 - 1) = "0", OFFSET($A$1, 127 - 1, 97 - 1) = "1" ), 3, 4 ) ) )</f>
        <v>4</v>
      </c>
      <c r="CV127" s="24">
        <v>0.99346682630568417</v>
      </c>
      <c r="CW127" s="24" t="str">
        <f>"1"</f>
        <v>1</v>
      </c>
      <c r="CX127" t="str">
        <f ca="1">IF((OFFSET($A$1, 127 - 1, 100 - 1)) &gt;= (OFFSET($A$1, 79 - 1, 7 - 1)), "1","0")</f>
        <v>1</v>
      </c>
      <c r="CY127">
        <f ca="1" xml:space="preserve"> IF( AND( OFFSET($A$1, 127 - 1, 101 - 1) = "1", OFFSET($A$1, 127 - 1, 102 - 1) = "1" ), 1, IF( AND( OFFSET($A$1, 127 - 1, 101 - 1) = "1", OFFSET($A$1, 127 - 1, 102 - 1) = "0" ), 2, IF( AND( OFFSET($A$1, 127 - 1, 101 - 1) = "0", OFFSET($A$1, 127 - 1, 102 - 1) = "1" ), 3, 4 ) ) )</f>
        <v>1</v>
      </c>
    </row>
    <row r="128" spans="3:103" ht="13.8" x14ac:dyDescent="0.3">
      <c r="C128" s="26" t="s">
        <v>724</v>
      </c>
      <c r="D128" s="24">
        <v>0.24913722249563638</v>
      </c>
      <c r="E128" s="24">
        <v>0.28909511566996204</v>
      </c>
      <c r="F128" s="24">
        <v>0.31257377718451745</v>
      </c>
      <c r="G128" s="24">
        <v>7.0504333073848069E-3</v>
      </c>
      <c r="H128" s="24">
        <v>-0.38190780112550221</v>
      </c>
      <c r="I128" s="24">
        <v>-9.5857681742434406E-2</v>
      </c>
      <c r="J128" s="24">
        <v>-0.13160237416622669</v>
      </c>
      <c r="K128" s="24">
        <v>-0.32333344666570113</v>
      </c>
      <c r="L128" s="24">
        <v>-0.21029782784625647</v>
      </c>
      <c r="M128" s="24">
        <v>-3.9688286632496302E-2</v>
      </c>
      <c r="N128" s="24">
        <v>-0.59635424844389906</v>
      </c>
      <c r="O128" s="24">
        <v>0.13386121200234036</v>
      </c>
      <c r="P128" s="24">
        <v>-0.15702882833116105</v>
      </c>
      <c r="Q128" s="24">
        <v>-0.20666918964190664</v>
      </c>
      <c r="CQ128" s="24">
        <v>0.99403198446784136</v>
      </c>
      <c r="CR128" s="24" t="str">
        <f>"1"</f>
        <v>1</v>
      </c>
      <c r="CS128" t="str">
        <f ca="1">IF((OFFSET($A$1, 128 - 1, 95 - 1)) &gt;= (OFFSET($A$1, 55 - 1, 7 - 1)), "1","0")</f>
        <v>1</v>
      </c>
      <c r="CT128">
        <f ca="1" xml:space="preserve"> IF( AND( OFFSET($A$1, 128 - 1, 96 - 1) = "1", OFFSET($A$1, 128 - 1, 97 - 1) = "1" ), 1, IF( AND( OFFSET($A$1, 128 - 1, 96 - 1) = "1", OFFSET($A$1, 128 - 1, 97 - 1) = "0" ), 2, IF( AND( OFFSET($A$1, 128 - 1, 96 - 1) = "0", OFFSET($A$1, 128 - 1, 97 - 1) = "1" ), 3, 4 ) ) )</f>
        <v>1</v>
      </c>
      <c r="CV128" s="24">
        <v>0.4348691434031885</v>
      </c>
      <c r="CW128" s="24" t="str">
        <f>"0"</f>
        <v>0</v>
      </c>
      <c r="CX128" t="str">
        <f ca="1">IF((OFFSET($A$1, 128 - 1, 100 - 1)) &gt;= (OFFSET($A$1, 79 - 1, 7 - 1)), "1","0")</f>
        <v>0</v>
      </c>
      <c r="CY128">
        <f ca="1" xml:space="preserve"> IF( AND( OFFSET($A$1, 128 - 1, 101 - 1) = "1", OFFSET($A$1, 128 - 1, 102 - 1) = "1" ), 1, IF( AND( OFFSET($A$1, 128 - 1, 101 - 1) = "1", OFFSET($A$1, 128 - 1, 102 - 1) = "0" ), 2, IF( AND( OFFSET($A$1, 128 - 1, 101 - 1) = "0", OFFSET($A$1, 128 - 1, 102 - 1) = "1" ), 3, 4 ) ) )</f>
        <v>4</v>
      </c>
    </row>
    <row r="129" spans="3:103" ht="13.8" x14ac:dyDescent="0.3">
      <c r="C129" s="26" t="s">
        <v>725</v>
      </c>
      <c r="D129" s="24">
        <v>0.69547267503055821</v>
      </c>
      <c r="E129" s="24">
        <v>0.67366769612242705</v>
      </c>
      <c r="F129" s="24">
        <v>0.65715502712317908</v>
      </c>
      <c r="G129" s="24">
        <v>1.0725219468830142E-2</v>
      </c>
      <c r="H129" s="24">
        <v>-0.62414648248171012</v>
      </c>
      <c r="I129" s="24">
        <v>0.48988337502656271</v>
      </c>
      <c r="J129" s="24">
        <v>-4.5889608099400993E-2</v>
      </c>
      <c r="K129" s="24">
        <v>-0.69723830492439265</v>
      </c>
      <c r="L129" s="24">
        <v>-4.5185267513502957E-2</v>
      </c>
      <c r="M129" s="24">
        <v>0.16761617187823971</v>
      </c>
      <c r="N129" s="24">
        <v>-0.76488331470678128</v>
      </c>
      <c r="O129" s="24">
        <v>0.33130552626323267</v>
      </c>
      <c r="P129" s="24">
        <v>-0.28323913261877404</v>
      </c>
      <c r="Q129" s="24">
        <v>-0.35104176725940966</v>
      </c>
      <c r="CQ129" s="24">
        <v>0.99179136371402277</v>
      </c>
      <c r="CR129" s="24" t="str">
        <f>"1"</f>
        <v>1</v>
      </c>
      <c r="CS129" t="str">
        <f ca="1">IF((OFFSET($A$1, 129 - 1, 95 - 1)) &gt;= (OFFSET($A$1, 55 - 1, 7 - 1)), "1","0")</f>
        <v>1</v>
      </c>
      <c r="CT129">
        <f ca="1" xml:space="preserve"> IF( AND( OFFSET($A$1, 129 - 1, 96 - 1) = "1", OFFSET($A$1, 129 - 1, 97 - 1) = "1" ), 1, IF( AND( OFFSET($A$1, 129 - 1, 96 - 1) = "1", OFFSET($A$1, 129 - 1, 97 - 1) = "0" ), 2, IF( AND( OFFSET($A$1, 129 - 1, 96 - 1) = "0", OFFSET($A$1, 129 - 1, 97 - 1) = "1" ), 3, 4 ) ) )</f>
        <v>1</v>
      </c>
      <c r="CV129" s="24">
        <v>0.99436279813802186</v>
      </c>
      <c r="CW129" s="24" t="str">
        <f>"1"</f>
        <v>1</v>
      </c>
      <c r="CX129" t="str">
        <f ca="1">IF((OFFSET($A$1, 129 - 1, 100 - 1)) &gt;= (OFFSET($A$1, 79 - 1, 7 - 1)), "1","0")</f>
        <v>1</v>
      </c>
      <c r="CY129">
        <f ca="1" xml:space="preserve"> IF( AND( OFFSET($A$1, 129 - 1, 101 - 1) = "1", OFFSET($A$1, 129 - 1, 102 - 1) = "1" ), 1, IF( AND( OFFSET($A$1, 129 - 1, 101 - 1) = "1", OFFSET($A$1, 129 - 1, 102 - 1) = "0" ), 2, IF( AND( OFFSET($A$1, 129 - 1, 101 - 1) = "0", OFFSET($A$1, 129 - 1, 102 - 1) = "1" ), 3, 4 ) ) )</f>
        <v>1</v>
      </c>
    </row>
    <row r="130" spans="3:103" ht="13.8" x14ac:dyDescent="0.3">
      <c r="C130" s="26" t="s">
        <v>726</v>
      </c>
      <c r="D130" s="24">
        <v>-0.51308951884424947</v>
      </c>
      <c r="E130" s="24">
        <v>-0.3503744232299037</v>
      </c>
      <c r="F130" s="24">
        <v>-0.1890921322099153</v>
      </c>
      <c r="G130" s="24">
        <v>-0.215481167076258</v>
      </c>
      <c r="H130" s="24">
        <v>-8.0063770421074251E-2</v>
      </c>
      <c r="I130" s="24">
        <v>-0.32495142195786597</v>
      </c>
      <c r="J130" s="24">
        <v>4.0110726662943947E-3</v>
      </c>
      <c r="K130" s="24">
        <v>6.7412806621696075E-2</v>
      </c>
      <c r="L130" s="24">
        <v>-0.14775166202438708</v>
      </c>
      <c r="M130" s="24">
        <v>-0.11244800757678239</v>
      </c>
      <c r="N130" s="24">
        <v>7.9493100131750594E-2</v>
      </c>
      <c r="O130" s="24">
        <v>-0.274774246973087</v>
      </c>
      <c r="P130" s="24">
        <v>-6.3333433829119767E-2</v>
      </c>
      <c r="Q130" s="24">
        <v>-0.30487896748886328</v>
      </c>
      <c r="CQ130" s="24">
        <v>0.99727422519736175</v>
      </c>
      <c r="CR130" s="24" t="str">
        <f>"1"</f>
        <v>1</v>
      </c>
      <c r="CS130" t="str">
        <f ca="1">IF((OFFSET($A$1, 130 - 1, 95 - 1)) &gt;= (OFFSET($A$1, 55 - 1, 7 - 1)), "1","0")</f>
        <v>1</v>
      </c>
      <c r="CT130">
        <f ca="1" xml:space="preserve"> IF( AND( OFFSET($A$1, 130 - 1, 96 - 1) = "1", OFFSET($A$1, 130 - 1, 97 - 1) = "1" ), 1, IF( AND( OFFSET($A$1, 130 - 1, 96 - 1) = "1", OFFSET($A$1, 130 - 1, 97 - 1) = "0" ), 2, IF( AND( OFFSET($A$1, 130 - 1, 96 - 1) = "0", OFFSET($A$1, 130 - 1, 97 - 1) = "1" ), 3, 4 ) ) )</f>
        <v>1</v>
      </c>
      <c r="CV130" s="24">
        <v>4.6689635415147986E-2</v>
      </c>
      <c r="CW130" s="24" t="str">
        <f>"0"</f>
        <v>0</v>
      </c>
      <c r="CX130" t="str">
        <f ca="1">IF((OFFSET($A$1, 130 - 1, 100 - 1)) &gt;= (OFFSET($A$1, 79 - 1, 7 - 1)), "1","0")</f>
        <v>0</v>
      </c>
      <c r="CY130">
        <f ca="1" xml:space="preserve"> IF( AND( OFFSET($A$1, 130 - 1, 101 - 1) = "1", OFFSET($A$1, 130 - 1, 102 - 1) = "1" ), 1, IF( AND( OFFSET($A$1, 130 - 1, 101 - 1) = "1", OFFSET($A$1, 130 - 1, 102 - 1) = "0" ), 2, IF( AND( OFFSET($A$1, 130 - 1, 101 - 1) = "0", OFFSET($A$1, 130 - 1, 102 - 1) = "1" ), 3, 4 ) ) )</f>
        <v>4</v>
      </c>
    </row>
    <row r="131" spans="3:103" ht="13.8" x14ac:dyDescent="0.3">
      <c r="C131" s="26" t="s">
        <v>727</v>
      </c>
      <c r="D131" s="24">
        <v>-0.12472673305042818</v>
      </c>
      <c r="E131" s="24">
        <v>-7.9395823776195043E-2</v>
      </c>
      <c r="F131" s="24">
        <v>-0.2001643364809034</v>
      </c>
      <c r="G131" s="24">
        <v>-0.29656062249435811</v>
      </c>
      <c r="H131" s="24">
        <v>6.2276024583854256E-2</v>
      </c>
      <c r="I131" s="24">
        <v>-0.26416597688964716</v>
      </c>
      <c r="J131" s="24">
        <v>-0.30123804489266037</v>
      </c>
      <c r="K131" s="24">
        <v>0.15046307483176816</v>
      </c>
      <c r="L131" s="24">
        <v>-0.24490042623592254</v>
      </c>
      <c r="M131" s="24">
        <v>-0.28375734053752066</v>
      </c>
      <c r="N131" s="24">
        <v>-0.12850970714030241</v>
      </c>
      <c r="O131" s="24">
        <v>-0.18304871416926852</v>
      </c>
      <c r="P131" s="24">
        <v>-0.26877139857862831</v>
      </c>
      <c r="Q131" s="24">
        <v>-0.20377788295554072</v>
      </c>
      <c r="CQ131" s="24">
        <v>0.99953453276660087</v>
      </c>
      <c r="CR131" s="24" t="str">
        <f>"1"</f>
        <v>1</v>
      </c>
      <c r="CS131" t="str">
        <f ca="1">IF((OFFSET($A$1, 131 - 1, 95 - 1)) &gt;= (OFFSET($A$1, 55 - 1, 7 - 1)), "1","0")</f>
        <v>1</v>
      </c>
      <c r="CT131">
        <f ca="1" xml:space="preserve"> IF( AND( OFFSET($A$1, 131 - 1, 96 - 1) = "1", OFFSET($A$1, 131 - 1, 97 - 1) = "1" ), 1, IF( AND( OFFSET($A$1, 131 - 1, 96 - 1) = "1", OFFSET($A$1, 131 - 1, 97 - 1) = "0" ), 2, IF( AND( OFFSET($A$1, 131 - 1, 96 - 1) = "0", OFFSET($A$1, 131 - 1, 97 - 1) = "1" ), 3, 4 ) ) )</f>
        <v>1</v>
      </c>
      <c r="CV131" s="24">
        <v>0.96695205453958055</v>
      </c>
      <c r="CW131" s="24" t="str">
        <f>"0"</f>
        <v>0</v>
      </c>
      <c r="CX131" t="str">
        <f ca="1">IF((OFFSET($A$1, 131 - 1, 100 - 1)) &gt;= (OFFSET($A$1, 79 - 1, 7 - 1)), "1","0")</f>
        <v>1</v>
      </c>
      <c r="CY131">
        <f ca="1" xml:space="preserve"> IF( AND( OFFSET($A$1, 131 - 1, 101 - 1) = "1", OFFSET($A$1, 131 - 1, 102 - 1) = "1" ), 1, IF( AND( OFFSET($A$1, 131 - 1, 101 - 1) = "1", OFFSET($A$1, 131 - 1, 102 - 1) = "0" ), 2, IF( AND( OFFSET($A$1, 131 - 1, 101 - 1) = "0", OFFSET($A$1, 131 - 1, 102 - 1) = "1" ), 3, 4 ) ) )</f>
        <v>3</v>
      </c>
    </row>
    <row r="132" spans="3:103" ht="13.8" x14ac:dyDescent="0.3">
      <c r="C132" s="26" t="s">
        <v>728</v>
      </c>
      <c r="D132" s="24">
        <v>0.10160993269780098</v>
      </c>
      <c r="E132" s="24">
        <v>0.13435837366998088</v>
      </c>
      <c r="F132" s="24">
        <v>3.8326299304822967E-2</v>
      </c>
      <c r="G132" s="24">
        <v>4.426609463849966E-3</v>
      </c>
      <c r="H132" s="24">
        <v>-0.10189707120195182</v>
      </c>
      <c r="I132" s="24">
        <v>-0.22339673617651332</v>
      </c>
      <c r="J132" s="24">
        <v>-9.2867316005324621E-2</v>
      </c>
      <c r="K132" s="24">
        <v>-0.20170650032651949</v>
      </c>
      <c r="L132" s="24">
        <v>-0.26572959287810954</v>
      </c>
      <c r="M132" s="24">
        <v>-0.13107201918404857</v>
      </c>
      <c r="N132" s="24">
        <v>-0.35600181748743887</v>
      </c>
      <c r="O132" s="24">
        <v>-0.20866067929099899</v>
      </c>
      <c r="P132" s="24">
        <v>-6.4254248461107596E-2</v>
      </c>
      <c r="Q132" s="24">
        <v>-0.4261864251358895</v>
      </c>
      <c r="CQ132" s="24">
        <v>0.98120180349624908</v>
      </c>
      <c r="CR132" s="24" t="str">
        <f>"1"</f>
        <v>1</v>
      </c>
      <c r="CS132" t="str">
        <f ca="1">IF((OFFSET($A$1, 132 - 1, 95 - 1)) &gt;= (OFFSET($A$1, 55 - 1, 7 - 1)), "1","0")</f>
        <v>1</v>
      </c>
      <c r="CT132">
        <f ca="1" xml:space="preserve"> IF( AND( OFFSET($A$1, 132 - 1, 96 - 1) = "1", OFFSET($A$1, 132 - 1, 97 - 1) = "1" ), 1, IF( AND( OFFSET($A$1, 132 - 1, 96 - 1) = "1", OFFSET($A$1, 132 - 1, 97 - 1) = "0" ), 2, IF( AND( OFFSET($A$1, 132 - 1, 96 - 1) = "0", OFFSET($A$1, 132 - 1, 97 - 1) = "1" ), 3, 4 ) ) )</f>
        <v>1</v>
      </c>
      <c r="CV132" s="24">
        <v>0.99960539080675725</v>
      </c>
      <c r="CW132" s="24" t="str">
        <f>"1"</f>
        <v>1</v>
      </c>
      <c r="CX132" t="str">
        <f ca="1">IF((OFFSET($A$1, 132 - 1, 100 - 1)) &gt;= (OFFSET($A$1, 79 - 1, 7 - 1)), "1","0")</f>
        <v>1</v>
      </c>
      <c r="CY132">
        <f ca="1" xml:space="preserve"> IF( AND( OFFSET($A$1, 132 - 1, 101 - 1) = "1", OFFSET($A$1, 132 - 1, 102 - 1) = "1" ), 1, IF( AND( OFFSET($A$1, 132 - 1, 101 - 1) = "1", OFFSET($A$1, 132 - 1, 102 - 1) = "0" ), 2, IF( AND( OFFSET($A$1, 132 - 1, 101 - 1) = "0", OFFSET($A$1, 132 - 1, 102 - 1) = "1" ), 3, 4 ) ) )</f>
        <v>1</v>
      </c>
    </row>
    <row r="133" spans="3:103" ht="13.8" x14ac:dyDescent="0.3">
      <c r="C133" s="26" t="s">
        <v>729</v>
      </c>
      <c r="D133" s="24">
        <v>-0.51717003899115177</v>
      </c>
      <c r="E133" s="24">
        <v>-0.52586527683162709</v>
      </c>
      <c r="F133" s="24">
        <v>-0.32411546512508166</v>
      </c>
      <c r="G133" s="24">
        <v>-0.24335966694855379</v>
      </c>
      <c r="H133" s="24">
        <v>0.11549099058709339</v>
      </c>
      <c r="I133" s="24">
        <v>-0.4302906506392023</v>
      </c>
      <c r="J133" s="24">
        <v>-5.7738103562111932E-2</v>
      </c>
      <c r="K133" s="24">
        <v>9.0068874175760261E-2</v>
      </c>
      <c r="L133" s="24">
        <v>1.977448177867297E-2</v>
      </c>
      <c r="M133" s="24">
        <v>-0.30147629256915515</v>
      </c>
      <c r="N133" s="24">
        <v>0.22855267779888777</v>
      </c>
      <c r="O133" s="24">
        <v>-0.11457370369289609</v>
      </c>
      <c r="P133" s="24">
        <v>0.12171905638472151</v>
      </c>
      <c r="Q133" s="24">
        <v>-0.15284435581854572</v>
      </c>
      <c r="CQ133" s="24">
        <v>0.25884290939120808</v>
      </c>
      <c r="CR133" s="24" t="str">
        <f>"0"</f>
        <v>0</v>
      </c>
      <c r="CS133" t="str">
        <f ca="1">IF((OFFSET($A$1, 133 - 1, 95 - 1)) &gt;= (OFFSET($A$1, 55 - 1, 7 - 1)), "1","0")</f>
        <v>0</v>
      </c>
      <c r="CT133">
        <f ca="1" xml:space="preserve"> IF( AND( OFFSET($A$1, 133 - 1, 96 - 1) = "1", OFFSET($A$1, 133 - 1, 97 - 1) = "1" ), 1, IF( AND( OFFSET($A$1, 133 - 1, 96 - 1) = "1", OFFSET($A$1, 133 - 1, 97 - 1) = "0" ), 2, IF( AND( OFFSET($A$1, 133 - 1, 96 - 1) = "0", OFFSET($A$1, 133 - 1, 97 - 1) = "1" ), 3, 4 ) ) )</f>
        <v>4</v>
      </c>
      <c r="CV133" s="24">
        <v>6.9320780931609163E-2</v>
      </c>
      <c r="CW133" s="24" t="str">
        <f>"1"</f>
        <v>1</v>
      </c>
      <c r="CX133" t="str">
        <f ca="1">IF((OFFSET($A$1, 133 - 1, 100 - 1)) &gt;= (OFFSET($A$1, 79 - 1, 7 - 1)), "1","0")</f>
        <v>0</v>
      </c>
      <c r="CY133">
        <f ca="1" xml:space="preserve"> IF( AND( OFFSET($A$1, 133 - 1, 101 - 1) = "1", OFFSET($A$1, 133 - 1, 102 - 1) = "1" ), 1, IF( AND( OFFSET($A$1, 133 - 1, 101 - 1) = "1", OFFSET($A$1, 133 - 1, 102 - 1) = "0" ), 2, IF( AND( OFFSET($A$1, 133 - 1, 101 - 1) = "0", OFFSET($A$1, 133 - 1, 102 - 1) = "1" ), 3, 4 ) ) )</f>
        <v>2</v>
      </c>
    </row>
    <row r="134" spans="3:103" ht="13.8" x14ac:dyDescent="0.3">
      <c r="C134" s="26" t="s">
        <v>730</v>
      </c>
      <c r="D134" s="24">
        <v>-0.55159099315691418</v>
      </c>
      <c r="E134" s="24">
        <v>-0.59410263751093351</v>
      </c>
      <c r="F134" s="24">
        <v>-0.38592937368508745</v>
      </c>
      <c r="G134" s="24">
        <v>-0.19105507963295837</v>
      </c>
      <c r="H134" s="24">
        <v>8.484302966462455E-2</v>
      </c>
      <c r="I134" s="24">
        <v>-0.44590872045359486</v>
      </c>
      <c r="J134" s="24">
        <v>-0.22898905857105412</v>
      </c>
      <c r="K134" s="24">
        <v>0.52418742653777051</v>
      </c>
      <c r="L134" s="24">
        <v>0.10693145417324465</v>
      </c>
      <c r="M134" s="24">
        <v>-0.23180631618691611</v>
      </c>
      <c r="N134" s="24">
        <v>0.45785037723803335</v>
      </c>
      <c r="O134" s="24">
        <v>-0.37685089331889121</v>
      </c>
      <c r="P134" s="24">
        <v>-3.7787310589090635E-2</v>
      </c>
      <c r="Q134" s="24">
        <v>-7.3541689821225595E-2</v>
      </c>
      <c r="CQ134" s="24">
        <v>0.99580345768218526</v>
      </c>
      <c r="CR134" s="24" t="str">
        <f t="shared" ref="CR134:CR139" si="9">"1"</f>
        <v>1</v>
      </c>
      <c r="CS134" t="str">
        <f ca="1">IF((OFFSET($A$1, 134 - 1, 95 - 1)) &gt;= (OFFSET($A$1, 55 - 1, 7 - 1)), "1","0")</f>
        <v>1</v>
      </c>
      <c r="CT134">
        <f ca="1" xml:space="preserve"> IF( AND( OFFSET($A$1, 134 - 1, 96 - 1) = "1", OFFSET($A$1, 134 - 1, 97 - 1) = "1" ), 1, IF( AND( OFFSET($A$1, 134 - 1, 96 - 1) = "1", OFFSET($A$1, 134 - 1, 97 - 1) = "0" ), 2, IF( AND( OFFSET($A$1, 134 - 1, 96 - 1) = "0", OFFSET($A$1, 134 - 1, 97 - 1) = "1" ), 3, 4 ) ) )</f>
        <v>1</v>
      </c>
      <c r="CV134" s="24">
        <v>4.2301099209731539E-2</v>
      </c>
      <c r="CW134" s="24" t="str">
        <f>"0"</f>
        <v>0</v>
      </c>
      <c r="CX134" t="str">
        <f ca="1">IF((OFFSET($A$1, 134 - 1, 100 - 1)) &gt;= (OFFSET($A$1, 79 - 1, 7 - 1)), "1","0")</f>
        <v>0</v>
      </c>
      <c r="CY134">
        <f ca="1" xml:space="preserve"> IF( AND( OFFSET($A$1, 134 - 1, 101 - 1) = "1", OFFSET($A$1, 134 - 1, 102 - 1) = "1" ), 1, IF( AND( OFFSET($A$1, 134 - 1, 101 - 1) = "1", OFFSET($A$1, 134 - 1, 102 - 1) = "0" ), 2, IF( AND( OFFSET($A$1, 134 - 1, 101 - 1) = "0", OFFSET($A$1, 134 - 1, 102 - 1) = "1" ), 3, 4 ) ) )</f>
        <v>4</v>
      </c>
    </row>
    <row r="135" spans="3:103" ht="13.8" x14ac:dyDescent="0.3">
      <c r="C135" s="26" t="s">
        <v>736</v>
      </c>
      <c r="D135" s="24">
        <v>-0.72470065247362692</v>
      </c>
      <c r="E135" s="24">
        <v>-0.66172564136810419</v>
      </c>
      <c r="F135" s="24">
        <v>-0.3204036669653052</v>
      </c>
      <c r="G135" s="24">
        <v>-0.17447147653151504</v>
      </c>
      <c r="H135" s="24">
        <v>0.43747902920576881</v>
      </c>
      <c r="I135" s="24">
        <v>-0.59663676083376127</v>
      </c>
      <c r="J135" s="24">
        <v>-2.735153567189625E-2</v>
      </c>
      <c r="K135" s="24">
        <v>0.40493177407091818</v>
      </c>
      <c r="L135" s="24">
        <v>-2.8134534685260101E-2</v>
      </c>
      <c r="M135" s="24">
        <v>-0.18448322854155044</v>
      </c>
      <c r="N135" s="24">
        <v>0.35437066020561436</v>
      </c>
      <c r="O135" s="24">
        <v>-0.21180131728173845</v>
      </c>
      <c r="P135" s="24">
        <v>1.650835193037772E-2</v>
      </c>
      <c r="Q135" s="24">
        <v>-1.5321934016586845E-2</v>
      </c>
      <c r="CQ135" s="24">
        <v>0.99391226213297224</v>
      </c>
      <c r="CR135" s="24" t="str">
        <f t="shared" si="9"/>
        <v>1</v>
      </c>
      <c r="CS135" t="str">
        <f ca="1">IF((OFFSET($A$1, 135 - 1, 95 - 1)) &gt;= (OFFSET($A$1, 55 - 1, 7 - 1)), "1","0")</f>
        <v>1</v>
      </c>
      <c r="CT135">
        <f ca="1" xml:space="preserve"> IF( AND( OFFSET($A$1, 135 - 1, 96 - 1) = "1", OFFSET($A$1, 135 - 1, 97 - 1) = "1" ), 1, IF( AND( OFFSET($A$1, 135 - 1, 96 - 1) = "1", OFFSET($A$1, 135 - 1, 97 - 1) = "0" ), 2, IF( AND( OFFSET($A$1, 135 - 1, 96 - 1) = "0", OFFSET($A$1, 135 - 1, 97 - 1) = "1" ), 3, 4 ) ) )</f>
        <v>1</v>
      </c>
      <c r="CV135" s="24">
        <v>0.98749653098204782</v>
      </c>
      <c r="CW135" s="24" t="str">
        <f>"0"</f>
        <v>0</v>
      </c>
      <c r="CX135" t="str">
        <f ca="1">IF((OFFSET($A$1, 135 - 1, 100 - 1)) &gt;= (OFFSET($A$1, 79 - 1, 7 - 1)), "1","0")</f>
        <v>1</v>
      </c>
      <c r="CY135">
        <f ca="1" xml:space="preserve"> IF( AND( OFFSET($A$1, 135 - 1, 101 - 1) = "1", OFFSET($A$1, 135 - 1, 102 - 1) = "1" ), 1, IF( AND( OFFSET($A$1, 135 - 1, 101 - 1) = "1", OFFSET($A$1, 135 - 1, 102 - 1) = "0" ), 2, IF( AND( OFFSET($A$1, 135 - 1, 101 - 1) = "0", OFFSET($A$1, 135 - 1, 102 - 1) = "1" ), 3, 4 ) ) )</f>
        <v>3</v>
      </c>
    </row>
    <row r="136" spans="3:103" ht="13.8" x14ac:dyDescent="0.3">
      <c r="C136" s="26" t="s">
        <v>737</v>
      </c>
      <c r="D136" s="24">
        <v>-0.42777167245846004</v>
      </c>
      <c r="E136" s="24">
        <v>-0.83105083979088368</v>
      </c>
      <c r="F136" s="24">
        <v>-0.17207562645413046</v>
      </c>
      <c r="G136" s="24">
        <v>-0.34996439742792929</v>
      </c>
      <c r="H136" s="24">
        <v>2.6711087177052804E-3</v>
      </c>
      <c r="I136" s="24">
        <v>-0.84635943305357442</v>
      </c>
      <c r="J136" s="24">
        <v>-4.3795066511554966E-2</v>
      </c>
      <c r="K136" s="24">
        <v>0.70371601689514474</v>
      </c>
      <c r="L136" s="24">
        <v>0.36236323955580935</v>
      </c>
      <c r="M136" s="24">
        <v>-0.45617737610316905</v>
      </c>
      <c r="N136" s="24">
        <v>0.54563090971452599</v>
      </c>
      <c r="O136" s="24">
        <v>-0.42783273634282765</v>
      </c>
      <c r="P136" s="24">
        <v>-2.7133542076056526E-2</v>
      </c>
      <c r="Q136" s="24">
        <v>5.9250712606894206E-2</v>
      </c>
      <c r="CQ136" s="24">
        <v>0.92118408867833113</v>
      </c>
      <c r="CR136" s="24" t="str">
        <f t="shared" si="9"/>
        <v>1</v>
      </c>
      <c r="CS136" t="str">
        <f ca="1">IF((OFFSET($A$1, 136 - 1, 95 - 1)) &gt;= (OFFSET($A$1, 55 - 1, 7 - 1)), "1","0")</f>
        <v>1</v>
      </c>
      <c r="CT136">
        <f ca="1" xml:space="preserve"> IF( AND( OFFSET($A$1, 136 - 1, 96 - 1) = "1", OFFSET($A$1, 136 - 1, 97 - 1) = "1" ), 1, IF( AND( OFFSET($A$1, 136 - 1, 96 - 1) = "1", OFFSET($A$1, 136 - 1, 97 - 1) = "0" ), 2, IF( AND( OFFSET($A$1, 136 - 1, 96 - 1) = "0", OFFSET($A$1, 136 - 1, 97 - 1) = "1" ), 3, 4 ) ) )</f>
        <v>1</v>
      </c>
      <c r="CV136" s="24">
        <v>0.31521643482697342</v>
      </c>
      <c r="CW136" s="24" t="str">
        <f>"0"</f>
        <v>0</v>
      </c>
      <c r="CX136" t="str">
        <f ca="1">IF((OFFSET($A$1, 136 - 1, 100 - 1)) &gt;= (OFFSET($A$1, 79 - 1, 7 - 1)), "1","0")</f>
        <v>0</v>
      </c>
      <c r="CY136">
        <f ca="1" xml:space="preserve"> IF( AND( OFFSET($A$1, 136 - 1, 101 - 1) = "1", OFFSET($A$1, 136 - 1, 102 - 1) = "1" ), 1, IF( AND( OFFSET($A$1, 136 - 1, 101 - 1) = "1", OFFSET($A$1, 136 - 1, 102 - 1) = "0" ), 2, IF( AND( OFFSET($A$1, 136 - 1, 101 - 1) = "0", OFFSET($A$1, 136 - 1, 102 - 1) = "1" ), 3, 4 ) ) )</f>
        <v>4</v>
      </c>
    </row>
    <row r="137" spans="3:103" ht="13.8" x14ac:dyDescent="0.3">
      <c r="C137" s="26" t="s">
        <v>738</v>
      </c>
      <c r="D137" s="24">
        <v>-6.4551110556693603E-2</v>
      </c>
      <c r="E137" s="24">
        <v>-0.44996237556413782</v>
      </c>
      <c r="F137" s="24">
        <v>-6.6761484092294932E-2</v>
      </c>
      <c r="G137" s="24">
        <v>-3.6047384663919602E-2</v>
      </c>
      <c r="H137" s="24">
        <v>-0.21859908499062072</v>
      </c>
      <c r="I137" s="24">
        <v>-0.4280490396906183</v>
      </c>
      <c r="J137" s="24">
        <v>-0.32577374203284998</v>
      </c>
      <c r="K137" s="24">
        <v>-6.5787425539572106E-2</v>
      </c>
      <c r="L137" s="24">
        <v>-0.11093041067495675</v>
      </c>
      <c r="M137" s="24">
        <v>-0.18017864486228921</v>
      </c>
      <c r="N137" s="24">
        <v>4.9358599094936451E-2</v>
      </c>
      <c r="O137" s="24">
        <v>-0.25026214436257155</v>
      </c>
      <c r="P137" s="24">
        <v>-0.28857509246636298</v>
      </c>
      <c r="Q137" s="24">
        <v>-0.33724186048269156</v>
      </c>
      <c r="CQ137" s="24">
        <v>0.84693199439831757</v>
      </c>
      <c r="CR137" s="24" t="str">
        <f t="shared" si="9"/>
        <v>1</v>
      </c>
      <c r="CS137" t="str">
        <f ca="1">IF((OFFSET($A$1, 137 - 1, 95 - 1)) &gt;= (OFFSET($A$1, 55 - 1, 7 - 1)), "1","0")</f>
        <v>1</v>
      </c>
      <c r="CT137">
        <f ca="1" xml:space="preserve"> IF( AND( OFFSET($A$1, 137 - 1, 96 - 1) = "1", OFFSET($A$1, 137 - 1, 97 - 1) = "1" ), 1, IF( AND( OFFSET($A$1, 137 - 1, 96 - 1) = "1", OFFSET($A$1, 137 - 1, 97 - 1) = "0" ), 2, IF( AND( OFFSET($A$1, 137 - 1, 96 - 1) = "0", OFFSET($A$1, 137 - 1, 97 - 1) = "1" ), 3, 4 ) ) )</f>
        <v>1</v>
      </c>
      <c r="CV137" s="24">
        <v>0.9513000404926214</v>
      </c>
      <c r="CW137" s="24" t="str">
        <f>"1"</f>
        <v>1</v>
      </c>
      <c r="CX137" t="str">
        <f ca="1">IF((OFFSET($A$1, 137 - 1, 100 - 1)) &gt;= (OFFSET($A$1, 79 - 1, 7 - 1)), "1","0")</f>
        <v>1</v>
      </c>
      <c r="CY137">
        <f ca="1" xml:space="preserve"> IF( AND( OFFSET($A$1, 137 - 1, 101 - 1) = "1", OFFSET($A$1, 137 - 1, 102 - 1) = "1" ), 1, IF( AND( OFFSET($A$1, 137 - 1, 101 - 1) = "1", OFFSET($A$1, 137 - 1, 102 - 1) = "0" ), 2, IF( AND( OFFSET($A$1, 137 - 1, 101 - 1) = "0", OFFSET($A$1, 137 - 1, 102 - 1) = "1" ), 3, 4 ) ) )</f>
        <v>1</v>
      </c>
    </row>
    <row r="138" spans="3:103" ht="13.8" x14ac:dyDescent="0.3">
      <c r="C138" s="26" t="s">
        <v>739</v>
      </c>
      <c r="D138" s="24">
        <v>0.24435767937313554</v>
      </c>
      <c r="E138" s="24">
        <v>-0.13951246175539372</v>
      </c>
      <c r="F138" s="24">
        <v>8.3427848810064098E-2</v>
      </c>
      <c r="G138" s="24">
        <v>-0.12549381455459163</v>
      </c>
      <c r="H138" s="24">
        <v>-0.19986993792783117</v>
      </c>
      <c r="I138" s="24">
        <v>-0.20202991943650367</v>
      </c>
      <c r="J138" s="24">
        <v>-0.10053033438202094</v>
      </c>
      <c r="K138" s="24">
        <v>-0.15510864566511787</v>
      </c>
      <c r="L138" s="24">
        <v>-0.30899917311357544</v>
      </c>
      <c r="M138" s="24">
        <v>-0.17044660384518301</v>
      </c>
      <c r="N138" s="24">
        <v>-0.19718723885654915</v>
      </c>
      <c r="O138" s="24">
        <v>-0.17968666662726621</v>
      </c>
      <c r="P138" s="24">
        <v>-0.10408752155130135</v>
      </c>
      <c r="Q138" s="24">
        <v>-0.43404352862224727</v>
      </c>
      <c r="CQ138" s="24">
        <v>0.89106864997909818</v>
      </c>
      <c r="CR138" s="24" t="str">
        <f t="shared" si="9"/>
        <v>1</v>
      </c>
      <c r="CS138" t="str">
        <f ca="1">IF((OFFSET($A$1, 138 - 1, 95 - 1)) &gt;= (OFFSET($A$1, 55 - 1, 7 - 1)), "1","0")</f>
        <v>1</v>
      </c>
      <c r="CT138">
        <f ca="1" xml:space="preserve"> IF( AND( OFFSET($A$1, 138 - 1, 96 - 1) = "1", OFFSET($A$1, 138 - 1, 97 - 1) = "1" ), 1, IF( AND( OFFSET($A$1, 138 - 1, 96 - 1) = "1", OFFSET($A$1, 138 - 1, 97 - 1) = "0" ), 2, IF( AND( OFFSET($A$1, 138 - 1, 96 - 1) = "0", OFFSET($A$1, 138 - 1, 97 - 1) = "1" ), 3, 4 ) ) )</f>
        <v>1</v>
      </c>
      <c r="CV138" s="24">
        <v>0.93698138866942204</v>
      </c>
      <c r="CW138" s="24" t="str">
        <f>"0"</f>
        <v>0</v>
      </c>
      <c r="CX138" t="str">
        <f ca="1">IF((OFFSET($A$1, 138 - 1, 100 - 1)) &gt;= (OFFSET($A$1, 79 - 1, 7 - 1)), "1","0")</f>
        <v>1</v>
      </c>
      <c r="CY138">
        <f ca="1" xml:space="preserve"> IF( AND( OFFSET($A$1, 138 - 1, 101 - 1) = "1", OFFSET($A$1, 138 - 1, 102 - 1) = "1" ), 1, IF( AND( OFFSET($A$1, 138 - 1, 101 - 1) = "1", OFFSET($A$1, 138 - 1, 102 - 1) = "0" ), 2, IF( AND( OFFSET($A$1, 138 - 1, 101 - 1) = "0", OFFSET($A$1, 138 - 1, 102 - 1) = "1" ), 3, 4 ) ) )</f>
        <v>3</v>
      </c>
    </row>
    <row r="139" spans="3:103" ht="13.8" x14ac:dyDescent="0.3">
      <c r="C139" s="26" t="s">
        <v>740</v>
      </c>
      <c r="D139" s="24">
        <v>1.8195992961678582</v>
      </c>
      <c r="E139" s="24">
        <v>1.652596309857832</v>
      </c>
      <c r="F139" s="24">
        <v>1.7757784027502765</v>
      </c>
      <c r="G139" s="24">
        <v>0.10364806705325752</v>
      </c>
      <c r="H139" s="24">
        <v>-1.7103406182368448</v>
      </c>
      <c r="I139" s="24">
        <v>1.1315053549922702</v>
      </c>
      <c r="J139" s="24">
        <v>5.9594428172867357E-2</v>
      </c>
      <c r="K139" s="24">
        <v>-2.1214344650531807</v>
      </c>
      <c r="L139" s="24">
        <v>-0.74867483307499871</v>
      </c>
      <c r="M139" s="24">
        <v>0.50229409081072285</v>
      </c>
      <c r="N139" s="24">
        <v>-2.3694399599209492</v>
      </c>
      <c r="O139" s="24">
        <v>1.1133631712834531</v>
      </c>
      <c r="P139" s="24">
        <v>-1.0443179646888716</v>
      </c>
      <c r="Q139" s="24">
        <v>-0.94923038901077283</v>
      </c>
      <c r="CQ139" s="24">
        <v>0.98192349377730337</v>
      </c>
      <c r="CR139" s="24" t="str">
        <f t="shared" si="9"/>
        <v>1</v>
      </c>
      <c r="CS139" t="str">
        <f ca="1">IF((OFFSET($A$1, 139 - 1, 95 - 1)) &gt;= (OFFSET($A$1, 55 - 1, 7 - 1)), "1","0")</f>
        <v>1</v>
      </c>
      <c r="CT139">
        <f ca="1" xml:space="preserve"> IF( AND( OFFSET($A$1, 139 - 1, 96 - 1) = "1", OFFSET($A$1, 139 - 1, 97 - 1) = "1" ), 1, IF( AND( OFFSET($A$1, 139 - 1, 96 - 1) = "1", OFFSET($A$1, 139 - 1, 97 - 1) = "0" ), 2, IF( AND( OFFSET($A$1, 139 - 1, 96 - 1) = "0", OFFSET($A$1, 139 - 1, 97 - 1) = "1" ), 3, 4 ) ) )</f>
        <v>1</v>
      </c>
      <c r="CV139" s="24">
        <v>8.0645778171917051E-2</v>
      </c>
      <c r="CW139" s="24" t="str">
        <f>"0"</f>
        <v>0</v>
      </c>
      <c r="CX139" t="str">
        <f ca="1">IF((OFFSET($A$1, 139 - 1, 100 - 1)) &gt;= (OFFSET($A$1, 79 - 1, 7 - 1)), "1","0")</f>
        <v>0</v>
      </c>
      <c r="CY139">
        <f ca="1" xml:space="preserve"> IF( AND( OFFSET($A$1, 139 - 1, 101 - 1) = "1", OFFSET($A$1, 139 - 1, 102 - 1) = "1" ), 1, IF( AND( OFFSET($A$1, 139 - 1, 101 - 1) = "1", OFFSET($A$1, 139 - 1, 102 - 1) = "0" ), 2, IF( AND( OFFSET($A$1, 139 - 1, 101 - 1) = "0", OFFSET($A$1, 139 - 1, 102 - 1) = "1" ), 3, 4 ) ) )</f>
        <v>4</v>
      </c>
    </row>
    <row r="140" spans="3:103" ht="13.8" x14ac:dyDescent="0.3">
      <c r="C140" s="26" t="s">
        <v>741</v>
      </c>
      <c r="D140" s="24">
        <v>-0.48678564746232772</v>
      </c>
      <c r="E140" s="24">
        <v>-0.46137055112591258</v>
      </c>
      <c r="F140" s="24">
        <v>-0.41277045968883347</v>
      </c>
      <c r="G140" s="24">
        <v>-0.21419203927701569</v>
      </c>
      <c r="H140" s="24">
        <v>-5.0976976636422526E-2</v>
      </c>
      <c r="I140" s="24">
        <v>-0.49002898110207155</v>
      </c>
      <c r="J140" s="24">
        <v>-6.0024277838300499E-2</v>
      </c>
      <c r="K140" s="24">
        <v>0.40355855923793899</v>
      </c>
      <c r="L140" s="24">
        <v>1.4800726255486894E-2</v>
      </c>
      <c r="M140" s="24">
        <v>-0.36320491975763058</v>
      </c>
      <c r="N140" s="24">
        <v>0.18933827260626257</v>
      </c>
      <c r="O140" s="24">
        <v>-0.17389173744550615</v>
      </c>
      <c r="P140" s="24">
        <v>-0.23058771009173692</v>
      </c>
      <c r="Q140" s="24">
        <v>-0.13488224975984445</v>
      </c>
      <c r="CQ140" s="24">
        <v>0.41914191477159468</v>
      </c>
      <c r="CR140" s="24" t="str">
        <f>"0"</f>
        <v>0</v>
      </c>
      <c r="CS140" t="str">
        <f ca="1">IF((OFFSET($A$1, 140 - 1, 95 - 1)) &gt;= (OFFSET($A$1, 55 - 1, 7 - 1)), "1","0")</f>
        <v>0</v>
      </c>
      <c r="CT140">
        <f ca="1" xml:space="preserve"> IF( AND( OFFSET($A$1, 140 - 1, 96 - 1) = "1", OFFSET($A$1, 140 - 1, 97 - 1) = "1" ), 1, IF( AND( OFFSET($A$1, 140 - 1, 96 - 1) = "1", OFFSET($A$1, 140 - 1, 97 - 1) = "0" ), 2, IF( AND( OFFSET($A$1, 140 - 1, 96 - 1) = "0", OFFSET($A$1, 140 - 1, 97 - 1) = "1" ), 3, 4 ) ) )</f>
        <v>4</v>
      </c>
      <c r="CV140" s="24">
        <v>0.93941818461638504</v>
      </c>
      <c r="CW140" s="24" t="str">
        <f>"1"</f>
        <v>1</v>
      </c>
      <c r="CX140" t="str">
        <f ca="1">IF((OFFSET($A$1, 140 - 1, 100 - 1)) &gt;= (OFFSET($A$1, 79 - 1, 7 - 1)), "1","0")</f>
        <v>1</v>
      </c>
      <c r="CY140">
        <f ca="1" xml:space="preserve"> IF( AND( OFFSET($A$1, 140 - 1, 101 - 1) = "1", OFFSET($A$1, 140 - 1, 102 - 1) = "1" ), 1, IF( AND( OFFSET($A$1, 140 - 1, 101 - 1) = "1", OFFSET($A$1, 140 - 1, 102 - 1) = "0" ), 2, IF( AND( OFFSET($A$1, 140 - 1, 101 - 1) = "0", OFFSET($A$1, 140 - 1, 102 - 1) = "1" ), 3, 4 ) ) )</f>
        <v>1</v>
      </c>
    </row>
    <row r="141" spans="3:103" ht="13.8" x14ac:dyDescent="0.3">
      <c r="C141" s="26" t="s">
        <v>742</v>
      </c>
      <c r="D141" s="24">
        <v>-0.12750844242299433</v>
      </c>
      <c r="E141" s="24">
        <v>-5.8410606512236805E-2</v>
      </c>
      <c r="F141" s="24">
        <v>-0.11644858649873681</v>
      </c>
      <c r="G141" s="24">
        <v>-4.5735846432677059E-3</v>
      </c>
      <c r="H141" s="24">
        <v>-6.1683255230483937E-2</v>
      </c>
      <c r="I141" s="24">
        <v>-0.21213070889584723</v>
      </c>
      <c r="J141" s="24">
        <v>-0.26426656933503695</v>
      </c>
      <c r="K141" s="24">
        <v>-0.20137196713915401</v>
      </c>
      <c r="L141" s="24">
        <v>-5.2340711818688906E-2</v>
      </c>
      <c r="M141" s="24">
        <v>-0.28316210430272731</v>
      </c>
      <c r="N141" s="24">
        <v>-0.30286564089484763</v>
      </c>
      <c r="O141" s="24">
        <v>5.6787752655509817E-2</v>
      </c>
      <c r="P141" s="24">
        <v>-0.16432833186681142</v>
      </c>
      <c r="Q141" s="24">
        <v>-0.43076320292632891</v>
      </c>
      <c r="CQ141" s="24">
        <v>0.99589573192125058</v>
      </c>
      <c r="CR141" s="24" t="str">
        <f>"1"</f>
        <v>1</v>
      </c>
      <c r="CS141" t="str">
        <f ca="1">IF((OFFSET($A$1, 141 - 1, 95 - 1)) &gt;= (OFFSET($A$1, 55 - 1, 7 - 1)), "1","0")</f>
        <v>1</v>
      </c>
      <c r="CT141">
        <f ca="1" xml:space="preserve"> IF( AND( OFFSET($A$1, 141 - 1, 96 - 1) = "1", OFFSET($A$1, 141 - 1, 97 - 1) = "1" ), 1, IF( AND( OFFSET($A$1, 141 - 1, 96 - 1) = "1", OFFSET($A$1, 141 - 1, 97 - 1) = "0" ), 2, IF( AND( OFFSET($A$1, 141 - 1, 96 - 1) = "0", OFFSET($A$1, 141 - 1, 97 - 1) = "1" ), 3, 4 ) ) )</f>
        <v>1</v>
      </c>
      <c r="CV141" s="24">
        <v>0.64296968736109494</v>
      </c>
      <c r="CW141" s="24" t="str">
        <f>"0"</f>
        <v>0</v>
      </c>
      <c r="CX141" t="str">
        <f ca="1">IF((OFFSET($A$1, 141 - 1, 100 - 1)) &gt;= (OFFSET($A$1, 79 - 1, 7 - 1)), "1","0")</f>
        <v>1</v>
      </c>
      <c r="CY141">
        <f ca="1" xml:space="preserve"> IF( AND( OFFSET($A$1, 141 - 1, 101 - 1) = "1", OFFSET($A$1, 141 - 1, 102 - 1) = "1" ), 1, IF( AND( OFFSET($A$1, 141 - 1, 101 - 1) = "1", OFFSET($A$1, 141 - 1, 102 - 1) = "0" ), 2, IF( AND( OFFSET($A$1, 141 - 1, 101 - 1) = "0", OFFSET($A$1, 141 - 1, 102 - 1) = "1" ), 3, 4 ) ) )</f>
        <v>3</v>
      </c>
    </row>
    <row r="142" spans="3:103" ht="13.8" x14ac:dyDescent="0.3">
      <c r="C142" s="26" t="s">
        <v>743</v>
      </c>
      <c r="D142" s="24">
        <v>-0.22705922511869156</v>
      </c>
      <c r="E142" s="24">
        <v>-0.30531942858263444</v>
      </c>
      <c r="F142" s="24">
        <v>-0.37667583520714581</v>
      </c>
      <c r="G142" s="24">
        <v>-0.26487097906962448</v>
      </c>
      <c r="H142" s="24">
        <v>7.3030104115781244E-2</v>
      </c>
      <c r="I142" s="24">
        <v>-0.5280670219690351</v>
      </c>
      <c r="J142" s="24">
        <v>-0.14495706797521551</v>
      </c>
      <c r="K142" s="24">
        <v>0.19053194679149796</v>
      </c>
      <c r="L142" s="24">
        <v>-0.10095785646798523</v>
      </c>
      <c r="M142" s="24">
        <v>-0.1047980967738619</v>
      </c>
      <c r="N142" s="24">
        <v>0.10006317180199184</v>
      </c>
      <c r="O142" s="24">
        <v>-0.26212220506184497</v>
      </c>
      <c r="P142" s="24">
        <v>-0.20414410910754116</v>
      </c>
      <c r="Q142" s="24">
        <v>-0.25723812677573449</v>
      </c>
      <c r="CQ142" s="24">
        <v>9.6959652470316515E-2</v>
      </c>
      <c r="CR142" s="24" t="str">
        <f>"0"</f>
        <v>0</v>
      </c>
      <c r="CS142" t="str">
        <f ca="1">IF((OFFSET($A$1, 142 - 1, 95 - 1)) &gt;= (OFFSET($A$1, 55 - 1, 7 - 1)), "1","0")</f>
        <v>0</v>
      </c>
      <c r="CT142">
        <f ca="1" xml:space="preserve"> IF( AND( OFFSET($A$1, 142 - 1, 96 - 1) = "1", OFFSET($A$1, 142 - 1, 97 - 1) = "1" ), 1, IF( AND( OFFSET($A$1, 142 - 1, 96 - 1) = "1", OFFSET($A$1, 142 - 1, 97 - 1) = "0" ), 2, IF( AND( OFFSET($A$1, 142 - 1, 96 - 1) = "0", OFFSET($A$1, 142 - 1, 97 - 1) = "1" ), 3, 4 ) ) )</f>
        <v>4</v>
      </c>
      <c r="CV142" s="24">
        <v>0.99951806436475943</v>
      </c>
      <c r="CW142" s="24" t="str">
        <f t="shared" ref="CW142:CW150" si="10">"1"</f>
        <v>1</v>
      </c>
      <c r="CX142" t="str">
        <f ca="1">IF((OFFSET($A$1, 142 - 1, 100 - 1)) &gt;= (OFFSET($A$1, 79 - 1, 7 - 1)), "1","0")</f>
        <v>1</v>
      </c>
      <c r="CY142">
        <f ca="1" xml:space="preserve"> IF( AND( OFFSET($A$1, 142 - 1, 101 - 1) = "1", OFFSET($A$1, 142 - 1, 102 - 1) = "1" ), 1, IF( AND( OFFSET($A$1, 142 - 1, 101 - 1) = "1", OFFSET($A$1, 142 - 1, 102 - 1) = "0" ), 2, IF( AND( OFFSET($A$1, 142 - 1, 101 - 1) = "0", OFFSET($A$1, 142 - 1, 102 - 1) = "1" ), 3, 4 ) ) )</f>
        <v>1</v>
      </c>
    </row>
    <row r="143" spans="3:103" ht="13.8" x14ac:dyDescent="0.3">
      <c r="C143" s="26" t="s">
        <v>744</v>
      </c>
      <c r="D143" s="24">
        <v>5.0893307336874076E-2</v>
      </c>
      <c r="E143" s="24">
        <v>0.29761083279766887</v>
      </c>
      <c r="F143" s="24">
        <v>0.3257165962753425</v>
      </c>
      <c r="G143" s="24">
        <v>-0.28724947176671944</v>
      </c>
      <c r="H143" s="24">
        <v>-0.26692722340066005</v>
      </c>
      <c r="I143" s="24">
        <v>4.6567421481685085E-2</v>
      </c>
      <c r="J143" s="24">
        <v>-0.20575618703312776</v>
      </c>
      <c r="K143" s="24">
        <v>-0.36417714923943095</v>
      </c>
      <c r="L143" s="24">
        <v>-6.5408121193586133E-2</v>
      </c>
      <c r="M143" s="24">
        <v>-7.3959282054601838E-2</v>
      </c>
      <c r="N143" s="24">
        <v>-0.49602638155331658</v>
      </c>
      <c r="O143" s="24">
        <v>-0.13167386825243335</v>
      </c>
      <c r="P143" s="24">
        <v>-0.19495060694454536</v>
      </c>
      <c r="Q143" s="24">
        <v>-0.16705703746491132</v>
      </c>
      <c r="CQ143" s="24">
        <v>0.99698747690020495</v>
      </c>
      <c r="CR143" s="24" t="str">
        <f>"1"</f>
        <v>1</v>
      </c>
      <c r="CS143" t="str">
        <f ca="1">IF((OFFSET($A$1, 143 - 1, 95 - 1)) &gt;= (OFFSET($A$1, 55 - 1, 7 - 1)), "1","0")</f>
        <v>1</v>
      </c>
      <c r="CT143">
        <f ca="1" xml:space="preserve"> IF( AND( OFFSET($A$1, 143 - 1, 96 - 1) = "1", OFFSET($A$1, 143 - 1, 97 - 1) = "1" ), 1, IF( AND( OFFSET($A$1, 143 - 1, 96 - 1) = "1", OFFSET($A$1, 143 - 1, 97 - 1) = "0" ), 2, IF( AND( OFFSET($A$1, 143 - 1, 96 - 1) = "0", OFFSET($A$1, 143 - 1, 97 - 1) = "1" ), 3, 4 ) ) )</f>
        <v>1</v>
      </c>
      <c r="CV143" s="24">
        <v>0.99252450911465528</v>
      </c>
      <c r="CW143" s="24" t="str">
        <f t="shared" si="10"/>
        <v>1</v>
      </c>
      <c r="CX143" t="str">
        <f ca="1">IF((OFFSET($A$1, 143 - 1, 100 - 1)) &gt;= (OFFSET($A$1, 79 - 1, 7 - 1)), "1","0")</f>
        <v>1</v>
      </c>
      <c r="CY143">
        <f ca="1" xml:space="preserve"> IF( AND( OFFSET($A$1, 143 - 1, 101 - 1) = "1", OFFSET($A$1, 143 - 1, 102 - 1) = "1" ), 1, IF( AND( OFFSET($A$1, 143 - 1, 101 - 1) = "1", OFFSET($A$1, 143 - 1, 102 - 1) = "0" ), 2, IF( AND( OFFSET($A$1, 143 - 1, 101 - 1) = "0", OFFSET($A$1, 143 - 1, 102 - 1) = "1" ), 3, 4 ) ) )</f>
        <v>1</v>
      </c>
    </row>
    <row r="144" spans="3:103" ht="13.8" x14ac:dyDescent="0.3">
      <c r="C144" s="26" t="s">
        <v>745</v>
      </c>
      <c r="D144" s="24">
        <v>-0.45433180337117302</v>
      </c>
      <c r="E144" s="24">
        <v>-0.71790010371471613</v>
      </c>
      <c r="F144" s="24">
        <v>-0.18540054475603238</v>
      </c>
      <c r="G144" s="24">
        <v>-0.3636551399373425</v>
      </c>
      <c r="H144" s="24">
        <v>0.12423091026771568</v>
      </c>
      <c r="I144" s="24">
        <v>-0.62163509222625624</v>
      </c>
      <c r="J144" s="24">
        <v>2.3490591026733829E-2</v>
      </c>
      <c r="K144" s="24">
        <v>0.53539494948242683</v>
      </c>
      <c r="L144" s="24">
        <v>0.20973928184620308</v>
      </c>
      <c r="M144" s="24">
        <v>-0.42057443649674892</v>
      </c>
      <c r="N144" s="24">
        <v>0.29907656229351048</v>
      </c>
      <c r="O144" s="24">
        <v>-0.30137661029735452</v>
      </c>
      <c r="P144" s="24">
        <v>-9.432905901963079E-2</v>
      </c>
      <c r="Q144" s="24">
        <v>-8.6167123619867503E-2</v>
      </c>
      <c r="CQ144" s="24">
        <v>0.99904994953571424</v>
      </c>
      <c r="CR144" s="24" t="str">
        <f>"1"</f>
        <v>1</v>
      </c>
      <c r="CS144" t="str">
        <f ca="1">IF((OFFSET($A$1, 144 - 1, 95 - 1)) &gt;= (OFFSET($A$1, 55 - 1, 7 - 1)), "1","0")</f>
        <v>1</v>
      </c>
      <c r="CT144">
        <f ca="1" xml:space="preserve"> IF( AND( OFFSET($A$1, 144 - 1, 96 - 1) = "1", OFFSET($A$1, 144 - 1, 97 - 1) = "1" ), 1, IF( AND( OFFSET($A$1, 144 - 1, 96 - 1) = "1", OFFSET($A$1, 144 - 1, 97 - 1) = "0" ), 2, IF( AND( OFFSET($A$1, 144 - 1, 96 - 1) = "0", OFFSET($A$1, 144 - 1, 97 - 1) = "1" ), 3, 4 ) ) )</f>
        <v>1</v>
      </c>
      <c r="CV144" s="24">
        <v>0.98733452384512765</v>
      </c>
      <c r="CW144" s="24" t="str">
        <f t="shared" si="10"/>
        <v>1</v>
      </c>
      <c r="CX144" t="str">
        <f ca="1">IF((OFFSET($A$1, 144 - 1, 100 - 1)) &gt;= (OFFSET($A$1, 79 - 1, 7 - 1)), "1","0")</f>
        <v>1</v>
      </c>
      <c r="CY144">
        <f ca="1" xml:space="preserve"> IF( AND( OFFSET($A$1, 144 - 1, 101 - 1) = "1", OFFSET($A$1, 144 - 1, 102 - 1) = "1" ), 1, IF( AND( OFFSET($A$1, 144 - 1, 101 - 1) = "1", OFFSET($A$1, 144 - 1, 102 - 1) = "0" ), 2, IF( AND( OFFSET($A$1, 144 - 1, 101 - 1) = "0", OFFSET($A$1, 144 - 1, 102 - 1) = "1" ), 3, 4 ) ) )</f>
        <v>1</v>
      </c>
    </row>
    <row r="145" spans="3:103" ht="13.8" x14ac:dyDescent="0.3">
      <c r="C145" s="26" t="s">
        <v>746</v>
      </c>
      <c r="D145" s="24">
        <v>-1.9918865547446456</v>
      </c>
      <c r="E145" s="24">
        <v>-2.0098058939931831</v>
      </c>
      <c r="F145" s="24">
        <v>-1.8416875816677925</v>
      </c>
      <c r="G145" s="24">
        <v>8.0965056671158248E-3</v>
      </c>
      <c r="H145" s="24">
        <v>1.7945717023103678</v>
      </c>
      <c r="I145" s="24">
        <v>-1.5229421817945454</v>
      </c>
      <c r="J145" s="24">
        <v>0.26158716438950197</v>
      </c>
      <c r="K145" s="24">
        <v>2.5440902595362203</v>
      </c>
      <c r="L145" s="24">
        <v>1.0129148689180467</v>
      </c>
      <c r="M145" s="24">
        <v>-0.51119631411915922</v>
      </c>
      <c r="N145" s="24">
        <v>2.6555202176952424</v>
      </c>
      <c r="O145" s="24">
        <v>-1.340971500978958</v>
      </c>
      <c r="P145" s="24">
        <v>1.0674936435138687</v>
      </c>
      <c r="Q145" s="24">
        <v>0.9712367883700348</v>
      </c>
      <c r="CQ145" s="24">
        <v>0.32079474319806073</v>
      </c>
      <c r="CR145" s="24" t="str">
        <f>"0"</f>
        <v>0</v>
      </c>
      <c r="CS145" t="str">
        <f ca="1">IF((OFFSET($A$1, 145 - 1, 95 - 1)) &gt;= (OFFSET($A$1, 55 - 1, 7 - 1)), "1","0")</f>
        <v>0</v>
      </c>
      <c r="CT145">
        <f ca="1" xml:space="preserve"> IF( AND( OFFSET($A$1, 145 - 1, 96 - 1) = "1", OFFSET($A$1, 145 - 1, 97 - 1) = "1" ), 1, IF( AND( OFFSET($A$1, 145 - 1, 96 - 1) = "1", OFFSET($A$1, 145 - 1, 97 - 1) = "0" ), 2, IF( AND( OFFSET($A$1, 145 - 1, 96 - 1) = "0", OFFSET($A$1, 145 - 1, 97 - 1) = "1" ), 3, 4 ) ) )</f>
        <v>4</v>
      </c>
      <c r="CV145" s="24">
        <v>0.99939901176957335</v>
      </c>
      <c r="CW145" s="24" t="str">
        <f t="shared" si="10"/>
        <v>1</v>
      </c>
      <c r="CX145" t="str">
        <f ca="1">IF((OFFSET($A$1, 145 - 1, 100 - 1)) &gt;= (OFFSET($A$1, 79 - 1, 7 - 1)), "1","0")</f>
        <v>1</v>
      </c>
      <c r="CY145">
        <f ca="1" xml:space="preserve"> IF( AND( OFFSET($A$1, 145 - 1, 101 - 1) = "1", OFFSET($A$1, 145 - 1, 102 - 1) = "1" ), 1, IF( AND( OFFSET($A$1, 145 - 1, 101 - 1) = "1", OFFSET($A$1, 145 - 1, 102 - 1) = "0" ), 2, IF( AND( OFFSET($A$1, 145 - 1, 101 - 1) = "0", OFFSET($A$1, 145 - 1, 102 - 1) = "1" ), 3, 4 ) ) )</f>
        <v>1</v>
      </c>
    </row>
    <row r="146" spans="3:103" ht="13.8" x14ac:dyDescent="0.3">
      <c r="C146" s="26" t="s">
        <v>747</v>
      </c>
      <c r="D146" s="24">
        <v>0.22672172035841598</v>
      </c>
      <c r="E146" s="24">
        <v>9.573672881008094E-2</v>
      </c>
      <c r="F146" s="24">
        <v>0.37174239545371363</v>
      </c>
      <c r="G146" s="24">
        <v>-0.27743971819986102</v>
      </c>
      <c r="H146" s="24">
        <v>-0.3010557839577892</v>
      </c>
      <c r="I146" s="24">
        <v>-1.3595346314405041E-2</v>
      </c>
      <c r="J146" s="24">
        <v>-2.4845585631086256E-2</v>
      </c>
      <c r="K146" s="24">
        <v>-0.45835365677750911</v>
      </c>
      <c r="L146" s="24">
        <v>-0.13682622214255047</v>
      </c>
      <c r="M146" s="24">
        <v>0.11472541858759844</v>
      </c>
      <c r="N146" s="24">
        <v>-0.35355572858174877</v>
      </c>
      <c r="O146" s="24">
        <v>0.17419399298313201</v>
      </c>
      <c r="P146" s="24">
        <v>-0.23016535341251776</v>
      </c>
      <c r="Q146" s="24">
        <v>-0.22970515559337371</v>
      </c>
      <c r="CQ146" s="24">
        <v>0.9945793825670145</v>
      </c>
      <c r="CR146" s="24" t="str">
        <f t="shared" ref="CR146:CR151" si="11">"1"</f>
        <v>1</v>
      </c>
      <c r="CS146" t="str">
        <f ca="1">IF((OFFSET($A$1, 146 - 1, 95 - 1)) &gt;= (OFFSET($A$1, 55 - 1, 7 - 1)), "1","0")</f>
        <v>1</v>
      </c>
      <c r="CT146">
        <f ca="1" xml:space="preserve"> IF( AND( OFFSET($A$1, 146 - 1, 96 - 1) = "1", OFFSET($A$1, 146 - 1, 97 - 1) = "1" ), 1, IF( AND( OFFSET($A$1, 146 - 1, 96 - 1) = "1", OFFSET($A$1, 146 - 1, 97 - 1) = "0" ), 2, IF( AND( OFFSET($A$1, 146 - 1, 96 - 1) = "0", OFFSET($A$1, 146 - 1, 97 - 1) = "1" ), 3, 4 ) ) )</f>
        <v>1</v>
      </c>
      <c r="CV146" s="24">
        <v>0.95993130353817202</v>
      </c>
      <c r="CW146" s="24" t="str">
        <f t="shared" si="10"/>
        <v>1</v>
      </c>
      <c r="CX146" t="str">
        <f ca="1">IF((OFFSET($A$1, 146 - 1, 100 - 1)) &gt;= (OFFSET($A$1, 79 - 1, 7 - 1)), "1","0")</f>
        <v>1</v>
      </c>
      <c r="CY146">
        <f ca="1" xml:space="preserve"> IF( AND( OFFSET($A$1, 146 - 1, 101 - 1) = "1", OFFSET($A$1, 146 - 1, 102 - 1) = "1" ), 1, IF( AND( OFFSET($A$1, 146 - 1, 101 - 1) = "1", OFFSET($A$1, 146 - 1, 102 - 1) = "0" ), 2, IF( AND( OFFSET($A$1, 146 - 1, 101 - 1) = "0", OFFSET($A$1, 146 - 1, 102 - 1) = "1" ), 3, 4 ) ) )</f>
        <v>1</v>
      </c>
    </row>
    <row r="147" spans="3:103" ht="13.8" x14ac:dyDescent="0.3">
      <c r="CQ147" s="24">
        <v>0.94814290816912872</v>
      </c>
      <c r="CR147" s="24" t="str">
        <f t="shared" si="11"/>
        <v>1</v>
      </c>
      <c r="CS147" t="str">
        <f ca="1">IF((OFFSET($A$1, 147 - 1, 95 - 1)) &gt;= (OFFSET($A$1, 55 - 1, 7 - 1)), "1","0")</f>
        <v>1</v>
      </c>
      <c r="CT147">
        <f ca="1" xml:space="preserve"> IF( AND( OFFSET($A$1, 147 - 1, 96 - 1) = "1", OFFSET($A$1, 147 - 1, 97 - 1) = "1" ), 1, IF( AND( OFFSET($A$1, 147 - 1, 96 - 1) = "1", OFFSET($A$1, 147 - 1, 97 - 1) = "0" ), 2, IF( AND( OFFSET($A$1, 147 - 1, 96 - 1) = "0", OFFSET($A$1, 147 - 1, 97 - 1) = "1" ), 3, 4 ) ) )</f>
        <v>1</v>
      </c>
      <c r="CV147" s="24">
        <v>0.98272517831876471</v>
      </c>
      <c r="CW147" s="24" t="str">
        <f t="shared" si="10"/>
        <v>1</v>
      </c>
      <c r="CX147" t="str">
        <f ca="1">IF((OFFSET($A$1, 147 - 1, 100 - 1)) &gt;= (OFFSET($A$1, 79 - 1, 7 - 1)), "1","0")</f>
        <v>1</v>
      </c>
      <c r="CY147">
        <f ca="1" xml:space="preserve"> IF( AND( OFFSET($A$1, 147 - 1, 101 - 1) = "1", OFFSET($A$1, 147 - 1, 102 - 1) = "1" ), 1, IF( AND( OFFSET($A$1, 147 - 1, 101 - 1) = "1", OFFSET($A$1, 147 - 1, 102 - 1) = "0" ), 2, IF( AND( OFFSET($A$1, 147 - 1, 101 - 1) = "0", OFFSET($A$1, 147 - 1, 102 - 1) = "1" ), 3, 4 ) ) )</f>
        <v>1</v>
      </c>
    </row>
    <row r="148" spans="3:103" ht="13.8" x14ac:dyDescent="0.3">
      <c r="CQ148" s="24">
        <v>0.99329508217763574</v>
      </c>
      <c r="CR148" s="24" t="str">
        <f t="shared" si="11"/>
        <v>1</v>
      </c>
      <c r="CS148" t="str">
        <f ca="1">IF((OFFSET($A$1, 148 - 1, 95 - 1)) &gt;= (OFFSET($A$1, 55 - 1, 7 - 1)), "1","0")</f>
        <v>1</v>
      </c>
      <c r="CT148">
        <f ca="1" xml:space="preserve"> IF( AND( OFFSET($A$1, 148 - 1, 96 - 1) = "1", OFFSET($A$1, 148 - 1, 97 - 1) = "1" ), 1, IF( AND( OFFSET($A$1, 148 - 1, 96 - 1) = "1", OFFSET($A$1, 148 - 1, 97 - 1) = "0" ), 2, IF( AND( OFFSET($A$1, 148 - 1, 96 - 1) = "0", OFFSET($A$1, 148 - 1, 97 - 1) = "1" ), 3, 4 ) ) )</f>
        <v>1</v>
      </c>
      <c r="CV148" s="24">
        <v>0.98083177669630595</v>
      </c>
      <c r="CW148" s="24" t="str">
        <f t="shared" si="10"/>
        <v>1</v>
      </c>
      <c r="CX148" t="str">
        <f ca="1">IF((OFFSET($A$1, 148 - 1, 100 - 1)) &gt;= (OFFSET($A$1, 79 - 1, 7 - 1)), "1","0")</f>
        <v>1</v>
      </c>
      <c r="CY148">
        <f ca="1" xml:space="preserve"> IF( AND( OFFSET($A$1, 148 - 1, 101 - 1) = "1", OFFSET($A$1, 148 - 1, 102 - 1) = "1" ), 1, IF( AND( OFFSET($A$1, 148 - 1, 101 - 1) = "1", OFFSET($A$1, 148 - 1, 102 - 1) = "0" ), 2, IF( AND( OFFSET($A$1, 148 - 1, 101 - 1) = "0", OFFSET($A$1, 148 - 1, 102 - 1) = "1" ), 3, 4 ) ) )</f>
        <v>1</v>
      </c>
    </row>
    <row r="149" spans="3:103" ht="13.8" x14ac:dyDescent="0.3">
      <c r="D149" s="77" t="s">
        <v>752</v>
      </c>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c r="AC149" s="77"/>
      <c r="CQ149" s="24">
        <v>0.99003033738459079</v>
      </c>
      <c r="CR149" s="24" t="str">
        <f t="shared" si="11"/>
        <v>1</v>
      </c>
      <c r="CS149" t="str">
        <f ca="1">IF((OFFSET($A$1, 149 - 1, 95 - 1)) &gt;= (OFFSET($A$1, 55 - 1, 7 - 1)), "1","0")</f>
        <v>1</v>
      </c>
      <c r="CT149">
        <f ca="1" xml:space="preserve"> IF( AND( OFFSET($A$1, 149 - 1, 96 - 1) = "1", OFFSET($A$1, 149 - 1, 97 - 1) = "1" ), 1, IF( AND( OFFSET($A$1, 149 - 1, 96 - 1) = "1", OFFSET($A$1, 149 - 1, 97 - 1) = "0" ), 2, IF( AND( OFFSET($A$1, 149 - 1, 96 - 1) = "0", OFFSET($A$1, 149 - 1, 97 - 1) = "1" ), 3, 4 ) ) )</f>
        <v>1</v>
      </c>
      <c r="CV149" s="24">
        <v>0.76061781909656612</v>
      </c>
      <c r="CW149" s="24" t="str">
        <f t="shared" si="10"/>
        <v>1</v>
      </c>
      <c r="CX149" t="str">
        <f ca="1">IF((OFFSET($A$1, 149 - 1, 100 - 1)) &gt;= (OFFSET($A$1, 79 - 1, 7 - 1)), "1","0")</f>
        <v>1</v>
      </c>
      <c r="CY149">
        <f ca="1" xml:space="preserve"> IF( AND( OFFSET($A$1, 149 - 1, 101 - 1) = "1", OFFSET($A$1, 149 - 1, 102 - 1) = "1" ), 1, IF( AND( OFFSET($A$1, 149 - 1, 101 - 1) = "1", OFFSET($A$1, 149 - 1, 102 - 1) = "0" ), 2, IF( AND( OFFSET($A$1, 149 - 1, 101 - 1) = "0", OFFSET($A$1, 149 - 1, 102 - 1) = "1" ), 3, 4 ) ) )</f>
        <v>1</v>
      </c>
    </row>
    <row r="150" spans="3:103" ht="13.8" x14ac:dyDescent="0.3">
      <c r="C150" s="36" t="s">
        <v>731</v>
      </c>
      <c r="D150" s="26" t="s">
        <v>718</v>
      </c>
      <c r="E150" s="26" t="s">
        <v>719</v>
      </c>
      <c r="F150" s="26" t="s">
        <v>720</v>
      </c>
      <c r="G150" s="26" t="s">
        <v>721</v>
      </c>
      <c r="H150" s="26" t="s">
        <v>722</v>
      </c>
      <c r="I150" s="26" t="s">
        <v>723</v>
      </c>
      <c r="J150" s="26" t="s">
        <v>724</v>
      </c>
      <c r="K150" s="26" t="s">
        <v>725</v>
      </c>
      <c r="L150" s="26" t="s">
        <v>726</v>
      </c>
      <c r="M150" s="26" t="s">
        <v>727</v>
      </c>
      <c r="N150" s="26" t="s">
        <v>728</v>
      </c>
      <c r="O150" s="26" t="s">
        <v>729</v>
      </c>
      <c r="P150" s="26" t="s">
        <v>730</v>
      </c>
      <c r="Q150" s="26" t="s">
        <v>736</v>
      </c>
      <c r="R150" s="26" t="s">
        <v>737</v>
      </c>
      <c r="S150" s="26" t="s">
        <v>738</v>
      </c>
      <c r="T150" s="26" t="s">
        <v>739</v>
      </c>
      <c r="U150" s="26" t="s">
        <v>740</v>
      </c>
      <c r="V150" s="26" t="s">
        <v>741</v>
      </c>
      <c r="W150" s="26" t="s">
        <v>742</v>
      </c>
      <c r="X150" s="26" t="s">
        <v>743</v>
      </c>
      <c r="Y150" s="26" t="s">
        <v>744</v>
      </c>
      <c r="Z150" s="26" t="s">
        <v>745</v>
      </c>
      <c r="AA150" s="26" t="s">
        <v>746</v>
      </c>
      <c r="AB150" s="26" t="s">
        <v>747</v>
      </c>
      <c r="AC150" s="26" t="s">
        <v>732</v>
      </c>
      <c r="CQ150" s="24">
        <v>0.92288148960429983</v>
      </c>
      <c r="CR150" s="24" t="str">
        <f t="shared" si="11"/>
        <v>1</v>
      </c>
      <c r="CS150" t="str">
        <f ca="1">IF((OFFSET($A$1, 150 - 1, 95 - 1)) &gt;= (OFFSET($A$1, 55 - 1, 7 - 1)), "1","0")</f>
        <v>1</v>
      </c>
      <c r="CT150">
        <f ca="1" xml:space="preserve"> IF( AND( OFFSET($A$1, 150 - 1, 96 - 1) = "1", OFFSET($A$1, 150 - 1, 97 - 1) = "1" ), 1, IF( AND( OFFSET($A$1, 150 - 1, 96 - 1) = "1", OFFSET($A$1, 150 - 1, 97 - 1) = "0" ), 2, IF( AND( OFFSET($A$1, 150 - 1, 96 - 1) = "0", OFFSET($A$1, 150 - 1, 97 - 1) = "1" ), 3, 4 ) ) )</f>
        <v>1</v>
      </c>
      <c r="CV150" s="24">
        <v>0.99414295927279062</v>
      </c>
      <c r="CW150" s="24" t="str">
        <f t="shared" si="10"/>
        <v>1</v>
      </c>
      <c r="CX150" t="str">
        <f ca="1">IF((OFFSET($A$1, 150 - 1, 100 - 1)) &gt;= (OFFSET($A$1, 79 - 1, 7 - 1)), "1","0")</f>
        <v>1</v>
      </c>
      <c r="CY150">
        <f ca="1" xml:space="preserve"> IF( AND( OFFSET($A$1, 150 - 1, 101 - 1) = "1", OFFSET($A$1, 150 - 1, 102 - 1) = "1" ), 1, IF( AND( OFFSET($A$1, 150 - 1, 101 - 1) = "1", OFFSET($A$1, 150 - 1, 102 - 1) = "0" ), 2, IF( AND( OFFSET($A$1, 150 - 1, 101 - 1) = "0", OFFSET($A$1, 150 - 1, 102 - 1) = "1" ), 3, 4 ) ) )</f>
        <v>1</v>
      </c>
    </row>
    <row r="151" spans="3:103" ht="13.8" x14ac:dyDescent="0.3">
      <c r="C151" s="26">
        <v>0</v>
      </c>
      <c r="D151" s="24">
        <v>-1.0589000010564784</v>
      </c>
      <c r="E151" s="24">
        <v>-0.41350632904896678</v>
      </c>
      <c r="F151" s="24">
        <v>-0.59334175651222809</v>
      </c>
      <c r="G151" s="24">
        <v>0.32624800454770553</v>
      </c>
      <c r="H151" s="24">
        <v>-1.1117258777255168</v>
      </c>
      <c r="I151" s="24">
        <v>-1.6523522617998994</v>
      </c>
      <c r="J151" s="24">
        <v>9.5659517388176671E-2</v>
      </c>
      <c r="K151" s="24">
        <v>1.7871786690652909</v>
      </c>
      <c r="L151" s="24">
        <v>0.30854753671319057</v>
      </c>
      <c r="M151" s="24">
        <v>0.55054472953345268</v>
      </c>
      <c r="N151" s="24">
        <v>0.59514216918419005</v>
      </c>
      <c r="O151" s="24">
        <v>-0.23357832934038147</v>
      </c>
      <c r="P151" s="24">
        <v>-0.38695140237844056</v>
      </c>
      <c r="Q151" s="24">
        <v>-0.59838130979539328</v>
      </c>
      <c r="R151" s="24">
        <v>-0.72962810907216624</v>
      </c>
      <c r="S151" s="24">
        <v>-0.17333637141448788</v>
      </c>
      <c r="T151" s="24">
        <v>-1.4850059986041143E-3</v>
      </c>
      <c r="U151" s="24">
        <v>3.1563070326934382</v>
      </c>
      <c r="V151" s="24">
        <v>-1.0633120161751271</v>
      </c>
      <c r="W151" s="24">
        <v>-0.12558830086416642</v>
      </c>
      <c r="X151" s="24">
        <v>-0.24339542004538475</v>
      </c>
      <c r="Y151" s="24">
        <v>-0.10094976922974429</v>
      </c>
      <c r="Z151" s="24">
        <v>-0.43361595844815237</v>
      </c>
      <c r="AA151" s="24">
        <v>-3.1527528440277828</v>
      </c>
      <c r="AB151" s="24">
        <v>0.13634128230097495</v>
      </c>
      <c r="AC151" s="24">
        <v>0.49380484799618918</v>
      </c>
      <c r="CQ151" s="24">
        <v>0.99644104397207922</v>
      </c>
      <c r="CR151" s="24" t="str">
        <f t="shared" si="11"/>
        <v>1</v>
      </c>
      <c r="CS151" t="str">
        <f ca="1">IF((OFFSET($A$1, 151 - 1, 95 - 1)) &gt;= (OFFSET($A$1, 55 - 1, 7 - 1)), "1","0")</f>
        <v>1</v>
      </c>
      <c r="CT151">
        <f ca="1" xml:space="preserve"> IF( AND( OFFSET($A$1, 151 - 1, 96 - 1) = "1", OFFSET($A$1, 151 - 1, 97 - 1) = "1" ), 1, IF( AND( OFFSET($A$1, 151 - 1, 96 - 1) = "1", OFFSET($A$1, 151 - 1, 97 - 1) = "0" ), 2, IF( AND( OFFSET($A$1, 151 - 1, 96 - 1) = "0", OFFSET($A$1, 151 - 1, 97 - 1) = "1" ), 3, 4 ) ) )</f>
        <v>1</v>
      </c>
      <c r="CV151" s="24">
        <v>0.17671164086072644</v>
      </c>
      <c r="CW151" s="24" t="str">
        <f>"0"</f>
        <v>0</v>
      </c>
      <c r="CX151" t="str">
        <f ca="1">IF((OFFSET($A$1, 151 - 1, 100 - 1)) &gt;= (OFFSET($A$1, 79 - 1, 7 - 1)), "1","0")</f>
        <v>0</v>
      </c>
      <c r="CY151">
        <f ca="1" xml:space="preserve"> IF( AND( OFFSET($A$1, 151 - 1, 101 - 1) = "1", OFFSET($A$1, 151 - 1, 102 - 1) = "1" ), 1, IF( AND( OFFSET($A$1, 151 - 1, 101 - 1) = "1", OFFSET($A$1, 151 - 1, 102 - 1) = "0" ), 2, IF( AND( OFFSET($A$1, 151 - 1, 101 - 1) = "0", OFFSET($A$1, 151 - 1, 102 - 1) = "1" ), 3, 4 ) ) )</f>
        <v>4</v>
      </c>
    </row>
    <row r="152" spans="3:103" ht="13.8" x14ac:dyDescent="0.3">
      <c r="C152" s="26">
        <v>1</v>
      </c>
      <c r="D152" s="24">
        <v>0.77456802760885757</v>
      </c>
      <c r="E152" s="24">
        <v>-0.35598983695760006</v>
      </c>
      <c r="F152" s="24">
        <v>1.1560255229074992</v>
      </c>
      <c r="G152" s="24">
        <v>-0.77837710760109857</v>
      </c>
      <c r="H152" s="24">
        <v>1.43051746073469</v>
      </c>
      <c r="I152" s="24">
        <v>1.2856875294516985</v>
      </c>
      <c r="J152" s="24">
        <v>-0.91477457213324309</v>
      </c>
      <c r="K152" s="24">
        <v>-0.41528785693048431</v>
      </c>
      <c r="L152" s="24">
        <v>0.89246884475193533</v>
      </c>
      <c r="M152" s="24">
        <v>0.72142706485374453</v>
      </c>
      <c r="N152" s="24">
        <v>0.17347409734446773</v>
      </c>
      <c r="O152" s="24">
        <v>0.69764225146569459</v>
      </c>
      <c r="P152" s="24">
        <v>0.99418927914997635</v>
      </c>
      <c r="Q152" s="24">
        <v>1.0175847381093794</v>
      </c>
      <c r="R152" s="24">
        <v>1.0660296057977439</v>
      </c>
      <c r="S152" s="24">
        <v>0.15119258915760328</v>
      </c>
      <c r="T152" s="24">
        <v>-0.3892700312531685</v>
      </c>
      <c r="U152" s="24">
        <v>-2.8133331373204742</v>
      </c>
      <c r="V152" s="24">
        <v>-2.6275703155051348E-2</v>
      </c>
      <c r="W152" s="24">
        <v>-0.28702905887887514</v>
      </c>
      <c r="X152" s="24">
        <v>0.43313893377119111</v>
      </c>
      <c r="Y152" s="24">
        <v>-0.93323555583115092</v>
      </c>
      <c r="Z152" s="24">
        <v>0.99433673088062391</v>
      </c>
      <c r="AA152" s="24">
        <v>3.1345641408652503</v>
      </c>
      <c r="AB152" s="24">
        <v>-0.81986043400655273</v>
      </c>
      <c r="AC152" s="24">
        <v>-1.1664978162863286</v>
      </c>
      <c r="CQ152" s="24">
        <v>0.14509796208650402</v>
      </c>
      <c r="CR152" s="24" t="str">
        <f>"0"</f>
        <v>0</v>
      </c>
      <c r="CS152" t="str">
        <f ca="1">IF((OFFSET($A$1, 152 - 1, 95 - 1)) &gt;= (OFFSET($A$1, 55 - 1, 7 - 1)), "1","0")</f>
        <v>0</v>
      </c>
      <c r="CT152">
        <f ca="1" xml:space="preserve"> IF( AND( OFFSET($A$1, 152 - 1, 96 - 1) = "1", OFFSET($A$1, 152 - 1, 97 - 1) = "1" ), 1, IF( AND( OFFSET($A$1, 152 - 1, 96 - 1) = "1", OFFSET($A$1, 152 - 1, 97 - 1) = "0" ), 2, IF( AND( OFFSET($A$1, 152 - 1, 96 - 1) = "0", OFFSET($A$1, 152 - 1, 97 - 1) = "1" ), 3, 4 ) ) )</f>
        <v>4</v>
      </c>
      <c r="CV152" s="24">
        <v>0.97962153386706441</v>
      </c>
      <c r="CW152" s="24" t="str">
        <f>"0"</f>
        <v>0</v>
      </c>
      <c r="CX152" t="str">
        <f ca="1">IF((OFFSET($A$1, 152 - 1, 100 - 1)) &gt;= (OFFSET($A$1, 79 - 1, 7 - 1)), "1","0")</f>
        <v>1</v>
      </c>
      <c r="CY152">
        <f ca="1" xml:space="preserve"> IF( AND( OFFSET($A$1, 152 - 1, 101 - 1) = "1", OFFSET($A$1, 152 - 1, 102 - 1) = "1" ), 1, IF( AND( OFFSET($A$1, 152 - 1, 101 - 1) = "1", OFFSET($A$1, 152 - 1, 102 - 1) = "0" ), 2, IF( AND( OFFSET($A$1, 152 - 1, 101 - 1) = "0", OFFSET($A$1, 152 - 1, 102 - 1) = "1" ), 3, 4 ) ) )</f>
        <v>3</v>
      </c>
    </row>
    <row r="153" spans="3:103" ht="13.8" x14ac:dyDescent="0.3">
      <c r="CQ153" s="24">
        <v>0.96776891177542568</v>
      </c>
      <c r="CR153" s="24" t="str">
        <f>"1"</f>
        <v>1</v>
      </c>
      <c r="CS153" t="str">
        <f ca="1">IF((OFFSET($A$1, 153 - 1, 95 - 1)) &gt;= (OFFSET($A$1, 55 - 1, 7 - 1)), "1","0")</f>
        <v>1</v>
      </c>
      <c r="CT153">
        <f ca="1" xml:space="preserve"> IF( AND( OFFSET($A$1, 153 - 1, 96 - 1) = "1", OFFSET($A$1, 153 - 1, 97 - 1) = "1" ), 1, IF( AND( OFFSET($A$1, 153 - 1, 96 - 1) = "1", OFFSET($A$1, 153 - 1, 97 - 1) = "0" ), 2, IF( AND( OFFSET($A$1, 153 - 1, 96 - 1) = "0", OFFSET($A$1, 153 - 1, 97 - 1) = "1" ), 3, 4 ) ) )</f>
        <v>1</v>
      </c>
      <c r="CV153" s="24">
        <v>0.93243399013000994</v>
      </c>
      <c r="CW153" s="24" t="str">
        <f>"1"</f>
        <v>1</v>
      </c>
      <c r="CX153" t="str">
        <f ca="1">IF((OFFSET($A$1, 153 - 1, 100 - 1)) &gt;= (OFFSET($A$1, 79 - 1, 7 - 1)), "1","0")</f>
        <v>1</v>
      </c>
      <c r="CY153">
        <f ca="1" xml:space="preserve"> IF( AND( OFFSET($A$1, 153 - 1, 101 - 1) = "1", OFFSET($A$1, 153 - 1, 102 - 1) = "1" ), 1, IF( AND( OFFSET($A$1, 153 - 1, 101 - 1) = "1", OFFSET($A$1, 153 - 1, 102 - 1) = "0" ), 2, IF( AND( OFFSET($A$1, 153 - 1, 101 - 1) = "0", OFFSET($A$1, 153 - 1, 102 - 1) = "1" ), 3, 4 ) ) )</f>
        <v>1</v>
      </c>
    </row>
    <row r="154" spans="3:103" ht="13.8" x14ac:dyDescent="0.3">
      <c r="CQ154" s="24">
        <v>0.99302779442650979</v>
      </c>
      <c r="CR154" s="24" t="str">
        <f>"1"</f>
        <v>1</v>
      </c>
      <c r="CS154" t="str">
        <f ca="1">IF((OFFSET($A$1, 154 - 1, 95 - 1)) &gt;= (OFFSET($A$1, 55 - 1, 7 - 1)), "1","0")</f>
        <v>1</v>
      </c>
      <c r="CT154">
        <f ca="1" xml:space="preserve"> IF( AND( OFFSET($A$1, 154 - 1, 96 - 1) = "1", OFFSET($A$1, 154 - 1, 97 - 1) = "1" ), 1, IF( AND( OFFSET($A$1, 154 - 1, 96 - 1) = "1", OFFSET($A$1, 154 - 1, 97 - 1) = "0" ), 2, IF( AND( OFFSET($A$1, 154 - 1, 96 - 1) = "0", OFFSET($A$1, 154 - 1, 97 - 1) = "1" ), 3, 4 ) ) )</f>
        <v>1</v>
      </c>
      <c r="CV154" s="24">
        <v>0.95909909457090681</v>
      </c>
      <c r="CW154" s="24" t="str">
        <f>"1"</f>
        <v>1</v>
      </c>
      <c r="CX154" t="str">
        <f ca="1">IF((OFFSET($A$1, 154 - 1, 100 - 1)) &gt;= (OFFSET($A$1, 79 - 1, 7 - 1)), "1","0")</f>
        <v>1</v>
      </c>
      <c r="CY154">
        <f ca="1" xml:space="preserve"> IF( AND( OFFSET($A$1, 154 - 1, 101 - 1) = "1", OFFSET($A$1, 154 - 1, 102 - 1) = "1" ), 1, IF( AND( OFFSET($A$1, 154 - 1, 101 - 1) = "1", OFFSET($A$1, 154 - 1, 102 - 1) = "0" ), 2, IF( AND( OFFSET($A$1, 154 - 1, 101 - 1) = "0", OFFSET($A$1, 154 - 1, 102 - 1) = "1" ), 3, 4 ) ) )</f>
        <v>1</v>
      </c>
    </row>
    <row r="155" spans="3:103" ht="13.8" x14ac:dyDescent="0.3">
      <c r="CQ155" s="24">
        <v>0.99680995220277357</v>
      </c>
      <c r="CR155" s="24" t="str">
        <f>"1"</f>
        <v>1</v>
      </c>
      <c r="CS155" t="str">
        <f ca="1">IF((OFFSET($A$1, 155 - 1, 95 - 1)) &gt;= (OFFSET($A$1, 55 - 1, 7 - 1)), "1","0")</f>
        <v>1</v>
      </c>
      <c r="CT155">
        <f ca="1" xml:space="preserve"> IF( AND( OFFSET($A$1, 155 - 1, 96 - 1) = "1", OFFSET($A$1, 155 - 1, 97 - 1) = "1" ), 1, IF( AND( OFFSET($A$1, 155 - 1, 96 - 1) = "1", OFFSET($A$1, 155 - 1, 97 - 1) = "0" ), 2, IF( AND( OFFSET($A$1, 155 - 1, 96 - 1) = "0", OFFSET($A$1, 155 - 1, 97 - 1) = "1" ), 3, 4 ) ) )</f>
        <v>1</v>
      </c>
      <c r="CV155" s="24">
        <v>0.97954764510336023</v>
      </c>
      <c r="CW155" s="24" t="str">
        <f>"1"</f>
        <v>1</v>
      </c>
      <c r="CX155" t="str">
        <f ca="1">IF((OFFSET($A$1, 155 - 1, 100 - 1)) &gt;= (OFFSET($A$1, 79 - 1, 7 - 1)), "1","0")</f>
        <v>1</v>
      </c>
      <c r="CY155">
        <f ca="1" xml:space="preserve"> IF( AND( OFFSET($A$1, 155 - 1, 101 - 1) = "1", OFFSET($A$1, 155 - 1, 102 - 1) = "1" ), 1, IF( AND( OFFSET($A$1, 155 - 1, 101 - 1) = "1", OFFSET($A$1, 155 - 1, 102 - 1) = "0" ), 2, IF( AND( OFFSET($A$1, 155 - 1, 101 - 1) = "0", OFFSET($A$1, 155 - 1, 102 - 1) = "1" ), 3, 4 ) ) )</f>
        <v>1</v>
      </c>
    </row>
    <row r="156" spans="3:103" ht="13.8" x14ac:dyDescent="0.3">
      <c r="CQ156" s="24">
        <v>0.99946757025264521</v>
      </c>
      <c r="CR156" s="24" t="str">
        <f>"1"</f>
        <v>1</v>
      </c>
      <c r="CS156" t="str">
        <f ca="1">IF((OFFSET($A$1, 156 - 1, 95 - 1)) &gt;= (OFFSET($A$1, 55 - 1, 7 - 1)), "1","0")</f>
        <v>1</v>
      </c>
      <c r="CT156">
        <f ca="1" xml:space="preserve"> IF( AND( OFFSET($A$1, 156 - 1, 96 - 1) = "1", OFFSET($A$1, 156 - 1, 97 - 1) = "1" ), 1, IF( AND( OFFSET($A$1, 156 - 1, 96 - 1) = "1", OFFSET($A$1, 156 - 1, 97 - 1) = "0" ), 2, IF( AND( OFFSET($A$1, 156 - 1, 96 - 1) = "0", OFFSET($A$1, 156 - 1, 97 - 1) = "1" ), 3, 4 ) ) )</f>
        <v>1</v>
      </c>
      <c r="CV156" s="24">
        <v>0.98971506482473237</v>
      </c>
      <c r="CW156" s="24" t="str">
        <f>"1"</f>
        <v>1</v>
      </c>
      <c r="CX156" t="str">
        <f ca="1">IF((OFFSET($A$1, 156 - 1, 100 - 1)) &gt;= (OFFSET($A$1, 79 - 1, 7 - 1)), "1","0")</f>
        <v>1</v>
      </c>
      <c r="CY156">
        <f ca="1" xml:space="preserve"> IF( AND( OFFSET($A$1, 156 - 1, 101 - 1) = "1", OFFSET($A$1, 156 - 1, 102 - 1) = "1" ), 1, IF( AND( OFFSET($A$1, 156 - 1, 101 - 1) = "1", OFFSET($A$1, 156 - 1, 102 - 1) = "0" ), 2, IF( AND( OFFSET($A$1, 156 - 1, 101 - 1) = "0", OFFSET($A$1, 156 - 1, 102 - 1) = "1" ), 3, 4 ) ) )</f>
        <v>1</v>
      </c>
    </row>
    <row r="157" spans="3:103" ht="13.8" x14ac:dyDescent="0.3">
      <c r="CQ157" s="24">
        <v>0.5343207827826526</v>
      </c>
      <c r="CR157" s="24" t="str">
        <f>"0"</f>
        <v>0</v>
      </c>
      <c r="CS157" t="str">
        <f ca="1">IF((OFFSET($A$1, 157 - 1, 95 - 1)) &gt;= (OFFSET($A$1, 55 - 1, 7 - 1)), "1","0")</f>
        <v>1</v>
      </c>
      <c r="CT157">
        <f ca="1" xml:space="preserve"> IF( AND( OFFSET($A$1, 157 - 1, 96 - 1) = "1", OFFSET($A$1, 157 - 1, 97 - 1) = "1" ), 1, IF( AND( OFFSET($A$1, 157 - 1, 96 - 1) = "1", OFFSET($A$1, 157 - 1, 97 - 1) = "0" ), 2, IF( AND( OFFSET($A$1, 157 - 1, 96 - 1) = "0", OFFSET($A$1, 157 - 1, 97 - 1) = "1" ), 3, 4 ) ) )</f>
        <v>3</v>
      </c>
      <c r="CV157" s="24">
        <v>0.99317466451303671</v>
      </c>
      <c r="CW157" s="24" t="str">
        <f>"0"</f>
        <v>0</v>
      </c>
      <c r="CX157" t="str">
        <f ca="1">IF((OFFSET($A$1, 157 - 1, 100 - 1)) &gt;= (OFFSET($A$1, 79 - 1, 7 - 1)), "1","0")</f>
        <v>1</v>
      </c>
      <c r="CY157">
        <f ca="1" xml:space="preserve"> IF( AND( OFFSET($A$1, 157 - 1, 101 - 1) = "1", OFFSET($A$1, 157 - 1, 102 - 1) = "1" ), 1, IF( AND( OFFSET($A$1, 157 - 1, 101 - 1) = "1", OFFSET($A$1, 157 - 1, 102 - 1) = "0" ), 2, IF( AND( OFFSET($A$1, 157 - 1, 101 - 1) = "0", OFFSET($A$1, 157 - 1, 102 - 1) = "1" ), 3, 4 ) ) )</f>
        <v>3</v>
      </c>
    </row>
    <row r="158" spans="3:103" ht="13.8" x14ac:dyDescent="0.3">
      <c r="CQ158" s="24">
        <v>7.5800420648294647E-2</v>
      </c>
      <c r="CR158" s="24" t="str">
        <f>"0"</f>
        <v>0</v>
      </c>
      <c r="CS158" t="str">
        <f ca="1">IF((OFFSET($A$1, 158 - 1, 95 - 1)) &gt;= (OFFSET($A$1, 55 - 1, 7 - 1)), "1","0")</f>
        <v>0</v>
      </c>
      <c r="CT158">
        <f ca="1" xml:space="preserve"> IF( AND( OFFSET($A$1, 158 - 1, 96 - 1) = "1", OFFSET($A$1, 158 - 1, 97 - 1) = "1" ), 1, IF( AND( OFFSET($A$1, 158 - 1, 96 - 1) = "1", OFFSET($A$1, 158 - 1, 97 - 1) = "0" ), 2, IF( AND( OFFSET($A$1, 158 - 1, 96 - 1) = "0", OFFSET($A$1, 158 - 1, 97 - 1) = "1" ), 3, 4 ) ) )</f>
        <v>4</v>
      </c>
      <c r="CV158" s="24">
        <v>0.87762771004257123</v>
      </c>
      <c r="CW158" s="24" t="str">
        <f>"1"</f>
        <v>1</v>
      </c>
      <c r="CX158" t="str">
        <f ca="1">IF((OFFSET($A$1, 158 - 1, 100 - 1)) &gt;= (OFFSET($A$1, 79 - 1, 7 - 1)), "1","0")</f>
        <v>1</v>
      </c>
      <c r="CY158">
        <f ca="1" xml:space="preserve"> IF( AND( OFFSET($A$1, 158 - 1, 101 - 1) = "1", OFFSET($A$1, 158 - 1, 102 - 1) = "1" ), 1, IF( AND( OFFSET($A$1, 158 - 1, 101 - 1) = "1", OFFSET($A$1, 158 - 1, 102 - 1) = "0" ), 2, IF( AND( OFFSET($A$1, 158 - 1, 101 - 1) = "0", OFFSET($A$1, 158 - 1, 102 - 1) = "1" ), 3, 4 ) ) )</f>
        <v>1</v>
      </c>
    </row>
    <row r="159" spans="3:103" ht="13.8" x14ac:dyDescent="0.3">
      <c r="CQ159" s="24">
        <v>0.97560962554695951</v>
      </c>
      <c r="CR159" s="24" t="str">
        <f>"1"</f>
        <v>1</v>
      </c>
      <c r="CS159" t="str">
        <f ca="1">IF((OFFSET($A$1, 159 - 1, 95 - 1)) &gt;= (OFFSET($A$1, 55 - 1, 7 - 1)), "1","0")</f>
        <v>1</v>
      </c>
      <c r="CT159">
        <f ca="1" xml:space="preserve"> IF( AND( OFFSET($A$1, 159 - 1, 96 - 1) = "1", OFFSET($A$1, 159 - 1, 97 - 1) = "1" ), 1, IF( AND( OFFSET($A$1, 159 - 1, 96 - 1) = "1", OFFSET($A$1, 159 - 1, 97 - 1) = "0" ), 2, IF( AND( OFFSET($A$1, 159 - 1, 96 - 1) = "0", OFFSET($A$1, 159 - 1, 97 - 1) = "1" ), 3, 4 ) ) )</f>
        <v>1</v>
      </c>
      <c r="CV159" s="24">
        <v>0.99878767495925547</v>
      </c>
      <c r="CW159" s="24" t="str">
        <f>"1"</f>
        <v>1</v>
      </c>
      <c r="CX159" t="str">
        <f ca="1">IF((OFFSET($A$1, 159 - 1, 100 - 1)) &gt;= (OFFSET($A$1, 79 - 1, 7 - 1)), "1","0")</f>
        <v>1</v>
      </c>
      <c r="CY159">
        <f ca="1" xml:space="preserve"> IF( AND( OFFSET($A$1, 159 - 1, 101 - 1) = "1", OFFSET($A$1, 159 - 1, 102 - 1) = "1" ), 1, IF( AND( OFFSET($A$1, 159 - 1, 101 - 1) = "1", OFFSET($A$1, 159 - 1, 102 - 1) = "0" ), 2, IF( AND( OFFSET($A$1, 159 - 1, 101 - 1) = "0", OFFSET($A$1, 159 - 1, 102 - 1) = "1" ), 3, 4 ) ) )</f>
        <v>1</v>
      </c>
    </row>
    <row r="160" spans="3:103" ht="13.8" x14ac:dyDescent="0.3">
      <c r="CQ160" s="24">
        <v>5.0317709050124462E-2</v>
      </c>
      <c r="CR160" s="24" t="str">
        <f>"0"</f>
        <v>0</v>
      </c>
      <c r="CS160" t="str">
        <f ca="1">IF((OFFSET($A$1, 160 - 1, 95 - 1)) &gt;= (OFFSET($A$1, 55 - 1, 7 - 1)), "1","0")</f>
        <v>0</v>
      </c>
      <c r="CT160">
        <f ca="1" xml:space="preserve"> IF( AND( OFFSET($A$1, 160 - 1, 96 - 1) = "1", OFFSET($A$1, 160 - 1, 97 - 1) = "1" ), 1, IF( AND( OFFSET($A$1, 160 - 1, 96 - 1) = "1", OFFSET($A$1, 160 - 1, 97 - 1) = "0" ), 2, IF( AND( OFFSET($A$1, 160 - 1, 96 - 1) = "0", OFFSET($A$1, 160 - 1, 97 - 1) = "1" ), 3, 4 ) ) )</f>
        <v>4</v>
      </c>
      <c r="CV160" s="24">
        <v>0.98733785942917229</v>
      </c>
      <c r="CW160" s="24" t="str">
        <f>"1"</f>
        <v>1</v>
      </c>
      <c r="CX160" t="str">
        <f ca="1">IF((OFFSET($A$1, 160 - 1, 100 - 1)) &gt;= (OFFSET($A$1, 79 - 1, 7 - 1)), "1","0")</f>
        <v>1</v>
      </c>
      <c r="CY160">
        <f ca="1" xml:space="preserve"> IF( AND( OFFSET($A$1, 160 - 1, 101 - 1) = "1", OFFSET($A$1, 160 - 1, 102 - 1) = "1" ), 1, IF( AND( OFFSET($A$1, 160 - 1, 101 - 1) = "1", OFFSET($A$1, 160 - 1, 102 - 1) = "0" ), 2, IF( AND( OFFSET($A$1, 160 - 1, 101 - 1) = "0", OFFSET($A$1, 160 - 1, 102 - 1) = "1" ), 3, 4 ) ) )</f>
        <v>1</v>
      </c>
    </row>
    <row r="161" spans="95:103" ht="13.8" x14ac:dyDescent="0.3">
      <c r="CQ161" s="24">
        <v>0.99113221573472976</v>
      </c>
      <c r="CR161" s="24" t="str">
        <f>"1"</f>
        <v>1</v>
      </c>
      <c r="CS161" t="str">
        <f ca="1">IF((OFFSET($A$1, 161 - 1, 95 - 1)) &gt;= (OFFSET($A$1, 55 - 1, 7 - 1)), "1","0")</f>
        <v>1</v>
      </c>
      <c r="CT161">
        <f ca="1" xml:space="preserve"> IF( AND( OFFSET($A$1, 161 - 1, 96 - 1) = "1", OFFSET($A$1, 161 - 1, 97 - 1) = "1" ), 1, IF( AND( OFFSET($A$1, 161 - 1, 96 - 1) = "1", OFFSET($A$1, 161 - 1, 97 - 1) = "0" ), 2, IF( AND( OFFSET($A$1, 161 - 1, 96 - 1) = "0", OFFSET($A$1, 161 - 1, 97 - 1) = "1" ), 3, 4 ) ) )</f>
        <v>1</v>
      </c>
      <c r="CV161" s="24">
        <v>0.99553411396845459</v>
      </c>
      <c r="CW161" s="24" t="str">
        <f>"1"</f>
        <v>1</v>
      </c>
      <c r="CX161" t="str">
        <f ca="1">IF((OFFSET($A$1, 161 - 1, 100 - 1)) &gt;= (OFFSET($A$1, 79 - 1, 7 - 1)), "1","0")</f>
        <v>1</v>
      </c>
      <c r="CY161">
        <f ca="1" xml:space="preserve"> IF( AND( OFFSET($A$1, 161 - 1, 101 - 1) = "1", OFFSET($A$1, 161 - 1, 102 - 1) = "1" ), 1, IF( AND( OFFSET($A$1, 161 - 1, 101 - 1) = "1", OFFSET($A$1, 161 - 1, 102 - 1) = "0" ), 2, IF( AND( OFFSET($A$1, 161 - 1, 101 - 1) = "0", OFFSET($A$1, 161 - 1, 102 - 1) = "1" ), 3, 4 ) ) )</f>
        <v>1</v>
      </c>
    </row>
    <row r="162" spans="95:103" ht="13.8" x14ac:dyDescent="0.3">
      <c r="CQ162" s="24">
        <v>0.98130930377776249</v>
      </c>
      <c r="CR162" s="24" t="str">
        <f>"1"</f>
        <v>1</v>
      </c>
      <c r="CS162" t="str">
        <f ca="1">IF((OFFSET($A$1, 162 - 1, 95 - 1)) &gt;= (OFFSET($A$1, 55 - 1, 7 - 1)), "1","0")</f>
        <v>1</v>
      </c>
      <c r="CT162">
        <f ca="1" xml:space="preserve"> IF( AND( OFFSET($A$1, 162 - 1, 96 - 1) = "1", OFFSET($A$1, 162 - 1, 97 - 1) = "1" ), 1, IF( AND( OFFSET($A$1, 162 - 1, 96 - 1) = "1", OFFSET($A$1, 162 - 1, 97 - 1) = "0" ), 2, IF( AND( OFFSET($A$1, 162 - 1, 96 - 1) = "0", OFFSET($A$1, 162 - 1, 97 - 1) = "1" ), 3, 4 ) ) )</f>
        <v>1</v>
      </c>
      <c r="CV162" s="24">
        <v>0.22365399457213325</v>
      </c>
      <c r="CW162" s="24" t="str">
        <f>"0"</f>
        <v>0</v>
      </c>
      <c r="CX162" t="str">
        <f ca="1">IF((OFFSET($A$1, 162 - 1, 100 - 1)) &gt;= (OFFSET($A$1, 79 - 1, 7 - 1)), "1","0")</f>
        <v>0</v>
      </c>
      <c r="CY162">
        <f ca="1" xml:space="preserve"> IF( AND( OFFSET($A$1, 162 - 1, 101 - 1) = "1", OFFSET($A$1, 162 - 1, 102 - 1) = "1" ), 1, IF( AND( OFFSET($A$1, 162 - 1, 101 - 1) = "1", OFFSET($A$1, 162 - 1, 102 - 1) = "0" ), 2, IF( AND( OFFSET($A$1, 162 - 1, 101 - 1) = "0", OFFSET($A$1, 162 - 1, 102 - 1) = "1" ), 3, 4 ) ) )</f>
        <v>4</v>
      </c>
    </row>
    <row r="163" spans="95:103" ht="13.8" x14ac:dyDescent="0.3">
      <c r="CQ163" s="24">
        <v>9.3747499368435766E-2</v>
      </c>
      <c r="CR163" s="24" t="str">
        <f>"0"</f>
        <v>0</v>
      </c>
      <c r="CS163" t="str">
        <f ca="1">IF((OFFSET($A$1, 163 - 1, 95 - 1)) &gt;= (OFFSET($A$1, 55 - 1, 7 - 1)), "1","0")</f>
        <v>0</v>
      </c>
      <c r="CT163">
        <f ca="1" xml:space="preserve"> IF( AND( OFFSET($A$1, 163 - 1, 96 - 1) = "1", OFFSET($A$1, 163 - 1, 97 - 1) = "1" ), 1, IF( AND( OFFSET($A$1, 163 - 1, 96 - 1) = "1", OFFSET($A$1, 163 - 1, 97 - 1) = "0" ), 2, IF( AND( OFFSET($A$1, 163 - 1, 96 - 1) = "0", OFFSET($A$1, 163 - 1, 97 - 1) = "1" ), 3, 4 ) ) )</f>
        <v>4</v>
      </c>
      <c r="CV163" s="24">
        <v>0.73002236259254816</v>
      </c>
      <c r="CW163" s="24" t="str">
        <f>"1"</f>
        <v>1</v>
      </c>
      <c r="CX163" t="str">
        <f ca="1">IF((OFFSET($A$1, 163 - 1, 100 - 1)) &gt;= (OFFSET($A$1, 79 - 1, 7 - 1)), "1","0")</f>
        <v>1</v>
      </c>
      <c r="CY163">
        <f ca="1" xml:space="preserve"> IF( AND( OFFSET($A$1, 163 - 1, 101 - 1) = "1", OFFSET($A$1, 163 - 1, 102 - 1) = "1" ), 1, IF( AND( OFFSET($A$1, 163 - 1, 101 - 1) = "1", OFFSET($A$1, 163 - 1, 102 - 1) = "0" ), 2, IF( AND( OFFSET($A$1, 163 - 1, 101 - 1) = "0", OFFSET($A$1, 163 - 1, 102 - 1) = "1" ), 3, 4 ) ) )</f>
        <v>1</v>
      </c>
    </row>
    <row r="164" spans="95:103" ht="13.8" x14ac:dyDescent="0.3">
      <c r="CQ164" s="24">
        <v>0.98395387830280123</v>
      </c>
      <c r="CR164" s="24" t="str">
        <f>"1"</f>
        <v>1</v>
      </c>
      <c r="CS164" t="str">
        <f ca="1">IF((OFFSET($A$1, 164 - 1, 95 - 1)) &gt;= (OFFSET($A$1, 55 - 1, 7 - 1)), "1","0")</f>
        <v>1</v>
      </c>
      <c r="CT164">
        <f ca="1" xml:space="preserve"> IF( AND( OFFSET($A$1, 164 - 1, 96 - 1) = "1", OFFSET($A$1, 164 - 1, 97 - 1) = "1" ), 1, IF( AND( OFFSET($A$1, 164 - 1, 96 - 1) = "1", OFFSET($A$1, 164 - 1, 97 - 1) = "0" ), 2, IF( AND( OFFSET($A$1, 164 - 1, 96 - 1) = "0", OFFSET($A$1, 164 - 1, 97 - 1) = "1" ), 3, 4 ) ) )</f>
        <v>1</v>
      </c>
      <c r="CV164" s="24">
        <v>0.992973934080155</v>
      </c>
      <c r="CW164" s="24" t="str">
        <f>"1"</f>
        <v>1</v>
      </c>
      <c r="CX164" t="str">
        <f ca="1">IF((OFFSET($A$1, 164 - 1, 100 - 1)) &gt;= (OFFSET($A$1, 79 - 1, 7 - 1)), "1","0")</f>
        <v>1</v>
      </c>
      <c r="CY164">
        <f ca="1" xml:space="preserve"> IF( AND( OFFSET($A$1, 164 - 1, 101 - 1) = "1", OFFSET($A$1, 164 - 1, 102 - 1) = "1" ), 1, IF( AND( OFFSET($A$1, 164 - 1, 101 - 1) = "1", OFFSET($A$1, 164 - 1, 102 - 1) = "0" ), 2, IF( AND( OFFSET($A$1, 164 - 1, 101 - 1) = "0", OFFSET($A$1, 164 - 1, 102 - 1) = "1" ), 3, 4 ) ) )</f>
        <v>1</v>
      </c>
    </row>
    <row r="165" spans="95:103" ht="13.8" x14ac:dyDescent="0.3">
      <c r="CQ165" s="24">
        <v>0.97739200260408376</v>
      </c>
      <c r="CR165" s="24" t="str">
        <f>"1"</f>
        <v>1</v>
      </c>
      <c r="CS165" t="str">
        <f ca="1">IF((OFFSET($A$1, 165 - 1, 95 - 1)) &gt;= (OFFSET($A$1, 55 - 1, 7 - 1)), "1","0")</f>
        <v>1</v>
      </c>
      <c r="CT165">
        <f ca="1" xml:space="preserve"> IF( AND( OFFSET($A$1, 165 - 1, 96 - 1) = "1", OFFSET($A$1, 165 - 1, 97 - 1) = "1" ), 1, IF( AND( OFFSET($A$1, 165 - 1, 96 - 1) = "1", OFFSET($A$1, 165 - 1, 97 - 1) = "0" ), 2, IF( AND( OFFSET($A$1, 165 - 1, 96 - 1) = "0", OFFSET($A$1, 165 - 1, 97 - 1) = "1" ), 3, 4 ) ) )</f>
        <v>1</v>
      </c>
      <c r="CV165" s="24">
        <v>0.99617341400594206</v>
      </c>
      <c r="CW165" s="24" t="str">
        <f>"0"</f>
        <v>0</v>
      </c>
      <c r="CX165" t="str">
        <f ca="1">IF((OFFSET($A$1, 165 - 1, 100 - 1)) &gt;= (OFFSET($A$1, 79 - 1, 7 - 1)), "1","0")</f>
        <v>1</v>
      </c>
      <c r="CY165">
        <f ca="1" xml:space="preserve"> IF( AND( OFFSET($A$1, 165 - 1, 101 - 1) = "1", OFFSET($A$1, 165 - 1, 102 - 1) = "1" ), 1, IF( AND( OFFSET($A$1, 165 - 1, 101 - 1) = "1", OFFSET($A$1, 165 - 1, 102 - 1) = "0" ), 2, IF( AND( OFFSET($A$1, 165 - 1, 101 - 1) = "0", OFFSET($A$1, 165 - 1, 102 - 1) = "1" ), 3, 4 ) ) )</f>
        <v>3</v>
      </c>
    </row>
    <row r="166" spans="95:103" ht="13.8" x14ac:dyDescent="0.3">
      <c r="CQ166" s="24">
        <v>2.7780657583696709E-2</v>
      </c>
      <c r="CR166" s="24" t="str">
        <f>"0"</f>
        <v>0</v>
      </c>
      <c r="CS166" t="str">
        <f ca="1">IF((OFFSET($A$1, 166 - 1, 95 - 1)) &gt;= (OFFSET($A$1, 55 - 1, 7 - 1)), "1","0")</f>
        <v>0</v>
      </c>
      <c r="CT166">
        <f ca="1" xml:space="preserve"> IF( AND( OFFSET($A$1, 166 - 1, 96 - 1) = "1", OFFSET($A$1, 166 - 1, 97 - 1) = "1" ), 1, IF( AND( OFFSET($A$1, 166 - 1, 96 - 1) = "1", OFFSET($A$1, 166 - 1, 97 - 1) = "0" ), 2, IF( AND( OFFSET($A$1, 166 - 1, 96 - 1) = "0", OFFSET($A$1, 166 - 1, 97 - 1) = "1" ), 3, 4 ) ) )</f>
        <v>4</v>
      </c>
      <c r="CV166" s="24">
        <v>0.91883816509438843</v>
      </c>
      <c r="CW166" s="24" t="str">
        <f>"1"</f>
        <v>1</v>
      </c>
      <c r="CX166" t="str">
        <f ca="1">IF((OFFSET($A$1, 166 - 1, 100 - 1)) &gt;= (OFFSET($A$1, 79 - 1, 7 - 1)), "1","0")</f>
        <v>1</v>
      </c>
      <c r="CY166">
        <f ca="1" xml:space="preserve"> IF( AND( OFFSET($A$1, 166 - 1, 101 - 1) = "1", OFFSET($A$1, 166 - 1, 102 - 1) = "1" ), 1, IF( AND( OFFSET($A$1, 166 - 1, 101 - 1) = "1", OFFSET($A$1, 166 - 1, 102 - 1) = "0" ), 2, IF( AND( OFFSET($A$1, 166 - 1, 101 - 1) = "0", OFFSET($A$1, 166 - 1, 102 - 1) = "1" ), 3, 4 ) ) )</f>
        <v>1</v>
      </c>
    </row>
    <row r="167" spans="95:103" ht="13.8" x14ac:dyDescent="0.3">
      <c r="CQ167" s="24">
        <v>5.574583042679071E-2</v>
      </c>
      <c r="CR167" s="24" t="str">
        <f>"0"</f>
        <v>0</v>
      </c>
      <c r="CS167" t="str">
        <f ca="1">IF((OFFSET($A$1, 167 - 1, 95 - 1)) &gt;= (OFFSET($A$1, 55 - 1, 7 - 1)), "1","0")</f>
        <v>0</v>
      </c>
      <c r="CT167">
        <f ca="1" xml:space="preserve"> IF( AND( OFFSET($A$1, 167 - 1, 96 - 1) = "1", OFFSET($A$1, 167 - 1, 97 - 1) = "1" ), 1, IF( AND( OFFSET($A$1, 167 - 1, 96 - 1) = "1", OFFSET($A$1, 167 - 1, 97 - 1) = "0" ), 2, IF( AND( OFFSET($A$1, 167 - 1, 96 - 1) = "0", OFFSET($A$1, 167 - 1, 97 - 1) = "1" ), 3, 4 ) ) )</f>
        <v>4</v>
      </c>
      <c r="CV167" s="24">
        <v>0.99886791108704198</v>
      </c>
      <c r="CW167" s="24" t="str">
        <f>"0"</f>
        <v>0</v>
      </c>
      <c r="CX167" t="str">
        <f ca="1">IF((OFFSET($A$1, 167 - 1, 100 - 1)) &gt;= (OFFSET($A$1, 79 - 1, 7 - 1)), "1","0")</f>
        <v>1</v>
      </c>
      <c r="CY167">
        <f ca="1" xml:space="preserve"> IF( AND( OFFSET($A$1, 167 - 1, 101 - 1) = "1", OFFSET($A$1, 167 - 1, 102 - 1) = "1" ), 1, IF( AND( OFFSET($A$1, 167 - 1, 101 - 1) = "1", OFFSET($A$1, 167 - 1, 102 - 1) = "0" ), 2, IF( AND( OFFSET($A$1, 167 - 1, 101 - 1) = "0", OFFSET($A$1, 167 - 1, 102 - 1) = "1" ), 3, 4 ) ) )</f>
        <v>3</v>
      </c>
    </row>
    <row r="168" spans="95:103" ht="13.8" x14ac:dyDescent="0.3">
      <c r="CQ168" s="24">
        <v>0.97574584426995525</v>
      </c>
      <c r="CR168" s="24" t="str">
        <f>"1"</f>
        <v>1</v>
      </c>
      <c r="CS168" t="str">
        <f ca="1">IF((OFFSET($A$1, 168 - 1, 95 - 1)) &gt;= (OFFSET($A$1, 55 - 1, 7 - 1)), "1","0")</f>
        <v>1</v>
      </c>
      <c r="CT168">
        <f ca="1" xml:space="preserve"> IF( AND( OFFSET($A$1, 168 - 1, 96 - 1) = "1", OFFSET($A$1, 168 - 1, 97 - 1) = "1" ), 1, IF( AND( OFFSET($A$1, 168 - 1, 96 - 1) = "1", OFFSET($A$1, 168 - 1, 97 - 1) = "0" ), 2, IF( AND( OFFSET($A$1, 168 - 1, 96 - 1) = "0", OFFSET($A$1, 168 - 1, 97 - 1) = "1" ), 3, 4 ) ) )</f>
        <v>1</v>
      </c>
      <c r="CV168" s="24">
        <v>0.47740991206082617</v>
      </c>
      <c r="CW168" s="24" t="str">
        <f>"0"</f>
        <v>0</v>
      </c>
      <c r="CX168" t="str">
        <f ca="1">IF((OFFSET($A$1, 168 - 1, 100 - 1)) &gt;= (OFFSET($A$1, 79 - 1, 7 - 1)), "1","0")</f>
        <v>0</v>
      </c>
      <c r="CY168">
        <f ca="1" xml:space="preserve"> IF( AND( OFFSET($A$1, 168 - 1, 101 - 1) = "1", OFFSET($A$1, 168 - 1, 102 - 1) = "1" ), 1, IF( AND( OFFSET($A$1, 168 - 1, 101 - 1) = "1", OFFSET($A$1, 168 - 1, 102 - 1) = "0" ), 2, IF( AND( OFFSET($A$1, 168 - 1, 101 - 1) = "0", OFFSET($A$1, 168 - 1, 102 - 1) = "1" ), 3, 4 ) ) )</f>
        <v>4</v>
      </c>
    </row>
    <row r="169" spans="95:103" ht="13.8" x14ac:dyDescent="0.3">
      <c r="CQ169" s="24">
        <v>0.98848320783097887</v>
      </c>
      <c r="CR169" s="24" t="str">
        <f>"1"</f>
        <v>1</v>
      </c>
      <c r="CS169" t="str">
        <f ca="1">IF((OFFSET($A$1, 169 - 1, 95 - 1)) &gt;= (OFFSET($A$1, 55 - 1, 7 - 1)), "1","0")</f>
        <v>1</v>
      </c>
      <c r="CT169">
        <f ca="1" xml:space="preserve"> IF( AND( OFFSET($A$1, 169 - 1, 96 - 1) = "1", OFFSET($A$1, 169 - 1, 97 - 1) = "1" ), 1, IF( AND( OFFSET($A$1, 169 - 1, 96 - 1) = "1", OFFSET($A$1, 169 - 1, 97 - 1) = "0" ), 2, IF( AND( OFFSET($A$1, 169 - 1, 96 - 1) = "0", OFFSET($A$1, 169 - 1, 97 - 1) = "1" ), 3, 4 ) ) )</f>
        <v>1</v>
      </c>
      <c r="CV169" s="24">
        <v>0.99111947185996441</v>
      </c>
      <c r="CW169" s="24" t="str">
        <f t="shared" ref="CW169:CW174" si="12">"1"</f>
        <v>1</v>
      </c>
      <c r="CX169" t="str">
        <f ca="1">IF((OFFSET($A$1, 169 - 1, 100 - 1)) &gt;= (OFFSET($A$1, 79 - 1, 7 - 1)), "1","0")</f>
        <v>1</v>
      </c>
      <c r="CY169">
        <f ca="1" xml:space="preserve"> IF( AND( OFFSET($A$1, 169 - 1, 101 - 1) = "1", OFFSET($A$1, 169 - 1, 102 - 1) = "1" ), 1, IF( AND( OFFSET($A$1, 169 - 1, 101 - 1) = "1", OFFSET($A$1, 169 - 1, 102 - 1) = "0" ), 2, IF( AND( OFFSET($A$1, 169 - 1, 101 - 1) = "0", OFFSET($A$1, 169 - 1, 102 - 1) = "1" ), 3, 4 ) ) )</f>
        <v>1</v>
      </c>
    </row>
    <row r="170" spans="95:103" ht="13.8" x14ac:dyDescent="0.3">
      <c r="CQ170" s="24">
        <v>0.99866338677957678</v>
      </c>
      <c r="CR170" s="24" t="str">
        <f>"1"</f>
        <v>1</v>
      </c>
      <c r="CS170" t="str">
        <f ca="1">IF((OFFSET($A$1, 170 - 1, 95 - 1)) &gt;= (OFFSET($A$1, 55 - 1, 7 - 1)), "1","0")</f>
        <v>1</v>
      </c>
      <c r="CT170">
        <f ca="1" xml:space="preserve"> IF( AND( OFFSET($A$1, 170 - 1, 96 - 1) = "1", OFFSET($A$1, 170 - 1, 97 - 1) = "1" ), 1, IF( AND( OFFSET($A$1, 170 - 1, 96 - 1) = "1", OFFSET($A$1, 170 - 1, 97 - 1) = "0" ), 2, IF( AND( OFFSET($A$1, 170 - 1, 96 - 1) = "0", OFFSET($A$1, 170 - 1, 97 - 1) = "1" ), 3, 4 ) ) )</f>
        <v>1</v>
      </c>
      <c r="CV170" s="24">
        <v>0.99864690392619049</v>
      </c>
      <c r="CW170" s="24" t="str">
        <f t="shared" si="12"/>
        <v>1</v>
      </c>
      <c r="CX170" t="str">
        <f ca="1">IF((OFFSET($A$1, 170 - 1, 100 - 1)) &gt;= (OFFSET($A$1, 79 - 1, 7 - 1)), "1","0")</f>
        <v>1</v>
      </c>
      <c r="CY170">
        <f ca="1" xml:space="preserve"> IF( AND( OFFSET($A$1, 170 - 1, 101 - 1) = "1", OFFSET($A$1, 170 - 1, 102 - 1) = "1" ), 1, IF( AND( OFFSET($A$1, 170 - 1, 101 - 1) = "1", OFFSET($A$1, 170 - 1, 102 - 1) = "0" ), 2, IF( AND( OFFSET($A$1, 170 - 1, 101 - 1) = "0", OFFSET($A$1, 170 - 1, 102 - 1) = "1" ), 3, 4 ) ) )</f>
        <v>1</v>
      </c>
    </row>
    <row r="171" spans="95:103" ht="13.8" x14ac:dyDescent="0.3">
      <c r="CQ171" s="24">
        <v>0.9984820792402469</v>
      </c>
      <c r="CR171" s="24" t="str">
        <f>"1"</f>
        <v>1</v>
      </c>
      <c r="CS171" t="str">
        <f ca="1">IF((OFFSET($A$1, 171 - 1, 95 - 1)) &gt;= (OFFSET($A$1, 55 - 1, 7 - 1)), "1","0")</f>
        <v>1</v>
      </c>
      <c r="CT171">
        <f ca="1" xml:space="preserve"> IF( AND( OFFSET($A$1, 171 - 1, 96 - 1) = "1", OFFSET($A$1, 171 - 1, 97 - 1) = "1" ), 1, IF( AND( OFFSET($A$1, 171 - 1, 96 - 1) = "1", OFFSET($A$1, 171 - 1, 97 - 1) = "0" ), 2, IF( AND( OFFSET($A$1, 171 - 1, 96 - 1) = "0", OFFSET($A$1, 171 - 1, 97 - 1) = "1" ), 3, 4 ) ) )</f>
        <v>1</v>
      </c>
      <c r="CV171" s="24">
        <v>0.94316357655853356</v>
      </c>
      <c r="CW171" s="24" t="str">
        <f t="shared" si="12"/>
        <v>1</v>
      </c>
      <c r="CX171" t="str">
        <f ca="1">IF((OFFSET($A$1, 171 - 1, 100 - 1)) &gt;= (OFFSET($A$1, 79 - 1, 7 - 1)), "1","0")</f>
        <v>1</v>
      </c>
      <c r="CY171">
        <f ca="1" xml:space="preserve"> IF( AND( OFFSET($A$1, 171 - 1, 101 - 1) = "1", OFFSET($A$1, 171 - 1, 102 - 1) = "1" ), 1, IF( AND( OFFSET($A$1, 171 - 1, 101 - 1) = "1", OFFSET($A$1, 171 - 1, 102 - 1) = "0" ), 2, IF( AND( OFFSET($A$1, 171 - 1, 101 - 1) = "0", OFFSET($A$1, 171 - 1, 102 - 1) = "1" ), 3, 4 ) ) )</f>
        <v>1</v>
      </c>
    </row>
    <row r="172" spans="95:103" ht="13.8" x14ac:dyDescent="0.3">
      <c r="CQ172" s="24">
        <v>0.94629642266858782</v>
      </c>
      <c r="CR172" s="24" t="str">
        <f>"1"</f>
        <v>1</v>
      </c>
      <c r="CS172" t="str">
        <f ca="1">IF((OFFSET($A$1, 172 - 1, 95 - 1)) &gt;= (OFFSET($A$1, 55 - 1, 7 - 1)), "1","0")</f>
        <v>1</v>
      </c>
      <c r="CT172">
        <f ca="1" xml:space="preserve"> IF( AND( OFFSET($A$1, 172 - 1, 96 - 1) = "1", OFFSET($A$1, 172 - 1, 97 - 1) = "1" ), 1, IF( AND( OFFSET($A$1, 172 - 1, 96 - 1) = "1", OFFSET($A$1, 172 - 1, 97 - 1) = "0" ), 2, IF( AND( OFFSET($A$1, 172 - 1, 96 - 1) = "0", OFFSET($A$1, 172 - 1, 97 - 1) = "1" ), 3, 4 ) ) )</f>
        <v>1</v>
      </c>
      <c r="CV172" s="24">
        <v>0.95522359721473027</v>
      </c>
      <c r="CW172" s="24" t="str">
        <f t="shared" si="12"/>
        <v>1</v>
      </c>
      <c r="CX172" t="str">
        <f ca="1">IF((OFFSET($A$1, 172 - 1, 100 - 1)) &gt;= (OFFSET($A$1, 79 - 1, 7 - 1)), "1","0")</f>
        <v>1</v>
      </c>
      <c r="CY172">
        <f ca="1" xml:space="preserve"> IF( AND( OFFSET($A$1, 172 - 1, 101 - 1) = "1", OFFSET($A$1, 172 - 1, 102 - 1) = "1" ), 1, IF( AND( OFFSET($A$1, 172 - 1, 101 - 1) = "1", OFFSET($A$1, 172 - 1, 102 - 1) = "0" ), 2, IF( AND( OFFSET($A$1, 172 - 1, 101 - 1) = "0", OFFSET($A$1, 172 - 1, 102 - 1) = "1" ), 3, 4 ) ) )</f>
        <v>1</v>
      </c>
    </row>
    <row r="173" spans="95:103" ht="13.8" x14ac:dyDescent="0.3">
      <c r="CQ173" s="24">
        <v>0.50504979251820548</v>
      </c>
      <c r="CR173" s="24" t="str">
        <f>"0"</f>
        <v>0</v>
      </c>
      <c r="CS173" t="str">
        <f ca="1">IF((OFFSET($A$1, 173 - 1, 95 - 1)) &gt;= (OFFSET($A$1, 55 - 1, 7 - 1)), "1","0")</f>
        <v>1</v>
      </c>
      <c r="CT173">
        <f ca="1" xml:space="preserve"> IF( AND( OFFSET($A$1, 173 - 1, 96 - 1) = "1", OFFSET($A$1, 173 - 1, 97 - 1) = "1" ), 1, IF( AND( OFFSET($A$1, 173 - 1, 96 - 1) = "1", OFFSET($A$1, 173 - 1, 97 - 1) = "0" ), 2, IF( AND( OFFSET($A$1, 173 - 1, 96 - 1) = "0", OFFSET($A$1, 173 - 1, 97 - 1) = "1" ), 3, 4 ) ) )</f>
        <v>3</v>
      </c>
      <c r="CV173" s="24">
        <v>0.99207221766220699</v>
      </c>
      <c r="CW173" s="24" t="str">
        <f t="shared" si="12"/>
        <v>1</v>
      </c>
      <c r="CX173" t="str">
        <f ca="1">IF((OFFSET($A$1, 173 - 1, 100 - 1)) &gt;= (OFFSET($A$1, 79 - 1, 7 - 1)), "1","0")</f>
        <v>1</v>
      </c>
      <c r="CY173">
        <f ca="1" xml:space="preserve"> IF( AND( OFFSET($A$1, 173 - 1, 101 - 1) = "1", OFFSET($A$1, 173 - 1, 102 - 1) = "1" ), 1, IF( AND( OFFSET($A$1, 173 - 1, 101 - 1) = "1", OFFSET($A$1, 173 - 1, 102 - 1) = "0" ), 2, IF( AND( OFFSET($A$1, 173 - 1, 101 - 1) = "0", OFFSET($A$1, 173 - 1, 102 - 1) = "1" ), 3, 4 ) ) )</f>
        <v>1</v>
      </c>
    </row>
    <row r="174" spans="95:103" ht="13.8" x14ac:dyDescent="0.3">
      <c r="CQ174" s="24">
        <v>4.304994670263889E-2</v>
      </c>
      <c r="CR174" s="24" t="str">
        <f>"0"</f>
        <v>0</v>
      </c>
      <c r="CS174" t="str">
        <f ca="1">IF((OFFSET($A$1, 174 - 1, 95 - 1)) &gt;= (OFFSET($A$1, 55 - 1, 7 - 1)), "1","0")</f>
        <v>0</v>
      </c>
      <c r="CT174">
        <f ca="1" xml:space="preserve"> IF( AND( OFFSET($A$1, 174 - 1, 96 - 1) = "1", OFFSET($A$1, 174 - 1, 97 - 1) = "1" ), 1, IF( AND( OFFSET($A$1, 174 - 1, 96 - 1) = "1", OFFSET($A$1, 174 - 1, 97 - 1) = "0" ), 2, IF( AND( OFFSET($A$1, 174 - 1, 96 - 1) = "0", OFFSET($A$1, 174 - 1, 97 - 1) = "1" ), 3, 4 ) ) )</f>
        <v>4</v>
      </c>
      <c r="CV174" s="24">
        <v>0.95805551528076938</v>
      </c>
      <c r="CW174" s="24" t="str">
        <f t="shared" si="12"/>
        <v>1</v>
      </c>
      <c r="CX174" t="str">
        <f ca="1">IF((OFFSET($A$1, 174 - 1, 100 - 1)) &gt;= (OFFSET($A$1, 79 - 1, 7 - 1)), "1","0")</f>
        <v>1</v>
      </c>
      <c r="CY174">
        <f ca="1" xml:space="preserve"> IF( AND( OFFSET($A$1, 174 - 1, 101 - 1) = "1", OFFSET($A$1, 174 - 1, 102 - 1) = "1" ), 1, IF( AND( OFFSET($A$1, 174 - 1, 101 - 1) = "1", OFFSET($A$1, 174 - 1, 102 - 1) = "0" ), 2, IF( AND( OFFSET($A$1, 174 - 1, 101 - 1) = "0", OFFSET($A$1, 174 - 1, 102 - 1) = "1" ), 3, 4 ) ) )</f>
        <v>1</v>
      </c>
    </row>
    <row r="175" spans="95:103" ht="13.8" x14ac:dyDescent="0.3">
      <c r="CQ175" s="24">
        <v>0.23358884817847525</v>
      </c>
      <c r="CR175" s="24" t="str">
        <f>"0"</f>
        <v>0</v>
      </c>
      <c r="CS175" t="str">
        <f ca="1">IF((OFFSET($A$1, 175 - 1, 95 - 1)) &gt;= (OFFSET($A$1, 55 - 1, 7 - 1)), "1","0")</f>
        <v>0</v>
      </c>
      <c r="CT175">
        <f ca="1" xml:space="preserve"> IF( AND( OFFSET($A$1, 175 - 1, 96 - 1) = "1", OFFSET($A$1, 175 - 1, 97 - 1) = "1" ), 1, IF( AND( OFFSET($A$1, 175 - 1, 96 - 1) = "1", OFFSET($A$1, 175 - 1, 97 - 1) = "0" ), 2, IF( AND( OFFSET($A$1, 175 - 1, 96 - 1) = "0", OFFSET($A$1, 175 - 1, 97 - 1) = "1" ), 3, 4 ) ) )</f>
        <v>4</v>
      </c>
      <c r="CV175" s="24">
        <v>0.97342932746069011</v>
      </c>
      <c r="CW175" s="24" t="str">
        <f>"0"</f>
        <v>0</v>
      </c>
      <c r="CX175" t="str">
        <f ca="1">IF((OFFSET($A$1, 175 - 1, 100 - 1)) &gt;= (OFFSET($A$1, 79 - 1, 7 - 1)), "1","0")</f>
        <v>1</v>
      </c>
      <c r="CY175">
        <f ca="1" xml:space="preserve"> IF( AND( OFFSET($A$1, 175 - 1, 101 - 1) = "1", OFFSET($A$1, 175 - 1, 102 - 1) = "1" ), 1, IF( AND( OFFSET($A$1, 175 - 1, 101 - 1) = "1", OFFSET($A$1, 175 - 1, 102 - 1) = "0" ), 2, IF( AND( OFFSET($A$1, 175 - 1, 101 - 1) = "0", OFFSET($A$1, 175 - 1, 102 - 1) = "1" ), 3, 4 ) ) )</f>
        <v>3</v>
      </c>
    </row>
    <row r="176" spans="95:103" ht="13.8" x14ac:dyDescent="0.3">
      <c r="CQ176" s="24">
        <v>3.8361383194229846E-2</v>
      </c>
      <c r="CR176" s="24" t="str">
        <f>"0"</f>
        <v>0</v>
      </c>
      <c r="CS176" t="str">
        <f ca="1">IF((OFFSET($A$1, 176 - 1, 95 - 1)) &gt;= (OFFSET($A$1, 55 - 1, 7 - 1)), "1","0")</f>
        <v>0</v>
      </c>
      <c r="CT176">
        <f ca="1" xml:space="preserve"> IF( AND( OFFSET($A$1, 176 - 1, 96 - 1) = "1", OFFSET($A$1, 176 - 1, 97 - 1) = "1" ), 1, IF( AND( OFFSET($A$1, 176 - 1, 96 - 1) = "1", OFFSET($A$1, 176 - 1, 97 - 1) = "0" ), 2, IF( AND( OFFSET($A$1, 176 - 1, 96 - 1) = "0", OFFSET($A$1, 176 - 1, 97 - 1) = "1" ), 3, 4 ) ) )</f>
        <v>4</v>
      </c>
      <c r="CV176" s="24">
        <v>0.85692032159832354</v>
      </c>
      <c r="CW176" s="24" t="str">
        <f>"1"</f>
        <v>1</v>
      </c>
      <c r="CX176" t="str">
        <f ca="1">IF((OFFSET($A$1, 176 - 1, 100 - 1)) &gt;= (OFFSET($A$1, 79 - 1, 7 - 1)), "1","0")</f>
        <v>1</v>
      </c>
      <c r="CY176">
        <f ca="1" xml:space="preserve"> IF( AND( OFFSET($A$1, 176 - 1, 101 - 1) = "1", OFFSET($A$1, 176 - 1, 102 - 1) = "1" ), 1, IF( AND( OFFSET($A$1, 176 - 1, 101 - 1) = "1", OFFSET($A$1, 176 - 1, 102 - 1) = "0" ), 2, IF( AND( OFFSET($A$1, 176 - 1, 101 - 1) = "0", OFFSET($A$1, 176 - 1, 102 - 1) = "1" ), 3, 4 ) ) )</f>
        <v>1</v>
      </c>
    </row>
    <row r="177" spans="95:103" ht="13.8" x14ac:dyDescent="0.3">
      <c r="CQ177" s="24">
        <v>0.99316720478595533</v>
      </c>
      <c r="CR177" s="24" t="str">
        <f t="shared" ref="CR177:CR184" si="13">"1"</f>
        <v>1</v>
      </c>
      <c r="CS177" t="str">
        <f ca="1">IF((OFFSET($A$1, 177 - 1, 95 - 1)) &gt;= (OFFSET($A$1, 55 - 1, 7 - 1)), "1","0")</f>
        <v>1</v>
      </c>
      <c r="CT177">
        <f ca="1" xml:space="preserve"> IF( AND( OFFSET($A$1, 177 - 1, 96 - 1) = "1", OFFSET($A$1, 177 - 1, 97 - 1) = "1" ), 1, IF( AND( OFFSET($A$1, 177 - 1, 96 - 1) = "1", OFFSET($A$1, 177 - 1, 97 - 1) = "0" ), 2, IF( AND( OFFSET($A$1, 177 - 1, 96 - 1) = "0", OFFSET($A$1, 177 - 1, 97 - 1) = "1" ), 3, 4 ) ) )</f>
        <v>1</v>
      </c>
      <c r="CV177" s="24">
        <v>0.99897924840708618</v>
      </c>
      <c r="CW177" s="24" t="str">
        <f>"1"</f>
        <v>1</v>
      </c>
      <c r="CX177" t="str">
        <f ca="1">IF((OFFSET($A$1, 177 - 1, 100 - 1)) &gt;= (OFFSET($A$1, 79 - 1, 7 - 1)), "1","0")</f>
        <v>1</v>
      </c>
      <c r="CY177">
        <f ca="1" xml:space="preserve"> IF( AND( OFFSET($A$1, 177 - 1, 101 - 1) = "1", OFFSET($A$1, 177 - 1, 102 - 1) = "1" ), 1, IF( AND( OFFSET($A$1, 177 - 1, 101 - 1) = "1", OFFSET($A$1, 177 - 1, 102 - 1) = "0" ), 2, IF( AND( OFFSET($A$1, 177 - 1, 101 - 1) = "0", OFFSET($A$1, 177 - 1, 102 - 1) = "1" ), 3, 4 ) ) )</f>
        <v>1</v>
      </c>
    </row>
    <row r="178" spans="95:103" ht="13.8" x14ac:dyDescent="0.3">
      <c r="CQ178" s="24">
        <v>0.97082957049718654</v>
      </c>
      <c r="CR178" s="24" t="str">
        <f t="shared" si="13"/>
        <v>1</v>
      </c>
      <c r="CS178" t="str">
        <f ca="1">IF((OFFSET($A$1, 178 - 1, 95 - 1)) &gt;= (OFFSET($A$1, 55 - 1, 7 - 1)), "1","0")</f>
        <v>1</v>
      </c>
      <c r="CT178">
        <f ca="1" xml:space="preserve"> IF( AND( OFFSET($A$1, 178 - 1, 96 - 1) = "1", OFFSET($A$1, 178 - 1, 97 - 1) = "1" ), 1, IF( AND( OFFSET($A$1, 178 - 1, 96 - 1) = "1", OFFSET($A$1, 178 - 1, 97 - 1) = "0" ), 2, IF( AND( OFFSET($A$1, 178 - 1, 96 - 1) = "0", OFFSET($A$1, 178 - 1, 97 - 1) = "1" ), 3, 4 ) ) )</f>
        <v>1</v>
      </c>
      <c r="CV178" s="24">
        <v>0.99885397363190831</v>
      </c>
      <c r="CW178" s="24" t="str">
        <f>"1"</f>
        <v>1</v>
      </c>
      <c r="CX178" t="str">
        <f ca="1">IF((OFFSET($A$1, 178 - 1, 100 - 1)) &gt;= (OFFSET($A$1, 79 - 1, 7 - 1)), "1","0")</f>
        <v>1</v>
      </c>
      <c r="CY178">
        <f ca="1" xml:space="preserve"> IF( AND( OFFSET($A$1, 178 - 1, 101 - 1) = "1", OFFSET($A$1, 178 - 1, 102 - 1) = "1" ), 1, IF( AND( OFFSET($A$1, 178 - 1, 101 - 1) = "1", OFFSET($A$1, 178 - 1, 102 - 1) = "0" ), 2, IF( AND( OFFSET($A$1, 178 - 1, 101 - 1) = "0", OFFSET($A$1, 178 - 1, 102 - 1) = "1" ), 3, 4 ) ) )</f>
        <v>1</v>
      </c>
    </row>
    <row r="179" spans="95:103" ht="13.8" x14ac:dyDescent="0.3">
      <c r="CQ179" s="24">
        <v>0.98809618417818901</v>
      </c>
      <c r="CR179" s="24" t="str">
        <f t="shared" si="13"/>
        <v>1</v>
      </c>
      <c r="CS179" t="str">
        <f ca="1">IF((OFFSET($A$1, 179 - 1, 95 - 1)) &gt;= (OFFSET($A$1, 55 - 1, 7 - 1)), "1","0")</f>
        <v>1</v>
      </c>
      <c r="CT179">
        <f ca="1" xml:space="preserve"> IF( AND( OFFSET($A$1, 179 - 1, 96 - 1) = "1", OFFSET($A$1, 179 - 1, 97 - 1) = "1" ), 1, IF( AND( OFFSET($A$1, 179 - 1, 96 - 1) = "1", OFFSET($A$1, 179 - 1, 97 - 1) = "0" ), 2, IF( AND( OFFSET($A$1, 179 - 1, 96 - 1) = "0", OFFSET($A$1, 179 - 1, 97 - 1) = "1" ), 3, 4 ) ) )</f>
        <v>1</v>
      </c>
      <c r="CV179" s="24">
        <v>0.62716016491391746</v>
      </c>
      <c r="CW179" s="24" t="str">
        <f>"0"</f>
        <v>0</v>
      </c>
      <c r="CX179" t="str">
        <f ca="1">IF((OFFSET($A$1, 179 - 1, 100 - 1)) &gt;= (OFFSET($A$1, 79 - 1, 7 - 1)), "1","0")</f>
        <v>1</v>
      </c>
      <c r="CY179">
        <f ca="1" xml:space="preserve"> IF( AND( OFFSET($A$1, 179 - 1, 101 - 1) = "1", OFFSET($A$1, 179 - 1, 102 - 1) = "1" ), 1, IF( AND( OFFSET($A$1, 179 - 1, 101 - 1) = "1", OFFSET($A$1, 179 - 1, 102 - 1) = "0" ), 2, IF( AND( OFFSET($A$1, 179 - 1, 101 - 1) = "0", OFFSET($A$1, 179 - 1, 102 - 1) = "1" ), 3, 4 ) ) )</f>
        <v>3</v>
      </c>
    </row>
    <row r="180" spans="95:103" ht="13.8" x14ac:dyDescent="0.3">
      <c r="CQ180" s="24">
        <v>0.92652539055625249</v>
      </c>
      <c r="CR180" s="24" t="str">
        <f t="shared" si="13"/>
        <v>1</v>
      </c>
      <c r="CS180" t="str">
        <f ca="1">IF((OFFSET($A$1, 180 - 1, 95 - 1)) &gt;= (OFFSET($A$1, 55 - 1, 7 - 1)), "1","0")</f>
        <v>1</v>
      </c>
      <c r="CT180">
        <f ca="1" xml:space="preserve"> IF( AND( OFFSET($A$1, 180 - 1, 96 - 1) = "1", OFFSET($A$1, 180 - 1, 97 - 1) = "1" ), 1, IF( AND( OFFSET($A$1, 180 - 1, 96 - 1) = "1", OFFSET($A$1, 180 - 1, 97 - 1) = "0" ), 2, IF( AND( OFFSET($A$1, 180 - 1, 96 - 1) = "0", OFFSET($A$1, 180 - 1, 97 - 1) = "1" ), 3, 4 ) ) )</f>
        <v>1</v>
      </c>
      <c r="CV180" s="24">
        <v>0.99340870733118181</v>
      </c>
      <c r="CW180" s="24" t="str">
        <f>"0"</f>
        <v>0</v>
      </c>
      <c r="CX180" t="str">
        <f ca="1">IF((OFFSET($A$1, 180 - 1, 100 - 1)) &gt;= (OFFSET($A$1, 79 - 1, 7 - 1)), "1","0")</f>
        <v>1</v>
      </c>
      <c r="CY180">
        <f ca="1" xml:space="preserve"> IF( AND( OFFSET($A$1, 180 - 1, 101 - 1) = "1", OFFSET($A$1, 180 - 1, 102 - 1) = "1" ), 1, IF( AND( OFFSET($A$1, 180 - 1, 101 - 1) = "1", OFFSET($A$1, 180 - 1, 102 - 1) = "0" ), 2, IF( AND( OFFSET($A$1, 180 - 1, 101 - 1) = "0", OFFSET($A$1, 180 - 1, 102 - 1) = "1" ), 3, 4 ) ) )</f>
        <v>3</v>
      </c>
    </row>
    <row r="181" spans="95:103" ht="13.8" x14ac:dyDescent="0.3">
      <c r="CQ181" s="24">
        <v>0.99340089219465322</v>
      </c>
      <c r="CR181" s="24" t="str">
        <f t="shared" si="13"/>
        <v>1</v>
      </c>
      <c r="CS181" t="str">
        <f ca="1">IF((OFFSET($A$1, 181 - 1, 95 - 1)) &gt;= (OFFSET($A$1, 55 - 1, 7 - 1)), "1","0")</f>
        <v>1</v>
      </c>
      <c r="CT181">
        <f ca="1" xml:space="preserve"> IF( AND( OFFSET($A$1, 181 - 1, 96 - 1) = "1", OFFSET($A$1, 181 - 1, 97 - 1) = "1" ), 1, IF( AND( OFFSET($A$1, 181 - 1, 96 - 1) = "1", OFFSET($A$1, 181 - 1, 97 - 1) = "0" ), 2, IF( AND( OFFSET($A$1, 181 - 1, 96 - 1) = "0", OFFSET($A$1, 181 - 1, 97 - 1) = "1" ), 3, 4 ) ) )</f>
        <v>1</v>
      </c>
      <c r="CV181" s="24">
        <v>3.176465634713526E-2</v>
      </c>
      <c r="CW181" s="24" t="str">
        <f>"0"</f>
        <v>0</v>
      </c>
      <c r="CX181" t="str">
        <f ca="1">IF((OFFSET($A$1, 181 - 1, 100 - 1)) &gt;= (OFFSET($A$1, 79 - 1, 7 - 1)), "1","0")</f>
        <v>0</v>
      </c>
      <c r="CY181">
        <f ca="1" xml:space="preserve"> IF( AND( OFFSET($A$1, 181 - 1, 101 - 1) = "1", OFFSET($A$1, 181 - 1, 102 - 1) = "1" ), 1, IF( AND( OFFSET($A$1, 181 - 1, 101 - 1) = "1", OFFSET($A$1, 181 - 1, 102 - 1) = "0" ), 2, IF( AND( OFFSET($A$1, 181 - 1, 101 - 1) = "0", OFFSET($A$1, 181 - 1, 102 - 1) = "1" ), 3, 4 ) ) )</f>
        <v>4</v>
      </c>
    </row>
    <row r="182" spans="95:103" ht="13.8" x14ac:dyDescent="0.3">
      <c r="CQ182" s="24">
        <v>0.98667620524033128</v>
      </c>
      <c r="CR182" s="24" t="str">
        <f t="shared" si="13"/>
        <v>1</v>
      </c>
      <c r="CS182" t="str">
        <f ca="1">IF((OFFSET($A$1, 182 - 1, 95 - 1)) &gt;= (OFFSET($A$1, 55 - 1, 7 - 1)), "1","0")</f>
        <v>1</v>
      </c>
      <c r="CT182">
        <f ca="1" xml:space="preserve"> IF( AND( OFFSET($A$1, 182 - 1, 96 - 1) = "1", OFFSET($A$1, 182 - 1, 97 - 1) = "1" ), 1, IF( AND( OFFSET($A$1, 182 - 1, 96 - 1) = "1", OFFSET($A$1, 182 - 1, 97 - 1) = "0" ), 2, IF( AND( OFFSET($A$1, 182 - 1, 96 - 1) = "0", OFFSET($A$1, 182 - 1, 97 - 1) = "1" ), 3, 4 ) ) )</f>
        <v>1</v>
      </c>
      <c r="CV182" s="24">
        <v>0.96879538197740789</v>
      </c>
      <c r="CW182" s="24" t="str">
        <f>"0"</f>
        <v>0</v>
      </c>
      <c r="CX182" t="str">
        <f ca="1">IF((OFFSET($A$1, 182 - 1, 100 - 1)) &gt;= (OFFSET($A$1, 79 - 1, 7 - 1)), "1","0")</f>
        <v>1</v>
      </c>
      <c r="CY182">
        <f ca="1" xml:space="preserve"> IF( AND( OFFSET($A$1, 182 - 1, 101 - 1) = "1", OFFSET($A$1, 182 - 1, 102 - 1) = "1" ), 1, IF( AND( OFFSET($A$1, 182 - 1, 101 - 1) = "1", OFFSET($A$1, 182 - 1, 102 - 1) = "0" ), 2, IF( AND( OFFSET($A$1, 182 - 1, 101 - 1) = "0", OFFSET($A$1, 182 - 1, 102 - 1) = "1" ), 3, 4 ) ) )</f>
        <v>3</v>
      </c>
    </row>
    <row r="183" spans="95:103" ht="13.8" x14ac:dyDescent="0.3">
      <c r="CQ183" s="24">
        <v>0.97782600229448935</v>
      </c>
      <c r="CR183" s="24" t="str">
        <f t="shared" si="13"/>
        <v>1</v>
      </c>
      <c r="CS183" t="str">
        <f ca="1">IF((OFFSET($A$1, 183 - 1, 95 - 1)) &gt;= (OFFSET($A$1, 55 - 1, 7 - 1)), "1","0")</f>
        <v>1</v>
      </c>
      <c r="CT183">
        <f ca="1" xml:space="preserve"> IF( AND( OFFSET($A$1, 183 - 1, 96 - 1) = "1", OFFSET($A$1, 183 - 1, 97 - 1) = "1" ), 1, IF( AND( OFFSET($A$1, 183 - 1, 96 - 1) = "1", OFFSET($A$1, 183 - 1, 97 - 1) = "0" ), 2, IF( AND( OFFSET($A$1, 183 - 1, 96 - 1) = "0", OFFSET($A$1, 183 - 1, 97 - 1) = "1" ), 3, 4 ) ) )</f>
        <v>1</v>
      </c>
      <c r="CV183" s="24">
        <v>0.99278936441576149</v>
      </c>
      <c r="CW183" s="24" t="str">
        <f>"1"</f>
        <v>1</v>
      </c>
      <c r="CX183" t="str">
        <f ca="1">IF((OFFSET($A$1, 183 - 1, 100 - 1)) &gt;= (OFFSET($A$1, 79 - 1, 7 - 1)), "1","0")</f>
        <v>1</v>
      </c>
      <c r="CY183">
        <f ca="1" xml:space="preserve"> IF( AND( OFFSET($A$1, 183 - 1, 101 - 1) = "1", OFFSET($A$1, 183 - 1, 102 - 1) = "1" ), 1, IF( AND( OFFSET($A$1, 183 - 1, 101 - 1) = "1", OFFSET($A$1, 183 - 1, 102 - 1) = "0" ), 2, IF( AND( OFFSET($A$1, 183 - 1, 101 - 1) = "0", OFFSET($A$1, 183 - 1, 102 - 1) = "1" ), 3, 4 ) ) )</f>
        <v>1</v>
      </c>
    </row>
    <row r="184" spans="95:103" ht="13.8" x14ac:dyDescent="0.3">
      <c r="CQ184" s="24">
        <v>0.99786679043794313</v>
      </c>
      <c r="CR184" s="24" t="str">
        <f t="shared" si="13"/>
        <v>1</v>
      </c>
      <c r="CS184" t="str">
        <f ca="1">IF((OFFSET($A$1, 184 - 1, 95 - 1)) &gt;= (OFFSET($A$1, 55 - 1, 7 - 1)), "1","0")</f>
        <v>1</v>
      </c>
      <c r="CT184">
        <f ca="1" xml:space="preserve"> IF( AND( OFFSET($A$1, 184 - 1, 96 - 1) = "1", OFFSET($A$1, 184 - 1, 97 - 1) = "1" ), 1, IF( AND( OFFSET($A$1, 184 - 1, 96 - 1) = "1", OFFSET($A$1, 184 - 1, 97 - 1) = "0" ), 2, IF( AND( OFFSET($A$1, 184 - 1, 96 - 1) = "0", OFFSET($A$1, 184 - 1, 97 - 1) = "1" ), 3, 4 ) ) )</f>
        <v>1</v>
      </c>
      <c r="CV184" s="24">
        <v>0.99221640605693184</v>
      </c>
      <c r="CW184" s="24" t="str">
        <f>"1"</f>
        <v>1</v>
      </c>
      <c r="CX184" t="str">
        <f ca="1">IF((OFFSET($A$1, 184 - 1, 100 - 1)) &gt;= (OFFSET($A$1, 79 - 1, 7 - 1)), "1","0")</f>
        <v>1</v>
      </c>
      <c r="CY184">
        <f ca="1" xml:space="preserve"> IF( AND( OFFSET($A$1, 184 - 1, 101 - 1) = "1", OFFSET($A$1, 184 - 1, 102 - 1) = "1" ), 1, IF( AND( OFFSET($A$1, 184 - 1, 101 - 1) = "1", OFFSET($A$1, 184 - 1, 102 - 1) = "0" ), 2, IF( AND( OFFSET($A$1, 184 - 1, 101 - 1) = "0", OFFSET($A$1, 184 - 1, 102 - 1) = "1" ), 3, 4 ) ) )</f>
        <v>1</v>
      </c>
    </row>
    <row r="185" spans="95:103" ht="13.8" x14ac:dyDescent="0.3">
      <c r="CQ185" s="24">
        <v>8.3440960485023554E-3</v>
      </c>
      <c r="CR185" s="24" t="str">
        <f>"0"</f>
        <v>0</v>
      </c>
      <c r="CS185" t="str">
        <f ca="1">IF((OFFSET($A$1, 185 - 1, 95 - 1)) &gt;= (OFFSET($A$1, 55 - 1, 7 - 1)), "1","0")</f>
        <v>0</v>
      </c>
      <c r="CT185">
        <f ca="1" xml:space="preserve"> IF( AND( OFFSET($A$1, 185 - 1, 96 - 1) = "1", OFFSET($A$1, 185 - 1, 97 - 1) = "1" ), 1, IF( AND( OFFSET($A$1, 185 - 1, 96 - 1) = "1", OFFSET($A$1, 185 - 1, 97 - 1) = "0" ), 2, IF( AND( OFFSET($A$1, 185 - 1, 96 - 1) = "0", OFFSET($A$1, 185 - 1, 97 - 1) = "1" ), 3, 4 ) ) )</f>
        <v>4</v>
      </c>
      <c r="CV185" s="24">
        <v>0.98728602660465203</v>
      </c>
      <c r="CW185" s="24" t="str">
        <f>"0"</f>
        <v>0</v>
      </c>
      <c r="CX185" t="str">
        <f ca="1">IF((OFFSET($A$1, 185 - 1, 100 - 1)) &gt;= (OFFSET($A$1, 79 - 1, 7 - 1)), "1","0")</f>
        <v>1</v>
      </c>
      <c r="CY185">
        <f ca="1" xml:space="preserve"> IF( AND( OFFSET($A$1, 185 - 1, 101 - 1) = "1", OFFSET($A$1, 185 - 1, 102 - 1) = "1" ), 1, IF( AND( OFFSET($A$1, 185 - 1, 101 - 1) = "1", OFFSET($A$1, 185 - 1, 102 - 1) = "0" ), 2, IF( AND( OFFSET($A$1, 185 - 1, 101 - 1) = "0", OFFSET($A$1, 185 - 1, 102 - 1) = "1" ), 3, 4 ) ) )</f>
        <v>3</v>
      </c>
    </row>
    <row r="186" spans="95:103" ht="13.8" x14ac:dyDescent="0.3">
      <c r="CQ186" s="24">
        <v>0.99771326840504371</v>
      </c>
      <c r="CR186" s="24" t="str">
        <f>"1"</f>
        <v>1</v>
      </c>
      <c r="CS186" t="str">
        <f ca="1">IF((OFFSET($A$1, 186 - 1, 95 - 1)) &gt;= (OFFSET($A$1, 55 - 1, 7 - 1)), "1","0")</f>
        <v>1</v>
      </c>
      <c r="CT186">
        <f ca="1" xml:space="preserve"> IF( AND( OFFSET($A$1, 186 - 1, 96 - 1) = "1", OFFSET($A$1, 186 - 1, 97 - 1) = "1" ), 1, IF( AND( OFFSET($A$1, 186 - 1, 96 - 1) = "1", OFFSET($A$1, 186 - 1, 97 - 1) = "0" ), 2, IF( AND( OFFSET($A$1, 186 - 1, 96 - 1) = "0", OFFSET($A$1, 186 - 1, 97 - 1) = "1" ), 3, 4 ) ) )</f>
        <v>1</v>
      </c>
      <c r="CV186" s="24">
        <v>0.99122314764664854</v>
      </c>
      <c r="CW186" s="24" t="str">
        <f>"1"</f>
        <v>1</v>
      </c>
      <c r="CX186" t="str">
        <f ca="1">IF((OFFSET($A$1, 186 - 1, 100 - 1)) &gt;= (OFFSET($A$1, 79 - 1, 7 - 1)), "1","0")</f>
        <v>1</v>
      </c>
      <c r="CY186">
        <f ca="1" xml:space="preserve"> IF( AND( OFFSET($A$1, 186 - 1, 101 - 1) = "1", OFFSET($A$1, 186 - 1, 102 - 1) = "1" ), 1, IF( AND( OFFSET($A$1, 186 - 1, 101 - 1) = "1", OFFSET($A$1, 186 - 1, 102 - 1) = "0" ), 2, IF( AND( OFFSET($A$1, 186 - 1, 101 - 1) = "0", OFFSET($A$1, 186 - 1, 102 - 1) = "1" ), 3, 4 ) ) )</f>
        <v>1</v>
      </c>
    </row>
    <row r="187" spans="95:103" ht="13.8" x14ac:dyDescent="0.3">
      <c r="CQ187" s="24">
        <v>0.98917859617963966</v>
      </c>
      <c r="CR187" s="24" t="str">
        <f>"1"</f>
        <v>1</v>
      </c>
      <c r="CS187" t="str">
        <f ca="1">IF((OFFSET($A$1, 187 - 1, 95 - 1)) &gt;= (OFFSET($A$1, 55 - 1, 7 - 1)), "1","0")</f>
        <v>1</v>
      </c>
      <c r="CT187">
        <f ca="1" xml:space="preserve"> IF( AND( OFFSET($A$1, 187 - 1, 96 - 1) = "1", OFFSET($A$1, 187 - 1, 97 - 1) = "1" ), 1, IF( AND( OFFSET($A$1, 187 - 1, 96 - 1) = "1", OFFSET($A$1, 187 - 1, 97 - 1) = "0" ), 2, IF( AND( OFFSET($A$1, 187 - 1, 96 - 1) = "0", OFFSET($A$1, 187 - 1, 97 - 1) = "1" ), 3, 4 ) ) )</f>
        <v>1</v>
      </c>
      <c r="CV187" s="24">
        <v>9.3224659229137308E-2</v>
      </c>
      <c r="CW187" s="24" t="str">
        <f>"0"</f>
        <v>0</v>
      </c>
      <c r="CX187" t="str">
        <f ca="1">IF((OFFSET($A$1, 187 - 1, 100 - 1)) &gt;= (OFFSET($A$1, 79 - 1, 7 - 1)), "1","0")</f>
        <v>0</v>
      </c>
      <c r="CY187">
        <f ca="1" xml:space="preserve"> IF( AND( OFFSET($A$1, 187 - 1, 101 - 1) = "1", OFFSET($A$1, 187 - 1, 102 - 1) = "1" ), 1, IF( AND( OFFSET($A$1, 187 - 1, 101 - 1) = "1", OFFSET($A$1, 187 - 1, 102 - 1) = "0" ), 2, IF( AND( OFFSET($A$1, 187 - 1, 101 - 1) = "0", OFFSET($A$1, 187 - 1, 102 - 1) = "1" ), 3, 4 ) ) )</f>
        <v>4</v>
      </c>
    </row>
    <row r="188" spans="95:103" ht="13.8" x14ac:dyDescent="0.3">
      <c r="CQ188" s="24">
        <v>0.99758990759604194</v>
      </c>
      <c r="CR188" s="24" t="str">
        <f>"1"</f>
        <v>1</v>
      </c>
      <c r="CS188" t="str">
        <f ca="1">IF((OFFSET($A$1, 188 - 1, 95 - 1)) &gt;= (OFFSET($A$1, 55 - 1, 7 - 1)), "1","0")</f>
        <v>1</v>
      </c>
      <c r="CT188">
        <f ca="1" xml:space="preserve"> IF( AND( OFFSET($A$1, 188 - 1, 96 - 1) = "1", OFFSET($A$1, 188 - 1, 97 - 1) = "1" ), 1, IF( AND( OFFSET($A$1, 188 - 1, 96 - 1) = "1", OFFSET($A$1, 188 - 1, 97 - 1) = "0" ), 2, IF( AND( OFFSET($A$1, 188 - 1, 96 - 1) = "0", OFFSET($A$1, 188 - 1, 97 - 1) = "1" ), 3, 4 ) ) )</f>
        <v>1</v>
      </c>
      <c r="CV188" s="24">
        <v>0.68509234939415942</v>
      </c>
      <c r="CW188" s="24" t="str">
        <f>"1"</f>
        <v>1</v>
      </c>
      <c r="CX188" t="str">
        <f ca="1">IF((OFFSET($A$1, 188 - 1, 100 - 1)) &gt;= (OFFSET($A$1, 79 - 1, 7 - 1)), "1","0")</f>
        <v>1</v>
      </c>
      <c r="CY188">
        <f ca="1" xml:space="preserve"> IF( AND( OFFSET($A$1, 188 - 1, 101 - 1) = "1", OFFSET($A$1, 188 - 1, 102 - 1) = "1" ), 1, IF( AND( OFFSET($A$1, 188 - 1, 101 - 1) = "1", OFFSET($A$1, 188 - 1, 102 - 1) = "0" ), 2, IF( AND( OFFSET($A$1, 188 - 1, 101 - 1) = "0", OFFSET($A$1, 188 - 1, 102 - 1) = "1" ), 3, 4 ) ) )</f>
        <v>1</v>
      </c>
    </row>
    <row r="189" spans="95:103" ht="13.8" x14ac:dyDescent="0.3">
      <c r="CQ189" s="24">
        <v>0.19491617204863967</v>
      </c>
      <c r="CR189" s="24" t="str">
        <f>"0"</f>
        <v>0</v>
      </c>
      <c r="CS189" t="str">
        <f ca="1">IF((OFFSET($A$1, 189 - 1, 95 - 1)) &gt;= (OFFSET($A$1, 55 - 1, 7 - 1)), "1","0")</f>
        <v>0</v>
      </c>
      <c r="CT189">
        <f ca="1" xml:space="preserve"> IF( AND( OFFSET($A$1, 189 - 1, 96 - 1) = "1", OFFSET($A$1, 189 - 1, 97 - 1) = "1" ), 1, IF( AND( OFFSET($A$1, 189 - 1, 96 - 1) = "1", OFFSET($A$1, 189 - 1, 97 - 1) = "0" ), 2, IF( AND( OFFSET($A$1, 189 - 1, 96 - 1) = "0", OFFSET($A$1, 189 - 1, 97 - 1) = "1" ), 3, 4 ) ) )</f>
        <v>4</v>
      </c>
      <c r="CV189" s="24">
        <v>0.98531420608146314</v>
      </c>
      <c r="CW189" s="24" t="str">
        <f>"1"</f>
        <v>1</v>
      </c>
      <c r="CX189" t="str">
        <f ca="1">IF((OFFSET($A$1, 189 - 1, 100 - 1)) &gt;= (OFFSET($A$1, 79 - 1, 7 - 1)), "1","0")</f>
        <v>1</v>
      </c>
      <c r="CY189">
        <f ca="1" xml:space="preserve"> IF( AND( OFFSET($A$1, 189 - 1, 101 - 1) = "1", OFFSET($A$1, 189 - 1, 102 - 1) = "1" ), 1, IF( AND( OFFSET($A$1, 189 - 1, 101 - 1) = "1", OFFSET($A$1, 189 - 1, 102 - 1) = "0" ), 2, IF( AND( OFFSET($A$1, 189 - 1, 101 - 1) = "0", OFFSET($A$1, 189 - 1, 102 - 1) = "1" ), 3, 4 ) ) )</f>
        <v>1</v>
      </c>
    </row>
    <row r="190" spans="95:103" ht="13.8" x14ac:dyDescent="0.3">
      <c r="CQ190" s="24">
        <v>0.97347735035932104</v>
      </c>
      <c r="CR190" s="24" t="str">
        <f>"1"</f>
        <v>1</v>
      </c>
      <c r="CS190" t="str">
        <f ca="1">IF((OFFSET($A$1, 190 - 1, 95 - 1)) &gt;= (OFFSET($A$1, 55 - 1, 7 - 1)), "1","0")</f>
        <v>1</v>
      </c>
      <c r="CT190">
        <f ca="1" xml:space="preserve"> IF( AND( OFFSET($A$1, 190 - 1, 96 - 1) = "1", OFFSET($A$1, 190 - 1, 97 - 1) = "1" ), 1, IF( AND( OFFSET($A$1, 190 - 1, 96 - 1) = "1", OFFSET($A$1, 190 - 1, 97 - 1) = "0" ), 2, IF( AND( OFFSET($A$1, 190 - 1, 96 - 1) = "0", OFFSET($A$1, 190 - 1, 97 - 1) = "1" ), 3, 4 ) ) )</f>
        <v>1</v>
      </c>
      <c r="CV190" s="24">
        <v>0.9889472739387335</v>
      </c>
      <c r="CW190" s="24" t="str">
        <f>"1"</f>
        <v>1</v>
      </c>
      <c r="CX190" t="str">
        <f ca="1">IF((OFFSET($A$1, 190 - 1, 100 - 1)) &gt;= (OFFSET($A$1, 79 - 1, 7 - 1)), "1","0")</f>
        <v>1</v>
      </c>
      <c r="CY190">
        <f ca="1" xml:space="preserve"> IF( AND( OFFSET($A$1, 190 - 1, 101 - 1) = "1", OFFSET($A$1, 190 - 1, 102 - 1) = "1" ), 1, IF( AND( OFFSET($A$1, 190 - 1, 101 - 1) = "1", OFFSET($A$1, 190 - 1, 102 - 1) = "0" ), 2, IF( AND( OFFSET($A$1, 190 - 1, 101 - 1) = "0", OFFSET($A$1, 190 - 1, 102 - 1) = "1" ), 3, 4 ) ) )</f>
        <v>1</v>
      </c>
    </row>
    <row r="191" spans="95:103" ht="13.8" x14ac:dyDescent="0.3">
      <c r="CQ191" s="24">
        <v>0.99670971502427397</v>
      </c>
      <c r="CR191" s="24" t="str">
        <f>"1"</f>
        <v>1</v>
      </c>
      <c r="CS191" t="str">
        <f ca="1">IF((OFFSET($A$1, 191 - 1, 95 - 1)) &gt;= (OFFSET($A$1, 55 - 1, 7 - 1)), "1","0")</f>
        <v>1</v>
      </c>
      <c r="CT191">
        <f ca="1" xml:space="preserve"> IF( AND( OFFSET($A$1, 191 - 1, 96 - 1) = "1", OFFSET($A$1, 191 - 1, 97 - 1) = "1" ), 1, IF( AND( OFFSET($A$1, 191 - 1, 96 - 1) = "1", OFFSET($A$1, 191 - 1, 97 - 1) = "0" ), 2, IF( AND( OFFSET($A$1, 191 - 1, 96 - 1) = "0", OFFSET($A$1, 191 - 1, 97 - 1) = "1" ), 3, 4 ) ) )</f>
        <v>1</v>
      </c>
      <c r="CV191" s="24">
        <v>0.99529833591333872</v>
      </c>
      <c r="CW191" s="24" t="str">
        <f>"1"</f>
        <v>1</v>
      </c>
      <c r="CX191" t="str">
        <f ca="1">IF((OFFSET($A$1, 191 - 1, 100 - 1)) &gt;= (OFFSET($A$1, 79 - 1, 7 - 1)), "1","0")</f>
        <v>1</v>
      </c>
      <c r="CY191">
        <f ca="1" xml:space="preserve"> IF( AND( OFFSET($A$1, 191 - 1, 101 - 1) = "1", OFFSET($A$1, 191 - 1, 102 - 1) = "1" ), 1, IF( AND( OFFSET($A$1, 191 - 1, 101 - 1) = "1", OFFSET($A$1, 191 - 1, 102 - 1) = "0" ), 2, IF( AND( OFFSET($A$1, 191 - 1, 101 - 1) = "0", OFFSET($A$1, 191 - 1, 102 - 1) = "1" ), 3, 4 ) ) )</f>
        <v>1</v>
      </c>
    </row>
    <row r="192" spans="95:103" ht="13.8" x14ac:dyDescent="0.3">
      <c r="CQ192" s="24">
        <v>0.99861327988049131</v>
      </c>
      <c r="CR192" s="24" t="str">
        <f>"1"</f>
        <v>1</v>
      </c>
      <c r="CS192" t="str">
        <f ca="1">IF((OFFSET($A$1, 192 - 1, 95 - 1)) &gt;= (OFFSET($A$1, 55 - 1, 7 - 1)), "1","0")</f>
        <v>1</v>
      </c>
      <c r="CT192">
        <f ca="1" xml:space="preserve"> IF( AND( OFFSET($A$1, 192 - 1, 96 - 1) = "1", OFFSET($A$1, 192 - 1, 97 - 1) = "1" ), 1, IF( AND( OFFSET($A$1, 192 - 1, 96 - 1) = "1", OFFSET($A$1, 192 - 1, 97 - 1) = "0" ), 2, IF( AND( OFFSET($A$1, 192 - 1, 96 - 1) = "0", OFFSET($A$1, 192 - 1, 97 - 1) = "1" ), 3, 4 ) ) )</f>
        <v>1</v>
      </c>
      <c r="CV192" s="24">
        <v>0.92926285002965758</v>
      </c>
      <c r="CW192" s="24" t="str">
        <f>"1"</f>
        <v>1</v>
      </c>
      <c r="CX192" t="str">
        <f ca="1">IF((OFFSET($A$1, 192 - 1, 100 - 1)) &gt;= (OFFSET($A$1, 79 - 1, 7 - 1)), "1","0")</f>
        <v>1</v>
      </c>
      <c r="CY192">
        <f ca="1" xml:space="preserve"> IF( AND( OFFSET($A$1, 192 - 1, 101 - 1) = "1", OFFSET($A$1, 192 - 1, 102 - 1) = "1" ), 1, IF( AND( OFFSET($A$1, 192 - 1, 101 - 1) = "1", OFFSET($A$1, 192 - 1, 102 - 1) = "0" ), 2, IF( AND( OFFSET($A$1, 192 - 1, 101 - 1) = "0", OFFSET($A$1, 192 - 1, 102 - 1) = "1" ), 3, 4 ) ) )</f>
        <v>1</v>
      </c>
    </row>
    <row r="193" spans="95:103" ht="13.8" x14ac:dyDescent="0.3">
      <c r="CQ193" s="24">
        <v>9.8367887022038584E-3</v>
      </c>
      <c r="CR193" s="24" t="str">
        <f>"0"</f>
        <v>0</v>
      </c>
      <c r="CS193" t="str">
        <f ca="1">IF((OFFSET($A$1, 193 - 1, 95 - 1)) &gt;= (OFFSET($A$1, 55 - 1, 7 - 1)), "1","0")</f>
        <v>0</v>
      </c>
      <c r="CT193">
        <f ca="1" xml:space="preserve"> IF( AND( OFFSET($A$1, 193 - 1, 96 - 1) = "1", OFFSET($A$1, 193 - 1, 97 - 1) = "1" ), 1, IF( AND( OFFSET($A$1, 193 - 1, 96 - 1) = "1", OFFSET($A$1, 193 - 1, 97 - 1) = "0" ), 2, IF( AND( OFFSET($A$1, 193 - 1, 96 - 1) = "0", OFFSET($A$1, 193 - 1, 97 - 1) = "1" ), 3, 4 ) ) )</f>
        <v>4</v>
      </c>
      <c r="CV193" s="24">
        <v>0.97448283452670725</v>
      </c>
      <c r="CW193" s="24" t="str">
        <f>"0"</f>
        <v>0</v>
      </c>
      <c r="CX193" t="str">
        <f ca="1">IF((OFFSET($A$1, 193 - 1, 100 - 1)) &gt;= (OFFSET($A$1, 79 - 1, 7 - 1)), "1","0")</f>
        <v>1</v>
      </c>
      <c r="CY193">
        <f ca="1" xml:space="preserve"> IF( AND( OFFSET($A$1, 193 - 1, 101 - 1) = "1", OFFSET($A$1, 193 - 1, 102 - 1) = "1" ), 1, IF( AND( OFFSET($A$1, 193 - 1, 101 - 1) = "1", OFFSET($A$1, 193 - 1, 102 - 1) = "0" ), 2, IF( AND( OFFSET($A$1, 193 - 1, 101 - 1) = "0", OFFSET($A$1, 193 - 1, 102 - 1) = "1" ), 3, 4 ) ) )</f>
        <v>3</v>
      </c>
    </row>
    <row r="194" spans="95:103" ht="13.8" x14ac:dyDescent="0.3">
      <c r="CQ194" s="24">
        <v>0.129784704691464</v>
      </c>
      <c r="CR194" s="24" t="str">
        <f>"0"</f>
        <v>0</v>
      </c>
      <c r="CS194" t="str">
        <f ca="1">IF((OFFSET($A$1, 194 - 1, 95 - 1)) &gt;= (OFFSET($A$1, 55 - 1, 7 - 1)), "1","0")</f>
        <v>0</v>
      </c>
      <c r="CT194">
        <f ca="1" xml:space="preserve"> IF( AND( OFFSET($A$1, 194 - 1, 96 - 1) = "1", OFFSET($A$1, 194 - 1, 97 - 1) = "1" ), 1, IF( AND( OFFSET($A$1, 194 - 1, 96 - 1) = "1", OFFSET($A$1, 194 - 1, 97 - 1) = "0" ), 2, IF( AND( OFFSET($A$1, 194 - 1, 96 - 1) = "0", OFFSET($A$1, 194 - 1, 97 - 1) = "1" ), 3, 4 ) ) )</f>
        <v>4</v>
      </c>
      <c r="CV194" s="24">
        <v>0.99941380899397259</v>
      </c>
      <c r="CW194" s="24" t="str">
        <f>"0"</f>
        <v>0</v>
      </c>
      <c r="CX194" t="str">
        <f ca="1">IF((OFFSET($A$1, 194 - 1, 100 - 1)) &gt;= (OFFSET($A$1, 79 - 1, 7 - 1)), "1","0")</f>
        <v>1</v>
      </c>
      <c r="CY194">
        <f ca="1" xml:space="preserve"> IF( AND( OFFSET($A$1, 194 - 1, 101 - 1) = "1", OFFSET($A$1, 194 - 1, 102 - 1) = "1" ), 1, IF( AND( OFFSET($A$1, 194 - 1, 101 - 1) = "1", OFFSET($A$1, 194 - 1, 102 - 1) = "0" ), 2, IF( AND( OFFSET($A$1, 194 - 1, 101 - 1) = "0", OFFSET($A$1, 194 - 1, 102 - 1) = "1" ), 3, 4 ) ) )</f>
        <v>3</v>
      </c>
    </row>
    <row r="195" spans="95:103" ht="13.8" x14ac:dyDescent="0.3">
      <c r="CQ195" s="24">
        <v>0.97303133007462927</v>
      </c>
      <c r="CR195" s="24" t="str">
        <f t="shared" ref="CR195:CR206" si="14">"1"</f>
        <v>1</v>
      </c>
      <c r="CS195" t="str">
        <f ca="1">IF((OFFSET($A$1, 195 - 1, 95 - 1)) &gt;= (OFFSET($A$1, 55 - 1, 7 - 1)), "1","0")</f>
        <v>1</v>
      </c>
      <c r="CT195">
        <f ca="1" xml:space="preserve"> IF( AND( OFFSET($A$1, 195 - 1, 96 - 1) = "1", OFFSET($A$1, 195 - 1, 97 - 1) = "1" ), 1, IF( AND( OFFSET($A$1, 195 - 1, 96 - 1) = "1", OFFSET($A$1, 195 - 1, 97 - 1) = "0" ), 2, IF( AND( OFFSET($A$1, 195 - 1, 96 - 1) = "0", OFFSET($A$1, 195 - 1, 97 - 1) = "1" ), 3, 4 ) ) )</f>
        <v>1</v>
      </c>
      <c r="CV195" s="24">
        <v>0.82230831224508938</v>
      </c>
      <c r="CW195" s="24" t="str">
        <f>"1"</f>
        <v>1</v>
      </c>
      <c r="CX195" t="str">
        <f ca="1">IF((OFFSET($A$1, 195 - 1, 100 - 1)) &gt;= (OFFSET($A$1, 79 - 1, 7 - 1)), "1","0")</f>
        <v>1</v>
      </c>
      <c r="CY195">
        <f ca="1" xml:space="preserve"> IF( AND( OFFSET($A$1, 195 - 1, 101 - 1) = "1", OFFSET($A$1, 195 - 1, 102 - 1) = "1" ), 1, IF( AND( OFFSET($A$1, 195 - 1, 101 - 1) = "1", OFFSET($A$1, 195 - 1, 102 - 1) = "0" ), 2, IF( AND( OFFSET($A$1, 195 - 1, 101 - 1) = "0", OFFSET($A$1, 195 - 1, 102 - 1) = "1" ), 3, 4 ) ) )</f>
        <v>1</v>
      </c>
    </row>
    <row r="196" spans="95:103" ht="13.8" x14ac:dyDescent="0.3">
      <c r="CQ196" s="24">
        <v>0.98357584953652277</v>
      </c>
      <c r="CR196" s="24" t="str">
        <f t="shared" si="14"/>
        <v>1</v>
      </c>
      <c r="CS196" t="str">
        <f ca="1">IF((OFFSET($A$1, 196 - 1, 95 - 1)) &gt;= (OFFSET($A$1, 55 - 1, 7 - 1)), "1","0")</f>
        <v>1</v>
      </c>
      <c r="CT196">
        <f ca="1" xml:space="preserve"> IF( AND( OFFSET($A$1, 196 - 1, 96 - 1) = "1", OFFSET($A$1, 196 - 1, 97 - 1) = "1" ), 1, IF( AND( OFFSET($A$1, 196 - 1, 96 - 1) = "1", OFFSET($A$1, 196 - 1, 97 - 1) = "0" ), 2, IF( AND( OFFSET($A$1, 196 - 1, 96 - 1) = "0", OFFSET($A$1, 196 - 1, 97 - 1) = "1" ), 3, 4 ) ) )</f>
        <v>1</v>
      </c>
      <c r="CV196" s="24">
        <v>0.99143899950697834</v>
      </c>
      <c r="CW196" s="24" t="str">
        <f>"1"</f>
        <v>1</v>
      </c>
      <c r="CX196" t="str">
        <f ca="1">IF((OFFSET($A$1, 196 - 1, 100 - 1)) &gt;= (OFFSET($A$1, 79 - 1, 7 - 1)), "1","0")</f>
        <v>1</v>
      </c>
      <c r="CY196">
        <f ca="1" xml:space="preserve"> IF( AND( OFFSET($A$1, 196 - 1, 101 - 1) = "1", OFFSET($A$1, 196 - 1, 102 - 1) = "1" ), 1, IF( AND( OFFSET($A$1, 196 - 1, 101 - 1) = "1", OFFSET($A$1, 196 - 1, 102 - 1) = "0" ), 2, IF( AND( OFFSET($A$1, 196 - 1, 101 - 1) = "0", OFFSET($A$1, 196 - 1, 102 - 1) = "1" ), 3, 4 ) ) )</f>
        <v>1</v>
      </c>
    </row>
    <row r="197" spans="95:103" ht="13.8" x14ac:dyDescent="0.3">
      <c r="CQ197" s="24">
        <v>0.99825719204567909</v>
      </c>
      <c r="CR197" s="24" t="str">
        <f t="shared" si="14"/>
        <v>1</v>
      </c>
      <c r="CS197" t="str">
        <f ca="1">IF((OFFSET($A$1, 197 - 1, 95 - 1)) &gt;= (OFFSET($A$1, 55 - 1, 7 - 1)), "1","0")</f>
        <v>1</v>
      </c>
      <c r="CT197">
        <f ca="1" xml:space="preserve"> IF( AND( OFFSET($A$1, 197 - 1, 96 - 1) = "1", OFFSET($A$1, 197 - 1, 97 - 1) = "1" ), 1, IF( AND( OFFSET($A$1, 197 - 1, 96 - 1) = "1", OFFSET($A$1, 197 - 1, 97 - 1) = "0" ), 2, IF( AND( OFFSET($A$1, 197 - 1, 96 - 1) = "0", OFFSET($A$1, 197 - 1, 97 - 1) = "1" ), 3, 4 ) ) )</f>
        <v>1</v>
      </c>
      <c r="CV197" s="24">
        <v>0.28997292238508454</v>
      </c>
      <c r="CW197" s="24" t="str">
        <f>"0"</f>
        <v>0</v>
      </c>
      <c r="CX197" t="str">
        <f ca="1">IF((OFFSET($A$1, 197 - 1, 100 - 1)) &gt;= (OFFSET($A$1, 79 - 1, 7 - 1)), "1","0")</f>
        <v>0</v>
      </c>
      <c r="CY197">
        <f ca="1" xml:space="preserve"> IF( AND( OFFSET($A$1, 197 - 1, 101 - 1) = "1", OFFSET($A$1, 197 - 1, 102 - 1) = "1" ), 1, IF( AND( OFFSET($A$1, 197 - 1, 101 - 1) = "1", OFFSET($A$1, 197 - 1, 102 - 1) = "0" ), 2, IF( AND( OFFSET($A$1, 197 - 1, 101 - 1) = "0", OFFSET($A$1, 197 - 1, 102 - 1) = "1" ), 3, 4 ) ) )</f>
        <v>4</v>
      </c>
    </row>
    <row r="198" spans="95:103" ht="13.8" x14ac:dyDescent="0.3">
      <c r="CQ198" s="24">
        <v>0.99317385134417002</v>
      </c>
      <c r="CR198" s="24" t="str">
        <f t="shared" si="14"/>
        <v>1</v>
      </c>
      <c r="CS198" t="str">
        <f ca="1">IF((OFFSET($A$1, 198 - 1, 95 - 1)) &gt;= (OFFSET($A$1, 55 - 1, 7 - 1)), "1","0")</f>
        <v>1</v>
      </c>
      <c r="CT198">
        <f ca="1" xml:space="preserve"> IF( AND( OFFSET($A$1, 198 - 1, 96 - 1) = "1", OFFSET($A$1, 198 - 1, 97 - 1) = "1" ), 1, IF( AND( OFFSET($A$1, 198 - 1, 96 - 1) = "1", OFFSET($A$1, 198 - 1, 97 - 1) = "0" ), 2, IF( AND( OFFSET($A$1, 198 - 1, 96 - 1) = "0", OFFSET($A$1, 198 - 1, 97 - 1) = "1" ), 3, 4 ) ) )</f>
        <v>1</v>
      </c>
      <c r="CV198" s="24">
        <v>0.99542456209266728</v>
      </c>
      <c r="CW198" s="24" t="str">
        <f>"1"</f>
        <v>1</v>
      </c>
      <c r="CX198" t="str">
        <f ca="1">IF((OFFSET($A$1, 198 - 1, 100 - 1)) &gt;= (OFFSET($A$1, 79 - 1, 7 - 1)), "1","0")</f>
        <v>1</v>
      </c>
      <c r="CY198">
        <f ca="1" xml:space="preserve"> IF( AND( OFFSET($A$1, 198 - 1, 101 - 1) = "1", OFFSET($A$1, 198 - 1, 102 - 1) = "1" ), 1, IF( AND( OFFSET($A$1, 198 - 1, 101 - 1) = "1", OFFSET($A$1, 198 - 1, 102 - 1) = "0" ), 2, IF( AND( OFFSET($A$1, 198 - 1, 101 - 1) = "0", OFFSET($A$1, 198 - 1, 102 - 1) = "1" ), 3, 4 ) ) )</f>
        <v>1</v>
      </c>
    </row>
    <row r="199" spans="95:103" ht="13.8" x14ac:dyDescent="0.3">
      <c r="CQ199" s="24">
        <v>0.99477090144634617</v>
      </c>
      <c r="CR199" s="24" t="str">
        <f t="shared" si="14"/>
        <v>1</v>
      </c>
      <c r="CS199" t="str">
        <f ca="1">IF((OFFSET($A$1, 199 - 1, 95 - 1)) &gt;= (OFFSET($A$1, 55 - 1, 7 - 1)), "1","0")</f>
        <v>1</v>
      </c>
      <c r="CT199">
        <f ca="1" xml:space="preserve"> IF( AND( OFFSET($A$1, 199 - 1, 96 - 1) = "1", OFFSET($A$1, 199 - 1, 97 - 1) = "1" ), 1, IF( AND( OFFSET($A$1, 199 - 1, 96 - 1) = "1", OFFSET($A$1, 199 - 1, 97 - 1) = "0" ), 2, IF( AND( OFFSET($A$1, 199 - 1, 96 - 1) = "0", OFFSET($A$1, 199 - 1, 97 - 1) = "1" ), 3, 4 ) ) )</f>
        <v>1</v>
      </c>
      <c r="CV199" s="24">
        <v>0.97630843383435062</v>
      </c>
      <c r="CW199" s="24" t="str">
        <f>"0"</f>
        <v>0</v>
      </c>
      <c r="CX199" t="str">
        <f ca="1">IF((OFFSET($A$1, 199 - 1, 100 - 1)) &gt;= (OFFSET($A$1, 79 - 1, 7 - 1)), "1","0")</f>
        <v>1</v>
      </c>
      <c r="CY199">
        <f ca="1" xml:space="preserve"> IF( AND( OFFSET($A$1, 199 - 1, 101 - 1) = "1", OFFSET($A$1, 199 - 1, 102 - 1) = "1" ), 1, IF( AND( OFFSET($A$1, 199 - 1, 101 - 1) = "1", OFFSET($A$1, 199 - 1, 102 - 1) = "0" ), 2, IF( AND( OFFSET($A$1, 199 - 1, 101 - 1) = "0", OFFSET($A$1, 199 - 1, 102 - 1) = "1" ), 3, 4 ) ) )</f>
        <v>3</v>
      </c>
    </row>
    <row r="200" spans="95:103" ht="13.8" x14ac:dyDescent="0.3">
      <c r="CQ200" s="24">
        <v>0.98540665567099828</v>
      </c>
      <c r="CR200" s="24" t="str">
        <f t="shared" si="14"/>
        <v>1</v>
      </c>
      <c r="CS200" t="str">
        <f ca="1">IF((OFFSET($A$1, 200 - 1, 95 - 1)) &gt;= (OFFSET($A$1, 55 - 1, 7 - 1)), "1","0")</f>
        <v>1</v>
      </c>
      <c r="CT200">
        <f ca="1" xml:space="preserve"> IF( AND( OFFSET($A$1, 200 - 1, 96 - 1) = "1", OFFSET($A$1, 200 - 1, 97 - 1) = "1" ), 1, IF( AND( OFFSET($A$1, 200 - 1, 96 - 1) = "1", OFFSET($A$1, 200 - 1, 97 - 1) = "0" ), 2, IF( AND( OFFSET($A$1, 200 - 1, 96 - 1) = "0", OFFSET($A$1, 200 - 1, 97 - 1) = "1" ), 3, 4 ) ) )</f>
        <v>1</v>
      </c>
      <c r="CV200" s="24">
        <v>0.3612344972496071</v>
      </c>
      <c r="CW200" s="24" t="str">
        <f>"1"</f>
        <v>1</v>
      </c>
      <c r="CX200" t="str">
        <f ca="1">IF((OFFSET($A$1, 200 - 1, 100 - 1)) &gt;= (OFFSET($A$1, 79 - 1, 7 - 1)), "1","0")</f>
        <v>0</v>
      </c>
      <c r="CY200">
        <f ca="1" xml:space="preserve"> IF( AND( OFFSET($A$1, 200 - 1, 101 - 1) = "1", OFFSET($A$1, 200 - 1, 102 - 1) = "1" ), 1, IF( AND( OFFSET($A$1, 200 - 1, 101 - 1) = "1", OFFSET($A$1, 200 - 1, 102 - 1) = "0" ), 2, IF( AND( OFFSET($A$1, 200 - 1, 101 - 1) = "0", OFFSET($A$1, 200 - 1, 102 - 1) = "1" ), 3, 4 ) ) )</f>
        <v>2</v>
      </c>
    </row>
    <row r="201" spans="95:103" ht="13.8" x14ac:dyDescent="0.3">
      <c r="CQ201" s="24">
        <v>0.9981003076890349</v>
      </c>
      <c r="CR201" s="24" t="str">
        <f t="shared" si="14"/>
        <v>1</v>
      </c>
      <c r="CS201" t="str">
        <f ca="1">IF((OFFSET($A$1, 201 - 1, 95 - 1)) &gt;= (OFFSET($A$1, 55 - 1, 7 - 1)), "1","0")</f>
        <v>1</v>
      </c>
      <c r="CT201">
        <f ca="1" xml:space="preserve"> IF( AND( OFFSET($A$1, 201 - 1, 96 - 1) = "1", OFFSET($A$1, 201 - 1, 97 - 1) = "1" ), 1, IF( AND( OFFSET($A$1, 201 - 1, 96 - 1) = "1", OFFSET($A$1, 201 - 1, 97 - 1) = "0" ), 2, IF( AND( OFFSET($A$1, 201 - 1, 96 - 1) = "0", OFFSET($A$1, 201 - 1, 97 - 1) = "1" ), 3, 4 ) ) )</f>
        <v>1</v>
      </c>
      <c r="CV201" s="24">
        <v>0.75286988914514597</v>
      </c>
      <c r="CW201" s="24" t="str">
        <f>"1"</f>
        <v>1</v>
      </c>
      <c r="CX201" t="str">
        <f ca="1">IF((OFFSET($A$1, 201 - 1, 100 - 1)) &gt;= (OFFSET($A$1, 79 - 1, 7 - 1)), "1","0")</f>
        <v>1</v>
      </c>
      <c r="CY201">
        <f ca="1" xml:space="preserve"> IF( AND( OFFSET($A$1, 201 - 1, 101 - 1) = "1", OFFSET($A$1, 201 - 1, 102 - 1) = "1" ), 1, IF( AND( OFFSET($A$1, 201 - 1, 101 - 1) = "1", OFFSET($A$1, 201 - 1, 102 - 1) = "0" ), 2, IF( AND( OFFSET($A$1, 201 - 1, 101 - 1) = "0", OFFSET($A$1, 201 - 1, 102 - 1) = "1" ), 3, 4 ) ) )</f>
        <v>1</v>
      </c>
    </row>
    <row r="202" spans="95:103" ht="13.8" x14ac:dyDescent="0.3">
      <c r="CQ202" s="24">
        <v>0.99324715086073967</v>
      </c>
      <c r="CR202" s="24" t="str">
        <f t="shared" si="14"/>
        <v>1</v>
      </c>
      <c r="CS202" t="str">
        <f ca="1">IF((OFFSET($A$1, 202 - 1, 95 - 1)) &gt;= (OFFSET($A$1, 55 - 1, 7 - 1)), "1","0")</f>
        <v>1</v>
      </c>
      <c r="CT202">
        <f ca="1" xml:space="preserve"> IF( AND( OFFSET($A$1, 202 - 1, 96 - 1) = "1", OFFSET($A$1, 202 - 1, 97 - 1) = "1" ), 1, IF( AND( OFFSET($A$1, 202 - 1, 96 - 1) = "1", OFFSET($A$1, 202 - 1, 97 - 1) = "0" ), 2, IF( AND( OFFSET($A$1, 202 - 1, 96 - 1) = "0", OFFSET($A$1, 202 - 1, 97 - 1) = "1" ), 3, 4 ) ) )</f>
        <v>1</v>
      </c>
      <c r="CV202" s="24">
        <v>2.9005011363278956E-2</v>
      </c>
      <c r="CW202" s="24" t="str">
        <f>"0"</f>
        <v>0</v>
      </c>
      <c r="CX202" t="str">
        <f ca="1">IF((OFFSET($A$1, 202 - 1, 100 - 1)) &gt;= (OFFSET($A$1, 79 - 1, 7 - 1)), "1","0")</f>
        <v>0</v>
      </c>
      <c r="CY202">
        <f ca="1" xml:space="preserve"> IF( AND( OFFSET($A$1, 202 - 1, 101 - 1) = "1", OFFSET($A$1, 202 - 1, 102 - 1) = "1" ), 1, IF( AND( OFFSET($A$1, 202 - 1, 101 - 1) = "1", OFFSET($A$1, 202 - 1, 102 - 1) = "0" ), 2, IF( AND( OFFSET($A$1, 202 - 1, 101 - 1) = "0", OFFSET($A$1, 202 - 1, 102 - 1) = "1" ), 3, 4 ) ) )</f>
        <v>4</v>
      </c>
    </row>
    <row r="203" spans="95:103" ht="13.8" x14ac:dyDescent="0.3">
      <c r="CQ203" s="24">
        <v>0.87401469340365401</v>
      </c>
      <c r="CR203" s="24" t="str">
        <f t="shared" si="14"/>
        <v>1</v>
      </c>
      <c r="CS203" t="str">
        <f ca="1">IF((OFFSET($A$1, 203 - 1, 95 - 1)) &gt;= (OFFSET($A$1, 55 - 1, 7 - 1)), "1","0")</f>
        <v>1</v>
      </c>
      <c r="CT203">
        <f ca="1" xml:space="preserve"> IF( AND( OFFSET($A$1, 203 - 1, 96 - 1) = "1", OFFSET($A$1, 203 - 1, 97 - 1) = "1" ), 1, IF( AND( OFFSET($A$1, 203 - 1, 96 - 1) = "1", OFFSET($A$1, 203 - 1, 97 - 1) = "0" ), 2, IF( AND( OFFSET($A$1, 203 - 1, 96 - 1) = "0", OFFSET($A$1, 203 - 1, 97 - 1) = "1" ), 3, 4 ) ) )</f>
        <v>1</v>
      </c>
      <c r="CV203" s="24">
        <v>0.99049194542538932</v>
      </c>
      <c r="CW203" s="24" t="str">
        <f>"1"</f>
        <v>1</v>
      </c>
      <c r="CX203" t="str">
        <f ca="1">IF((OFFSET($A$1, 203 - 1, 100 - 1)) &gt;= (OFFSET($A$1, 79 - 1, 7 - 1)), "1","0")</f>
        <v>1</v>
      </c>
      <c r="CY203">
        <f ca="1" xml:space="preserve"> IF( AND( OFFSET($A$1, 203 - 1, 101 - 1) = "1", OFFSET($A$1, 203 - 1, 102 - 1) = "1" ), 1, IF( AND( OFFSET($A$1, 203 - 1, 101 - 1) = "1", OFFSET($A$1, 203 - 1, 102 - 1) = "0" ), 2, IF( AND( OFFSET($A$1, 203 - 1, 101 - 1) = "0", OFFSET($A$1, 203 - 1, 102 - 1) = "1" ), 3, 4 ) ) )</f>
        <v>1</v>
      </c>
    </row>
    <row r="204" spans="95:103" ht="13.8" x14ac:dyDescent="0.3">
      <c r="CQ204" s="24">
        <v>0.98419337339376978</v>
      </c>
      <c r="CR204" s="24" t="str">
        <f t="shared" si="14"/>
        <v>1</v>
      </c>
      <c r="CS204" t="str">
        <f ca="1">IF((OFFSET($A$1, 204 - 1, 95 - 1)) &gt;= (OFFSET($A$1, 55 - 1, 7 - 1)), "1","0")</f>
        <v>1</v>
      </c>
      <c r="CT204">
        <f ca="1" xml:space="preserve"> IF( AND( OFFSET($A$1, 204 - 1, 96 - 1) = "1", OFFSET($A$1, 204 - 1, 97 - 1) = "1" ), 1, IF( AND( OFFSET($A$1, 204 - 1, 96 - 1) = "1", OFFSET($A$1, 204 - 1, 97 - 1) = "0" ), 2, IF( AND( OFFSET($A$1, 204 - 1, 96 - 1) = "0", OFFSET($A$1, 204 - 1, 97 - 1) = "1" ), 3, 4 ) ) )</f>
        <v>1</v>
      </c>
      <c r="CV204" s="24">
        <v>0.9878725791236681</v>
      </c>
      <c r="CW204" s="24" t="str">
        <f>"1"</f>
        <v>1</v>
      </c>
      <c r="CX204" t="str">
        <f ca="1">IF((OFFSET($A$1, 204 - 1, 100 - 1)) &gt;= (OFFSET($A$1, 79 - 1, 7 - 1)), "1","0")</f>
        <v>1</v>
      </c>
      <c r="CY204">
        <f ca="1" xml:space="preserve"> IF( AND( OFFSET($A$1, 204 - 1, 101 - 1) = "1", OFFSET($A$1, 204 - 1, 102 - 1) = "1" ), 1, IF( AND( OFFSET($A$1, 204 - 1, 101 - 1) = "1", OFFSET($A$1, 204 - 1, 102 - 1) = "0" ), 2, IF( AND( OFFSET($A$1, 204 - 1, 101 - 1) = "0", OFFSET($A$1, 204 - 1, 102 - 1) = "1" ), 3, 4 ) ) )</f>
        <v>1</v>
      </c>
    </row>
    <row r="205" spans="95:103" ht="13.8" x14ac:dyDescent="0.3">
      <c r="CQ205" s="24">
        <v>0.95831486164958057</v>
      </c>
      <c r="CR205" s="24" t="str">
        <f t="shared" si="14"/>
        <v>1</v>
      </c>
      <c r="CS205" t="str">
        <f ca="1">IF((OFFSET($A$1, 205 - 1, 95 - 1)) &gt;= (OFFSET($A$1, 55 - 1, 7 - 1)), "1","0")</f>
        <v>1</v>
      </c>
      <c r="CT205">
        <f ca="1" xml:space="preserve"> IF( AND( OFFSET($A$1, 205 - 1, 96 - 1) = "1", OFFSET($A$1, 205 - 1, 97 - 1) = "1" ), 1, IF( AND( OFFSET($A$1, 205 - 1, 96 - 1) = "1", OFFSET($A$1, 205 - 1, 97 - 1) = "0" ), 2, IF( AND( OFFSET($A$1, 205 - 1, 96 - 1) = "0", OFFSET($A$1, 205 - 1, 97 - 1) = "1" ), 3, 4 ) ) )</f>
        <v>1</v>
      </c>
      <c r="CV205" s="24">
        <v>0.99840007845005008</v>
      </c>
      <c r="CW205" s="24" t="str">
        <f>"1"</f>
        <v>1</v>
      </c>
      <c r="CX205" t="str">
        <f ca="1">IF((OFFSET($A$1, 205 - 1, 100 - 1)) &gt;= (OFFSET($A$1, 79 - 1, 7 - 1)), "1","0")</f>
        <v>1</v>
      </c>
      <c r="CY205">
        <f ca="1" xml:space="preserve"> IF( AND( OFFSET($A$1, 205 - 1, 101 - 1) = "1", OFFSET($A$1, 205 - 1, 102 - 1) = "1" ), 1, IF( AND( OFFSET($A$1, 205 - 1, 101 - 1) = "1", OFFSET($A$1, 205 - 1, 102 - 1) = "0" ), 2, IF( AND( OFFSET($A$1, 205 - 1, 101 - 1) = "0", OFFSET($A$1, 205 - 1, 102 - 1) = "1" ), 3, 4 ) ) )</f>
        <v>1</v>
      </c>
    </row>
    <row r="206" spans="95:103" ht="13.8" x14ac:dyDescent="0.3">
      <c r="CQ206" s="24">
        <v>0.98524339422320184</v>
      </c>
      <c r="CR206" s="24" t="str">
        <f t="shared" si="14"/>
        <v>1</v>
      </c>
      <c r="CS206" t="str">
        <f ca="1">IF((OFFSET($A$1, 206 - 1, 95 - 1)) &gt;= (OFFSET($A$1, 55 - 1, 7 - 1)), "1","0")</f>
        <v>1</v>
      </c>
      <c r="CT206">
        <f ca="1" xml:space="preserve"> IF( AND( OFFSET($A$1, 206 - 1, 96 - 1) = "1", OFFSET($A$1, 206 - 1, 97 - 1) = "1" ), 1, IF( AND( OFFSET($A$1, 206 - 1, 96 - 1) = "1", OFFSET($A$1, 206 - 1, 97 - 1) = "0" ), 2, IF( AND( OFFSET($A$1, 206 - 1, 96 - 1) = "0", OFFSET($A$1, 206 - 1, 97 - 1) = "1" ), 3, 4 ) ) )</f>
        <v>1</v>
      </c>
      <c r="CV206" s="24">
        <v>0.8589524881918621</v>
      </c>
      <c r="CW206" s="24" t="str">
        <f>"1"</f>
        <v>1</v>
      </c>
      <c r="CX206" t="str">
        <f ca="1">IF((OFFSET($A$1, 206 - 1, 100 - 1)) &gt;= (OFFSET($A$1, 79 - 1, 7 - 1)), "1","0")</f>
        <v>1</v>
      </c>
      <c r="CY206">
        <f ca="1" xml:space="preserve"> IF( AND( OFFSET($A$1, 206 - 1, 101 - 1) = "1", OFFSET($A$1, 206 - 1, 102 - 1) = "1" ), 1, IF( AND( OFFSET($A$1, 206 - 1, 101 - 1) = "1", OFFSET($A$1, 206 - 1, 102 - 1) = "0" ), 2, IF( AND( OFFSET($A$1, 206 - 1, 101 - 1) = "0", OFFSET($A$1, 206 - 1, 102 - 1) = "1" ), 3, 4 ) ) )</f>
        <v>1</v>
      </c>
    </row>
    <row r="207" spans="95:103" ht="13.8" x14ac:dyDescent="0.3">
      <c r="CQ207" s="24">
        <v>0.26899606102971713</v>
      </c>
      <c r="CR207" s="24" t="str">
        <f>"0"</f>
        <v>0</v>
      </c>
      <c r="CS207" t="str">
        <f ca="1">IF((OFFSET($A$1, 207 - 1, 95 - 1)) &gt;= (OFFSET($A$1, 55 - 1, 7 - 1)), "1","0")</f>
        <v>0</v>
      </c>
      <c r="CT207">
        <f ca="1" xml:space="preserve"> IF( AND( OFFSET($A$1, 207 - 1, 96 - 1) = "1", OFFSET($A$1, 207 - 1, 97 - 1) = "1" ), 1, IF( AND( OFFSET($A$1, 207 - 1, 96 - 1) = "1", OFFSET($A$1, 207 - 1, 97 - 1) = "0" ), 2, IF( AND( OFFSET($A$1, 207 - 1, 96 - 1) = "0", OFFSET($A$1, 207 - 1, 97 - 1) = "1" ), 3, 4 ) ) )</f>
        <v>4</v>
      </c>
      <c r="CV207" s="24">
        <v>0.11744160040705647</v>
      </c>
      <c r="CW207" s="24" t="str">
        <f>"0"</f>
        <v>0</v>
      </c>
      <c r="CX207" t="str">
        <f ca="1">IF((OFFSET($A$1, 207 - 1, 100 - 1)) &gt;= (OFFSET($A$1, 79 - 1, 7 - 1)), "1","0")</f>
        <v>0</v>
      </c>
      <c r="CY207">
        <f ca="1" xml:space="preserve"> IF( AND( OFFSET($A$1, 207 - 1, 101 - 1) = "1", OFFSET($A$1, 207 - 1, 102 - 1) = "1" ), 1, IF( AND( OFFSET($A$1, 207 - 1, 101 - 1) = "1", OFFSET($A$1, 207 - 1, 102 - 1) = "0" ), 2, IF( AND( OFFSET($A$1, 207 - 1, 101 - 1) = "0", OFFSET($A$1, 207 - 1, 102 - 1) = "1" ), 3, 4 ) ) )</f>
        <v>4</v>
      </c>
    </row>
    <row r="208" spans="95:103" ht="13.8" x14ac:dyDescent="0.3">
      <c r="CQ208" s="24">
        <v>0.99965175999882072</v>
      </c>
      <c r="CR208" s="24" t="str">
        <f t="shared" ref="CR208:CR213" si="15">"1"</f>
        <v>1</v>
      </c>
      <c r="CS208" t="str">
        <f ca="1">IF((OFFSET($A$1, 208 - 1, 95 - 1)) &gt;= (OFFSET($A$1, 55 - 1, 7 - 1)), "1","0")</f>
        <v>1</v>
      </c>
      <c r="CT208">
        <f ca="1" xml:space="preserve"> IF( AND( OFFSET($A$1, 208 - 1, 96 - 1) = "1", OFFSET($A$1, 208 - 1, 97 - 1) = "1" ), 1, IF( AND( OFFSET($A$1, 208 - 1, 96 - 1) = "1", OFFSET($A$1, 208 - 1, 97 - 1) = "0" ), 2, IF( AND( OFFSET($A$1, 208 - 1, 96 - 1) = "0", OFFSET($A$1, 208 - 1, 97 - 1) = "1" ), 3, 4 ) ) )</f>
        <v>1</v>
      </c>
      <c r="CV208" s="24">
        <v>3.0100177396395228E-2</v>
      </c>
      <c r="CW208" s="24" t="str">
        <f t="shared" ref="CW208:CW213" si="16">"1"</f>
        <v>1</v>
      </c>
      <c r="CX208" t="str">
        <f ca="1">IF((OFFSET($A$1, 208 - 1, 100 - 1)) &gt;= (OFFSET($A$1, 79 - 1, 7 - 1)), "1","0")</f>
        <v>0</v>
      </c>
      <c r="CY208">
        <f ca="1" xml:space="preserve"> IF( AND( OFFSET($A$1, 208 - 1, 101 - 1) = "1", OFFSET($A$1, 208 - 1, 102 - 1) = "1" ), 1, IF( AND( OFFSET($A$1, 208 - 1, 101 - 1) = "1", OFFSET($A$1, 208 - 1, 102 - 1) = "0" ), 2, IF( AND( OFFSET($A$1, 208 - 1, 101 - 1) = "0", OFFSET($A$1, 208 - 1, 102 - 1) = "1" ), 3, 4 ) ) )</f>
        <v>2</v>
      </c>
    </row>
    <row r="209" spans="95:103" ht="13.8" x14ac:dyDescent="0.3">
      <c r="CQ209" s="24">
        <v>0.96491824082833522</v>
      </c>
      <c r="CR209" s="24" t="str">
        <f t="shared" si="15"/>
        <v>1</v>
      </c>
      <c r="CS209" t="str">
        <f ca="1">IF((OFFSET($A$1, 209 - 1, 95 - 1)) &gt;= (OFFSET($A$1, 55 - 1, 7 - 1)), "1","0")</f>
        <v>1</v>
      </c>
      <c r="CT209">
        <f ca="1" xml:space="preserve"> IF( AND( OFFSET($A$1, 209 - 1, 96 - 1) = "1", OFFSET($A$1, 209 - 1, 97 - 1) = "1" ), 1, IF( AND( OFFSET($A$1, 209 - 1, 96 - 1) = "1", OFFSET($A$1, 209 - 1, 97 - 1) = "0" ), 2, IF( AND( OFFSET($A$1, 209 - 1, 96 - 1) = "0", OFFSET($A$1, 209 - 1, 97 - 1) = "1" ), 3, 4 ) ) )</f>
        <v>1</v>
      </c>
      <c r="CV209" s="24">
        <v>0.27565005973346735</v>
      </c>
      <c r="CW209" s="24" t="str">
        <f t="shared" si="16"/>
        <v>1</v>
      </c>
      <c r="CX209" t="str">
        <f ca="1">IF((OFFSET($A$1, 209 - 1, 100 - 1)) &gt;= (OFFSET($A$1, 79 - 1, 7 - 1)), "1","0")</f>
        <v>0</v>
      </c>
      <c r="CY209">
        <f ca="1" xml:space="preserve"> IF( AND( OFFSET($A$1, 209 - 1, 101 - 1) = "1", OFFSET($A$1, 209 - 1, 102 - 1) = "1" ), 1, IF( AND( OFFSET($A$1, 209 - 1, 101 - 1) = "1", OFFSET($A$1, 209 - 1, 102 - 1) = "0" ), 2, IF( AND( OFFSET($A$1, 209 - 1, 101 - 1) = "0", OFFSET($A$1, 209 - 1, 102 - 1) = "1" ), 3, 4 ) ) )</f>
        <v>2</v>
      </c>
    </row>
    <row r="210" spans="95:103" ht="13.8" x14ac:dyDescent="0.3">
      <c r="CQ210" s="24">
        <v>0.98738641535020955</v>
      </c>
      <c r="CR210" s="24" t="str">
        <f t="shared" si="15"/>
        <v>1</v>
      </c>
      <c r="CS210" t="str">
        <f ca="1">IF((OFFSET($A$1, 210 - 1, 95 - 1)) &gt;= (OFFSET($A$1, 55 - 1, 7 - 1)), "1","0")</f>
        <v>1</v>
      </c>
      <c r="CT210">
        <f ca="1" xml:space="preserve"> IF( AND( OFFSET($A$1, 210 - 1, 96 - 1) = "1", OFFSET($A$1, 210 - 1, 97 - 1) = "1" ), 1, IF( AND( OFFSET($A$1, 210 - 1, 96 - 1) = "1", OFFSET($A$1, 210 - 1, 97 - 1) = "0" ), 2, IF( AND( OFFSET($A$1, 210 - 1, 96 - 1) = "0", OFFSET($A$1, 210 - 1, 97 - 1) = "1" ), 3, 4 ) ) )</f>
        <v>1</v>
      </c>
      <c r="CV210" s="24">
        <v>0.99803554493750024</v>
      </c>
      <c r="CW210" s="24" t="str">
        <f t="shared" si="16"/>
        <v>1</v>
      </c>
      <c r="CX210" t="str">
        <f ca="1">IF((OFFSET($A$1, 210 - 1, 100 - 1)) &gt;= (OFFSET($A$1, 79 - 1, 7 - 1)), "1","0")</f>
        <v>1</v>
      </c>
      <c r="CY210">
        <f ca="1" xml:space="preserve"> IF( AND( OFFSET($A$1, 210 - 1, 101 - 1) = "1", OFFSET($A$1, 210 - 1, 102 - 1) = "1" ), 1, IF( AND( OFFSET($A$1, 210 - 1, 101 - 1) = "1", OFFSET($A$1, 210 - 1, 102 - 1) = "0" ), 2, IF( AND( OFFSET($A$1, 210 - 1, 101 - 1) = "0", OFFSET($A$1, 210 - 1, 102 - 1) = "1" ), 3, 4 ) ) )</f>
        <v>1</v>
      </c>
    </row>
    <row r="211" spans="95:103" ht="13.8" x14ac:dyDescent="0.3">
      <c r="CQ211" s="24">
        <v>0.97934101744093593</v>
      </c>
      <c r="CR211" s="24" t="str">
        <f t="shared" si="15"/>
        <v>1</v>
      </c>
      <c r="CS211" t="str">
        <f ca="1">IF((OFFSET($A$1, 211 - 1, 95 - 1)) &gt;= (OFFSET($A$1, 55 - 1, 7 - 1)), "1","0")</f>
        <v>1</v>
      </c>
      <c r="CT211">
        <f ca="1" xml:space="preserve"> IF( AND( OFFSET($A$1, 211 - 1, 96 - 1) = "1", OFFSET($A$1, 211 - 1, 97 - 1) = "1" ), 1, IF( AND( OFFSET($A$1, 211 - 1, 96 - 1) = "1", OFFSET($A$1, 211 - 1, 97 - 1) = "0" ), 2, IF( AND( OFFSET($A$1, 211 - 1, 96 - 1) = "0", OFFSET($A$1, 211 - 1, 97 - 1) = "1" ), 3, 4 ) ) )</f>
        <v>1</v>
      </c>
      <c r="CV211" s="24">
        <v>0.99564056728108441</v>
      </c>
      <c r="CW211" s="24" t="str">
        <f t="shared" si="16"/>
        <v>1</v>
      </c>
      <c r="CX211" t="str">
        <f ca="1">IF((OFFSET($A$1, 211 - 1, 100 - 1)) &gt;= (OFFSET($A$1, 79 - 1, 7 - 1)), "1","0")</f>
        <v>1</v>
      </c>
      <c r="CY211">
        <f ca="1" xml:space="preserve"> IF( AND( OFFSET($A$1, 211 - 1, 101 - 1) = "1", OFFSET($A$1, 211 - 1, 102 - 1) = "1" ), 1, IF( AND( OFFSET($A$1, 211 - 1, 101 - 1) = "1", OFFSET($A$1, 211 - 1, 102 - 1) = "0" ), 2, IF( AND( OFFSET($A$1, 211 - 1, 101 - 1) = "0", OFFSET($A$1, 211 - 1, 102 - 1) = "1" ), 3, 4 ) ) )</f>
        <v>1</v>
      </c>
    </row>
    <row r="212" spans="95:103" ht="13.8" x14ac:dyDescent="0.3">
      <c r="CQ212" s="24">
        <v>0.9667244147998576</v>
      </c>
      <c r="CR212" s="24" t="str">
        <f t="shared" si="15"/>
        <v>1</v>
      </c>
      <c r="CS212" t="str">
        <f ca="1">IF((OFFSET($A$1, 212 - 1, 95 - 1)) &gt;= (OFFSET($A$1, 55 - 1, 7 - 1)), "1","0")</f>
        <v>1</v>
      </c>
      <c r="CT212">
        <f ca="1" xml:space="preserve"> IF( AND( OFFSET($A$1, 212 - 1, 96 - 1) = "1", OFFSET($A$1, 212 - 1, 97 - 1) = "1" ), 1, IF( AND( OFFSET($A$1, 212 - 1, 96 - 1) = "1", OFFSET($A$1, 212 - 1, 97 - 1) = "0" ), 2, IF( AND( OFFSET($A$1, 212 - 1, 96 - 1) = "0", OFFSET($A$1, 212 - 1, 97 - 1) = "1" ), 3, 4 ) ) )</f>
        <v>1</v>
      </c>
      <c r="CV212" s="24">
        <v>0.99666763643726575</v>
      </c>
      <c r="CW212" s="24" t="str">
        <f t="shared" si="16"/>
        <v>1</v>
      </c>
      <c r="CX212" t="str">
        <f ca="1">IF((OFFSET($A$1, 212 - 1, 100 - 1)) &gt;= (OFFSET($A$1, 79 - 1, 7 - 1)), "1","0")</f>
        <v>1</v>
      </c>
      <c r="CY212">
        <f ca="1" xml:space="preserve"> IF( AND( OFFSET($A$1, 212 - 1, 101 - 1) = "1", OFFSET($A$1, 212 - 1, 102 - 1) = "1" ), 1, IF( AND( OFFSET($A$1, 212 - 1, 101 - 1) = "1", OFFSET($A$1, 212 - 1, 102 - 1) = "0" ), 2, IF( AND( OFFSET($A$1, 212 - 1, 101 - 1) = "0", OFFSET($A$1, 212 - 1, 102 - 1) = "1" ), 3, 4 ) ) )</f>
        <v>1</v>
      </c>
    </row>
    <row r="213" spans="95:103" ht="13.8" x14ac:dyDescent="0.3">
      <c r="CQ213" s="24">
        <v>0.99141277481841195</v>
      </c>
      <c r="CR213" s="24" t="str">
        <f t="shared" si="15"/>
        <v>1</v>
      </c>
      <c r="CS213" t="str">
        <f ca="1">IF((OFFSET($A$1, 213 - 1, 95 - 1)) &gt;= (OFFSET($A$1, 55 - 1, 7 - 1)), "1","0")</f>
        <v>1</v>
      </c>
      <c r="CT213">
        <f ca="1" xml:space="preserve"> IF( AND( OFFSET($A$1, 213 - 1, 96 - 1) = "1", OFFSET($A$1, 213 - 1, 97 - 1) = "1" ), 1, IF( AND( OFFSET($A$1, 213 - 1, 96 - 1) = "1", OFFSET($A$1, 213 - 1, 97 - 1) = "0" ), 2, IF( AND( OFFSET($A$1, 213 - 1, 96 - 1) = "0", OFFSET($A$1, 213 - 1, 97 - 1) = "1" ), 3, 4 ) ) )</f>
        <v>1</v>
      </c>
      <c r="CV213" s="24">
        <v>0.99193907768585932</v>
      </c>
      <c r="CW213" s="24" t="str">
        <f t="shared" si="16"/>
        <v>1</v>
      </c>
      <c r="CX213" t="str">
        <f ca="1">IF((OFFSET($A$1, 213 - 1, 100 - 1)) &gt;= (OFFSET($A$1, 79 - 1, 7 - 1)), "1","0")</f>
        <v>1</v>
      </c>
      <c r="CY213">
        <f ca="1" xml:space="preserve"> IF( AND( OFFSET($A$1, 213 - 1, 101 - 1) = "1", OFFSET($A$1, 213 - 1, 102 - 1) = "1" ), 1, IF( AND( OFFSET($A$1, 213 - 1, 101 - 1) = "1", OFFSET($A$1, 213 - 1, 102 - 1) = "0" ), 2, IF( AND( OFFSET($A$1, 213 - 1, 101 - 1) = "0", OFFSET($A$1, 213 - 1, 102 - 1) = "1" ), 3, 4 ) ) )</f>
        <v>1</v>
      </c>
    </row>
    <row r="214" spans="95:103" ht="13.8" x14ac:dyDescent="0.3">
      <c r="CQ214" s="24">
        <v>0.98158923130226705</v>
      </c>
      <c r="CR214" s="24" t="str">
        <f>"0"</f>
        <v>0</v>
      </c>
      <c r="CS214" t="str">
        <f ca="1">IF((OFFSET($A$1, 214 - 1, 95 - 1)) &gt;= (OFFSET($A$1, 55 - 1, 7 - 1)), "1","0")</f>
        <v>1</v>
      </c>
      <c r="CT214">
        <f ca="1" xml:space="preserve"> IF( AND( OFFSET($A$1, 214 - 1, 96 - 1) = "1", OFFSET($A$1, 214 - 1, 97 - 1) = "1" ), 1, IF( AND( OFFSET($A$1, 214 - 1, 96 - 1) = "1", OFFSET($A$1, 214 - 1, 97 - 1) = "0" ), 2, IF( AND( OFFSET($A$1, 214 - 1, 96 - 1) = "0", OFFSET($A$1, 214 - 1, 97 - 1) = "1" ), 3, 4 ) ) )</f>
        <v>3</v>
      </c>
      <c r="CV214" s="24">
        <v>0.96537752186535541</v>
      </c>
      <c r="CW214" s="24" t="str">
        <f>"0"</f>
        <v>0</v>
      </c>
      <c r="CX214" t="str">
        <f ca="1">IF((OFFSET($A$1, 214 - 1, 100 - 1)) &gt;= (OFFSET($A$1, 79 - 1, 7 - 1)), "1","0")</f>
        <v>1</v>
      </c>
      <c r="CY214">
        <f ca="1" xml:space="preserve"> IF( AND( OFFSET($A$1, 214 - 1, 101 - 1) = "1", OFFSET($A$1, 214 - 1, 102 - 1) = "1" ), 1, IF( AND( OFFSET($A$1, 214 - 1, 101 - 1) = "1", OFFSET($A$1, 214 - 1, 102 - 1) = "0" ), 2, IF( AND( OFFSET($A$1, 214 - 1, 101 - 1) = "0", OFFSET($A$1, 214 - 1, 102 - 1) = "1" ), 3, 4 ) ) )</f>
        <v>3</v>
      </c>
    </row>
    <row r="215" spans="95:103" ht="13.8" x14ac:dyDescent="0.3">
      <c r="CQ215" s="24">
        <v>0.98269305179025712</v>
      </c>
      <c r="CR215" s="24" t="str">
        <f>"1"</f>
        <v>1</v>
      </c>
      <c r="CS215" t="str">
        <f ca="1">IF((OFFSET($A$1, 215 - 1, 95 - 1)) &gt;= (OFFSET($A$1, 55 - 1, 7 - 1)), "1","0")</f>
        <v>1</v>
      </c>
      <c r="CT215">
        <f ca="1" xml:space="preserve"> IF( AND( OFFSET($A$1, 215 - 1, 96 - 1) = "1", OFFSET($A$1, 215 - 1, 97 - 1) = "1" ), 1, IF( AND( OFFSET($A$1, 215 - 1, 96 - 1) = "1", OFFSET($A$1, 215 - 1, 97 - 1) = "0" ), 2, IF( AND( OFFSET($A$1, 215 - 1, 96 - 1) = "0", OFFSET($A$1, 215 - 1, 97 - 1) = "1" ), 3, 4 ) ) )</f>
        <v>1</v>
      </c>
      <c r="CV215" s="24">
        <v>9.5865349253166685E-2</v>
      </c>
      <c r="CW215" s="24" t="str">
        <f>"0"</f>
        <v>0</v>
      </c>
      <c r="CX215" t="str">
        <f ca="1">IF((OFFSET($A$1, 215 - 1, 100 - 1)) &gt;= (OFFSET($A$1, 79 - 1, 7 - 1)), "1","0")</f>
        <v>0</v>
      </c>
      <c r="CY215">
        <f ca="1" xml:space="preserve"> IF( AND( OFFSET($A$1, 215 - 1, 101 - 1) = "1", OFFSET($A$1, 215 - 1, 102 - 1) = "1" ), 1, IF( AND( OFFSET($A$1, 215 - 1, 101 - 1) = "1", OFFSET($A$1, 215 - 1, 102 - 1) = "0" ), 2, IF( AND( OFFSET($A$1, 215 - 1, 101 - 1) = "0", OFFSET($A$1, 215 - 1, 102 - 1) = "1" ), 3, 4 ) ) )</f>
        <v>4</v>
      </c>
    </row>
    <row r="216" spans="95:103" ht="13.8" x14ac:dyDescent="0.3">
      <c r="CQ216" s="24">
        <v>2.058781429764997E-2</v>
      </c>
      <c r="CR216" s="24" t="str">
        <f>"0"</f>
        <v>0</v>
      </c>
      <c r="CS216" t="str">
        <f ca="1">IF((OFFSET($A$1, 216 - 1, 95 - 1)) &gt;= (OFFSET($A$1, 55 - 1, 7 - 1)), "1","0")</f>
        <v>0</v>
      </c>
      <c r="CT216">
        <f ca="1" xml:space="preserve"> IF( AND( OFFSET($A$1, 216 - 1, 96 - 1) = "1", OFFSET($A$1, 216 - 1, 97 - 1) = "1" ), 1, IF( AND( OFFSET($A$1, 216 - 1, 96 - 1) = "1", OFFSET($A$1, 216 - 1, 97 - 1) = "0" ), 2, IF( AND( OFFSET($A$1, 216 - 1, 96 - 1) = "0", OFFSET($A$1, 216 - 1, 97 - 1) = "1" ), 3, 4 ) ) )</f>
        <v>4</v>
      </c>
      <c r="CV216" s="24">
        <v>0.94169307089163046</v>
      </c>
      <c r="CW216" s="24" t="str">
        <f>"0"</f>
        <v>0</v>
      </c>
      <c r="CX216" t="str">
        <f ca="1">IF((OFFSET($A$1, 216 - 1, 100 - 1)) &gt;= (OFFSET($A$1, 79 - 1, 7 - 1)), "1","0")</f>
        <v>1</v>
      </c>
      <c r="CY216">
        <f ca="1" xml:space="preserve"> IF( AND( OFFSET($A$1, 216 - 1, 101 - 1) = "1", OFFSET($A$1, 216 - 1, 102 - 1) = "1" ), 1, IF( AND( OFFSET($A$1, 216 - 1, 101 - 1) = "1", OFFSET($A$1, 216 - 1, 102 - 1) = "0" ), 2, IF( AND( OFFSET($A$1, 216 - 1, 101 - 1) = "0", OFFSET($A$1, 216 - 1, 102 - 1) = "1" ), 3, 4 ) ) )</f>
        <v>3</v>
      </c>
    </row>
    <row r="217" spans="95:103" ht="13.8" x14ac:dyDescent="0.3">
      <c r="CQ217" s="24">
        <v>0.99786228232410501</v>
      </c>
      <c r="CR217" s="24" t="str">
        <f>"1"</f>
        <v>1</v>
      </c>
      <c r="CS217" t="str">
        <f ca="1">IF((OFFSET($A$1, 217 - 1, 95 - 1)) &gt;= (OFFSET($A$1, 55 - 1, 7 - 1)), "1","0")</f>
        <v>1</v>
      </c>
      <c r="CT217">
        <f ca="1" xml:space="preserve"> IF( AND( OFFSET($A$1, 217 - 1, 96 - 1) = "1", OFFSET($A$1, 217 - 1, 97 - 1) = "1" ), 1, IF( AND( OFFSET($A$1, 217 - 1, 96 - 1) = "1", OFFSET($A$1, 217 - 1, 97 - 1) = "0" ), 2, IF( AND( OFFSET($A$1, 217 - 1, 96 - 1) = "0", OFFSET($A$1, 217 - 1, 97 - 1) = "1" ), 3, 4 ) ) )</f>
        <v>1</v>
      </c>
      <c r="CV217" s="24">
        <v>0.9499625646047436</v>
      </c>
      <c r="CW217" s="24" t="str">
        <f>"1"</f>
        <v>1</v>
      </c>
      <c r="CX217" t="str">
        <f ca="1">IF((OFFSET($A$1, 217 - 1, 100 - 1)) &gt;= (OFFSET($A$1, 79 - 1, 7 - 1)), "1","0")</f>
        <v>1</v>
      </c>
      <c r="CY217">
        <f ca="1" xml:space="preserve"> IF( AND( OFFSET($A$1, 217 - 1, 101 - 1) = "1", OFFSET($A$1, 217 - 1, 102 - 1) = "1" ), 1, IF( AND( OFFSET($A$1, 217 - 1, 101 - 1) = "1", OFFSET($A$1, 217 - 1, 102 - 1) = "0" ), 2, IF( AND( OFFSET($A$1, 217 - 1, 101 - 1) = "0", OFFSET($A$1, 217 - 1, 102 - 1) = "1" ), 3, 4 ) ) )</f>
        <v>1</v>
      </c>
    </row>
    <row r="218" spans="95:103" ht="13.8" x14ac:dyDescent="0.3">
      <c r="CQ218" s="24">
        <v>0.97787069852042852</v>
      </c>
      <c r="CR218" s="24" t="str">
        <f>"1"</f>
        <v>1</v>
      </c>
      <c r="CS218" t="str">
        <f ca="1">IF((OFFSET($A$1, 218 - 1, 95 - 1)) &gt;= (OFFSET($A$1, 55 - 1, 7 - 1)), "1","0")</f>
        <v>1</v>
      </c>
      <c r="CT218">
        <f ca="1" xml:space="preserve"> IF( AND( OFFSET($A$1, 218 - 1, 96 - 1) = "1", OFFSET($A$1, 218 - 1, 97 - 1) = "1" ), 1, IF( AND( OFFSET($A$1, 218 - 1, 96 - 1) = "1", OFFSET($A$1, 218 - 1, 97 - 1) = "0" ), 2, IF( AND( OFFSET($A$1, 218 - 1, 96 - 1) = "0", OFFSET($A$1, 218 - 1, 97 - 1) = "1" ), 3, 4 ) ) )</f>
        <v>1</v>
      </c>
      <c r="CV218" s="24">
        <v>0.98746654801294853</v>
      </c>
      <c r="CW218" s="24" t="str">
        <f>"1"</f>
        <v>1</v>
      </c>
      <c r="CX218" t="str">
        <f ca="1">IF((OFFSET($A$1, 218 - 1, 100 - 1)) &gt;= (OFFSET($A$1, 79 - 1, 7 - 1)), "1","0")</f>
        <v>1</v>
      </c>
      <c r="CY218">
        <f ca="1" xml:space="preserve"> IF( AND( OFFSET($A$1, 218 - 1, 101 - 1) = "1", OFFSET($A$1, 218 - 1, 102 - 1) = "1" ), 1, IF( AND( OFFSET($A$1, 218 - 1, 101 - 1) = "1", OFFSET($A$1, 218 - 1, 102 - 1) = "0" ), 2, IF( AND( OFFSET($A$1, 218 - 1, 101 - 1) = "0", OFFSET($A$1, 218 - 1, 102 - 1) = "1" ), 3, 4 ) ) )</f>
        <v>1</v>
      </c>
    </row>
    <row r="219" spans="95:103" ht="13.8" x14ac:dyDescent="0.3">
      <c r="CQ219" s="24">
        <v>2.6503293541166827E-2</v>
      </c>
      <c r="CR219" s="24" t="str">
        <f>"0"</f>
        <v>0</v>
      </c>
      <c r="CS219" t="str">
        <f ca="1">IF((OFFSET($A$1, 219 - 1, 95 - 1)) &gt;= (OFFSET($A$1, 55 - 1, 7 - 1)), "1","0")</f>
        <v>0</v>
      </c>
      <c r="CT219">
        <f ca="1" xml:space="preserve"> IF( AND( OFFSET($A$1, 219 - 1, 96 - 1) = "1", OFFSET($A$1, 219 - 1, 97 - 1) = "1" ), 1, IF( AND( OFFSET($A$1, 219 - 1, 96 - 1) = "1", OFFSET($A$1, 219 - 1, 97 - 1) = "0" ), 2, IF( AND( OFFSET($A$1, 219 - 1, 96 - 1) = "0", OFFSET($A$1, 219 - 1, 97 - 1) = "1" ), 3, 4 ) ) )</f>
        <v>4</v>
      </c>
      <c r="CV219" s="24">
        <v>0.99008180352714836</v>
      </c>
      <c r="CW219" s="24" t="str">
        <f>"1"</f>
        <v>1</v>
      </c>
      <c r="CX219" t="str">
        <f ca="1">IF((OFFSET($A$1, 219 - 1, 100 - 1)) &gt;= (OFFSET($A$1, 79 - 1, 7 - 1)), "1","0")</f>
        <v>1</v>
      </c>
      <c r="CY219">
        <f ca="1" xml:space="preserve"> IF( AND( OFFSET($A$1, 219 - 1, 101 - 1) = "1", OFFSET($A$1, 219 - 1, 102 - 1) = "1" ), 1, IF( AND( OFFSET($A$1, 219 - 1, 101 - 1) = "1", OFFSET($A$1, 219 - 1, 102 - 1) = "0" ), 2, IF( AND( OFFSET($A$1, 219 - 1, 101 - 1) = "0", OFFSET($A$1, 219 - 1, 102 - 1) = "1" ), 3, 4 ) ) )</f>
        <v>1</v>
      </c>
    </row>
    <row r="220" spans="95:103" ht="13.8" x14ac:dyDescent="0.3">
      <c r="CQ220" s="24">
        <v>0.9947211342314668</v>
      </c>
      <c r="CR220" s="24" t="str">
        <f>"0"</f>
        <v>0</v>
      </c>
      <c r="CS220" t="str">
        <f ca="1">IF((OFFSET($A$1, 220 - 1, 95 - 1)) &gt;= (OFFSET($A$1, 55 - 1, 7 - 1)), "1","0")</f>
        <v>1</v>
      </c>
      <c r="CT220">
        <f ca="1" xml:space="preserve"> IF( AND( OFFSET($A$1, 220 - 1, 96 - 1) = "1", OFFSET($A$1, 220 - 1, 97 - 1) = "1" ), 1, IF( AND( OFFSET($A$1, 220 - 1, 96 - 1) = "1", OFFSET($A$1, 220 - 1, 97 - 1) = "0" ), 2, IF( AND( OFFSET($A$1, 220 - 1, 96 - 1) = "0", OFFSET($A$1, 220 - 1, 97 - 1) = "1" ), 3, 4 ) ) )</f>
        <v>3</v>
      </c>
      <c r="CV220" s="24">
        <v>0.99545439454476847</v>
      </c>
      <c r="CW220" s="24" t="str">
        <f>"1"</f>
        <v>1</v>
      </c>
      <c r="CX220" t="str">
        <f ca="1">IF((OFFSET($A$1, 220 - 1, 100 - 1)) &gt;= (OFFSET($A$1, 79 - 1, 7 - 1)), "1","0")</f>
        <v>1</v>
      </c>
      <c r="CY220">
        <f ca="1" xml:space="preserve"> IF( AND( OFFSET($A$1, 220 - 1, 101 - 1) = "1", OFFSET($A$1, 220 - 1, 102 - 1) = "1" ), 1, IF( AND( OFFSET($A$1, 220 - 1, 101 - 1) = "1", OFFSET($A$1, 220 - 1, 102 - 1) = "0" ), 2, IF( AND( OFFSET($A$1, 220 - 1, 101 - 1) = "0", OFFSET($A$1, 220 - 1, 102 - 1) = "1" ), 3, 4 ) ) )</f>
        <v>1</v>
      </c>
    </row>
    <row r="221" spans="95:103" ht="13.8" x14ac:dyDescent="0.3">
      <c r="CQ221" s="24">
        <v>0.99677882293248299</v>
      </c>
      <c r="CR221" s="24" t="str">
        <f>"1"</f>
        <v>1</v>
      </c>
      <c r="CS221" t="str">
        <f ca="1">IF((OFFSET($A$1, 221 - 1, 95 - 1)) &gt;= (OFFSET($A$1, 55 - 1, 7 - 1)), "1","0")</f>
        <v>1</v>
      </c>
      <c r="CT221">
        <f ca="1" xml:space="preserve"> IF( AND( OFFSET($A$1, 221 - 1, 96 - 1) = "1", OFFSET($A$1, 221 - 1, 97 - 1) = "1" ), 1, IF( AND( OFFSET($A$1, 221 - 1, 96 - 1) = "1", OFFSET($A$1, 221 - 1, 97 - 1) = "0" ), 2, IF( AND( OFFSET($A$1, 221 - 1, 96 - 1) = "0", OFFSET($A$1, 221 - 1, 97 - 1) = "1" ), 3, 4 ) ) )</f>
        <v>1</v>
      </c>
      <c r="CV221" s="24">
        <v>0.99920910399814644</v>
      </c>
      <c r="CW221" s="24" t="str">
        <f>"1"</f>
        <v>1</v>
      </c>
      <c r="CX221" t="str">
        <f ca="1">IF((OFFSET($A$1, 221 - 1, 100 - 1)) &gt;= (OFFSET($A$1, 79 - 1, 7 - 1)), "1","0")</f>
        <v>1</v>
      </c>
      <c r="CY221">
        <f ca="1" xml:space="preserve"> IF( AND( OFFSET($A$1, 221 - 1, 101 - 1) = "1", OFFSET($A$1, 221 - 1, 102 - 1) = "1" ), 1, IF( AND( OFFSET($A$1, 221 - 1, 101 - 1) = "1", OFFSET($A$1, 221 - 1, 102 - 1) = "0" ), 2, IF( AND( OFFSET($A$1, 221 - 1, 101 - 1) = "0", OFFSET($A$1, 221 - 1, 102 - 1) = "1" ), 3, 4 ) ) )</f>
        <v>1</v>
      </c>
    </row>
    <row r="222" spans="95:103" ht="13.8" x14ac:dyDescent="0.3">
      <c r="CQ222" s="24">
        <v>0.99704685481029021</v>
      </c>
      <c r="CR222" s="24" t="str">
        <f>"1"</f>
        <v>1</v>
      </c>
      <c r="CS222" t="str">
        <f ca="1">IF((OFFSET($A$1, 222 - 1, 95 - 1)) &gt;= (OFFSET($A$1, 55 - 1, 7 - 1)), "1","0")</f>
        <v>1</v>
      </c>
      <c r="CT222">
        <f ca="1" xml:space="preserve"> IF( AND( OFFSET($A$1, 222 - 1, 96 - 1) = "1", OFFSET($A$1, 222 - 1, 97 - 1) = "1" ), 1, IF( AND( OFFSET($A$1, 222 - 1, 96 - 1) = "1", OFFSET($A$1, 222 - 1, 97 - 1) = "0" ), 2, IF( AND( OFFSET($A$1, 222 - 1, 96 - 1) = "0", OFFSET($A$1, 222 - 1, 97 - 1) = "1" ), 3, 4 ) ) )</f>
        <v>1</v>
      </c>
      <c r="CV222" s="24">
        <v>0.99489613910594055</v>
      </c>
      <c r="CW222" s="24" t="str">
        <f>"0"</f>
        <v>0</v>
      </c>
      <c r="CX222" t="str">
        <f ca="1">IF((OFFSET($A$1, 222 - 1, 100 - 1)) &gt;= (OFFSET($A$1, 79 - 1, 7 - 1)), "1","0")</f>
        <v>1</v>
      </c>
      <c r="CY222">
        <f ca="1" xml:space="preserve"> IF( AND( OFFSET($A$1, 222 - 1, 101 - 1) = "1", OFFSET($A$1, 222 - 1, 102 - 1) = "1" ), 1, IF( AND( OFFSET($A$1, 222 - 1, 101 - 1) = "1", OFFSET($A$1, 222 - 1, 102 - 1) = "0" ), 2, IF( AND( OFFSET($A$1, 222 - 1, 101 - 1) = "0", OFFSET($A$1, 222 - 1, 102 - 1) = "1" ), 3, 4 ) ) )</f>
        <v>3</v>
      </c>
    </row>
    <row r="223" spans="95:103" ht="13.8" x14ac:dyDescent="0.3">
      <c r="CQ223" s="24">
        <v>0.99673150429509461</v>
      </c>
      <c r="CR223" s="24" t="str">
        <f>"1"</f>
        <v>1</v>
      </c>
      <c r="CS223" t="str">
        <f ca="1">IF((OFFSET($A$1, 223 - 1, 95 - 1)) &gt;= (OFFSET($A$1, 55 - 1, 7 - 1)), "1","0")</f>
        <v>1</v>
      </c>
      <c r="CT223">
        <f ca="1" xml:space="preserve"> IF( AND( OFFSET($A$1, 223 - 1, 96 - 1) = "1", OFFSET($A$1, 223 - 1, 97 - 1) = "1" ), 1, IF( AND( OFFSET($A$1, 223 - 1, 96 - 1) = "1", OFFSET($A$1, 223 - 1, 97 - 1) = "0" ), 2, IF( AND( OFFSET($A$1, 223 - 1, 96 - 1) = "0", OFFSET($A$1, 223 - 1, 97 - 1) = "1" ), 3, 4 ) ) )</f>
        <v>1</v>
      </c>
      <c r="CV223" s="24">
        <v>0.96375339362679191</v>
      </c>
      <c r="CW223" s="24" t="str">
        <f>"0"</f>
        <v>0</v>
      </c>
      <c r="CX223" t="str">
        <f ca="1">IF((OFFSET($A$1, 223 - 1, 100 - 1)) &gt;= (OFFSET($A$1, 79 - 1, 7 - 1)), "1","0")</f>
        <v>1</v>
      </c>
      <c r="CY223">
        <f ca="1" xml:space="preserve"> IF( AND( OFFSET($A$1, 223 - 1, 101 - 1) = "1", OFFSET($A$1, 223 - 1, 102 - 1) = "1" ), 1, IF( AND( OFFSET($A$1, 223 - 1, 101 - 1) = "1", OFFSET($A$1, 223 - 1, 102 - 1) = "0" ), 2, IF( AND( OFFSET($A$1, 223 - 1, 101 - 1) = "0", OFFSET($A$1, 223 - 1, 102 - 1) = "1" ), 3, 4 ) ) )</f>
        <v>3</v>
      </c>
    </row>
    <row r="224" spans="95:103" ht="13.8" x14ac:dyDescent="0.3">
      <c r="CQ224" s="24">
        <v>6.3863781540531031E-2</v>
      </c>
      <c r="CR224" s="24" t="str">
        <f>"0"</f>
        <v>0</v>
      </c>
      <c r="CS224" t="str">
        <f ca="1">IF((OFFSET($A$1, 224 - 1, 95 - 1)) &gt;= (OFFSET($A$1, 55 - 1, 7 - 1)), "1","0")</f>
        <v>0</v>
      </c>
      <c r="CT224">
        <f ca="1" xml:space="preserve"> IF( AND( OFFSET($A$1, 224 - 1, 96 - 1) = "1", OFFSET($A$1, 224 - 1, 97 - 1) = "1" ), 1, IF( AND( OFFSET($A$1, 224 - 1, 96 - 1) = "1", OFFSET($A$1, 224 - 1, 97 - 1) = "0" ), 2, IF( AND( OFFSET($A$1, 224 - 1, 96 - 1) = "0", OFFSET($A$1, 224 - 1, 97 - 1) = "1" ), 3, 4 ) ) )</f>
        <v>4</v>
      </c>
      <c r="CV224" s="24">
        <v>0.99852911479302076</v>
      </c>
      <c r="CW224" s="24" t="str">
        <f>"1"</f>
        <v>1</v>
      </c>
      <c r="CX224" t="str">
        <f ca="1">IF((OFFSET($A$1, 224 - 1, 100 - 1)) &gt;= (OFFSET($A$1, 79 - 1, 7 - 1)), "1","0")</f>
        <v>1</v>
      </c>
      <c r="CY224">
        <f ca="1" xml:space="preserve"> IF( AND( OFFSET($A$1, 224 - 1, 101 - 1) = "1", OFFSET($A$1, 224 - 1, 102 - 1) = "1" ), 1, IF( AND( OFFSET($A$1, 224 - 1, 101 - 1) = "1", OFFSET($A$1, 224 - 1, 102 - 1) = "0" ), 2, IF( AND( OFFSET($A$1, 224 - 1, 101 - 1) = "0", OFFSET($A$1, 224 - 1, 102 - 1) = "1" ), 3, 4 ) ) )</f>
        <v>1</v>
      </c>
    </row>
    <row r="225" spans="95:103" ht="13.8" x14ac:dyDescent="0.3">
      <c r="CQ225" s="24">
        <v>0.99522730302190643</v>
      </c>
      <c r="CR225" s="24" t="str">
        <f>"1"</f>
        <v>1</v>
      </c>
      <c r="CS225" t="str">
        <f ca="1">IF((OFFSET($A$1, 225 - 1, 95 - 1)) &gt;= (OFFSET($A$1, 55 - 1, 7 - 1)), "1","0")</f>
        <v>1</v>
      </c>
      <c r="CT225">
        <f ca="1" xml:space="preserve"> IF( AND( OFFSET($A$1, 225 - 1, 96 - 1) = "1", OFFSET($A$1, 225 - 1, 97 - 1) = "1" ), 1, IF( AND( OFFSET($A$1, 225 - 1, 96 - 1) = "1", OFFSET($A$1, 225 - 1, 97 - 1) = "0" ), 2, IF( AND( OFFSET($A$1, 225 - 1, 96 - 1) = "0", OFFSET($A$1, 225 - 1, 97 - 1) = "1" ), 3, 4 ) ) )</f>
        <v>1</v>
      </c>
      <c r="CV225" s="24">
        <v>0.31616574352837096</v>
      </c>
      <c r="CW225" s="24" t="str">
        <f>"0"</f>
        <v>0</v>
      </c>
      <c r="CX225" t="str">
        <f ca="1">IF((OFFSET($A$1, 225 - 1, 100 - 1)) &gt;= (OFFSET($A$1, 79 - 1, 7 - 1)), "1","0")</f>
        <v>0</v>
      </c>
      <c r="CY225">
        <f ca="1" xml:space="preserve"> IF( AND( OFFSET($A$1, 225 - 1, 101 - 1) = "1", OFFSET($A$1, 225 - 1, 102 - 1) = "1" ), 1, IF( AND( OFFSET($A$1, 225 - 1, 101 - 1) = "1", OFFSET($A$1, 225 - 1, 102 - 1) = "0" ), 2, IF( AND( OFFSET($A$1, 225 - 1, 101 - 1) = "0", OFFSET($A$1, 225 - 1, 102 - 1) = "1" ), 3, 4 ) ) )</f>
        <v>4</v>
      </c>
    </row>
    <row r="226" spans="95:103" ht="13.8" x14ac:dyDescent="0.3">
      <c r="CQ226" s="24">
        <v>0.94609456001657433</v>
      </c>
      <c r="CR226" s="24" t="str">
        <f>"1"</f>
        <v>1</v>
      </c>
      <c r="CS226" t="str">
        <f ca="1">IF((OFFSET($A$1, 226 - 1, 95 - 1)) &gt;= (OFFSET($A$1, 55 - 1, 7 - 1)), "1","0")</f>
        <v>1</v>
      </c>
      <c r="CT226">
        <f ca="1" xml:space="preserve"> IF( AND( OFFSET($A$1, 226 - 1, 96 - 1) = "1", OFFSET($A$1, 226 - 1, 97 - 1) = "1" ), 1, IF( AND( OFFSET($A$1, 226 - 1, 96 - 1) = "1", OFFSET($A$1, 226 - 1, 97 - 1) = "0" ), 2, IF( AND( OFFSET($A$1, 226 - 1, 96 - 1) = "0", OFFSET($A$1, 226 - 1, 97 - 1) = "1" ), 3, 4 ) ) )</f>
        <v>1</v>
      </c>
      <c r="CV226" s="24">
        <v>0.99859409835720148</v>
      </c>
      <c r="CW226" s="24" t="str">
        <f>"1"</f>
        <v>1</v>
      </c>
      <c r="CX226" t="str">
        <f ca="1">IF((OFFSET($A$1, 226 - 1, 100 - 1)) &gt;= (OFFSET($A$1, 79 - 1, 7 - 1)), "1","0")</f>
        <v>1</v>
      </c>
      <c r="CY226">
        <f ca="1" xml:space="preserve"> IF( AND( OFFSET($A$1, 226 - 1, 101 - 1) = "1", OFFSET($A$1, 226 - 1, 102 - 1) = "1" ), 1, IF( AND( OFFSET($A$1, 226 - 1, 101 - 1) = "1", OFFSET($A$1, 226 - 1, 102 - 1) = "0" ), 2, IF( AND( OFFSET($A$1, 226 - 1, 101 - 1) = "0", OFFSET($A$1, 226 - 1, 102 - 1) = "1" ), 3, 4 ) ) )</f>
        <v>1</v>
      </c>
    </row>
    <row r="227" spans="95:103" ht="13.8" x14ac:dyDescent="0.3">
      <c r="CQ227" s="24">
        <v>0.83439974399160499</v>
      </c>
      <c r="CR227" s="24" t="str">
        <f>"1"</f>
        <v>1</v>
      </c>
      <c r="CS227" t="str">
        <f ca="1">IF((OFFSET($A$1, 227 - 1, 95 - 1)) &gt;= (OFFSET($A$1, 55 - 1, 7 - 1)), "1","0")</f>
        <v>1</v>
      </c>
      <c r="CT227">
        <f ca="1" xml:space="preserve"> IF( AND( OFFSET($A$1, 227 - 1, 96 - 1) = "1", OFFSET($A$1, 227 - 1, 97 - 1) = "1" ), 1, IF( AND( OFFSET($A$1, 227 - 1, 96 - 1) = "1", OFFSET($A$1, 227 - 1, 97 - 1) = "0" ), 2, IF( AND( OFFSET($A$1, 227 - 1, 96 - 1) = "0", OFFSET($A$1, 227 - 1, 97 - 1) = "1" ), 3, 4 ) ) )</f>
        <v>1</v>
      </c>
      <c r="CV227" s="24">
        <v>0.97069532538863657</v>
      </c>
      <c r="CW227" s="24" t="str">
        <f>"1"</f>
        <v>1</v>
      </c>
      <c r="CX227" t="str">
        <f ca="1">IF((OFFSET($A$1, 227 - 1, 100 - 1)) &gt;= (OFFSET($A$1, 79 - 1, 7 - 1)), "1","0")</f>
        <v>1</v>
      </c>
      <c r="CY227">
        <f ca="1" xml:space="preserve"> IF( AND( OFFSET($A$1, 227 - 1, 101 - 1) = "1", OFFSET($A$1, 227 - 1, 102 - 1) = "1" ), 1, IF( AND( OFFSET($A$1, 227 - 1, 101 - 1) = "1", OFFSET($A$1, 227 - 1, 102 - 1) = "0" ), 2, IF( AND( OFFSET($A$1, 227 - 1, 101 - 1) = "0", OFFSET($A$1, 227 - 1, 102 - 1) = "1" ), 3, 4 ) ) )</f>
        <v>1</v>
      </c>
    </row>
    <row r="228" spans="95:103" ht="13.8" x14ac:dyDescent="0.3">
      <c r="CQ228" s="24">
        <v>0.94803392060654135</v>
      </c>
      <c r="CR228" s="24" t="str">
        <f>"0"</f>
        <v>0</v>
      </c>
      <c r="CS228" t="str">
        <f ca="1">IF((OFFSET($A$1, 228 - 1, 95 - 1)) &gt;= (OFFSET($A$1, 55 - 1, 7 - 1)), "1","0")</f>
        <v>1</v>
      </c>
      <c r="CT228">
        <f ca="1" xml:space="preserve"> IF( AND( OFFSET($A$1, 228 - 1, 96 - 1) = "1", OFFSET($A$1, 228 - 1, 97 - 1) = "1" ), 1, IF( AND( OFFSET($A$1, 228 - 1, 96 - 1) = "1", OFFSET($A$1, 228 - 1, 97 - 1) = "0" ), 2, IF( AND( OFFSET($A$1, 228 - 1, 96 - 1) = "0", OFFSET($A$1, 228 - 1, 97 - 1) = "1" ), 3, 4 ) ) )</f>
        <v>3</v>
      </c>
      <c r="CV228" s="24">
        <v>0.87088987373359183</v>
      </c>
      <c r="CW228" s="24" t="str">
        <f>"0"</f>
        <v>0</v>
      </c>
      <c r="CX228" t="str">
        <f ca="1">IF((OFFSET($A$1, 228 - 1, 100 - 1)) &gt;= (OFFSET($A$1, 79 - 1, 7 - 1)), "1","0")</f>
        <v>1</v>
      </c>
      <c r="CY228">
        <f ca="1" xml:space="preserve"> IF( AND( OFFSET($A$1, 228 - 1, 101 - 1) = "1", OFFSET($A$1, 228 - 1, 102 - 1) = "1" ), 1, IF( AND( OFFSET($A$1, 228 - 1, 101 - 1) = "1", OFFSET($A$1, 228 - 1, 102 - 1) = "0" ), 2, IF( AND( OFFSET($A$1, 228 - 1, 101 - 1) = "0", OFFSET($A$1, 228 - 1, 102 - 1) = "1" ), 3, 4 ) ) )</f>
        <v>3</v>
      </c>
    </row>
    <row r="229" spans="95:103" ht="13.8" x14ac:dyDescent="0.3">
      <c r="CQ229" s="24">
        <v>0.99664168943086917</v>
      </c>
      <c r="CR229" s="24" t="str">
        <f>"1"</f>
        <v>1</v>
      </c>
      <c r="CS229" t="str">
        <f ca="1">IF((OFFSET($A$1, 229 - 1, 95 - 1)) &gt;= (OFFSET($A$1, 55 - 1, 7 - 1)), "1","0")</f>
        <v>1</v>
      </c>
      <c r="CT229">
        <f ca="1" xml:space="preserve"> IF( AND( OFFSET($A$1, 229 - 1, 96 - 1) = "1", OFFSET($A$1, 229 - 1, 97 - 1) = "1" ), 1, IF( AND( OFFSET($A$1, 229 - 1, 96 - 1) = "1", OFFSET($A$1, 229 - 1, 97 - 1) = "0" ), 2, IF( AND( OFFSET($A$1, 229 - 1, 96 - 1) = "0", OFFSET($A$1, 229 - 1, 97 - 1) = "1" ), 3, 4 ) ) )</f>
        <v>1</v>
      </c>
      <c r="CV229" s="24">
        <v>0.35551877552733868</v>
      </c>
      <c r="CW229" s="24" t="str">
        <f>"1"</f>
        <v>1</v>
      </c>
      <c r="CX229" t="str">
        <f ca="1">IF((OFFSET($A$1, 229 - 1, 100 - 1)) &gt;= (OFFSET($A$1, 79 - 1, 7 - 1)), "1","0")</f>
        <v>0</v>
      </c>
      <c r="CY229">
        <f ca="1" xml:space="preserve"> IF( AND( OFFSET($A$1, 229 - 1, 101 - 1) = "1", OFFSET($A$1, 229 - 1, 102 - 1) = "1" ), 1, IF( AND( OFFSET($A$1, 229 - 1, 101 - 1) = "1", OFFSET($A$1, 229 - 1, 102 - 1) = "0" ), 2, IF( AND( OFFSET($A$1, 229 - 1, 101 - 1) = "0", OFFSET($A$1, 229 - 1, 102 - 1) = "1" ), 3, 4 ) ) )</f>
        <v>2</v>
      </c>
    </row>
    <row r="230" spans="95:103" ht="13.8" x14ac:dyDescent="0.3">
      <c r="CQ230" s="24">
        <v>0.99131687169496097</v>
      </c>
      <c r="CR230" s="24" t="str">
        <f>"1"</f>
        <v>1</v>
      </c>
      <c r="CS230" t="str">
        <f ca="1">IF((OFFSET($A$1, 230 - 1, 95 - 1)) &gt;= (OFFSET($A$1, 55 - 1, 7 - 1)), "1","0")</f>
        <v>1</v>
      </c>
      <c r="CT230">
        <f ca="1" xml:space="preserve"> IF( AND( OFFSET($A$1, 230 - 1, 96 - 1) = "1", OFFSET($A$1, 230 - 1, 97 - 1) = "1" ), 1, IF( AND( OFFSET($A$1, 230 - 1, 96 - 1) = "1", OFFSET($A$1, 230 - 1, 97 - 1) = "0" ), 2, IF( AND( OFFSET($A$1, 230 - 1, 96 - 1) = "0", OFFSET($A$1, 230 - 1, 97 - 1) = "1" ), 3, 4 ) ) )</f>
        <v>1</v>
      </c>
      <c r="CV230" s="24">
        <v>0.99964874074001753</v>
      </c>
      <c r="CW230" s="24" t="str">
        <f>"1"</f>
        <v>1</v>
      </c>
      <c r="CX230" t="str">
        <f ca="1">IF((OFFSET($A$1, 230 - 1, 100 - 1)) &gt;= (OFFSET($A$1, 79 - 1, 7 - 1)), "1","0")</f>
        <v>1</v>
      </c>
      <c r="CY230">
        <f ca="1" xml:space="preserve"> IF( AND( OFFSET($A$1, 230 - 1, 101 - 1) = "1", OFFSET($A$1, 230 - 1, 102 - 1) = "1" ), 1, IF( AND( OFFSET($A$1, 230 - 1, 101 - 1) = "1", OFFSET($A$1, 230 - 1, 102 - 1) = "0" ), 2, IF( AND( OFFSET($A$1, 230 - 1, 101 - 1) = "0", OFFSET($A$1, 230 - 1, 102 - 1) = "1" ), 3, 4 ) ) )</f>
        <v>1</v>
      </c>
    </row>
    <row r="231" spans="95:103" ht="13.8" x14ac:dyDescent="0.3">
      <c r="CQ231" s="24">
        <v>0.95423808168034441</v>
      </c>
      <c r="CR231" s="24" t="str">
        <f>"1"</f>
        <v>1</v>
      </c>
      <c r="CS231" t="str">
        <f ca="1">IF((OFFSET($A$1, 231 - 1, 95 - 1)) &gt;= (OFFSET($A$1, 55 - 1, 7 - 1)), "1","0")</f>
        <v>1</v>
      </c>
      <c r="CT231">
        <f ca="1" xml:space="preserve"> IF( AND( OFFSET($A$1, 231 - 1, 96 - 1) = "1", OFFSET($A$1, 231 - 1, 97 - 1) = "1" ), 1, IF( AND( OFFSET($A$1, 231 - 1, 96 - 1) = "1", OFFSET($A$1, 231 - 1, 97 - 1) = "0" ), 2, IF( AND( OFFSET($A$1, 231 - 1, 96 - 1) = "0", OFFSET($A$1, 231 - 1, 97 - 1) = "1" ), 3, 4 ) ) )</f>
        <v>1</v>
      </c>
      <c r="CV231" s="24">
        <v>0.99860139293955252</v>
      </c>
      <c r="CW231" s="24" t="str">
        <f>"1"</f>
        <v>1</v>
      </c>
      <c r="CX231" t="str">
        <f ca="1">IF((OFFSET($A$1, 231 - 1, 100 - 1)) &gt;= (OFFSET($A$1, 79 - 1, 7 - 1)), "1","0")</f>
        <v>1</v>
      </c>
      <c r="CY231">
        <f ca="1" xml:space="preserve"> IF( AND( OFFSET($A$1, 231 - 1, 101 - 1) = "1", OFFSET($A$1, 231 - 1, 102 - 1) = "1" ), 1, IF( AND( OFFSET($A$1, 231 - 1, 101 - 1) = "1", OFFSET($A$1, 231 - 1, 102 - 1) = "0" ), 2, IF( AND( OFFSET($A$1, 231 - 1, 101 - 1) = "0", OFFSET($A$1, 231 - 1, 102 - 1) = "1" ), 3, 4 ) ) )</f>
        <v>1</v>
      </c>
    </row>
    <row r="232" spans="95:103" ht="13.8" x14ac:dyDescent="0.3">
      <c r="CQ232" s="24">
        <v>0.13385014887513294</v>
      </c>
      <c r="CR232" s="24" t="str">
        <f>"0"</f>
        <v>0</v>
      </c>
      <c r="CS232" t="str">
        <f ca="1">IF((OFFSET($A$1, 232 - 1, 95 - 1)) &gt;= (OFFSET($A$1, 55 - 1, 7 - 1)), "1","0")</f>
        <v>0</v>
      </c>
      <c r="CT232">
        <f ca="1" xml:space="preserve"> IF( AND( OFFSET($A$1, 232 - 1, 96 - 1) = "1", OFFSET($A$1, 232 - 1, 97 - 1) = "1" ), 1, IF( AND( OFFSET($A$1, 232 - 1, 96 - 1) = "1", OFFSET($A$1, 232 - 1, 97 - 1) = "0" ), 2, IF( AND( OFFSET($A$1, 232 - 1, 96 - 1) = "0", OFFSET($A$1, 232 - 1, 97 - 1) = "1" ), 3, 4 ) ) )</f>
        <v>4</v>
      </c>
      <c r="CV232" s="24">
        <v>0.94700096535860412</v>
      </c>
      <c r="CW232" s="24" t="str">
        <f>"1"</f>
        <v>1</v>
      </c>
      <c r="CX232" t="str">
        <f ca="1">IF((OFFSET($A$1, 232 - 1, 100 - 1)) &gt;= (OFFSET($A$1, 79 - 1, 7 - 1)), "1","0")</f>
        <v>1</v>
      </c>
      <c r="CY232">
        <f ca="1" xml:space="preserve"> IF( AND( OFFSET($A$1, 232 - 1, 101 - 1) = "1", OFFSET($A$1, 232 - 1, 102 - 1) = "1" ), 1, IF( AND( OFFSET($A$1, 232 - 1, 101 - 1) = "1", OFFSET($A$1, 232 - 1, 102 - 1) = "0" ), 2, IF( AND( OFFSET($A$1, 232 - 1, 101 - 1) = "0", OFFSET($A$1, 232 - 1, 102 - 1) = "1" ), 3, 4 ) ) )</f>
        <v>1</v>
      </c>
    </row>
    <row r="233" spans="95:103" ht="13.8" x14ac:dyDescent="0.3">
      <c r="CQ233" s="24">
        <v>0.56848664359432488</v>
      </c>
      <c r="CR233" s="24" t="str">
        <f>"0"</f>
        <v>0</v>
      </c>
      <c r="CS233" t="str">
        <f ca="1">IF((OFFSET($A$1, 233 - 1, 95 - 1)) &gt;= (OFFSET($A$1, 55 - 1, 7 - 1)), "1","0")</f>
        <v>1</v>
      </c>
      <c r="CT233">
        <f ca="1" xml:space="preserve"> IF( AND( OFFSET($A$1, 233 - 1, 96 - 1) = "1", OFFSET($A$1, 233 - 1, 97 - 1) = "1" ), 1, IF( AND( OFFSET($A$1, 233 - 1, 96 - 1) = "1", OFFSET($A$1, 233 - 1, 97 - 1) = "0" ), 2, IF( AND( OFFSET($A$1, 233 - 1, 96 - 1) = "0", OFFSET($A$1, 233 - 1, 97 - 1) = "1" ), 3, 4 ) ) )</f>
        <v>3</v>
      </c>
      <c r="CV233" s="24">
        <v>0.71090553796007128</v>
      </c>
      <c r="CW233" s="24" t="str">
        <f>"0"</f>
        <v>0</v>
      </c>
      <c r="CX233" t="str">
        <f ca="1">IF((OFFSET($A$1, 233 - 1, 100 - 1)) &gt;= (OFFSET($A$1, 79 - 1, 7 - 1)), "1","0")</f>
        <v>1</v>
      </c>
      <c r="CY233">
        <f ca="1" xml:space="preserve"> IF( AND( OFFSET($A$1, 233 - 1, 101 - 1) = "1", OFFSET($A$1, 233 - 1, 102 - 1) = "1" ), 1, IF( AND( OFFSET($A$1, 233 - 1, 101 - 1) = "1", OFFSET($A$1, 233 - 1, 102 - 1) = "0" ), 2, IF( AND( OFFSET($A$1, 233 - 1, 101 - 1) = "0", OFFSET($A$1, 233 - 1, 102 - 1) = "1" ), 3, 4 ) ) )</f>
        <v>3</v>
      </c>
    </row>
    <row r="234" spans="95:103" ht="13.8" x14ac:dyDescent="0.3">
      <c r="CQ234" s="24">
        <v>0.99626541431423499</v>
      </c>
      <c r="CR234" s="24" t="str">
        <f t="shared" ref="CR234:CR240" si="17">"1"</f>
        <v>1</v>
      </c>
      <c r="CS234" t="str">
        <f ca="1">IF((OFFSET($A$1, 234 - 1, 95 - 1)) &gt;= (OFFSET($A$1, 55 - 1, 7 - 1)), "1","0")</f>
        <v>1</v>
      </c>
      <c r="CT234">
        <f ca="1" xml:space="preserve"> IF( AND( OFFSET($A$1, 234 - 1, 96 - 1) = "1", OFFSET($A$1, 234 - 1, 97 - 1) = "1" ), 1, IF( AND( OFFSET($A$1, 234 - 1, 96 - 1) = "1", OFFSET($A$1, 234 - 1, 97 - 1) = "0" ), 2, IF( AND( OFFSET($A$1, 234 - 1, 96 - 1) = "0", OFFSET($A$1, 234 - 1, 97 - 1) = "1" ), 3, 4 ) ) )</f>
        <v>1</v>
      </c>
      <c r="CV234" s="24">
        <v>0.94753286202911102</v>
      </c>
      <c r="CW234" s="24" t="str">
        <f t="shared" ref="CW234:CW242" si="18">"1"</f>
        <v>1</v>
      </c>
      <c r="CX234" t="str">
        <f ca="1">IF((OFFSET($A$1, 234 - 1, 100 - 1)) &gt;= (OFFSET($A$1, 79 - 1, 7 - 1)), "1","0")</f>
        <v>1</v>
      </c>
      <c r="CY234">
        <f ca="1" xml:space="preserve"> IF( AND( OFFSET($A$1, 234 - 1, 101 - 1) = "1", OFFSET($A$1, 234 - 1, 102 - 1) = "1" ), 1, IF( AND( OFFSET($A$1, 234 - 1, 101 - 1) = "1", OFFSET($A$1, 234 - 1, 102 - 1) = "0" ), 2, IF( AND( OFFSET($A$1, 234 - 1, 101 - 1) = "0", OFFSET($A$1, 234 - 1, 102 - 1) = "1" ), 3, 4 ) ) )</f>
        <v>1</v>
      </c>
    </row>
    <row r="235" spans="95:103" ht="13.8" x14ac:dyDescent="0.3">
      <c r="CQ235" s="24">
        <v>0.99302112940555454</v>
      </c>
      <c r="CR235" s="24" t="str">
        <f t="shared" si="17"/>
        <v>1</v>
      </c>
      <c r="CS235" t="str">
        <f ca="1">IF((OFFSET($A$1, 235 - 1, 95 - 1)) &gt;= (OFFSET($A$1, 55 - 1, 7 - 1)), "1","0")</f>
        <v>1</v>
      </c>
      <c r="CT235">
        <f ca="1" xml:space="preserve"> IF( AND( OFFSET($A$1, 235 - 1, 96 - 1) = "1", OFFSET($A$1, 235 - 1, 97 - 1) = "1" ), 1, IF( AND( OFFSET($A$1, 235 - 1, 96 - 1) = "1", OFFSET($A$1, 235 - 1, 97 - 1) = "0" ), 2, IF( AND( OFFSET($A$1, 235 - 1, 96 - 1) = "0", OFFSET($A$1, 235 - 1, 97 - 1) = "1" ), 3, 4 ) ) )</f>
        <v>1</v>
      </c>
      <c r="CV235" s="24">
        <v>0.94565406099017923</v>
      </c>
      <c r="CW235" s="24" t="str">
        <f t="shared" si="18"/>
        <v>1</v>
      </c>
      <c r="CX235" t="str">
        <f ca="1">IF((OFFSET($A$1, 235 - 1, 100 - 1)) &gt;= (OFFSET($A$1, 79 - 1, 7 - 1)), "1","0")</f>
        <v>1</v>
      </c>
      <c r="CY235">
        <f ca="1" xml:space="preserve"> IF( AND( OFFSET($A$1, 235 - 1, 101 - 1) = "1", OFFSET($A$1, 235 - 1, 102 - 1) = "1" ), 1, IF( AND( OFFSET($A$1, 235 - 1, 101 - 1) = "1", OFFSET($A$1, 235 - 1, 102 - 1) = "0" ), 2, IF( AND( OFFSET($A$1, 235 - 1, 101 - 1) = "0", OFFSET($A$1, 235 - 1, 102 - 1) = "1" ), 3, 4 ) ) )</f>
        <v>1</v>
      </c>
    </row>
    <row r="236" spans="95:103" ht="13.8" x14ac:dyDescent="0.3">
      <c r="CQ236" s="24">
        <v>0.99658356810236881</v>
      </c>
      <c r="CR236" s="24" t="str">
        <f t="shared" si="17"/>
        <v>1</v>
      </c>
      <c r="CS236" t="str">
        <f ca="1">IF((OFFSET($A$1, 236 - 1, 95 - 1)) &gt;= (OFFSET($A$1, 55 - 1, 7 - 1)), "1","0")</f>
        <v>1</v>
      </c>
      <c r="CT236">
        <f ca="1" xml:space="preserve"> IF( AND( OFFSET($A$1, 236 - 1, 96 - 1) = "1", OFFSET($A$1, 236 - 1, 97 - 1) = "1" ), 1, IF( AND( OFFSET($A$1, 236 - 1, 96 - 1) = "1", OFFSET($A$1, 236 - 1, 97 - 1) = "0" ), 2, IF( AND( OFFSET($A$1, 236 - 1, 96 - 1) = "0", OFFSET($A$1, 236 - 1, 97 - 1) = "1" ), 3, 4 ) ) )</f>
        <v>1</v>
      </c>
      <c r="CV236" s="24">
        <v>0.99926270899369418</v>
      </c>
      <c r="CW236" s="24" t="str">
        <f t="shared" si="18"/>
        <v>1</v>
      </c>
      <c r="CX236" t="str">
        <f ca="1">IF((OFFSET($A$1, 236 - 1, 100 - 1)) &gt;= (OFFSET($A$1, 79 - 1, 7 - 1)), "1","0")</f>
        <v>1</v>
      </c>
      <c r="CY236">
        <f ca="1" xml:space="preserve"> IF( AND( OFFSET($A$1, 236 - 1, 101 - 1) = "1", OFFSET($A$1, 236 - 1, 102 - 1) = "1" ), 1, IF( AND( OFFSET($A$1, 236 - 1, 101 - 1) = "1", OFFSET($A$1, 236 - 1, 102 - 1) = "0" ), 2, IF( AND( OFFSET($A$1, 236 - 1, 101 - 1) = "0", OFFSET($A$1, 236 - 1, 102 - 1) = "1" ), 3, 4 ) ) )</f>
        <v>1</v>
      </c>
    </row>
    <row r="237" spans="95:103" ht="13.8" x14ac:dyDescent="0.3">
      <c r="CQ237" s="24">
        <v>0.9503751808079226</v>
      </c>
      <c r="CR237" s="24" t="str">
        <f t="shared" si="17"/>
        <v>1</v>
      </c>
      <c r="CS237" t="str">
        <f ca="1">IF((OFFSET($A$1, 237 - 1, 95 - 1)) &gt;= (OFFSET($A$1, 55 - 1, 7 - 1)), "1","0")</f>
        <v>1</v>
      </c>
      <c r="CT237">
        <f ca="1" xml:space="preserve"> IF( AND( OFFSET($A$1, 237 - 1, 96 - 1) = "1", OFFSET($A$1, 237 - 1, 97 - 1) = "1" ), 1, IF( AND( OFFSET($A$1, 237 - 1, 96 - 1) = "1", OFFSET($A$1, 237 - 1, 97 - 1) = "0" ), 2, IF( AND( OFFSET($A$1, 237 - 1, 96 - 1) = "0", OFFSET($A$1, 237 - 1, 97 - 1) = "1" ), 3, 4 ) ) )</f>
        <v>1</v>
      </c>
      <c r="CV237" s="24">
        <v>0.22341428161129367</v>
      </c>
      <c r="CW237" s="24" t="str">
        <f t="shared" si="18"/>
        <v>1</v>
      </c>
      <c r="CX237" t="str">
        <f ca="1">IF((OFFSET($A$1, 237 - 1, 100 - 1)) &gt;= (OFFSET($A$1, 79 - 1, 7 - 1)), "1","0")</f>
        <v>0</v>
      </c>
      <c r="CY237">
        <f ca="1" xml:space="preserve"> IF( AND( OFFSET($A$1, 237 - 1, 101 - 1) = "1", OFFSET($A$1, 237 - 1, 102 - 1) = "1" ), 1, IF( AND( OFFSET($A$1, 237 - 1, 101 - 1) = "1", OFFSET($A$1, 237 - 1, 102 - 1) = "0" ), 2, IF( AND( OFFSET($A$1, 237 - 1, 101 - 1) = "0", OFFSET($A$1, 237 - 1, 102 - 1) = "1" ), 3, 4 ) ) )</f>
        <v>2</v>
      </c>
    </row>
    <row r="238" spans="95:103" ht="13.8" x14ac:dyDescent="0.3">
      <c r="CQ238" s="24">
        <v>0.99634260490995397</v>
      </c>
      <c r="CR238" s="24" t="str">
        <f t="shared" si="17"/>
        <v>1</v>
      </c>
      <c r="CS238" t="str">
        <f ca="1">IF((OFFSET($A$1, 238 - 1, 95 - 1)) &gt;= (OFFSET($A$1, 55 - 1, 7 - 1)), "1","0")</f>
        <v>1</v>
      </c>
      <c r="CT238">
        <f ca="1" xml:space="preserve"> IF( AND( OFFSET($A$1, 238 - 1, 96 - 1) = "1", OFFSET($A$1, 238 - 1, 97 - 1) = "1" ), 1, IF( AND( OFFSET($A$1, 238 - 1, 96 - 1) = "1", OFFSET($A$1, 238 - 1, 97 - 1) = "0" ), 2, IF( AND( OFFSET($A$1, 238 - 1, 96 - 1) = "0", OFFSET($A$1, 238 - 1, 97 - 1) = "1" ), 3, 4 ) ) )</f>
        <v>1</v>
      </c>
      <c r="CV238" s="24">
        <v>0.99217860456536899</v>
      </c>
      <c r="CW238" s="24" t="str">
        <f t="shared" si="18"/>
        <v>1</v>
      </c>
      <c r="CX238" t="str">
        <f ca="1">IF((OFFSET($A$1, 238 - 1, 100 - 1)) &gt;= (OFFSET($A$1, 79 - 1, 7 - 1)), "1","0")</f>
        <v>1</v>
      </c>
      <c r="CY238">
        <f ca="1" xml:space="preserve"> IF( AND( OFFSET($A$1, 238 - 1, 101 - 1) = "1", OFFSET($A$1, 238 - 1, 102 - 1) = "1" ), 1, IF( AND( OFFSET($A$1, 238 - 1, 101 - 1) = "1", OFFSET($A$1, 238 - 1, 102 - 1) = "0" ), 2, IF( AND( OFFSET($A$1, 238 - 1, 101 - 1) = "0", OFFSET($A$1, 238 - 1, 102 - 1) = "1" ), 3, 4 ) ) )</f>
        <v>1</v>
      </c>
    </row>
    <row r="239" spans="95:103" ht="13.8" x14ac:dyDescent="0.3">
      <c r="CQ239" s="24">
        <v>0.99878863578228383</v>
      </c>
      <c r="CR239" s="24" t="str">
        <f t="shared" si="17"/>
        <v>1</v>
      </c>
      <c r="CS239" t="str">
        <f ca="1">IF((OFFSET($A$1, 239 - 1, 95 - 1)) &gt;= (OFFSET($A$1, 55 - 1, 7 - 1)), "1","0")</f>
        <v>1</v>
      </c>
      <c r="CT239">
        <f ca="1" xml:space="preserve"> IF( AND( OFFSET($A$1, 239 - 1, 96 - 1) = "1", OFFSET($A$1, 239 - 1, 97 - 1) = "1" ), 1, IF( AND( OFFSET($A$1, 239 - 1, 96 - 1) = "1", OFFSET($A$1, 239 - 1, 97 - 1) = "0" ), 2, IF( AND( OFFSET($A$1, 239 - 1, 96 - 1) = "0", OFFSET($A$1, 239 - 1, 97 - 1) = "1" ), 3, 4 ) ) )</f>
        <v>1</v>
      </c>
      <c r="CV239" s="24">
        <v>0.99915232364097561</v>
      </c>
      <c r="CW239" s="24" t="str">
        <f t="shared" si="18"/>
        <v>1</v>
      </c>
      <c r="CX239" t="str">
        <f ca="1">IF((OFFSET($A$1, 239 - 1, 100 - 1)) &gt;= (OFFSET($A$1, 79 - 1, 7 - 1)), "1","0")</f>
        <v>1</v>
      </c>
      <c r="CY239">
        <f ca="1" xml:space="preserve"> IF( AND( OFFSET($A$1, 239 - 1, 101 - 1) = "1", OFFSET($A$1, 239 - 1, 102 - 1) = "1" ), 1, IF( AND( OFFSET($A$1, 239 - 1, 101 - 1) = "1", OFFSET($A$1, 239 - 1, 102 - 1) = "0" ), 2, IF( AND( OFFSET($A$1, 239 - 1, 101 - 1) = "0", OFFSET($A$1, 239 - 1, 102 - 1) = "1" ), 3, 4 ) ) )</f>
        <v>1</v>
      </c>
    </row>
    <row r="240" spans="95:103" ht="13.8" x14ac:dyDescent="0.3">
      <c r="CQ240" s="24">
        <v>0.99803725300440005</v>
      </c>
      <c r="CR240" s="24" t="str">
        <f t="shared" si="17"/>
        <v>1</v>
      </c>
      <c r="CS240" t="str">
        <f ca="1">IF((OFFSET($A$1, 240 - 1, 95 - 1)) &gt;= (OFFSET($A$1, 55 - 1, 7 - 1)), "1","0")</f>
        <v>1</v>
      </c>
      <c r="CT240">
        <f ca="1" xml:space="preserve"> IF( AND( OFFSET($A$1, 240 - 1, 96 - 1) = "1", OFFSET($A$1, 240 - 1, 97 - 1) = "1" ), 1, IF( AND( OFFSET($A$1, 240 - 1, 96 - 1) = "1", OFFSET($A$1, 240 - 1, 97 - 1) = "0" ), 2, IF( AND( OFFSET($A$1, 240 - 1, 96 - 1) = "0", OFFSET($A$1, 240 - 1, 97 - 1) = "1" ), 3, 4 ) ) )</f>
        <v>1</v>
      </c>
      <c r="CV240" s="24">
        <v>0.99808694775208684</v>
      </c>
      <c r="CW240" s="24" t="str">
        <f t="shared" si="18"/>
        <v>1</v>
      </c>
      <c r="CX240" t="str">
        <f ca="1">IF((OFFSET($A$1, 240 - 1, 100 - 1)) &gt;= (OFFSET($A$1, 79 - 1, 7 - 1)), "1","0")</f>
        <v>1</v>
      </c>
      <c r="CY240">
        <f ca="1" xml:space="preserve"> IF( AND( OFFSET($A$1, 240 - 1, 101 - 1) = "1", OFFSET($A$1, 240 - 1, 102 - 1) = "1" ), 1, IF( AND( OFFSET($A$1, 240 - 1, 101 - 1) = "1", OFFSET($A$1, 240 - 1, 102 - 1) = "0" ), 2, IF( AND( OFFSET($A$1, 240 - 1, 101 - 1) = "0", OFFSET($A$1, 240 - 1, 102 - 1) = "1" ), 3, 4 ) ) )</f>
        <v>1</v>
      </c>
    </row>
    <row r="241" spans="95:103" ht="13.8" x14ac:dyDescent="0.3">
      <c r="CQ241" s="24">
        <v>3.3045243723774063E-2</v>
      </c>
      <c r="CR241" s="24" t="str">
        <f>"0"</f>
        <v>0</v>
      </c>
      <c r="CS241" t="str">
        <f ca="1">IF((OFFSET($A$1, 241 - 1, 95 - 1)) &gt;= (OFFSET($A$1, 55 - 1, 7 - 1)), "1","0")</f>
        <v>0</v>
      </c>
      <c r="CT241">
        <f ca="1" xml:space="preserve"> IF( AND( OFFSET($A$1, 241 - 1, 96 - 1) = "1", OFFSET($A$1, 241 - 1, 97 - 1) = "1" ), 1, IF( AND( OFFSET($A$1, 241 - 1, 96 - 1) = "1", OFFSET($A$1, 241 - 1, 97 - 1) = "0" ), 2, IF( AND( OFFSET($A$1, 241 - 1, 96 - 1) = "0", OFFSET($A$1, 241 - 1, 97 - 1) = "1" ), 3, 4 ) ) )</f>
        <v>4</v>
      </c>
      <c r="CV241" s="24">
        <v>0.99780533488089929</v>
      </c>
      <c r="CW241" s="24" t="str">
        <f t="shared" si="18"/>
        <v>1</v>
      </c>
      <c r="CX241" t="str">
        <f ca="1">IF((OFFSET($A$1, 241 - 1, 100 - 1)) &gt;= (OFFSET($A$1, 79 - 1, 7 - 1)), "1","0")</f>
        <v>1</v>
      </c>
      <c r="CY241">
        <f ca="1" xml:space="preserve"> IF( AND( OFFSET($A$1, 241 - 1, 101 - 1) = "1", OFFSET($A$1, 241 - 1, 102 - 1) = "1" ), 1, IF( AND( OFFSET($A$1, 241 - 1, 101 - 1) = "1", OFFSET($A$1, 241 - 1, 102 - 1) = "0" ), 2, IF( AND( OFFSET($A$1, 241 - 1, 101 - 1) = "0", OFFSET($A$1, 241 - 1, 102 - 1) = "1" ), 3, 4 ) ) )</f>
        <v>1</v>
      </c>
    </row>
    <row r="242" spans="95:103" ht="13.8" x14ac:dyDescent="0.3">
      <c r="CQ242" s="24">
        <v>0.87134669636036244</v>
      </c>
      <c r="CR242" s="24" t="str">
        <f t="shared" ref="CR242:CR247" si="19">"1"</f>
        <v>1</v>
      </c>
      <c r="CS242" t="str">
        <f ca="1">IF((OFFSET($A$1, 242 - 1, 95 - 1)) &gt;= (OFFSET($A$1, 55 - 1, 7 - 1)), "1","0")</f>
        <v>1</v>
      </c>
      <c r="CT242">
        <f ca="1" xml:space="preserve"> IF( AND( OFFSET($A$1, 242 - 1, 96 - 1) = "1", OFFSET($A$1, 242 - 1, 97 - 1) = "1" ), 1, IF( AND( OFFSET($A$1, 242 - 1, 96 - 1) = "1", OFFSET($A$1, 242 - 1, 97 - 1) = "0" ), 2, IF( AND( OFFSET($A$1, 242 - 1, 96 - 1) = "0", OFFSET($A$1, 242 - 1, 97 - 1) = "1" ), 3, 4 ) ) )</f>
        <v>1</v>
      </c>
      <c r="CV242" s="24">
        <v>0.99951486764214081</v>
      </c>
      <c r="CW242" s="24" t="str">
        <f t="shared" si="18"/>
        <v>1</v>
      </c>
      <c r="CX242" t="str">
        <f ca="1">IF((OFFSET($A$1, 242 - 1, 100 - 1)) &gt;= (OFFSET($A$1, 79 - 1, 7 - 1)), "1","0")</f>
        <v>1</v>
      </c>
      <c r="CY242">
        <f ca="1" xml:space="preserve"> IF( AND( OFFSET($A$1, 242 - 1, 101 - 1) = "1", OFFSET($A$1, 242 - 1, 102 - 1) = "1" ), 1, IF( AND( OFFSET($A$1, 242 - 1, 101 - 1) = "1", OFFSET($A$1, 242 - 1, 102 - 1) = "0" ), 2, IF( AND( OFFSET($A$1, 242 - 1, 101 - 1) = "0", OFFSET($A$1, 242 - 1, 102 - 1) = "1" ), 3, 4 ) ) )</f>
        <v>1</v>
      </c>
    </row>
    <row r="243" spans="95:103" ht="13.8" x14ac:dyDescent="0.3">
      <c r="CQ243" s="24">
        <v>0.99854966006640045</v>
      </c>
      <c r="CR243" s="24" t="str">
        <f t="shared" si="19"/>
        <v>1</v>
      </c>
      <c r="CS243" t="str">
        <f ca="1">IF((OFFSET($A$1, 243 - 1, 95 - 1)) &gt;= (OFFSET($A$1, 55 - 1, 7 - 1)), "1","0")</f>
        <v>1</v>
      </c>
      <c r="CT243">
        <f ca="1" xml:space="preserve"> IF( AND( OFFSET($A$1, 243 - 1, 96 - 1) = "1", OFFSET($A$1, 243 - 1, 97 - 1) = "1" ), 1, IF( AND( OFFSET($A$1, 243 - 1, 96 - 1) = "1", OFFSET($A$1, 243 - 1, 97 - 1) = "0" ), 2, IF( AND( OFFSET($A$1, 243 - 1, 96 - 1) = "0", OFFSET($A$1, 243 - 1, 97 - 1) = "1" ), 3, 4 ) ) )</f>
        <v>1</v>
      </c>
      <c r="CV243" s="24">
        <v>0.99298761049725481</v>
      </c>
      <c r="CW243" s="24" t="str">
        <f>"0"</f>
        <v>0</v>
      </c>
      <c r="CX243" t="str">
        <f ca="1">IF((OFFSET($A$1, 243 - 1, 100 - 1)) &gt;= (OFFSET($A$1, 79 - 1, 7 - 1)), "1","0")</f>
        <v>1</v>
      </c>
      <c r="CY243">
        <f ca="1" xml:space="preserve"> IF( AND( OFFSET($A$1, 243 - 1, 101 - 1) = "1", OFFSET($A$1, 243 - 1, 102 - 1) = "1" ), 1, IF( AND( OFFSET($A$1, 243 - 1, 101 - 1) = "1", OFFSET($A$1, 243 - 1, 102 - 1) = "0" ), 2, IF( AND( OFFSET($A$1, 243 - 1, 101 - 1) = "0", OFFSET($A$1, 243 - 1, 102 - 1) = "1" ), 3, 4 ) ) )</f>
        <v>3</v>
      </c>
    </row>
    <row r="244" spans="95:103" ht="13.8" x14ac:dyDescent="0.3">
      <c r="CQ244" s="24">
        <v>0.99771745840006443</v>
      </c>
      <c r="CR244" s="24" t="str">
        <f t="shared" si="19"/>
        <v>1</v>
      </c>
      <c r="CS244" t="str">
        <f ca="1">IF((OFFSET($A$1, 244 - 1, 95 - 1)) &gt;= (OFFSET($A$1, 55 - 1, 7 - 1)), "1","0")</f>
        <v>1</v>
      </c>
      <c r="CT244">
        <f ca="1" xml:space="preserve"> IF( AND( OFFSET($A$1, 244 - 1, 96 - 1) = "1", OFFSET($A$1, 244 - 1, 97 - 1) = "1" ), 1, IF( AND( OFFSET($A$1, 244 - 1, 96 - 1) = "1", OFFSET($A$1, 244 - 1, 97 - 1) = "0" ), 2, IF( AND( OFFSET($A$1, 244 - 1, 96 - 1) = "0", OFFSET($A$1, 244 - 1, 97 - 1) = "1" ), 3, 4 ) ) )</f>
        <v>1</v>
      </c>
      <c r="CV244" s="24">
        <v>0.20150168075789171</v>
      </c>
      <c r="CW244" s="24" t="str">
        <f>"0"</f>
        <v>0</v>
      </c>
      <c r="CX244" t="str">
        <f ca="1">IF((OFFSET($A$1, 244 - 1, 100 - 1)) &gt;= (OFFSET($A$1, 79 - 1, 7 - 1)), "1","0")</f>
        <v>0</v>
      </c>
      <c r="CY244">
        <f ca="1" xml:space="preserve"> IF( AND( OFFSET($A$1, 244 - 1, 101 - 1) = "1", OFFSET($A$1, 244 - 1, 102 - 1) = "1" ), 1, IF( AND( OFFSET($A$1, 244 - 1, 101 - 1) = "1", OFFSET($A$1, 244 - 1, 102 - 1) = "0" ), 2, IF( AND( OFFSET($A$1, 244 - 1, 101 - 1) = "0", OFFSET($A$1, 244 - 1, 102 - 1) = "1" ), 3, 4 ) ) )</f>
        <v>4</v>
      </c>
    </row>
    <row r="245" spans="95:103" ht="13.8" x14ac:dyDescent="0.3">
      <c r="CQ245" s="24">
        <v>0.99524395788880637</v>
      </c>
      <c r="CR245" s="24" t="str">
        <f t="shared" si="19"/>
        <v>1</v>
      </c>
      <c r="CS245" t="str">
        <f ca="1">IF((OFFSET($A$1, 245 - 1, 95 - 1)) &gt;= (OFFSET($A$1, 55 - 1, 7 - 1)), "1","0")</f>
        <v>1</v>
      </c>
      <c r="CT245">
        <f ca="1" xml:space="preserve"> IF( AND( OFFSET($A$1, 245 - 1, 96 - 1) = "1", OFFSET($A$1, 245 - 1, 97 - 1) = "1" ), 1, IF( AND( OFFSET($A$1, 245 - 1, 96 - 1) = "1", OFFSET($A$1, 245 - 1, 97 - 1) = "0" ), 2, IF( AND( OFFSET($A$1, 245 - 1, 96 - 1) = "0", OFFSET($A$1, 245 - 1, 97 - 1) = "1" ), 3, 4 ) ) )</f>
        <v>1</v>
      </c>
      <c r="CV245" s="24">
        <v>0.99671907000400606</v>
      </c>
      <c r="CW245" s="24" t="str">
        <f>"1"</f>
        <v>1</v>
      </c>
      <c r="CX245" t="str">
        <f ca="1">IF((OFFSET($A$1, 245 - 1, 100 - 1)) &gt;= (OFFSET($A$1, 79 - 1, 7 - 1)), "1","0")</f>
        <v>1</v>
      </c>
      <c r="CY245">
        <f ca="1" xml:space="preserve"> IF( AND( OFFSET($A$1, 245 - 1, 101 - 1) = "1", OFFSET($A$1, 245 - 1, 102 - 1) = "1" ), 1, IF( AND( OFFSET($A$1, 245 - 1, 101 - 1) = "1", OFFSET($A$1, 245 - 1, 102 - 1) = "0" ), 2, IF( AND( OFFSET($A$1, 245 - 1, 101 - 1) = "0", OFFSET($A$1, 245 - 1, 102 - 1) = "1" ), 3, 4 ) ) )</f>
        <v>1</v>
      </c>
    </row>
    <row r="246" spans="95:103" ht="13.8" x14ac:dyDescent="0.3">
      <c r="CQ246" s="24">
        <v>0.98574022630490932</v>
      </c>
      <c r="CR246" s="24" t="str">
        <f t="shared" si="19"/>
        <v>1</v>
      </c>
      <c r="CS246" t="str">
        <f ca="1">IF((OFFSET($A$1, 246 - 1, 95 - 1)) &gt;= (OFFSET($A$1, 55 - 1, 7 - 1)), "1","0")</f>
        <v>1</v>
      </c>
      <c r="CT246">
        <f ca="1" xml:space="preserve"> IF( AND( OFFSET($A$1, 246 - 1, 96 - 1) = "1", OFFSET($A$1, 246 - 1, 97 - 1) = "1" ), 1, IF( AND( OFFSET($A$1, 246 - 1, 96 - 1) = "1", OFFSET($A$1, 246 - 1, 97 - 1) = "0" ), 2, IF( AND( OFFSET($A$1, 246 - 1, 96 - 1) = "0", OFFSET($A$1, 246 - 1, 97 - 1) = "1" ), 3, 4 ) ) )</f>
        <v>1</v>
      </c>
      <c r="CV246" s="24">
        <v>0.1280515335810701</v>
      </c>
      <c r="CW246" s="24" t="str">
        <f>"0"</f>
        <v>0</v>
      </c>
      <c r="CX246" t="str">
        <f ca="1">IF((OFFSET($A$1, 246 - 1, 100 - 1)) &gt;= (OFFSET($A$1, 79 - 1, 7 - 1)), "1","0")</f>
        <v>0</v>
      </c>
      <c r="CY246">
        <f ca="1" xml:space="preserve"> IF( AND( OFFSET($A$1, 246 - 1, 101 - 1) = "1", OFFSET($A$1, 246 - 1, 102 - 1) = "1" ), 1, IF( AND( OFFSET($A$1, 246 - 1, 101 - 1) = "1", OFFSET($A$1, 246 - 1, 102 - 1) = "0" ), 2, IF( AND( OFFSET($A$1, 246 - 1, 101 - 1) = "0", OFFSET($A$1, 246 - 1, 102 - 1) = "1" ), 3, 4 ) ) )</f>
        <v>4</v>
      </c>
    </row>
    <row r="247" spans="95:103" ht="13.8" x14ac:dyDescent="0.3">
      <c r="CQ247" s="24">
        <v>0.99674822993824941</v>
      </c>
      <c r="CR247" s="24" t="str">
        <f t="shared" si="19"/>
        <v>1</v>
      </c>
      <c r="CS247" t="str">
        <f ca="1">IF((OFFSET($A$1, 247 - 1, 95 - 1)) &gt;= (OFFSET($A$1, 55 - 1, 7 - 1)), "1","0")</f>
        <v>1</v>
      </c>
      <c r="CT247">
        <f ca="1" xml:space="preserve"> IF( AND( OFFSET($A$1, 247 - 1, 96 - 1) = "1", OFFSET($A$1, 247 - 1, 97 - 1) = "1" ), 1, IF( AND( OFFSET($A$1, 247 - 1, 96 - 1) = "1", OFFSET($A$1, 247 - 1, 97 - 1) = "0" ), 2, IF( AND( OFFSET($A$1, 247 - 1, 96 - 1) = "0", OFFSET($A$1, 247 - 1, 97 - 1) = "1" ), 3, 4 ) ) )</f>
        <v>1</v>
      </c>
      <c r="CV247" s="24">
        <v>0.71760581908496257</v>
      </c>
      <c r="CW247" s="24" t="str">
        <f t="shared" ref="CW247:CW258" si="20">"1"</f>
        <v>1</v>
      </c>
      <c r="CX247" t="str">
        <f ca="1">IF((OFFSET($A$1, 247 - 1, 100 - 1)) &gt;= (OFFSET($A$1, 79 - 1, 7 - 1)), "1","0")</f>
        <v>1</v>
      </c>
      <c r="CY247">
        <f ca="1" xml:space="preserve"> IF( AND( OFFSET($A$1, 247 - 1, 101 - 1) = "1", OFFSET($A$1, 247 - 1, 102 - 1) = "1" ), 1, IF( AND( OFFSET($A$1, 247 - 1, 101 - 1) = "1", OFFSET($A$1, 247 - 1, 102 - 1) = "0" ), 2, IF( AND( OFFSET($A$1, 247 - 1, 101 - 1) = "0", OFFSET($A$1, 247 - 1, 102 - 1) = "1" ), 3, 4 ) ) )</f>
        <v>1</v>
      </c>
    </row>
    <row r="248" spans="95:103" ht="13.8" x14ac:dyDescent="0.3">
      <c r="CQ248" s="24">
        <v>0.53388305385894053</v>
      </c>
      <c r="CR248" s="24" t="str">
        <f>"0"</f>
        <v>0</v>
      </c>
      <c r="CS248" t="str">
        <f ca="1">IF((OFFSET($A$1, 248 - 1, 95 - 1)) &gt;= (OFFSET($A$1, 55 - 1, 7 - 1)), "1","0")</f>
        <v>1</v>
      </c>
      <c r="CT248">
        <f ca="1" xml:space="preserve"> IF( AND( OFFSET($A$1, 248 - 1, 96 - 1) = "1", OFFSET($A$1, 248 - 1, 97 - 1) = "1" ), 1, IF( AND( OFFSET($A$1, 248 - 1, 96 - 1) = "1", OFFSET($A$1, 248 - 1, 97 - 1) = "0" ), 2, IF( AND( OFFSET($A$1, 248 - 1, 96 - 1) = "0", OFFSET($A$1, 248 - 1, 97 - 1) = "1" ), 3, 4 ) ) )</f>
        <v>3</v>
      </c>
      <c r="CV248" s="24">
        <v>0.99688284344311395</v>
      </c>
      <c r="CW248" s="24" t="str">
        <f t="shared" si="20"/>
        <v>1</v>
      </c>
      <c r="CX248" t="str">
        <f ca="1">IF((OFFSET($A$1, 248 - 1, 100 - 1)) &gt;= (OFFSET($A$1, 79 - 1, 7 - 1)), "1","0")</f>
        <v>1</v>
      </c>
      <c r="CY248">
        <f ca="1" xml:space="preserve"> IF( AND( OFFSET($A$1, 248 - 1, 101 - 1) = "1", OFFSET($A$1, 248 - 1, 102 - 1) = "1" ), 1, IF( AND( OFFSET($A$1, 248 - 1, 101 - 1) = "1", OFFSET($A$1, 248 - 1, 102 - 1) = "0" ), 2, IF( AND( OFFSET($A$1, 248 - 1, 101 - 1) = "0", OFFSET($A$1, 248 - 1, 102 - 1) = "1" ), 3, 4 ) ) )</f>
        <v>1</v>
      </c>
    </row>
    <row r="249" spans="95:103" ht="13.8" x14ac:dyDescent="0.3">
      <c r="CQ249" s="24">
        <v>0.9980054109359151</v>
      </c>
      <c r="CR249" s="24" t="str">
        <f t="shared" ref="CR249:CR258" si="21">"1"</f>
        <v>1</v>
      </c>
      <c r="CS249" t="str">
        <f ca="1">IF((OFFSET($A$1, 249 - 1, 95 - 1)) &gt;= (OFFSET($A$1, 55 - 1, 7 - 1)), "1","0")</f>
        <v>1</v>
      </c>
      <c r="CT249">
        <f ca="1" xml:space="preserve"> IF( AND( OFFSET($A$1, 249 - 1, 96 - 1) = "1", OFFSET($A$1, 249 - 1, 97 - 1) = "1" ), 1, IF( AND( OFFSET($A$1, 249 - 1, 96 - 1) = "1", OFFSET($A$1, 249 - 1, 97 - 1) = "0" ), 2, IF( AND( OFFSET($A$1, 249 - 1, 96 - 1) = "0", OFFSET($A$1, 249 - 1, 97 - 1) = "1" ), 3, 4 ) ) )</f>
        <v>1</v>
      </c>
      <c r="CV249" s="24">
        <v>0.33440078349012009</v>
      </c>
      <c r="CW249" s="24" t="str">
        <f t="shared" si="20"/>
        <v>1</v>
      </c>
      <c r="CX249" t="str">
        <f ca="1">IF((OFFSET($A$1, 249 - 1, 100 - 1)) &gt;= (OFFSET($A$1, 79 - 1, 7 - 1)), "1","0")</f>
        <v>0</v>
      </c>
      <c r="CY249">
        <f ca="1" xml:space="preserve"> IF( AND( OFFSET($A$1, 249 - 1, 101 - 1) = "1", OFFSET($A$1, 249 - 1, 102 - 1) = "1" ), 1, IF( AND( OFFSET($A$1, 249 - 1, 101 - 1) = "1", OFFSET($A$1, 249 - 1, 102 - 1) = "0" ), 2, IF( AND( OFFSET($A$1, 249 - 1, 101 - 1) = "0", OFFSET($A$1, 249 - 1, 102 - 1) = "1" ), 3, 4 ) ) )</f>
        <v>2</v>
      </c>
    </row>
    <row r="250" spans="95:103" ht="13.8" x14ac:dyDescent="0.3">
      <c r="CQ250" s="24">
        <v>0.92575074173682126</v>
      </c>
      <c r="CR250" s="24" t="str">
        <f t="shared" si="21"/>
        <v>1</v>
      </c>
      <c r="CS250" t="str">
        <f ca="1">IF((OFFSET($A$1, 250 - 1, 95 - 1)) &gt;= (OFFSET($A$1, 55 - 1, 7 - 1)), "1","0")</f>
        <v>1</v>
      </c>
      <c r="CT250">
        <f ca="1" xml:space="preserve"> IF( AND( OFFSET($A$1, 250 - 1, 96 - 1) = "1", OFFSET($A$1, 250 - 1, 97 - 1) = "1" ), 1, IF( AND( OFFSET($A$1, 250 - 1, 96 - 1) = "1", OFFSET($A$1, 250 - 1, 97 - 1) = "0" ), 2, IF( AND( OFFSET($A$1, 250 - 1, 96 - 1) = "0", OFFSET($A$1, 250 - 1, 97 - 1) = "1" ), 3, 4 ) ) )</f>
        <v>1</v>
      </c>
      <c r="CV250" s="24">
        <v>0.99679263755062275</v>
      </c>
      <c r="CW250" s="24" t="str">
        <f t="shared" si="20"/>
        <v>1</v>
      </c>
      <c r="CX250" t="str">
        <f ca="1">IF((OFFSET($A$1, 250 - 1, 100 - 1)) &gt;= (OFFSET($A$1, 79 - 1, 7 - 1)), "1","0")</f>
        <v>1</v>
      </c>
      <c r="CY250">
        <f ca="1" xml:space="preserve"> IF( AND( OFFSET($A$1, 250 - 1, 101 - 1) = "1", OFFSET($A$1, 250 - 1, 102 - 1) = "1" ), 1, IF( AND( OFFSET($A$1, 250 - 1, 101 - 1) = "1", OFFSET($A$1, 250 - 1, 102 - 1) = "0" ), 2, IF( AND( OFFSET($A$1, 250 - 1, 101 - 1) = "0", OFFSET($A$1, 250 - 1, 102 - 1) = "1" ), 3, 4 ) ) )</f>
        <v>1</v>
      </c>
    </row>
    <row r="251" spans="95:103" ht="13.8" x14ac:dyDescent="0.3">
      <c r="CQ251" s="24">
        <v>0.99475258811384404</v>
      </c>
      <c r="CR251" s="24" t="str">
        <f t="shared" si="21"/>
        <v>1</v>
      </c>
      <c r="CS251" t="str">
        <f ca="1">IF((OFFSET($A$1, 251 - 1, 95 - 1)) &gt;= (OFFSET($A$1, 55 - 1, 7 - 1)), "1","0")</f>
        <v>1</v>
      </c>
      <c r="CT251">
        <f ca="1" xml:space="preserve"> IF( AND( OFFSET($A$1, 251 - 1, 96 - 1) = "1", OFFSET($A$1, 251 - 1, 97 - 1) = "1" ), 1, IF( AND( OFFSET($A$1, 251 - 1, 96 - 1) = "1", OFFSET($A$1, 251 - 1, 97 - 1) = "0" ), 2, IF( AND( OFFSET($A$1, 251 - 1, 96 - 1) = "0", OFFSET($A$1, 251 - 1, 97 - 1) = "1" ), 3, 4 ) ) )</f>
        <v>1</v>
      </c>
      <c r="CV251" s="24">
        <v>0.98292707478774621</v>
      </c>
      <c r="CW251" s="24" t="str">
        <f t="shared" si="20"/>
        <v>1</v>
      </c>
      <c r="CX251" t="str">
        <f ca="1">IF((OFFSET($A$1, 251 - 1, 100 - 1)) &gt;= (OFFSET($A$1, 79 - 1, 7 - 1)), "1","0")</f>
        <v>1</v>
      </c>
      <c r="CY251">
        <f ca="1" xml:space="preserve"> IF( AND( OFFSET($A$1, 251 - 1, 101 - 1) = "1", OFFSET($A$1, 251 - 1, 102 - 1) = "1" ), 1, IF( AND( OFFSET($A$1, 251 - 1, 101 - 1) = "1", OFFSET($A$1, 251 - 1, 102 - 1) = "0" ), 2, IF( AND( OFFSET($A$1, 251 - 1, 101 - 1) = "0", OFFSET($A$1, 251 - 1, 102 - 1) = "1" ), 3, 4 ) ) )</f>
        <v>1</v>
      </c>
    </row>
    <row r="252" spans="95:103" ht="13.8" x14ac:dyDescent="0.3">
      <c r="CQ252" s="24">
        <v>0.98559818392400866</v>
      </c>
      <c r="CR252" s="24" t="str">
        <f t="shared" si="21"/>
        <v>1</v>
      </c>
      <c r="CS252" t="str">
        <f ca="1">IF((OFFSET($A$1, 252 - 1, 95 - 1)) &gt;= (OFFSET($A$1, 55 - 1, 7 - 1)), "1","0")</f>
        <v>1</v>
      </c>
      <c r="CT252">
        <f ca="1" xml:space="preserve"> IF( AND( OFFSET($A$1, 252 - 1, 96 - 1) = "1", OFFSET($A$1, 252 - 1, 97 - 1) = "1" ), 1, IF( AND( OFFSET($A$1, 252 - 1, 96 - 1) = "1", OFFSET($A$1, 252 - 1, 97 - 1) = "0" ), 2, IF( AND( OFFSET($A$1, 252 - 1, 96 - 1) = "0", OFFSET($A$1, 252 - 1, 97 - 1) = "1" ), 3, 4 ) ) )</f>
        <v>1</v>
      </c>
      <c r="CV252" s="24">
        <v>0.47833562201799162</v>
      </c>
      <c r="CW252" s="24" t="str">
        <f t="shared" si="20"/>
        <v>1</v>
      </c>
      <c r="CX252" t="str">
        <f ca="1">IF((OFFSET($A$1, 252 - 1, 100 - 1)) &gt;= (OFFSET($A$1, 79 - 1, 7 - 1)), "1","0")</f>
        <v>0</v>
      </c>
      <c r="CY252">
        <f ca="1" xml:space="preserve"> IF( AND( OFFSET($A$1, 252 - 1, 101 - 1) = "1", OFFSET($A$1, 252 - 1, 102 - 1) = "1" ), 1, IF( AND( OFFSET($A$1, 252 - 1, 101 - 1) = "1", OFFSET($A$1, 252 - 1, 102 - 1) = "0" ), 2, IF( AND( OFFSET($A$1, 252 - 1, 101 - 1) = "0", OFFSET($A$1, 252 - 1, 102 - 1) = "1" ), 3, 4 ) ) )</f>
        <v>2</v>
      </c>
    </row>
    <row r="253" spans="95:103" ht="13.8" x14ac:dyDescent="0.3">
      <c r="CQ253" s="24">
        <v>0.91427274541947356</v>
      </c>
      <c r="CR253" s="24" t="str">
        <f t="shared" si="21"/>
        <v>1</v>
      </c>
      <c r="CS253" t="str">
        <f ca="1">IF((OFFSET($A$1, 253 - 1, 95 - 1)) &gt;= (OFFSET($A$1, 55 - 1, 7 - 1)), "1","0")</f>
        <v>1</v>
      </c>
      <c r="CT253">
        <f ca="1" xml:space="preserve"> IF( AND( OFFSET($A$1, 253 - 1, 96 - 1) = "1", OFFSET($A$1, 253 - 1, 97 - 1) = "1" ), 1, IF( AND( OFFSET($A$1, 253 - 1, 96 - 1) = "1", OFFSET($A$1, 253 - 1, 97 - 1) = "0" ), 2, IF( AND( OFFSET($A$1, 253 - 1, 96 - 1) = "0", OFFSET($A$1, 253 - 1, 97 - 1) = "1" ), 3, 4 ) ) )</f>
        <v>1</v>
      </c>
      <c r="CV253" s="24">
        <v>0.98693879233561743</v>
      </c>
      <c r="CW253" s="24" t="str">
        <f t="shared" si="20"/>
        <v>1</v>
      </c>
      <c r="CX253" t="str">
        <f ca="1">IF((OFFSET($A$1, 253 - 1, 100 - 1)) &gt;= (OFFSET($A$1, 79 - 1, 7 - 1)), "1","0")</f>
        <v>1</v>
      </c>
      <c r="CY253">
        <f ca="1" xml:space="preserve"> IF( AND( OFFSET($A$1, 253 - 1, 101 - 1) = "1", OFFSET($A$1, 253 - 1, 102 - 1) = "1" ), 1, IF( AND( OFFSET($A$1, 253 - 1, 101 - 1) = "1", OFFSET($A$1, 253 - 1, 102 - 1) = "0" ), 2, IF( AND( OFFSET($A$1, 253 - 1, 101 - 1) = "0", OFFSET($A$1, 253 - 1, 102 - 1) = "1" ), 3, 4 ) ) )</f>
        <v>1</v>
      </c>
    </row>
    <row r="254" spans="95:103" ht="13.8" x14ac:dyDescent="0.3">
      <c r="CQ254" s="24">
        <v>0.99736381549132169</v>
      </c>
      <c r="CR254" s="24" t="str">
        <f t="shared" si="21"/>
        <v>1</v>
      </c>
      <c r="CS254" t="str">
        <f ca="1">IF((OFFSET($A$1, 254 - 1, 95 - 1)) &gt;= (OFFSET($A$1, 55 - 1, 7 - 1)), "1","0")</f>
        <v>1</v>
      </c>
      <c r="CT254">
        <f ca="1" xml:space="preserve"> IF( AND( OFFSET($A$1, 254 - 1, 96 - 1) = "1", OFFSET($A$1, 254 - 1, 97 - 1) = "1" ), 1, IF( AND( OFFSET($A$1, 254 - 1, 96 - 1) = "1", OFFSET($A$1, 254 - 1, 97 - 1) = "0" ), 2, IF( AND( OFFSET($A$1, 254 - 1, 96 - 1) = "0", OFFSET($A$1, 254 - 1, 97 - 1) = "1" ), 3, 4 ) ) )</f>
        <v>1</v>
      </c>
      <c r="CV254" s="24">
        <v>0.7996679037937906</v>
      </c>
      <c r="CW254" s="24" t="str">
        <f t="shared" si="20"/>
        <v>1</v>
      </c>
      <c r="CX254" t="str">
        <f ca="1">IF((OFFSET($A$1, 254 - 1, 100 - 1)) &gt;= (OFFSET($A$1, 79 - 1, 7 - 1)), "1","0")</f>
        <v>1</v>
      </c>
      <c r="CY254">
        <f ca="1" xml:space="preserve"> IF( AND( OFFSET($A$1, 254 - 1, 101 - 1) = "1", OFFSET($A$1, 254 - 1, 102 - 1) = "1" ), 1, IF( AND( OFFSET($A$1, 254 - 1, 101 - 1) = "1", OFFSET($A$1, 254 - 1, 102 - 1) = "0" ), 2, IF( AND( OFFSET($A$1, 254 - 1, 101 - 1) = "0", OFFSET($A$1, 254 - 1, 102 - 1) = "1" ), 3, 4 ) ) )</f>
        <v>1</v>
      </c>
    </row>
    <row r="255" spans="95:103" ht="13.8" x14ac:dyDescent="0.3">
      <c r="CQ255" s="24">
        <v>0.92306224142126758</v>
      </c>
      <c r="CR255" s="24" t="str">
        <f t="shared" si="21"/>
        <v>1</v>
      </c>
      <c r="CS255" t="str">
        <f ca="1">IF((OFFSET($A$1, 255 - 1, 95 - 1)) &gt;= (OFFSET($A$1, 55 - 1, 7 - 1)), "1","0")</f>
        <v>1</v>
      </c>
      <c r="CT255">
        <f ca="1" xml:space="preserve"> IF( AND( OFFSET($A$1, 255 - 1, 96 - 1) = "1", OFFSET($A$1, 255 - 1, 97 - 1) = "1" ), 1, IF( AND( OFFSET($A$1, 255 - 1, 96 - 1) = "1", OFFSET($A$1, 255 - 1, 97 - 1) = "0" ), 2, IF( AND( OFFSET($A$1, 255 - 1, 96 - 1) = "0", OFFSET($A$1, 255 - 1, 97 - 1) = "1" ), 3, 4 ) ) )</f>
        <v>1</v>
      </c>
      <c r="CV255" s="24">
        <v>0.99617700476651816</v>
      </c>
      <c r="CW255" s="24" t="str">
        <f t="shared" si="20"/>
        <v>1</v>
      </c>
      <c r="CX255" t="str">
        <f ca="1">IF((OFFSET($A$1, 255 - 1, 100 - 1)) &gt;= (OFFSET($A$1, 79 - 1, 7 - 1)), "1","0")</f>
        <v>1</v>
      </c>
      <c r="CY255">
        <f ca="1" xml:space="preserve"> IF( AND( OFFSET($A$1, 255 - 1, 101 - 1) = "1", OFFSET($A$1, 255 - 1, 102 - 1) = "1" ), 1, IF( AND( OFFSET($A$1, 255 - 1, 101 - 1) = "1", OFFSET($A$1, 255 - 1, 102 - 1) = "0" ), 2, IF( AND( OFFSET($A$1, 255 - 1, 101 - 1) = "0", OFFSET($A$1, 255 - 1, 102 - 1) = "1" ), 3, 4 ) ) )</f>
        <v>1</v>
      </c>
    </row>
    <row r="256" spans="95:103" ht="13.8" x14ac:dyDescent="0.3">
      <c r="CQ256" s="24">
        <v>0.99782883661987298</v>
      </c>
      <c r="CR256" s="24" t="str">
        <f t="shared" si="21"/>
        <v>1</v>
      </c>
      <c r="CS256" t="str">
        <f ca="1">IF((OFFSET($A$1, 256 - 1, 95 - 1)) &gt;= (OFFSET($A$1, 55 - 1, 7 - 1)), "1","0")</f>
        <v>1</v>
      </c>
      <c r="CT256">
        <f ca="1" xml:space="preserve"> IF( AND( OFFSET($A$1, 256 - 1, 96 - 1) = "1", OFFSET($A$1, 256 - 1, 97 - 1) = "1" ), 1, IF( AND( OFFSET($A$1, 256 - 1, 96 - 1) = "1", OFFSET($A$1, 256 - 1, 97 - 1) = "0" ), 2, IF( AND( OFFSET($A$1, 256 - 1, 96 - 1) = "0", OFFSET($A$1, 256 - 1, 97 - 1) = "1" ), 3, 4 ) ) )</f>
        <v>1</v>
      </c>
      <c r="CV256" s="24">
        <v>0.99878084390481592</v>
      </c>
      <c r="CW256" s="24" t="str">
        <f t="shared" si="20"/>
        <v>1</v>
      </c>
      <c r="CX256" t="str">
        <f ca="1">IF((OFFSET($A$1, 256 - 1, 100 - 1)) &gt;= (OFFSET($A$1, 79 - 1, 7 - 1)), "1","0")</f>
        <v>1</v>
      </c>
      <c r="CY256">
        <f ca="1" xml:space="preserve"> IF( AND( OFFSET($A$1, 256 - 1, 101 - 1) = "1", OFFSET($A$1, 256 - 1, 102 - 1) = "1" ), 1, IF( AND( OFFSET($A$1, 256 - 1, 101 - 1) = "1", OFFSET($A$1, 256 - 1, 102 - 1) = "0" ), 2, IF( AND( OFFSET($A$1, 256 - 1, 101 - 1) = "0", OFFSET($A$1, 256 - 1, 102 - 1) = "1" ), 3, 4 ) ) )</f>
        <v>1</v>
      </c>
    </row>
    <row r="257" spans="95:103" ht="13.8" x14ac:dyDescent="0.3">
      <c r="CQ257" s="24">
        <v>0.99805839526320939</v>
      </c>
      <c r="CR257" s="24" t="str">
        <f t="shared" si="21"/>
        <v>1</v>
      </c>
      <c r="CS257" t="str">
        <f ca="1">IF((OFFSET($A$1, 257 - 1, 95 - 1)) &gt;= (OFFSET($A$1, 55 - 1, 7 - 1)), "1","0")</f>
        <v>1</v>
      </c>
      <c r="CT257">
        <f ca="1" xml:space="preserve"> IF( AND( OFFSET($A$1, 257 - 1, 96 - 1) = "1", OFFSET($A$1, 257 - 1, 97 - 1) = "1" ), 1, IF( AND( OFFSET($A$1, 257 - 1, 96 - 1) = "1", OFFSET($A$1, 257 - 1, 97 - 1) = "0" ), 2, IF( AND( OFFSET($A$1, 257 - 1, 96 - 1) = "0", OFFSET($A$1, 257 - 1, 97 - 1) = "1" ), 3, 4 ) ) )</f>
        <v>1</v>
      </c>
      <c r="CV257" s="24">
        <v>0.99915215513715394</v>
      </c>
      <c r="CW257" s="24" t="str">
        <f t="shared" si="20"/>
        <v>1</v>
      </c>
      <c r="CX257" t="str">
        <f ca="1">IF((OFFSET($A$1, 257 - 1, 100 - 1)) &gt;= (OFFSET($A$1, 79 - 1, 7 - 1)), "1","0")</f>
        <v>1</v>
      </c>
      <c r="CY257">
        <f ca="1" xml:space="preserve"> IF( AND( OFFSET($A$1, 257 - 1, 101 - 1) = "1", OFFSET($A$1, 257 - 1, 102 - 1) = "1" ), 1, IF( AND( OFFSET($A$1, 257 - 1, 101 - 1) = "1", OFFSET($A$1, 257 - 1, 102 - 1) = "0" ), 2, IF( AND( OFFSET($A$1, 257 - 1, 101 - 1) = "0", OFFSET($A$1, 257 - 1, 102 - 1) = "1" ), 3, 4 ) ) )</f>
        <v>1</v>
      </c>
    </row>
    <row r="258" spans="95:103" ht="13.8" x14ac:dyDescent="0.3">
      <c r="CQ258" s="24">
        <v>0.97423122202730361</v>
      </c>
      <c r="CR258" s="24" t="str">
        <f t="shared" si="21"/>
        <v>1</v>
      </c>
      <c r="CS258" t="str">
        <f ca="1">IF((OFFSET($A$1, 258 - 1, 95 - 1)) &gt;= (OFFSET($A$1, 55 - 1, 7 - 1)), "1","0")</f>
        <v>1</v>
      </c>
      <c r="CT258">
        <f ca="1" xml:space="preserve"> IF( AND( OFFSET($A$1, 258 - 1, 96 - 1) = "1", OFFSET($A$1, 258 - 1, 97 - 1) = "1" ), 1, IF( AND( OFFSET($A$1, 258 - 1, 96 - 1) = "1", OFFSET($A$1, 258 - 1, 97 - 1) = "0" ), 2, IF( AND( OFFSET($A$1, 258 - 1, 96 - 1) = "0", OFFSET($A$1, 258 - 1, 97 - 1) = "1" ), 3, 4 ) ) )</f>
        <v>1</v>
      </c>
      <c r="CV258" s="24">
        <v>0.99908284291752103</v>
      </c>
      <c r="CW258" s="24" t="str">
        <f t="shared" si="20"/>
        <v>1</v>
      </c>
      <c r="CX258" t="str">
        <f ca="1">IF((OFFSET($A$1, 258 - 1, 100 - 1)) &gt;= (OFFSET($A$1, 79 - 1, 7 - 1)), "1","0")</f>
        <v>1</v>
      </c>
      <c r="CY258">
        <f ca="1" xml:space="preserve"> IF( AND( OFFSET($A$1, 258 - 1, 101 - 1) = "1", OFFSET($A$1, 258 - 1, 102 - 1) = "1" ), 1, IF( AND( OFFSET($A$1, 258 - 1, 101 - 1) = "1", OFFSET($A$1, 258 - 1, 102 - 1) = "0" ), 2, IF( AND( OFFSET($A$1, 258 - 1, 101 - 1) = "0", OFFSET($A$1, 258 - 1, 102 - 1) = "1" ), 3, 4 ) ) )</f>
        <v>1</v>
      </c>
    </row>
    <row r="259" spans="95:103" ht="13.8" x14ac:dyDescent="0.3">
      <c r="CQ259" s="24">
        <v>0.54391781883074009</v>
      </c>
      <c r="CR259" s="24" t="str">
        <f>"0"</f>
        <v>0</v>
      </c>
      <c r="CS259" t="str">
        <f ca="1">IF((OFFSET($A$1, 259 - 1, 95 - 1)) &gt;= (OFFSET($A$1, 55 - 1, 7 - 1)), "1","0")</f>
        <v>1</v>
      </c>
      <c r="CT259">
        <f ca="1" xml:space="preserve"> IF( AND( OFFSET($A$1, 259 - 1, 96 - 1) = "1", OFFSET($A$1, 259 - 1, 97 - 1) = "1" ), 1, IF( AND( OFFSET($A$1, 259 - 1, 96 - 1) = "1", OFFSET($A$1, 259 - 1, 97 - 1) = "0" ), 2, IF( AND( OFFSET($A$1, 259 - 1, 96 - 1) = "0", OFFSET($A$1, 259 - 1, 97 - 1) = "1" ), 3, 4 ) ) )</f>
        <v>3</v>
      </c>
      <c r="CV259" s="24">
        <v>0.85443089294899821</v>
      </c>
      <c r="CW259" s="24" t="str">
        <f>"0"</f>
        <v>0</v>
      </c>
      <c r="CX259" t="str">
        <f ca="1">IF((OFFSET($A$1, 259 - 1, 100 - 1)) &gt;= (OFFSET($A$1, 79 - 1, 7 - 1)), "1","0")</f>
        <v>1</v>
      </c>
      <c r="CY259">
        <f ca="1" xml:space="preserve"> IF( AND( OFFSET($A$1, 259 - 1, 101 - 1) = "1", OFFSET($A$1, 259 - 1, 102 - 1) = "1" ), 1, IF( AND( OFFSET($A$1, 259 - 1, 101 - 1) = "1", OFFSET($A$1, 259 - 1, 102 - 1) = "0" ), 2, IF( AND( OFFSET($A$1, 259 - 1, 101 - 1) = "0", OFFSET($A$1, 259 - 1, 102 - 1) = "1" ), 3, 4 ) ) )</f>
        <v>3</v>
      </c>
    </row>
    <row r="260" spans="95:103" ht="13.8" x14ac:dyDescent="0.3">
      <c r="CQ260" s="24">
        <v>0.99826743180496202</v>
      </c>
      <c r="CR260" s="24" t="str">
        <f>"1"</f>
        <v>1</v>
      </c>
      <c r="CS260" t="str">
        <f ca="1">IF((OFFSET($A$1, 260 - 1, 95 - 1)) &gt;= (OFFSET($A$1, 55 - 1, 7 - 1)), "1","0")</f>
        <v>1</v>
      </c>
      <c r="CT260">
        <f ca="1" xml:space="preserve"> IF( AND( OFFSET($A$1, 260 - 1, 96 - 1) = "1", OFFSET($A$1, 260 - 1, 97 - 1) = "1" ), 1, IF( AND( OFFSET($A$1, 260 - 1, 96 - 1) = "1", OFFSET($A$1, 260 - 1, 97 - 1) = "0" ), 2, IF( AND( OFFSET($A$1, 260 - 1, 96 - 1) = "0", OFFSET($A$1, 260 - 1, 97 - 1) = "1" ), 3, 4 ) ) )</f>
        <v>1</v>
      </c>
      <c r="CV260" s="24">
        <v>0.99319482394996905</v>
      </c>
      <c r="CW260" s="24" t="str">
        <f>"1"</f>
        <v>1</v>
      </c>
      <c r="CX260" t="str">
        <f ca="1">IF((OFFSET($A$1, 260 - 1, 100 - 1)) &gt;= (OFFSET($A$1, 79 - 1, 7 - 1)), "1","0")</f>
        <v>1</v>
      </c>
      <c r="CY260">
        <f ca="1" xml:space="preserve"> IF( AND( OFFSET($A$1, 260 - 1, 101 - 1) = "1", OFFSET($A$1, 260 - 1, 102 - 1) = "1" ), 1, IF( AND( OFFSET($A$1, 260 - 1, 101 - 1) = "1", OFFSET($A$1, 260 - 1, 102 - 1) = "0" ), 2, IF( AND( OFFSET($A$1, 260 - 1, 101 - 1) = "0", OFFSET($A$1, 260 - 1, 102 - 1) = "1" ), 3, 4 ) ) )</f>
        <v>1</v>
      </c>
    </row>
    <row r="261" spans="95:103" ht="13.8" x14ac:dyDescent="0.3">
      <c r="CQ261" s="24">
        <v>0.11537467182065164</v>
      </c>
      <c r="CR261" s="24" t="str">
        <f>"0"</f>
        <v>0</v>
      </c>
      <c r="CS261" t="str">
        <f ca="1">IF((OFFSET($A$1, 261 - 1, 95 - 1)) &gt;= (OFFSET($A$1, 55 - 1, 7 - 1)), "1","0")</f>
        <v>0</v>
      </c>
      <c r="CT261">
        <f ca="1" xml:space="preserve"> IF( AND( OFFSET($A$1, 261 - 1, 96 - 1) = "1", OFFSET($A$1, 261 - 1, 97 - 1) = "1" ), 1, IF( AND( OFFSET($A$1, 261 - 1, 96 - 1) = "1", OFFSET($A$1, 261 - 1, 97 - 1) = "0" ), 2, IF( AND( OFFSET($A$1, 261 - 1, 96 - 1) = "0", OFFSET($A$1, 261 - 1, 97 - 1) = "1" ), 3, 4 ) ) )</f>
        <v>4</v>
      </c>
      <c r="CV261" s="24">
        <v>0.99404047214925406</v>
      </c>
      <c r="CW261" s="24" t="str">
        <f>"0"</f>
        <v>0</v>
      </c>
      <c r="CX261" t="str">
        <f ca="1">IF((OFFSET($A$1, 261 - 1, 100 - 1)) &gt;= (OFFSET($A$1, 79 - 1, 7 - 1)), "1","0")</f>
        <v>1</v>
      </c>
      <c r="CY261">
        <f ca="1" xml:space="preserve"> IF( AND( OFFSET($A$1, 261 - 1, 101 - 1) = "1", OFFSET($A$1, 261 - 1, 102 - 1) = "1" ), 1, IF( AND( OFFSET($A$1, 261 - 1, 101 - 1) = "1", OFFSET($A$1, 261 - 1, 102 - 1) = "0" ), 2, IF( AND( OFFSET($A$1, 261 - 1, 101 - 1) = "0", OFFSET($A$1, 261 - 1, 102 - 1) = "1" ), 3, 4 ) ) )</f>
        <v>3</v>
      </c>
    </row>
    <row r="262" spans="95:103" ht="13.8" x14ac:dyDescent="0.3">
      <c r="CQ262" s="24">
        <v>0.97558223052442894</v>
      </c>
      <c r="CR262" s="24" t="str">
        <f>"1"</f>
        <v>1</v>
      </c>
      <c r="CS262" t="str">
        <f ca="1">IF((OFFSET($A$1, 262 - 1, 95 - 1)) &gt;= (OFFSET($A$1, 55 - 1, 7 - 1)), "1","0")</f>
        <v>1</v>
      </c>
      <c r="CT262">
        <f ca="1" xml:space="preserve"> IF( AND( OFFSET($A$1, 262 - 1, 96 - 1) = "1", OFFSET($A$1, 262 - 1, 97 - 1) = "1" ), 1, IF( AND( OFFSET($A$1, 262 - 1, 96 - 1) = "1", OFFSET($A$1, 262 - 1, 97 - 1) = "0" ), 2, IF( AND( OFFSET($A$1, 262 - 1, 96 - 1) = "0", OFFSET($A$1, 262 - 1, 97 - 1) = "1" ), 3, 4 ) ) )</f>
        <v>1</v>
      </c>
      <c r="CV262" s="24">
        <v>0.98691225383753645</v>
      </c>
      <c r="CW262" s="24" t="str">
        <f>"0"</f>
        <v>0</v>
      </c>
      <c r="CX262" t="str">
        <f ca="1">IF((OFFSET($A$1, 262 - 1, 100 - 1)) &gt;= (OFFSET($A$1, 79 - 1, 7 - 1)), "1","0")</f>
        <v>1</v>
      </c>
      <c r="CY262">
        <f ca="1" xml:space="preserve"> IF( AND( OFFSET($A$1, 262 - 1, 101 - 1) = "1", OFFSET($A$1, 262 - 1, 102 - 1) = "1" ), 1, IF( AND( OFFSET($A$1, 262 - 1, 101 - 1) = "1", OFFSET($A$1, 262 - 1, 102 - 1) = "0" ), 2, IF( AND( OFFSET($A$1, 262 - 1, 101 - 1) = "0", OFFSET($A$1, 262 - 1, 102 - 1) = "1" ), 3, 4 ) ) )</f>
        <v>3</v>
      </c>
    </row>
    <row r="263" spans="95:103" ht="13.8" x14ac:dyDescent="0.3">
      <c r="CQ263" s="24">
        <v>0.17989876352407078</v>
      </c>
      <c r="CR263" s="24" t="str">
        <f>"0"</f>
        <v>0</v>
      </c>
      <c r="CS263" t="str">
        <f ca="1">IF((OFFSET($A$1, 263 - 1, 95 - 1)) &gt;= (OFFSET($A$1, 55 - 1, 7 - 1)), "1","0")</f>
        <v>0</v>
      </c>
      <c r="CT263">
        <f ca="1" xml:space="preserve"> IF( AND( OFFSET($A$1, 263 - 1, 96 - 1) = "1", OFFSET($A$1, 263 - 1, 97 - 1) = "1" ), 1, IF( AND( OFFSET($A$1, 263 - 1, 96 - 1) = "1", OFFSET($A$1, 263 - 1, 97 - 1) = "0" ), 2, IF( AND( OFFSET($A$1, 263 - 1, 96 - 1) = "0", OFFSET($A$1, 263 - 1, 97 - 1) = "1" ), 3, 4 ) ) )</f>
        <v>4</v>
      </c>
      <c r="CV263" s="24">
        <v>0.98154760105055161</v>
      </c>
      <c r="CW263" s="24" t="str">
        <f>"0"</f>
        <v>0</v>
      </c>
      <c r="CX263" t="str">
        <f ca="1">IF((OFFSET($A$1, 263 - 1, 100 - 1)) &gt;= (OFFSET($A$1, 79 - 1, 7 - 1)), "1","0")</f>
        <v>1</v>
      </c>
      <c r="CY263">
        <f ca="1" xml:space="preserve"> IF( AND( OFFSET($A$1, 263 - 1, 101 - 1) = "1", OFFSET($A$1, 263 - 1, 102 - 1) = "1" ), 1, IF( AND( OFFSET($A$1, 263 - 1, 101 - 1) = "1", OFFSET($A$1, 263 - 1, 102 - 1) = "0" ), 2, IF( AND( OFFSET($A$1, 263 - 1, 101 - 1) = "0", OFFSET($A$1, 263 - 1, 102 - 1) = "1" ), 3, 4 ) ) )</f>
        <v>3</v>
      </c>
    </row>
    <row r="264" spans="95:103" ht="13.8" x14ac:dyDescent="0.3">
      <c r="CQ264" s="24">
        <v>0.9965926869146845</v>
      </c>
      <c r="CR264" s="24" t="str">
        <f>"0"</f>
        <v>0</v>
      </c>
      <c r="CS264" t="str">
        <f ca="1">IF((OFFSET($A$1, 264 - 1, 95 - 1)) &gt;= (OFFSET($A$1, 55 - 1, 7 - 1)), "1","0")</f>
        <v>1</v>
      </c>
      <c r="CT264">
        <f ca="1" xml:space="preserve"> IF( AND( OFFSET($A$1, 264 - 1, 96 - 1) = "1", OFFSET($A$1, 264 - 1, 97 - 1) = "1" ), 1, IF( AND( OFFSET($A$1, 264 - 1, 96 - 1) = "1", OFFSET($A$1, 264 - 1, 97 - 1) = "0" ), 2, IF( AND( OFFSET($A$1, 264 - 1, 96 - 1) = "0", OFFSET($A$1, 264 - 1, 97 - 1) = "1" ), 3, 4 ) ) )</f>
        <v>3</v>
      </c>
      <c r="CV264" s="24">
        <v>0.93168878636291108</v>
      </c>
      <c r="CW264" s="24" t="str">
        <f>"1"</f>
        <v>1</v>
      </c>
      <c r="CX264" t="str">
        <f ca="1">IF((OFFSET($A$1, 264 - 1, 100 - 1)) &gt;= (OFFSET($A$1, 79 - 1, 7 - 1)), "1","0")</f>
        <v>1</v>
      </c>
      <c r="CY264">
        <f ca="1" xml:space="preserve"> IF( AND( OFFSET($A$1, 264 - 1, 101 - 1) = "1", OFFSET($A$1, 264 - 1, 102 - 1) = "1" ), 1, IF( AND( OFFSET($A$1, 264 - 1, 101 - 1) = "1", OFFSET($A$1, 264 - 1, 102 - 1) = "0" ), 2, IF( AND( OFFSET($A$1, 264 - 1, 101 - 1) = "0", OFFSET($A$1, 264 - 1, 102 - 1) = "1" ), 3, 4 ) ) )</f>
        <v>1</v>
      </c>
    </row>
    <row r="265" spans="95:103" ht="13.8" x14ac:dyDescent="0.3">
      <c r="CQ265" s="24">
        <v>0.9243392547233944</v>
      </c>
      <c r="CR265" s="24" t="str">
        <f>"1"</f>
        <v>1</v>
      </c>
      <c r="CS265" t="str">
        <f ca="1">IF((OFFSET($A$1, 265 - 1, 95 - 1)) &gt;= (OFFSET($A$1, 55 - 1, 7 - 1)), "1","0")</f>
        <v>1</v>
      </c>
      <c r="CT265">
        <f ca="1" xml:space="preserve"> IF( AND( OFFSET($A$1, 265 - 1, 96 - 1) = "1", OFFSET($A$1, 265 - 1, 97 - 1) = "1" ), 1, IF( AND( OFFSET($A$1, 265 - 1, 96 - 1) = "1", OFFSET($A$1, 265 - 1, 97 - 1) = "0" ), 2, IF( AND( OFFSET($A$1, 265 - 1, 96 - 1) = "0", OFFSET($A$1, 265 - 1, 97 - 1) = "1" ), 3, 4 ) ) )</f>
        <v>1</v>
      </c>
      <c r="CV265" s="24">
        <v>0.9925170978988378</v>
      </c>
      <c r="CW265" s="24" t="str">
        <f>"1"</f>
        <v>1</v>
      </c>
      <c r="CX265" t="str">
        <f ca="1">IF((OFFSET($A$1, 265 - 1, 100 - 1)) &gt;= (OFFSET($A$1, 79 - 1, 7 - 1)), "1","0")</f>
        <v>1</v>
      </c>
      <c r="CY265">
        <f ca="1" xml:space="preserve"> IF( AND( OFFSET($A$1, 265 - 1, 101 - 1) = "1", OFFSET($A$1, 265 - 1, 102 - 1) = "1" ), 1, IF( AND( OFFSET($A$1, 265 - 1, 101 - 1) = "1", OFFSET($A$1, 265 - 1, 102 - 1) = "0" ), 2, IF( AND( OFFSET($A$1, 265 - 1, 101 - 1) = "0", OFFSET($A$1, 265 - 1, 102 - 1) = "1" ), 3, 4 ) ) )</f>
        <v>1</v>
      </c>
    </row>
    <row r="266" spans="95:103" ht="13.8" x14ac:dyDescent="0.3">
      <c r="CQ266" s="24">
        <v>8.1121082863704855E-2</v>
      </c>
      <c r="CR266" s="24" t="str">
        <f>"0"</f>
        <v>0</v>
      </c>
      <c r="CS266" t="str">
        <f ca="1">IF((OFFSET($A$1, 266 - 1, 95 - 1)) &gt;= (OFFSET($A$1, 55 - 1, 7 - 1)), "1","0")</f>
        <v>0</v>
      </c>
      <c r="CT266">
        <f ca="1" xml:space="preserve"> IF( AND( OFFSET($A$1, 266 - 1, 96 - 1) = "1", OFFSET($A$1, 266 - 1, 97 - 1) = "1" ), 1, IF( AND( OFFSET($A$1, 266 - 1, 96 - 1) = "1", OFFSET($A$1, 266 - 1, 97 - 1) = "0" ), 2, IF( AND( OFFSET($A$1, 266 - 1, 96 - 1) = "0", OFFSET($A$1, 266 - 1, 97 - 1) = "1" ), 3, 4 ) ) )</f>
        <v>4</v>
      </c>
      <c r="CV266" s="24">
        <v>0.99752548069990454</v>
      </c>
      <c r="CW266" s="24" t="str">
        <f>"1"</f>
        <v>1</v>
      </c>
      <c r="CX266" t="str">
        <f ca="1">IF((OFFSET($A$1, 266 - 1, 100 - 1)) &gt;= (OFFSET($A$1, 79 - 1, 7 - 1)), "1","0")</f>
        <v>1</v>
      </c>
      <c r="CY266">
        <f ca="1" xml:space="preserve"> IF( AND( OFFSET($A$1, 266 - 1, 101 - 1) = "1", OFFSET($A$1, 266 - 1, 102 - 1) = "1" ), 1, IF( AND( OFFSET($A$1, 266 - 1, 101 - 1) = "1", OFFSET($A$1, 266 - 1, 102 - 1) = "0" ), 2, IF( AND( OFFSET($A$1, 266 - 1, 101 - 1) = "0", OFFSET($A$1, 266 - 1, 102 - 1) = "1" ), 3, 4 ) ) )</f>
        <v>1</v>
      </c>
    </row>
    <row r="267" spans="95:103" ht="13.8" x14ac:dyDescent="0.3">
      <c r="CQ267" s="24">
        <v>0.98166795919650418</v>
      </c>
      <c r="CR267" s="24" t="str">
        <f>"1"</f>
        <v>1</v>
      </c>
      <c r="CS267" t="str">
        <f ca="1">IF((OFFSET($A$1, 267 - 1, 95 - 1)) &gt;= (OFFSET($A$1, 55 - 1, 7 - 1)), "1","0")</f>
        <v>1</v>
      </c>
      <c r="CT267">
        <f ca="1" xml:space="preserve"> IF( AND( OFFSET($A$1, 267 - 1, 96 - 1) = "1", OFFSET($A$1, 267 - 1, 97 - 1) = "1" ), 1, IF( AND( OFFSET($A$1, 267 - 1, 96 - 1) = "1", OFFSET($A$1, 267 - 1, 97 - 1) = "0" ), 2, IF( AND( OFFSET($A$1, 267 - 1, 96 - 1) = "0", OFFSET($A$1, 267 - 1, 97 - 1) = "1" ), 3, 4 ) ) )</f>
        <v>1</v>
      </c>
      <c r="CV267" s="24">
        <v>0.44370571717858975</v>
      </c>
      <c r="CW267" s="24" t="str">
        <f>"0"</f>
        <v>0</v>
      </c>
      <c r="CX267" t="str">
        <f ca="1">IF((OFFSET($A$1, 267 - 1, 100 - 1)) &gt;= (OFFSET($A$1, 79 - 1, 7 - 1)), "1","0")</f>
        <v>0</v>
      </c>
      <c r="CY267">
        <f ca="1" xml:space="preserve"> IF( AND( OFFSET($A$1, 267 - 1, 101 - 1) = "1", OFFSET($A$1, 267 - 1, 102 - 1) = "1" ), 1, IF( AND( OFFSET($A$1, 267 - 1, 101 - 1) = "1", OFFSET($A$1, 267 - 1, 102 - 1) = "0" ), 2, IF( AND( OFFSET($A$1, 267 - 1, 101 - 1) = "0", OFFSET($A$1, 267 - 1, 102 - 1) = "1" ), 3, 4 ) ) )</f>
        <v>4</v>
      </c>
    </row>
    <row r="268" spans="95:103" ht="13.8" x14ac:dyDescent="0.3">
      <c r="CQ268" s="24">
        <v>0.41432270862850584</v>
      </c>
      <c r="CR268" s="24" t="str">
        <f>"0"</f>
        <v>0</v>
      </c>
      <c r="CS268" t="str">
        <f ca="1">IF((OFFSET($A$1, 268 - 1, 95 - 1)) &gt;= (OFFSET($A$1, 55 - 1, 7 - 1)), "1","0")</f>
        <v>0</v>
      </c>
      <c r="CT268">
        <f ca="1" xml:space="preserve"> IF( AND( OFFSET($A$1, 268 - 1, 96 - 1) = "1", OFFSET($A$1, 268 - 1, 97 - 1) = "1" ), 1, IF( AND( OFFSET($A$1, 268 - 1, 96 - 1) = "1", OFFSET($A$1, 268 - 1, 97 - 1) = "0" ), 2, IF( AND( OFFSET($A$1, 268 - 1, 96 - 1) = "0", OFFSET($A$1, 268 - 1, 97 - 1) = "1" ), 3, 4 ) ) )</f>
        <v>4</v>
      </c>
      <c r="CV268" s="24">
        <v>0.98788969725103259</v>
      </c>
      <c r="CW268" s="24" t="str">
        <f t="shared" ref="CW268:CW274" si="22">"1"</f>
        <v>1</v>
      </c>
      <c r="CX268" t="str">
        <f ca="1">IF((OFFSET($A$1, 268 - 1, 100 - 1)) &gt;= (OFFSET($A$1, 79 - 1, 7 - 1)), "1","0")</f>
        <v>1</v>
      </c>
      <c r="CY268">
        <f ca="1" xml:space="preserve"> IF( AND( OFFSET($A$1, 268 - 1, 101 - 1) = "1", OFFSET($A$1, 268 - 1, 102 - 1) = "1" ), 1, IF( AND( OFFSET($A$1, 268 - 1, 101 - 1) = "1", OFFSET($A$1, 268 - 1, 102 - 1) = "0" ), 2, IF( AND( OFFSET($A$1, 268 - 1, 101 - 1) = "0", OFFSET($A$1, 268 - 1, 102 - 1) = "1" ), 3, 4 ) ) )</f>
        <v>1</v>
      </c>
    </row>
    <row r="269" spans="95:103" ht="13.8" x14ac:dyDescent="0.3">
      <c r="CQ269" s="24">
        <v>0.93965613948966586</v>
      </c>
      <c r="CR269" s="24" t="str">
        <f>"1"</f>
        <v>1</v>
      </c>
      <c r="CS269" t="str">
        <f ca="1">IF((OFFSET($A$1, 269 - 1, 95 - 1)) &gt;= (OFFSET($A$1, 55 - 1, 7 - 1)), "1","0")</f>
        <v>1</v>
      </c>
      <c r="CT269">
        <f ca="1" xml:space="preserve"> IF( AND( OFFSET($A$1, 269 - 1, 96 - 1) = "1", OFFSET($A$1, 269 - 1, 97 - 1) = "1" ), 1, IF( AND( OFFSET($A$1, 269 - 1, 96 - 1) = "1", OFFSET($A$1, 269 - 1, 97 - 1) = "0" ), 2, IF( AND( OFFSET($A$1, 269 - 1, 96 - 1) = "0", OFFSET($A$1, 269 - 1, 97 - 1) = "1" ), 3, 4 ) ) )</f>
        <v>1</v>
      </c>
      <c r="CV269" s="24">
        <v>0.97141587281257258</v>
      </c>
      <c r="CW269" s="24" t="str">
        <f t="shared" si="22"/>
        <v>1</v>
      </c>
      <c r="CX269" t="str">
        <f ca="1">IF((OFFSET($A$1, 269 - 1, 100 - 1)) &gt;= (OFFSET($A$1, 79 - 1, 7 - 1)), "1","0")</f>
        <v>1</v>
      </c>
      <c r="CY269">
        <f ca="1" xml:space="preserve"> IF( AND( OFFSET($A$1, 269 - 1, 101 - 1) = "1", OFFSET($A$1, 269 - 1, 102 - 1) = "1" ), 1, IF( AND( OFFSET($A$1, 269 - 1, 101 - 1) = "1", OFFSET($A$1, 269 - 1, 102 - 1) = "0" ), 2, IF( AND( OFFSET($A$1, 269 - 1, 101 - 1) = "0", OFFSET($A$1, 269 - 1, 102 - 1) = "1" ), 3, 4 ) ) )</f>
        <v>1</v>
      </c>
    </row>
    <row r="270" spans="95:103" ht="13.8" x14ac:dyDescent="0.3">
      <c r="CQ270" s="24">
        <v>0.99945566448887169</v>
      </c>
      <c r="CR270" s="24" t="str">
        <f>"1"</f>
        <v>1</v>
      </c>
      <c r="CS270" t="str">
        <f ca="1">IF((OFFSET($A$1, 270 - 1, 95 - 1)) &gt;= (OFFSET($A$1, 55 - 1, 7 - 1)), "1","0")</f>
        <v>1</v>
      </c>
      <c r="CT270">
        <f ca="1" xml:space="preserve"> IF( AND( OFFSET($A$1, 270 - 1, 96 - 1) = "1", OFFSET($A$1, 270 - 1, 97 - 1) = "1" ), 1, IF( AND( OFFSET($A$1, 270 - 1, 96 - 1) = "1", OFFSET($A$1, 270 - 1, 97 - 1) = "0" ), 2, IF( AND( OFFSET($A$1, 270 - 1, 96 - 1) = "0", OFFSET($A$1, 270 - 1, 97 - 1) = "1" ), 3, 4 ) ) )</f>
        <v>1</v>
      </c>
      <c r="CV270" s="24">
        <v>0.99529460922730406</v>
      </c>
      <c r="CW270" s="24" t="str">
        <f t="shared" si="22"/>
        <v>1</v>
      </c>
      <c r="CX270" t="str">
        <f ca="1">IF((OFFSET($A$1, 270 - 1, 100 - 1)) &gt;= (OFFSET($A$1, 79 - 1, 7 - 1)), "1","0")</f>
        <v>1</v>
      </c>
      <c r="CY270">
        <f ca="1" xml:space="preserve"> IF( AND( OFFSET($A$1, 270 - 1, 101 - 1) = "1", OFFSET($A$1, 270 - 1, 102 - 1) = "1" ), 1, IF( AND( OFFSET($A$1, 270 - 1, 101 - 1) = "1", OFFSET($A$1, 270 - 1, 102 - 1) = "0" ), 2, IF( AND( OFFSET($A$1, 270 - 1, 101 - 1) = "0", OFFSET($A$1, 270 - 1, 102 - 1) = "1" ), 3, 4 ) ) )</f>
        <v>1</v>
      </c>
    </row>
    <row r="271" spans="95:103" ht="13.8" x14ac:dyDescent="0.3">
      <c r="CQ271" s="24">
        <v>5.0740478607999517E-2</v>
      </c>
      <c r="CR271" s="24" t="str">
        <f>"0"</f>
        <v>0</v>
      </c>
      <c r="CS271" t="str">
        <f ca="1">IF((OFFSET($A$1, 271 - 1, 95 - 1)) &gt;= (OFFSET($A$1, 55 - 1, 7 - 1)), "1","0")</f>
        <v>0</v>
      </c>
      <c r="CT271">
        <f ca="1" xml:space="preserve"> IF( AND( OFFSET($A$1, 271 - 1, 96 - 1) = "1", OFFSET($A$1, 271 - 1, 97 - 1) = "1" ), 1, IF( AND( OFFSET($A$1, 271 - 1, 96 - 1) = "1", OFFSET($A$1, 271 - 1, 97 - 1) = "0" ), 2, IF( AND( OFFSET($A$1, 271 - 1, 96 - 1) = "0", OFFSET($A$1, 271 - 1, 97 - 1) = "1" ), 3, 4 ) ) )</f>
        <v>4</v>
      </c>
      <c r="CV271" s="24">
        <v>0.82761481090634448</v>
      </c>
      <c r="CW271" s="24" t="str">
        <f t="shared" si="22"/>
        <v>1</v>
      </c>
      <c r="CX271" t="str">
        <f ca="1">IF((OFFSET($A$1, 271 - 1, 100 - 1)) &gt;= (OFFSET($A$1, 79 - 1, 7 - 1)), "1","0")</f>
        <v>1</v>
      </c>
      <c r="CY271">
        <f ca="1" xml:space="preserve"> IF( AND( OFFSET($A$1, 271 - 1, 101 - 1) = "1", OFFSET($A$1, 271 - 1, 102 - 1) = "1" ), 1, IF( AND( OFFSET($A$1, 271 - 1, 101 - 1) = "1", OFFSET($A$1, 271 - 1, 102 - 1) = "0" ), 2, IF( AND( OFFSET($A$1, 271 - 1, 101 - 1) = "0", OFFSET($A$1, 271 - 1, 102 - 1) = "1" ), 3, 4 ) ) )</f>
        <v>1</v>
      </c>
    </row>
    <row r="272" spans="95:103" ht="13.8" x14ac:dyDescent="0.3">
      <c r="CQ272" s="24">
        <v>0.99859662082814404</v>
      </c>
      <c r="CR272" s="24" t="str">
        <f t="shared" ref="CR272:CR282" si="23">"1"</f>
        <v>1</v>
      </c>
      <c r="CS272" t="str">
        <f ca="1">IF((OFFSET($A$1, 272 - 1, 95 - 1)) &gt;= (OFFSET($A$1, 55 - 1, 7 - 1)), "1","0")</f>
        <v>1</v>
      </c>
      <c r="CT272">
        <f ca="1" xml:space="preserve"> IF( AND( OFFSET($A$1, 272 - 1, 96 - 1) = "1", OFFSET($A$1, 272 - 1, 97 - 1) = "1" ), 1, IF( AND( OFFSET($A$1, 272 - 1, 96 - 1) = "1", OFFSET($A$1, 272 - 1, 97 - 1) = "0" ), 2, IF( AND( OFFSET($A$1, 272 - 1, 96 - 1) = "0", OFFSET($A$1, 272 - 1, 97 - 1) = "1" ), 3, 4 ) ) )</f>
        <v>1</v>
      </c>
      <c r="CV272" s="24">
        <v>0.99722912297785848</v>
      </c>
      <c r="CW272" s="24" t="str">
        <f t="shared" si="22"/>
        <v>1</v>
      </c>
      <c r="CX272" t="str">
        <f ca="1">IF((OFFSET($A$1, 272 - 1, 100 - 1)) &gt;= (OFFSET($A$1, 79 - 1, 7 - 1)), "1","0")</f>
        <v>1</v>
      </c>
      <c r="CY272">
        <f ca="1" xml:space="preserve"> IF( AND( OFFSET($A$1, 272 - 1, 101 - 1) = "1", OFFSET($A$1, 272 - 1, 102 - 1) = "1" ), 1, IF( AND( OFFSET($A$1, 272 - 1, 101 - 1) = "1", OFFSET($A$1, 272 - 1, 102 - 1) = "0" ), 2, IF( AND( OFFSET($A$1, 272 - 1, 101 - 1) = "0", OFFSET($A$1, 272 - 1, 102 - 1) = "1" ), 3, 4 ) ) )</f>
        <v>1</v>
      </c>
    </row>
    <row r="273" spans="95:103" ht="13.8" x14ac:dyDescent="0.3">
      <c r="CQ273" s="24">
        <v>0.98446386793702445</v>
      </c>
      <c r="CR273" s="24" t="str">
        <f t="shared" si="23"/>
        <v>1</v>
      </c>
      <c r="CS273" t="str">
        <f ca="1">IF((OFFSET($A$1, 273 - 1, 95 - 1)) &gt;= (OFFSET($A$1, 55 - 1, 7 - 1)), "1","0")</f>
        <v>1</v>
      </c>
      <c r="CT273">
        <f ca="1" xml:space="preserve"> IF( AND( OFFSET($A$1, 273 - 1, 96 - 1) = "1", OFFSET($A$1, 273 - 1, 97 - 1) = "1" ), 1, IF( AND( OFFSET($A$1, 273 - 1, 96 - 1) = "1", OFFSET($A$1, 273 - 1, 97 - 1) = "0" ), 2, IF( AND( OFFSET($A$1, 273 - 1, 96 - 1) = "0", OFFSET($A$1, 273 - 1, 97 - 1) = "1" ), 3, 4 ) ) )</f>
        <v>1</v>
      </c>
      <c r="CV273" s="24">
        <v>0.9938493791485894</v>
      </c>
      <c r="CW273" s="24" t="str">
        <f t="shared" si="22"/>
        <v>1</v>
      </c>
      <c r="CX273" t="str">
        <f ca="1">IF((OFFSET($A$1, 273 - 1, 100 - 1)) &gt;= (OFFSET($A$1, 79 - 1, 7 - 1)), "1","0")</f>
        <v>1</v>
      </c>
      <c r="CY273">
        <f ca="1" xml:space="preserve"> IF( AND( OFFSET($A$1, 273 - 1, 101 - 1) = "1", OFFSET($A$1, 273 - 1, 102 - 1) = "1" ), 1, IF( AND( OFFSET($A$1, 273 - 1, 101 - 1) = "1", OFFSET($A$1, 273 - 1, 102 - 1) = "0" ), 2, IF( AND( OFFSET($A$1, 273 - 1, 101 - 1) = "0", OFFSET($A$1, 273 - 1, 102 - 1) = "1" ), 3, 4 ) ) )</f>
        <v>1</v>
      </c>
    </row>
    <row r="274" spans="95:103" ht="13.8" x14ac:dyDescent="0.3">
      <c r="CQ274" s="24">
        <v>0.97084969134452426</v>
      </c>
      <c r="CR274" s="24" t="str">
        <f t="shared" si="23"/>
        <v>1</v>
      </c>
      <c r="CS274" t="str">
        <f ca="1">IF((OFFSET($A$1, 274 - 1, 95 - 1)) &gt;= (OFFSET($A$1, 55 - 1, 7 - 1)), "1","0")</f>
        <v>1</v>
      </c>
      <c r="CT274">
        <f ca="1" xml:space="preserve"> IF( AND( OFFSET($A$1, 274 - 1, 96 - 1) = "1", OFFSET($A$1, 274 - 1, 97 - 1) = "1" ), 1, IF( AND( OFFSET($A$1, 274 - 1, 96 - 1) = "1", OFFSET($A$1, 274 - 1, 97 - 1) = "0" ), 2, IF( AND( OFFSET($A$1, 274 - 1, 96 - 1) = "0", OFFSET($A$1, 274 - 1, 97 - 1) = "1" ), 3, 4 ) ) )</f>
        <v>1</v>
      </c>
      <c r="CV274" s="24">
        <v>0.99093015765112658</v>
      </c>
      <c r="CW274" s="24" t="str">
        <f t="shared" si="22"/>
        <v>1</v>
      </c>
      <c r="CX274" t="str">
        <f ca="1">IF((OFFSET($A$1, 274 - 1, 100 - 1)) &gt;= (OFFSET($A$1, 79 - 1, 7 - 1)), "1","0")</f>
        <v>1</v>
      </c>
      <c r="CY274">
        <f ca="1" xml:space="preserve"> IF( AND( OFFSET($A$1, 274 - 1, 101 - 1) = "1", OFFSET($A$1, 274 - 1, 102 - 1) = "1" ), 1, IF( AND( OFFSET($A$1, 274 - 1, 101 - 1) = "1", OFFSET($A$1, 274 - 1, 102 - 1) = "0" ), 2, IF( AND( OFFSET($A$1, 274 - 1, 101 - 1) = "0", OFFSET($A$1, 274 - 1, 102 - 1) = "1" ), 3, 4 ) ) )</f>
        <v>1</v>
      </c>
    </row>
    <row r="275" spans="95:103" ht="13.8" x14ac:dyDescent="0.3">
      <c r="CQ275" s="24">
        <v>0.97285339059978926</v>
      </c>
      <c r="CR275" s="24" t="str">
        <f t="shared" si="23"/>
        <v>1</v>
      </c>
      <c r="CS275" t="str">
        <f ca="1">IF((OFFSET($A$1, 275 - 1, 95 - 1)) &gt;= (OFFSET($A$1, 55 - 1, 7 - 1)), "1","0")</f>
        <v>1</v>
      </c>
      <c r="CT275">
        <f ca="1" xml:space="preserve"> IF( AND( OFFSET($A$1, 275 - 1, 96 - 1) = "1", OFFSET($A$1, 275 - 1, 97 - 1) = "1" ), 1, IF( AND( OFFSET($A$1, 275 - 1, 96 - 1) = "1", OFFSET($A$1, 275 - 1, 97 - 1) = "0" ), 2, IF( AND( OFFSET($A$1, 275 - 1, 96 - 1) = "0", OFFSET($A$1, 275 - 1, 97 - 1) = "1" ), 3, 4 ) ) )</f>
        <v>1</v>
      </c>
      <c r="CV275" s="24">
        <v>1.6266558704151151E-2</v>
      </c>
      <c r="CW275" s="24" t="str">
        <f>"0"</f>
        <v>0</v>
      </c>
      <c r="CX275" t="str">
        <f ca="1">IF((OFFSET($A$1, 275 - 1, 100 - 1)) &gt;= (OFFSET($A$1, 79 - 1, 7 - 1)), "1","0")</f>
        <v>0</v>
      </c>
      <c r="CY275">
        <f ca="1" xml:space="preserve"> IF( AND( OFFSET($A$1, 275 - 1, 101 - 1) = "1", OFFSET($A$1, 275 - 1, 102 - 1) = "1" ), 1, IF( AND( OFFSET($A$1, 275 - 1, 101 - 1) = "1", OFFSET($A$1, 275 - 1, 102 - 1) = "0" ), 2, IF( AND( OFFSET($A$1, 275 - 1, 101 - 1) = "0", OFFSET($A$1, 275 - 1, 102 - 1) = "1" ), 3, 4 ) ) )</f>
        <v>4</v>
      </c>
    </row>
    <row r="276" spans="95:103" ht="13.8" x14ac:dyDescent="0.3">
      <c r="CQ276" s="24">
        <v>0.78550123462152677</v>
      </c>
      <c r="CR276" s="24" t="str">
        <f t="shared" si="23"/>
        <v>1</v>
      </c>
      <c r="CS276" t="str">
        <f ca="1">IF((OFFSET($A$1, 276 - 1, 95 - 1)) &gt;= (OFFSET($A$1, 55 - 1, 7 - 1)), "1","0")</f>
        <v>1</v>
      </c>
      <c r="CT276">
        <f ca="1" xml:space="preserve"> IF( AND( OFFSET($A$1, 276 - 1, 96 - 1) = "1", OFFSET($A$1, 276 - 1, 97 - 1) = "1" ), 1, IF( AND( OFFSET($A$1, 276 - 1, 96 - 1) = "1", OFFSET($A$1, 276 - 1, 97 - 1) = "0" ), 2, IF( AND( OFFSET($A$1, 276 - 1, 96 - 1) = "0", OFFSET($A$1, 276 - 1, 97 - 1) = "1" ), 3, 4 ) ) )</f>
        <v>1</v>
      </c>
      <c r="CV276" s="24">
        <v>0.90252258571493438</v>
      </c>
      <c r="CW276" s="24" t="str">
        <f>"0"</f>
        <v>0</v>
      </c>
      <c r="CX276" t="str">
        <f ca="1">IF((OFFSET($A$1, 276 - 1, 100 - 1)) &gt;= (OFFSET($A$1, 79 - 1, 7 - 1)), "1","0")</f>
        <v>1</v>
      </c>
      <c r="CY276">
        <f ca="1" xml:space="preserve"> IF( AND( OFFSET($A$1, 276 - 1, 101 - 1) = "1", OFFSET($A$1, 276 - 1, 102 - 1) = "1" ), 1, IF( AND( OFFSET($A$1, 276 - 1, 101 - 1) = "1", OFFSET($A$1, 276 - 1, 102 - 1) = "0" ), 2, IF( AND( OFFSET($A$1, 276 - 1, 101 - 1) = "0", OFFSET($A$1, 276 - 1, 102 - 1) = "1" ), 3, 4 ) ) )</f>
        <v>3</v>
      </c>
    </row>
    <row r="277" spans="95:103" ht="13.8" x14ac:dyDescent="0.3">
      <c r="CQ277" s="24">
        <v>0.98996036129574527</v>
      </c>
      <c r="CR277" s="24" t="str">
        <f t="shared" si="23"/>
        <v>1</v>
      </c>
      <c r="CS277" t="str">
        <f ca="1">IF((OFFSET($A$1, 277 - 1, 95 - 1)) &gt;= (OFFSET($A$1, 55 - 1, 7 - 1)), "1","0")</f>
        <v>1</v>
      </c>
      <c r="CT277">
        <f ca="1" xml:space="preserve"> IF( AND( OFFSET($A$1, 277 - 1, 96 - 1) = "1", OFFSET($A$1, 277 - 1, 97 - 1) = "1" ), 1, IF( AND( OFFSET($A$1, 277 - 1, 96 - 1) = "1", OFFSET($A$1, 277 - 1, 97 - 1) = "0" ), 2, IF( AND( OFFSET($A$1, 277 - 1, 96 - 1) = "0", OFFSET($A$1, 277 - 1, 97 - 1) = "1" ), 3, 4 ) ) )</f>
        <v>1</v>
      </c>
      <c r="CV277" s="24">
        <v>0.97856787204375195</v>
      </c>
      <c r="CW277" s="24" t="str">
        <f t="shared" ref="CW277:CW282" si="24">"1"</f>
        <v>1</v>
      </c>
      <c r="CX277" t="str">
        <f ca="1">IF((OFFSET($A$1, 277 - 1, 100 - 1)) &gt;= (OFFSET($A$1, 79 - 1, 7 - 1)), "1","0")</f>
        <v>1</v>
      </c>
      <c r="CY277">
        <f ca="1" xml:space="preserve"> IF( AND( OFFSET($A$1, 277 - 1, 101 - 1) = "1", OFFSET($A$1, 277 - 1, 102 - 1) = "1" ), 1, IF( AND( OFFSET($A$1, 277 - 1, 101 - 1) = "1", OFFSET($A$1, 277 - 1, 102 - 1) = "0" ), 2, IF( AND( OFFSET($A$1, 277 - 1, 101 - 1) = "0", OFFSET($A$1, 277 - 1, 102 - 1) = "1" ), 3, 4 ) ) )</f>
        <v>1</v>
      </c>
    </row>
    <row r="278" spans="95:103" ht="13.8" x14ac:dyDescent="0.3">
      <c r="CQ278" s="24">
        <v>0.97807613034252694</v>
      </c>
      <c r="CR278" s="24" t="str">
        <f t="shared" si="23"/>
        <v>1</v>
      </c>
      <c r="CS278" t="str">
        <f ca="1">IF((OFFSET($A$1, 278 - 1, 95 - 1)) &gt;= (OFFSET($A$1, 55 - 1, 7 - 1)), "1","0")</f>
        <v>1</v>
      </c>
      <c r="CT278">
        <f ca="1" xml:space="preserve"> IF( AND( OFFSET($A$1, 278 - 1, 96 - 1) = "1", OFFSET($A$1, 278 - 1, 97 - 1) = "1" ), 1, IF( AND( OFFSET($A$1, 278 - 1, 96 - 1) = "1", OFFSET($A$1, 278 - 1, 97 - 1) = "0" ), 2, IF( AND( OFFSET($A$1, 278 - 1, 96 - 1) = "0", OFFSET($A$1, 278 - 1, 97 - 1) = "1" ), 3, 4 ) ) )</f>
        <v>1</v>
      </c>
      <c r="CV278" s="24">
        <v>0.98689740145004301</v>
      </c>
      <c r="CW278" s="24" t="str">
        <f t="shared" si="24"/>
        <v>1</v>
      </c>
      <c r="CX278" t="str">
        <f ca="1">IF((OFFSET($A$1, 278 - 1, 100 - 1)) &gt;= (OFFSET($A$1, 79 - 1, 7 - 1)), "1","0")</f>
        <v>1</v>
      </c>
      <c r="CY278">
        <f ca="1" xml:space="preserve"> IF( AND( OFFSET($A$1, 278 - 1, 101 - 1) = "1", OFFSET($A$1, 278 - 1, 102 - 1) = "1" ), 1, IF( AND( OFFSET($A$1, 278 - 1, 101 - 1) = "1", OFFSET($A$1, 278 - 1, 102 - 1) = "0" ), 2, IF( AND( OFFSET($A$1, 278 - 1, 101 - 1) = "0", OFFSET($A$1, 278 - 1, 102 - 1) = "1" ), 3, 4 ) ) )</f>
        <v>1</v>
      </c>
    </row>
    <row r="279" spans="95:103" ht="13.8" x14ac:dyDescent="0.3">
      <c r="CQ279" s="24">
        <v>0.99258251830281208</v>
      </c>
      <c r="CR279" s="24" t="str">
        <f t="shared" si="23"/>
        <v>1</v>
      </c>
      <c r="CS279" t="str">
        <f ca="1">IF((OFFSET($A$1, 279 - 1, 95 - 1)) &gt;= (OFFSET($A$1, 55 - 1, 7 - 1)), "1","0")</f>
        <v>1</v>
      </c>
      <c r="CT279">
        <f ca="1" xml:space="preserve"> IF( AND( OFFSET($A$1, 279 - 1, 96 - 1) = "1", OFFSET($A$1, 279 - 1, 97 - 1) = "1" ), 1, IF( AND( OFFSET($A$1, 279 - 1, 96 - 1) = "1", OFFSET($A$1, 279 - 1, 97 - 1) = "0" ), 2, IF( AND( OFFSET($A$1, 279 - 1, 96 - 1) = "0", OFFSET($A$1, 279 - 1, 97 - 1) = "1" ), 3, 4 ) ) )</f>
        <v>1</v>
      </c>
      <c r="CV279" s="24">
        <v>0.41734181908565321</v>
      </c>
      <c r="CW279" s="24" t="str">
        <f t="shared" si="24"/>
        <v>1</v>
      </c>
      <c r="CX279" t="str">
        <f ca="1">IF((OFFSET($A$1, 279 - 1, 100 - 1)) &gt;= (OFFSET($A$1, 79 - 1, 7 - 1)), "1","0")</f>
        <v>0</v>
      </c>
      <c r="CY279">
        <f ca="1" xml:space="preserve"> IF( AND( OFFSET($A$1, 279 - 1, 101 - 1) = "1", OFFSET($A$1, 279 - 1, 102 - 1) = "1" ), 1, IF( AND( OFFSET($A$1, 279 - 1, 101 - 1) = "1", OFFSET($A$1, 279 - 1, 102 - 1) = "0" ), 2, IF( AND( OFFSET($A$1, 279 - 1, 101 - 1) = "0", OFFSET($A$1, 279 - 1, 102 - 1) = "1" ), 3, 4 ) ) )</f>
        <v>2</v>
      </c>
    </row>
    <row r="280" spans="95:103" ht="13.8" x14ac:dyDescent="0.3">
      <c r="CQ280" s="24">
        <v>0.9547397118255071</v>
      </c>
      <c r="CR280" s="24" t="str">
        <f t="shared" si="23"/>
        <v>1</v>
      </c>
      <c r="CS280" t="str">
        <f ca="1">IF((OFFSET($A$1, 280 - 1, 95 - 1)) &gt;= (OFFSET($A$1, 55 - 1, 7 - 1)), "1","0")</f>
        <v>1</v>
      </c>
      <c r="CT280">
        <f ca="1" xml:space="preserve"> IF( AND( OFFSET($A$1, 280 - 1, 96 - 1) = "1", OFFSET($A$1, 280 - 1, 97 - 1) = "1" ), 1, IF( AND( OFFSET($A$1, 280 - 1, 96 - 1) = "1", OFFSET($A$1, 280 - 1, 97 - 1) = "0" ), 2, IF( AND( OFFSET($A$1, 280 - 1, 96 - 1) = "0", OFFSET($A$1, 280 - 1, 97 - 1) = "1" ), 3, 4 ) ) )</f>
        <v>1</v>
      </c>
      <c r="CV280" s="24">
        <v>0.30713123357197131</v>
      </c>
      <c r="CW280" s="24" t="str">
        <f t="shared" si="24"/>
        <v>1</v>
      </c>
      <c r="CX280" t="str">
        <f ca="1">IF((OFFSET($A$1, 280 - 1, 100 - 1)) &gt;= (OFFSET($A$1, 79 - 1, 7 - 1)), "1","0")</f>
        <v>0</v>
      </c>
      <c r="CY280">
        <f ca="1" xml:space="preserve"> IF( AND( OFFSET($A$1, 280 - 1, 101 - 1) = "1", OFFSET($A$1, 280 - 1, 102 - 1) = "1" ), 1, IF( AND( OFFSET($A$1, 280 - 1, 101 - 1) = "1", OFFSET($A$1, 280 - 1, 102 - 1) = "0" ), 2, IF( AND( OFFSET($A$1, 280 - 1, 101 - 1) = "0", OFFSET($A$1, 280 - 1, 102 - 1) = "1" ), 3, 4 ) ) )</f>
        <v>2</v>
      </c>
    </row>
    <row r="281" spans="95:103" ht="13.8" x14ac:dyDescent="0.3">
      <c r="CQ281" s="24">
        <v>0.99731975427878017</v>
      </c>
      <c r="CR281" s="24" t="str">
        <f t="shared" si="23"/>
        <v>1</v>
      </c>
      <c r="CS281" t="str">
        <f ca="1">IF((OFFSET($A$1, 281 - 1, 95 - 1)) &gt;= (OFFSET($A$1, 55 - 1, 7 - 1)), "1","0")</f>
        <v>1</v>
      </c>
      <c r="CT281">
        <f ca="1" xml:space="preserve"> IF( AND( OFFSET($A$1, 281 - 1, 96 - 1) = "1", OFFSET($A$1, 281 - 1, 97 - 1) = "1" ), 1, IF( AND( OFFSET($A$1, 281 - 1, 96 - 1) = "1", OFFSET($A$1, 281 - 1, 97 - 1) = "0" ), 2, IF( AND( OFFSET($A$1, 281 - 1, 96 - 1) = "0", OFFSET($A$1, 281 - 1, 97 - 1) = "1" ), 3, 4 ) ) )</f>
        <v>1</v>
      </c>
      <c r="CV281" s="24">
        <v>0.99806729993492294</v>
      </c>
      <c r="CW281" s="24" t="str">
        <f t="shared" si="24"/>
        <v>1</v>
      </c>
      <c r="CX281" t="str">
        <f ca="1">IF((OFFSET($A$1, 281 - 1, 100 - 1)) &gt;= (OFFSET($A$1, 79 - 1, 7 - 1)), "1","0")</f>
        <v>1</v>
      </c>
      <c r="CY281">
        <f ca="1" xml:space="preserve"> IF( AND( OFFSET($A$1, 281 - 1, 101 - 1) = "1", OFFSET($A$1, 281 - 1, 102 - 1) = "1" ), 1, IF( AND( OFFSET($A$1, 281 - 1, 101 - 1) = "1", OFFSET($A$1, 281 - 1, 102 - 1) = "0" ), 2, IF( AND( OFFSET($A$1, 281 - 1, 101 - 1) = "0", OFFSET($A$1, 281 - 1, 102 - 1) = "1" ), 3, 4 ) ) )</f>
        <v>1</v>
      </c>
    </row>
    <row r="282" spans="95:103" ht="13.8" x14ac:dyDescent="0.3">
      <c r="CQ282" s="24">
        <v>0.9516603594647538</v>
      </c>
      <c r="CR282" s="24" t="str">
        <f t="shared" si="23"/>
        <v>1</v>
      </c>
      <c r="CS282" t="str">
        <f ca="1">IF((OFFSET($A$1, 282 - 1, 95 - 1)) &gt;= (OFFSET($A$1, 55 - 1, 7 - 1)), "1","0")</f>
        <v>1</v>
      </c>
      <c r="CT282">
        <f ca="1" xml:space="preserve"> IF( AND( OFFSET($A$1, 282 - 1, 96 - 1) = "1", OFFSET($A$1, 282 - 1, 97 - 1) = "1" ), 1, IF( AND( OFFSET($A$1, 282 - 1, 96 - 1) = "1", OFFSET($A$1, 282 - 1, 97 - 1) = "0" ), 2, IF( AND( OFFSET($A$1, 282 - 1, 96 - 1) = "0", OFFSET($A$1, 282 - 1, 97 - 1) = "1" ), 3, 4 ) ) )</f>
        <v>1</v>
      </c>
      <c r="CV282" s="24">
        <v>0.99244745346888896</v>
      </c>
      <c r="CW282" s="24" t="str">
        <f t="shared" si="24"/>
        <v>1</v>
      </c>
      <c r="CX282" t="str">
        <f ca="1">IF((OFFSET($A$1, 282 - 1, 100 - 1)) &gt;= (OFFSET($A$1, 79 - 1, 7 - 1)), "1","0")</f>
        <v>1</v>
      </c>
      <c r="CY282">
        <f ca="1" xml:space="preserve"> IF( AND( OFFSET($A$1, 282 - 1, 101 - 1) = "1", OFFSET($A$1, 282 - 1, 102 - 1) = "1" ), 1, IF( AND( OFFSET($A$1, 282 - 1, 101 - 1) = "1", OFFSET($A$1, 282 - 1, 102 - 1) = "0" ), 2, IF( AND( OFFSET($A$1, 282 - 1, 101 - 1) = "0", OFFSET($A$1, 282 - 1, 102 - 1) = "1" ), 3, 4 ) ) )</f>
        <v>1</v>
      </c>
    </row>
    <row r="283" spans="95:103" ht="13.8" x14ac:dyDescent="0.3">
      <c r="CQ283" s="24">
        <v>2.7009394032300085E-2</v>
      </c>
      <c r="CR283" s="24" t="str">
        <f>"0"</f>
        <v>0</v>
      </c>
      <c r="CS283" t="str">
        <f ca="1">IF((OFFSET($A$1, 283 - 1, 95 - 1)) &gt;= (OFFSET($A$1, 55 - 1, 7 - 1)), "1","0")</f>
        <v>0</v>
      </c>
      <c r="CT283">
        <f ca="1" xml:space="preserve"> IF( AND( OFFSET($A$1, 283 - 1, 96 - 1) = "1", OFFSET($A$1, 283 - 1, 97 - 1) = "1" ), 1, IF( AND( OFFSET($A$1, 283 - 1, 96 - 1) = "1", OFFSET($A$1, 283 - 1, 97 - 1) = "0" ), 2, IF( AND( OFFSET($A$1, 283 - 1, 96 - 1) = "0", OFFSET($A$1, 283 - 1, 97 - 1) = "1" ), 3, 4 ) ) )</f>
        <v>4</v>
      </c>
      <c r="CV283" s="24">
        <v>0.99450158336363936</v>
      </c>
      <c r="CW283" s="24" t="str">
        <f>"0"</f>
        <v>0</v>
      </c>
      <c r="CX283" t="str">
        <f ca="1">IF((OFFSET($A$1, 283 - 1, 100 - 1)) &gt;= (OFFSET($A$1, 79 - 1, 7 - 1)), "1","0")</f>
        <v>1</v>
      </c>
      <c r="CY283">
        <f ca="1" xml:space="preserve"> IF( AND( OFFSET($A$1, 283 - 1, 101 - 1) = "1", OFFSET($A$1, 283 - 1, 102 - 1) = "1" ), 1, IF( AND( OFFSET($A$1, 283 - 1, 101 - 1) = "1", OFFSET($A$1, 283 - 1, 102 - 1) = "0" ), 2, IF( AND( OFFSET($A$1, 283 - 1, 101 - 1) = "0", OFFSET($A$1, 283 - 1, 102 - 1) = "1" ), 3, 4 ) ) )</f>
        <v>3</v>
      </c>
    </row>
    <row r="284" spans="95:103" ht="13.8" x14ac:dyDescent="0.3">
      <c r="CQ284" s="24">
        <v>0.98568127943801109</v>
      </c>
      <c r="CR284" s="24" t="str">
        <f>"1"</f>
        <v>1</v>
      </c>
      <c r="CS284" t="str">
        <f ca="1">IF((OFFSET($A$1, 284 - 1, 95 - 1)) &gt;= (OFFSET($A$1, 55 - 1, 7 - 1)), "1","0")</f>
        <v>1</v>
      </c>
      <c r="CT284">
        <f ca="1" xml:space="preserve"> IF( AND( OFFSET($A$1, 284 - 1, 96 - 1) = "1", OFFSET($A$1, 284 - 1, 97 - 1) = "1" ), 1, IF( AND( OFFSET($A$1, 284 - 1, 96 - 1) = "1", OFFSET($A$1, 284 - 1, 97 - 1) = "0" ), 2, IF( AND( OFFSET($A$1, 284 - 1, 96 - 1) = "0", OFFSET($A$1, 284 - 1, 97 - 1) = "1" ), 3, 4 ) ) )</f>
        <v>1</v>
      </c>
      <c r="CV284" s="24">
        <v>0.59865246235566816</v>
      </c>
      <c r="CW284" s="24" t="str">
        <f>"0"</f>
        <v>0</v>
      </c>
      <c r="CX284" t="str">
        <f ca="1">IF((OFFSET($A$1, 284 - 1, 100 - 1)) &gt;= (OFFSET($A$1, 79 - 1, 7 - 1)), "1","0")</f>
        <v>1</v>
      </c>
      <c r="CY284">
        <f ca="1" xml:space="preserve"> IF( AND( OFFSET($A$1, 284 - 1, 101 - 1) = "1", OFFSET($A$1, 284 - 1, 102 - 1) = "1" ), 1, IF( AND( OFFSET($A$1, 284 - 1, 101 - 1) = "1", OFFSET($A$1, 284 - 1, 102 - 1) = "0" ), 2, IF( AND( OFFSET($A$1, 284 - 1, 101 - 1) = "0", OFFSET($A$1, 284 - 1, 102 - 1) = "1" ), 3, 4 ) ) )</f>
        <v>3</v>
      </c>
    </row>
    <row r="285" spans="95:103" ht="13.8" x14ac:dyDescent="0.3">
      <c r="CQ285" s="24">
        <v>5.2756348963373646E-2</v>
      </c>
      <c r="CR285" s="24" t="str">
        <f>"0"</f>
        <v>0</v>
      </c>
      <c r="CS285" t="str">
        <f ca="1">IF((OFFSET($A$1, 285 - 1, 95 - 1)) &gt;= (OFFSET($A$1, 55 - 1, 7 - 1)), "1","0")</f>
        <v>0</v>
      </c>
      <c r="CT285">
        <f ca="1" xml:space="preserve"> IF( AND( OFFSET($A$1, 285 - 1, 96 - 1) = "1", OFFSET($A$1, 285 - 1, 97 - 1) = "1" ), 1, IF( AND( OFFSET($A$1, 285 - 1, 96 - 1) = "1", OFFSET($A$1, 285 - 1, 97 - 1) = "0" ), 2, IF( AND( OFFSET($A$1, 285 - 1, 96 - 1) = "0", OFFSET($A$1, 285 - 1, 97 - 1) = "1" ), 3, 4 ) ) )</f>
        <v>4</v>
      </c>
      <c r="CV285" s="24">
        <v>0.17503733705753372</v>
      </c>
      <c r="CW285" s="24" t="str">
        <f>"1"</f>
        <v>1</v>
      </c>
      <c r="CX285" t="str">
        <f ca="1">IF((OFFSET($A$1, 285 - 1, 100 - 1)) &gt;= (OFFSET($A$1, 79 - 1, 7 - 1)), "1","0")</f>
        <v>0</v>
      </c>
      <c r="CY285">
        <f ca="1" xml:space="preserve"> IF( AND( OFFSET($A$1, 285 - 1, 101 - 1) = "1", OFFSET($A$1, 285 - 1, 102 - 1) = "1" ), 1, IF( AND( OFFSET($A$1, 285 - 1, 101 - 1) = "1", OFFSET($A$1, 285 - 1, 102 - 1) = "0" ), 2, IF( AND( OFFSET($A$1, 285 - 1, 101 - 1) = "0", OFFSET($A$1, 285 - 1, 102 - 1) = "1" ), 3, 4 ) ) )</f>
        <v>2</v>
      </c>
    </row>
    <row r="286" spans="95:103" ht="13.8" x14ac:dyDescent="0.3">
      <c r="CQ286" s="24">
        <v>0.99477539564027917</v>
      </c>
      <c r="CR286" s="24" t="str">
        <f>"1"</f>
        <v>1</v>
      </c>
      <c r="CS286" t="str">
        <f ca="1">IF((OFFSET($A$1, 286 - 1, 95 - 1)) &gt;= (OFFSET($A$1, 55 - 1, 7 - 1)), "1","0")</f>
        <v>1</v>
      </c>
      <c r="CT286">
        <f ca="1" xml:space="preserve"> IF( AND( OFFSET($A$1, 286 - 1, 96 - 1) = "1", OFFSET($A$1, 286 - 1, 97 - 1) = "1" ), 1, IF( AND( OFFSET($A$1, 286 - 1, 96 - 1) = "1", OFFSET($A$1, 286 - 1, 97 - 1) = "0" ), 2, IF( AND( OFFSET($A$1, 286 - 1, 96 - 1) = "0", OFFSET($A$1, 286 - 1, 97 - 1) = "1" ), 3, 4 ) ) )</f>
        <v>1</v>
      </c>
      <c r="CV286" s="24">
        <v>0.93410948707798791</v>
      </c>
      <c r="CW286" s="24" t="str">
        <f>"1"</f>
        <v>1</v>
      </c>
      <c r="CX286" t="str">
        <f ca="1">IF((OFFSET($A$1, 286 - 1, 100 - 1)) &gt;= (OFFSET($A$1, 79 - 1, 7 - 1)), "1","0")</f>
        <v>1</v>
      </c>
      <c r="CY286">
        <f ca="1" xml:space="preserve"> IF( AND( OFFSET($A$1, 286 - 1, 101 - 1) = "1", OFFSET($A$1, 286 - 1, 102 - 1) = "1" ), 1, IF( AND( OFFSET($A$1, 286 - 1, 101 - 1) = "1", OFFSET($A$1, 286 - 1, 102 - 1) = "0" ), 2, IF( AND( OFFSET($A$1, 286 - 1, 101 - 1) = "0", OFFSET($A$1, 286 - 1, 102 - 1) = "1" ), 3, 4 ) ) )</f>
        <v>1</v>
      </c>
    </row>
    <row r="287" spans="95:103" ht="13.8" x14ac:dyDescent="0.3">
      <c r="CQ287" s="24">
        <v>0.98480798667520231</v>
      </c>
      <c r="CR287" s="24" t="str">
        <f>"0"</f>
        <v>0</v>
      </c>
      <c r="CS287" t="str">
        <f ca="1">IF((OFFSET($A$1, 287 - 1, 95 - 1)) &gt;= (OFFSET($A$1, 55 - 1, 7 - 1)), "1","0")</f>
        <v>1</v>
      </c>
      <c r="CT287">
        <f ca="1" xml:space="preserve"> IF( AND( OFFSET($A$1, 287 - 1, 96 - 1) = "1", OFFSET($A$1, 287 - 1, 97 - 1) = "1" ), 1, IF( AND( OFFSET($A$1, 287 - 1, 96 - 1) = "1", OFFSET($A$1, 287 - 1, 97 - 1) = "0" ), 2, IF( AND( OFFSET($A$1, 287 - 1, 96 - 1) = "0", OFFSET($A$1, 287 - 1, 97 - 1) = "1" ), 3, 4 ) ) )</f>
        <v>3</v>
      </c>
      <c r="CV287" s="24">
        <v>0.99341636425057445</v>
      </c>
      <c r="CW287" s="24" t="str">
        <f>"1"</f>
        <v>1</v>
      </c>
      <c r="CX287" t="str">
        <f ca="1">IF((OFFSET($A$1, 287 - 1, 100 - 1)) &gt;= (OFFSET($A$1, 79 - 1, 7 - 1)), "1","0")</f>
        <v>1</v>
      </c>
      <c r="CY287">
        <f ca="1" xml:space="preserve"> IF( AND( OFFSET($A$1, 287 - 1, 101 - 1) = "1", OFFSET($A$1, 287 - 1, 102 - 1) = "1" ), 1, IF( AND( OFFSET($A$1, 287 - 1, 101 - 1) = "1", OFFSET($A$1, 287 - 1, 102 - 1) = "0" ), 2, IF( AND( OFFSET($A$1, 287 - 1, 101 - 1) = "0", OFFSET($A$1, 287 - 1, 102 - 1) = "1" ), 3, 4 ) ) )</f>
        <v>1</v>
      </c>
    </row>
    <row r="288" spans="95:103" ht="13.8" x14ac:dyDescent="0.3">
      <c r="CQ288" s="24">
        <v>0.9553649793895046</v>
      </c>
      <c r="CR288" s="24" t="str">
        <f>"1"</f>
        <v>1</v>
      </c>
      <c r="CS288" t="str">
        <f ca="1">IF((OFFSET($A$1, 288 - 1, 95 - 1)) &gt;= (OFFSET($A$1, 55 - 1, 7 - 1)), "1","0")</f>
        <v>1</v>
      </c>
      <c r="CT288">
        <f ca="1" xml:space="preserve"> IF( AND( OFFSET($A$1, 288 - 1, 96 - 1) = "1", OFFSET($A$1, 288 - 1, 97 - 1) = "1" ), 1, IF( AND( OFFSET($A$1, 288 - 1, 96 - 1) = "1", OFFSET($A$1, 288 - 1, 97 - 1) = "0" ), 2, IF( AND( OFFSET($A$1, 288 - 1, 96 - 1) = "0", OFFSET($A$1, 288 - 1, 97 - 1) = "1" ), 3, 4 ) ) )</f>
        <v>1</v>
      </c>
      <c r="CV288" s="24">
        <v>0.99942170247067474</v>
      </c>
      <c r="CW288" s="24" t="str">
        <f>"1"</f>
        <v>1</v>
      </c>
      <c r="CX288" t="str">
        <f ca="1">IF((OFFSET($A$1, 288 - 1, 100 - 1)) &gt;= (OFFSET($A$1, 79 - 1, 7 - 1)), "1","0")</f>
        <v>1</v>
      </c>
      <c r="CY288">
        <f ca="1" xml:space="preserve"> IF( AND( OFFSET($A$1, 288 - 1, 101 - 1) = "1", OFFSET($A$1, 288 - 1, 102 - 1) = "1" ), 1, IF( AND( OFFSET($A$1, 288 - 1, 101 - 1) = "1", OFFSET($A$1, 288 - 1, 102 - 1) = "0" ), 2, IF( AND( OFFSET($A$1, 288 - 1, 101 - 1) = "0", OFFSET($A$1, 288 - 1, 102 - 1) = "1" ), 3, 4 ) ) )</f>
        <v>1</v>
      </c>
    </row>
    <row r="289" spans="95:103" ht="13.8" x14ac:dyDescent="0.3">
      <c r="CQ289" s="24">
        <v>0.53413585052232193</v>
      </c>
      <c r="CR289" s="24" t="str">
        <f>"0"</f>
        <v>0</v>
      </c>
      <c r="CS289" t="str">
        <f ca="1">IF((OFFSET($A$1, 289 - 1, 95 - 1)) &gt;= (OFFSET($A$1, 55 - 1, 7 - 1)), "1","0")</f>
        <v>1</v>
      </c>
      <c r="CT289">
        <f ca="1" xml:space="preserve"> IF( AND( OFFSET($A$1, 289 - 1, 96 - 1) = "1", OFFSET($A$1, 289 - 1, 97 - 1) = "1" ), 1, IF( AND( OFFSET($A$1, 289 - 1, 96 - 1) = "1", OFFSET($A$1, 289 - 1, 97 - 1) = "0" ), 2, IF( AND( OFFSET($A$1, 289 - 1, 96 - 1) = "0", OFFSET($A$1, 289 - 1, 97 - 1) = "1" ), 3, 4 ) ) )</f>
        <v>3</v>
      </c>
      <c r="CV289" s="24">
        <v>0.98365014485684732</v>
      </c>
      <c r="CW289" s="24" t="str">
        <f>"0"</f>
        <v>0</v>
      </c>
      <c r="CX289" t="str">
        <f ca="1">IF((OFFSET($A$1, 289 - 1, 100 - 1)) &gt;= (OFFSET($A$1, 79 - 1, 7 - 1)), "1","0")</f>
        <v>1</v>
      </c>
      <c r="CY289">
        <f ca="1" xml:space="preserve"> IF( AND( OFFSET($A$1, 289 - 1, 101 - 1) = "1", OFFSET($A$1, 289 - 1, 102 - 1) = "1" ), 1, IF( AND( OFFSET($A$1, 289 - 1, 101 - 1) = "1", OFFSET($A$1, 289 - 1, 102 - 1) = "0" ), 2, IF( AND( OFFSET($A$1, 289 - 1, 101 - 1) = "0", OFFSET($A$1, 289 - 1, 102 - 1) = "1" ), 3, 4 ) ) )</f>
        <v>3</v>
      </c>
    </row>
    <row r="290" spans="95:103" ht="13.8" x14ac:dyDescent="0.3">
      <c r="CQ290" s="24">
        <v>0.12538874228751512</v>
      </c>
      <c r="CR290" s="24" t="str">
        <f>"0"</f>
        <v>0</v>
      </c>
      <c r="CS290" t="str">
        <f ca="1">IF((OFFSET($A$1, 290 - 1, 95 - 1)) &gt;= (OFFSET($A$1, 55 - 1, 7 - 1)), "1","0")</f>
        <v>0</v>
      </c>
      <c r="CT290">
        <f ca="1" xml:space="preserve"> IF( AND( OFFSET($A$1, 290 - 1, 96 - 1) = "1", OFFSET($A$1, 290 - 1, 97 - 1) = "1" ), 1, IF( AND( OFFSET($A$1, 290 - 1, 96 - 1) = "1", OFFSET($A$1, 290 - 1, 97 - 1) = "0" ), 2, IF( AND( OFFSET($A$1, 290 - 1, 96 - 1) = "0", OFFSET($A$1, 290 - 1, 97 - 1) = "1" ), 3, 4 ) ) )</f>
        <v>4</v>
      </c>
      <c r="CV290" s="24">
        <v>0.9872027824623878</v>
      </c>
      <c r="CW290" s="24" t="str">
        <f>"0"</f>
        <v>0</v>
      </c>
      <c r="CX290" t="str">
        <f ca="1">IF((OFFSET($A$1, 290 - 1, 100 - 1)) &gt;= (OFFSET($A$1, 79 - 1, 7 - 1)), "1","0")</f>
        <v>1</v>
      </c>
      <c r="CY290">
        <f ca="1" xml:space="preserve"> IF( AND( OFFSET($A$1, 290 - 1, 101 - 1) = "1", OFFSET($A$1, 290 - 1, 102 - 1) = "1" ), 1, IF( AND( OFFSET($A$1, 290 - 1, 101 - 1) = "1", OFFSET($A$1, 290 - 1, 102 - 1) = "0" ), 2, IF( AND( OFFSET($A$1, 290 - 1, 101 - 1) = "0", OFFSET($A$1, 290 - 1, 102 - 1) = "1" ), 3, 4 ) ) )</f>
        <v>3</v>
      </c>
    </row>
    <row r="291" spans="95:103" ht="13.8" x14ac:dyDescent="0.3">
      <c r="CQ291" s="24">
        <v>0.95439689606738765</v>
      </c>
      <c r="CR291" s="24" t="str">
        <f>"1"</f>
        <v>1</v>
      </c>
      <c r="CS291" t="str">
        <f ca="1">IF((OFFSET($A$1, 291 - 1, 95 - 1)) &gt;= (OFFSET($A$1, 55 - 1, 7 - 1)), "1","0")</f>
        <v>1</v>
      </c>
      <c r="CT291">
        <f ca="1" xml:space="preserve"> IF( AND( OFFSET($A$1, 291 - 1, 96 - 1) = "1", OFFSET($A$1, 291 - 1, 97 - 1) = "1" ), 1, IF( AND( OFFSET($A$1, 291 - 1, 96 - 1) = "1", OFFSET($A$1, 291 - 1, 97 - 1) = "0" ), 2, IF( AND( OFFSET($A$1, 291 - 1, 96 - 1) = "0", OFFSET($A$1, 291 - 1, 97 - 1) = "1" ), 3, 4 ) ) )</f>
        <v>1</v>
      </c>
      <c r="CV291" s="24">
        <v>0.87828735495945842</v>
      </c>
      <c r="CW291" s="24" t="str">
        <f>"1"</f>
        <v>1</v>
      </c>
      <c r="CX291" t="str">
        <f ca="1">IF((OFFSET($A$1, 291 - 1, 100 - 1)) &gt;= (OFFSET($A$1, 79 - 1, 7 - 1)), "1","0")</f>
        <v>1</v>
      </c>
      <c r="CY291">
        <f ca="1" xml:space="preserve"> IF( AND( OFFSET($A$1, 291 - 1, 101 - 1) = "1", OFFSET($A$1, 291 - 1, 102 - 1) = "1" ), 1, IF( AND( OFFSET($A$1, 291 - 1, 101 - 1) = "1", OFFSET($A$1, 291 - 1, 102 - 1) = "0" ), 2, IF( AND( OFFSET($A$1, 291 - 1, 101 - 1) = "0", OFFSET($A$1, 291 - 1, 102 - 1) = "1" ), 3, 4 ) ) )</f>
        <v>1</v>
      </c>
    </row>
    <row r="292" spans="95:103" ht="13.8" x14ac:dyDescent="0.3">
      <c r="CQ292" s="24">
        <v>0.99535324719617058</v>
      </c>
      <c r="CR292" s="24" t="str">
        <f>"1"</f>
        <v>1</v>
      </c>
      <c r="CS292" t="str">
        <f ca="1">IF((OFFSET($A$1, 292 - 1, 95 - 1)) &gt;= (OFFSET($A$1, 55 - 1, 7 - 1)), "1","0")</f>
        <v>1</v>
      </c>
      <c r="CT292">
        <f ca="1" xml:space="preserve"> IF( AND( OFFSET($A$1, 292 - 1, 96 - 1) = "1", OFFSET($A$1, 292 - 1, 97 - 1) = "1" ), 1, IF( AND( OFFSET($A$1, 292 - 1, 96 - 1) = "1", OFFSET($A$1, 292 - 1, 97 - 1) = "0" ), 2, IF( AND( OFFSET($A$1, 292 - 1, 96 - 1) = "0", OFFSET($A$1, 292 - 1, 97 - 1) = "1" ), 3, 4 ) ) )</f>
        <v>1</v>
      </c>
      <c r="CV292" s="24">
        <v>0.99447881312422048</v>
      </c>
      <c r="CW292" s="24" t="str">
        <f>"1"</f>
        <v>1</v>
      </c>
      <c r="CX292" t="str">
        <f ca="1">IF((OFFSET($A$1, 292 - 1, 100 - 1)) &gt;= (OFFSET($A$1, 79 - 1, 7 - 1)), "1","0")</f>
        <v>1</v>
      </c>
      <c r="CY292">
        <f ca="1" xml:space="preserve"> IF( AND( OFFSET($A$1, 292 - 1, 101 - 1) = "1", OFFSET($A$1, 292 - 1, 102 - 1) = "1" ), 1, IF( AND( OFFSET($A$1, 292 - 1, 101 - 1) = "1", OFFSET($A$1, 292 - 1, 102 - 1) = "0" ), 2, IF( AND( OFFSET($A$1, 292 - 1, 101 - 1) = "0", OFFSET($A$1, 292 - 1, 102 - 1) = "1" ), 3, 4 ) ) )</f>
        <v>1</v>
      </c>
    </row>
    <row r="293" spans="95:103" ht="13.8" x14ac:dyDescent="0.3">
      <c r="CQ293" s="24">
        <v>0.43289057721917024</v>
      </c>
      <c r="CR293" s="24" t="str">
        <f>"0"</f>
        <v>0</v>
      </c>
      <c r="CS293" t="str">
        <f ca="1">IF((OFFSET($A$1, 293 - 1, 95 - 1)) &gt;= (OFFSET($A$1, 55 - 1, 7 - 1)), "1","0")</f>
        <v>0</v>
      </c>
      <c r="CT293">
        <f ca="1" xml:space="preserve"> IF( AND( OFFSET($A$1, 293 - 1, 96 - 1) = "1", OFFSET($A$1, 293 - 1, 97 - 1) = "1" ), 1, IF( AND( OFFSET($A$1, 293 - 1, 96 - 1) = "1", OFFSET($A$1, 293 - 1, 97 - 1) = "0" ), 2, IF( AND( OFFSET($A$1, 293 - 1, 96 - 1) = "0", OFFSET($A$1, 293 - 1, 97 - 1) = "1" ), 3, 4 ) ) )</f>
        <v>4</v>
      </c>
      <c r="CV293" s="24">
        <v>0.92352345861564999</v>
      </c>
      <c r="CW293" s="24" t="str">
        <f>"1"</f>
        <v>1</v>
      </c>
      <c r="CX293" t="str">
        <f ca="1">IF((OFFSET($A$1, 293 - 1, 100 - 1)) &gt;= (OFFSET($A$1, 79 - 1, 7 - 1)), "1","0")</f>
        <v>1</v>
      </c>
      <c r="CY293">
        <f ca="1" xml:space="preserve"> IF( AND( OFFSET($A$1, 293 - 1, 101 - 1) = "1", OFFSET($A$1, 293 - 1, 102 - 1) = "1" ), 1, IF( AND( OFFSET($A$1, 293 - 1, 101 - 1) = "1", OFFSET($A$1, 293 - 1, 102 - 1) = "0" ), 2, IF( AND( OFFSET($A$1, 293 - 1, 101 - 1) = "0", OFFSET($A$1, 293 - 1, 102 - 1) = "1" ), 3, 4 ) ) )</f>
        <v>1</v>
      </c>
    </row>
    <row r="294" spans="95:103" ht="13.8" x14ac:dyDescent="0.3">
      <c r="CQ294" s="24">
        <v>0.99918446468006417</v>
      </c>
      <c r="CR294" s="24" t="str">
        <f>"1"</f>
        <v>1</v>
      </c>
      <c r="CS294" t="str">
        <f ca="1">IF((OFFSET($A$1, 294 - 1, 95 - 1)) &gt;= (OFFSET($A$1, 55 - 1, 7 - 1)), "1","0")</f>
        <v>1</v>
      </c>
      <c r="CT294">
        <f ca="1" xml:space="preserve"> IF( AND( OFFSET($A$1, 294 - 1, 96 - 1) = "1", OFFSET($A$1, 294 - 1, 97 - 1) = "1" ), 1, IF( AND( OFFSET($A$1, 294 - 1, 96 - 1) = "1", OFFSET($A$1, 294 - 1, 97 - 1) = "0" ), 2, IF( AND( OFFSET($A$1, 294 - 1, 96 - 1) = "0", OFFSET($A$1, 294 - 1, 97 - 1) = "1" ), 3, 4 ) ) )</f>
        <v>1</v>
      </c>
      <c r="CV294" s="24">
        <v>6.527868115423982E-2</v>
      </c>
      <c r="CW294" s="24" t="str">
        <f>"0"</f>
        <v>0</v>
      </c>
      <c r="CX294" t="str">
        <f ca="1">IF((OFFSET($A$1, 294 - 1, 100 - 1)) &gt;= (OFFSET($A$1, 79 - 1, 7 - 1)), "1","0")</f>
        <v>0</v>
      </c>
      <c r="CY294">
        <f ca="1" xml:space="preserve"> IF( AND( OFFSET($A$1, 294 - 1, 101 - 1) = "1", OFFSET($A$1, 294 - 1, 102 - 1) = "1" ), 1, IF( AND( OFFSET($A$1, 294 - 1, 101 - 1) = "1", OFFSET($A$1, 294 - 1, 102 - 1) = "0" ), 2, IF( AND( OFFSET($A$1, 294 - 1, 101 - 1) = "0", OFFSET($A$1, 294 - 1, 102 - 1) = "1" ), 3, 4 ) ) )</f>
        <v>4</v>
      </c>
    </row>
    <row r="295" spans="95:103" ht="13.8" x14ac:dyDescent="0.3">
      <c r="CQ295" s="24">
        <v>4.0340754402205664E-2</v>
      </c>
      <c r="CR295" s="24" t="str">
        <f>"0"</f>
        <v>0</v>
      </c>
      <c r="CS295" t="str">
        <f ca="1">IF((OFFSET($A$1, 295 - 1, 95 - 1)) &gt;= (OFFSET($A$1, 55 - 1, 7 - 1)), "1","0")</f>
        <v>0</v>
      </c>
      <c r="CT295">
        <f ca="1" xml:space="preserve"> IF( AND( OFFSET($A$1, 295 - 1, 96 - 1) = "1", OFFSET($A$1, 295 - 1, 97 - 1) = "1" ), 1, IF( AND( OFFSET($A$1, 295 - 1, 96 - 1) = "1", OFFSET($A$1, 295 - 1, 97 - 1) = "0" ), 2, IF( AND( OFFSET($A$1, 295 - 1, 96 - 1) = "0", OFFSET($A$1, 295 - 1, 97 - 1) = "1" ), 3, 4 ) ) )</f>
        <v>4</v>
      </c>
      <c r="CV295" s="24">
        <v>0.72740523970559778</v>
      </c>
      <c r="CW295" s="24" t="str">
        <f>"0"</f>
        <v>0</v>
      </c>
      <c r="CX295" t="str">
        <f ca="1">IF((OFFSET($A$1, 295 - 1, 100 - 1)) &gt;= (OFFSET($A$1, 79 - 1, 7 - 1)), "1","0")</f>
        <v>1</v>
      </c>
      <c r="CY295">
        <f ca="1" xml:space="preserve"> IF( AND( OFFSET($A$1, 295 - 1, 101 - 1) = "1", OFFSET($A$1, 295 - 1, 102 - 1) = "1" ), 1, IF( AND( OFFSET($A$1, 295 - 1, 101 - 1) = "1", OFFSET($A$1, 295 - 1, 102 - 1) = "0" ), 2, IF( AND( OFFSET($A$1, 295 - 1, 101 - 1) = "0", OFFSET($A$1, 295 - 1, 102 - 1) = "1" ), 3, 4 ) ) )</f>
        <v>3</v>
      </c>
    </row>
    <row r="296" spans="95:103" ht="13.8" x14ac:dyDescent="0.3">
      <c r="CQ296" s="24">
        <v>0.99150706467142324</v>
      </c>
      <c r="CR296" s="24" t="str">
        <f>"1"</f>
        <v>1</v>
      </c>
      <c r="CS296" t="str">
        <f ca="1">IF((OFFSET($A$1, 296 - 1, 95 - 1)) &gt;= (OFFSET($A$1, 55 - 1, 7 - 1)), "1","0")</f>
        <v>1</v>
      </c>
      <c r="CT296">
        <f ca="1" xml:space="preserve"> IF( AND( OFFSET($A$1, 296 - 1, 96 - 1) = "1", OFFSET($A$1, 296 - 1, 97 - 1) = "1" ), 1, IF( AND( OFFSET($A$1, 296 - 1, 96 - 1) = "1", OFFSET($A$1, 296 - 1, 97 - 1) = "0" ), 2, IF( AND( OFFSET($A$1, 296 - 1, 96 - 1) = "0", OFFSET($A$1, 296 - 1, 97 - 1) = "1" ), 3, 4 ) ) )</f>
        <v>1</v>
      </c>
      <c r="CV296" s="24">
        <v>0.9968962788309168</v>
      </c>
      <c r="CW296" s="24" t="str">
        <f>"1"</f>
        <v>1</v>
      </c>
      <c r="CX296" t="str">
        <f ca="1">IF((OFFSET($A$1, 296 - 1, 100 - 1)) &gt;= (OFFSET($A$1, 79 - 1, 7 - 1)), "1","0")</f>
        <v>1</v>
      </c>
      <c r="CY296">
        <f ca="1" xml:space="preserve"> IF( AND( OFFSET($A$1, 296 - 1, 101 - 1) = "1", OFFSET($A$1, 296 - 1, 102 - 1) = "1" ), 1, IF( AND( OFFSET($A$1, 296 - 1, 101 - 1) = "1", OFFSET($A$1, 296 - 1, 102 - 1) = "0" ), 2, IF( AND( OFFSET($A$1, 296 - 1, 101 - 1) = "0", OFFSET($A$1, 296 - 1, 102 - 1) = "1" ), 3, 4 ) ) )</f>
        <v>1</v>
      </c>
    </row>
    <row r="297" spans="95:103" ht="13.8" x14ac:dyDescent="0.3">
      <c r="CQ297" s="24">
        <v>0.9821215485083804</v>
      </c>
      <c r="CR297" s="24" t="str">
        <f>"1"</f>
        <v>1</v>
      </c>
      <c r="CS297" t="str">
        <f ca="1">IF((OFFSET($A$1, 297 - 1, 95 - 1)) &gt;= (OFFSET($A$1, 55 - 1, 7 - 1)), "1","0")</f>
        <v>1</v>
      </c>
      <c r="CT297">
        <f ca="1" xml:space="preserve"> IF( AND( OFFSET($A$1, 297 - 1, 96 - 1) = "1", OFFSET($A$1, 297 - 1, 97 - 1) = "1" ), 1, IF( AND( OFFSET($A$1, 297 - 1, 96 - 1) = "1", OFFSET($A$1, 297 - 1, 97 - 1) = "0" ), 2, IF( AND( OFFSET($A$1, 297 - 1, 96 - 1) = "0", OFFSET($A$1, 297 - 1, 97 - 1) = "1" ), 3, 4 ) ) )</f>
        <v>1</v>
      </c>
      <c r="CV297" s="24">
        <v>5.9883659001064692E-3</v>
      </c>
      <c r="CW297" s="24" t="str">
        <f>"0"</f>
        <v>0</v>
      </c>
      <c r="CX297" t="str">
        <f ca="1">IF((OFFSET($A$1, 297 - 1, 100 - 1)) &gt;= (OFFSET($A$1, 79 - 1, 7 - 1)), "1","0")</f>
        <v>0</v>
      </c>
      <c r="CY297">
        <f ca="1" xml:space="preserve"> IF( AND( OFFSET($A$1, 297 - 1, 101 - 1) = "1", OFFSET($A$1, 297 - 1, 102 - 1) = "1" ), 1, IF( AND( OFFSET($A$1, 297 - 1, 101 - 1) = "1", OFFSET($A$1, 297 - 1, 102 - 1) = "0" ), 2, IF( AND( OFFSET($A$1, 297 - 1, 101 - 1) = "0", OFFSET($A$1, 297 - 1, 102 - 1) = "1" ), 3, 4 ) ) )</f>
        <v>4</v>
      </c>
    </row>
    <row r="298" spans="95:103" ht="13.8" x14ac:dyDescent="0.3">
      <c r="CQ298" s="24">
        <v>0.99217476164253982</v>
      </c>
      <c r="CR298" s="24" t="str">
        <f>"1"</f>
        <v>1</v>
      </c>
      <c r="CS298" t="str">
        <f ca="1">IF((OFFSET($A$1, 298 - 1, 95 - 1)) &gt;= (OFFSET($A$1, 55 - 1, 7 - 1)), "1","0")</f>
        <v>1</v>
      </c>
      <c r="CT298">
        <f ca="1" xml:space="preserve"> IF( AND( OFFSET($A$1, 298 - 1, 96 - 1) = "1", OFFSET($A$1, 298 - 1, 97 - 1) = "1" ), 1, IF( AND( OFFSET($A$1, 298 - 1, 96 - 1) = "1", OFFSET($A$1, 298 - 1, 97 - 1) = "0" ), 2, IF( AND( OFFSET($A$1, 298 - 1, 96 - 1) = "0", OFFSET($A$1, 298 - 1, 97 - 1) = "1" ), 3, 4 ) ) )</f>
        <v>1</v>
      </c>
      <c r="CV298" s="24">
        <v>1.9078784527658363E-2</v>
      </c>
      <c r="CW298" s="24" t="str">
        <f>"0"</f>
        <v>0</v>
      </c>
      <c r="CX298" t="str">
        <f ca="1">IF((OFFSET($A$1, 298 - 1, 100 - 1)) &gt;= (OFFSET($A$1, 79 - 1, 7 - 1)), "1","0")</f>
        <v>0</v>
      </c>
      <c r="CY298">
        <f ca="1" xml:space="preserve"> IF( AND( OFFSET($A$1, 298 - 1, 101 - 1) = "1", OFFSET($A$1, 298 - 1, 102 - 1) = "1" ), 1, IF( AND( OFFSET($A$1, 298 - 1, 101 - 1) = "1", OFFSET($A$1, 298 - 1, 102 - 1) = "0" ), 2, IF( AND( OFFSET($A$1, 298 - 1, 101 - 1) = "0", OFFSET($A$1, 298 - 1, 102 - 1) = "1" ), 3, 4 ) ) )</f>
        <v>4</v>
      </c>
    </row>
    <row r="299" spans="95:103" ht="13.8" x14ac:dyDescent="0.3">
      <c r="CQ299" s="24">
        <v>0.99608521795190508</v>
      </c>
      <c r="CR299" s="24" t="str">
        <f>"1"</f>
        <v>1</v>
      </c>
      <c r="CS299" t="str">
        <f ca="1">IF((OFFSET($A$1, 299 - 1, 95 - 1)) &gt;= (OFFSET($A$1, 55 - 1, 7 - 1)), "1","0")</f>
        <v>1</v>
      </c>
      <c r="CT299">
        <f ca="1" xml:space="preserve"> IF( AND( OFFSET($A$1, 299 - 1, 96 - 1) = "1", OFFSET($A$1, 299 - 1, 97 - 1) = "1" ), 1, IF( AND( OFFSET($A$1, 299 - 1, 96 - 1) = "1", OFFSET($A$1, 299 - 1, 97 - 1) = "0" ), 2, IF( AND( OFFSET($A$1, 299 - 1, 96 - 1) = "0", OFFSET($A$1, 299 - 1, 97 - 1) = "1" ), 3, 4 ) ) )</f>
        <v>1</v>
      </c>
      <c r="CV299" s="24">
        <v>4.2963389428137357E-2</v>
      </c>
      <c r="CW299" s="24" t="str">
        <f>"0"</f>
        <v>0</v>
      </c>
      <c r="CX299" t="str">
        <f ca="1">IF((OFFSET($A$1, 299 - 1, 100 - 1)) &gt;= (OFFSET($A$1, 79 - 1, 7 - 1)), "1","0")</f>
        <v>0</v>
      </c>
      <c r="CY299">
        <f ca="1" xml:space="preserve"> IF( AND( OFFSET($A$1, 299 - 1, 101 - 1) = "1", OFFSET($A$1, 299 - 1, 102 - 1) = "1" ), 1, IF( AND( OFFSET($A$1, 299 - 1, 101 - 1) = "1", OFFSET($A$1, 299 - 1, 102 - 1) = "0" ), 2, IF( AND( OFFSET($A$1, 299 - 1, 101 - 1) = "0", OFFSET($A$1, 299 - 1, 102 - 1) = "1" ), 3, 4 ) ) )</f>
        <v>4</v>
      </c>
    </row>
    <row r="300" spans="95:103" ht="13.8" x14ac:dyDescent="0.3">
      <c r="CQ300" s="24">
        <v>0.98768309963414957</v>
      </c>
      <c r="CR300" s="24" t="str">
        <f>"1"</f>
        <v>1</v>
      </c>
      <c r="CS300" t="str">
        <f ca="1">IF((OFFSET($A$1, 300 - 1, 95 - 1)) &gt;= (OFFSET($A$1, 55 - 1, 7 - 1)), "1","0")</f>
        <v>1</v>
      </c>
      <c r="CT300">
        <f ca="1" xml:space="preserve"> IF( AND( OFFSET($A$1, 300 - 1, 96 - 1) = "1", OFFSET($A$1, 300 - 1, 97 - 1) = "1" ), 1, IF( AND( OFFSET($A$1, 300 - 1, 96 - 1) = "1", OFFSET($A$1, 300 - 1, 97 - 1) = "0" ), 2, IF( AND( OFFSET($A$1, 300 - 1, 96 - 1) = "0", OFFSET($A$1, 300 - 1, 97 - 1) = "1" ), 3, 4 ) ) )</f>
        <v>1</v>
      </c>
      <c r="CV300" s="24">
        <v>0.86756759741809675</v>
      </c>
      <c r="CW300" s="24" t="str">
        <f>"1"</f>
        <v>1</v>
      </c>
      <c r="CX300" t="str">
        <f ca="1">IF((OFFSET($A$1, 300 - 1, 100 - 1)) &gt;= (OFFSET($A$1, 79 - 1, 7 - 1)), "1","0")</f>
        <v>1</v>
      </c>
      <c r="CY300">
        <f ca="1" xml:space="preserve"> IF( AND( OFFSET($A$1, 300 - 1, 101 - 1) = "1", OFFSET($A$1, 300 - 1, 102 - 1) = "1" ), 1, IF( AND( OFFSET($A$1, 300 - 1, 101 - 1) = "1", OFFSET($A$1, 300 - 1, 102 - 1) = "0" ), 2, IF( AND( OFFSET($A$1, 300 - 1, 101 - 1) = "0", OFFSET($A$1, 300 - 1, 102 - 1) = "1" ), 3, 4 ) ) )</f>
        <v>1</v>
      </c>
    </row>
    <row r="301" spans="95:103" ht="13.8" x14ac:dyDescent="0.3">
      <c r="CQ301" s="24">
        <v>0.206320825659565</v>
      </c>
      <c r="CR301" s="24" t="str">
        <f>"0"</f>
        <v>0</v>
      </c>
      <c r="CS301" t="str">
        <f ca="1">IF((OFFSET($A$1, 301 - 1, 95 - 1)) &gt;= (OFFSET($A$1, 55 - 1, 7 - 1)), "1","0")</f>
        <v>0</v>
      </c>
      <c r="CT301">
        <f ca="1" xml:space="preserve"> IF( AND( OFFSET($A$1, 301 - 1, 96 - 1) = "1", OFFSET($A$1, 301 - 1, 97 - 1) = "1" ), 1, IF( AND( OFFSET($A$1, 301 - 1, 96 - 1) = "1", OFFSET($A$1, 301 - 1, 97 - 1) = "0" ), 2, IF( AND( OFFSET($A$1, 301 - 1, 96 - 1) = "0", OFFSET($A$1, 301 - 1, 97 - 1) = "1" ), 3, 4 ) ) )</f>
        <v>4</v>
      </c>
      <c r="CV301" s="24">
        <v>0.31502942669663947</v>
      </c>
      <c r="CW301" s="24" t="str">
        <f>"0"</f>
        <v>0</v>
      </c>
      <c r="CX301" t="str">
        <f ca="1">IF((OFFSET($A$1, 301 - 1, 100 - 1)) &gt;= (OFFSET($A$1, 79 - 1, 7 - 1)), "1","0")</f>
        <v>0</v>
      </c>
      <c r="CY301">
        <f ca="1" xml:space="preserve"> IF( AND( OFFSET($A$1, 301 - 1, 101 - 1) = "1", OFFSET($A$1, 301 - 1, 102 - 1) = "1" ), 1, IF( AND( OFFSET($A$1, 301 - 1, 101 - 1) = "1", OFFSET($A$1, 301 - 1, 102 - 1) = "0" ), 2, IF( AND( OFFSET($A$1, 301 - 1, 101 - 1) = "0", OFFSET($A$1, 301 - 1, 102 - 1) = "1" ), 3, 4 ) ) )</f>
        <v>4</v>
      </c>
    </row>
    <row r="302" spans="95:103" ht="13.8" x14ac:dyDescent="0.3">
      <c r="CQ302" s="24">
        <v>0.9943315603713232</v>
      </c>
      <c r="CR302" s="24" t="str">
        <f>"1"</f>
        <v>1</v>
      </c>
      <c r="CS302" t="str">
        <f ca="1">IF((OFFSET($A$1, 302 - 1, 95 - 1)) &gt;= (OFFSET($A$1, 55 - 1, 7 - 1)), "1","0")</f>
        <v>1</v>
      </c>
      <c r="CT302">
        <f ca="1" xml:space="preserve"> IF( AND( OFFSET($A$1, 302 - 1, 96 - 1) = "1", OFFSET($A$1, 302 - 1, 97 - 1) = "1" ), 1, IF( AND( OFFSET($A$1, 302 - 1, 96 - 1) = "1", OFFSET($A$1, 302 - 1, 97 - 1) = "0" ), 2, IF( AND( OFFSET($A$1, 302 - 1, 96 - 1) = "0", OFFSET($A$1, 302 - 1, 97 - 1) = "1" ), 3, 4 ) ) )</f>
        <v>1</v>
      </c>
      <c r="CV302" s="24">
        <v>0.96640729319701157</v>
      </c>
      <c r="CW302" s="24" t="str">
        <f>"0"</f>
        <v>0</v>
      </c>
      <c r="CX302" t="str">
        <f ca="1">IF((OFFSET($A$1, 302 - 1, 100 - 1)) &gt;= (OFFSET($A$1, 79 - 1, 7 - 1)), "1","0")</f>
        <v>1</v>
      </c>
      <c r="CY302">
        <f ca="1" xml:space="preserve"> IF( AND( OFFSET($A$1, 302 - 1, 101 - 1) = "1", OFFSET($A$1, 302 - 1, 102 - 1) = "1" ), 1, IF( AND( OFFSET($A$1, 302 - 1, 101 - 1) = "1", OFFSET($A$1, 302 - 1, 102 - 1) = "0" ), 2, IF( AND( OFFSET($A$1, 302 - 1, 101 - 1) = "0", OFFSET($A$1, 302 - 1, 102 - 1) = "1" ), 3, 4 ) ) )</f>
        <v>3</v>
      </c>
    </row>
    <row r="303" spans="95:103" ht="13.8" x14ac:dyDescent="0.3">
      <c r="CQ303" s="24">
        <v>2.0446603113927302E-2</v>
      </c>
      <c r="CR303" s="24" t="str">
        <f>"0"</f>
        <v>0</v>
      </c>
      <c r="CS303" t="str">
        <f ca="1">IF((OFFSET($A$1, 303 - 1, 95 - 1)) &gt;= (OFFSET($A$1, 55 - 1, 7 - 1)), "1","0")</f>
        <v>0</v>
      </c>
      <c r="CT303">
        <f ca="1" xml:space="preserve"> IF( AND( OFFSET($A$1, 303 - 1, 96 - 1) = "1", OFFSET($A$1, 303 - 1, 97 - 1) = "1" ), 1, IF( AND( OFFSET($A$1, 303 - 1, 96 - 1) = "1", OFFSET($A$1, 303 - 1, 97 - 1) = "0" ), 2, IF( AND( OFFSET($A$1, 303 - 1, 96 - 1) = "0", OFFSET($A$1, 303 - 1, 97 - 1) = "1" ), 3, 4 ) ) )</f>
        <v>4</v>
      </c>
      <c r="CV303" s="24">
        <v>0.99632056237712696</v>
      </c>
      <c r="CW303" s="24" t="str">
        <f>"0"</f>
        <v>0</v>
      </c>
      <c r="CX303" t="str">
        <f ca="1">IF((OFFSET($A$1, 303 - 1, 100 - 1)) &gt;= (OFFSET($A$1, 79 - 1, 7 - 1)), "1","0")</f>
        <v>1</v>
      </c>
      <c r="CY303">
        <f ca="1" xml:space="preserve"> IF( AND( OFFSET($A$1, 303 - 1, 101 - 1) = "1", OFFSET($A$1, 303 - 1, 102 - 1) = "1" ), 1, IF( AND( OFFSET($A$1, 303 - 1, 101 - 1) = "1", OFFSET($A$1, 303 - 1, 102 - 1) = "0" ), 2, IF( AND( OFFSET($A$1, 303 - 1, 101 - 1) = "0", OFFSET($A$1, 303 - 1, 102 - 1) = "1" ), 3, 4 ) ) )</f>
        <v>3</v>
      </c>
    </row>
    <row r="304" spans="95:103" ht="13.8" x14ac:dyDescent="0.3">
      <c r="CQ304" s="24">
        <v>0.99798499061855117</v>
      </c>
      <c r="CR304" s="24" t="str">
        <f>"1"</f>
        <v>1</v>
      </c>
      <c r="CS304" t="str">
        <f ca="1">IF((OFFSET($A$1, 304 - 1, 95 - 1)) &gt;= (OFFSET($A$1, 55 - 1, 7 - 1)), "1","0")</f>
        <v>1</v>
      </c>
      <c r="CT304">
        <f ca="1" xml:space="preserve"> IF( AND( OFFSET($A$1, 304 - 1, 96 - 1) = "1", OFFSET($A$1, 304 - 1, 97 - 1) = "1" ), 1, IF( AND( OFFSET($A$1, 304 - 1, 96 - 1) = "1", OFFSET($A$1, 304 - 1, 97 - 1) = "0" ), 2, IF( AND( OFFSET($A$1, 304 - 1, 96 - 1) = "0", OFFSET($A$1, 304 - 1, 97 - 1) = "1" ), 3, 4 ) ) )</f>
        <v>1</v>
      </c>
      <c r="CV304" s="24">
        <v>0.95461509970404879</v>
      </c>
      <c r="CW304" s="24" t="str">
        <f>"1"</f>
        <v>1</v>
      </c>
      <c r="CX304" t="str">
        <f ca="1">IF((OFFSET($A$1, 304 - 1, 100 - 1)) &gt;= (OFFSET($A$1, 79 - 1, 7 - 1)), "1","0")</f>
        <v>1</v>
      </c>
      <c r="CY304">
        <f ca="1" xml:space="preserve"> IF( AND( OFFSET($A$1, 304 - 1, 101 - 1) = "1", OFFSET($A$1, 304 - 1, 102 - 1) = "1" ), 1, IF( AND( OFFSET($A$1, 304 - 1, 101 - 1) = "1", OFFSET($A$1, 304 - 1, 102 - 1) = "0" ), 2, IF( AND( OFFSET($A$1, 304 - 1, 101 - 1) = "0", OFFSET($A$1, 304 - 1, 102 - 1) = "1" ), 3, 4 ) ) )</f>
        <v>1</v>
      </c>
    </row>
    <row r="305" spans="95:103" ht="13.8" x14ac:dyDescent="0.3">
      <c r="CQ305" s="24">
        <v>0.994791176146266</v>
      </c>
      <c r="CR305" s="24" t="str">
        <f>"0"</f>
        <v>0</v>
      </c>
      <c r="CS305" t="str">
        <f ca="1">IF((OFFSET($A$1, 305 - 1, 95 - 1)) &gt;= (OFFSET($A$1, 55 - 1, 7 - 1)), "1","0")</f>
        <v>1</v>
      </c>
      <c r="CT305">
        <f ca="1" xml:space="preserve"> IF( AND( OFFSET($A$1, 305 - 1, 96 - 1) = "1", OFFSET($A$1, 305 - 1, 97 - 1) = "1" ), 1, IF( AND( OFFSET($A$1, 305 - 1, 96 - 1) = "1", OFFSET($A$1, 305 - 1, 97 - 1) = "0" ), 2, IF( AND( OFFSET($A$1, 305 - 1, 96 - 1) = "0", OFFSET($A$1, 305 - 1, 97 - 1) = "1" ), 3, 4 ) ) )</f>
        <v>3</v>
      </c>
      <c r="CV305" s="24">
        <v>0.98632952261047835</v>
      </c>
      <c r="CW305" s="24" t="str">
        <f>"1"</f>
        <v>1</v>
      </c>
      <c r="CX305" t="str">
        <f ca="1">IF((OFFSET($A$1, 305 - 1, 100 - 1)) &gt;= (OFFSET($A$1, 79 - 1, 7 - 1)), "1","0")</f>
        <v>1</v>
      </c>
      <c r="CY305">
        <f ca="1" xml:space="preserve"> IF( AND( OFFSET($A$1, 305 - 1, 101 - 1) = "1", OFFSET($A$1, 305 - 1, 102 - 1) = "1" ), 1, IF( AND( OFFSET($A$1, 305 - 1, 101 - 1) = "1", OFFSET($A$1, 305 - 1, 102 - 1) = "0" ), 2, IF( AND( OFFSET($A$1, 305 - 1, 101 - 1) = "0", OFFSET($A$1, 305 - 1, 102 - 1) = "1" ), 3, 4 ) ) )</f>
        <v>1</v>
      </c>
    </row>
    <row r="306" spans="95:103" ht="13.8" x14ac:dyDescent="0.3">
      <c r="CQ306" s="24">
        <v>0.97901989289146352</v>
      </c>
      <c r="CR306" s="24" t="str">
        <f>"1"</f>
        <v>1</v>
      </c>
      <c r="CS306" t="str">
        <f ca="1">IF((OFFSET($A$1, 306 - 1, 95 - 1)) &gt;= (OFFSET($A$1, 55 - 1, 7 - 1)), "1","0")</f>
        <v>1</v>
      </c>
      <c r="CT306">
        <f ca="1" xml:space="preserve"> IF( AND( OFFSET($A$1, 306 - 1, 96 - 1) = "1", OFFSET($A$1, 306 - 1, 97 - 1) = "1" ), 1, IF( AND( OFFSET($A$1, 306 - 1, 96 - 1) = "1", OFFSET($A$1, 306 - 1, 97 - 1) = "0" ), 2, IF( AND( OFFSET($A$1, 306 - 1, 96 - 1) = "0", OFFSET($A$1, 306 - 1, 97 - 1) = "1" ), 3, 4 ) ) )</f>
        <v>1</v>
      </c>
      <c r="CV306" s="24">
        <v>0.9716987385111775</v>
      </c>
      <c r="CW306" s="24" t="str">
        <f>"1"</f>
        <v>1</v>
      </c>
      <c r="CX306" t="str">
        <f ca="1">IF((OFFSET($A$1, 306 - 1, 100 - 1)) &gt;= (OFFSET($A$1, 79 - 1, 7 - 1)), "1","0")</f>
        <v>1</v>
      </c>
      <c r="CY306">
        <f ca="1" xml:space="preserve"> IF( AND( OFFSET($A$1, 306 - 1, 101 - 1) = "1", OFFSET($A$1, 306 - 1, 102 - 1) = "1" ), 1, IF( AND( OFFSET($A$1, 306 - 1, 101 - 1) = "1", OFFSET($A$1, 306 - 1, 102 - 1) = "0" ), 2, IF( AND( OFFSET($A$1, 306 - 1, 101 - 1) = "0", OFFSET($A$1, 306 - 1, 102 - 1) = "1" ), 3, 4 ) ) )</f>
        <v>1</v>
      </c>
    </row>
    <row r="307" spans="95:103" ht="13.8" x14ac:dyDescent="0.3">
      <c r="CQ307" s="24">
        <v>0.99722086470066318</v>
      </c>
      <c r="CR307" s="24" t="str">
        <f>"1"</f>
        <v>1</v>
      </c>
      <c r="CS307" t="str">
        <f ca="1">IF((OFFSET($A$1, 307 - 1, 95 - 1)) &gt;= (OFFSET($A$1, 55 - 1, 7 - 1)), "1","0")</f>
        <v>1</v>
      </c>
      <c r="CT307">
        <f ca="1" xml:space="preserve"> IF( AND( OFFSET($A$1, 307 - 1, 96 - 1) = "1", OFFSET($A$1, 307 - 1, 97 - 1) = "1" ), 1, IF( AND( OFFSET($A$1, 307 - 1, 96 - 1) = "1", OFFSET($A$1, 307 - 1, 97 - 1) = "0" ), 2, IF( AND( OFFSET($A$1, 307 - 1, 96 - 1) = "0", OFFSET($A$1, 307 - 1, 97 - 1) = "1" ), 3, 4 ) ) )</f>
        <v>1</v>
      </c>
      <c r="CV307" s="24">
        <v>0.99324882568582484</v>
      </c>
      <c r="CW307" s="24" t="str">
        <f>"0"</f>
        <v>0</v>
      </c>
      <c r="CX307" t="str">
        <f ca="1">IF((OFFSET($A$1, 307 - 1, 100 - 1)) &gt;= (OFFSET($A$1, 79 - 1, 7 - 1)), "1","0")</f>
        <v>1</v>
      </c>
      <c r="CY307">
        <f ca="1" xml:space="preserve"> IF( AND( OFFSET($A$1, 307 - 1, 101 - 1) = "1", OFFSET($A$1, 307 - 1, 102 - 1) = "1" ), 1, IF( AND( OFFSET($A$1, 307 - 1, 101 - 1) = "1", OFFSET($A$1, 307 - 1, 102 - 1) = "0" ), 2, IF( AND( OFFSET($A$1, 307 - 1, 101 - 1) = "0", OFFSET($A$1, 307 - 1, 102 - 1) = "1" ), 3, 4 ) ) )</f>
        <v>3</v>
      </c>
    </row>
    <row r="308" spans="95:103" ht="13.8" x14ac:dyDescent="0.3">
      <c r="CQ308" s="24">
        <v>0.21320849831303615</v>
      </c>
      <c r="CR308" s="24" t="str">
        <f>"0"</f>
        <v>0</v>
      </c>
      <c r="CS308" t="str">
        <f ca="1">IF((OFFSET($A$1, 308 - 1, 95 - 1)) &gt;= (OFFSET($A$1, 55 - 1, 7 - 1)), "1","0")</f>
        <v>0</v>
      </c>
      <c r="CT308">
        <f ca="1" xml:space="preserve"> IF( AND( OFFSET($A$1, 308 - 1, 96 - 1) = "1", OFFSET($A$1, 308 - 1, 97 - 1) = "1" ), 1, IF( AND( OFFSET($A$1, 308 - 1, 96 - 1) = "1", OFFSET($A$1, 308 - 1, 97 - 1) = "0" ), 2, IF( AND( OFFSET($A$1, 308 - 1, 96 - 1) = "0", OFFSET($A$1, 308 - 1, 97 - 1) = "1" ), 3, 4 ) ) )</f>
        <v>4</v>
      </c>
      <c r="CV308" s="24">
        <v>0.67002667349410627</v>
      </c>
      <c r="CW308" s="24" t="str">
        <f>"1"</f>
        <v>1</v>
      </c>
      <c r="CX308" t="str">
        <f ca="1">IF((OFFSET($A$1, 308 - 1, 100 - 1)) &gt;= (OFFSET($A$1, 79 - 1, 7 - 1)), "1","0")</f>
        <v>1</v>
      </c>
      <c r="CY308">
        <f ca="1" xml:space="preserve"> IF( AND( OFFSET($A$1, 308 - 1, 101 - 1) = "1", OFFSET($A$1, 308 - 1, 102 - 1) = "1" ), 1, IF( AND( OFFSET($A$1, 308 - 1, 101 - 1) = "1", OFFSET($A$1, 308 - 1, 102 - 1) = "0" ), 2, IF( AND( OFFSET($A$1, 308 - 1, 101 - 1) = "0", OFFSET($A$1, 308 - 1, 102 - 1) = "1" ), 3, 4 ) ) )</f>
        <v>1</v>
      </c>
    </row>
    <row r="309" spans="95:103" ht="13.8" x14ac:dyDescent="0.3">
      <c r="CQ309" s="24">
        <v>4.656387338456721E-2</v>
      </c>
      <c r="CR309" s="24" t="str">
        <f>"0"</f>
        <v>0</v>
      </c>
      <c r="CS309" t="str">
        <f ca="1">IF((OFFSET($A$1, 309 - 1, 95 - 1)) &gt;= (OFFSET($A$1, 55 - 1, 7 - 1)), "1","0")</f>
        <v>0</v>
      </c>
      <c r="CT309">
        <f ca="1" xml:space="preserve"> IF( AND( OFFSET($A$1, 309 - 1, 96 - 1) = "1", OFFSET($A$1, 309 - 1, 97 - 1) = "1" ), 1, IF( AND( OFFSET($A$1, 309 - 1, 96 - 1) = "1", OFFSET($A$1, 309 - 1, 97 - 1) = "0" ), 2, IF( AND( OFFSET($A$1, 309 - 1, 96 - 1) = "0", OFFSET($A$1, 309 - 1, 97 - 1) = "1" ), 3, 4 ) ) )</f>
        <v>4</v>
      </c>
      <c r="CV309" s="24">
        <v>7.594570234357805E-3</v>
      </c>
      <c r="CW309" s="24" t="str">
        <f>"0"</f>
        <v>0</v>
      </c>
      <c r="CX309" t="str">
        <f ca="1">IF((OFFSET($A$1, 309 - 1, 100 - 1)) &gt;= (OFFSET($A$1, 79 - 1, 7 - 1)), "1","0")</f>
        <v>0</v>
      </c>
      <c r="CY309">
        <f ca="1" xml:space="preserve"> IF( AND( OFFSET($A$1, 309 - 1, 101 - 1) = "1", OFFSET($A$1, 309 - 1, 102 - 1) = "1" ), 1, IF( AND( OFFSET($A$1, 309 - 1, 101 - 1) = "1", OFFSET($A$1, 309 - 1, 102 - 1) = "0" ), 2, IF( AND( OFFSET($A$1, 309 - 1, 101 - 1) = "0", OFFSET($A$1, 309 - 1, 102 - 1) = "1" ), 3, 4 ) ) )</f>
        <v>4</v>
      </c>
    </row>
    <row r="310" spans="95:103" ht="13.8" x14ac:dyDescent="0.3">
      <c r="CQ310" s="24">
        <v>0.41722732549687341</v>
      </c>
      <c r="CR310" s="24" t="str">
        <f>"0"</f>
        <v>0</v>
      </c>
      <c r="CS310" t="str">
        <f ca="1">IF((OFFSET($A$1, 310 - 1, 95 - 1)) &gt;= (OFFSET($A$1, 55 - 1, 7 - 1)), "1","0")</f>
        <v>0</v>
      </c>
      <c r="CT310">
        <f ca="1" xml:space="preserve"> IF( AND( OFFSET($A$1, 310 - 1, 96 - 1) = "1", OFFSET($A$1, 310 - 1, 97 - 1) = "1" ), 1, IF( AND( OFFSET($A$1, 310 - 1, 96 - 1) = "1", OFFSET($A$1, 310 - 1, 97 - 1) = "0" ), 2, IF( AND( OFFSET($A$1, 310 - 1, 96 - 1) = "0", OFFSET($A$1, 310 - 1, 97 - 1) = "1" ), 3, 4 ) ) )</f>
        <v>4</v>
      </c>
      <c r="CV310" s="24">
        <v>0.75426894118817978</v>
      </c>
      <c r="CW310" s="24" t="str">
        <f>"0"</f>
        <v>0</v>
      </c>
      <c r="CX310" t="str">
        <f ca="1">IF((OFFSET($A$1, 310 - 1, 100 - 1)) &gt;= (OFFSET($A$1, 79 - 1, 7 - 1)), "1","0")</f>
        <v>1</v>
      </c>
      <c r="CY310">
        <f ca="1" xml:space="preserve"> IF( AND( OFFSET($A$1, 310 - 1, 101 - 1) = "1", OFFSET($A$1, 310 - 1, 102 - 1) = "1" ), 1, IF( AND( OFFSET($A$1, 310 - 1, 101 - 1) = "1", OFFSET($A$1, 310 - 1, 102 - 1) = "0" ), 2, IF( AND( OFFSET($A$1, 310 - 1, 101 - 1) = "0", OFFSET($A$1, 310 - 1, 102 - 1) = "1" ), 3, 4 ) ) )</f>
        <v>3</v>
      </c>
    </row>
    <row r="311" spans="95:103" ht="13.8" x14ac:dyDescent="0.3">
      <c r="CQ311" s="24">
        <v>0.97691670157147148</v>
      </c>
      <c r="CR311" s="24" t="str">
        <f>"1"</f>
        <v>1</v>
      </c>
      <c r="CS311" t="str">
        <f ca="1">IF((OFFSET($A$1, 311 - 1, 95 - 1)) &gt;= (OFFSET($A$1, 55 - 1, 7 - 1)), "1","0")</f>
        <v>1</v>
      </c>
      <c r="CT311">
        <f ca="1" xml:space="preserve"> IF( AND( OFFSET($A$1, 311 - 1, 96 - 1) = "1", OFFSET($A$1, 311 - 1, 97 - 1) = "1" ), 1, IF( AND( OFFSET($A$1, 311 - 1, 96 - 1) = "1", OFFSET($A$1, 311 - 1, 97 - 1) = "0" ), 2, IF( AND( OFFSET($A$1, 311 - 1, 96 - 1) = "0", OFFSET($A$1, 311 - 1, 97 - 1) = "1" ), 3, 4 ) ) )</f>
        <v>1</v>
      </c>
      <c r="CV311" s="24">
        <v>0.84984651698248548</v>
      </c>
      <c r="CW311" s="24" t="str">
        <f t="shared" ref="CW311:CW318" si="25">"1"</f>
        <v>1</v>
      </c>
      <c r="CX311" t="str">
        <f ca="1">IF((OFFSET($A$1, 311 - 1, 100 - 1)) &gt;= (OFFSET($A$1, 79 - 1, 7 - 1)), "1","0")</f>
        <v>1</v>
      </c>
      <c r="CY311">
        <f ca="1" xml:space="preserve"> IF( AND( OFFSET($A$1, 311 - 1, 101 - 1) = "1", OFFSET($A$1, 311 - 1, 102 - 1) = "1" ), 1, IF( AND( OFFSET($A$1, 311 - 1, 101 - 1) = "1", OFFSET($A$1, 311 - 1, 102 - 1) = "0" ), 2, IF( AND( OFFSET($A$1, 311 - 1, 101 - 1) = "0", OFFSET($A$1, 311 - 1, 102 - 1) = "1" ), 3, 4 ) ) )</f>
        <v>1</v>
      </c>
    </row>
    <row r="312" spans="95:103" ht="13.8" x14ac:dyDescent="0.3">
      <c r="CQ312" s="24">
        <v>0.95083738193652345</v>
      </c>
      <c r="CR312" s="24" t="str">
        <f>"1"</f>
        <v>1</v>
      </c>
      <c r="CS312" t="str">
        <f ca="1">IF((OFFSET($A$1, 312 - 1, 95 - 1)) &gt;= (OFFSET($A$1, 55 - 1, 7 - 1)), "1","0")</f>
        <v>1</v>
      </c>
      <c r="CT312">
        <f ca="1" xml:space="preserve"> IF( AND( OFFSET($A$1, 312 - 1, 96 - 1) = "1", OFFSET($A$1, 312 - 1, 97 - 1) = "1" ), 1, IF( AND( OFFSET($A$1, 312 - 1, 96 - 1) = "1", OFFSET($A$1, 312 - 1, 97 - 1) = "0" ), 2, IF( AND( OFFSET($A$1, 312 - 1, 96 - 1) = "0", OFFSET($A$1, 312 - 1, 97 - 1) = "1" ), 3, 4 ) ) )</f>
        <v>1</v>
      </c>
      <c r="CV312" s="24">
        <v>0.99383794228203459</v>
      </c>
      <c r="CW312" s="24" t="str">
        <f t="shared" si="25"/>
        <v>1</v>
      </c>
      <c r="CX312" t="str">
        <f ca="1">IF((OFFSET($A$1, 312 - 1, 100 - 1)) &gt;= (OFFSET($A$1, 79 - 1, 7 - 1)), "1","0")</f>
        <v>1</v>
      </c>
      <c r="CY312">
        <f ca="1" xml:space="preserve"> IF( AND( OFFSET($A$1, 312 - 1, 101 - 1) = "1", OFFSET($A$1, 312 - 1, 102 - 1) = "1" ), 1, IF( AND( OFFSET($A$1, 312 - 1, 101 - 1) = "1", OFFSET($A$1, 312 - 1, 102 - 1) = "0" ), 2, IF( AND( OFFSET($A$1, 312 - 1, 101 - 1) = "0", OFFSET($A$1, 312 - 1, 102 - 1) = "1" ), 3, 4 ) ) )</f>
        <v>1</v>
      </c>
    </row>
    <row r="313" spans="95:103" ht="13.8" x14ac:dyDescent="0.3">
      <c r="CQ313" s="24">
        <v>0.99832264168537999</v>
      </c>
      <c r="CR313" s="24" t="str">
        <f>"1"</f>
        <v>1</v>
      </c>
      <c r="CS313" t="str">
        <f ca="1">IF((OFFSET($A$1, 313 - 1, 95 - 1)) &gt;= (OFFSET($A$1, 55 - 1, 7 - 1)), "1","0")</f>
        <v>1</v>
      </c>
      <c r="CT313">
        <f ca="1" xml:space="preserve"> IF( AND( OFFSET($A$1, 313 - 1, 96 - 1) = "1", OFFSET($A$1, 313 - 1, 97 - 1) = "1" ), 1, IF( AND( OFFSET($A$1, 313 - 1, 96 - 1) = "1", OFFSET($A$1, 313 - 1, 97 - 1) = "0" ), 2, IF( AND( OFFSET($A$1, 313 - 1, 96 - 1) = "0", OFFSET($A$1, 313 - 1, 97 - 1) = "1" ), 3, 4 ) ) )</f>
        <v>1</v>
      </c>
      <c r="CV313" s="24">
        <v>0.95906308008668273</v>
      </c>
      <c r="CW313" s="24" t="str">
        <f t="shared" si="25"/>
        <v>1</v>
      </c>
      <c r="CX313" t="str">
        <f ca="1">IF((OFFSET($A$1, 313 - 1, 100 - 1)) &gt;= (OFFSET($A$1, 79 - 1, 7 - 1)), "1","0")</f>
        <v>1</v>
      </c>
      <c r="CY313">
        <f ca="1" xml:space="preserve"> IF( AND( OFFSET($A$1, 313 - 1, 101 - 1) = "1", OFFSET($A$1, 313 - 1, 102 - 1) = "1" ), 1, IF( AND( OFFSET($A$1, 313 - 1, 101 - 1) = "1", OFFSET($A$1, 313 - 1, 102 - 1) = "0" ), 2, IF( AND( OFFSET($A$1, 313 - 1, 101 - 1) = "0", OFFSET($A$1, 313 - 1, 102 - 1) = "1" ), 3, 4 ) ) )</f>
        <v>1</v>
      </c>
    </row>
    <row r="314" spans="95:103" ht="13.8" x14ac:dyDescent="0.3">
      <c r="CQ314" s="24">
        <v>0.99739447657923874</v>
      </c>
      <c r="CR314" s="24" t="str">
        <f>"1"</f>
        <v>1</v>
      </c>
      <c r="CS314" t="str">
        <f ca="1">IF((OFFSET($A$1, 314 - 1, 95 - 1)) &gt;= (OFFSET($A$1, 55 - 1, 7 - 1)), "1","0")</f>
        <v>1</v>
      </c>
      <c r="CT314">
        <f ca="1" xml:space="preserve"> IF( AND( OFFSET($A$1, 314 - 1, 96 - 1) = "1", OFFSET($A$1, 314 - 1, 97 - 1) = "1" ), 1, IF( AND( OFFSET($A$1, 314 - 1, 96 - 1) = "1", OFFSET($A$1, 314 - 1, 97 - 1) = "0" ), 2, IF( AND( OFFSET($A$1, 314 - 1, 96 - 1) = "0", OFFSET($A$1, 314 - 1, 97 - 1) = "1" ), 3, 4 ) ) )</f>
        <v>1</v>
      </c>
      <c r="CV314" s="24">
        <v>0.8260465202157441</v>
      </c>
      <c r="CW314" s="24" t="str">
        <f t="shared" si="25"/>
        <v>1</v>
      </c>
      <c r="CX314" t="str">
        <f ca="1">IF((OFFSET($A$1, 314 - 1, 100 - 1)) &gt;= (OFFSET($A$1, 79 - 1, 7 - 1)), "1","0")</f>
        <v>1</v>
      </c>
      <c r="CY314">
        <f ca="1" xml:space="preserve"> IF( AND( OFFSET($A$1, 314 - 1, 101 - 1) = "1", OFFSET($A$1, 314 - 1, 102 - 1) = "1" ), 1, IF( AND( OFFSET($A$1, 314 - 1, 101 - 1) = "1", OFFSET($A$1, 314 - 1, 102 - 1) = "0" ), 2, IF( AND( OFFSET($A$1, 314 - 1, 101 - 1) = "0", OFFSET($A$1, 314 - 1, 102 - 1) = "1" ), 3, 4 ) ) )</f>
        <v>1</v>
      </c>
    </row>
    <row r="315" spans="95:103" ht="13.8" x14ac:dyDescent="0.3">
      <c r="CQ315" s="24">
        <v>0.99741804175222382</v>
      </c>
      <c r="CR315" s="24" t="str">
        <f>"1"</f>
        <v>1</v>
      </c>
      <c r="CS315" t="str">
        <f ca="1">IF((OFFSET($A$1, 315 - 1, 95 - 1)) &gt;= (OFFSET($A$1, 55 - 1, 7 - 1)), "1","0")</f>
        <v>1</v>
      </c>
      <c r="CT315">
        <f ca="1" xml:space="preserve"> IF( AND( OFFSET($A$1, 315 - 1, 96 - 1) = "1", OFFSET($A$1, 315 - 1, 97 - 1) = "1" ), 1, IF( AND( OFFSET($A$1, 315 - 1, 96 - 1) = "1", OFFSET($A$1, 315 - 1, 97 - 1) = "0" ), 2, IF( AND( OFFSET($A$1, 315 - 1, 96 - 1) = "0", OFFSET($A$1, 315 - 1, 97 - 1) = "1" ), 3, 4 ) ) )</f>
        <v>1</v>
      </c>
      <c r="CV315" s="24">
        <v>0.98453008614680526</v>
      </c>
      <c r="CW315" s="24" t="str">
        <f t="shared" si="25"/>
        <v>1</v>
      </c>
      <c r="CX315" t="str">
        <f ca="1">IF((OFFSET($A$1, 315 - 1, 100 - 1)) &gt;= (OFFSET($A$1, 79 - 1, 7 - 1)), "1","0")</f>
        <v>1</v>
      </c>
      <c r="CY315">
        <f ca="1" xml:space="preserve"> IF( AND( OFFSET($A$1, 315 - 1, 101 - 1) = "1", OFFSET($A$1, 315 - 1, 102 - 1) = "1" ), 1, IF( AND( OFFSET($A$1, 315 - 1, 101 - 1) = "1", OFFSET($A$1, 315 - 1, 102 - 1) = "0" ), 2, IF( AND( OFFSET($A$1, 315 - 1, 101 - 1) = "0", OFFSET($A$1, 315 - 1, 102 - 1) = "1" ), 3, 4 ) ) )</f>
        <v>1</v>
      </c>
    </row>
    <row r="316" spans="95:103" ht="13.8" x14ac:dyDescent="0.3">
      <c r="CQ316" s="24">
        <v>0.28381016870056097</v>
      </c>
      <c r="CR316" s="24" t="str">
        <f>"0"</f>
        <v>0</v>
      </c>
      <c r="CS316" t="str">
        <f ca="1">IF((OFFSET($A$1, 316 - 1, 95 - 1)) &gt;= (OFFSET($A$1, 55 - 1, 7 - 1)), "1","0")</f>
        <v>0</v>
      </c>
      <c r="CT316">
        <f ca="1" xml:space="preserve"> IF( AND( OFFSET($A$1, 316 - 1, 96 - 1) = "1", OFFSET($A$1, 316 - 1, 97 - 1) = "1" ), 1, IF( AND( OFFSET($A$1, 316 - 1, 96 - 1) = "1", OFFSET($A$1, 316 - 1, 97 - 1) = "0" ), 2, IF( AND( OFFSET($A$1, 316 - 1, 96 - 1) = "0", OFFSET($A$1, 316 - 1, 97 - 1) = "1" ), 3, 4 ) ) )</f>
        <v>4</v>
      </c>
      <c r="CV316" s="24">
        <v>0.9995892882705093</v>
      </c>
      <c r="CW316" s="24" t="str">
        <f t="shared" si="25"/>
        <v>1</v>
      </c>
      <c r="CX316" t="str">
        <f ca="1">IF((OFFSET($A$1, 316 - 1, 100 - 1)) &gt;= (OFFSET($A$1, 79 - 1, 7 - 1)), "1","0")</f>
        <v>1</v>
      </c>
      <c r="CY316">
        <f ca="1" xml:space="preserve"> IF( AND( OFFSET($A$1, 316 - 1, 101 - 1) = "1", OFFSET($A$1, 316 - 1, 102 - 1) = "1" ), 1, IF( AND( OFFSET($A$1, 316 - 1, 101 - 1) = "1", OFFSET($A$1, 316 - 1, 102 - 1) = "0" ), 2, IF( AND( OFFSET($A$1, 316 - 1, 101 - 1) = "0", OFFSET($A$1, 316 - 1, 102 - 1) = "1" ), 3, 4 ) ) )</f>
        <v>1</v>
      </c>
    </row>
    <row r="317" spans="95:103" ht="13.8" x14ac:dyDescent="0.3">
      <c r="CQ317" s="24">
        <v>0.96620970862999411</v>
      </c>
      <c r="CR317" s="24" t="str">
        <f>"1"</f>
        <v>1</v>
      </c>
      <c r="CS317" t="str">
        <f ca="1">IF((OFFSET($A$1, 317 - 1, 95 - 1)) &gt;= (OFFSET($A$1, 55 - 1, 7 - 1)), "1","0")</f>
        <v>1</v>
      </c>
      <c r="CT317">
        <f ca="1" xml:space="preserve"> IF( AND( OFFSET($A$1, 317 - 1, 96 - 1) = "1", OFFSET($A$1, 317 - 1, 97 - 1) = "1" ), 1, IF( AND( OFFSET($A$1, 317 - 1, 96 - 1) = "1", OFFSET($A$1, 317 - 1, 97 - 1) = "0" ), 2, IF( AND( OFFSET($A$1, 317 - 1, 96 - 1) = "0", OFFSET($A$1, 317 - 1, 97 - 1) = "1" ), 3, 4 ) ) )</f>
        <v>1</v>
      </c>
      <c r="CV317" s="24">
        <v>0.99181614142866736</v>
      </c>
      <c r="CW317" s="24" t="str">
        <f t="shared" si="25"/>
        <v>1</v>
      </c>
      <c r="CX317" t="str">
        <f ca="1">IF((OFFSET($A$1, 317 - 1, 100 - 1)) &gt;= (OFFSET($A$1, 79 - 1, 7 - 1)), "1","0")</f>
        <v>1</v>
      </c>
      <c r="CY317">
        <f ca="1" xml:space="preserve"> IF( AND( OFFSET($A$1, 317 - 1, 101 - 1) = "1", OFFSET($A$1, 317 - 1, 102 - 1) = "1" ), 1, IF( AND( OFFSET($A$1, 317 - 1, 101 - 1) = "1", OFFSET($A$1, 317 - 1, 102 - 1) = "0" ), 2, IF( AND( OFFSET($A$1, 317 - 1, 101 - 1) = "0", OFFSET($A$1, 317 - 1, 102 - 1) = "1" ), 3, 4 ) ) )</f>
        <v>1</v>
      </c>
    </row>
    <row r="318" spans="95:103" ht="13.8" x14ac:dyDescent="0.3">
      <c r="CQ318" s="24">
        <v>0.99670377487831974</v>
      </c>
      <c r="CR318" s="24" t="str">
        <f>"1"</f>
        <v>1</v>
      </c>
      <c r="CS318" t="str">
        <f ca="1">IF((OFFSET($A$1, 318 - 1, 95 - 1)) &gt;= (OFFSET($A$1, 55 - 1, 7 - 1)), "1","0")</f>
        <v>1</v>
      </c>
      <c r="CT318">
        <f ca="1" xml:space="preserve"> IF( AND( OFFSET($A$1, 318 - 1, 96 - 1) = "1", OFFSET($A$1, 318 - 1, 97 - 1) = "1" ), 1, IF( AND( OFFSET($A$1, 318 - 1, 96 - 1) = "1", OFFSET($A$1, 318 - 1, 97 - 1) = "0" ), 2, IF( AND( OFFSET($A$1, 318 - 1, 96 - 1) = "0", OFFSET($A$1, 318 - 1, 97 - 1) = "1" ), 3, 4 ) ) )</f>
        <v>1</v>
      </c>
      <c r="CV318" s="24">
        <v>0.99594155724048183</v>
      </c>
      <c r="CW318" s="24" t="str">
        <f t="shared" si="25"/>
        <v>1</v>
      </c>
      <c r="CX318" t="str">
        <f ca="1">IF((OFFSET($A$1, 318 - 1, 100 - 1)) &gt;= (OFFSET($A$1, 79 - 1, 7 - 1)), "1","0")</f>
        <v>1</v>
      </c>
      <c r="CY318">
        <f ca="1" xml:space="preserve"> IF( AND( OFFSET($A$1, 318 - 1, 101 - 1) = "1", OFFSET($A$1, 318 - 1, 102 - 1) = "1" ), 1, IF( AND( OFFSET($A$1, 318 - 1, 101 - 1) = "1", OFFSET($A$1, 318 - 1, 102 - 1) = "0" ), 2, IF( AND( OFFSET($A$1, 318 - 1, 101 - 1) = "0", OFFSET($A$1, 318 - 1, 102 - 1) = "1" ), 3, 4 ) ) )</f>
        <v>1</v>
      </c>
    </row>
    <row r="319" spans="95:103" ht="13.8" x14ac:dyDescent="0.3">
      <c r="CQ319" s="24">
        <v>0.56882541568434886</v>
      </c>
      <c r="CR319" s="24" t="str">
        <f>"0"</f>
        <v>0</v>
      </c>
      <c r="CS319" t="str">
        <f ca="1">IF((OFFSET($A$1, 319 - 1, 95 - 1)) &gt;= (OFFSET($A$1, 55 - 1, 7 - 1)), "1","0")</f>
        <v>1</v>
      </c>
      <c r="CT319">
        <f ca="1" xml:space="preserve"> IF( AND( OFFSET($A$1, 319 - 1, 96 - 1) = "1", OFFSET($A$1, 319 - 1, 97 - 1) = "1" ), 1, IF( AND( OFFSET($A$1, 319 - 1, 96 - 1) = "1", OFFSET($A$1, 319 - 1, 97 - 1) = "0" ), 2, IF( AND( OFFSET($A$1, 319 - 1, 96 - 1) = "0", OFFSET($A$1, 319 - 1, 97 - 1) = "1" ), 3, 4 ) ) )</f>
        <v>3</v>
      </c>
      <c r="CV319" s="24">
        <v>0.9919472316397987</v>
      </c>
      <c r="CW319" s="24" t="str">
        <f>"0"</f>
        <v>0</v>
      </c>
      <c r="CX319" t="str">
        <f ca="1">IF((OFFSET($A$1, 319 - 1, 100 - 1)) &gt;= (OFFSET($A$1, 79 - 1, 7 - 1)), "1","0")</f>
        <v>1</v>
      </c>
      <c r="CY319">
        <f ca="1" xml:space="preserve"> IF( AND( OFFSET($A$1, 319 - 1, 101 - 1) = "1", OFFSET($A$1, 319 - 1, 102 - 1) = "1" ), 1, IF( AND( OFFSET($A$1, 319 - 1, 101 - 1) = "1", OFFSET($A$1, 319 - 1, 102 - 1) = "0" ), 2, IF( AND( OFFSET($A$1, 319 - 1, 101 - 1) = "0", OFFSET($A$1, 319 - 1, 102 - 1) = "1" ), 3, 4 ) ) )</f>
        <v>3</v>
      </c>
    </row>
    <row r="320" spans="95:103" ht="13.8" x14ac:dyDescent="0.3">
      <c r="CQ320" s="24">
        <v>0.99886625988819178</v>
      </c>
      <c r="CR320" s="24" t="str">
        <f>"1"</f>
        <v>1</v>
      </c>
      <c r="CS320" t="str">
        <f ca="1">IF((OFFSET($A$1, 320 - 1, 95 - 1)) &gt;= (OFFSET($A$1, 55 - 1, 7 - 1)), "1","0")</f>
        <v>1</v>
      </c>
      <c r="CT320">
        <f ca="1" xml:space="preserve"> IF( AND( OFFSET($A$1, 320 - 1, 96 - 1) = "1", OFFSET($A$1, 320 - 1, 97 - 1) = "1" ), 1, IF( AND( OFFSET($A$1, 320 - 1, 96 - 1) = "1", OFFSET($A$1, 320 - 1, 97 - 1) = "0" ), 2, IF( AND( OFFSET($A$1, 320 - 1, 96 - 1) = "0", OFFSET($A$1, 320 - 1, 97 - 1) = "1" ), 3, 4 ) ) )</f>
        <v>1</v>
      </c>
      <c r="CV320" s="24">
        <v>0.99626305597969744</v>
      </c>
      <c r="CW320" s="24" t="str">
        <f>"1"</f>
        <v>1</v>
      </c>
      <c r="CX320" t="str">
        <f ca="1">IF((OFFSET($A$1, 320 - 1, 100 - 1)) &gt;= (OFFSET($A$1, 79 - 1, 7 - 1)), "1","0")</f>
        <v>1</v>
      </c>
      <c r="CY320">
        <f ca="1" xml:space="preserve"> IF( AND( OFFSET($A$1, 320 - 1, 101 - 1) = "1", OFFSET($A$1, 320 - 1, 102 - 1) = "1" ), 1, IF( AND( OFFSET($A$1, 320 - 1, 101 - 1) = "1", OFFSET($A$1, 320 - 1, 102 - 1) = "0" ), 2, IF( AND( OFFSET($A$1, 320 - 1, 101 - 1) = "0", OFFSET($A$1, 320 - 1, 102 - 1) = "1" ), 3, 4 ) ) )</f>
        <v>1</v>
      </c>
    </row>
    <row r="321" spans="95:103" ht="13.8" x14ac:dyDescent="0.3">
      <c r="CQ321" s="24">
        <v>0.99641763293391183</v>
      </c>
      <c r="CR321" s="24" t="str">
        <f>"1"</f>
        <v>1</v>
      </c>
      <c r="CS321" t="str">
        <f ca="1">IF((OFFSET($A$1, 321 - 1, 95 - 1)) &gt;= (OFFSET($A$1, 55 - 1, 7 - 1)), "1","0")</f>
        <v>1</v>
      </c>
      <c r="CT321">
        <f ca="1" xml:space="preserve"> IF( AND( OFFSET($A$1, 321 - 1, 96 - 1) = "1", OFFSET($A$1, 321 - 1, 97 - 1) = "1" ), 1, IF( AND( OFFSET($A$1, 321 - 1, 96 - 1) = "1", OFFSET($A$1, 321 - 1, 97 - 1) = "0" ), 2, IF( AND( OFFSET($A$1, 321 - 1, 96 - 1) = "0", OFFSET($A$1, 321 - 1, 97 - 1) = "1" ), 3, 4 ) ) )</f>
        <v>1</v>
      </c>
      <c r="CV321" s="24">
        <v>0.98018084978166176</v>
      </c>
      <c r="CW321" s="24" t="str">
        <f>"1"</f>
        <v>1</v>
      </c>
      <c r="CX321" t="str">
        <f ca="1">IF((OFFSET($A$1, 321 - 1, 100 - 1)) &gt;= (OFFSET($A$1, 79 - 1, 7 - 1)), "1","0")</f>
        <v>1</v>
      </c>
      <c r="CY321">
        <f ca="1" xml:space="preserve"> IF( AND( OFFSET($A$1, 321 - 1, 101 - 1) = "1", OFFSET($A$1, 321 - 1, 102 - 1) = "1" ), 1, IF( AND( OFFSET($A$1, 321 - 1, 101 - 1) = "1", OFFSET($A$1, 321 - 1, 102 - 1) = "0" ), 2, IF( AND( OFFSET($A$1, 321 - 1, 101 - 1) = "0", OFFSET($A$1, 321 - 1, 102 - 1) = "1" ), 3, 4 ) ) )</f>
        <v>1</v>
      </c>
    </row>
    <row r="322" spans="95:103" ht="13.8" x14ac:dyDescent="0.3">
      <c r="CQ322" s="24">
        <v>0.16018417836258045</v>
      </c>
      <c r="CR322" s="24" t="str">
        <f>"0"</f>
        <v>0</v>
      </c>
      <c r="CS322" t="str">
        <f ca="1">IF((OFFSET($A$1, 322 - 1, 95 - 1)) &gt;= (OFFSET($A$1, 55 - 1, 7 - 1)), "1","0")</f>
        <v>0</v>
      </c>
      <c r="CT322">
        <f ca="1" xml:space="preserve"> IF( AND( OFFSET($A$1, 322 - 1, 96 - 1) = "1", OFFSET($A$1, 322 - 1, 97 - 1) = "1" ), 1, IF( AND( OFFSET($A$1, 322 - 1, 96 - 1) = "1", OFFSET($A$1, 322 - 1, 97 - 1) = "0" ), 2, IF( AND( OFFSET($A$1, 322 - 1, 96 - 1) = "0", OFFSET($A$1, 322 - 1, 97 - 1) = "1" ), 3, 4 ) ) )</f>
        <v>4</v>
      </c>
      <c r="CV322" s="24">
        <v>0.12408147651802336</v>
      </c>
      <c r="CW322" s="24" t="str">
        <f>"0"</f>
        <v>0</v>
      </c>
      <c r="CX322" t="str">
        <f ca="1">IF((OFFSET($A$1, 322 - 1, 100 - 1)) &gt;= (OFFSET($A$1, 79 - 1, 7 - 1)), "1","0")</f>
        <v>0</v>
      </c>
      <c r="CY322">
        <f ca="1" xml:space="preserve"> IF( AND( OFFSET($A$1, 322 - 1, 101 - 1) = "1", OFFSET($A$1, 322 - 1, 102 - 1) = "1" ), 1, IF( AND( OFFSET($A$1, 322 - 1, 101 - 1) = "1", OFFSET($A$1, 322 - 1, 102 - 1) = "0" ), 2, IF( AND( OFFSET($A$1, 322 - 1, 101 - 1) = "0", OFFSET($A$1, 322 - 1, 102 - 1) = "1" ), 3, 4 ) ) )</f>
        <v>4</v>
      </c>
    </row>
    <row r="323" spans="95:103" ht="13.8" x14ac:dyDescent="0.3">
      <c r="CQ323" s="24">
        <v>0.96938201192856843</v>
      </c>
      <c r="CR323" s="24" t="str">
        <f>"1"</f>
        <v>1</v>
      </c>
      <c r="CS323" t="str">
        <f ca="1">IF((OFFSET($A$1, 323 - 1, 95 - 1)) &gt;= (OFFSET($A$1, 55 - 1, 7 - 1)), "1","0")</f>
        <v>1</v>
      </c>
      <c r="CT323">
        <f ca="1" xml:space="preserve"> IF( AND( OFFSET($A$1, 323 - 1, 96 - 1) = "1", OFFSET($A$1, 323 - 1, 97 - 1) = "1" ), 1, IF( AND( OFFSET($A$1, 323 - 1, 96 - 1) = "1", OFFSET($A$1, 323 - 1, 97 - 1) = "0" ), 2, IF( AND( OFFSET($A$1, 323 - 1, 96 - 1) = "0", OFFSET($A$1, 323 - 1, 97 - 1) = "1" ), 3, 4 ) ) )</f>
        <v>1</v>
      </c>
      <c r="CV323" s="24">
        <v>1.9798944183528004E-2</v>
      </c>
      <c r="CW323" s="24" t="str">
        <f>"0"</f>
        <v>0</v>
      </c>
      <c r="CX323" t="str">
        <f ca="1">IF((OFFSET($A$1, 323 - 1, 100 - 1)) &gt;= (OFFSET($A$1, 79 - 1, 7 - 1)), "1","0")</f>
        <v>0</v>
      </c>
      <c r="CY323">
        <f ca="1" xml:space="preserve"> IF( AND( OFFSET($A$1, 323 - 1, 101 - 1) = "1", OFFSET($A$1, 323 - 1, 102 - 1) = "1" ), 1, IF( AND( OFFSET($A$1, 323 - 1, 101 - 1) = "1", OFFSET($A$1, 323 - 1, 102 - 1) = "0" ), 2, IF( AND( OFFSET($A$1, 323 - 1, 101 - 1) = "0", OFFSET($A$1, 323 - 1, 102 - 1) = "1" ), 3, 4 ) ) )</f>
        <v>4</v>
      </c>
    </row>
    <row r="324" spans="95:103" ht="13.8" x14ac:dyDescent="0.3">
      <c r="CQ324" s="24">
        <v>0.99748605595498918</v>
      </c>
      <c r="CR324" s="24" t="str">
        <f>"1"</f>
        <v>1</v>
      </c>
      <c r="CS324" t="str">
        <f ca="1">IF((OFFSET($A$1, 324 - 1, 95 - 1)) &gt;= (OFFSET($A$1, 55 - 1, 7 - 1)), "1","0")</f>
        <v>1</v>
      </c>
      <c r="CT324">
        <f ca="1" xml:space="preserve"> IF( AND( OFFSET($A$1, 324 - 1, 96 - 1) = "1", OFFSET($A$1, 324 - 1, 97 - 1) = "1" ), 1, IF( AND( OFFSET($A$1, 324 - 1, 96 - 1) = "1", OFFSET($A$1, 324 - 1, 97 - 1) = "0" ), 2, IF( AND( OFFSET($A$1, 324 - 1, 96 - 1) = "0", OFFSET($A$1, 324 - 1, 97 - 1) = "1" ), 3, 4 ) ) )</f>
        <v>1</v>
      </c>
      <c r="CV324" s="24">
        <v>0.2437508170334643</v>
      </c>
      <c r="CW324" s="24" t="str">
        <f>"1"</f>
        <v>1</v>
      </c>
      <c r="CX324" t="str">
        <f ca="1">IF((OFFSET($A$1, 324 - 1, 100 - 1)) &gt;= (OFFSET($A$1, 79 - 1, 7 - 1)), "1","0")</f>
        <v>0</v>
      </c>
      <c r="CY324">
        <f ca="1" xml:space="preserve"> IF( AND( OFFSET($A$1, 324 - 1, 101 - 1) = "1", OFFSET($A$1, 324 - 1, 102 - 1) = "1" ), 1, IF( AND( OFFSET($A$1, 324 - 1, 101 - 1) = "1", OFFSET($A$1, 324 - 1, 102 - 1) = "0" ), 2, IF( AND( OFFSET($A$1, 324 - 1, 101 - 1) = "0", OFFSET($A$1, 324 - 1, 102 - 1) = "1" ), 3, 4 ) ) )</f>
        <v>2</v>
      </c>
    </row>
    <row r="325" spans="95:103" ht="13.8" x14ac:dyDescent="0.3">
      <c r="CQ325" s="24">
        <v>0.31048413239198058</v>
      </c>
      <c r="CR325" s="24" t="str">
        <f>"0"</f>
        <v>0</v>
      </c>
      <c r="CS325" t="str">
        <f ca="1">IF((OFFSET($A$1, 325 - 1, 95 - 1)) &gt;= (OFFSET($A$1, 55 - 1, 7 - 1)), "1","0")</f>
        <v>0</v>
      </c>
      <c r="CT325">
        <f ca="1" xml:space="preserve"> IF( AND( OFFSET($A$1, 325 - 1, 96 - 1) = "1", OFFSET($A$1, 325 - 1, 97 - 1) = "1" ), 1, IF( AND( OFFSET($A$1, 325 - 1, 96 - 1) = "1", OFFSET($A$1, 325 - 1, 97 - 1) = "0" ), 2, IF( AND( OFFSET($A$1, 325 - 1, 96 - 1) = "0", OFFSET($A$1, 325 - 1, 97 - 1) = "1" ), 3, 4 ) ) )</f>
        <v>4</v>
      </c>
      <c r="CV325" s="24">
        <v>0.99542023475436492</v>
      </c>
      <c r="CW325" s="24" t="str">
        <f>"1"</f>
        <v>1</v>
      </c>
      <c r="CX325" t="str">
        <f ca="1">IF((OFFSET($A$1, 325 - 1, 100 - 1)) &gt;= (OFFSET($A$1, 79 - 1, 7 - 1)), "1","0")</f>
        <v>1</v>
      </c>
      <c r="CY325">
        <f ca="1" xml:space="preserve"> IF( AND( OFFSET($A$1, 325 - 1, 101 - 1) = "1", OFFSET($A$1, 325 - 1, 102 - 1) = "1" ), 1, IF( AND( OFFSET($A$1, 325 - 1, 101 - 1) = "1", OFFSET($A$1, 325 - 1, 102 - 1) = "0" ), 2, IF( AND( OFFSET($A$1, 325 - 1, 101 - 1) = "0", OFFSET($A$1, 325 - 1, 102 - 1) = "1" ), 3, 4 ) ) )</f>
        <v>1</v>
      </c>
    </row>
    <row r="326" spans="95:103" ht="13.8" x14ac:dyDescent="0.3">
      <c r="CQ326" s="24">
        <v>0.28005054780386107</v>
      </c>
      <c r="CR326" s="24" t="str">
        <f>"0"</f>
        <v>0</v>
      </c>
      <c r="CS326" t="str">
        <f ca="1">IF((OFFSET($A$1, 326 - 1, 95 - 1)) &gt;= (OFFSET($A$1, 55 - 1, 7 - 1)), "1","0")</f>
        <v>0</v>
      </c>
      <c r="CT326">
        <f ca="1" xml:space="preserve"> IF( AND( OFFSET($A$1, 326 - 1, 96 - 1) = "1", OFFSET($A$1, 326 - 1, 97 - 1) = "1" ), 1, IF( AND( OFFSET($A$1, 326 - 1, 96 - 1) = "1", OFFSET($A$1, 326 - 1, 97 - 1) = "0" ), 2, IF( AND( OFFSET($A$1, 326 - 1, 96 - 1) = "0", OFFSET($A$1, 326 - 1, 97 - 1) = "1" ), 3, 4 ) ) )</f>
        <v>4</v>
      </c>
      <c r="CV326" s="24">
        <v>0.99950154255450196</v>
      </c>
      <c r="CW326" s="24" t="str">
        <f>"1"</f>
        <v>1</v>
      </c>
      <c r="CX326" t="str">
        <f ca="1">IF((OFFSET($A$1, 326 - 1, 100 - 1)) &gt;= (OFFSET($A$1, 79 - 1, 7 - 1)), "1","0")</f>
        <v>1</v>
      </c>
      <c r="CY326">
        <f ca="1" xml:space="preserve"> IF( AND( OFFSET($A$1, 326 - 1, 101 - 1) = "1", OFFSET($A$1, 326 - 1, 102 - 1) = "1" ), 1, IF( AND( OFFSET($A$1, 326 - 1, 101 - 1) = "1", OFFSET($A$1, 326 - 1, 102 - 1) = "0" ), 2, IF( AND( OFFSET($A$1, 326 - 1, 101 - 1) = "0", OFFSET($A$1, 326 - 1, 102 - 1) = "1" ), 3, 4 ) ) )</f>
        <v>1</v>
      </c>
    </row>
    <row r="327" spans="95:103" ht="13.8" x14ac:dyDescent="0.3">
      <c r="CQ327" s="24">
        <v>0.98890292095784316</v>
      </c>
      <c r="CR327" s="24" t="str">
        <f>"1"</f>
        <v>1</v>
      </c>
      <c r="CS327" t="str">
        <f ca="1">IF((OFFSET($A$1, 327 - 1, 95 - 1)) &gt;= (OFFSET($A$1, 55 - 1, 7 - 1)), "1","0")</f>
        <v>1</v>
      </c>
      <c r="CT327">
        <f ca="1" xml:space="preserve"> IF( AND( OFFSET($A$1, 327 - 1, 96 - 1) = "1", OFFSET($A$1, 327 - 1, 97 - 1) = "1" ), 1, IF( AND( OFFSET($A$1, 327 - 1, 96 - 1) = "1", OFFSET($A$1, 327 - 1, 97 - 1) = "0" ), 2, IF( AND( OFFSET($A$1, 327 - 1, 96 - 1) = "0", OFFSET($A$1, 327 - 1, 97 - 1) = "1" ), 3, 4 ) ) )</f>
        <v>1</v>
      </c>
      <c r="CV327" s="24">
        <v>0.9977855829154717</v>
      </c>
      <c r="CW327" s="24" t="str">
        <f>"0"</f>
        <v>0</v>
      </c>
      <c r="CX327" t="str">
        <f ca="1">IF((OFFSET($A$1, 327 - 1, 100 - 1)) &gt;= (OFFSET($A$1, 79 - 1, 7 - 1)), "1","0")</f>
        <v>1</v>
      </c>
      <c r="CY327">
        <f ca="1" xml:space="preserve"> IF( AND( OFFSET($A$1, 327 - 1, 101 - 1) = "1", OFFSET($A$1, 327 - 1, 102 - 1) = "1" ), 1, IF( AND( OFFSET($A$1, 327 - 1, 101 - 1) = "1", OFFSET($A$1, 327 - 1, 102 - 1) = "0" ), 2, IF( AND( OFFSET($A$1, 327 - 1, 101 - 1) = "0", OFFSET($A$1, 327 - 1, 102 - 1) = "1" ), 3, 4 ) ) )</f>
        <v>3</v>
      </c>
    </row>
    <row r="328" spans="95:103" ht="13.8" x14ac:dyDescent="0.3">
      <c r="CQ328" s="24">
        <v>0.41430193156567879</v>
      </c>
      <c r="CR328" s="24" t="str">
        <f>"0"</f>
        <v>0</v>
      </c>
      <c r="CS328" t="str">
        <f ca="1">IF((OFFSET($A$1, 328 - 1, 95 - 1)) &gt;= (OFFSET($A$1, 55 - 1, 7 - 1)), "1","0")</f>
        <v>0</v>
      </c>
      <c r="CT328">
        <f ca="1" xml:space="preserve"> IF( AND( OFFSET($A$1, 328 - 1, 96 - 1) = "1", OFFSET($A$1, 328 - 1, 97 - 1) = "1" ), 1, IF( AND( OFFSET($A$1, 328 - 1, 96 - 1) = "1", OFFSET($A$1, 328 - 1, 97 - 1) = "0" ), 2, IF( AND( OFFSET($A$1, 328 - 1, 96 - 1) = "0", OFFSET($A$1, 328 - 1, 97 - 1) = "1" ), 3, 4 ) ) )</f>
        <v>4</v>
      </c>
      <c r="CV328" s="24">
        <v>0.35632287360630027</v>
      </c>
      <c r="CW328" s="24" t="str">
        <f>"0"</f>
        <v>0</v>
      </c>
      <c r="CX328" t="str">
        <f ca="1">IF((OFFSET($A$1, 328 - 1, 100 - 1)) &gt;= (OFFSET($A$1, 79 - 1, 7 - 1)), "1","0")</f>
        <v>0</v>
      </c>
      <c r="CY328">
        <f ca="1" xml:space="preserve"> IF( AND( OFFSET($A$1, 328 - 1, 101 - 1) = "1", OFFSET($A$1, 328 - 1, 102 - 1) = "1" ), 1, IF( AND( OFFSET($A$1, 328 - 1, 101 - 1) = "1", OFFSET($A$1, 328 - 1, 102 - 1) = "0" ), 2, IF( AND( OFFSET($A$1, 328 - 1, 101 - 1) = "0", OFFSET($A$1, 328 - 1, 102 - 1) = "1" ), 3, 4 ) ) )</f>
        <v>4</v>
      </c>
    </row>
    <row r="329" spans="95:103" ht="13.8" x14ac:dyDescent="0.3">
      <c r="CQ329" s="24">
        <v>0.99925204112012644</v>
      </c>
      <c r="CR329" s="24" t="str">
        <f>"1"</f>
        <v>1</v>
      </c>
      <c r="CS329" t="str">
        <f ca="1">IF((OFFSET($A$1, 329 - 1, 95 - 1)) &gt;= (OFFSET($A$1, 55 - 1, 7 - 1)), "1","0")</f>
        <v>1</v>
      </c>
      <c r="CT329">
        <f ca="1" xml:space="preserve"> IF( AND( OFFSET($A$1, 329 - 1, 96 - 1) = "1", OFFSET($A$1, 329 - 1, 97 - 1) = "1" ), 1, IF( AND( OFFSET($A$1, 329 - 1, 96 - 1) = "1", OFFSET($A$1, 329 - 1, 97 - 1) = "0" ), 2, IF( AND( OFFSET($A$1, 329 - 1, 96 - 1) = "0", OFFSET($A$1, 329 - 1, 97 - 1) = "1" ), 3, 4 ) ) )</f>
        <v>1</v>
      </c>
      <c r="CV329" s="24">
        <v>0.93851233702632431</v>
      </c>
      <c r="CW329" s="24" t="str">
        <f>"1"</f>
        <v>1</v>
      </c>
      <c r="CX329" t="str">
        <f ca="1">IF((OFFSET($A$1, 329 - 1, 100 - 1)) &gt;= (OFFSET($A$1, 79 - 1, 7 - 1)), "1","0")</f>
        <v>1</v>
      </c>
      <c r="CY329">
        <f ca="1" xml:space="preserve"> IF( AND( OFFSET($A$1, 329 - 1, 101 - 1) = "1", OFFSET($A$1, 329 - 1, 102 - 1) = "1" ), 1, IF( AND( OFFSET($A$1, 329 - 1, 101 - 1) = "1", OFFSET($A$1, 329 - 1, 102 - 1) = "0" ), 2, IF( AND( OFFSET($A$1, 329 - 1, 101 - 1) = "0", OFFSET($A$1, 329 - 1, 102 - 1) = "1" ), 3, 4 ) ) )</f>
        <v>1</v>
      </c>
    </row>
    <row r="330" spans="95:103" ht="13.8" x14ac:dyDescent="0.3">
      <c r="CQ330" s="24">
        <v>0.99440298849212394</v>
      </c>
      <c r="CR330" s="24" t="str">
        <f>"1"</f>
        <v>1</v>
      </c>
      <c r="CS330" t="str">
        <f ca="1">IF((OFFSET($A$1, 330 - 1, 95 - 1)) &gt;= (OFFSET($A$1, 55 - 1, 7 - 1)), "1","0")</f>
        <v>1</v>
      </c>
      <c r="CT330">
        <f ca="1" xml:space="preserve"> IF( AND( OFFSET($A$1, 330 - 1, 96 - 1) = "1", OFFSET($A$1, 330 - 1, 97 - 1) = "1" ), 1, IF( AND( OFFSET($A$1, 330 - 1, 96 - 1) = "1", OFFSET($A$1, 330 - 1, 97 - 1) = "0" ), 2, IF( AND( OFFSET($A$1, 330 - 1, 96 - 1) = "0", OFFSET($A$1, 330 - 1, 97 - 1) = "1" ), 3, 4 ) ) )</f>
        <v>1</v>
      </c>
      <c r="CV330" s="24">
        <v>0.9897317992184762</v>
      </c>
      <c r="CW330" s="24" t="str">
        <f>"1"</f>
        <v>1</v>
      </c>
      <c r="CX330" t="str">
        <f ca="1">IF((OFFSET($A$1, 330 - 1, 100 - 1)) &gt;= (OFFSET($A$1, 79 - 1, 7 - 1)), "1","0")</f>
        <v>1</v>
      </c>
      <c r="CY330">
        <f ca="1" xml:space="preserve"> IF( AND( OFFSET($A$1, 330 - 1, 101 - 1) = "1", OFFSET($A$1, 330 - 1, 102 - 1) = "1" ), 1, IF( AND( OFFSET($A$1, 330 - 1, 101 - 1) = "1", OFFSET($A$1, 330 - 1, 102 - 1) = "0" ), 2, IF( AND( OFFSET($A$1, 330 - 1, 101 - 1) = "0", OFFSET($A$1, 330 - 1, 102 - 1) = "1" ), 3, 4 ) ) )</f>
        <v>1</v>
      </c>
    </row>
    <row r="331" spans="95:103" ht="13.8" x14ac:dyDescent="0.3">
      <c r="CQ331" s="24">
        <v>0.29992883268381132</v>
      </c>
      <c r="CR331" s="24" t="str">
        <f>"0"</f>
        <v>0</v>
      </c>
      <c r="CS331" t="str">
        <f ca="1">IF((OFFSET($A$1, 331 - 1, 95 - 1)) &gt;= (OFFSET($A$1, 55 - 1, 7 - 1)), "1","0")</f>
        <v>0</v>
      </c>
      <c r="CT331">
        <f ca="1" xml:space="preserve"> IF( AND( OFFSET($A$1, 331 - 1, 96 - 1) = "1", OFFSET($A$1, 331 - 1, 97 - 1) = "1" ), 1, IF( AND( OFFSET($A$1, 331 - 1, 96 - 1) = "1", OFFSET($A$1, 331 - 1, 97 - 1) = "0" ), 2, IF( AND( OFFSET($A$1, 331 - 1, 96 - 1) = "0", OFFSET($A$1, 331 - 1, 97 - 1) = "1" ), 3, 4 ) ) )</f>
        <v>4</v>
      </c>
      <c r="CV331" s="24">
        <v>0.94868617748089779</v>
      </c>
      <c r="CW331" s="24" t="str">
        <f>"0"</f>
        <v>0</v>
      </c>
      <c r="CX331" t="str">
        <f ca="1">IF((OFFSET($A$1, 331 - 1, 100 - 1)) &gt;= (OFFSET($A$1, 79 - 1, 7 - 1)), "1","0")</f>
        <v>1</v>
      </c>
      <c r="CY331">
        <f ca="1" xml:space="preserve"> IF( AND( OFFSET($A$1, 331 - 1, 101 - 1) = "1", OFFSET($A$1, 331 - 1, 102 - 1) = "1" ), 1, IF( AND( OFFSET($A$1, 331 - 1, 101 - 1) = "1", OFFSET($A$1, 331 - 1, 102 - 1) = "0" ), 2, IF( AND( OFFSET($A$1, 331 - 1, 101 - 1) = "0", OFFSET($A$1, 331 - 1, 102 - 1) = "1" ), 3, 4 ) ) )</f>
        <v>3</v>
      </c>
    </row>
    <row r="332" spans="95:103" ht="13.8" x14ac:dyDescent="0.3">
      <c r="CQ332" s="24">
        <v>0.99720692612651363</v>
      </c>
      <c r="CR332" s="24" t="str">
        <f>"1"</f>
        <v>1</v>
      </c>
      <c r="CS332" t="str">
        <f ca="1">IF((OFFSET($A$1, 332 - 1, 95 - 1)) &gt;= (OFFSET($A$1, 55 - 1, 7 - 1)), "1","0")</f>
        <v>1</v>
      </c>
      <c r="CT332">
        <f ca="1" xml:space="preserve"> IF( AND( OFFSET($A$1, 332 - 1, 96 - 1) = "1", OFFSET($A$1, 332 - 1, 97 - 1) = "1" ), 1, IF( AND( OFFSET($A$1, 332 - 1, 96 - 1) = "1", OFFSET($A$1, 332 - 1, 97 - 1) = "0" ), 2, IF( AND( OFFSET($A$1, 332 - 1, 96 - 1) = "0", OFFSET($A$1, 332 - 1, 97 - 1) = "1" ), 3, 4 ) ) )</f>
        <v>1</v>
      </c>
      <c r="CV332" s="24">
        <v>0.43613164115843889</v>
      </c>
      <c r="CW332" s="24" t="str">
        <f>"1"</f>
        <v>1</v>
      </c>
      <c r="CX332" t="str">
        <f ca="1">IF((OFFSET($A$1, 332 - 1, 100 - 1)) &gt;= (OFFSET($A$1, 79 - 1, 7 - 1)), "1","0")</f>
        <v>0</v>
      </c>
      <c r="CY332">
        <f ca="1" xml:space="preserve"> IF( AND( OFFSET($A$1, 332 - 1, 101 - 1) = "1", OFFSET($A$1, 332 - 1, 102 - 1) = "1" ), 1, IF( AND( OFFSET($A$1, 332 - 1, 101 - 1) = "1", OFFSET($A$1, 332 - 1, 102 - 1) = "0" ), 2, IF( AND( OFFSET($A$1, 332 - 1, 101 - 1) = "0", OFFSET($A$1, 332 - 1, 102 - 1) = "1" ), 3, 4 ) ) )</f>
        <v>2</v>
      </c>
    </row>
    <row r="333" spans="95:103" ht="13.8" x14ac:dyDescent="0.3">
      <c r="CQ333" s="24">
        <v>4.8484929870386641E-2</v>
      </c>
      <c r="CR333" s="24" t="str">
        <f>"0"</f>
        <v>0</v>
      </c>
      <c r="CS333" t="str">
        <f ca="1">IF((OFFSET($A$1, 333 - 1, 95 - 1)) &gt;= (OFFSET($A$1, 55 - 1, 7 - 1)), "1","0")</f>
        <v>0</v>
      </c>
      <c r="CT333">
        <f ca="1" xml:space="preserve"> IF( AND( OFFSET($A$1, 333 - 1, 96 - 1) = "1", OFFSET($A$1, 333 - 1, 97 - 1) = "1" ), 1, IF( AND( OFFSET($A$1, 333 - 1, 96 - 1) = "1", OFFSET($A$1, 333 - 1, 97 - 1) = "0" ), 2, IF( AND( OFFSET($A$1, 333 - 1, 96 - 1) = "0", OFFSET($A$1, 333 - 1, 97 - 1) = "1" ), 3, 4 ) ) )</f>
        <v>4</v>
      </c>
      <c r="CV333" s="24">
        <v>0.12898935618645488</v>
      </c>
      <c r="CW333" s="24" t="str">
        <f>"1"</f>
        <v>1</v>
      </c>
      <c r="CX333" t="str">
        <f ca="1">IF((OFFSET($A$1, 333 - 1, 100 - 1)) &gt;= (OFFSET($A$1, 79 - 1, 7 - 1)), "1","0")</f>
        <v>0</v>
      </c>
      <c r="CY333">
        <f ca="1" xml:space="preserve"> IF( AND( OFFSET($A$1, 333 - 1, 101 - 1) = "1", OFFSET($A$1, 333 - 1, 102 - 1) = "1" ), 1, IF( AND( OFFSET($A$1, 333 - 1, 101 - 1) = "1", OFFSET($A$1, 333 - 1, 102 - 1) = "0" ), 2, IF( AND( OFFSET($A$1, 333 - 1, 101 - 1) = "0", OFFSET($A$1, 333 - 1, 102 - 1) = "1" ), 3, 4 ) ) )</f>
        <v>2</v>
      </c>
    </row>
    <row r="334" spans="95:103" ht="13.8" x14ac:dyDescent="0.3">
      <c r="CQ334" s="24">
        <v>0.90172687425171183</v>
      </c>
      <c r="CR334" s="24" t="str">
        <f>"1"</f>
        <v>1</v>
      </c>
      <c r="CS334" t="str">
        <f ca="1">IF((OFFSET($A$1, 334 - 1, 95 - 1)) &gt;= (OFFSET($A$1, 55 - 1, 7 - 1)), "1","0")</f>
        <v>1</v>
      </c>
      <c r="CT334">
        <f ca="1" xml:space="preserve"> IF( AND( OFFSET($A$1, 334 - 1, 96 - 1) = "1", OFFSET($A$1, 334 - 1, 97 - 1) = "1" ), 1, IF( AND( OFFSET($A$1, 334 - 1, 96 - 1) = "1", OFFSET($A$1, 334 - 1, 97 - 1) = "0" ), 2, IF( AND( OFFSET($A$1, 334 - 1, 96 - 1) = "0", OFFSET($A$1, 334 - 1, 97 - 1) = "1" ), 3, 4 ) ) )</f>
        <v>1</v>
      </c>
      <c r="CV334" s="24">
        <v>0.85202586744958286</v>
      </c>
      <c r="CW334" s="24" t="str">
        <f>"1"</f>
        <v>1</v>
      </c>
      <c r="CX334" t="str">
        <f ca="1">IF((OFFSET($A$1, 334 - 1, 100 - 1)) &gt;= (OFFSET($A$1, 79 - 1, 7 - 1)), "1","0")</f>
        <v>1</v>
      </c>
      <c r="CY334">
        <f ca="1" xml:space="preserve"> IF( AND( OFFSET($A$1, 334 - 1, 101 - 1) = "1", OFFSET($A$1, 334 - 1, 102 - 1) = "1" ), 1, IF( AND( OFFSET($A$1, 334 - 1, 101 - 1) = "1", OFFSET($A$1, 334 - 1, 102 - 1) = "0" ), 2, IF( AND( OFFSET($A$1, 334 - 1, 101 - 1) = "0", OFFSET($A$1, 334 - 1, 102 - 1) = "1" ), 3, 4 ) ) )</f>
        <v>1</v>
      </c>
    </row>
    <row r="335" spans="95:103" ht="13.8" x14ac:dyDescent="0.3">
      <c r="CQ335" s="24">
        <v>0.6155569160394756</v>
      </c>
      <c r="CR335" s="24" t="str">
        <f>"0"</f>
        <v>0</v>
      </c>
      <c r="CS335" t="str">
        <f ca="1">IF((OFFSET($A$1, 335 - 1, 95 - 1)) &gt;= (OFFSET($A$1, 55 - 1, 7 - 1)), "1","0")</f>
        <v>1</v>
      </c>
      <c r="CT335">
        <f ca="1" xml:space="preserve"> IF( AND( OFFSET($A$1, 335 - 1, 96 - 1) = "1", OFFSET($A$1, 335 - 1, 97 - 1) = "1" ), 1, IF( AND( OFFSET($A$1, 335 - 1, 96 - 1) = "1", OFFSET($A$1, 335 - 1, 97 - 1) = "0" ), 2, IF( AND( OFFSET($A$1, 335 - 1, 96 - 1) = "0", OFFSET($A$1, 335 - 1, 97 - 1) = "1" ), 3, 4 ) ) )</f>
        <v>3</v>
      </c>
      <c r="CV335" s="24">
        <v>0.99365374393666861</v>
      </c>
      <c r="CW335" s="24" t="str">
        <f>"1"</f>
        <v>1</v>
      </c>
      <c r="CX335" t="str">
        <f ca="1">IF((OFFSET($A$1, 335 - 1, 100 - 1)) &gt;= (OFFSET($A$1, 79 - 1, 7 - 1)), "1","0")</f>
        <v>1</v>
      </c>
      <c r="CY335">
        <f ca="1" xml:space="preserve"> IF( AND( OFFSET($A$1, 335 - 1, 101 - 1) = "1", OFFSET($A$1, 335 - 1, 102 - 1) = "1" ), 1, IF( AND( OFFSET($A$1, 335 - 1, 101 - 1) = "1", OFFSET($A$1, 335 - 1, 102 - 1) = "0" ), 2, IF( AND( OFFSET($A$1, 335 - 1, 101 - 1) = "0", OFFSET($A$1, 335 - 1, 102 - 1) = "1" ), 3, 4 ) ) )</f>
        <v>1</v>
      </c>
    </row>
    <row r="336" spans="95:103" ht="13.8" x14ac:dyDescent="0.3">
      <c r="CQ336" s="24">
        <v>0.93160491712658344</v>
      </c>
      <c r="CR336" s="24" t="str">
        <f>"1"</f>
        <v>1</v>
      </c>
      <c r="CS336" t="str">
        <f ca="1">IF((OFFSET($A$1, 336 - 1, 95 - 1)) &gt;= (OFFSET($A$1, 55 - 1, 7 - 1)), "1","0")</f>
        <v>1</v>
      </c>
      <c r="CT336">
        <f ca="1" xml:space="preserve"> IF( AND( OFFSET($A$1, 336 - 1, 96 - 1) = "1", OFFSET($A$1, 336 - 1, 97 - 1) = "1" ), 1, IF( AND( OFFSET($A$1, 336 - 1, 96 - 1) = "1", OFFSET($A$1, 336 - 1, 97 - 1) = "0" ), 2, IF( AND( OFFSET($A$1, 336 - 1, 96 - 1) = "0", OFFSET($A$1, 336 - 1, 97 - 1) = "1" ), 3, 4 ) ) )</f>
        <v>1</v>
      </c>
      <c r="CV336" s="24">
        <v>0.85046163459485191</v>
      </c>
      <c r="CW336" s="24" t="str">
        <f>"0"</f>
        <v>0</v>
      </c>
      <c r="CX336" t="str">
        <f ca="1">IF((OFFSET($A$1, 336 - 1, 100 - 1)) &gt;= (OFFSET($A$1, 79 - 1, 7 - 1)), "1","0")</f>
        <v>1</v>
      </c>
      <c r="CY336">
        <f ca="1" xml:space="preserve"> IF( AND( OFFSET($A$1, 336 - 1, 101 - 1) = "1", OFFSET($A$1, 336 - 1, 102 - 1) = "1" ), 1, IF( AND( OFFSET($A$1, 336 - 1, 101 - 1) = "1", OFFSET($A$1, 336 - 1, 102 - 1) = "0" ), 2, IF( AND( OFFSET($A$1, 336 - 1, 101 - 1) = "0", OFFSET($A$1, 336 - 1, 102 - 1) = "1" ), 3, 4 ) ) )</f>
        <v>3</v>
      </c>
    </row>
    <row r="337" spans="95:103" ht="13.8" x14ac:dyDescent="0.3">
      <c r="CQ337" s="24">
        <v>0.95104142596268981</v>
      </c>
      <c r="CR337" s="24" t="str">
        <f>"1"</f>
        <v>1</v>
      </c>
      <c r="CS337" t="str">
        <f ca="1">IF((OFFSET($A$1, 337 - 1, 95 - 1)) &gt;= (OFFSET($A$1, 55 - 1, 7 - 1)), "1","0")</f>
        <v>1</v>
      </c>
      <c r="CT337">
        <f ca="1" xml:space="preserve"> IF( AND( OFFSET($A$1, 337 - 1, 96 - 1) = "1", OFFSET($A$1, 337 - 1, 97 - 1) = "1" ), 1, IF( AND( OFFSET($A$1, 337 - 1, 96 - 1) = "1", OFFSET($A$1, 337 - 1, 97 - 1) = "0" ), 2, IF( AND( OFFSET($A$1, 337 - 1, 96 - 1) = "0", OFFSET($A$1, 337 - 1, 97 - 1) = "1" ), 3, 4 ) ) )</f>
        <v>1</v>
      </c>
      <c r="CV337" s="24">
        <v>5.2532004588148613E-2</v>
      </c>
      <c r="CW337" s="24" t="str">
        <f>"0"</f>
        <v>0</v>
      </c>
      <c r="CX337" t="str">
        <f ca="1">IF((OFFSET($A$1, 337 - 1, 100 - 1)) &gt;= (OFFSET($A$1, 79 - 1, 7 - 1)), "1","0")</f>
        <v>0</v>
      </c>
      <c r="CY337">
        <f ca="1" xml:space="preserve"> IF( AND( OFFSET($A$1, 337 - 1, 101 - 1) = "1", OFFSET($A$1, 337 - 1, 102 - 1) = "1" ), 1, IF( AND( OFFSET($A$1, 337 - 1, 101 - 1) = "1", OFFSET($A$1, 337 - 1, 102 - 1) = "0" ), 2, IF( AND( OFFSET($A$1, 337 - 1, 101 - 1) = "0", OFFSET($A$1, 337 - 1, 102 - 1) = "1" ), 3, 4 ) ) )</f>
        <v>4</v>
      </c>
    </row>
    <row r="338" spans="95:103" ht="13.8" x14ac:dyDescent="0.3">
      <c r="CQ338" s="24">
        <v>0.99425441329837128</v>
      </c>
      <c r="CR338" s="24" t="str">
        <f>"1"</f>
        <v>1</v>
      </c>
      <c r="CS338" t="str">
        <f ca="1">IF((OFFSET($A$1, 338 - 1, 95 - 1)) &gt;= (OFFSET($A$1, 55 - 1, 7 - 1)), "1","0")</f>
        <v>1</v>
      </c>
      <c r="CT338">
        <f ca="1" xml:space="preserve"> IF( AND( OFFSET($A$1, 338 - 1, 96 - 1) = "1", OFFSET($A$1, 338 - 1, 97 - 1) = "1" ), 1, IF( AND( OFFSET($A$1, 338 - 1, 96 - 1) = "1", OFFSET($A$1, 338 - 1, 97 - 1) = "0" ), 2, IF( AND( OFFSET($A$1, 338 - 1, 96 - 1) = "0", OFFSET($A$1, 338 - 1, 97 - 1) = "1" ), 3, 4 ) ) )</f>
        <v>1</v>
      </c>
      <c r="CV338" s="24">
        <v>0.21238139681634907</v>
      </c>
      <c r="CW338" s="24" t="str">
        <f>"0"</f>
        <v>0</v>
      </c>
      <c r="CX338" t="str">
        <f ca="1">IF((OFFSET($A$1, 338 - 1, 100 - 1)) &gt;= (OFFSET($A$1, 79 - 1, 7 - 1)), "1","0")</f>
        <v>0</v>
      </c>
      <c r="CY338">
        <f ca="1" xml:space="preserve"> IF( AND( OFFSET($A$1, 338 - 1, 101 - 1) = "1", OFFSET($A$1, 338 - 1, 102 - 1) = "1" ), 1, IF( AND( OFFSET($A$1, 338 - 1, 101 - 1) = "1", OFFSET($A$1, 338 - 1, 102 - 1) = "0" ), 2, IF( AND( OFFSET($A$1, 338 - 1, 101 - 1) = "0", OFFSET($A$1, 338 - 1, 102 - 1) = "1" ), 3, 4 ) ) )</f>
        <v>4</v>
      </c>
    </row>
    <row r="339" spans="95:103" ht="13.8" x14ac:dyDescent="0.3">
      <c r="CQ339" s="24">
        <v>0.99449690078700237</v>
      </c>
      <c r="CR339" s="24" t="str">
        <f>"1"</f>
        <v>1</v>
      </c>
      <c r="CS339" t="str">
        <f ca="1">IF((OFFSET($A$1, 339 - 1, 95 - 1)) &gt;= (OFFSET($A$1, 55 - 1, 7 - 1)), "1","0")</f>
        <v>1</v>
      </c>
      <c r="CT339">
        <f ca="1" xml:space="preserve"> IF( AND( OFFSET($A$1, 339 - 1, 96 - 1) = "1", OFFSET($A$1, 339 - 1, 97 - 1) = "1" ), 1, IF( AND( OFFSET($A$1, 339 - 1, 96 - 1) = "1", OFFSET($A$1, 339 - 1, 97 - 1) = "0" ), 2, IF( AND( OFFSET($A$1, 339 - 1, 96 - 1) = "0", OFFSET($A$1, 339 - 1, 97 - 1) = "1" ), 3, 4 ) ) )</f>
        <v>1</v>
      </c>
      <c r="CV339" s="24">
        <v>0.9976014358025499</v>
      </c>
      <c r="CW339" s="24" t="str">
        <f>"1"</f>
        <v>1</v>
      </c>
      <c r="CX339" t="str">
        <f ca="1">IF((OFFSET($A$1, 339 - 1, 100 - 1)) &gt;= (OFFSET($A$1, 79 - 1, 7 - 1)), "1","0")</f>
        <v>1</v>
      </c>
      <c r="CY339">
        <f ca="1" xml:space="preserve"> IF( AND( OFFSET($A$1, 339 - 1, 101 - 1) = "1", OFFSET($A$1, 339 - 1, 102 - 1) = "1" ), 1, IF( AND( OFFSET($A$1, 339 - 1, 101 - 1) = "1", OFFSET($A$1, 339 - 1, 102 - 1) = "0" ), 2, IF( AND( OFFSET($A$1, 339 - 1, 101 - 1) = "0", OFFSET($A$1, 339 - 1, 102 - 1) = "1" ), 3, 4 ) ) )</f>
        <v>1</v>
      </c>
    </row>
    <row r="340" spans="95:103" ht="13.8" x14ac:dyDescent="0.3">
      <c r="CQ340" s="24">
        <v>0.21715978882321793</v>
      </c>
      <c r="CR340" s="24" t="str">
        <f>"0"</f>
        <v>0</v>
      </c>
      <c r="CS340" t="str">
        <f ca="1">IF((OFFSET($A$1, 340 - 1, 95 - 1)) &gt;= (OFFSET($A$1, 55 - 1, 7 - 1)), "1","0")</f>
        <v>0</v>
      </c>
      <c r="CT340">
        <f ca="1" xml:space="preserve"> IF( AND( OFFSET($A$1, 340 - 1, 96 - 1) = "1", OFFSET($A$1, 340 - 1, 97 - 1) = "1" ), 1, IF( AND( OFFSET($A$1, 340 - 1, 96 - 1) = "1", OFFSET($A$1, 340 - 1, 97 - 1) = "0" ), 2, IF( AND( OFFSET($A$1, 340 - 1, 96 - 1) = "0", OFFSET($A$1, 340 - 1, 97 - 1) = "1" ), 3, 4 ) ) )</f>
        <v>4</v>
      </c>
      <c r="CV340" s="24">
        <v>0.99965494459788939</v>
      </c>
      <c r="CW340" s="24" t="str">
        <f>"1"</f>
        <v>1</v>
      </c>
      <c r="CX340" t="str">
        <f ca="1">IF((OFFSET($A$1, 340 - 1, 100 - 1)) &gt;= (OFFSET($A$1, 79 - 1, 7 - 1)), "1","0")</f>
        <v>1</v>
      </c>
      <c r="CY340">
        <f ca="1" xml:space="preserve"> IF( AND( OFFSET($A$1, 340 - 1, 101 - 1) = "1", OFFSET($A$1, 340 - 1, 102 - 1) = "1" ), 1, IF( AND( OFFSET($A$1, 340 - 1, 101 - 1) = "1", OFFSET($A$1, 340 - 1, 102 - 1) = "0" ), 2, IF( AND( OFFSET($A$1, 340 - 1, 101 - 1) = "0", OFFSET($A$1, 340 - 1, 102 - 1) = "1" ), 3, 4 ) ) )</f>
        <v>1</v>
      </c>
    </row>
    <row r="341" spans="95:103" ht="13.8" x14ac:dyDescent="0.3">
      <c r="CQ341" s="24">
        <v>0.98398880144392575</v>
      </c>
      <c r="CR341" s="24" t="str">
        <f>"1"</f>
        <v>1</v>
      </c>
      <c r="CS341" t="str">
        <f ca="1">IF((OFFSET($A$1, 341 - 1, 95 - 1)) &gt;= (OFFSET($A$1, 55 - 1, 7 - 1)), "1","0")</f>
        <v>1</v>
      </c>
      <c r="CT341">
        <f ca="1" xml:space="preserve"> IF( AND( OFFSET($A$1, 341 - 1, 96 - 1) = "1", OFFSET($A$1, 341 - 1, 97 - 1) = "1" ), 1, IF( AND( OFFSET($A$1, 341 - 1, 96 - 1) = "1", OFFSET($A$1, 341 - 1, 97 - 1) = "0" ), 2, IF( AND( OFFSET($A$1, 341 - 1, 96 - 1) = "0", OFFSET($A$1, 341 - 1, 97 - 1) = "1" ), 3, 4 ) ) )</f>
        <v>1</v>
      </c>
      <c r="CV341" s="24">
        <v>0.9104998047780789</v>
      </c>
      <c r="CW341" s="24" t="str">
        <f>"0"</f>
        <v>0</v>
      </c>
      <c r="CX341" t="str">
        <f ca="1">IF((OFFSET($A$1, 341 - 1, 100 - 1)) &gt;= (OFFSET($A$1, 79 - 1, 7 - 1)), "1","0")</f>
        <v>1</v>
      </c>
      <c r="CY341">
        <f ca="1" xml:space="preserve"> IF( AND( OFFSET($A$1, 341 - 1, 101 - 1) = "1", OFFSET($A$1, 341 - 1, 102 - 1) = "1" ), 1, IF( AND( OFFSET($A$1, 341 - 1, 101 - 1) = "1", OFFSET($A$1, 341 - 1, 102 - 1) = "0" ), 2, IF( AND( OFFSET($A$1, 341 - 1, 101 - 1) = "0", OFFSET($A$1, 341 - 1, 102 - 1) = "1" ), 3, 4 ) ) )</f>
        <v>3</v>
      </c>
    </row>
    <row r="342" spans="95:103" ht="13.8" x14ac:dyDescent="0.3">
      <c r="CQ342" s="24">
        <v>4.4047114472800693E-2</v>
      </c>
      <c r="CR342" s="24" t="str">
        <f>"0"</f>
        <v>0</v>
      </c>
      <c r="CS342" t="str">
        <f ca="1">IF((OFFSET($A$1, 342 - 1, 95 - 1)) &gt;= (OFFSET($A$1, 55 - 1, 7 - 1)), "1","0")</f>
        <v>0</v>
      </c>
      <c r="CT342">
        <f ca="1" xml:space="preserve"> IF( AND( OFFSET($A$1, 342 - 1, 96 - 1) = "1", OFFSET($A$1, 342 - 1, 97 - 1) = "1" ), 1, IF( AND( OFFSET($A$1, 342 - 1, 96 - 1) = "1", OFFSET($A$1, 342 - 1, 97 - 1) = "0" ), 2, IF( AND( OFFSET($A$1, 342 - 1, 96 - 1) = "0", OFFSET($A$1, 342 - 1, 97 - 1) = "1" ), 3, 4 ) ) )</f>
        <v>4</v>
      </c>
      <c r="CV342" s="24">
        <v>0.99906804431790064</v>
      </c>
      <c r="CW342" s="24" t="str">
        <f>"1"</f>
        <v>1</v>
      </c>
      <c r="CX342" t="str">
        <f ca="1">IF((OFFSET($A$1, 342 - 1, 100 - 1)) &gt;= (OFFSET($A$1, 79 - 1, 7 - 1)), "1","0")</f>
        <v>1</v>
      </c>
      <c r="CY342">
        <f ca="1" xml:space="preserve"> IF( AND( OFFSET($A$1, 342 - 1, 101 - 1) = "1", OFFSET($A$1, 342 - 1, 102 - 1) = "1" ), 1, IF( AND( OFFSET($A$1, 342 - 1, 101 - 1) = "1", OFFSET($A$1, 342 - 1, 102 - 1) = "0" ), 2, IF( AND( OFFSET($A$1, 342 - 1, 101 - 1) = "0", OFFSET($A$1, 342 - 1, 102 - 1) = "1" ), 3, 4 ) ) )</f>
        <v>1</v>
      </c>
    </row>
    <row r="343" spans="95:103" ht="13.8" x14ac:dyDescent="0.3">
      <c r="CQ343" s="24">
        <v>0.98221011270898229</v>
      </c>
      <c r="CR343" s="24" t="str">
        <f>"1"</f>
        <v>1</v>
      </c>
      <c r="CS343" t="str">
        <f ca="1">IF((OFFSET($A$1, 343 - 1, 95 - 1)) &gt;= (OFFSET($A$1, 55 - 1, 7 - 1)), "1","0")</f>
        <v>1</v>
      </c>
      <c r="CT343">
        <f ca="1" xml:space="preserve"> IF( AND( OFFSET($A$1, 343 - 1, 96 - 1) = "1", OFFSET($A$1, 343 - 1, 97 - 1) = "1" ), 1, IF( AND( OFFSET($A$1, 343 - 1, 96 - 1) = "1", OFFSET($A$1, 343 - 1, 97 - 1) = "0" ), 2, IF( AND( OFFSET($A$1, 343 - 1, 96 - 1) = "0", OFFSET($A$1, 343 - 1, 97 - 1) = "1" ), 3, 4 ) ) )</f>
        <v>1</v>
      </c>
      <c r="CV343" s="24">
        <v>0.10190678237561882</v>
      </c>
      <c r="CW343" s="24" t="str">
        <f>"0"</f>
        <v>0</v>
      </c>
      <c r="CX343" t="str">
        <f ca="1">IF((OFFSET($A$1, 343 - 1, 100 - 1)) &gt;= (OFFSET($A$1, 79 - 1, 7 - 1)), "1","0")</f>
        <v>0</v>
      </c>
      <c r="CY343">
        <f ca="1" xml:space="preserve"> IF( AND( OFFSET($A$1, 343 - 1, 101 - 1) = "1", OFFSET($A$1, 343 - 1, 102 - 1) = "1" ), 1, IF( AND( OFFSET($A$1, 343 - 1, 101 - 1) = "1", OFFSET($A$1, 343 - 1, 102 - 1) = "0" ), 2, IF( AND( OFFSET($A$1, 343 - 1, 101 - 1) = "0", OFFSET($A$1, 343 - 1, 102 - 1) = "1" ), 3, 4 ) ) )</f>
        <v>4</v>
      </c>
    </row>
    <row r="344" spans="95:103" ht="13.8" x14ac:dyDescent="0.3">
      <c r="CQ344" s="24">
        <v>0.99330119874490552</v>
      </c>
      <c r="CR344" s="24" t="str">
        <f>"1"</f>
        <v>1</v>
      </c>
      <c r="CS344" t="str">
        <f ca="1">IF((OFFSET($A$1, 344 - 1, 95 - 1)) &gt;= (OFFSET($A$1, 55 - 1, 7 - 1)), "1","0")</f>
        <v>1</v>
      </c>
      <c r="CT344">
        <f ca="1" xml:space="preserve"> IF( AND( OFFSET($A$1, 344 - 1, 96 - 1) = "1", OFFSET($A$1, 344 - 1, 97 - 1) = "1" ), 1, IF( AND( OFFSET($A$1, 344 - 1, 96 - 1) = "1", OFFSET($A$1, 344 - 1, 97 - 1) = "0" ), 2, IF( AND( OFFSET($A$1, 344 - 1, 96 - 1) = "0", OFFSET($A$1, 344 - 1, 97 - 1) = "1" ), 3, 4 ) ) )</f>
        <v>1</v>
      </c>
      <c r="CV344" s="24">
        <v>0.60169939139233108</v>
      </c>
      <c r="CW344" s="24" t="str">
        <f>"1"</f>
        <v>1</v>
      </c>
      <c r="CX344" t="str">
        <f ca="1">IF((OFFSET($A$1, 344 - 1, 100 - 1)) &gt;= (OFFSET($A$1, 79 - 1, 7 - 1)), "1","0")</f>
        <v>1</v>
      </c>
      <c r="CY344">
        <f ca="1" xml:space="preserve"> IF( AND( OFFSET($A$1, 344 - 1, 101 - 1) = "1", OFFSET($A$1, 344 - 1, 102 - 1) = "1" ), 1, IF( AND( OFFSET($A$1, 344 - 1, 101 - 1) = "1", OFFSET($A$1, 344 - 1, 102 - 1) = "0" ), 2, IF( AND( OFFSET($A$1, 344 - 1, 101 - 1) = "0", OFFSET($A$1, 344 - 1, 102 - 1) = "1" ), 3, 4 ) ) )</f>
        <v>1</v>
      </c>
    </row>
    <row r="345" spans="95:103" ht="13.8" x14ac:dyDescent="0.3">
      <c r="CQ345" s="24">
        <v>2.1065878706988197E-2</v>
      </c>
      <c r="CR345" s="24" t="str">
        <f>"0"</f>
        <v>0</v>
      </c>
      <c r="CS345" t="str">
        <f ca="1">IF((OFFSET($A$1, 345 - 1, 95 - 1)) &gt;= (OFFSET($A$1, 55 - 1, 7 - 1)), "1","0")</f>
        <v>0</v>
      </c>
      <c r="CT345">
        <f ca="1" xml:space="preserve"> IF( AND( OFFSET($A$1, 345 - 1, 96 - 1) = "1", OFFSET($A$1, 345 - 1, 97 - 1) = "1" ), 1, IF( AND( OFFSET($A$1, 345 - 1, 96 - 1) = "1", OFFSET($A$1, 345 - 1, 97 - 1) = "0" ), 2, IF( AND( OFFSET($A$1, 345 - 1, 96 - 1) = "0", OFFSET($A$1, 345 - 1, 97 - 1) = "1" ), 3, 4 ) ) )</f>
        <v>4</v>
      </c>
      <c r="CV345" s="24">
        <v>0.98991491899698825</v>
      </c>
      <c r="CW345" s="24" t="str">
        <f>"1"</f>
        <v>1</v>
      </c>
      <c r="CX345" t="str">
        <f ca="1">IF((OFFSET($A$1, 345 - 1, 100 - 1)) &gt;= (OFFSET($A$1, 79 - 1, 7 - 1)), "1","0")</f>
        <v>1</v>
      </c>
      <c r="CY345">
        <f ca="1" xml:space="preserve"> IF( AND( OFFSET($A$1, 345 - 1, 101 - 1) = "1", OFFSET($A$1, 345 - 1, 102 - 1) = "1" ), 1, IF( AND( OFFSET($A$1, 345 - 1, 101 - 1) = "1", OFFSET($A$1, 345 - 1, 102 - 1) = "0" ), 2, IF( AND( OFFSET($A$1, 345 - 1, 101 - 1) = "0", OFFSET($A$1, 345 - 1, 102 - 1) = "1" ), 3, 4 ) ) )</f>
        <v>1</v>
      </c>
    </row>
    <row r="346" spans="95:103" ht="13.8" x14ac:dyDescent="0.3">
      <c r="CQ346" s="24">
        <v>0.96736380635698893</v>
      </c>
      <c r="CR346" s="24" t="str">
        <f>"1"</f>
        <v>1</v>
      </c>
      <c r="CS346" t="str">
        <f ca="1">IF((OFFSET($A$1, 346 - 1, 95 - 1)) &gt;= (OFFSET($A$1, 55 - 1, 7 - 1)), "1","0")</f>
        <v>1</v>
      </c>
      <c r="CT346">
        <f ca="1" xml:space="preserve"> IF( AND( OFFSET($A$1, 346 - 1, 96 - 1) = "1", OFFSET($A$1, 346 - 1, 97 - 1) = "1" ), 1, IF( AND( OFFSET($A$1, 346 - 1, 96 - 1) = "1", OFFSET($A$1, 346 - 1, 97 - 1) = "0" ), 2, IF( AND( OFFSET($A$1, 346 - 1, 96 - 1) = "0", OFFSET($A$1, 346 - 1, 97 - 1) = "1" ), 3, 4 ) ) )</f>
        <v>1</v>
      </c>
      <c r="CV346" s="24">
        <v>0.79550019892566914</v>
      </c>
      <c r="CW346" s="24" t="str">
        <f>"1"</f>
        <v>1</v>
      </c>
      <c r="CX346" t="str">
        <f ca="1">IF((OFFSET($A$1, 346 - 1, 100 - 1)) &gt;= (OFFSET($A$1, 79 - 1, 7 - 1)), "1","0")</f>
        <v>1</v>
      </c>
      <c r="CY346">
        <f ca="1" xml:space="preserve"> IF( AND( OFFSET($A$1, 346 - 1, 101 - 1) = "1", OFFSET($A$1, 346 - 1, 102 - 1) = "1" ), 1, IF( AND( OFFSET($A$1, 346 - 1, 101 - 1) = "1", OFFSET($A$1, 346 - 1, 102 - 1) = "0" ), 2, IF( AND( OFFSET($A$1, 346 - 1, 101 - 1) = "0", OFFSET($A$1, 346 - 1, 102 - 1) = "1" ), 3, 4 ) ) )</f>
        <v>1</v>
      </c>
    </row>
    <row r="347" spans="95:103" ht="13.8" x14ac:dyDescent="0.3">
      <c r="CQ347" s="24">
        <v>0.99930938148194537</v>
      </c>
      <c r="CR347" s="24" t="str">
        <f>"1"</f>
        <v>1</v>
      </c>
      <c r="CS347" t="str">
        <f ca="1">IF((OFFSET($A$1, 347 - 1, 95 - 1)) &gt;= (OFFSET($A$1, 55 - 1, 7 - 1)), "1","0")</f>
        <v>1</v>
      </c>
      <c r="CT347">
        <f ca="1" xml:space="preserve"> IF( AND( OFFSET($A$1, 347 - 1, 96 - 1) = "1", OFFSET($A$1, 347 - 1, 97 - 1) = "1" ), 1, IF( AND( OFFSET($A$1, 347 - 1, 96 - 1) = "1", OFFSET($A$1, 347 - 1, 97 - 1) = "0" ), 2, IF( AND( OFFSET($A$1, 347 - 1, 96 - 1) = "0", OFFSET($A$1, 347 - 1, 97 - 1) = "1" ), 3, 4 ) ) )</f>
        <v>1</v>
      </c>
      <c r="CV347" s="24">
        <v>0.87022470182283784</v>
      </c>
      <c r="CW347" s="24" t="str">
        <f>"1"</f>
        <v>1</v>
      </c>
      <c r="CX347" t="str">
        <f ca="1">IF((OFFSET($A$1, 347 - 1, 100 - 1)) &gt;= (OFFSET($A$1, 79 - 1, 7 - 1)), "1","0")</f>
        <v>1</v>
      </c>
      <c r="CY347">
        <f ca="1" xml:space="preserve"> IF( AND( OFFSET($A$1, 347 - 1, 101 - 1) = "1", OFFSET($A$1, 347 - 1, 102 - 1) = "1" ), 1, IF( AND( OFFSET($A$1, 347 - 1, 101 - 1) = "1", OFFSET($A$1, 347 - 1, 102 - 1) = "0" ), 2, IF( AND( OFFSET($A$1, 347 - 1, 101 - 1) = "0", OFFSET($A$1, 347 - 1, 102 - 1) = "1" ), 3, 4 ) ) )</f>
        <v>1</v>
      </c>
    </row>
    <row r="348" spans="95:103" ht="13.8" x14ac:dyDescent="0.3">
      <c r="CQ348" s="24">
        <v>0.61023309837800466</v>
      </c>
      <c r="CR348" s="24" t="str">
        <f>"0"</f>
        <v>0</v>
      </c>
      <c r="CS348" t="str">
        <f ca="1">IF((OFFSET($A$1, 348 - 1, 95 - 1)) &gt;= (OFFSET($A$1, 55 - 1, 7 - 1)), "1","0")</f>
        <v>1</v>
      </c>
      <c r="CT348">
        <f ca="1" xml:space="preserve"> IF( AND( OFFSET($A$1, 348 - 1, 96 - 1) = "1", OFFSET($A$1, 348 - 1, 97 - 1) = "1" ), 1, IF( AND( OFFSET($A$1, 348 - 1, 96 - 1) = "1", OFFSET($A$1, 348 - 1, 97 - 1) = "0" ), 2, IF( AND( OFFSET($A$1, 348 - 1, 96 - 1) = "0", OFFSET($A$1, 348 - 1, 97 - 1) = "1" ), 3, 4 ) ) )</f>
        <v>3</v>
      </c>
      <c r="CV348" s="24">
        <v>0.96584046706773152</v>
      </c>
      <c r="CW348" s="24" t="str">
        <f>"0"</f>
        <v>0</v>
      </c>
      <c r="CX348" t="str">
        <f ca="1">IF((OFFSET($A$1, 348 - 1, 100 - 1)) &gt;= (OFFSET($A$1, 79 - 1, 7 - 1)), "1","0")</f>
        <v>1</v>
      </c>
      <c r="CY348">
        <f ca="1" xml:space="preserve"> IF( AND( OFFSET($A$1, 348 - 1, 101 - 1) = "1", OFFSET($A$1, 348 - 1, 102 - 1) = "1" ), 1, IF( AND( OFFSET($A$1, 348 - 1, 101 - 1) = "1", OFFSET($A$1, 348 - 1, 102 - 1) = "0" ), 2, IF( AND( OFFSET($A$1, 348 - 1, 101 - 1) = "0", OFFSET($A$1, 348 - 1, 102 - 1) = "1" ), 3, 4 ) ) )</f>
        <v>3</v>
      </c>
    </row>
    <row r="349" spans="95:103" ht="13.8" x14ac:dyDescent="0.3">
      <c r="CQ349" s="24">
        <v>0.69055229018896747</v>
      </c>
      <c r="CR349" s="24" t="str">
        <f t="shared" ref="CR349:CR358" si="26">"1"</f>
        <v>1</v>
      </c>
      <c r="CS349" t="str">
        <f ca="1">IF((OFFSET($A$1, 349 - 1, 95 - 1)) &gt;= (OFFSET($A$1, 55 - 1, 7 - 1)), "1","0")</f>
        <v>1</v>
      </c>
      <c r="CT349">
        <f ca="1" xml:space="preserve"> IF( AND( OFFSET($A$1, 349 - 1, 96 - 1) = "1", OFFSET($A$1, 349 - 1, 97 - 1) = "1" ), 1, IF( AND( OFFSET($A$1, 349 - 1, 96 - 1) = "1", OFFSET($A$1, 349 - 1, 97 - 1) = "0" ), 2, IF( AND( OFFSET($A$1, 349 - 1, 96 - 1) = "0", OFFSET($A$1, 349 - 1, 97 - 1) = "1" ), 3, 4 ) ) )</f>
        <v>1</v>
      </c>
      <c r="CV349" s="24">
        <v>0.99790235338472155</v>
      </c>
      <c r="CW349" s="24" t="str">
        <f t="shared" ref="CW349:CW355" si="27">"1"</f>
        <v>1</v>
      </c>
      <c r="CX349" t="str">
        <f ca="1">IF((OFFSET($A$1, 349 - 1, 100 - 1)) &gt;= (OFFSET($A$1, 79 - 1, 7 - 1)), "1","0")</f>
        <v>1</v>
      </c>
      <c r="CY349">
        <f ca="1" xml:space="preserve"> IF( AND( OFFSET($A$1, 349 - 1, 101 - 1) = "1", OFFSET($A$1, 349 - 1, 102 - 1) = "1" ), 1, IF( AND( OFFSET($A$1, 349 - 1, 101 - 1) = "1", OFFSET($A$1, 349 - 1, 102 - 1) = "0" ), 2, IF( AND( OFFSET($A$1, 349 - 1, 101 - 1) = "0", OFFSET($A$1, 349 - 1, 102 - 1) = "1" ), 3, 4 ) ) )</f>
        <v>1</v>
      </c>
    </row>
    <row r="350" spans="95:103" ht="13.8" x14ac:dyDescent="0.3">
      <c r="CQ350" s="24">
        <v>0.96931799567227761</v>
      </c>
      <c r="CR350" s="24" t="str">
        <f t="shared" si="26"/>
        <v>1</v>
      </c>
      <c r="CS350" t="str">
        <f ca="1">IF((OFFSET($A$1, 350 - 1, 95 - 1)) &gt;= (OFFSET($A$1, 55 - 1, 7 - 1)), "1","0")</f>
        <v>1</v>
      </c>
      <c r="CT350">
        <f ca="1" xml:space="preserve"> IF( AND( OFFSET($A$1, 350 - 1, 96 - 1) = "1", OFFSET($A$1, 350 - 1, 97 - 1) = "1" ), 1, IF( AND( OFFSET($A$1, 350 - 1, 96 - 1) = "1", OFFSET($A$1, 350 - 1, 97 - 1) = "0" ), 2, IF( AND( OFFSET($A$1, 350 - 1, 96 - 1) = "0", OFFSET($A$1, 350 - 1, 97 - 1) = "1" ), 3, 4 ) ) )</f>
        <v>1</v>
      </c>
      <c r="CV350" s="24">
        <v>0.84453012561571805</v>
      </c>
      <c r="CW350" s="24" t="str">
        <f t="shared" si="27"/>
        <v>1</v>
      </c>
      <c r="CX350" t="str">
        <f ca="1">IF((OFFSET($A$1, 350 - 1, 100 - 1)) &gt;= (OFFSET($A$1, 79 - 1, 7 - 1)), "1","0")</f>
        <v>1</v>
      </c>
      <c r="CY350">
        <f ca="1" xml:space="preserve"> IF( AND( OFFSET($A$1, 350 - 1, 101 - 1) = "1", OFFSET($A$1, 350 - 1, 102 - 1) = "1" ), 1, IF( AND( OFFSET($A$1, 350 - 1, 101 - 1) = "1", OFFSET($A$1, 350 - 1, 102 - 1) = "0" ), 2, IF( AND( OFFSET($A$1, 350 - 1, 101 - 1) = "0", OFFSET($A$1, 350 - 1, 102 - 1) = "1" ), 3, 4 ) ) )</f>
        <v>1</v>
      </c>
    </row>
    <row r="351" spans="95:103" ht="13.8" x14ac:dyDescent="0.3">
      <c r="CQ351" s="24">
        <v>0.58398762945606386</v>
      </c>
      <c r="CR351" s="24" t="str">
        <f t="shared" si="26"/>
        <v>1</v>
      </c>
      <c r="CS351" t="str">
        <f ca="1">IF((OFFSET($A$1, 351 - 1, 95 - 1)) &gt;= (OFFSET($A$1, 55 - 1, 7 - 1)), "1","0")</f>
        <v>1</v>
      </c>
      <c r="CT351">
        <f ca="1" xml:space="preserve"> IF( AND( OFFSET($A$1, 351 - 1, 96 - 1) = "1", OFFSET($A$1, 351 - 1, 97 - 1) = "1" ), 1, IF( AND( OFFSET($A$1, 351 - 1, 96 - 1) = "1", OFFSET($A$1, 351 - 1, 97 - 1) = "0" ), 2, IF( AND( OFFSET($A$1, 351 - 1, 96 - 1) = "0", OFFSET($A$1, 351 - 1, 97 - 1) = "1" ), 3, 4 ) ) )</f>
        <v>1</v>
      </c>
      <c r="CV351" s="24">
        <v>0.98731268029468588</v>
      </c>
      <c r="CW351" s="24" t="str">
        <f t="shared" si="27"/>
        <v>1</v>
      </c>
      <c r="CX351" t="str">
        <f ca="1">IF((OFFSET($A$1, 351 - 1, 100 - 1)) &gt;= (OFFSET($A$1, 79 - 1, 7 - 1)), "1","0")</f>
        <v>1</v>
      </c>
      <c r="CY351">
        <f ca="1" xml:space="preserve"> IF( AND( OFFSET($A$1, 351 - 1, 101 - 1) = "1", OFFSET($A$1, 351 - 1, 102 - 1) = "1" ), 1, IF( AND( OFFSET($A$1, 351 - 1, 101 - 1) = "1", OFFSET($A$1, 351 - 1, 102 - 1) = "0" ), 2, IF( AND( OFFSET($A$1, 351 - 1, 101 - 1) = "0", OFFSET($A$1, 351 - 1, 102 - 1) = "1" ), 3, 4 ) ) )</f>
        <v>1</v>
      </c>
    </row>
    <row r="352" spans="95:103" ht="13.8" x14ac:dyDescent="0.3">
      <c r="CQ352" s="24">
        <v>0.97661047709674531</v>
      </c>
      <c r="CR352" s="24" t="str">
        <f t="shared" si="26"/>
        <v>1</v>
      </c>
      <c r="CS352" t="str">
        <f ca="1">IF((OFFSET($A$1, 352 - 1, 95 - 1)) &gt;= (OFFSET($A$1, 55 - 1, 7 - 1)), "1","0")</f>
        <v>1</v>
      </c>
      <c r="CT352">
        <f ca="1" xml:space="preserve"> IF( AND( OFFSET($A$1, 352 - 1, 96 - 1) = "1", OFFSET($A$1, 352 - 1, 97 - 1) = "1" ), 1, IF( AND( OFFSET($A$1, 352 - 1, 96 - 1) = "1", OFFSET($A$1, 352 - 1, 97 - 1) = "0" ), 2, IF( AND( OFFSET($A$1, 352 - 1, 96 - 1) = "0", OFFSET($A$1, 352 - 1, 97 - 1) = "1" ), 3, 4 ) ) )</f>
        <v>1</v>
      </c>
      <c r="CV352" s="24">
        <v>0.96655733532315935</v>
      </c>
      <c r="CW352" s="24" t="str">
        <f t="shared" si="27"/>
        <v>1</v>
      </c>
      <c r="CX352" t="str">
        <f ca="1">IF((OFFSET($A$1, 352 - 1, 100 - 1)) &gt;= (OFFSET($A$1, 79 - 1, 7 - 1)), "1","0")</f>
        <v>1</v>
      </c>
      <c r="CY352">
        <f ca="1" xml:space="preserve"> IF( AND( OFFSET($A$1, 352 - 1, 101 - 1) = "1", OFFSET($A$1, 352 - 1, 102 - 1) = "1" ), 1, IF( AND( OFFSET($A$1, 352 - 1, 101 - 1) = "1", OFFSET($A$1, 352 - 1, 102 - 1) = "0" ), 2, IF( AND( OFFSET($A$1, 352 - 1, 101 - 1) = "0", OFFSET($A$1, 352 - 1, 102 - 1) = "1" ), 3, 4 ) ) )</f>
        <v>1</v>
      </c>
    </row>
    <row r="353" spans="95:103" ht="13.8" x14ac:dyDescent="0.3">
      <c r="CQ353" s="24">
        <v>0.98357669746153842</v>
      </c>
      <c r="CR353" s="24" t="str">
        <f t="shared" si="26"/>
        <v>1</v>
      </c>
      <c r="CS353" t="str">
        <f ca="1">IF((OFFSET($A$1, 353 - 1, 95 - 1)) &gt;= (OFFSET($A$1, 55 - 1, 7 - 1)), "1","0")</f>
        <v>1</v>
      </c>
      <c r="CT353">
        <f ca="1" xml:space="preserve"> IF( AND( OFFSET($A$1, 353 - 1, 96 - 1) = "1", OFFSET($A$1, 353 - 1, 97 - 1) = "1" ), 1, IF( AND( OFFSET($A$1, 353 - 1, 96 - 1) = "1", OFFSET($A$1, 353 - 1, 97 - 1) = "0" ), 2, IF( AND( OFFSET($A$1, 353 - 1, 96 - 1) = "0", OFFSET($A$1, 353 - 1, 97 - 1) = "1" ), 3, 4 ) ) )</f>
        <v>1</v>
      </c>
      <c r="CV353" s="24">
        <v>0.29179186133327867</v>
      </c>
      <c r="CW353" s="24" t="str">
        <f t="shared" si="27"/>
        <v>1</v>
      </c>
      <c r="CX353" t="str">
        <f ca="1">IF((OFFSET($A$1, 353 - 1, 100 - 1)) &gt;= (OFFSET($A$1, 79 - 1, 7 - 1)), "1","0")</f>
        <v>0</v>
      </c>
      <c r="CY353">
        <f ca="1" xml:space="preserve"> IF( AND( OFFSET($A$1, 353 - 1, 101 - 1) = "1", OFFSET($A$1, 353 - 1, 102 - 1) = "1" ), 1, IF( AND( OFFSET($A$1, 353 - 1, 101 - 1) = "1", OFFSET($A$1, 353 - 1, 102 - 1) = "0" ), 2, IF( AND( OFFSET($A$1, 353 - 1, 101 - 1) = "0", OFFSET($A$1, 353 - 1, 102 - 1) = "1" ), 3, 4 ) ) )</f>
        <v>2</v>
      </c>
    </row>
    <row r="354" spans="95:103" ht="13.8" x14ac:dyDescent="0.3">
      <c r="CQ354" s="24">
        <v>0.96319634730194903</v>
      </c>
      <c r="CR354" s="24" t="str">
        <f t="shared" si="26"/>
        <v>1</v>
      </c>
      <c r="CS354" t="str">
        <f ca="1">IF((OFFSET($A$1, 354 - 1, 95 - 1)) &gt;= (OFFSET($A$1, 55 - 1, 7 - 1)), "1","0")</f>
        <v>1</v>
      </c>
      <c r="CT354">
        <f ca="1" xml:space="preserve"> IF( AND( OFFSET($A$1, 354 - 1, 96 - 1) = "1", OFFSET($A$1, 354 - 1, 97 - 1) = "1" ), 1, IF( AND( OFFSET($A$1, 354 - 1, 96 - 1) = "1", OFFSET($A$1, 354 - 1, 97 - 1) = "0" ), 2, IF( AND( OFFSET($A$1, 354 - 1, 96 - 1) = "0", OFFSET($A$1, 354 - 1, 97 - 1) = "1" ), 3, 4 ) ) )</f>
        <v>1</v>
      </c>
      <c r="CV354" s="24">
        <v>0.21893153577796542</v>
      </c>
      <c r="CW354" s="24" t="str">
        <f t="shared" si="27"/>
        <v>1</v>
      </c>
      <c r="CX354" t="str">
        <f ca="1">IF((OFFSET($A$1, 354 - 1, 100 - 1)) &gt;= (OFFSET($A$1, 79 - 1, 7 - 1)), "1","0")</f>
        <v>0</v>
      </c>
      <c r="CY354">
        <f ca="1" xml:space="preserve"> IF( AND( OFFSET($A$1, 354 - 1, 101 - 1) = "1", OFFSET($A$1, 354 - 1, 102 - 1) = "1" ), 1, IF( AND( OFFSET($A$1, 354 - 1, 101 - 1) = "1", OFFSET($A$1, 354 - 1, 102 - 1) = "0" ), 2, IF( AND( OFFSET($A$1, 354 - 1, 101 - 1) = "0", OFFSET($A$1, 354 - 1, 102 - 1) = "1" ), 3, 4 ) ) )</f>
        <v>2</v>
      </c>
    </row>
    <row r="355" spans="95:103" ht="13.8" x14ac:dyDescent="0.3">
      <c r="CQ355" s="24">
        <v>0.99473865393799543</v>
      </c>
      <c r="CR355" s="24" t="str">
        <f t="shared" si="26"/>
        <v>1</v>
      </c>
      <c r="CS355" t="str">
        <f ca="1">IF((OFFSET($A$1, 355 - 1, 95 - 1)) &gt;= (OFFSET($A$1, 55 - 1, 7 - 1)), "1","0")</f>
        <v>1</v>
      </c>
      <c r="CT355">
        <f ca="1" xml:space="preserve"> IF( AND( OFFSET($A$1, 355 - 1, 96 - 1) = "1", OFFSET($A$1, 355 - 1, 97 - 1) = "1" ), 1, IF( AND( OFFSET($A$1, 355 - 1, 96 - 1) = "1", OFFSET($A$1, 355 - 1, 97 - 1) = "0" ), 2, IF( AND( OFFSET($A$1, 355 - 1, 96 - 1) = "0", OFFSET($A$1, 355 - 1, 97 - 1) = "1" ), 3, 4 ) ) )</f>
        <v>1</v>
      </c>
      <c r="CV355" s="24">
        <v>0.97680584281067384</v>
      </c>
      <c r="CW355" s="24" t="str">
        <f t="shared" si="27"/>
        <v>1</v>
      </c>
      <c r="CX355" t="str">
        <f ca="1">IF((OFFSET($A$1, 355 - 1, 100 - 1)) &gt;= (OFFSET($A$1, 79 - 1, 7 - 1)), "1","0")</f>
        <v>1</v>
      </c>
      <c r="CY355">
        <f ca="1" xml:space="preserve"> IF( AND( OFFSET($A$1, 355 - 1, 101 - 1) = "1", OFFSET($A$1, 355 - 1, 102 - 1) = "1" ), 1, IF( AND( OFFSET($A$1, 355 - 1, 101 - 1) = "1", OFFSET($A$1, 355 - 1, 102 - 1) = "0" ), 2, IF( AND( OFFSET($A$1, 355 - 1, 101 - 1) = "0", OFFSET($A$1, 355 - 1, 102 - 1) = "1" ), 3, 4 ) ) )</f>
        <v>1</v>
      </c>
    </row>
    <row r="356" spans="95:103" ht="13.8" x14ac:dyDescent="0.3">
      <c r="CQ356" s="24">
        <v>0.99429999819802961</v>
      </c>
      <c r="CR356" s="24" t="str">
        <f t="shared" si="26"/>
        <v>1</v>
      </c>
      <c r="CS356" t="str">
        <f ca="1">IF((OFFSET($A$1, 356 - 1, 95 - 1)) &gt;= (OFFSET($A$1, 55 - 1, 7 - 1)), "1","0")</f>
        <v>1</v>
      </c>
      <c r="CT356">
        <f ca="1" xml:space="preserve"> IF( AND( OFFSET($A$1, 356 - 1, 96 - 1) = "1", OFFSET($A$1, 356 - 1, 97 - 1) = "1" ), 1, IF( AND( OFFSET($A$1, 356 - 1, 96 - 1) = "1", OFFSET($A$1, 356 - 1, 97 - 1) = "0" ), 2, IF( AND( OFFSET($A$1, 356 - 1, 96 - 1) = "0", OFFSET($A$1, 356 - 1, 97 - 1) = "1" ), 3, 4 ) ) )</f>
        <v>1</v>
      </c>
      <c r="CV356" s="24">
        <v>0.9897569104798809</v>
      </c>
      <c r="CW356" s="24" t="str">
        <f>"0"</f>
        <v>0</v>
      </c>
      <c r="CX356" t="str">
        <f ca="1">IF((OFFSET($A$1, 356 - 1, 100 - 1)) &gt;= (OFFSET($A$1, 79 - 1, 7 - 1)), "1","0")</f>
        <v>1</v>
      </c>
      <c r="CY356">
        <f ca="1" xml:space="preserve"> IF( AND( OFFSET($A$1, 356 - 1, 101 - 1) = "1", OFFSET($A$1, 356 - 1, 102 - 1) = "1" ), 1, IF( AND( OFFSET($A$1, 356 - 1, 101 - 1) = "1", OFFSET($A$1, 356 - 1, 102 - 1) = "0" ), 2, IF( AND( OFFSET($A$1, 356 - 1, 101 - 1) = "0", OFFSET($A$1, 356 - 1, 102 - 1) = "1" ), 3, 4 ) ) )</f>
        <v>3</v>
      </c>
    </row>
    <row r="357" spans="95:103" ht="13.8" x14ac:dyDescent="0.3">
      <c r="CQ357" s="24">
        <v>0.96006716305349948</v>
      </c>
      <c r="CR357" s="24" t="str">
        <f t="shared" si="26"/>
        <v>1</v>
      </c>
      <c r="CS357" t="str">
        <f ca="1">IF((OFFSET($A$1, 357 - 1, 95 - 1)) &gt;= (OFFSET($A$1, 55 - 1, 7 - 1)), "1","0")</f>
        <v>1</v>
      </c>
      <c r="CT357">
        <f ca="1" xml:space="preserve"> IF( AND( OFFSET($A$1, 357 - 1, 96 - 1) = "1", OFFSET($A$1, 357 - 1, 97 - 1) = "1" ), 1, IF( AND( OFFSET($A$1, 357 - 1, 96 - 1) = "1", OFFSET($A$1, 357 - 1, 97 - 1) = "0" ), 2, IF( AND( OFFSET($A$1, 357 - 1, 96 - 1) = "0", OFFSET($A$1, 357 - 1, 97 - 1) = "1" ), 3, 4 ) ) )</f>
        <v>1</v>
      </c>
      <c r="CV357" s="24">
        <v>0.85778820443062143</v>
      </c>
      <c r="CW357" s="24" t="str">
        <f t="shared" ref="CW357:CW363" si="28">"1"</f>
        <v>1</v>
      </c>
      <c r="CX357" t="str">
        <f ca="1">IF((OFFSET($A$1, 357 - 1, 100 - 1)) &gt;= (OFFSET($A$1, 79 - 1, 7 - 1)), "1","0")</f>
        <v>1</v>
      </c>
      <c r="CY357">
        <f ca="1" xml:space="preserve"> IF( AND( OFFSET($A$1, 357 - 1, 101 - 1) = "1", OFFSET($A$1, 357 - 1, 102 - 1) = "1" ), 1, IF( AND( OFFSET($A$1, 357 - 1, 101 - 1) = "1", OFFSET($A$1, 357 - 1, 102 - 1) = "0" ), 2, IF( AND( OFFSET($A$1, 357 - 1, 101 - 1) = "0", OFFSET($A$1, 357 - 1, 102 - 1) = "1" ), 3, 4 ) ) )</f>
        <v>1</v>
      </c>
    </row>
    <row r="358" spans="95:103" ht="13.8" x14ac:dyDescent="0.3">
      <c r="CQ358" s="24">
        <v>0.97871293493749267</v>
      </c>
      <c r="CR358" s="24" t="str">
        <f t="shared" si="26"/>
        <v>1</v>
      </c>
      <c r="CS358" t="str">
        <f ca="1">IF((OFFSET($A$1, 358 - 1, 95 - 1)) &gt;= (OFFSET($A$1, 55 - 1, 7 - 1)), "1","0")</f>
        <v>1</v>
      </c>
      <c r="CT358">
        <f ca="1" xml:space="preserve"> IF( AND( OFFSET($A$1, 358 - 1, 96 - 1) = "1", OFFSET($A$1, 358 - 1, 97 - 1) = "1" ), 1, IF( AND( OFFSET($A$1, 358 - 1, 96 - 1) = "1", OFFSET($A$1, 358 - 1, 97 - 1) = "0" ), 2, IF( AND( OFFSET($A$1, 358 - 1, 96 - 1) = "0", OFFSET($A$1, 358 - 1, 97 - 1) = "1" ), 3, 4 ) ) )</f>
        <v>1</v>
      </c>
      <c r="CV358" s="24">
        <v>0.96035999335832956</v>
      </c>
      <c r="CW358" s="24" t="str">
        <f t="shared" si="28"/>
        <v>1</v>
      </c>
      <c r="CX358" t="str">
        <f ca="1">IF((OFFSET($A$1, 358 - 1, 100 - 1)) &gt;= (OFFSET($A$1, 79 - 1, 7 - 1)), "1","0")</f>
        <v>1</v>
      </c>
      <c r="CY358">
        <f ca="1" xml:space="preserve"> IF( AND( OFFSET($A$1, 358 - 1, 101 - 1) = "1", OFFSET($A$1, 358 - 1, 102 - 1) = "1" ), 1, IF( AND( OFFSET($A$1, 358 - 1, 101 - 1) = "1", OFFSET($A$1, 358 - 1, 102 - 1) = "0" ), 2, IF( AND( OFFSET($A$1, 358 - 1, 101 - 1) = "0", OFFSET($A$1, 358 - 1, 102 - 1) = "1" ), 3, 4 ) ) )</f>
        <v>1</v>
      </c>
    </row>
    <row r="359" spans="95:103" ht="13.8" x14ac:dyDescent="0.3">
      <c r="CQ359" s="24">
        <v>2.1648235228075737E-2</v>
      </c>
      <c r="CR359" s="24" t="str">
        <f>"0"</f>
        <v>0</v>
      </c>
      <c r="CS359" t="str">
        <f ca="1">IF((OFFSET($A$1, 359 - 1, 95 - 1)) &gt;= (OFFSET($A$1, 55 - 1, 7 - 1)), "1","0")</f>
        <v>0</v>
      </c>
      <c r="CT359">
        <f ca="1" xml:space="preserve"> IF( AND( OFFSET($A$1, 359 - 1, 96 - 1) = "1", OFFSET($A$1, 359 - 1, 97 - 1) = "1" ), 1, IF( AND( OFFSET($A$1, 359 - 1, 96 - 1) = "1", OFFSET($A$1, 359 - 1, 97 - 1) = "0" ), 2, IF( AND( OFFSET($A$1, 359 - 1, 96 - 1) = "0", OFFSET($A$1, 359 - 1, 97 - 1) = "1" ), 3, 4 ) ) )</f>
        <v>4</v>
      </c>
      <c r="CV359" s="24">
        <v>0.21980940138386321</v>
      </c>
      <c r="CW359" s="24" t="str">
        <f t="shared" si="28"/>
        <v>1</v>
      </c>
      <c r="CX359" t="str">
        <f ca="1">IF((OFFSET($A$1, 359 - 1, 100 - 1)) &gt;= (OFFSET($A$1, 79 - 1, 7 - 1)), "1","0")</f>
        <v>0</v>
      </c>
      <c r="CY359">
        <f ca="1" xml:space="preserve"> IF( AND( OFFSET($A$1, 359 - 1, 101 - 1) = "1", OFFSET($A$1, 359 - 1, 102 - 1) = "1" ), 1, IF( AND( OFFSET($A$1, 359 - 1, 101 - 1) = "1", OFFSET($A$1, 359 - 1, 102 - 1) = "0" ), 2, IF( AND( OFFSET($A$1, 359 - 1, 101 - 1) = "0", OFFSET($A$1, 359 - 1, 102 - 1) = "1" ), 3, 4 ) ) )</f>
        <v>2</v>
      </c>
    </row>
    <row r="360" spans="95:103" ht="13.8" x14ac:dyDescent="0.3">
      <c r="CQ360" s="24">
        <v>1.5789788173708002E-2</v>
      </c>
      <c r="CR360" s="24" t="str">
        <f>"0"</f>
        <v>0</v>
      </c>
      <c r="CS360" t="str">
        <f ca="1">IF((OFFSET($A$1, 360 - 1, 95 - 1)) &gt;= (OFFSET($A$1, 55 - 1, 7 - 1)), "1","0")</f>
        <v>0</v>
      </c>
      <c r="CT360">
        <f ca="1" xml:space="preserve"> IF( AND( OFFSET($A$1, 360 - 1, 96 - 1) = "1", OFFSET($A$1, 360 - 1, 97 - 1) = "1" ), 1, IF( AND( OFFSET($A$1, 360 - 1, 96 - 1) = "1", OFFSET($A$1, 360 - 1, 97 - 1) = "0" ), 2, IF( AND( OFFSET($A$1, 360 - 1, 96 - 1) = "0", OFFSET($A$1, 360 - 1, 97 - 1) = "1" ), 3, 4 ) ) )</f>
        <v>4</v>
      </c>
      <c r="CV360" s="24">
        <v>0.99943357076513428</v>
      </c>
      <c r="CW360" s="24" t="str">
        <f t="shared" si="28"/>
        <v>1</v>
      </c>
      <c r="CX360" t="str">
        <f ca="1">IF((OFFSET($A$1, 360 - 1, 100 - 1)) &gt;= (OFFSET($A$1, 79 - 1, 7 - 1)), "1","0")</f>
        <v>1</v>
      </c>
      <c r="CY360">
        <f ca="1" xml:space="preserve"> IF( AND( OFFSET($A$1, 360 - 1, 101 - 1) = "1", OFFSET($A$1, 360 - 1, 102 - 1) = "1" ), 1, IF( AND( OFFSET($A$1, 360 - 1, 101 - 1) = "1", OFFSET($A$1, 360 - 1, 102 - 1) = "0" ), 2, IF( AND( OFFSET($A$1, 360 - 1, 101 - 1) = "0", OFFSET($A$1, 360 - 1, 102 - 1) = "1" ), 3, 4 ) ) )</f>
        <v>1</v>
      </c>
    </row>
    <row r="361" spans="95:103" ht="13.8" x14ac:dyDescent="0.3">
      <c r="CQ361" s="24">
        <v>0.99707363650811498</v>
      </c>
      <c r="CR361" s="24" t="str">
        <f>"1"</f>
        <v>1</v>
      </c>
      <c r="CS361" t="str">
        <f ca="1">IF((OFFSET($A$1, 361 - 1, 95 - 1)) &gt;= (OFFSET($A$1, 55 - 1, 7 - 1)), "1","0")</f>
        <v>1</v>
      </c>
      <c r="CT361">
        <f ca="1" xml:space="preserve"> IF( AND( OFFSET($A$1, 361 - 1, 96 - 1) = "1", OFFSET($A$1, 361 - 1, 97 - 1) = "1" ), 1, IF( AND( OFFSET($A$1, 361 - 1, 96 - 1) = "1", OFFSET($A$1, 361 - 1, 97 - 1) = "0" ), 2, IF( AND( OFFSET($A$1, 361 - 1, 96 - 1) = "0", OFFSET($A$1, 361 - 1, 97 - 1) = "1" ), 3, 4 ) ) )</f>
        <v>1</v>
      </c>
      <c r="CV361" s="24">
        <v>0.99466357909500858</v>
      </c>
      <c r="CW361" s="24" t="str">
        <f t="shared" si="28"/>
        <v>1</v>
      </c>
      <c r="CX361" t="str">
        <f ca="1">IF((OFFSET($A$1, 361 - 1, 100 - 1)) &gt;= (OFFSET($A$1, 79 - 1, 7 - 1)), "1","0")</f>
        <v>1</v>
      </c>
      <c r="CY361">
        <f ca="1" xml:space="preserve"> IF( AND( OFFSET($A$1, 361 - 1, 101 - 1) = "1", OFFSET($A$1, 361 - 1, 102 - 1) = "1" ), 1, IF( AND( OFFSET($A$1, 361 - 1, 101 - 1) = "1", OFFSET($A$1, 361 - 1, 102 - 1) = "0" ), 2, IF( AND( OFFSET($A$1, 361 - 1, 101 - 1) = "0", OFFSET($A$1, 361 - 1, 102 - 1) = "1" ), 3, 4 ) ) )</f>
        <v>1</v>
      </c>
    </row>
    <row r="362" spans="95:103" ht="13.8" x14ac:dyDescent="0.3">
      <c r="CQ362" s="24">
        <v>0.99362946375124128</v>
      </c>
      <c r="CR362" s="24" t="str">
        <f>"1"</f>
        <v>1</v>
      </c>
      <c r="CS362" t="str">
        <f ca="1">IF((OFFSET($A$1, 362 - 1, 95 - 1)) &gt;= (OFFSET($A$1, 55 - 1, 7 - 1)), "1","0")</f>
        <v>1</v>
      </c>
      <c r="CT362">
        <f ca="1" xml:space="preserve"> IF( AND( OFFSET($A$1, 362 - 1, 96 - 1) = "1", OFFSET($A$1, 362 - 1, 97 - 1) = "1" ), 1, IF( AND( OFFSET($A$1, 362 - 1, 96 - 1) = "1", OFFSET($A$1, 362 - 1, 97 - 1) = "0" ), 2, IF( AND( OFFSET($A$1, 362 - 1, 96 - 1) = "0", OFFSET($A$1, 362 - 1, 97 - 1) = "1" ), 3, 4 ) ) )</f>
        <v>1</v>
      </c>
      <c r="CV362" s="24">
        <v>0.99866239818993718</v>
      </c>
      <c r="CW362" s="24" t="str">
        <f t="shared" si="28"/>
        <v>1</v>
      </c>
      <c r="CX362" t="str">
        <f ca="1">IF((OFFSET($A$1, 362 - 1, 100 - 1)) &gt;= (OFFSET($A$1, 79 - 1, 7 - 1)), "1","0")</f>
        <v>1</v>
      </c>
      <c r="CY362">
        <f ca="1" xml:space="preserve"> IF( AND( OFFSET($A$1, 362 - 1, 101 - 1) = "1", OFFSET($A$1, 362 - 1, 102 - 1) = "1" ), 1, IF( AND( OFFSET($A$1, 362 - 1, 101 - 1) = "1", OFFSET($A$1, 362 - 1, 102 - 1) = "0" ), 2, IF( AND( OFFSET($A$1, 362 - 1, 101 - 1) = "0", OFFSET($A$1, 362 - 1, 102 - 1) = "1" ), 3, 4 ) ) )</f>
        <v>1</v>
      </c>
    </row>
    <row r="363" spans="95:103" ht="13.8" x14ac:dyDescent="0.3">
      <c r="CQ363" s="24">
        <v>0.9872525736418305</v>
      </c>
      <c r="CR363" s="24" t="str">
        <f>"1"</f>
        <v>1</v>
      </c>
      <c r="CS363" t="str">
        <f ca="1">IF((OFFSET($A$1, 363 - 1, 95 - 1)) &gt;= (OFFSET($A$1, 55 - 1, 7 - 1)), "1","0")</f>
        <v>1</v>
      </c>
      <c r="CT363">
        <f ca="1" xml:space="preserve"> IF( AND( OFFSET($A$1, 363 - 1, 96 - 1) = "1", OFFSET($A$1, 363 - 1, 97 - 1) = "1" ), 1, IF( AND( OFFSET($A$1, 363 - 1, 96 - 1) = "1", OFFSET($A$1, 363 - 1, 97 - 1) = "0" ), 2, IF( AND( OFFSET($A$1, 363 - 1, 96 - 1) = "0", OFFSET($A$1, 363 - 1, 97 - 1) = "1" ), 3, 4 ) ) )</f>
        <v>1</v>
      </c>
      <c r="CV363" s="24">
        <v>0.8873986327714577</v>
      </c>
      <c r="CW363" s="24" t="str">
        <f t="shared" si="28"/>
        <v>1</v>
      </c>
      <c r="CX363" t="str">
        <f ca="1">IF((OFFSET($A$1, 363 - 1, 100 - 1)) &gt;= (OFFSET($A$1, 79 - 1, 7 - 1)), "1","0")</f>
        <v>1</v>
      </c>
      <c r="CY363">
        <f ca="1" xml:space="preserve"> IF( AND( OFFSET($A$1, 363 - 1, 101 - 1) = "1", OFFSET($A$1, 363 - 1, 102 - 1) = "1" ), 1, IF( AND( OFFSET($A$1, 363 - 1, 101 - 1) = "1", OFFSET($A$1, 363 - 1, 102 - 1) = "0" ), 2, IF( AND( OFFSET($A$1, 363 - 1, 101 - 1) = "0", OFFSET($A$1, 363 - 1, 102 - 1) = "1" ), 3, 4 ) ) )</f>
        <v>1</v>
      </c>
    </row>
    <row r="364" spans="95:103" ht="13.8" x14ac:dyDescent="0.3">
      <c r="CQ364" s="24">
        <v>0.13982321882835297</v>
      </c>
      <c r="CR364" s="24" t="str">
        <f>"0"</f>
        <v>0</v>
      </c>
      <c r="CS364" t="str">
        <f ca="1">IF((OFFSET($A$1, 364 - 1, 95 - 1)) &gt;= (OFFSET($A$1, 55 - 1, 7 - 1)), "1","0")</f>
        <v>0</v>
      </c>
      <c r="CT364">
        <f ca="1" xml:space="preserve"> IF( AND( OFFSET($A$1, 364 - 1, 96 - 1) = "1", OFFSET($A$1, 364 - 1, 97 - 1) = "1" ), 1, IF( AND( OFFSET($A$1, 364 - 1, 96 - 1) = "1", OFFSET($A$1, 364 - 1, 97 - 1) = "0" ), 2, IF( AND( OFFSET($A$1, 364 - 1, 96 - 1) = "0", OFFSET($A$1, 364 - 1, 97 - 1) = "1" ), 3, 4 ) ) )</f>
        <v>4</v>
      </c>
      <c r="CV364" s="24">
        <v>0.66266047475469769</v>
      </c>
      <c r="CW364" s="24" t="str">
        <f>"0"</f>
        <v>0</v>
      </c>
      <c r="CX364" t="str">
        <f ca="1">IF((OFFSET($A$1, 364 - 1, 100 - 1)) &gt;= (OFFSET($A$1, 79 - 1, 7 - 1)), "1","0")</f>
        <v>1</v>
      </c>
      <c r="CY364">
        <f ca="1" xml:space="preserve"> IF( AND( OFFSET($A$1, 364 - 1, 101 - 1) = "1", OFFSET($A$1, 364 - 1, 102 - 1) = "1" ), 1, IF( AND( OFFSET($A$1, 364 - 1, 101 - 1) = "1", OFFSET($A$1, 364 - 1, 102 - 1) = "0" ), 2, IF( AND( OFFSET($A$1, 364 - 1, 101 - 1) = "0", OFFSET($A$1, 364 - 1, 102 - 1) = "1" ), 3, 4 ) ) )</f>
        <v>3</v>
      </c>
    </row>
    <row r="365" spans="95:103" ht="13.8" x14ac:dyDescent="0.3">
      <c r="CQ365" s="24">
        <v>0.98553902011767347</v>
      </c>
      <c r="CR365" s="24" t="str">
        <f>"1"</f>
        <v>1</v>
      </c>
      <c r="CS365" t="str">
        <f ca="1">IF((OFFSET($A$1, 365 - 1, 95 - 1)) &gt;= (OFFSET($A$1, 55 - 1, 7 - 1)), "1","0")</f>
        <v>1</v>
      </c>
      <c r="CT365">
        <f ca="1" xml:space="preserve"> IF( AND( OFFSET($A$1, 365 - 1, 96 - 1) = "1", OFFSET($A$1, 365 - 1, 97 - 1) = "1" ), 1, IF( AND( OFFSET($A$1, 365 - 1, 96 - 1) = "1", OFFSET($A$1, 365 - 1, 97 - 1) = "0" ), 2, IF( AND( OFFSET($A$1, 365 - 1, 96 - 1) = "0", OFFSET($A$1, 365 - 1, 97 - 1) = "1" ), 3, 4 ) ) )</f>
        <v>1</v>
      </c>
      <c r="CV365" s="24">
        <v>0.96730372310819002</v>
      </c>
      <c r="CW365" s="24" t="str">
        <f t="shared" ref="CW365:CW371" si="29">"1"</f>
        <v>1</v>
      </c>
      <c r="CX365" t="str">
        <f ca="1">IF((OFFSET($A$1, 365 - 1, 100 - 1)) &gt;= (OFFSET($A$1, 79 - 1, 7 - 1)), "1","0")</f>
        <v>1</v>
      </c>
      <c r="CY365">
        <f ca="1" xml:space="preserve"> IF( AND( OFFSET($A$1, 365 - 1, 101 - 1) = "1", OFFSET($A$1, 365 - 1, 102 - 1) = "1" ), 1, IF( AND( OFFSET($A$1, 365 - 1, 101 - 1) = "1", OFFSET($A$1, 365 - 1, 102 - 1) = "0" ), 2, IF( AND( OFFSET($A$1, 365 - 1, 101 - 1) = "0", OFFSET($A$1, 365 - 1, 102 - 1) = "1" ), 3, 4 ) ) )</f>
        <v>1</v>
      </c>
    </row>
    <row r="366" spans="95:103" ht="13.8" x14ac:dyDescent="0.3">
      <c r="CQ366" s="24">
        <v>4.0783627795532351E-2</v>
      </c>
      <c r="CR366" s="24" t="str">
        <f>"0"</f>
        <v>0</v>
      </c>
      <c r="CS366" t="str">
        <f ca="1">IF((OFFSET($A$1, 366 - 1, 95 - 1)) &gt;= (OFFSET($A$1, 55 - 1, 7 - 1)), "1","0")</f>
        <v>0</v>
      </c>
      <c r="CT366">
        <f ca="1" xml:space="preserve"> IF( AND( OFFSET($A$1, 366 - 1, 96 - 1) = "1", OFFSET($A$1, 366 - 1, 97 - 1) = "1" ), 1, IF( AND( OFFSET($A$1, 366 - 1, 96 - 1) = "1", OFFSET($A$1, 366 - 1, 97 - 1) = "0" ), 2, IF( AND( OFFSET($A$1, 366 - 1, 96 - 1) = "0", OFFSET($A$1, 366 - 1, 97 - 1) = "1" ), 3, 4 ) ) )</f>
        <v>4</v>
      </c>
      <c r="CV366" s="24">
        <v>1.9187393266248957E-2</v>
      </c>
      <c r="CW366" s="24" t="str">
        <f t="shared" si="29"/>
        <v>1</v>
      </c>
      <c r="CX366" t="str">
        <f ca="1">IF((OFFSET($A$1, 366 - 1, 100 - 1)) &gt;= (OFFSET($A$1, 79 - 1, 7 - 1)), "1","0")</f>
        <v>0</v>
      </c>
      <c r="CY366">
        <f ca="1" xml:space="preserve"> IF( AND( OFFSET($A$1, 366 - 1, 101 - 1) = "1", OFFSET($A$1, 366 - 1, 102 - 1) = "1" ), 1, IF( AND( OFFSET($A$1, 366 - 1, 101 - 1) = "1", OFFSET($A$1, 366 - 1, 102 - 1) = "0" ), 2, IF( AND( OFFSET($A$1, 366 - 1, 101 - 1) = "0", OFFSET($A$1, 366 - 1, 102 - 1) = "1" ), 3, 4 ) ) )</f>
        <v>2</v>
      </c>
    </row>
    <row r="367" spans="95:103" ht="13.8" x14ac:dyDescent="0.3">
      <c r="CQ367" s="24">
        <v>0.13209268549075118</v>
      </c>
      <c r="CR367" s="24" t="str">
        <f>"0"</f>
        <v>0</v>
      </c>
      <c r="CS367" t="str">
        <f ca="1">IF((OFFSET($A$1, 367 - 1, 95 - 1)) &gt;= (OFFSET($A$1, 55 - 1, 7 - 1)), "1","0")</f>
        <v>0</v>
      </c>
      <c r="CT367">
        <f ca="1" xml:space="preserve"> IF( AND( OFFSET($A$1, 367 - 1, 96 - 1) = "1", OFFSET($A$1, 367 - 1, 97 - 1) = "1" ), 1, IF( AND( OFFSET($A$1, 367 - 1, 96 - 1) = "1", OFFSET($A$1, 367 - 1, 97 - 1) = "0" ), 2, IF( AND( OFFSET($A$1, 367 - 1, 96 - 1) = "0", OFFSET($A$1, 367 - 1, 97 - 1) = "1" ), 3, 4 ) ) )</f>
        <v>4</v>
      </c>
      <c r="CV367" s="24">
        <v>0.99846890773106589</v>
      </c>
      <c r="CW367" s="24" t="str">
        <f t="shared" si="29"/>
        <v>1</v>
      </c>
      <c r="CX367" t="str">
        <f ca="1">IF((OFFSET($A$1, 367 - 1, 100 - 1)) &gt;= (OFFSET($A$1, 79 - 1, 7 - 1)), "1","0")</f>
        <v>1</v>
      </c>
      <c r="CY367">
        <f ca="1" xml:space="preserve"> IF( AND( OFFSET($A$1, 367 - 1, 101 - 1) = "1", OFFSET($A$1, 367 - 1, 102 - 1) = "1" ), 1, IF( AND( OFFSET($A$1, 367 - 1, 101 - 1) = "1", OFFSET($A$1, 367 - 1, 102 - 1) = "0" ), 2, IF( AND( OFFSET($A$1, 367 - 1, 101 - 1) = "0", OFFSET($A$1, 367 - 1, 102 - 1) = "1" ), 3, 4 ) ) )</f>
        <v>1</v>
      </c>
    </row>
    <row r="368" spans="95:103" ht="13.8" x14ac:dyDescent="0.3">
      <c r="CQ368" s="24">
        <v>0.12570510085664346</v>
      </c>
      <c r="CR368" s="24" t="str">
        <f>"0"</f>
        <v>0</v>
      </c>
      <c r="CS368" t="str">
        <f ca="1">IF((OFFSET($A$1, 368 - 1, 95 - 1)) &gt;= (OFFSET($A$1, 55 - 1, 7 - 1)), "1","0")</f>
        <v>0</v>
      </c>
      <c r="CT368">
        <f ca="1" xml:space="preserve"> IF( AND( OFFSET($A$1, 368 - 1, 96 - 1) = "1", OFFSET($A$1, 368 - 1, 97 - 1) = "1" ), 1, IF( AND( OFFSET($A$1, 368 - 1, 96 - 1) = "1", OFFSET($A$1, 368 - 1, 97 - 1) = "0" ), 2, IF( AND( OFFSET($A$1, 368 - 1, 96 - 1) = "0", OFFSET($A$1, 368 - 1, 97 - 1) = "1" ), 3, 4 ) ) )</f>
        <v>4</v>
      </c>
      <c r="CV368" s="24">
        <v>0.9978055812343436</v>
      </c>
      <c r="CW368" s="24" t="str">
        <f t="shared" si="29"/>
        <v>1</v>
      </c>
      <c r="CX368" t="str">
        <f ca="1">IF((OFFSET($A$1, 368 - 1, 100 - 1)) &gt;= (OFFSET($A$1, 79 - 1, 7 - 1)), "1","0")</f>
        <v>1</v>
      </c>
      <c r="CY368">
        <f ca="1" xml:space="preserve"> IF( AND( OFFSET($A$1, 368 - 1, 101 - 1) = "1", OFFSET($A$1, 368 - 1, 102 - 1) = "1" ), 1, IF( AND( OFFSET($A$1, 368 - 1, 101 - 1) = "1", OFFSET($A$1, 368 - 1, 102 - 1) = "0" ), 2, IF( AND( OFFSET($A$1, 368 - 1, 101 - 1) = "0", OFFSET($A$1, 368 - 1, 102 - 1) = "1" ), 3, 4 ) ) )</f>
        <v>1</v>
      </c>
    </row>
    <row r="369" spans="95:103" ht="13.8" x14ac:dyDescent="0.3">
      <c r="CQ369" s="24">
        <v>0.99273123170381106</v>
      </c>
      <c r="CR369" s="24" t="str">
        <f t="shared" ref="CR369:CR376" si="30">"1"</f>
        <v>1</v>
      </c>
      <c r="CS369" t="str">
        <f ca="1">IF((OFFSET($A$1, 369 - 1, 95 - 1)) &gt;= (OFFSET($A$1, 55 - 1, 7 - 1)), "1","0")</f>
        <v>1</v>
      </c>
      <c r="CT369">
        <f ca="1" xml:space="preserve"> IF( AND( OFFSET($A$1, 369 - 1, 96 - 1) = "1", OFFSET($A$1, 369 - 1, 97 - 1) = "1" ), 1, IF( AND( OFFSET($A$1, 369 - 1, 96 - 1) = "1", OFFSET($A$1, 369 - 1, 97 - 1) = "0" ), 2, IF( AND( OFFSET($A$1, 369 - 1, 96 - 1) = "0", OFFSET($A$1, 369 - 1, 97 - 1) = "1" ), 3, 4 ) ) )</f>
        <v>1</v>
      </c>
      <c r="CV369" s="24">
        <v>0.99568707880031737</v>
      </c>
      <c r="CW369" s="24" t="str">
        <f t="shared" si="29"/>
        <v>1</v>
      </c>
      <c r="CX369" t="str">
        <f ca="1">IF((OFFSET($A$1, 369 - 1, 100 - 1)) &gt;= (OFFSET($A$1, 79 - 1, 7 - 1)), "1","0")</f>
        <v>1</v>
      </c>
      <c r="CY369">
        <f ca="1" xml:space="preserve"> IF( AND( OFFSET($A$1, 369 - 1, 101 - 1) = "1", OFFSET($A$1, 369 - 1, 102 - 1) = "1" ), 1, IF( AND( OFFSET($A$1, 369 - 1, 101 - 1) = "1", OFFSET($A$1, 369 - 1, 102 - 1) = "0" ), 2, IF( AND( OFFSET($A$1, 369 - 1, 101 - 1) = "0", OFFSET($A$1, 369 - 1, 102 - 1) = "1" ), 3, 4 ) ) )</f>
        <v>1</v>
      </c>
    </row>
    <row r="370" spans="95:103" ht="13.8" x14ac:dyDescent="0.3">
      <c r="CQ370" s="24">
        <v>0.94849393378019287</v>
      </c>
      <c r="CR370" s="24" t="str">
        <f t="shared" si="30"/>
        <v>1</v>
      </c>
      <c r="CS370" t="str">
        <f ca="1">IF((OFFSET($A$1, 370 - 1, 95 - 1)) &gt;= (OFFSET($A$1, 55 - 1, 7 - 1)), "1","0")</f>
        <v>1</v>
      </c>
      <c r="CT370">
        <f ca="1" xml:space="preserve"> IF( AND( OFFSET($A$1, 370 - 1, 96 - 1) = "1", OFFSET($A$1, 370 - 1, 97 - 1) = "1" ), 1, IF( AND( OFFSET($A$1, 370 - 1, 96 - 1) = "1", OFFSET($A$1, 370 - 1, 97 - 1) = "0" ), 2, IF( AND( OFFSET($A$1, 370 - 1, 96 - 1) = "0", OFFSET($A$1, 370 - 1, 97 - 1) = "1" ), 3, 4 ) ) )</f>
        <v>1</v>
      </c>
      <c r="CV370" s="24">
        <v>0.99409619042580144</v>
      </c>
      <c r="CW370" s="24" t="str">
        <f t="shared" si="29"/>
        <v>1</v>
      </c>
      <c r="CX370" t="str">
        <f ca="1">IF((OFFSET($A$1, 370 - 1, 100 - 1)) &gt;= (OFFSET($A$1, 79 - 1, 7 - 1)), "1","0")</f>
        <v>1</v>
      </c>
      <c r="CY370">
        <f ca="1" xml:space="preserve"> IF( AND( OFFSET($A$1, 370 - 1, 101 - 1) = "1", OFFSET($A$1, 370 - 1, 102 - 1) = "1" ), 1, IF( AND( OFFSET($A$1, 370 - 1, 101 - 1) = "1", OFFSET($A$1, 370 - 1, 102 - 1) = "0" ), 2, IF( AND( OFFSET($A$1, 370 - 1, 101 - 1) = "0", OFFSET($A$1, 370 - 1, 102 - 1) = "1" ), 3, 4 ) ) )</f>
        <v>1</v>
      </c>
    </row>
    <row r="371" spans="95:103" ht="13.8" x14ac:dyDescent="0.3">
      <c r="CQ371" s="24">
        <v>0.96026879499278639</v>
      </c>
      <c r="CR371" s="24" t="str">
        <f t="shared" si="30"/>
        <v>1</v>
      </c>
      <c r="CS371" t="str">
        <f ca="1">IF((OFFSET($A$1, 371 - 1, 95 - 1)) &gt;= (OFFSET($A$1, 55 - 1, 7 - 1)), "1","0")</f>
        <v>1</v>
      </c>
      <c r="CT371">
        <f ca="1" xml:space="preserve"> IF( AND( OFFSET($A$1, 371 - 1, 96 - 1) = "1", OFFSET($A$1, 371 - 1, 97 - 1) = "1" ), 1, IF( AND( OFFSET($A$1, 371 - 1, 96 - 1) = "1", OFFSET($A$1, 371 - 1, 97 - 1) = "0" ), 2, IF( AND( OFFSET($A$1, 371 - 1, 96 - 1) = "0", OFFSET($A$1, 371 - 1, 97 - 1) = "1" ), 3, 4 ) ) )</f>
        <v>1</v>
      </c>
      <c r="CV371" s="24">
        <v>0.99493814794577418</v>
      </c>
      <c r="CW371" s="24" t="str">
        <f t="shared" si="29"/>
        <v>1</v>
      </c>
      <c r="CX371" t="str">
        <f ca="1">IF((OFFSET($A$1, 371 - 1, 100 - 1)) &gt;= (OFFSET($A$1, 79 - 1, 7 - 1)), "1","0")</f>
        <v>1</v>
      </c>
      <c r="CY371">
        <f ca="1" xml:space="preserve"> IF( AND( OFFSET($A$1, 371 - 1, 101 - 1) = "1", OFFSET($A$1, 371 - 1, 102 - 1) = "1" ), 1, IF( AND( OFFSET($A$1, 371 - 1, 101 - 1) = "1", OFFSET($A$1, 371 - 1, 102 - 1) = "0" ), 2, IF( AND( OFFSET($A$1, 371 - 1, 101 - 1) = "0", OFFSET($A$1, 371 - 1, 102 - 1) = "1" ), 3, 4 ) ) )</f>
        <v>1</v>
      </c>
    </row>
    <row r="372" spans="95:103" ht="13.8" x14ac:dyDescent="0.3">
      <c r="CQ372" s="24">
        <v>0.99655864885653167</v>
      </c>
      <c r="CR372" s="24" t="str">
        <f t="shared" si="30"/>
        <v>1</v>
      </c>
      <c r="CS372" t="str">
        <f ca="1">IF((OFFSET($A$1, 372 - 1, 95 - 1)) &gt;= (OFFSET($A$1, 55 - 1, 7 - 1)), "1","0")</f>
        <v>1</v>
      </c>
      <c r="CT372">
        <f ca="1" xml:space="preserve"> IF( AND( OFFSET($A$1, 372 - 1, 96 - 1) = "1", OFFSET($A$1, 372 - 1, 97 - 1) = "1" ), 1, IF( AND( OFFSET($A$1, 372 - 1, 96 - 1) = "1", OFFSET($A$1, 372 - 1, 97 - 1) = "0" ), 2, IF( AND( OFFSET($A$1, 372 - 1, 96 - 1) = "0", OFFSET($A$1, 372 - 1, 97 - 1) = "1" ), 3, 4 ) ) )</f>
        <v>1</v>
      </c>
      <c r="CV372" s="24">
        <v>0.84643256743223039</v>
      </c>
      <c r="CW372" s="24" t="str">
        <f>"0"</f>
        <v>0</v>
      </c>
      <c r="CX372" t="str">
        <f ca="1">IF((OFFSET($A$1, 372 - 1, 100 - 1)) &gt;= (OFFSET($A$1, 79 - 1, 7 - 1)), "1","0")</f>
        <v>1</v>
      </c>
      <c r="CY372">
        <f ca="1" xml:space="preserve"> IF( AND( OFFSET($A$1, 372 - 1, 101 - 1) = "1", OFFSET($A$1, 372 - 1, 102 - 1) = "1" ), 1, IF( AND( OFFSET($A$1, 372 - 1, 101 - 1) = "1", OFFSET($A$1, 372 - 1, 102 - 1) = "0" ), 2, IF( AND( OFFSET($A$1, 372 - 1, 101 - 1) = "0", OFFSET($A$1, 372 - 1, 102 - 1) = "1" ), 3, 4 ) ) )</f>
        <v>3</v>
      </c>
    </row>
    <row r="373" spans="95:103" ht="13.8" x14ac:dyDescent="0.3">
      <c r="CQ373" s="24">
        <v>0.96243834084852409</v>
      </c>
      <c r="CR373" s="24" t="str">
        <f t="shared" si="30"/>
        <v>1</v>
      </c>
      <c r="CS373" t="str">
        <f ca="1">IF((OFFSET($A$1, 373 - 1, 95 - 1)) &gt;= (OFFSET($A$1, 55 - 1, 7 - 1)), "1","0")</f>
        <v>1</v>
      </c>
      <c r="CT373">
        <f ca="1" xml:space="preserve"> IF( AND( OFFSET($A$1, 373 - 1, 96 - 1) = "1", OFFSET($A$1, 373 - 1, 97 - 1) = "1" ), 1, IF( AND( OFFSET($A$1, 373 - 1, 96 - 1) = "1", OFFSET($A$1, 373 - 1, 97 - 1) = "0" ), 2, IF( AND( OFFSET($A$1, 373 - 1, 96 - 1) = "0", OFFSET($A$1, 373 - 1, 97 - 1) = "1" ), 3, 4 ) ) )</f>
        <v>1</v>
      </c>
      <c r="CV373" s="24">
        <v>0.10441466790435865</v>
      </c>
      <c r="CW373" s="24" t="str">
        <f>"0"</f>
        <v>0</v>
      </c>
      <c r="CX373" t="str">
        <f ca="1">IF((OFFSET($A$1, 373 - 1, 100 - 1)) &gt;= (OFFSET($A$1, 79 - 1, 7 - 1)), "1","0")</f>
        <v>0</v>
      </c>
      <c r="CY373">
        <f ca="1" xml:space="preserve"> IF( AND( OFFSET($A$1, 373 - 1, 101 - 1) = "1", OFFSET($A$1, 373 - 1, 102 - 1) = "1" ), 1, IF( AND( OFFSET($A$1, 373 - 1, 101 - 1) = "1", OFFSET($A$1, 373 - 1, 102 - 1) = "0" ), 2, IF( AND( OFFSET($A$1, 373 - 1, 101 - 1) = "0", OFFSET($A$1, 373 - 1, 102 - 1) = "1" ), 3, 4 ) ) )</f>
        <v>4</v>
      </c>
    </row>
    <row r="374" spans="95:103" ht="13.8" x14ac:dyDescent="0.3">
      <c r="CQ374" s="24">
        <v>0.75159310297328963</v>
      </c>
      <c r="CR374" s="24" t="str">
        <f t="shared" si="30"/>
        <v>1</v>
      </c>
      <c r="CS374" t="str">
        <f ca="1">IF((OFFSET($A$1, 374 - 1, 95 - 1)) &gt;= (OFFSET($A$1, 55 - 1, 7 - 1)), "1","0")</f>
        <v>1</v>
      </c>
      <c r="CT374">
        <f ca="1" xml:space="preserve"> IF( AND( OFFSET($A$1, 374 - 1, 96 - 1) = "1", OFFSET($A$1, 374 - 1, 97 - 1) = "1" ), 1, IF( AND( OFFSET($A$1, 374 - 1, 96 - 1) = "1", OFFSET($A$1, 374 - 1, 97 - 1) = "0" ), 2, IF( AND( OFFSET($A$1, 374 - 1, 96 - 1) = "0", OFFSET($A$1, 374 - 1, 97 - 1) = "1" ), 3, 4 ) ) )</f>
        <v>1</v>
      </c>
      <c r="CV374" s="24">
        <v>0.6264559518618219</v>
      </c>
      <c r="CW374" s="24" t="str">
        <f>"0"</f>
        <v>0</v>
      </c>
      <c r="CX374" t="str">
        <f ca="1">IF((OFFSET($A$1, 374 - 1, 100 - 1)) &gt;= (OFFSET($A$1, 79 - 1, 7 - 1)), "1","0")</f>
        <v>1</v>
      </c>
      <c r="CY374">
        <f ca="1" xml:space="preserve"> IF( AND( OFFSET($A$1, 374 - 1, 101 - 1) = "1", OFFSET($A$1, 374 - 1, 102 - 1) = "1" ), 1, IF( AND( OFFSET($A$1, 374 - 1, 101 - 1) = "1", OFFSET($A$1, 374 - 1, 102 - 1) = "0" ), 2, IF( AND( OFFSET($A$1, 374 - 1, 101 - 1) = "0", OFFSET($A$1, 374 - 1, 102 - 1) = "1" ), 3, 4 ) ) )</f>
        <v>3</v>
      </c>
    </row>
    <row r="375" spans="95:103" ht="13.8" x14ac:dyDescent="0.3">
      <c r="CQ375" s="24">
        <v>0.99912847751562195</v>
      </c>
      <c r="CR375" s="24" t="str">
        <f t="shared" si="30"/>
        <v>1</v>
      </c>
      <c r="CS375" t="str">
        <f ca="1">IF((OFFSET($A$1, 375 - 1, 95 - 1)) &gt;= (OFFSET($A$1, 55 - 1, 7 - 1)), "1","0")</f>
        <v>1</v>
      </c>
      <c r="CT375">
        <f ca="1" xml:space="preserve"> IF( AND( OFFSET($A$1, 375 - 1, 96 - 1) = "1", OFFSET($A$1, 375 - 1, 97 - 1) = "1" ), 1, IF( AND( OFFSET($A$1, 375 - 1, 96 - 1) = "1", OFFSET($A$1, 375 - 1, 97 - 1) = "0" ), 2, IF( AND( OFFSET($A$1, 375 - 1, 96 - 1) = "0", OFFSET($A$1, 375 - 1, 97 - 1) = "1" ), 3, 4 ) ) )</f>
        <v>1</v>
      </c>
      <c r="CV375" s="24">
        <v>0.97452985699046024</v>
      </c>
      <c r="CW375" s="24" t="str">
        <f>"1"</f>
        <v>1</v>
      </c>
      <c r="CX375" t="str">
        <f ca="1">IF((OFFSET($A$1, 375 - 1, 100 - 1)) &gt;= (OFFSET($A$1, 79 - 1, 7 - 1)), "1","0")</f>
        <v>1</v>
      </c>
      <c r="CY375">
        <f ca="1" xml:space="preserve"> IF( AND( OFFSET($A$1, 375 - 1, 101 - 1) = "1", OFFSET($A$1, 375 - 1, 102 - 1) = "1" ), 1, IF( AND( OFFSET($A$1, 375 - 1, 101 - 1) = "1", OFFSET($A$1, 375 - 1, 102 - 1) = "0" ), 2, IF( AND( OFFSET($A$1, 375 - 1, 101 - 1) = "0", OFFSET($A$1, 375 - 1, 102 - 1) = "1" ), 3, 4 ) ) )</f>
        <v>1</v>
      </c>
    </row>
    <row r="376" spans="95:103" ht="13.8" x14ac:dyDescent="0.3">
      <c r="CQ376" s="24">
        <v>0.99794656645441415</v>
      </c>
      <c r="CR376" s="24" t="str">
        <f t="shared" si="30"/>
        <v>1</v>
      </c>
      <c r="CS376" t="str">
        <f ca="1">IF((OFFSET($A$1, 376 - 1, 95 - 1)) &gt;= (OFFSET($A$1, 55 - 1, 7 - 1)), "1","0")</f>
        <v>1</v>
      </c>
      <c r="CT376">
        <f ca="1" xml:space="preserve"> IF( AND( OFFSET($A$1, 376 - 1, 96 - 1) = "1", OFFSET($A$1, 376 - 1, 97 - 1) = "1" ), 1, IF( AND( OFFSET($A$1, 376 - 1, 96 - 1) = "1", OFFSET($A$1, 376 - 1, 97 - 1) = "0" ), 2, IF( AND( OFFSET($A$1, 376 - 1, 96 - 1) = "0", OFFSET($A$1, 376 - 1, 97 - 1) = "1" ), 3, 4 ) ) )</f>
        <v>1</v>
      </c>
      <c r="CV376" s="24">
        <v>0.99265543382213883</v>
      </c>
      <c r="CW376" s="24" t="str">
        <f>"0"</f>
        <v>0</v>
      </c>
      <c r="CX376" t="str">
        <f ca="1">IF((OFFSET($A$1, 376 - 1, 100 - 1)) &gt;= (OFFSET($A$1, 79 - 1, 7 - 1)), "1","0")</f>
        <v>1</v>
      </c>
      <c r="CY376">
        <f ca="1" xml:space="preserve"> IF( AND( OFFSET($A$1, 376 - 1, 101 - 1) = "1", OFFSET($A$1, 376 - 1, 102 - 1) = "1" ), 1, IF( AND( OFFSET($A$1, 376 - 1, 101 - 1) = "1", OFFSET($A$1, 376 - 1, 102 - 1) = "0" ), 2, IF( AND( OFFSET($A$1, 376 - 1, 101 - 1) = "0", OFFSET($A$1, 376 - 1, 102 - 1) = "1" ), 3, 4 ) ) )</f>
        <v>3</v>
      </c>
    </row>
    <row r="377" spans="95:103" ht="13.8" x14ac:dyDescent="0.3">
      <c r="CQ377" s="24">
        <v>1.0289436820719325E-2</v>
      </c>
      <c r="CR377" s="24" t="str">
        <f>"0"</f>
        <v>0</v>
      </c>
      <c r="CS377" t="str">
        <f ca="1">IF((OFFSET($A$1, 377 - 1, 95 - 1)) &gt;= (OFFSET($A$1, 55 - 1, 7 - 1)), "1","0")</f>
        <v>0</v>
      </c>
      <c r="CT377">
        <f ca="1" xml:space="preserve"> IF( AND( OFFSET($A$1, 377 - 1, 96 - 1) = "1", OFFSET($A$1, 377 - 1, 97 - 1) = "1" ), 1, IF( AND( OFFSET($A$1, 377 - 1, 96 - 1) = "1", OFFSET($A$1, 377 - 1, 97 - 1) = "0" ), 2, IF( AND( OFFSET($A$1, 377 - 1, 96 - 1) = "0", OFFSET($A$1, 377 - 1, 97 - 1) = "1" ), 3, 4 ) ) )</f>
        <v>4</v>
      </c>
      <c r="CV377" s="24">
        <v>0.99892231670179032</v>
      </c>
      <c r="CW377" s="24" t="str">
        <f t="shared" ref="CW377:CW387" si="31">"1"</f>
        <v>1</v>
      </c>
      <c r="CX377" t="str">
        <f ca="1">IF((OFFSET($A$1, 377 - 1, 100 - 1)) &gt;= (OFFSET($A$1, 79 - 1, 7 - 1)), "1","0")</f>
        <v>1</v>
      </c>
      <c r="CY377">
        <f ca="1" xml:space="preserve"> IF( AND( OFFSET($A$1, 377 - 1, 101 - 1) = "1", OFFSET($A$1, 377 - 1, 102 - 1) = "1" ), 1, IF( AND( OFFSET($A$1, 377 - 1, 101 - 1) = "1", OFFSET($A$1, 377 - 1, 102 - 1) = "0" ), 2, IF( AND( OFFSET($A$1, 377 - 1, 101 - 1) = "0", OFFSET($A$1, 377 - 1, 102 - 1) = "1" ), 3, 4 ) ) )</f>
        <v>1</v>
      </c>
    </row>
    <row r="378" spans="95:103" ht="13.8" x14ac:dyDescent="0.3">
      <c r="CQ378" s="24">
        <v>0.9952891021254564</v>
      </c>
      <c r="CR378" s="24" t="str">
        <f>"1"</f>
        <v>1</v>
      </c>
      <c r="CS378" t="str">
        <f ca="1">IF((OFFSET($A$1, 378 - 1, 95 - 1)) &gt;= (OFFSET($A$1, 55 - 1, 7 - 1)), "1","0")</f>
        <v>1</v>
      </c>
      <c r="CT378">
        <f ca="1" xml:space="preserve"> IF( AND( OFFSET($A$1, 378 - 1, 96 - 1) = "1", OFFSET($A$1, 378 - 1, 97 - 1) = "1" ), 1, IF( AND( OFFSET($A$1, 378 - 1, 96 - 1) = "1", OFFSET($A$1, 378 - 1, 97 - 1) = "0" ), 2, IF( AND( OFFSET($A$1, 378 - 1, 96 - 1) = "0", OFFSET($A$1, 378 - 1, 97 - 1) = "1" ), 3, 4 ) ) )</f>
        <v>1</v>
      </c>
      <c r="CV378" s="24">
        <v>7.2510494310201916E-3</v>
      </c>
      <c r="CW378" s="24" t="str">
        <f t="shared" si="31"/>
        <v>1</v>
      </c>
      <c r="CX378" t="str">
        <f ca="1">IF((OFFSET($A$1, 378 - 1, 100 - 1)) &gt;= (OFFSET($A$1, 79 - 1, 7 - 1)), "1","0")</f>
        <v>0</v>
      </c>
      <c r="CY378">
        <f ca="1" xml:space="preserve"> IF( AND( OFFSET($A$1, 378 - 1, 101 - 1) = "1", OFFSET($A$1, 378 - 1, 102 - 1) = "1" ), 1, IF( AND( OFFSET($A$1, 378 - 1, 101 - 1) = "1", OFFSET($A$1, 378 - 1, 102 - 1) = "0" ), 2, IF( AND( OFFSET($A$1, 378 - 1, 101 - 1) = "0", OFFSET($A$1, 378 - 1, 102 - 1) = "1" ), 3, 4 ) ) )</f>
        <v>2</v>
      </c>
    </row>
    <row r="379" spans="95:103" ht="13.8" x14ac:dyDescent="0.3">
      <c r="CQ379" s="24">
        <v>0.99893999986657178</v>
      </c>
      <c r="CR379" s="24" t="str">
        <f>"0"</f>
        <v>0</v>
      </c>
      <c r="CS379" t="str">
        <f ca="1">IF((OFFSET($A$1, 379 - 1, 95 - 1)) &gt;= (OFFSET($A$1, 55 - 1, 7 - 1)), "1","0")</f>
        <v>1</v>
      </c>
      <c r="CT379">
        <f ca="1" xml:space="preserve"> IF( AND( OFFSET($A$1, 379 - 1, 96 - 1) = "1", OFFSET($A$1, 379 - 1, 97 - 1) = "1" ), 1, IF( AND( OFFSET($A$1, 379 - 1, 96 - 1) = "1", OFFSET($A$1, 379 - 1, 97 - 1) = "0" ), 2, IF( AND( OFFSET($A$1, 379 - 1, 96 - 1) = "0", OFFSET($A$1, 379 - 1, 97 - 1) = "1" ), 3, 4 ) ) )</f>
        <v>3</v>
      </c>
      <c r="CV379" s="24">
        <v>0.99813492012979577</v>
      </c>
      <c r="CW379" s="24" t="str">
        <f t="shared" si="31"/>
        <v>1</v>
      </c>
      <c r="CX379" t="str">
        <f ca="1">IF((OFFSET($A$1, 379 - 1, 100 - 1)) &gt;= (OFFSET($A$1, 79 - 1, 7 - 1)), "1","0")</f>
        <v>1</v>
      </c>
      <c r="CY379">
        <f ca="1" xml:space="preserve"> IF( AND( OFFSET($A$1, 379 - 1, 101 - 1) = "1", OFFSET($A$1, 379 - 1, 102 - 1) = "1" ), 1, IF( AND( OFFSET($A$1, 379 - 1, 101 - 1) = "1", OFFSET($A$1, 379 - 1, 102 - 1) = "0" ), 2, IF( AND( OFFSET($A$1, 379 - 1, 101 - 1) = "0", OFFSET($A$1, 379 - 1, 102 - 1) = "1" ), 3, 4 ) ) )</f>
        <v>1</v>
      </c>
    </row>
    <row r="380" spans="95:103" ht="13.8" x14ac:dyDescent="0.3">
      <c r="CQ380" s="24">
        <v>0.98045279398495999</v>
      </c>
      <c r="CR380" s="24" t="str">
        <f>"0"</f>
        <v>0</v>
      </c>
      <c r="CS380" t="str">
        <f ca="1">IF((OFFSET($A$1, 380 - 1, 95 - 1)) &gt;= (OFFSET($A$1, 55 - 1, 7 - 1)), "1","0")</f>
        <v>1</v>
      </c>
      <c r="CT380">
        <f ca="1" xml:space="preserve"> IF( AND( OFFSET($A$1, 380 - 1, 96 - 1) = "1", OFFSET($A$1, 380 - 1, 97 - 1) = "1" ), 1, IF( AND( OFFSET($A$1, 380 - 1, 96 - 1) = "1", OFFSET($A$1, 380 - 1, 97 - 1) = "0" ), 2, IF( AND( OFFSET($A$1, 380 - 1, 96 - 1) = "0", OFFSET($A$1, 380 - 1, 97 - 1) = "1" ), 3, 4 ) ) )</f>
        <v>3</v>
      </c>
      <c r="CV380" s="24">
        <v>0.93330337717489231</v>
      </c>
      <c r="CW380" s="24" t="str">
        <f t="shared" si="31"/>
        <v>1</v>
      </c>
      <c r="CX380" t="str">
        <f ca="1">IF((OFFSET($A$1, 380 - 1, 100 - 1)) &gt;= (OFFSET($A$1, 79 - 1, 7 - 1)), "1","0")</f>
        <v>1</v>
      </c>
      <c r="CY380">
        <f ca="1" xml:space="preserve"> IF( AND( OFFSET($A$1, 380 - 1, 101 - 1) = "1", OFFSET($A$1, 380 - 1, 102 - 1) = "1" ), 1, IF( AND( OFFSET($A$1, 380 - 1, 101 - 1) = "1", OFFSET($A$1, 380 - 1, 102 - 1) = "0" ), 2, IF( AND( OFFSET($A$1, 380 - 1, 101 - 1) = "0", OFFSET($A$1, 380 - 1, 102 - 1) = "1" ), 3, 4 ) ) )</f>
        <v>1</v>
      </c>
    </row>
    <row r="381" spans="95:103" ht="13.8" x14ac:dyDescent="0.3">
      <c r="CQ381" s="24">
        <v>0.16951130010964022</v>
      </c>
      <c r="CR381" s="24" t="str">
        <f>"0"</f>
        <v>0</v>
      </c>
      <c r="CS381" t="str">
        <f ca="1">IF((OFFSET($A$1, 381 - 1, 95 - 1)) &gt;= (OFFSET($A$1, 55 - 1, 7 - 1)), "1","0")</f>
        <v>0</v>
      </c>
      <c r="CT381">
        <f ca="1" xml:space="preserve"> IF( AND( OFFSET($A$1, 381 - 1, 96 - 1) = "1", OFFSET($A$1, 381 - 1, 97 - 1) = "1" ), 1, IF( AND( OFFSET($A$1, 381 - 1, 96 - 1) = "1", OFFSET($A$1, 381 - 1, 97 - 1) = "0" ), 2, IF( AND( OFFSET($A$1, 381 - 1, 96 - 1) = "0", OFFSET($A$1, 381 - 1, 97 - 1) = "1" ), 3, 4 ) ) )</f>
        <v>4</v>
      </c>
      <c r="CV381" s="24">
        <v>0.99929399330940882</v>
      </c>
      <c r="CW381" s="24" t="str">
        <f t="shared" si="31"/>
        <v>1</v>
      </c>
      <c r="CX381" t="str">
        <f ca="1">IF((OFFSET($A$1, 381 - 1, 100 - 1)) &gt;= (OFFSET($A$1, 79 - 1, 7 - 1)), "1","0")</f>
        <v>1</v>
      </c>
      <c r="CY381">
        <f ca="1" xml:space="preserve"> IF( AND( OFFSET($A$1, 381 - 1, 101 - 1) = "1", OFFSET($A$1, 381 - 1, 102 - 1) = "1" ), 1, IF( AND( OFFSET($A$1, 381 - 1, 101 - 1) = "1", OFFSET($A$1, 381 - 1, 102 - 1) = "0" ), 2, IF( AND( OFFSET($A$1, 381 - 1, 101 - 1) = "0", OFFSET($A$1, 381 - 1, 102 - 1) = "1" ), 3, 4 ) ) )</f>
        <v>1</v>
      </c>
    </row>
    <row r="382" spans="95:103" ht="13.8" x14ac:dyDescent="0.3">
      <c r="CQ382" s="24">
        <v>0.98155635110499784</v>
      </c>
      <c r="CR382" s="24" t="str">
        <f>"1"</f>
        <v>1</v>
      </c>
      <c r="CS382" t="str">
        <f ca="1">IF((OFFSET($A$1, 382 - 1, 95 - 1)) &gt;= (OFFSET($A$1, 55 - 1, 7 - 1)), "1","0")</f>
        <v>1</v>
      </c>
      <c r="CT382">
        <f ca="1" xml:space="preserve"> IF( AND( OFFSET($A$1, 382 - 1, 96 - 1) = "1", OFFSET($A$1, 382 - 1, 97 - 1) = "1" ), 1, IF( AND( OFFSET($A$1, 382 - 1, 96 - 1) = "1", OFFSET($A$1, 382 - 1, 97 - 1) = "0" ), 2, IF( AND( OFFSET($A$1, 382 - 1, 96 - 1) = "0", OFFSET($A$1, 382 - 1, 97 - 1) = "1" ), 3, 4 ) ) )</f>
        <v>1</v>
      </c>
      <c r="CV382" s="24">
        <v>0.15956609737224417</v>
      </c>
      <c r="CW382" s="24" t="str">
        <f t="shared" si="31"/>
        <v>1</v>
      </c>
      <c r="CX382" t="str">
        <f ca="1">IF((OFFSET($A$1, 382 - 1, 100 - 1)) &gt;= (OFFSET($A$1, 79 - 1, 7 - 1)), "1","0")</f>
        <v>0</v>
      </c>
      <c r="CY382">
        <f ca="1" xml:space="preserve"> IF( AND( OFFSET($A$1, 382 - 1, 101 - 1) = "1", OFFSET($A$1, 382 - 1, 102 - 1) = "1" ), 1, IF( AND( OFFSET($A$1, 382 - 1, 101 - 1) = "1", OFFSET($A$1, 382 - 1, 102 - 1) = "0" ), 2, IF( AND( OFFSET($A$1, 382 - 1, 101 - 1) = "0", OFFSET($A$1, 382 - 1, 102 - 1) = "1" ), 3, 4 ) ) )</f>
        <v>2</v>
      </c>
    </row>
    <row r="383" spans="95:103" ht="13.8" x14ac:dyDescent="0.3">
      <c r="CQ383" s="24">
        <v>1.8968364340208949E-2</v>
      </c>
      <c r="CR383" s="24" t="str">
        <f>"0"</f>
        <v>0</v>
      </c>
      <c r="CS383" t="str">
        <f ca="1">IF((OFFSET($A$1, 383 - 1, 95 - 1)) &gt;= (OFFSET($A$1, 55 - 1, 7 - 1)), "1","0")</f>
        <v>0</v>
      </c>
      <c r="CT383">
        <f ca="1" xml:space="preserve"> IF( AND( OFFSET($A$1, 383 - 1, 96 - 1) = "1", OFFSET($A$1, 383 - 1, 97 - 1) = "1" ), 1, IF( AND( OFFSET($A$1, 383 - 1, 96 - 1) = "1", OFFSET($A$1, 383 - 1, 97 - 1) = "0" ), 2, IF( AND( OFFSET($A$1, 383 - 1, 96 - 1) = "0", OFFSET($A$1, 383 - 1, 97 - 1) = "1" ), 3, 4 ) ) )</f>
        <v>4</v>
      </c>
      <c r="CV383" s="24">
        <v>0.9937823948788439</v>
      </c>
      <c r="CW383" s="24" t="str">
        <f t="shared" si="31"/>
        <v>1</v>
      </c>
      <c r="CX383" t="str">
        <f ca="1">IF((OFFSET($A$1, 383 - 1, 100 - 1)) &gt;= (OFFSET($A$1, 79 - 1, 7 - 1)), "1","0")</f>
        <v>1</v>
      </c>
      <c r="CY383">
        <f ca="1" xml:space="preserve"> IF( AND( OFFSET($A$1, 383 - 1, 101 - 1) = "1", OFFSET($A$1, 383 - 1, 102 - 1) = "1" ), 1, IF( AND( OFFSET($A$1, 383 - 1, 101 - 1) = "1", OFFSET($A$1, 383 - 1, 102 - 1) = "0" ), 2, IF( AND( OFFSET($A$1, 383 - 1, 101 - 1) = "0", OFFSET($A$1, 383 - 1, 102 - 1) = "1" ), 3, 4 ) ) )</f>
        <v>1</v>
      </c>
    </row>
    <row r="384" spans="95:103" ht="13.8" x14ac:dyDescent="0.3">
      <c r="CQ384" s="24">
        <v>0.9949444213448958</v>
      </c>
      <c r="CR384" s="24" t="str">
        <f>"1"</f>
        <v>1</v>
      </c>
      <c r="CS384" t="str">
        <f ca="1">IF((OFFSET($A$1, 384 - 1, 95 - 1)) &gt;= (OFFSET($A$1, 55 - 1, 7 - 1)), "1","0")</f>
        <v>1</v>
      </c>
      <c r="CT384">
        <f ca="1" xml:space="preserve"> IF( AND( OFFSET($A$1, 384 - 1, 96 - 1) = "1", OFFSET($A$1, 384 - 1, 97 - 1) = "1" ), 1, IF( AND( OFFSET($A$1, 384 - 1, 96 - 1) = "1", OFFSET($A$1, 384 - 1, 97 - 1) = "0" ), 2, IF( AND( OFFSET($A$1, 384 - 1, 96 - 1) = "0", OFFSET($A$1, 384 - 1, 97 - 1) = "1" ), 3, 4 ) ) )</f>
        <v>1</v>
      </c>
      <c r="CV384" s="24">
        <v>0.99844139512897556</v>
      </c>
      <c r="CW384" s="24" t="str">
        <f t="shared" si="31"/>
        <v>1</v>
      </c>
      <c r="CX384" t="str">
        <f ca="1">IF((OFFSET($A$1, 384 - 1, 100 - 1)) &gt;= (OFFSET($A$1, 79 - 1, 7 - 1)), "1","0")</f>
        <v>1</v>
      </c>
      <c r="CY384">
        <f ca="1" xml:space="preserve"> IF( AND( OFFSET($A$1, 384 - 1, 101 - 1) = "1", OFFSET($A$1, 384 - 1, 102 - 1) = "1" ), 1, IF( AND( OFFSET($A$1, 384 - 1, 101 - 1) = "1", OFFSET($A$1, 384 - 1, 102 - 1) = "0" ), 2, IF( AND( OFFSET($A$1, 384 - 1, 101 - 1) = "0", OFFSET($A$1, 384 - 1, 102 - 1) = "1" ), 3, 4 ) ) )</f>
        <v>1</v>
      </c>
    </row>
    <row r="385" spans="95:103" ht="13.8" x14ac:dyDescent="0.3">
      <c r="CQ385" s="24">
        <v>0.91148765272748</v>
      </c>
      <c r="CR385" s="24" t="str">
        <f>"1"</f>
        <v>1</v>
      </c>
      <c r="CS385" t="str">
        <f ca="1">IF((OFFSET($A$1, 385 - 1, 95 - 1)) &gt;= (OFFSET($A$1, 55 - 1, 7 - 1)), "1","0")</f>
        <v>1</v>
      </c>
      <c r="CT385">
        <f ca="1" xml:space="preserve"> IF( AND( OFFSET($A$1, 385 - 1, 96 - 1) = "1", OFFSET($A$1, 385 - 1, 97 - 1) = "1" ), 1, IF( AND( OFFSET($A$1, 385 - 1, 96 - 1) = "1", OFFSET($A$1, 385 - 1, 97 - 1) = "0" ), 2, IF( AND( OFFSET($A$1, 385 - 1, 96 - 1) = "0", OFFSET($A$1, 385 - 1, 97 - 1) = "1" ), 3, 4 ) ) )</f>
        <v>1</v>
      </c>
      <c r="CV385" s="24">
        <v>0.99729367373732514</v>
      </c>
      <c r="CW385" s="24" t="str">
        <f t="shared" si="31"/>
        <v>1</v>
      </c>
      <c r="CX385" t="str">
        <f ca="1">IF((OFFSET($A$1, 385 - 1, 100 - 1)) &gt;= (OFFSET($A$1, 79 - 1, 7 - 1)), "1","0")</f>
        <v>1</v>
      </c>
      <c r="CY385">
        <f ca="1" xml:space="preserve"> IF( AND( OFFSET($A$1, 385 - 1, 101 - 1) = "1", OFFSET($A$1, 385 - 1, 102 - 1) = "1" ), 1, IF( AND( OFFSET($A$1, 385 - 1, 101 - 1) = "1", OFFSET($A$1, 385 - 1, 102 - 1) = "0" ), 2, IF( AND( OFFSET($A$1, 385 - 1, 101 - 1) = "0", OFFSET($A$1, 385 - 1, 102 - 1) = "1" ), 3, 4 ) ) )</f>
        <v>1</v>
      </c>
    </row>
    <row r="386" spans="95:103" ht="13.8" x14ac:dyDescent="0.3">
      <c r="CQ386" s="24">
        <v>2.0840001141531752E-2</v>
      </c>
      <c r="CR386" s="24" t="str">
        <f>"0"</f>
        <v>0</v>
      </c>
      <c r="CS386" t="str">
        <f ca="1">IF((OFFSET($A$1, 386 - 1, 95 - 1)) &gt;= (OFFSET($A$1, 55 - 1, 7 - 1)), "1","0")</f>
        <v>0</v>
      </c>
      <c r="CT386">
        <f ca="1" xml:space="preserve"> IF( AND( OFFSET($A$1, 386 - 1, 96 - 1) = "1", OFFSET($A$1, 386 - 1, 97 - 1) = "1" ), 1, IF( AND( OFFSET($A$1, 386 - 1, 96 - 1) = "1", OFFSET($A$1, 386 - 1, 97 - 1) = "0" ), 2, IF( AND( OFFSET($A$1, 386 - 1, 96 - 1) = "0", OFFSET($A$1, 386 - 1, 97 - 1) = "1" ), 3, 4 ) ) )</f>
        <v>4</v>
      </c>
      <c r="CV386" s="24">
        <v>0.99889821722784244</v>
      </c>
      <c r="CW386" s="24" t="str">
        <f t="shared" si="31"/>
        <v>1</v>
      </c>
      <c r="CX386" t="str">
        <f ca="1">IF((OFFSET($A$1, 386 - 1, 100 - 1)) &gt;= (OFFSET($A$1, 79 - 1, 7 - 1)), "1","0")</f>
        <v>1</v>
      </c>
      <c r="CY386">
        <f ca="1" xml:space="preserve"> IF( AND( OFFSET($A$1, 386 - 1, 101 - 1) = "1", OFFSET($A$1, 386 - 1, 102 - 1) = "1" ), 1, IF( AND( OFFSET($A$1, 386 - 1, 101 - 1) = "1", OFFSET($A$1, 386 - 1, 102 - 1) = "0" ), 2, IF( AND( OFFSET($A$1, 386 - 1, 101 - 1) = "0", OFFSET($A$1, 386 - 1, 102 - 1) = "1" ), 3, 4 ) ) )</f>
        <v>1</v>
      </c>
    </row>
    <row r="387" spans="95:103" ht="13.8" x14ac:dyDescent="0.3">
      <c r="CQ387" s="24">
        <v>0.99816271251715283</v>
      </c>
      <c r="CR387" s="24" t="str">
        <f t="shared" ref="CR387:CR392" si="32">"1"</f>
        <v>1</v>
      </c>
      <c r="CS387" t="str">
        <f ca="1">IF((OFFSET($A$1, 387 - 1, 95 - 1)) &gt;= (OFFSET($A$1, 55 - 1, 7 - 1)), "1","0")</f>
        <v>1</v>
      </c>
      <c r="CT387">
        <f ca="1" xml:space="preserve"> IF( AND( OFFSET($A$1, 387 - 1, 96 - 1) = "1", OFFSET($A$1, 387 - 1, 97 - 1) = "1" ), 1, IF( AND( OFFSET($A$1, 387 - 1, 96 - 1) = "1", OFFSET($A$1, 387 - 1, 97 - 1) = "0" ), 2, IF( AND( OFFSET($A$1, 387 - 1, 96 - 1) = "0", OFFSET($A$1, 387 - 1, 97 - 1) = "1" ), 3, 4 ) ) )</f>
        <v>1</v>
      </c>
      <c r="CV387" s="24">
        <v>0.99792683017762174</v>
      </c>
      <c r="CW387" s="24" t="str">
        <f t="shared" si="31"/>
        <v>1</v>
      </c>
      <c r="CX387" t="str">
        <f ca="1">IF((OFFSET($A$1, 387 - 1, 100 - 1)) &gt;= (OFFSET($A$1, 79 - 1, 7 - 1)), "1","0")</f>
        <v>1</v>
      </c>
      <c r="CY387">
        <f ca="1" xml:space="preserve"> IF( AND( OFFSET($A$1, 387 - 1, 101 - 1) = "1", OFFSET($A$1, 387 - 1, 102 - 1) = "1" ), 1, IF( AND( OFFSET($A$1, 387 - 1, 101 - 1) = "1", OFFSET($A$1, 387 - 1, 102 - 1) = "0" ), 2, IF( AND( OFFSET($A$1, 387 - 1, 101 - 1) = "0", OFFSET($A$1, 387 - 1, 102 - 1) = "1" ), 3, 4 ) ) )</f>
        <v>1</v>
      </c>
    </row>
    <row r="388" spans="95:103" ht="13.8" x14ac:dyDescent="0.3">
      <c r="CQ388" s="24">
        <v>0.99132615950813463</v>
      </c>
      <c r="CR388" s="24" t="str">
        <f t="shared" si="32"/>
        <v>1</v>
      </c>
      <c r="CS388" t="str">
        <f ca="1">IF((OFFSET($A$1, 388 - 1, 95 - 1)) &gt;= (OFFSET($A$1, 55 - 1, 7 - 1)), "1","0")</f>
        <v>1</v>
      </c>
      <c r="CT388">
        <f ca="1" xml:space="preserve"> IF( AND( OFFSET($A$1, 388 - 1, 96 - 1) = "1", OFFSET($A$1, 388 - 1, 97 - 1) = "1" ), 1, IF( AND( OFFSET($A$1, 388 - 1, 96 - 1) = "1", OFFSET($A$1, 388 - 1, 97 - 1) = "0" ), 2, IF( AND( OFFSET($A$1, 388 - 1, 96 - 1) = "0", OFFSET($A$1, 388 - 1, 97 - 1) = "1" ), 3, 4 ) ) )</f>
        <v>1</v>
      </c>
      <c r="CV388" s="24">
        <v>0.11030134736264567</v>
      </c>
      <c r="CW388" s="24" t="str">
        <f>"0"</f>
        <v>0</v>
      </c>
      <c r="CX388" t="str">
        <f ca="1">IF((OFFSET($A$1, 388 - 1, 100 - 1)) &gt;= (OFFSET($A$1, 79 - 1, 7 - 1)), "1","0")</f>
        <v>0</v>
      </c>
      <c r="CY388">
        <f ca="1" xml:space="preserve"> IF( AND( OFFSET($A$1, 388 - 1, 101 - 1) = "1", OFFSET($A$1, 388 - 1, 102 - 1) = "1" ), 1, IF( AND( OFFSET($A$1, 388 - 1, 101 - 1) = "1", OFFSET($A$1, 388 - 1, 102 - 1) = "0" ), 2, IF( AND( OFFSET($A$1, 388 - 1, 101 - 1) = "0", OFFSET($A$1, 388 - 1, 102 - 1) = "1" ), 3, 4 ) ) )</f>
        <v>4</v>
      </c>
    </row>
    <row r="389" spans="95:103" ht="13.8" x14ac:dyDescent="0.3">
      <c r="CQ389" s="24">
        <v>0.99275387688497296</v>
      </c>
      <c r="CR389" s="24" t="str">
        <f t="shared" si="32"/>
        <v>1</v>
      </c>
      <c r="CS389" t="str">
        <f ca="1">IF((OFFSET($A$1, 389 - 1, 95 - 1)) &gt;= (OFFSET($A$1, 55 - 1, 7 - 1)), "1","0")</f>
        <v>1</v>
      </c>
      <c r="CT389">
        <f ca="1" xml:space="preserve"> IF( AND( OFFSET($A$1, 389 - 1, 96 - 1) = "1", OFFSET($A$1, 389 - 1, 97 - 1) = "1" ), 1, IF( AND( OFFSET($A$1, 389 - 1, 96 - 1) = "1", OFFSET($A$1, 389 - 1, 97 - 1) = "0" ), 2, IF( AND( OFFSET($A$1, 389 - 1, 96 - 1) = "0", OFFSET($A$1, 389 - 1, 97 - 1) = "1" ), 3, 4 ) ) )</f>
        <v>1</v>
      </c>
      <c r="CV389" s="24">
        <v>0.9993863248278344</v>
      </c>
      <c r="CW389" s="24" t="str">
        <f>"1"</f>
        <v>1</v>
      </c>
      <c r="CX389" t="str">
        <f ca="1">IF((OFFSET($A$1, 389 - 1, 100 - 1)) &gt;= (OFFSET($A$1, 79 - 1, 7 - 1)), "1","0")</f>
        <v>1</v>
      </c>
      <c r="CY389">
        <f ca="1" xml:space="preserve"> IF( AND( OFFSET($A$1, 389 - 1, 101 - 1) = "1", OFFSET($A$1, 389 - 1, 102 - 1) = "1" ), 1, IF( AND( OFFSET($A$1, 389 - 1, 101 - 1) = "1", OFFSET($A$1, 389 - 1, 102 - 1) = "0" ), 2, IF( AND( OFFSET($A$1, 389 - 1, 101 - 1) = "0", OFFSET($A$1, 389 - 1, 102 - 1) = "1" ), 3, 4 ) ) )</f>
        <v>1</v>
      </c>
    </row>
    <row r="390" spans="95:103" ht="13.8" x14ac:dyDescent="0.3">
      <c r="CQ390" s="24">
        <v>0.92947292235646151</v>
      </c>
      <c r="CR390" s="24" t="str">
        <f t="shared" si="32"/>
        <v>1</v>
      </c>
      <c r="CS390" t="str">
        <f ca="1">IF((OFFSET($A$1, 390 - 1, 95 - 1)) &gt;= (OFFSET($A$1, 55 - 1, 7 - 1)), "1","0")</f>
        <v>1</v>
      </c>
      <c r="CT390">
        <f ca="1" xml:space="preserve"> IF( AND( OFFSET($A$1, 390 - 1, 96 - 1) = "1", OFFSET($A$1, 390 - 1, 97 - 1) = "1" ), 1, IF( AND( OFFSET($A$1, 390 - 1, 96 - 1) = "1", OFFSET($A$1, 390 - 1, 97 - 1) = "0" ), 2, IF( AND( OFFSET($A$1, 390 - 1, 96 - 1) = "0", OFFSET($A$1, 390 - 1, 97 - 1) = "1" ), 3, 4 ) ) )</f>
        <v>1</v>
      </c>
      <c r="CV390" s="24">
        <v>9.1932185204632921E-2</v>
      </c>
      <c r="CW390" s="24" t="str">
        <f>"0"</f>
        <v>0</v>
      </c>
      <c r="CX390" t="str">
        <f ca="1">IF((OFFSET($A$1, 390 - 1, 100 - 1)) &gt;= (OFFSET($A$1, 79 - 1, 7 - 1)), "1","0")</f>
        <v>0</v>
      </c>
      <c r="CY390">
        <f ca="1" xml:space="preserve"> IF( AND( OFFSET($A$1, 390 - 1, 101 - 1) = "1", OFFSET($A$1, 390 - 1, 102 - 1) = "1" ), 1, IF( AND( OFFSET($A$1, 390 - 1, 101 - 1) = "1", OFFSET($A$1, 390 - 1, 102 - 1) = "0" ), 2, IF( AND( OFFSET($A$1, 390 - 1, 101 - 1) = "0", OFFSET($A$1, 390 - 1, 102 - 1) = "1" ), 3, 4 ) ) )</f>
        <v>4</v>
      </c>
    </row>
    <row r="391" spans="95:103" ht="13.8" x14ac:dyDescent="0.3">
      <c r="CQ391" s="24">
        <v>0.99925948938903841</v>
      </c>
      <c r="CR391" s="24" t="str">
        <f t="shared" si="32"/>
        <v>1</v>
      </c>
      <c r="CS391" t="str">
        <f ca="1">IF((OFFSET($A$1, 391 - 1, 95 - 1)) &gt;= (OFFSET($A$1, 55 - 1, 7 - 1)), "1","0")</f>
        <v>1</v>
      </c>
      <c r="CT391">
        <f ca="1" xml:space="preserve"> IF( AND( OFFSET($A$1, 391 - 1, 96 - 1) = "1", OFFSET($A$1, 391 - 1, 97 - 1) = "1" ), 1, IF( AND( OFFSET($A$1, 391 - 1, 96 - 1) = "1", OFFSET($A$1, 391 - 1, 97 - 1) = "0" ), 2, IF( AND( OFFSET($A$1, 391 - 1, 96 - 1) = "0", OFFSET($A$1, 391 - 1, 97 - 1) = "1" ), 3, 4 ) ) )</f>
        <v>1</v>
      </c>
      <c r="CV391" s="24">
        <v>0.98490081561898557</v>
      </c>
      <c r="CW391" s="24" t="str">
        <f>"1"</f>
        <v>1</v>
      </c>
      <c r="CX391" t="str">
        <f ca="1">IF((OFFSET($A$1, 391 - 1, 100 - 1)) &gt;= (OFFSET($A$1, 79 - 1, 7 - 1)), "1","0")</f>
        <v>1</v>
      </c>
      <c r="CY391">
        <f ca="1" xml:space="preserve"> IF( AND( OFFSET($A$1, 391 - 1, 101 - 1) = "1", OFFSET($A$1, 391 - 1, 102 - 1) = "1" ), 1, IF( AND( OFFSET($A$1, 391 - 1, 101 - 1) = "1", OFFSET($A$1, 391 - 1, 102 - 1) = "0" ), 2, IF( AND( OFFSET($A$1, 391 - 1, 101 - 1) = "0", OFFSET($A$1, 391 - 1, 102 - 1) = "1" ), 3, 4 ) ) )</f>
        <v>1</v>
      </c>
    </row>
    <row r="392" spans="95:103" ht="13.8" x14ac:dyDescent="0.3">
      <c r="CQ392" s="24">
        <v>0.99803616756603197</v>
      </c>
      <c r="CR392" s="24" t="str">
        <f t="shared" si="32"/>
        <v>1</v>
      </c>
      <c r="CS392" t="str">
        <f ca="1">IF((OFFSET($A$1, 392 - 1, 95 - 1)) &gt;= (OFFSET($A$1, 55 - 1, 7 - 1)), "1","0")</f>
        <v>1</v>
      </c>
      <c r="CT392">
        <f ca="1" xml:space="preserve"> IF( AND( OFFSET($A$1, 392 - 1, 96 - 1) = "1", OFFSET($A$1, 392 - 1, 97 - 1) = "1" ), 1, IF( AND( OFFSET($A$1, 392 - 1, 96 - 1) = "1", OFFSET($A$1, 392 - 1, 97 - 1) = "0" ), 2, IF( AND( OFFSET($A$1, 392 - 1, 96 - 1) = "0", OFFSET($A$1, 392 - 1, 97 - 1) = "1" ), 3, 4 ) ) )</f>
        <v>1</v>
      </c>
      <c r="CV392" s="24">
        <v>0.99768180056385702</v>
      </c>
      <c r="CW392" s="24" t="str">
        <f>"1"</f>
        <v>1</v>
      </c>
      <c r="CX392" t="str">
        <f ca="1">IF((OFFSET($A$1, 392 - 1, 100 - 1)) &gt;= (OFFSET($A$1, 79 - 1, 7 - 1)), "1","0")</f>
        <v>1</v>
      </c>
      <c r="CY392">
        <f ca="1" xml:space="preserve"> IF( AND( OFFSET($A$1, 392 - 1, 101 - 1) = "1", OFFSET($A$1, 392 - 1, 102 - 1) = "1" ), 1, IF( AND( OFFSET($A$1, 392 - 1, 101 - 1) = "1", OFFSET($A$1, 392 - 1, 102 - 1) = "0" ), 2, IF( AND( OFFSET($A$1, 392 - 1, 101 - 1) = "0", OFFSET($A$1, 392 - 1, 102 - 1) = "1" ), 3, 4 ) ) )</f>
        <v>1</v>
      </c>
    </row>
    <row r="393" spans="95:103" ht="13.8" x14ac:dyDescent="0.3">
      <c r="CQ393" s="24">
        <v>6.7931871857044954E-2</v>
      </c>
      <c r="CR393" s="24" t="str">
        <f>"0"</f>
        <v>0</v>
      </c>
      <c r="CS393" t="str">
        <f ca="1">IF((OFFSET($A$1, 393 - 1, 95 - 1)) &gt;= (OFFSET($A$1, 55 - 1, 7 - 1)), "1","0")</f>
        <v>0</v>
      </c>
      <c r="CT393">
        <f ca="1" xml:space="preserve"> IF( AND( OFFSET($A$1, 393 - 1, 96 - 1) = "1", OFFSET($A$1, 393 - 1, 97 - 1) = "1" ), 1, IF( AND( OFFSET($A$1, 393 - 1, 96 - 1) = "1", OFFSET($A$1, 393 - 1, 97 - 1) = "0" ), 2, IF( AND( OFFSET($A$1, 393 - 1, 96 - 1) = "0", OFFSET($A$1, 393 - 1, 97 - 1) = "1" ), 3, 4 ) ) )</f>
        <v>4</v>
      </c>
      <c r="CV393" s="24">
        <v>0.99089014241421536</v>
      </c>
      <c r="CW393" s="24" t="str">
        <f>"0"</f>
        <v>0</v>
      </c>
      <c r="CX393" t="str">
        <f ca="1">IF((OFFSET($A$1, 393 - 1, 100 - 1)) &gt;= (OFFSET($A$1, 79 - 1, 7 - 1)), "1","0")</f>
        <v>1</v>
      </c>
      <c r="CY393">
        <f ca="1" xml:space="preserve"> IF( AND( OFFSET($A$1, 393 - 1, 101 - 1) = "1", OFFSET($A$1, 393 - 1, 102 - 1) = "1" ), 1, IF( AND( OFFSET($A$1, 393 - 1, 101 - 1) = "1", OFFSET($A$1, 393 - 1, 102 - 1) = "0" ), 2, IF( AND( OFFSET($A$1, 393 - 1, 101 - 1) = "0", OFFSET($A$1, 393 - 1, 102 - 1) = "1" ), 3, 4 ) ) )</f>
        <v>3</v>
      </c>
    </row>
    <row r="394" spans="95:103" ht="13.8" x14ac:dyDescent="0.3">
      <c r="CQ394" s="24">
        <v>0.98669592712149545</v>
      </c>
      <c r="CR394" s="24" t="str">
        <f>"1"</f>
        <v>1</v>
      </c>
      <c r="CS394" t="str">
        <f ca="1">IF((OFFSET($A$1, 394 - 1, 95 - 1)) &gt;= (OFFSET($A$1, 55 - 1, 7 - 1)), "1","0")</f>
        <v>1</v>
      </c>
      <c r="CT394">
        <f ca="1" xml:space="preserve"> IF( AND( OFFSET($A$1, 394 - 1, 96 - 1) = "1", OFFSET($A$1, 394 - 1, 97 - 1) = "1" ), 1, IF( AND( OFFSET($A$1, 394 - 1, 96 - 1) = "1", OFFSET($A$1, 394 - 1, 97 - 1) = "0" ), 2, IF( AND( OFFSET($A$1, 394 - 1, 96 - 1) = "0", OFFSET($A$1, 394 - 1, 97 - 1) = "1" ), 3, 4 ) ) )</f>
        <v>1</v>
      </c>
      <c r="CV394" s="24">
        <v>4.0453036845869705E-2</v>
      </c>
      <c r="CW394" s="24" t="str">
        <f>"1"</f>
        <v>1</v>
      </c>
      <c r="CX394" t="str">
        <f ca="1">IF((OFFSET($A$1, 394 - 1, 100 - 1)) &gt;= (OFFSET($A$1, 79 - 1, 7 - 1)), "1","0")</f>
        <v>0</v>
      </c>
      <c r="CY394">
        <f ca="1" xml:space="preserve"> IF( AND( OFFSET($A$1, 394 - 1, 101 - 1) = "1", OFFSET($A$1, 394 - 1, 102 - 1) = "1" ), 1, IF( AND( OFFSET($A$1, 394 - 1, 101 - 1) = "1", OFFSET($A$1, 394 - 1, 102 - 1) = "0" ), 2, IF( AND( OFFSET($A$1, 394 - 1, 101 - 1) = "0", OFFSET($A$1, 394 - 1, 102 - 1) = "1" ), 3, 4 ) ) )</f>
        <v>2</v>
      </c>
    </row>
    <row r="395" spans="95:103" ht="13.8" x14ac:dyDescent="0.3">
      <c r="CQ395" s="24">
        <v>0.96906071299222729</v>
      </c>
      <c r="CR395" s="24" t="str">
        <f>"1"</f>
        <v>1</v>
      </c>
      <c r="CS395" t="str">
        <f ca="1">IF((OFFSET($A$1, 395 - 1, 95 - 1)) &gt;= (OFFSET($A$1, 55 - 1, 7 - 1)), "1","0")</f>
        <v>1</v>
      </c>
      <c r="CT395">
        <f ca="1" xml:space="preserve"> IF( AND( OFFSET($A$1, 395 - 1, 96 - 1) = "1", OFFSET($A$1, 395 - 1, 97 - 1) = "1" ), 1, IF( AND( OFFSET($A$1, 395 - 1, 96 - 1) = "1", OFFSET($A$1, 395 - 1, 97 - 1) = "0" ), 2, IF( AND( OFFSET($A$1, 395 - 1, 96 - 1) = "0", OFFSET($A$1, 395 - 1, 97 - 1) = "1" ), 3, 4 ) ) )</f>
        <v>1</v>
      </c>
      <c r="CV395" s="24">
        <v>2.8012751354350312E-2</v>
      </c>
      <c r="CW395" s="24" t="str">
        <f>"0"</f>
        <v>0</v>
      </c>
      <c r="CX395" t="str">
        <f ca="1">IF((OFFSET($A$1, 395 - 1, 100 - 1)) &gt;= (OFFSET($A$1, 79 - 1, 7 - 1)), "1","0")</f>
        <v>0</v>
      </c>
      <c r="CY395">
        <f ca="1" xml:space="preserve"> IF( AND( OFFSET($A$1, 395 - 1, 101 - 1) = "1", OFFSET($A$1, 395 - 1, 102 - 1) = "1" ), 1, IF( AND( OFFSET($A$1, 395 - 1, 101 - 1) = "1", OFFSET($A$1, 395 - 1, 102 - 1) = "0" ), 2, IF( AND( OFFSET($A$1, 395 - 1, 101 - 1) = "0", OFFSET($A$1, 395 - 1, 102 - 1) = "1" ), 3, 4 ) ) )</f>
        <v>4</v>
      </c>
    </row>
    <row r="396" spans="95:103" ht="13.8" x14ac:dyDescent="0.3">
      <c r="CQ396" s="24">
        <v>0.99248018516643455</v>
      </c>
      <c r="CR396" s="24" t="str">
        <f>"0"</f>
        <v>0</v>
      </c>
      <c r="CS396" t="str">
        <f ca="1">IF((OFFSET($A$1, 396 - 1, 95 - 1)) &gt;= (OFFSET($A$1, 55 - 1, 7 - 1)), "1","0")</f>
        <v>1</v>
      </c>
      <c r="CT396">
        <f ca="1" xml:space="preserve"> IF( AND( OFFSET($A$1, 396 - 1, 96 - 1) = "1", OFFSET($A$1, 396 - 1, 97 - 1) = "1" ), 1, IF( AND( OFFSET($A$1, 396 - 1, 96 - 1) = "1", OFFSET($A$1, 396 - 1, 97 - 1) = "0" ), 2, IF( AND( OFFSET($A$1, 396 - 1, 96 - 1) = "0", OFFSET($A$1, 396 - 1, 97 - 1) = "1" ), 3, 4 ) ) )</f>
        <v>3</v>
      </c>
      <c r="CV396" s="24">
        <v>0.99035872798596769</v>
      </c>
      <c r="CW396" s="24" t="str">
        <f>"1"</f>
        <v>1</v>
      </c>
      <c r="CX396" t="str">
        <f ca="1">IF((OFFSET($A$1, 396 - 1, 100 - 1)) &gt;= (OFFSET($A$1, 79 - 1, 7 - 1)), "1","0")</f>
        <v>1</v>
      </c>
      <c r="CY396">
        <f ca="1" xml:space="preserve"> IF( AND( OFFSET($A$1, 396 - 1, 101 - 1) = "1", OFFSET($A$1, 396 - 1, 102 - 1) = "1" ), 1, IF( AND( OFFSET($A$1, 396 - 1, 101 - 1) = "1", OFFSET($A$1, 396 - 1, 102 - 1) = "0" ), 2, IF( AND( OFFSET($A$1, 396 - 1, 101 - 1) = "0", OFFSET($A$1, 396 - 1, 102 - 1) = "1" ), 3, 4 ) ) )</f>
        <v>1</v>
      </c>
    </row>
    <row r="397" spans="95:103" ht="13.8" x14ac:dyDescent="0.3">
      <c r="CQ397" s="24">
        <v>0.99744275166095042</v>
      </c>
      <c r="CR397" s="24" t="str">
        <f>"1"</f>
        <v>1</v>
      </c>
      <c r="CS397" t="str">
        <f ca="1">IF((OFFSET($A$1, 397 - 1, 95 - 1)) &gt;= (OFFSET($A$1, 55 - 1, 7 - 1)), "1","0")</f>
        <v>1</v>
      </c>
      <c r="CT397">
        <f ca="1" xml:space="preserve"> IF( AND( OFFSET($A$1, 397 - 1, 96 - 1) = "1", OFFSET($A$1, 397 - 1, 97 - 1) = "1" ), 1, IF( AND( OFFSET($A$1, 397 - 1, 96 - 1) = "1", OFFSET($A$1, 397 - 1, 97 - 1) = "0" ), 2, IF( AND( OFFSET($A$1, 397 - 1, 96 - 1) = "0", OFFSET($A$1, 397 - 1, 97 - 1) = "1" ), 3, 4 ) ) )</f>
        <v>1</v>
      </c>
      <c r="CV397" s="24">
        <v>0.98407310485909005</v>
      </c>
      <c r="CW397" s="24" t="str">
        <f>"1"</f>
        <v>1</v>
      </c>
      <c r="CX397" t="str">
        <f ca="1">IF((OFFSET($A$1, 397 - 1, 100 - 1)) &gt;= (OFFSET($A$1, 79 - 1, 7 - 1)), "1","0")</f>
        <v>1</v>
      </c>
      <c r="CY397">
        <f ca="1" xml:space="preserve"> IF( AND( OFFSET($A$1, 397 - 1, 101 - 1) = "1", OFFSET($A$1, 397 - 1, 102 - 1) = "1" ), 1, IF( AND( OFFSET($A$1, 397 - 1, 101 - 1) = "1", OFFSET($A$1, 397 - 1, 102 - 1) = "0" ), 2, IF( AND( OFFSET($A$1, 397 - 1, 101 - 1) = "0", OFFSET($A$1, 397 - 1, 102 - 1) = "1" ), 3, 4 ) ) )</f>
        <v>1</v>
      </c>
    </row>
    <row r="398" spans="95:103" ht="13.8" x14ac:dyDescent="0.3">
      <c r="CQ398" s="24">
        <v>6.8586718937180657E-2</v>
      </c>
      <c r="CR398" s="24" t="str">
        <f>"0"</f>
        <v>0</v>
      </c>
      <c r="CS398" t="str">
        <f ca="1">IF((OFFSET($A$1, 398 - 1, 95 - 1)) &gt;= (OFFSET($A$1, 55 - 1, 7 - 1)), "1","0")</f>
        <v>0</v>
      </c>
      <c r="CT398">
        <f ca="1" xml:space="preserve"> IF( AND( OFFSET($A$1, 398 - 1, 96 - 1) = "1", OFFSET($A$1, 398 - 1, 97 - 1) = "1" ), 1, IF( AND( OFFSET($A$1, 398 - 1, 96 - 1) = "1", OFFSET($A$1, 398 - 1, 97 - 1) = "0" ), 2, IF( AND( OFFSET($A$1, 398 - 1, 96 - 1) = "0", OFFSET($A$1, 398 - 1, 97 - 1) = "1" ), 3, 4 ) ) )</f>
        <v>4</v>
      </c>
      <c r="CV398" s="24">
        <v>0.99901465039342574</v>
      </c>
      <c r="CW398" s="24" t="str">
        <f>"1"</f>
        <v>1</v>
      </c>
      <c r="CX398" t="str">
        <f ca="1">IF((OFFSET($A$1, 398 - 1, 100 - 1)) &gt;= (OFFSET($A$1, 79 - 1, 7 - 1)), "1","0")</f>
        <v>1</v>
      </c>
      <c r="CY398">
        <f ca="1" xml:space="preserve"> IF( AND( OFFSET($A$1, 398 - 1, 101 - 1) = "1", OFFSET($A$1, 398 - 1, 102 - 1) = "1" ), 1, IF( AND( OFFSET($A$1, 398 - 1, 101 - 1) = "1", OFFSET($A$1, 398 - 1, 102 - 1) = "0" ), 2, IF( AND( OFFSET($A$1, 398 - 1, 101 - 1) = "0", OFFSET($A$1, 398 - 1, 102 - 1) = "1" ), 3, 4 ) ) )</f>
        <v>1</v>
      </c>
    </row>
    <row r="399" spans="95:103" ht="13.8" x14ac:dyDescent="0.3">
      <c r="CQ399" s="24">
        <v>0.88928806607318389</v>
      </c>
      <c r="CR399" s="24" t="str">
        <f>"0"</f>
        <v>0</v>
      </c>
      <c r="CS399" t="str">
        <f ca="1">IF((OFFSET($A$1, 399 - 1, 95 - 1)) &gt;= (OFFSET($A$1, 55 - 1, 7 - 1)), "1","0")</f>
        <v>1</v>
      </c>
      <c r="CT399">
        <f ca="1" xml:space="preserve"> IF( AND( OFFSET($A$1, 399 - 1, 96 - 1) = "1", OFFSET($A$1, 399 - 1, 97 - 1) = "1" ), 1, IF( AND( OFFSET($A$1, 399 - 1, 96 - 1) = "1", OFFSET($A$1, 399 - 1, 97 - 1) = "0" ), 2, IF( AND( OFFSET($A$1, 399 - 1, 96 - 1) = "0", OFFSET($A$1, 399 - 1, 97 - 1) = "1" ), 3, 4 ) ) )</f>
        <v>3</v>
      </c>
      <c r="CV399" s="24">
        <v>0.98609113164985951</v>
      </c>
      <c r="CW399" s="24" t="str">
        <f>"0"</f>
        <v>0</v>
      </c>
      <c r="CX399" t="str">
        <f ca="1">IF((OFFSET($A$1, 399 - 1, 100 - 1)) &gt;= (OFFSET($A$1, 79 - 1, 7 - 1)), "1","0")</f>
        <v>1</v>
      </c>
      <c r="CY399">
        <f ca="1" xml:space="preserve"> IF( AND( OFFSET($A$1, 399 - 1, 101 - 1) = "1", OFFSET($A$1, 399 - 1, 102 - 1) = "1" ), 1, IF( AND( OFFSET($A$1, 399 - 1, 101 - 1) = "1", OFFSET($A$1, 399 - 1, 102 - 1) = "0" ), 2, IF( AND( OFFSET($A$1, 399 - 1, 101 - 1) = "0", OFFSET($A$1, 399 - 1, 102 - 1) = "1" ), 3, 4 ) ) )</f>
        <v>3</v>
      </c>
    </row>
    <row r="400" spans="95:103" ht="13.8" x14ac:dyDescent="0.3">
      <c r="CQ400" s="24">
        <v>4.8518818223489843E-2</v>
      </c>
      <c r="CR400" s="24" t="str">
        <f>"0"</f>
        <v>0</v>
      </c>
      <c r="CS400" t="str">
        <f ca="1">IF((OFFSET($A$1, 400 - 1, 95 - 1)) &gt;= (OFFSET($A$1, 55 - 1, 7 - 1)), "1","0")</f>
        <v>0</v>
      </c>
      <c r="CT400">
        <f ca="1" xml:space="preserve"> IF( AND( OFFSET($A$1, 400 - 1, 96 - 1) = "1", OFFSET($A$1, 400 - 1, 97 - 1) = "1" ), 1, IF( AND( OFFSET($A$1, 400 - 1, 96 - 1) = "1", OFFSET($A$1, 400 - 1, 97 - 1) = "0" ), 2, IF( AND( OFFSET($A$1, 400 - 1, 96 - 1) = "0", OFFSET($A$1, 400 - 1, 97 - 1) = "1" ), 3, 4 ) ) )</f>
        <v>4</v>
      </c>
      <c r="CV400" s="24">
        <v>0.84005666768497711</v>
      </c>
      <c r="CW400" s="24" t="str">
        <f>"1"</f>
        <v>1</v>
      </c>
      <c r="CX400" t="str">
        <f ca="1">IF((OFFSET($A$1, 400 - 1, 100 - 1)) &gt;= (OFFSET($A$1, 79 - 1, 7 - 1)), "1","0")</f>
        <v>1</v>
      </c>
      <c r="CY400">
        <f ca="1" xml:space="preserve"> IF( AND( OFFSET($A$1, 400 - 1, 101 - 1) = "1", OFFSET($A$1, 400 - 1, 102 - 1) = "1" ), 1, IF( AND( OFFSET($A$1, 400 - 1, 101 - 1) = "1", OFFSET($A$1, 400 - 1, 102 - 1) = "0" ), 2, IF( AND( OFFSET($A$1, 400 - 1, 101 - 1) = "0", OFFSET($A$1, 400 - 1, 102 - 1) = "1" ), 3, 4 ) ) )</f>
        <v>1</v>
      </c>
    </row>
    <row r="401" spans="95:98" ht="13.8" x14ac:dyDescent="0.3">
      <c r="CQ401" s="24">
        <v>0.89928380470286851</v>
      </c>
      <c r="CR401" s="24" t="str">
        <f>"1"</f>
        <v>1</v>
      </c>
      <c r="CS401" t="str">
        <f ca="1">IF((OFFSET($A$1, 401 - 1, 95 - 1)) &gt;= (OFFSET($A$1, 55 - 1, 7 - 1)), "1","0")</f>
        <v>1</v>
      </c>
      <c r="CT401">
        <f ca="1" xml:space="preserve"> IF( AND( OFFSET($A$1, 401 - 1, 96 - 1) = "1", OFFSET($A$1, 401 - 1, 97 - 1) = "1" ), 1, IF( AND( OFFSET($A$1, 401 - 1, 96 - 1) = "1", OFFSET($A$1, 401 - 1, 97 - 1) = "0" ), 2, IF( AND( OFFSET($A$1, 401 - 1, 96 - 1) = "0", OFFSET($A$1, 401 - 1, 97 - 1) = "1" ), 3, 4 ) ) )</f>
        <v>1</v>
      </c>
    </row>
    <row r="402" spans="95:98" ht="13.8" x14ac:dyDescent="0.3">
      <c r="CQ402" s="24">
        <v>0.99638110057043416</v>
      </c>
      <c r="CR402" s="24" t="str">
        <f>"1"</f>
        <v>1</v>
      </c>
      <c r="CS402" t="str">
        <f ca="1">IF((OFFSET($A$1, 402 - 1, 95 - 1)) &gt;= (OFFSET($A$1, 55 - 1, 7 - 1)), "1","0")</f>
        <v>1</v>
      </c>
      <c r="CT402">
        <f ca="1" xml:space="preserve"> IF( AND( OFFSET($A$1, 402 - 1, 96 - 1) = "1", OFFSET($A$1, 402 - 1, 97 - 1) = "1" ), 1, IF( AND( OFFSET($A$1, 402 - 1, 96 - 1) = "1", OFFSET($A$1, 402 - 1, 97 - 1) = "0" ), 2, IF( AND( OFFSET($A$1, 402 - 1, 96 - 1) = "0", OFFSET($A$1, 402 - 1, 97 - 1) = "1" ), 3, 4 ) ) )</f>
        <v>1</v>
      </c>
    </row>
    <row r="403" spans="95:98" ht="13.8" x14ac:dyDescent="0.3">
      <c r="CQ403" s="24">
        <v>0.99879299671302402</v>
      </c>
      <c r="CR403" s="24" t="str">
        <f>"1"</f>
        <v>1</v>
      </c>
      <c r="CS403" t="str">
        <f ca="1">IF((OFFSET($A$1, 403 - 1, 95 - 1)) &gt;= (OFFSET($A$1, 55 - 1, 7 - 1)), "1","0")</f>
        <v>1</v>
      </c>
      <c r="CT403">
        <f ca="1" xml:space="preserve"> IF( AND( OFFSET($A$1, 403 - 1, 96 - 1) = "1", OFFSET($A$1, 403 - 1, 97 - 1) = "1" ), 1, IF( AND( OFFSET($A$1, 403 - 1, 96 - 1) = "1", OFFSET($A$1, 403 - 1, 97 - 1) = "0" ), 2, IF( AND( OFFSET($A$1, 403 - 1, 96 - 1) = "0", OFFSET($A$1, 403 - 1, 97 - 1) = "1" ), 3, 4 ) ) )</f>
        <v>1</v>
      </c>
    </row>
    <row r="404" spans="95:98" ht="13.8" x14ac:dyDescent="0.3">
      <c r="CQ404" s="24">
        <v>3.1389933289331783E-2</v>
      </c>
      <c r="CR404" s="24" t="str">
        <f>"1"</f>
        <v>1</v>
      </c>
      <c r="CS404" t="str">
        <f ca="1">IF((OFFSET($A$1, 404 - 1, 95 - 1)) &gt;= (OFFSET($A$1, 55 - 1, 7 - 1)), "1","0")</f>
        <v>0</v>
      </c>
      <c r="CT404">
        <f ca="1" xml:space="preserve"> IF( AND( OFFSET($A$1, 404 - 1, 96 - 1) = "1", OFFSET($A$1, 404 - 1, 97 - 1) = "1" ), 1, IF( AND( OFFSET($A$1, 404 - 1, 96 - 1) = "1", OFFSET($A$1, 404 - 1, 97 - 1) = "0" ), 2, IF( AND( OFFSET($A$1, 404 - 1, 96 - 1) = "0", OFFSET($A$1, 404 - 1, 97 - 1) = "1" ), 3, 4 ) ) )</f>
        <v>2</v>
      </c>
    </row>
    <row r="405" spans="95:98" ht="13.8" x14ac:dyDescent="0.3">
      <c r="CQ405" s="24">
        <v>0.29345993665435133</v>
      </c>
      <c r="CR405" s="24" t="str">
        <f>"0"</f>
        <v>0</v>
      </c>
      <c r="CS405" t="str">
        <f ca="1">IF((OFFSET($A$1, 405 - 1, 95 - 1)) &gt;= (OFFSET($A$1, 55 - 1, 7 - 1)), "1","0")</f>
        <v>0</v>
      </c>
      <c r="CT405">
        <f ca="1" xml:space="preserve"> IF( AND( OFFSET($A$1, 405 - 1, 96 - 1) = "1", OFFSET($A$1, 405 - 1, 97 - 1) = "1" ), 1, IF( AND( OFFSET($A$1, 405 - 1, 96 - 1) = "1", OFFSET($A$1, 405 - 1, 97 - 1) = "0" ), 2, IF( AND( OFFSET($A$1, 405 - 1, 96 - 1) = "0", OFFSET($A$1, 405 - 1, 97 - 1) = "1" ), 3, 4 ) ) )</f>
        <v>4</v>
      </c>
    </row>
    <row r="406" spans="95:98" ht="13.8" x14ac:dyDescent="0.3">
      <c r="CQ406" s="24">
        <v>0.98734084669915623</v>
      </c>
      <c r="CR406" s="24" t="str">
        <f>"1"</f>
        <v>1</v>
      </c>
      <c r="CS406" t="str">
        <f ca="1">IF((OFFSET($A$1, 406 - 1, 95 - 1)) &gt;= (OFFSET($A$1, 55 - 1, 7 - 1)), "1","0")</f>
        <v>1</v>
      </c>
      <c r="CT406">
        <f ca="1" xml:space="preserve"> IF( AND( OFFSET($A$1, 406 - 1, 96 - 1) = "1", OFFSET($A$1, 406 - 1, 97 - 1) = "1" ), 1, IF( AND( OFFSET($A$1, 406 - 1, 96 - 1) = "1", OFFSET($A$1, 406 - 1, 97 - 1) = "0" ), 2, IF( AND( OFFSET($A$1, 406 - 1, 96 - 1) = "0", OFFSET($A$1, 406 - 1, 97 - 1) = "1" ), 3, 4 ) ) )</f>
        <v>1</v>
      </c>
    </row>
    <row r="407" spans="95:98" ht="13.8" x14ac:dyDescent="0.3">
      <c r="CQ407" s="24">
        <v>9.0395789077053715E-2</v>
      </c>
      <c r="CR407" s="24" t="str">
        <f>"0"</f>
        <v>0</v>
      </c>
      <c r="CS407" t="str">
        <f ca="1">IF((OFFSET($A$1, 407 - 1, 95 - 1)) &gt;= (OFFSET($A$1, 55 - 1, 7 - 1)), "1","0")</f>
        <v>0</v>
      </c>
      <c r="CT407">
        <f ca="1" xml:space="preserve"> IF( AND( OFFSET($A$1, 407 - 1, 96 - 1) = "1", OFFSET($A$1, 407 - 1, 97 - 1) = "1" ), 1, IF( AND( OFFSET($A$1, 407 - 1, 96 - 1) = "1", OFFSET($A$1, 407 - 1, 97 - 1) = "0" ), 2, IF( AND( OFFSET($A$1, 407 - 1, 96 - 1) = "0", OFFSET($A$1, 407 - 1, 97 - 1) = "1" ), 3, 4 ) ) )</f>
        <v>4</v>
      </c>
    </row>
    <row r="408" spans="95:98" ht="13.8" x14ac:dyDescent="0.3">
      <c r="CQ408" s="24">
        <v>7.4940378519585155E-2</v>
      </c>
      <c r="CR408" s="24" t="str">
        <f>"0"</f>
        <v>0</v>
      </c>
      <c r="CS408" t="str">
        <f ca="1">IF((OFFSET($A$1, 408 - 1, 95 - 1)) &gt;= (OFFSET($A$1, 55 - 1, 7 - 1)), "1","0")</f>
        <v>0</v>
      </c>
      <c r="CT408">
        <f ca="1" xml:space="preserve"> IF( AND( OFFSET($A$1, 408 - 1, 96 - 1) = "1", OFFSET($A$1, 408 - 1, 97 - 1) = "1" ), 1, IF( AND( OFFSET($A$1, 408 - 1, 96 - 1) = "1", OFFSET($A$1, 408 - 1, 97 - 1) = "0" ), 2, IF( AND( OFFSET($A$1, 408 - 1, 96 - 1) = "0", OFFSET($A$1, 408 - 1, 97 - 1) = "1" ), 3, 4 ) ) )</f>
        <v>4</v>
      </c>
    </row>
    <row r="409" spans="95:98" ht="13.8" x14ac:dyDescent="0.3">
      <c r="CQ409" s="24">
        <v>0.99865450026855396</v>
      </c>
      <c r="CR409" s="24" t="str">
        <f>"1"</f>
        <v>1</v>
      </c>
      <c r="CS409" t="str">
        <f ca="1">IF((OFFSET($A$1, 409 - 1, 95 - 1)) &gt;= (OFFSET($A$1, 55 - 1, 7 - 1)), "1","0")</f>
        <v>1</v>
      </c>
      <c r="CT409">
        <f ca="1" xml:space="preserve"> IF( AND( OFFSET($A$1, 409 - 1, 96 - 1) = "1", OFFSET($A$1, 409 - 1, 97 - 1) = "1" ), 1, IF( AND( OFFSET($A$1, 409 - 1, 96 - 1) = "1", OFFSET($A$1, 409 - 1, 97 - 1) = "0" ), 2, IF( AND( OFFSET($A$1, 409 - 1, 96 - 1) = "0", OFFSET($A$1, 409 - 1, 97 - 1) = "1" ), 3, 4 ) ) )</f>
        <v>1</v>
      </c>
    </row>
    <row r="410" spans="95:98" ht="13.8" x14ac:dyDescent="0.3">
      <c r="CQ410" s="24">
        <v>0.1187674354367072</v>
      </c>
      <c r="CR410" s="24" t="str">
        <f>"0"</f>
        <v>0</v>
      </c>
      <c r="CS410" t="str">
        <f ca="1">IF((OFFSET($A$1, 410 - 1, 95 - 1)) &gt;= (OFFSET($A$1, 55 - 1, 7 - 1)), "1","0")</f>
        <v>0</v>
      </c>
      <c r="CT410">
        <f ca="1" xml:space="preserve"> IF( AND( OFFSET($A$1, 410 - 1, 96 - 1) = "1", OFFSET($A$1, 410 - 1, 97 - 1) = "1" ), 1, IF( AND( OFFSET($A$1, 410 - 1, 96 - 1) = "1", OFFSET($A$1, 410 - 1, 97 - 1) = "0" ), 2, IF( AND( OFFSET($A$1, 410 - 1, 96 - 1) = "0", OFFSET($A$1, 410 - 1, 97 - 1) = "1" ), 3, 4 ) ) )</f>
        <v>4</v>
      </c>
    </row>
    <row r="411" spans="95:98" ht="13.8" x14ac:dyDescent="0.3">
      <c r="CQ411" s="24">
        <v>0.99600429890706899</v>
      </c>
      <c r="CR411" s="24" t="str">
        <f>"1"</f>
        <v>1</v>
      </c>
      <c r="CS411" t="str">
        <f ca="1">IF((OFFSET($A$1, 411 - 1, 95 - 1)) &gt;= (OFFSET($A$1, 55 - 1, 7 - 1)), "1","0")</f>
        <v>1</v>
      </c>
      <c r="CT411">
        <f ca="1" xml:space="preserve"> IF( AND( OFFSET($A$1, 411 - 1, 96 - 1) = "1", OFFSET($A$1, 411 - 1, 97 - 1) = "1" ), 1, IF( AND( OFFSET($A$1, 411 - 1, 96 - 1) = "1", OFFSET($A$1, 411 - 1, 97 - 1) = "0" ), 2, IF( AND( OFFSET($A$1, 411 - 1, 96 - 1) = "0", OFFSET($A$1, 411 - 1, 97 - 1) = "1" ), 3, 4 ) ) )</f>
        <v>1</v>
      </c>
    </row>
    <row r="412" spans="95:98" ht="13.8" x14ac:dyDescent="0.3">
      <c r="CQ412" s="24">
        <v>0.9903685934822547</v>
      </c>
      <c r="CR412" s="24" t="str">
        <f>"1"</f>
        <v>1</v>
      </c>
      <c r="CS412" t="str">
        <f ca="1">IF((OFFSET($A$1, 412 - 1, 95 - 1)) &gt;= (OFFSET($A$1, 55 - 1, 7 - 1)), "1","0")</f>
        <v>1</v>
      </c>
      <c r="CT412">
        <f ca="1" xml:space="preserve"> IF( AND( OFFSET($A$1, 412 - 1, 96 - 1) = "1", OFFSET($A$1, 412 - 1, 97 - 1) = "1" ), 1, IF( AND( OFFSET($A$1, 412 - 1, 96 - 1) = "1", OFFSET($A$1, 412 - 1, 97 - 1) = "0" ), 2, IF( AND( OFFSET($A$1, 412 - 1, 96 - 1) = "0", OFFSET($A$1, 412 - 1, 97 - 1) = "1" ), 3, 4 ) ) )</f>
        <v>1</v>
      </c>
    </row>
    <row r="413" spans="95:98" ht="13.8" x14ac:dyDescent="0.3">
      <c r="CQ413" s="24">
        <v>0.16655277360883763</v>
      </c>
      <c r="CR413" s="24" t="str">
        <f>"0"</f>
        <v>0</v>
      </c>
      <c r="CS413" t="str">
        <f ca="1">IF((OFFSET($A$1, 413 - 1, 95 - 1)) &gt;= (OFFSET($A$1, 55 - 1, 7 - 1)), "1","0")</f>
        <v>0</v>
      </c>
      <c r="CT413">
        <f ca="1" xml:space="preserve"> IF( AND( OFFSET($A$1, 413 - 1, 96 - 1) = "1", OFFSET($A$1, 413 - 1, 97 - 1) = "1" ), 1, IF( AND( OFFSET($A$1, 413 - 1, 96 - 1) = "1", OFFSET($A$1, 413 - 1, 97 - 1) = "0" ), 2, IF( AND( OFFSET($A$1, 413 - 1, 96 - 1) = "0", OFFSET($A$1, 413 - 1, 97 - 1) = "1" ), 3, 4 ) ) )</f>
        <v>4</v>
      </c>
    </row>
    <row r="414" spans="95:98" ht="13.8" x14ac:dyDescent="0.3">
      <c r="CQ414" s="24">
        <v>0.99309115797378111</v>
      </c>
      <c r="CR414" s="24" t="str">
        <f>"1"</f>
        <v>1</v>
      </c>
      <c r="CS414" t="str">
        <f ca="1">IF((OFFSET($A$1, 414 - 1, 95 - 1)) &gt;= (OFFSET($A$1, 55 - 1, 7 - 1)), "1","0")</f>
        <v>1</v>
      </c>
      <c r="CT414">
        <f ca="1" xml:space="preserve"> IF( AND( OFFSET($A$1, 414 - 1, 96 - 1) = "1", OFFSET($A$1, 414 - 1, 97 - 1) = "1" ), 1, IF( AND( OFFSET($A$1, 414 - 1, 96 - 1) = "1", OFFSET($A$1, 414 - 1, 97 - 1) = "0" ), 2, IF( AND( OFFSET($A$1, 414 - 1, 96 - 1) = "0", OFFSET($A$1, 414 - 1, 97 - 1) = "1" ), 3, 4 ) ) )</f>
        <v>1</v>
      </c>
    </row>
    <row r="415" spans="95:98" ht="13.8" x14ac:dyDescent="0.3">
      <c r="CQ415" s="24">
        <v>0.11983290992894866</v>
      </c>
      <c r="CR415" s="24" t="str">
        <f>"0"</f>
        <v>0</v>
      </c>
      <c r="CS415" t="str">
        <f ca="1">IF((OFFSET($A$1, 415 - 1, 95 - 1)) &gt;= (OFFSET($A$1, 55 - 1, 7 - 1)), "1","0")</f>
        <v>0</v>
      </c>
      <c r="CT415">
        <f ca="1" xml:space="preserve"> IF( AND( OFFSET($A$1, 415 - 1, 96 - 1) = "1", OFFSET($A$1, 415 - 1, 97 - 1) = "1" ), 1, IF( AND( OFFSET($A$1, 415 - 1, 96 - 1) = "1", OFFSET($A$1, 415 - 1, 97 - 1) = "0" ), 2, IF( AND( OFFSET($A$1, 415 - 1, 96 - 1) = "0", OFFSET($A$1, 415 - 1, 97 - 1) = "1" ), 3, 4 ) ) )</f>
        <v>4</v>
      </c>
    </row>
    <row r="416" spans="95:98" ht="13.8" x14ac:dyDescent="0.3">
      <c r="CQ416" s="24">
        <v>0.95486381231959416</v>
      </c>
      <c r="CR416" s="24" t="str">
        <f>"1"</f>
        <v>1</v>
      </c>
      <c r="CS416" t="str">
        <f ca="1">IF((OFFSET($A$1, 416 - 1, 95 - 1)) &gt;= (OFFSET($A$1, 55 - 1, 7 - 1)), "1","0")</f>
        <v>1</v>
      </c>
      <c r="CT416">
        <f ca="1" xml:space="preserve"> IF( AND( OFFSET($A$1, 416 - 1, 96 - 1) = "1", OFFSET($A$1, 416 - 1, 97 - 1) = "1" ), 1, IF( AND( OFFSET($A$1, 416 - 1, 96 - 1) = "1", OFFSET($A$1, 416 - 1, 97 - 1) = "0" ), 2, IF( AND( OFFSET($A$1, 416 - 1, 96 - 1) = "0", OFFSET($A$1, 416 - 1, 97 - 1) = "1" ), 3, 4 ) ) )</f>
        <v>1</v>
      </c>
    </row>
    <row r="417" spans="95:98" ht="13.8" x14ac:dyDescent="0.3">
      <c r="CQ417" s="24">
        <v>0.99779864984335642</v>
      </c>
      <c r="CR417" s="24" t="str">
        <f>"1"</f>
        <v>1</v>
      </c>
      <c r="CS417" t="str">
        <f ca="1">IF((OFFSET($A$1, 417 - 1, 95 - 1)) &gt;= (OFFSET($A$1, 55 - 1, 7 - 1)), "1","0")</f>
        <v>1</v>
      </c>
      <c r="CT417">
        <f ca="1" xml:space="preserve"> IF( AND( OFFSET($A$1, 417 - 1, 96 - 1) = "1", OFFSET($A$1, 417 - 1, 97 - 1) = "1" ), 1, IF( AND( OFFSET($A$1, 417 - 1, 96 - 1) = "1", OFFSET($A$1, 417 - 1, 97 - 1) = "0" ), 2, IF( AND( OFFSET($A$1, 417 - 1, 96 - 1) = "0", OFFSET($A$1, 417 - 1, 97 - 1) = "1" ), 3, 4 ) ) )</f>
        <v>1</v>
      </c>
    </row>
    <row r="418" spans="95:98" ht="13.8" x14ac:dyDescent="0.3">
      <c r="CQ418" s="24">
        <v>0.94939926055542323</v>
      </c>
      <c r="CR418" s="24" t="str">
        <f>"1"</f>
        <v>1</v>
      </c>
      <c r="CS418" t="str">
        <f ca="1">IF((OFFSET($A$1, 418 - 1, 95 - 1)) &gt;= (OFFSET($A$1, 55 - 1, 7 - 1)), "1","0")</f>
        <v>1</v>
      </c>
      <c r="CT418">
        <f ca="1" xml:space="preserve"> IF( AND( OFFSET($A$1, 418 - 1, 96 - 1) = "1", OFFSET($A$1, 418 - 1, 97 - 1) = "1" ), 1, IF( AND( OFFSET($A$1, 418 - 1, 96 - 1) = "1", OFFSET($A$1, 418 - 1, 97 - 1) = "0" ), 2, IF( AND( OFFSET($A$1, 418 - 1, 96 - 1) = "0", OFFSET($A$1, 418 - 1, 97 - 1) = "1" ), 3, 4 ) ) )</f>
        <v>1</v>
      </c>
    </row>
    <row r="419" spans="95:98" ht="13.8" x14ac:dyDescent="0.3">
      <c r="CQ419" s="24">
        <v>0.97567265134128245</v>
      </c>
      <c r="CR419" s="24" t="str">
        <f>"1"</f>
        <v>1</v>
      </c>
      <c r="CS419" t="str">
        <f ca="1">IF((OFFSET($A$1, 419 - 1, 95 - 1)) &gt;= (OFFSET($A$1, 55 - 1, 7 - 1)), "1","0")</f>
        <v>1</v>
      </c>
      <c r="CT419">
        <f ca="1" xml:space="preserve"> IF( AND( OFFSET($A$1, 419 - 1, 96 - 1) = "1", OFFSET($A$1, 419 - 1, 97 - 1) = "1" ), 1, IF( AND( OFFSET($A$1, 419 - 1, 96 - 1) = "1", OFFSET($A$1, 419 - 1, 97 - 1) = "0" ), 2, IF( AND( OFFSET($A$1, 419 - 1, 96 - 1) = "0", OFFSET($A$1, 419 - 1, 97 - 1) = "1" ), 3, 4 ) ) )</f>
        <v>1</v>
      </c>
    </row>
    <row r="420" spans="95:98" ht="13.8" x14ac:dyDescent="0.3">
      <c r="CQ420" s="24">
        <v>0.16070035820996123</v>
      </c>
      <c r="CR420" s="24" t="str">
        <f>"0"</f>
        <v>0</v>
      </c>
      <c r="CS420" t="str">
        <f ca="1">IF((OFFSET($A$1, 420 - 1, 95 - 1)) &gt;= (OFFSET($A$1, 55 - 1, 7 - 1)), "1","0")</f>
        <v>0</v>
      </c>
      <c r="CT420">
        <f ca="1" xml:space="preserve"> IF( AND( OFFSET($A$1, 420 - 1, 96 - 1) = "1", OFFSET($A$1, 420 - 1, 97 - 1) = "1" ), 1, IF( AND( OFFSET($A$1, 420 - 1, 96 - 1) = "1", OFFSET($A$1, 420 - 1, 97 - 1) = "0" ), 2, IF( AND( OFFSET($A$1, 420 - 1, 96 - 1) = "0", OFFSET($A$1, 420 - 1, 97 - 1) = "1" ), 3, 4 ) ) )</f>
        <v>4</v>
      </c>
    </row>
    <row r="421" spans="95:98" ht="13.8" x14ac:dyDescent="0.3">
      <c r="CQ421" s="24">
        <v>1.3552231478031031E-2</v>
      </c>
      <c r="CR421" s="24" t="str">
        <f>"0"</f>
        <v>0</v>
      </c>
      <c r="CS421" t="str">
        <f ca="1">IF((OFFSET($A$1, 421 - 1, 95 - 1)) &gt;= (OFFSET($A$1, 55 - 1, 7 - 1)), "1","0")</f>
        <v>0</v>
      </c>
      <c r="CT421">
        <f ca="1" xml:space="preserve"> IF( AND( OFFSET($A$1, 421 - 1, 96 - 1) = "1", OFFSET($A$1, 421 - 1, 97 - 1) = "1" ), 1, IF( AND( OFFSET($A$1, 421 - 1, 96 - 1) = "1", OFFSET($A$1, 421 - 1, 97 - 1) = "0" ), 2, IF( AND( OFFSET($A$1, 421 - 1, 96 - 1) = "0", OFFSET($A$1, 421 - 1, 97 - 1) = "1" ), 3, 4 ) ) )</f>
        <v>4</v>
      </c>
    </row>
    <row r="422" spans="95:98" ht="13.8" x14ac:dyDescent="0.3">
      <c r="CQ422" s="24">
        <v>0.99647091768088447</v>
      </c>
      <c r="CR422" s="24" t="str">
        <f>"1"</f>
        <v>1</v>
      </c>
      <c r="CS422" t="str">
        <f ca="1">IF((OFFSET($A$1, 422 - 1, 95 - 1)) &gt;= (OFFSET($A$1, 55 - 1, 7 - 1)), "1","0")</f>
        <v>1</v>
      </c>
      <c r="CT422">
        <f ca="1" xml:space="preserve"> IF( AND( OFFSET($A$1, 422 - 1, 96 - 1) = "1", OFFSET($A$1, 422 - 1, 97 - 1) = "1" ), 1, IF( AND( OFFSET($A$1, 422 - 1, 96 - 1) = "1", OFFSET($A$1, 422 - 1, 97 - 1) = "0" ), 2, IF( AND( OFFSET($A$1, 422 - 1, 96 - 1) = "0", OFFSET($A$1, 422 - 1, 97 - 1) = "1" ), 3, 4 ) ) )</f>
        <v>1</v>
      </c>
    </row>
    <row r="423" spans="95:98" ht="13.8" x14ac:dyDescent="0.3">
      <c r="CQ423" s="24">
        <v>0.99907702114814201</v>
      </c>
      <c r="CR423" s="24" t="str">
        <f>"1"</f>
        <v>1</v>
      </c>
      <c r="CS423" t="str">
        <f ca="1">IF((OFFSET($A$1, 423 - 1, 95 - 1)) &gt;= (OFFSET($A$1, 55 - 1, 7 - 1)), "1","0")</f>
        <v>1</v>
      </c>
      <c r="CT423">
        <f ca="1" xml:space="preserve"> IF( AND( OFFSET($A$1, 423 - 1, 96 - 1) = "1", OFFSET($A$1, 423 - 1, 97 - 1) = "1" ), 1, IF( AND( OFFSET($A$1, 423 - 1, 96 - 1) = "1", OFFSET($A$1, 423 - 1, 97 - 1) = "0" ), 2, IF( AND( OFFSET($A$1, 423 - 1, 96 - 1) = "0", OFFSET($A$1, 423 - 1, 97 - 1) = "1" ), 3, 4 ) ) )</f>
        <v>1</v>
      </c>
    </row>
    <row r="424" spans="95:98" ht="13.8" x14ac:dyDescent="0.3">
      <c r="CQ424" s="24">
        <v>1.7669333358676112E-2</v>
      </c>
      <c r="CR424" s="24" t="str">
        <f>"0"</f>
        <v>0</v>
      </c>
      <c r="CS424" t="str">
        <f ca="1">IF((OFFSET($A$1, 424 - 1, 95 - 1)) &gt;= (OFFSET($A$1, 55 - 1, 7 - 1)), "1","0")</f>
        <v>0</v>
      </c>
      <c r="CT424">
        <f ca="1" xml:space="preserve"> IF( AND( OFFSET($A$1, 424 - 1, 96 - 1) = "1", OFFSET($A$1, 424 - 1, 97 - 1) = "1" ), 1, IF( AND( OFFSET($A$1, 424 - 1, 96 - 1) = "1", OFFSET($A$1, 424 - 1, 97 - 1) = "0" ), 2, IF( AND( OFFSET($A$1, 424 - 1, 96 - 1) = "0", OFFSET($A$1, 424 - 1, 97 - 1) = "1" ), 3, 4 ) ) )</f>
        <v>4</v>
      </c>
    </row>
    <row r="425" spans="95:98" ht="13.8" x14ac:dyDescent="0.3">
      <c r="CQ425" s="24">
        <v>0.9987177728112655</v>
      </c>
      <c r="CR425" s="24" t="str">
        <f>"1"</f>
        <v>1</v>
      </c>
      <c r="CS425" t="str">
        <f ca="1">IF((OFFSET($A$1, 425 - 1, 95 - 1)) &gt;= (OFFSET($A$1, 55 - 1, 7 - 1)), "1","0")</f>
        <v>1</v>
      </c>
      <c r="CT425">
        <f ca="1" xml:space="preserve"> IF( AND( OFFSET($A$1, 425 - 1, 96 - 1) = "1", OFFSET($A$1, 425 - 1, 97 - 1) = "1" ), 1, IF( AND( OFFSET($A$1, 425 - 1, 96 - 1) = "1", OFFSET($A$1, 425 - 1, 97 - 1) = "0" ), 2, IF( AND( OFFSET($A$1, 425 - 1, 96 - 1) = "0", OFFSET($A$1, 425 - 1, 97 - 1) = "1" ), 3, 4 ) ) )</f>
        <v>1</v>
      </c>
    </row>
    <row r="426" spans="95:98" ht="13.8" x14ac:dyDescent="0.3">
      <c r="CQ426" s="24">
        <v>0.98387492215504535</v>
      </c>
      <c r="CR426" s="24" t="str">
        <f>"1"</f>
        <v>1</v>
      </c>
      <c r="CS426" t="str">
        <f ca="1">IF((OFFSET($A$1, 426 - 1, 95 - 1)) &gt;= (OFFSET($A$1, 55 - 1, 7 - 1)), "1","0")</f>
        <v>1</v>
      </c>
      <c r="CT426">
        <f ca="1" xml:space="preserve"> IF( AND( OFFSET($A$1, 426 - 1, 96 - 1) = "1", OFFSET($A$1, 426 - 1, 97 - 1) = "1" ), 1, IF( AND( OFFSET($A$1, 426 - 1, 96 - 1) = "1", OFFSET($A$1, 426 - 1, 97 - 1) = "0" ), 2, IF( AND( OFFSET($A$1, 426 - 1, 96 - 1) = "0", OFFSET($A$1, 426 - 1, 97 - 1) = "1" ), 3, 4 ) ) )</f>
        <v>1</v>
      </c>
    </row>
    <row r="427" spans="95:98" ht="13.8" x14ac:dyDescent="0.3">
      <c r="CQ427" s="24">
        <v>0.11534643182216045</v>
      </c>
      <c r="CR427" s="24" t="str">
        <f>"0"</f>
        <v>0</v>
      </c>
      <c r="CS427" t="str">
        <f ca="1">IF((OFFSET($A$1, 427 - 1, 95 - 1)) &gt;= (OFFSET($A$1, 55 - 1, 7 - 1)), "1","0")</f>
        <v>0</v>
      </c>
      <c r="CT427">
        <f ca="1" xml:space="preserve"> IF( AND( OFFSET($A$1, 427 - 1, 96 - 1) = "1", OFFSET($A$1, 427 - 1, 97 - 1) = "1" ), 1, IF( AND( OFFSET($A$1, 427 - 1, 96 - 1) = "1", OFFSET($A$1, 427 - 1, 97 - 1) = "0" ), 2, IF( AND( OFFSET($A$1, 427 - 1, 96 - 1) = "0", OFFSET($A$1, 427 - 1, 97 - 1) = "1" ), 3, 4 ) ) )</f>
        <v>4</v>
      </c>
    </row>
    <row r="428" spans="95:98" ht="13.8" x14ac:dyDescent="0.3">
      <c r="CQ428" s="24">
        <v>0.99522559106719122</v>
      </c>
      <c r="CR428" s="24" t="str">
        <f t="shared" ref="CR428:CR444" si="33">"1"</f>
        <v>1</v>
      </c>
      <c r="CS428" t="str">
        <f ca="1">IF((OFFSET($A$1, 428 - 1, 95 - 1)) &gt;= (OFFSET($A$1, 55 - 1, 7 - 1)), "1","0")</f>
        <v>1</v>
      </c>
      <c r="CT428">
        <f ca="1" xml:space="preserve"> IF( AND( OFFSET($A$1, 428 - 1, 96 - 1) = "1", OFFSET($A$1, 428 - 1, 97 - 1) = "1" ), 1, IF( AND( OFFSET($A$1, 428 - 1, 96 - 1) = "1", OFFSET($A$1, 428 - 1, 97 - 1) = "0" ), 2, IF( AND( OFFSET($A$1, 428 - 1, 96 - 1) = "0", OFFSET($A$1, 428 - 1, 97 - 1) = "1" ), 3, 4 ) ) )</f>
        <v>1</v>
      </c>
    </row>
    <row r="429" spans="95:98" ht="13.8" x14ac:dyDescent="0.3">
      <c r="CQ429" s="24">
        <v>0.88438753098475875</v>
      </c>
      <c r="CR429" s="24" t="str">
        <f t="shared" si="33"/>
        <v>1</v>
      </c>
      <c r="CS429" t="str">
        <f ca="1">IF((OFFSET($A$1, 429 - 1, 95 - 1)) &gt;= (OFFSET($A$1, 55 - 1, 7 - 1)), "1","0")</f>
        <v>1</v>
      </c>
      <c r="CT429">
        <f ca="1" xml:space="preserve"> IF( AND( OFFSET($A$1, 429 - 1, 96 - 1) = "1", OFFSET($A$1, 429 - 1, 97 - 1) = "1" ), 1, IF( AND( OFFSET($A$1, 429 - 1, 96 - 1) = "1", OFFSET($A$1, 429 - 1, 97 - 1) = "0" ), 2, IF( AND( OFFSET($A$1, 429 - 1, 96 - 1) = "0", OFFSET($A$1, 429 - 1, 97 - 1) = "1" ), 3, 4 ) ) )</f>
        <v>1</v>
      </c>
    </row>
    <row r="430" spans="95:98" ht="13.8" x14ac:dyDescent="0.3">
      <c r="CQ430" s="24">
        <v>0.99445725883643876</v>
      </c>
      <c r="CR430" s="24" t="str">
        <f t="shared" si="33"/>
        <v>1</v>
      </c>
      <c r="CS430" t="str">
        <f ca="1">IF((OFFSET($A$1, 430 - 1, 95 - 1)) &gt;= (OFFSET($A$1, 55 - 1, 7 - 1)), "1","0")</f>
        <v>1</v>
      </c>
      <c r="CT430">
        <f ca="1" xml:space="preserve"> IF( AND( OFFSET($A$1, 430 - 1, 96 - 1) = "1", OFFSET($A$1, 430 - 1, 97 - 1) = "1" ), 1, IF( AND( OFFSET($A$1, 430 - 1, 96 - 1) = "1", OFFSET($A$1, 430 - 1, 97 - 1) = "0" ), 2, IF( AND( OFFSET($A$1, 430 - 1, 96 - 1) = "0", OFFSET($A$1, 430 - 1, 97 - 1) = "1" ), 3, 4 ) ) )</f>
        <v>1</v>
      </c>
    </row>
    <row r="431" spans="95:98" ht="13.8" x14ac:dyDescent="0.3">
      <c r="CQ431" s="24">
        <v>0.96389496497799831</v>
      </c>
      <c r="CR431" s="24" t="str">
        <f t="shared" si="33"/>
        <v>1</v>
      </c>
      <c r="CS431" t="str">
        <f ca="1">IF((OFFSET($A$1, 431 - 1, 95 - 1)) &gt;= (OFFSET($A$1, 55 - 1, 7 - 1)), "1","0")</f>
        <v>1</v>
      </c>
      <c r="CT431">
        <f ca="1" xml:space="preserve"> IF( AND( OFFSET($A$1, 431 - 1, 96 - 1) = "1", OFFSET($A$1, 431 - 1, 97 - 1) = "1" ), 1, IF( AND( OFFSET($A$1, 431 - 1, 96 - 1) = "1", OFFSET($A$1, 431 - 1, 97 - 1) = "0" ), 2, IF( AND( OFFSET($A$1, 431 - 1, 96 - 1) = "0", OFFSET($A$1, 431 - 1, 97 - 1) = "1" ), 3, 4 ) ) )</f>
        <v>1</v>
      </c>
    </row>
    <row r="432" spans="95:98" ht="13.8" x14ac:dyDescent="0.3">
      <c r="CQ432" s="24">
        <v>0.99776835230451466</v>
      </c>
      <c r="CR432" s="24" t="str">
        <f t="shared" si="33"/>
        <v>1</v>
      </c>
      <c r="CS432" t="str">
        <f ca="1">IF((OFFSET($A$1, 432 - 1, 95 - 1)) &gt;= (OFFSET($A$1, 55 - 1, 7 - 1)), "1","0")</f>
        <v>1</v>
      </c>
      <c r="CT432">
        <f ca="1" xml:space="preserve"> IF( AND( OFFSET($A$1, 432 - 1, 96 - 1) = "1", OFFSET($A$1, 432 - 1, 97 - 1) = "1" ), 1, IF( AND( OFFSET($A$1, 432 - 1, 96 - 1) = "1", OFFSET($A$1, 432 - 1, 97 - 1) = "0" ), 2, IF( AND( OFFSET($A$1, 432 - 1, 96 - 1) = "0", OFFSET($A$1, 432 - 1, 97 - 1) = "1" ), 3, 4 ) ) )</f>
        <v>1</v>
      </c>
    </row>
    <row r="433" spans="95:98" ht="13.8" x14ac:dyDescent="0.3">
      <c r="CQ433" s="24">
        <v>0.99922990391254085</v>
      </c>
      <c r="CR433" s="24" t="str">
        <f t="shared" si="33"/>
        <v>1</v>
      </c>
      <c r="CS433" t="str">
        <f ca="1">IF((OFFSET($A$1, 433 - 1, 95 - 1)) &gt;= (OFFSET($A$1, 55 - 1, 7 - 1)), "1","0")</f>
        <v>1</v>
      </c>
      <c r="CT433">
        <f ca="1" xml:space="preserve"> IF( AND( OFFSET($A$1, 433 - 1, 96 - 1) = "1", OFFSET($A$1, 433 - 1, 97 - 1) = "1" ), 1, IF( AND( OFFSET($A$1, 433 - 1, 96 - 1) = "1", OFFSET($A$1, 433 - 1, 97 - 1) = "0" ), 2, IF( AND( OFFSET($A$1, 433 - 1, 96 - 1) = "0", OFFSET($A$1, 433 - 1, 97 - 1) = "1" ), 3, 4 ) ) )</f>
        <v>1</v>
      </c>
    </row>
    <row r="434" spans="95:98" ht="13.8" x14ac:dyDescent="0.3">
      <c r="CQ434" s="24">
        <v>0.99731813489607446</v>
      </c>
      <c r="CR434" s="24" t="str">
        <f t="shared" si="33"/>
        <v>1</v>
      </c>
      <c r="CS434" t="str">
        <f ca="1">IF((OFFSET($A$1, 434 - 1, 95 - 1)) &gt;= (OFFSET($A$1, 55 - 1, 7 - 1)), "1","0")</f>
        <v>1</v>
      </c>
      <c r="CT434">
        <f ca="1" xml:space="preserve"> IF( AND( OFFSET($A$1, 434 - 1, 96 - 1) = "1", OFFSET($A$1, 434 - 1, 97 - 1) = "1" ), 1, IF( AND( OFFSET($A$1, 434 - 1, 96 - 1) = "1", OFFSET($A$1, 434 - 1, 97 - 1) = "0" ), 2, IF( AND( OFFSET($A$1, 434 - 1, 96 - 1) = "0", OFFSET($A$1, 434 - 1, 97 - 1) = "1" ), 3, 4 ) ) )</f>
        <v>1</v>
      </c>
    </row>
    <row r="435" spans="95:98" ht="13.8" x14ac:dyDescent="0.3">
      <c r="CQ435" s="24">
        <v>0.99559521971379983</v>
      </c>
      <c r="CR435" s="24" t="str">
        <f t="shared" si="33"/>
        <v>1</v>
      </c>
      <c r="CS435" t="str">
        <f ca="1">IF((OFFSET($A$1, 435 - 1, 95 - 1)) &gt;= (OFFSET($A$1, 55 - 1, 7 - 1)), "1","0")</f>
        <v>1</v>
      </c>
      <c r="CT435">
        <f ca="1" xml:space="preserve"> IF( AND( OFFSET($A$1, 435 - 1, 96 - 1) = "1", OFFSET($A$1, 435 - 1, 97 - 1) = "1" ), 1, IF( AND( OFFSET($A$1, 435 - 1, 96 - 1) = "1", OFFSET($A$1, 435 - 1, 97 - 1) = "0" ), 2, IF( AND( OFFSET($A$1, 435 - 1, 96 - 1) = "0", OFFSET($A$1, 435 - 1, 97 - 1) = "1" ), 3, 4 ) ) )</f>
        <v>1</v>
      </c>
    </row>
    <row r="436" spans="95:98" ht="13.8" x14ac:dyDescent="0.3">
      <c r="CQ436" s="24">
        <v>0.99903598843626551</v>
      </c>
      <c r="CR436" s="24" t="str">
        <f t="shared" si="33"/>
        <v>1</v>
      </c>
      <c r="CS436" t="str">
        <f ca="1">IF((OFFSET($A$1, 436 - 1, 95 - 1)) &gt;= (OFFSET($A$1, 55 - 1, 7 - 1)), "1","0")</f>
        <v>1</v>
      </c>
      <c r="CT436">
        <f ca="1" xml:space="preserve"> IF( AND( OFFSET($A$1, 436 - 1, 96 - 1) = "1", OFFSET($A$1, 436 - 1, 97 - 1) = "1" ), 1, IF( AND( OFFSET($A$1, 436 - 1, 96 - 1) = "1", OFFSET($A$1, 436 - 1, 97 - 1) = "0" ), 2, IF( AND( OFFSET($A$1, 436 - 1, 96 - 1) = "0", OFFSET($A$1, 436 - 1, 97 - 1) = "1" ), 3, 4 ) ) )</f>
        <v>1</v>
      </c>
    </row>
    <row r="437" spans="95:98" ht="13.8" x14ac:dyDescent="0.3">
      <c r="CQ437" s="24">
        <v>0.96782047642779334</v>
      </c>
      <c r="CR437" s="24" t="str">
        <f t="shared" si="33"/>
        <v>1</v>
      </c>
      <c r="CS437" t="str">
        <f ca="1">IF((OFFSET($A$1, 437 - 1, 95 - 1)) &gt;= (OFFSET($A$1, 55 - 1, 7 - 1)), "1","0")</f>
        <v>1</v>
      </c>
      <c r="CT437">
        <f ca="1" xml:space="preserve"> IF( AND( OFFSET($A$1, 437 - 1, 96 - 1) = "1", OFFSET($A$1, 437 - 1, 97 - 1) = "1" ), 1, IF( AND( OFFSET($A$1, 437 - 1, 96 - 1) = "1", OFFSET($A$1, 437 - 1, 97 - 1) = "0" ), 2, IF( AND( OFFSET($A$1, 437 - 1, 96 - 1) = "0", OFFSET($A$1, 437 - 1, 97 - 1) = "1" ), 3, 4 ) ) )</f>
        <v>1</v>
      </c>
    </row>
    <row r="438" spans="95:98" ht="13.8" x14ac:dyDescent="0.3">
      <c r="CQ438" s="24">
        <v>0.97832065760358511</v>
      </c>
      <c r="CR438" s="24" t="str">
        <f t="shared" si="33"/>
        <v>1</v>
      </c>
      <c r="CS438" t="str">
        <f ca="1">IF((OFFSET($A$1, 438 - 1, 95 - 1)) &gt;= (OFFSET($A$1, 55 - 1, 7 - 1)), "1","0")</f>
        <v>1</v>
      </c>
      <c r="CT438">
        <f ca="1" xml:space="preserve"> IF( AND( OFFSET($A$1, 438 - 1, 96 - 1) = "1", OFFSET($A$1, 438 - 1, 97 - 1) = "1" ), 1, IF( AND( OFFSET($A$1, 438 - 1, 96 - 1) = "1", OFFSET($A$1, 438 - 1, 97 - 1) = "0" ), 2, IF( AND( OFFSET($A$1, 438 - 1, 96 - 1) = "0", OFFSET($A$1, 438 - 1, 97 - 1) = "1" ), 3, 4 ) ) )</f>
        <v>1</v>
      </c>
    </row>
    <row r="439" spans="95:98" ht="13.8" x14ac:dyDescent="0.3">
      <c r="CQ439" s="24">
        <v>0.98714949738586188</v>
      </c>
      <c r="CR439" s="24" t="str">
        <f t="shared" si="33"/>
        <v>1</v>
      </c>
      <c r="CS439" t="str">
        <f ca="1">IF((OFFSET($A$1, 439 - 1, 95 - 1)) &gt;= (OFFSET($A$1, 55 - 1, 7 - 1)), "1","0")</f>
        <v>1</v>
      </c>
      <c r="CT439">
        <f ca="1" xml:space="preserve"> IF( AND( OFFSET($A$1, 439 - 1, 96 - 1) = "1", OFFSET($A$1, 439 - 1, 97 - 1) = "1" ), 1, IF( AND( OFFSET($A$1, 439 - 1, 96 - 1) = "1", OFFSET($A$1, 439 - 1, 97 - 1) = "0" ), 2, IF( AND( OFFSET($A$1, 439 - 1, 96 - 1) = "0", OFFSET($A$1, 439 - 1, 97 - 1) = "1" ), 3, 4 ) ) )</f>
        <v>1</v>
      </c>
    </row>
    <row r="440" spans="95:98" ht="13.8" x14ac:dyDescent="0.3">
      <c r="CQ440" s="24">
        <v>0.94636239019257939</v>
      </c>
      <c r="CR440" s="24" t="str">
        <f t="shared" si="33"/>
        <v>1</v>
      </c>
      <c r="CS440" t="str">
        <f ca="1">IF((OFFSET($A$1, 440 - 1, 95 - 1)) &gt;= (OFFSET($A$1, 55 - 1, 7 - 1)), "1","0")</f>
        <v>1</v>
      </c>
      <c r="CT440">
        <f ca="1" xml:space="preserve"> IF( AND( OFFSET($A$1, 440 - 1, 96 - 1) = "1", OFFSET($A$1, 440 - 1, 97 - 1) = "1" ), 1, IF( AND( OFFSET($A$1, 440 - 1, 96 - 1) = "1", OFFSET($A$1, 440 - 1, 97 - 1) = "0" ), 2, IF( AND( OFFSET($A$1, 440 - 1, 96 - 1) = "0", OFFSET($A$1, 440 - 1, 97 - 1) = "1" ), 3, 4 ) ) )</f>
        <v>1</v>
      </c>
    </row>
    <row r="441" spans="95:98" ht="13.8" x14ac:dyDescent="0.3">
      <c r="CQ441" s="24">
        <v>0.99677829314870281</v>
      </c>
      <c r="CR441" s="24" t="str">
        <f t="shared" si="33"/>
        <v>1</v>
      </c>
      <c r="CS441" t="str">
        <f ca="1">IF((OFFSET($A$1, 441 - 1, 95 - 1)) &gt;= (OFFSET($A$1, 55 - 1, 7 - 1)), "1","0")</f>
        <v>1</v>
      </c>
      <c r="CT441">
        <f ca="1" xml:space="preserve"> IF( AND( OFFSET($A$1, 441 - 1, 96 - 1) = "1", OFFSET($A$1, 441 - 1, 97 - 1) = "1" ), 1, IF( AND( OFFSET($A$1, 441 - 1, 96 - 1) = "1", OFFSET($A$1, 441 - 1, 97 - 1) = "0" ), 2, IF( AND( OFFSET($A$1, 441 - 1, 96 - 1) = "0", OFFSET($A$1, 441 - 1, 97 - 1) = "1" ), 3, 4 ) ) )</f>
        <v>1</v>
      </c>
    </row>
    <row r="442" spans="95:98" ht="13.8" x14ac:dyDescent="0.3">
      <c r="CQ442" s="24">
        <v>0.9992637811483589</v>
      </c>
      <c r="CR442" s="24" t="str">
        <f t="shared" si="33"/>
        <v>1</v>
      </c>
      <c r="CS442" t="str">
        <f ca="1">IF((OFFSET($A$1, 442 - 1, 95 - 1)) &gt;= (OFFSET($A$1, 55 - 1, 7 - 1)), "1","0")</f>
        <v>1</v>
      </c>
      <c r="CT442">
        <f ca="1" xml:space="preserve"> IF( AND( OFFSET($A$1, 442 - 1, 96 - 1) = "1", OFFSET($A$1, 442 - 1, 97 - 1) = "1" ), 1, IF( AND( OFFSET($A$1, 442 - 1, 96 - 1) = "1", OFFSET($A$1, 442 - 1, 97 - 1) = "0" ), 2, IF( AND( OFFSET($A$1, 442 - 1, 96 - 1) = "0", OFFSET($A$1, 442 - 1, 97 - 1) = "1" ), 3, 4 ) ) )</f>
        <v>1</v>
      </c>
    </row>
    <row r="443" spans="95:98" ht="13.8" x14ac:dyDescent="0.3">
      <c r="CQ443" s="24">
        <v>0.9709908462325082</v>
      </c>
      <c r="CR443" s="24" t="str">
        <f t="shared" si="33"/>
        <v>1</v>
      </c>
      <c r="CS443" t="str">
        <f ca="1">IF((OFFSET($A$1, 443 - 1, 95 - 1)) &gt;= (OFFSET($A$1, 55 - 1, 7 - 1)), "1","0")</f>
        <v>1</v>
      </c>
      <c r="CT443">
        <f ca="1" xml:space="preserve"> IF( AND( OFFSET($A$1, 443 - 1, 96 - 1) = "1", OFFSET($A$1, 443 - 1, 97 - 1) = "1" ), 1, IF( AND( OFFSET($A$1, 443 - 1, 96 - 1) = "1", OFFSET($A$1, 443 - 1, 97 - 1) = "0" ), 2, IF( AND( OFFSET($A$1, 443 - 1, 96 - 1) = "0", OFFSET($A$1, 443 - 1, 97 - 1) = "1" ), 3, 4 ) ) )</f>
        <v>1</v>
      </c>
    </row>
    <row r="444" spans="95:98" ht="13.8" x14ac:dyDescent="0.3">
      <c r="CQ444" s="24">
        <v>0.56247699383534222</v>
      </c>
      <c r="CR444" s="24" t="str">
        <f t="shared" si="33"/>
        <v>1</v>
      </c>
      <c r="CS444" t="str">
        <f ca="1">IF((OFFSET($A$1, 444 - 1, 95 - 1)) &gt;= (OFFSET($A$1, 55 - 1, 7 - 1)), "1","0")</f>
        <v>1</v>
      </c>
      <c r="CT444">
        <f ca="1" xml:space="preserve"> IF( AND( OFFSET($A$1, 444 - 1, 96 - 1) = "1", OFFSET($A$1, 444 - 1, 97 - 1) = "1" ), 1, IF( AND( OFFSET($A$1, 444 - 1, 96 - 1) = "1", OFFSET($A$1, 444 - 1, 97 - 1) = "0" ), 2, IF( AND( OFFSET($A$1, 444 - 1, 96 - 1) = "0", OFFSET($A$1, 444 - 1, 97 - 1) = "1" ), 3, 4 ) ) )</f>
        <v>1</v>
      </c>
    </row>
    <row r="445" spans="95:98" ht="13.8" x14ac:dyDescent="0.3">
      <c r="CQ445" s="24">
        <v>0.31784192447324622</v>
      </c>
      <c r="CR445" s="24" t="str">
        <f>"0"</f>
        <v>0</v>
      </c>
      <c r="CS445" t="str">
        <f ca="1">IF((OFFSET($A$1, 445 - 1, 95 - 1)) &gt;= (OFFSET($A$1, 55 - 1, 7 - 1)), "1","0")</f>
        <v>0</v>
      </c>
      <c r="CT445">
        <f ca="1" xml:space="preserve"> IF( AND( OFFSET($A$1, 445 - 1, 96 - 1) = "1", OFFSET($A$1, 445 - 1, 97 - 1) = "1" ), 1, IF( AND( OFFSET($A$1, 445 - 1, 96 - 1) = "1", OFFSET($A$1, 445 - 1, 97 - 1) = "0" ), 2, IF( AND( OFFSET($A$1, 445 - 1, 96 - 1) = "0", OFFSET($A$1, 445 - 1, 97 - 1) = "1" ), 3, 4 ) ) )</f>
        <v>4</v>
      </c>
    </row>
    <row r="446" spans="95:98" ht="13.8" x14ac:dyDescent="0.3">
      <c r="CQ446" s="24">
        <v>0.95729379200046127</v>
      </c>
      <c r="CR446" s="24" t="str">
        <f>"1"</f>
        <v>1</v>
      </c>
      <c r="CS446" t="str">
        <f ca="1">IF((OFFSET($A$1, 446 - 1, 95 - 1)) &gt;= (OFFSET($A$1, 55 - 1, 7 - 1)), "1","0")</f>
        <v>1</v>
      </c>
      <c r="CT446">
        <f ca="1" xml:space="preserve"> IF( AND( OFFSET($A$1, 446 - 1, 96 - 1) = "1", OFFSET($A$1, 446 - 1, 97 - 1) = "1" ), 1, IF( AND( OFFSET($A$1, 446 - 1, 96 - 1) = "1", OFFSET($A$1, 446 - 1, 97 - 1) = "0" ), 2, IF( AND( OFFSET($A$1, 446 - 1, 96 - 1) = "0", OFFSET($A$1, 446 - 1, 97 - 1) = "1" ), 3, 4 ) ) )</f>
        <v>1</v>
      </c>
    </row>
    <row r="447" spans="95:98" ht="13.8" x14ac:dyDescent="0.3">
      <c r="CQ447" s="24">
        <v>0.96635981062853094</v>
      </c>
      <c r="CR447" s="24" t="str">
        <f>"1"</f>
        <v>1</v>
      </c>
      <c r="CS447" t="str">
        <f ca="1">IF((OFFSET($A$1, 447 - 1, 95 - 1)) &gt;= (OFFSET($A$1, 55 - 1, 7 - 1)), "1","0")</f>
        <v>1</v>
      </c>
      <c r="CT447">
        <f ca="1" xml:space="preserve"> IF( AND( OFFSET($A$1, 447 - 1, 96 - 1) = "1", OFFSET($A$1, 447 - 1, 97 - 1) = "1" ), 1, IF( AND( OFFSET($A$1, 447 - 1, 96 - 1) = "1", OFFSET($A$1, 447 - 1, 97 - 1) = "0" ), 2, IF( AND( OFFSET($A$1, 447 - 1, 96 - 1) = "0", OFFSET($A$1, 447 - 1, 97 - 1) = "1" ), 3, 4 ) ) )</f>
        <v>1</v>
      </c>
    </row>
    <row r="448" spans="95:98" ht="13.8" x14ac:dyDescent="0.3">
      <c r="CQ448" s="24">
        <v>0.9212127263218608</v>
      </c>
      <c r="CR448" s="24" t="str">
        <f>"1"</f>
        <v>1</v>
      </c>
      <c r="CS448" t="str">
        <f ca="1">IF((OFFSET($A$1, 448 - 1, 95 - 1)) &gt;= (OFFSET($A$1, 55 - 1, 7 - 1)), "1","0")</f>
        <v>1</v>
      </c>
      <c r="CT448">
        <f ca="1" xml:space="preserve"> IF( AND( OFFSET($A$1, 448 - 1, 96 - 1) = "1", OFFSET($A$1, 448 - 1, 97 - 1) = "1" ), 1, IF( AND( OFFSET($A$1, 448 - 1, 96 - 1) = "1", OFFSET($A$1, 448 - 1, 97 - 1) = "0" ), 2, IF( AND( OFFSET($A$1, 448 - 1, 96 - 1) = "0", OFFSET($A$1, 448 - 1, 97 - 1) = "1" ), 3, 4 ) ) )</f>
        <v>1</v>
      </c>
    </row>
    <row r="449" spans="95:98" ht="13.8" x14ac:dyDescent="0.3">
      <c r="CQ449" s="24">
        <v>0.99297496686232878</v>
      </c>
      <c r="CR449" s="24" t="str">
        <f>"1"</f>
        <v>1</v>
      </c>
      <c r="CS449" t="str">
        <f ca="1">IF((OFFSET($A$1, 449 - 1, 95 - 1)) &gt;= (OFFSET($A$1, 55 - 1, 7 - 1)), "1","0")</f>
        <v>1</v>
      </c>
      <c r="CT449">
        <f ca="1" xml:space="preserve"> IF( AND( OFFSET($A$1, 449 - 1, 96 - 1) = "1", OFFSET($A$1, 449 - 1, 97 - 1) = "1" ), 1, IF( AND( OFFSET($A$1, 449 - 1, 96 - 1) = "1", OFFSET($A$1, 449 - 1, 97 - 1) = "0" ), 2, IF( AND( OFFSET($A$1, 449 - 1, 96 - 1) = "0", OFFSET($A$1, 449 - 1, 97 - 1) = "1" ), 3, 4 ) ) )</f>
        <v>1</v>
      </c>
    </row>
    <row r="450" spans="95:98" ht="13.8" x14ac:dyDescent="0.3">
      <c r="CQ450" s="24">
        <v>0.14421272483321715</v>
      </c>
      <c r="CR450" s="24" t="str">
        <f>"0"</f>
        <v>0</v>
      </c>
      <c r="CS450" t="str">
        <f ca="1">IF((OFFSET($A$1, 450 - 1, 95 - 1)) &gt;= (OFFSET($A$1, 55 - 1, 7 - 1)), "1","0")</f>
        <v>0</v>
      </c>
      <c r="CT450">
        <f ca="1" xml:space="preserve"> IF( AND( OFFSET($A$1, 450 - 1, 96 - 1) = "1", OFFSET($A$1, 450 - 1, 97 - 1) = "1" ), 1, IF( AND( OFFSET($A$1, 450 - 1, 96 - 1) = "1", OFFSET($A$1, 450 - 1, 97 - 1) = "0" ), 2, IF( AND( OFFSET($A$1, 450 - 1, 96 - 1) = "0", OFFSET($A$1, 450 - 1, 97 - 1) = "1" ), 3, 4 ) ) )</f>
        <v>4</v>
      </c>
    </row>
    <row r="451" spans="95:98" ht="13.8" x14ac:dyDescent="0.3">
      <c r="CQ451" s="24">
        <v>1.4722861749176802E-2</v>
      </c>
      <c r="CR451" s="24" t="str">
        <f>"0"</f>
        <v>0</v>
      </c>
      <c r="CS451" t="str">
        <f ca="1">IF((OFFSET($A$1, 451 - 1, 95 - 1)) &gt;= (OFFSET($A$1, 55 - 1, 7 - 1)), "1","0")</f>
        <v>0</v>
      </c>
      <c r="CT451">
        <f ca="1" xml:space="preserve"> IF( AND( OFFSET($A$1, 451 - 1, 96 - 1) = "1", OFFSET($A$1, 451 - 1, 97 - 1) = "1" ), 1, IF( AND( OFFSET($A$1, 451 - 1, 96 - 1) = "1", OFFSET($A$1, 451 - 1, 97 - 1) = "0" ), 2, IF( AND( OFFSET($A$1, 451 - 1, 96 - 1) = "0", OFFSET($A$1, 451 - 1, 97 - 1) = "1" ), 3, 4 ) ) )</f>
        <v>4</v>
      </c>
    </row>
    <row r="452" spans="95:98" ht="13.8" x14ac:dyDescent="0.3">
      <c r="CQ452" s="24">
        <v>0.9977609718485988</v>
      </c>
      <c r="CR452" s="24" t="str">
        <f>"1"</f>
        <v>1</v>
      </c>
      <c r="CS452" t="str">
        <f ca="1">IF((OFFSET($A$1, 452 - 1, 95 - 1)) &gt;= (OFFSET($A$1, 55 - 1, 7 - 1)), "1","0")</f>
        <v>1</v>
      </c>
      <c r="CT452">
        <f ca="1" xml:space="preserve"> IF( AND( OFFSET($A$1, 452 - 1, 96 - 1) = "1", OFFSET($A$1, 452 - 1, 97 - 1) = "1" ), 1, IF( AND( OFFSET($A$1, 452 - 1, 96 - 1) = "1", OFFSET($A$1, 452 - 1, 97 - 1) = "0" ), 2, IF( AND( OFFSET($A$1, 452 - 1, 96 - 1) = "0", OFFSET($A$1, 452 - 1, 97 - 1) = "1" ), 3, 4 ) ) )</f>
        <v>1</v>
      </c>
    </row>
    <row r="453" spans="95:98" ht="13.8" x14ac:dyDescent="0.3">
      <c r="CQ453" s="24">
        <v>5.4496610470893193E-2</v>
      </c>
      <c r="CR453" s="24" t="str">
        <f>"0"</f>
        <v>0</v>
      </c>
      <c r="CS453" t="str">
        <f ca="1">IF((OFFSET($A$1, 453 - 1, 95 - 1)) &gt;= (OFFSET($A$1, 55 - 1, 7 - 1)), "1","0")</f>
        <v>0</v>
      </c>
      <c r="CT453">
        <f ca="1" xml:space="preserve"> IF( AND( OFFSET($A$1, 453 - 1, 96 - 1) = "1", OFFSET($A$1, 453 - 1, 97 - 1) = "1" ), 1, IF( AND( OFFSET($A$1, 453 - 1, 96 - 1) = "1", OFFSET($A$1, 453 - 1, 97 - 1) = "0" ), 2, IF( AND( OFFSET($A$1, 453 - 1, 96 - 1) = "0", OFFSET($A$1, 453 - 1, 97 - 1) = "1" ), 3, 4 ) ) )</f>
        <v>4</v>
      </c>
    </row>
    <row r="454" spans="95:98" ht="13.8" x14ac:dyDescent="0.3">
      <c r="CQ454" s="24">
        <v>0.16809226747362271</v>
      </c>
      <c r="CR454" s="24" t="str">
        <f>"0"</f>
        <v>0</v>
      </c>
      <c r="CS454" t="str">
        <f ca="1">IF((OFFSET($A$1, 454 - 1, 95 - 1)) &gt;= (OFFSET($A$1, 55 - 1, 7 - 1)), "1","0")</f>
        <v>0</v>
      </c>
      <c r="CT454">
        <f ca="1" xml:space="preserve"> IF( AND( OFFSET($A$1, 454 - 1, 96 - 1) = "1", OFFSET($A$1, 454 - 1, 97 - 1) = "1" ), 1, IF( AND( OFFSET($A$1, 454 - 1, 96 - 1) = "1", OFFSET($A$1, 454 - 1, 97 - 1) = "0" ), 2, IF( AND( OFFSET($A$1, 454 - 1, 96 - 1) = "0", OFFSET($A$1, 454 - 1, 97 - 1) = "1" ), 3, 4 ) ) )</f>
        <v>4</v>
      </c>
    </row>
    <row r="455" spans="95:98" ht="13.8" x14ac:dyDescent="0.3">
      <c r="CQ455" s="24">
        <v>0.10552675979227004</v>
      </c>
      <c r="CR455" s="24" t="str">
        <f>"0"</f>
        <v>0</v>
      </c>
      <c r="CS455" t="str">
        <f ca="1">IF((OFFSET($A$1, 455 - 1, 95 - 1)) &gt;= (OFFSET($A$1, 55 - 1, 7 - 1)), "1","0")</f>
        <v>0</v>
      </c>
      <c r="CT455">
        <f ca="1" xml:space="preserve"> IF( AND( OFFSET($A$1, 455 - 1, 96 - 1) = "1", OFFSET($A$1, 455 - 1, 97 - 1) = "1" ), 1, IF( AND( OFFSET($A$1, 455 - 1, 96 - 1) = "1", OFFSET($A$1, 455 - 1, 97 - 1) = "0" ), 2, IF( AND( OFFSET($A$1, 455 - 1, 96 - 1) = "0", OFFSET($A$1, 455 - 1, 97 - 1) = "1" ), 3, 4 ) ) )</f>
        <v>4</v>
      </c>
    </row>
    <row r="456" spans="95:98" ht="13.8" x14ac:dyDescent="0.3">
      <c r="CQ456" s="24">
        <v>0.98673201282093648</v>
      </c>
      <c r="CR456" s="24" t="str">
        <f>"1"</f>
        <v>1</v>
      </c>
      <c r="CS456" t="str">
        <f ca="1">IF((OFFSET($A$1, 456 - 1, 95 - 1)) &gt;= (OFFSET($A$1, 55 - 1, 7 - 1)), "1","0")</f>
        <v>1</v>
      </c>
      <c r="CT456">
        <f ca="1" xml:space="preserve"> IF( AND( OFFSET($A$1, 456 - 1, 96 - 1) = "1", OFFSET($A$1, 456 - 1, 97 - 1) = "1" ), 1, IF( AND( OFFSET($A$1, 456 - 1, 96 - 1) = "1", OFFSET($A$1, 456 - 1, 97 - 1) = "0" ), 2, IF( AND( OFFSET($A$1, 456 - 1, 96 - 1) = "0", OFFSET($A$1, 456 - 1, 97 - 1) = "1" ), 3, 4 ) ) )</f>
        <v>1</v>
      </c>
    </row>
    <row r="457" spans="95:98" ht="13.8" x14ac:dyDescent="0.3">
      <c r="CQ457" s="24">
        <v>0.10634921469493952</v>
      </c>
      <c r="CR457" s="24" t="str">
        <f>"0"</f>
        <v>0</v>
      </c>
      <c r="CS457" t="str">
        <f ca="1">IF((OFFSET($A$1, 457 - 1, 95 - 1)) &gt;= (OFFSET($A$1, 55 - 1, 7 - 1)), "1","0")</f>
        <v>0</v>
      </c>
      <c r="CT457">
        <f ca="1" xml:space="preserve"> IF( AND( OFFSET($A$1, 457 - 1, 96 - 1) = "1", OFFSET($A$1, 457 - 1, 97 - 1) = "1" ), 1, IF( AND( OFFSET($A$1, 457 - 1, 96 - 1) = "1", OFFSET($A$1, 457 - 1, 97 - 1) = "0" ), 2, IF( AND( OFFSET($A$1, 457 - 1, 96 - 1) = "0", OFFSET($A$1, 457 - 1, 97 - 1) = "1" ), 3, 4 ) ) )</f>
        <v>4</v>
      </c>
    </row>
    <row r="458" spans="95:98" ht="13.8" x14ac:dyDescent="0.3">
      <c r="CQ458" s="24">
        <v>9.5049917184935745E-3</v>
      </c>
      <c r="CR458" s="24" t="str">
        <f>"0"</f>
        <v>0</v>
      </c>
      <c r="CS458" t="str">
        <f ca="1">IF((OFFSET($A$1, 458 - 1, 95 - 1)) &gt;= (OFFSET($A$1, 55 - 1, 7 - 1)), "1","0")</f>
        <v>0</v>
      </c>
      <c r="CT458">
        <f ca="1" xml:space="preserve"> IF( AND( OFFSET($A$1, 458 - 1, 96 - 1) = "1", OFFSET($A$1, 458 - 1, 97 - 1) = "1" ), 1, IF( AND( OFFSET($A$1, 458 - 1, 96 - 1) = "1", OFFSET($A$1, 458 - 1, 97 - 1) = "0" ), 2, IF( AND( OFFSET($A$1, 458 - 1, 96 - 1) = "0", OFFSET($A$1, 458 - 1, 97 - 1) = "1" ), 3, 4 ) ) )</f>
        <v>4</v>
      </c>
    </row>
    <row r="459" spans="95:98" ht="13.8" x14ac:dyDescent="0.3">
      <c r="CQ459" s="24">
        <v>0.99667625256331105</v>
      </c>
      <c r="CR459" s="24" t="str">
        <f>"1"</f>
        <v>1</v>
      </c>
      <c r="CS459" t="str">
        <f ca="1">IF((OFFSET($A$1, 459 - 1, 95 - 1)) &gt;= (OFFSET($A$1, 55 - 1, 7 - 1)), "1","0")</f>
        <v>1</v>
      </c>
      <c r="CT459">
        <f ca="1" xml:space="preserve"> IF( AND( OFFSET($A$1, 459 - 1, 96 - 1) = "1", OFFSET($A$1, 459 - 1, 97 - 1) = "1" ), 1, IF( AND( OFFSET($A$1, 459 - 1, 96 - 1) = "1", OFFSET($A$1, 459 - 1, 97 - 1) = "0" ), 2, IF( AND( OFFSET($A$1, 459 - 1, 96 - 1) = "0", OFFSET($A$1, 459 - 1, 97 - 1) = "1" ), 3, 4 ) ) )</f>
        <v>1</v>
      </c>
    </row>
    <row r="460" spans="95:98" ht="13.8" x14ac:dyDescent="0.3">
      <c r="CQ460" s="24">
        <v>0.98123533908580662</v>
      </c>
      <c r="CR460" s="24" t="str">
        <f>"1"</f>
        <v>1</v>
      </c>
      <c r="CS460" t="str">
        <f ca="1">IF((OFFSET($A$1, 460 - 1, 95 - 1)) &gt;= (OFFSET($A$1, 55 - 1, 7 - 1)), "1","0")</f>
        <v>1</v>
      </c>
      <c r="CT460">
        <f ca="1" xml:space="preserve"> IF( AND( OFFSET($A$1, 460 - 1, 96 - 1) = "1", OFFSET($A$1, 460 - 1, 97 - 1) = "1" ), 1, IF( AND( OFFSET($A$1, 460 - 1, 96 - 1) = "1", OFFSET($A$1, 460 - 1, 97 - 1) = "0" ), 2, IF( AND( OFFSET($A$1, 460 - 1, 96 - 1) = "0", OFFSET($A$1, 460 - 1, 97 - 1) = "1" ), 3, 4 ) ) )</f>
        <v>1</v>
      </c>
    </row>
    <row r="461" spans="95:98" ht="13.8" x14ac:dyDescent="0.3">
      <c r="CQ461" s="24">
        <v>0.99947662375961221</v>
      </c>
      <c r="CR461" s="24" t="str">
        <f>"1"</f>
        <v>1</v>
      </c>
      <c r="CS461" t="str">
        <f ca="1">IF((OFFSET($A$1, 461 - 1, 95 - 1)) &gt;= (OFFSET($A$1, 55 - 1, 7 - 1)), "1","0")</f>
        <v>1</v>
      </c>
      <c r="CT461">
        <f ca="1" xml:space="preserve"> IF( AND( OFFSET($A$1, 461 - 1, 96 - 1) = "1", OFFSET($A$1, 461 - 1, 97 - 1) = "1" ), 1, IF( AND( OFFSET($A$1, 461 - 1, 96 - 1) = "1", OFFSET($A$1, 461 - 1, 97 - 1) = "0" ), 2, IF( AND( OFFSET($A$1, 461 - 1, 96 - 1) = "0", OFFSET($A$1, 461 - 1, 97 - 1) = "1" ), 3, 4 ) ) )</f>
        <v>1</v>
      </c>
    </row>
    <row r="462" spans="95:98" ht="13.8" x14ac:dyDescent="0.3">
      <c r="CQ462" s="24">
        <v>0.92626472006387128</v>
      </c>
      <c r="CR462" s="24" t="str">
        <f>"1"</f>
        <v>1</v>
      </c>
      <c r="CS462" t="str">
        <f ca="1">IF((OFFSET($A$1, 462 - 1, 95 - 1)) &gt;= (OFFSET($A$1, 55 - 1, 7 - 1)), "1","0")</f>
        <v>1</v>
      </c>
      <c r="CT462">
        <f ca="1" xml:space="preserve"> IF( AND( OFFSET($A$1, 462 - 1, 96 - 1) = "1", OFFSET($A$1, 462 - 1, 97 - 1) = "1" ), 1, IF( AND( OFFSET($A$1, 462 - 1, 96 - 1) = "1", OFFSET($A$1, 462 - 1, 97 - 1) = "0" ), 2, IF( AND( OFFSET($A$1, 462 - 1, 96 - 1) = "0", OFFSET($A$1, 462 - 1, 97 - 1) = "1" ), 3, 4 ) ) )</f>
        <v>1</v>
      </c>
    </row>
    <row r="463" spans="95:98" ht="13.8" x14ac:dyDescent="0.3">
      <c r="CQ463" s="24">
        <v>6.9811375265773787E-2</v>
      </c>
      <c r="CR463" s="24" t="str">
        <f>"0"</f>
        <v>0</v>
      </c>
      <c r="CS463" t="str">
        <f ca="1">IF((OFFSET($A$1, 463 - 1, 95 - 1)) &gt;= (OFFSET($A$1, 55 - 1, 7 - 1)), "1","0")</f>
        <v>0</v>
      </c>
      <c r="CT463">
        <f ca="1" xml:space="preserve"> IF( AND( OFFSET($A$1, 463 - 1, 96 - 1) = "1", OFFSET($A$1, 463 - 1, 97 - 1) = "1" ), 1, IF( AND( OFFSET($A$1, 463 - 1, 96 - 1) = "1", OFFSET($A$1, 463 - 1, 97 - 1) = "0" ), 2, IF( AND( OFFSET($A$1, 463 - 1, 96 - 1) = "0", OFFSET($A$1, 463 - 1, 97 - 1) = "1" ), 3, 4 ) ) )</f>
        <v>4</v>
      </c>
    </row>
    <row r="464" spans="95:98" ht="13.8" x14ac:dyDescent="0.3">
      <c r="CQ464" s="24">
        <v>0.18740645539507103</v>
      </c>
      <c r="CR464" s="24" t="str">
        <f>"0"</f>
        <v>0</v>
      </c>
      <c r="CS464" t="str">
        <f ca="1">IF((OFFSET($A$1, 464 - 1, 95 - 1)) &gt;= (OFFSET($A$1, 55 - 1, 7 - 1)), "1","0")</f>
        <v>0</v>
      </c>
      <c r="CT464">
        <f ca="1" xml:space="preserve"> IF( AND( OFFSET($A$1, 464 - 1, 96 - 1) = "1", OFFSET($A$1, 464 - 1, 97 - 1) = "1" ), 1, IF( AND( OFFSET($A$1, 464 - 1, 96 - 1) = "1", OFFSET($A$1, 464 - 1, 97 - 1) = "0" ), 2, IF( AND( OFFSET($A$1, 464 - 1, 96 - 1) = "0", OFFSET($A$1, 464 - 1, 97 - 1) = "1" ), 3, 4 ) ) )</f>
        <v>4</v>
      </c>
    </row>
    <row r="465" spans="95:98" ht="13.8" x14ac:dyDescent="0.3">
      <c r="CQ465" s="24">
        <v>0.96208351690887195</v>
      </c>
      <c r="CR465" s="24" t="str">
        <f>"1"</f>
        <v>1</v>
      </c>
      <c r="CS465" t="str">
        <f ca="1">IF((OFFSET($A$1, 465 - 1, 95 - 1)) &gt;= (OFFSET($A$1, 55 - 1, 7 - 1)), "1","0")</f>
        <v>1</v>
      </c>
      <c r="CT465">
        <f ca="1" xml:space="preserve"> IF( AND( OFFSET($A$1, 465 - 1, 96 - 1) = "1", OFFSET($A$1, 465 - 1, 97 - 1) = "1" ), 1, IF( AND( OFFSET($A$1, 465 - 1, 96 - 1) = "1", OFFSET($A$1, 465 - 1, 97 - 1) = "0" ), 2, IF( AND( OFFSET($A$1, 465 - 1, 96 - 1) = "0", OFFSET($A$1, 465 - 1, 97 - 1) = "1" ), 3, 4 ) ) )</f>
        <v>1</v>
      </c>
    </row>
    <row r="466" spans="95:98" ht="13.8" x14ac:dyDescent="0.3">
      <c r="CQ466" s="24">
        <v>0.35507903312809103</v>
      </c>
      <c r="CR466" s="24" t="str">
        <f>"0"</f>
        <v>0</v>
      </c>
      <c r="CS466" t="str">
        <f ca="1">IF((OFFSET($A$1, 466 - 1, 95 - 1)) &gt;= (OFFSET($A$1, 55 - 1, 7 - 1)), "1","0")</f>
        <v>0</v>
      </c>
      <c r="CT466">
        <f ca="1" xml:space="preserve"> IF( AND( OFFSET($A$1, 466 - 1, 96 - 1) = "1", OFFSET($A$1, 466 - 1, 97 - 1) = "1" ), 1, IF( AND( OFFSET($A$1, 466 - 1, 96 - 1) = "1", OFFSET($A$1, 466 - 1, 97 - 1) = "0" ), 2, IF( AND( OFFSET($A$1, 466 - 1, 96 - 1) = "0", OFFSET($A$1, 466 - 1, 97 - 1) = "1" ), 3, 4 ) ) )</f>
        <v>4</v>
      </c>
    </row>
    <row r="467" spans="95:98" ht="13.8" x14ac:dyDescent="0.3">
      <c r="CQ467" s="24">
        <v>0.98597905729974789</v>
      </c>
      <c r="CR467" s="24" t="str">
        <f>"1"</f>
        <v>1</v>
      </c>
      <c r="CS467" t="str">
        <f ca="1">IF((OFFSET($A$1, 467 - 1, 95 - 1)) &gt;= (OFFSET($A$1, 55 - 1, 7 - 1)), "1","0")</f>
        <v>1</v>
      </c>
      <c r="CT467">
        <f ca="1" xml:space="preserve"> IF( AND( OFFSET($A$1, 467 - 1, 96 - 1) = "1", OFFSET($A$1, 467 - 1, 97 - 1) = "1" ), 1, IF( AND( OFFSET($A$1, 467 - 1, 96 - 1) = "1", OFFSET($A$1, 467 - 1, 97 - 1) = "0" ), 2, IF( AND( OFFSET($A$1, 467 - 1, 96 - 1) = "0", OFFSET($A$1, 467 - 1, 97 - 1) = "1" ), 3, 4 ) ) )</f>
        <v>1</v>
      </c>
    </row>
    <row r="468" spans="95:98" ht="13.8" x14ac:dyDescent="0.3">
      <c r="CQ468" s="24">
        <v>0.99159925574199659</v>
      </c>
      <c r="CR468" s="24" t="str">
        <f>"1"</f>
        <v>1</v>
      </c>
      <c r="CS468" t="str">
        <f ca="1">IF((OFFSET($A$1, 468 - 1, 95 - 1)) &gt;= (OFFSET($A$1, 55 - 1, 7 - 1)), "1","0")</f>
        <v>1</v>
      </c>
      <c r="CT468">
        <f ca="1" xml:space="preserve"> IF( AND( OFFSET($A$1, 468 - 1, 96 - 1) = "1", OFFSET($A$1, 468 - 1, 97 - 1) = "1" ), 1, IF( AND( OFFSET($A$1, 468 - 1, 96 - 1) = "1", OFFSET($A$1, 468 - 1, 97 - 1) = "0" ), 2, IF( AND( OFFSET($A$1, 468 - 1, 96 - 1) = "0", OFFSET($A$1, 468 - 1, 97 - 1) = "1" ), 3, 4 ) ) )</f>
        <v>1</v>
      </c>
    </row>
    <row r="469" spans="95:98" ht="13.8" x14ac:dyDescent="0.3">
      <c r="CQ469" s="24">
        <v>9.2933792933937096E-2</v>
      </c>
      <c r="CR469" s="24" t="str">
        <f>"0"</f>
        <v>0</v>
      </c>
      <c r="CS469" t="str">
        <f ca="1">IF((OFFSET($A$1, 469 - 1, 95 - 1)) &gt;= (OFFSET($A$1, 55 - 1, 7 - 1)), "1","0")</f>
        <v>0</v>
      </c>
      <c r="CT469">
        <f ca="1" xml:space="preserve"> IF( AND( OFFSET($A$1, 469 - 1, 96 - 1) = "1", OFFSET($A$1, 469 - 1, 97 - 1) = "1" ), 1, IF( AND( OFFSET($A$1, 469 - 1, 96 - 1) = "1", OFFSET($A$1, 469 - 1, 97 - 1) = "0" ), 2, IF( AND( OFFSET($A$1, 469 - 1, 96 - 1) = "0", OFFSET($A$1, 469 - 1, 97 - 1) = "1" ), 3, 4 ) ) )</f>
        <v>4</v>
      </c>
    </row>
    <row r="470" spans="95:98" ht="13.8" x14ac:dyDescent="0.3">
      <c r="CQ470" s="24">
        <v>0.28776986663245918</v>
      </c>
      <c r="CR470" s="24" t="str">
        <f>"0"</f>
        <v>0</v>
      </c>
      <c r="CS470" t="str">
        <f ca="1">IF((OFFSET($A$1, 470 - 1, 95 - 1)) &gt;= (OFFSET($A$1, 55 - 1, 7 - 1)), "1","0")</f>
        <v>0</v>
      </c>
      <c r="CT470">
        <f ca="1" xml:space="preserve"> IF( AND( OFFSET($A$1, 470 - 1, 96 - 1) = "1", OFFSET($A$1, 470 - 1, 97 - 1) = "1" ), 1, IF( AND( OFFSET($A$1, 470 - 1, 96 - 1) = "1", OFFSET($A$1, 470 - 1, 97 - 1) = "0" ), 2, IF( AND( OFFSET($A$1, 470 - 1, 96 - 1) = "0", OFFSET($A$1, 470 - 1, 97 - 1) = "1" ), 3, 4 ) ) )</f>
        <v>4</v>
      </c>
    </row>
    <row r="471" spans="95:98" ht="13.8" x14ac:dyDescent="0.3">
      <c r="CQ471" s="24">
        <v>0.99684122540379561</v>
      </c>
      <c r="CR471" s="24" t="str">
        <f>"0"</f>
        <v>0</v>
      </c>
      <c r="CS471" t="str">
        <f ca="1">IF((OFFSET($A$1, 471 - 1, 95 - 1)) &gt;= (OFFSET($A$1, 55 - 1, 7 - 1)), "1","0")</f>
        <v>1</v>
      </c>
      <c r="CT471">
        <f ca="1" xml:space="preserve"> IF( AND( OFFSET($A$1, 471 - 1, 96 - 1) = "1", OFFSET($A$1, 471 - 1, 97 - 1) = "1" ), 1, IF( AND( OFFSET($A$1, 471 - 1, 96 - 1) = "1", OFFSET($A$1, 471 - 1, 97 - 1) = "0" ), 2, IF( AND( OFFSET($A$1, 471 - 1, 96 - 1) = "0", OFFSET($A$1, 471 - 1, 97 - 1) = "1" ), 3, 4 ) ) )</f>
        <v>3</v>
      </c>
    </row>
    <row r="472" spans="95:98" ht="13.8" x14ac:dyDescent="0.3">
      <c r="CQ472" s="24">
        <v>0.99737888630221738</v>
      </c>
      <c r="CR472" s="24" t="str">
        <f>"1"</f>
        <v>1</v>
      </c>
      <c r="CS472" t="str">
        <f ca="1">IF((OFFSET($A$1, 472 - 1, 95 - 1)) &gt;= (OFFSET($A$1, 55 - 1, 7 - 1)), "1","0")</f>
        <v>1</v>
      </c>
      <c r="CT472">
        <f ca="1" xml:space="preserve"> IF( AND( OFFSET($A$1, 472 - 1, 96 - 1) = "1", OFFSET($A$1, 472 - 1, 97 - 1) = "1" ), 1, IF( AND( OFFSET($A$1, 472 - 1, 96 - 1) = "1", OFFSET($A$1, 472 - 1, 97 - 1) = "0" ), 2, IF( AND( OFFSET($A$1, 472 - 1, 96 - 1) = "0", OFFSET($A$1, 472 - 1, 97 - 1) = "1" ), 3, 4 ) ) )</f>
        <v>1</v>
      </c>
    </row>
    <row r="473" spans="95:98" ht="13.8" x14ac:dyDescent="0.3">
      <c r="CQ473" s="24">
        <v>0.92373352223929917</v>
      </c>
      <c r="CR473" s="24" t="str">
        <f>"0"</f>
        <v>0</v>
      </c>
      <c r="CS473" t="str">
        <f ca="1">IF((OFFSET($A$1, 473 - 1, 95 - 1)) &gt;= (OFFSET($A$1, 55 - 1, 7 - 1)), "1","0")</f>
        <v>1</v>
      </c>
      <c r="CT473">
        <f ca="1" xml:space="preserve"> IF( AND( OFFSET($A$1, 473 - 1, 96 - 1) = "1", OFFSET($A$1, 473 - 1, 97 - 1) = "1" ), 1, IF( AND( OFFSET($A$1, 473 - 1, 96 - 1) = "1", OFFSET($A$1, 473 - 1, 97 - 1) = "0" ), 2, IF( AND( OFFSET($A$1, 473 - 1, 96 - 1) = "0", OFFSET($A$1, 473 - 1, 97 - 1) = "1" ), 3, 4 ) ) )</f>
        <v>3</v>
      </c>
    </row>
    <row r="474" spans="95:98" ht="13.8" x14ac:dyDescent="0.3">
      <c r="CQ474" s="24">
        <v>0.32009997933879886</v>
      </c>
      <c r="CR474" s="24" t="str">
        <f>"0"</f>
        <v>0</v>
      </c>
      <c r="CS474" t="str">
        <f ca="1">IF((OFFSET($A$1, 474 - 1, 95 - 1)) &gt;= (OFFSET($A$1, 55 - 1, 7 - 1)), "1","0")</f>
        <v>0</v>
      </c>
      <c r="CT474">
        <f ca="1" xml:space="preserve"> IF( AND( OFFSET($A$1, 474 - 1, 96 - 1) = "1", OFFSET($A$1, 474 - 1, 97 - 1) = "1" ), 1, IF( AND( OFFSET($A$1, 474 - 1, 96 - 1) = "1", OFFSET($A$1, 474 - 1, 97 - 1) = "0" ), 2, IF( AND( OFFSET($A$1, 474 - 1, 96 - 1) = "0", OFFSET($A$1, 474 - 1, 97 - 1) = "1" ), 3, 4 ) ) )</f>
        <v>4</v>
      </c>
    </row>
    <row r="475" spans="95:98" ht="13.8" x14ac:dyDescent="0.3">
      <c r="CQ475" s="24">
        <v>0.96853513578175698</v>
      </c>
      <c r="CR475" s="24" t="str">
        <f>"1"</f>
        <v>1</v>
      </c>
      <c r="CS475" t="str">
        <f ca="1">IF((OFFSET($A$1, 475 - 1, 95 - 1)) &gt;= (OFFSET($A$1, 55 - 1, 7 - 1)), "1","0")</f>
        <v>1</v>
      </c>
      <c r="CT475">
        <f ca="1" xml:space="preserve"> IF( AND( OFFSET($A$1, 475 - 1, 96 - 1) = "1", OFFSET($A$1, 475 - 1, 97 - 1) = "1" ), 1, IF( AND( OFFSET($A$1, 475 - 1, 96 - 1) = "1", OFFSET($A$1, 475 - 1, 97 - 1) = "0" ), 2, IF( AND( OFFSET($A$1, 475 - 1, 96 - 1) = "0", OFFSET($A$1, 475 - 1, 97 - 1) = "1" ), 3, 4 ) ) )</f>
        <v>1</v>
      </c>
    </row>
    <row r="476" spans="95:98" ht="13.8" x14ac:dyDescent="0.3">
      <c r="CQ476" s="24">
        <v>0.99792958351997962</v>
      </c>
      <c r="CR476" s="24" t="str">
        <f>"1"</f>
        <v>1</v>
      </c>
      <c r="CS476" t="str">
        <f ca="1">IF((OFFSET($A$1, 476 - 1, 95 - 1)) &gt;= (OFFSET($A$1, 55 - 1, 7 - 1)), "1","0")</f>
        <v>1</v>
      </c>
      <c r="CT476">
        <f ca="1" xml:space="preserve"> IF( AND( OFFSET($A$1, 476 - 1, 96 - 1) = "1", OFFSET($A$1, 476 - 1, 97 - 1) = "1" ), 1, IF( AND( OFFSET($A$1, 476 - 1, 96 - 1) = "1", OFFSET($A$1, 476 - 1, 97 - 1) = "0" ), 2, IF( AND( OFFSET($A$1, 476 - 1, 96 - 1) = "0", OFFSET($A$1, 476 - 1, 97 - 1) = "1" ), 3, 4 ) ) )</f>
        <v>1</v>
      </c>
    </row>
    <row r="477" spans="95:98" ht="13.8" x14ac:dyDescent="0.3">
      <c r="CQ477" s="24">
        <v>0.28628673112696384</v>
      </c>
      <c r="CR477" s="24" t="str">
        <f>"0"</f>
        <v>0</v>
      </c>
      <c r="CS477" t="str">
        <f ca="1">IF((OFFSET($A$1, 477 - 1, 95 - 1)) &gt;= (OFFSET($A$1, 55 - 1, 7 - 1)), "1","0")</f>
        <v>0</v>
      </c>
      <c r="CT477">
        <f ca="1" xml:space="preserve"> IF( AND( OFFSET($A$1, 477 - 1, 96 - 1) = "1", OFFSET($A$1, 477 - 1, 97 - 1) = "1" ), 1, IF( AND( OFFSET($A$1, 477 - 1, 96 - 1) = "1", OFFSET($A$1, 477 - 1, 97 - 1) = "0" ), 2, IF( AND( OFFSET($A$1, 477 - 1, 96 - 1) = "0", OFFSET($A$1, 477 - 1, 97 - 1) = "1" ), 3, 4 ) ) )</f>
        <v>4</v>
      </c>
    </row>
    <row r="478" spans="95:98" ht="13.8" x14ac:dyDescent="0.3">
      <c r="CQ478" s="24">
        <v>0.99664211466827013</v>
      </c>
      <c r="CR478" s="24" t="str">
        <f>"1"</f>
        <v>1</v>
      </c>
      <c r="CS478" t="str">
        <f ca="1">IF((OFFSET($A$1, 478 - 1, 95 - 1)) &gt;= (OFFSET($A$1, 55 - 1, 7 - 1)), "1","0")</f>
        <v>1</v>
      </c>
      <c r="CT478">
        <f ca="1" xml:space="preserve"> IF( AND( OFFSET($A$1, 478 - 1, 96 - 1) = "1", OFFSET($A$1, 478 - 1, 97 - 1) = "1" ), 1, IF( AND( OFFSET($A$1, 478 - 1, 96 - 1) = "1", OFFSET($A$1, 478 - 1, 97 - 1) = "0" ), 2, IF( AND( OFFSET($A$1, 478 - 1, 96 - 1) = "0", OFFSET($A$1, 478 - 1, 97 - 1) = "1" ), 3, 4 ) ) )</f>
        <v>1</v>
      </c>
    </row>
    <row r="479" spans="95:98" ht="13.8" x14ac:dyDescent="0.3">
      <c r="CQ479" s="24">
        <v>0.9728553192253192</v>
      </c>
      <c r="CR479" s="24" t="str">
        <f>"1"</f>
        <v>1</v>
      </c>
      <c r="CS479" t="str">
        <f ca="1">IF((OFFSET($A$1, 479 - 1, 95 - 1)) &gt;= (OFFSET($A$1, 55 - 1, 7 - 1)), "1","0")</f>
        <v>1</v>
      </c>
      <c r="CT479">
        <f ca="1" xml:space="preserve"> IF( AND( OFFSET($A$1, 479 - 1, 96 - 1) = "1", OFFSET($A$1, 479 - 1, 97 - 1) = "1" ), 1, IF( AND( OFFSET($A$1, 479 - 1, 96 - 1) = "1", OFFSET($A$1, 479 - 1, 97 - 1) = "0" ), 2, IF( AND( OFFSET($A$1, 479 - 1, 96 - 1) = "0", OFFSET($A$1, 479 - 1, 97 - 1) = "1" ), 3, 4 ) ) )</f>
        <v>1</v>
      </c>
    </row>
    <row r="480" spans="95:98" ht="13.8" x14ac:dyDescent="0.3">
      <c r="CQ480" s="24">
        <v>0.28260109666161093</v>
      </c>
      <c r="CR480" s="24" t="str">
        <f>"0"</f>
        <v>0</v>
      </c>
      <c r="CS480" t="str">
        <f ca="1">IF((OFFSET($A$1, 480 - 1, 95 - 1)) &gt;= (OFFSET($A$1, 55 - 1, 7 - 1)), "1","0")</f>
        <v>0</v>
      </c>
      <c r="CT480">
        <f ca="1" xml:space="preserve"> IF( AND( OFFSET($A$1, 480 - 1, 96 - 1) = "1", OFFSET($A$1, 480 - 1, 97 - 1) = "1" ), 1, IF( AND( OFFSET($A$1, 480 - 1, 96 - 1) = "1", OFFSET($A$1, 480 - 1, 97 - 1) = "0" ), 2, IF( AND( OFFSET($A$1, 480 - 1, 96 - 1) = "0", OFFSET($A$1, 480 - 1, 97 - 1) = "1" ), 3, 4 ) ) )</f>
        <v>4</v>
      </c>
    </row>
    <row r="481" spans="95:98" ht="13.8" x14ac:dyDescent="0.3">
      <c r="CQ481" s="24">
        <v>0.9876317113198847</v>
      </c>
      <c r="CR481" s="24" t="str">
        <f>"1"</f>
        <v>1</v>
      </c>
      <c r="CS481" t="str">
        <f ca="1">IF((OFFSET($A$1, 481 - 1, 95 - 1)) &gt;= (OFFSET($A$1, 55 - 1, 7 - 1)), "1","0")</f>
        <v>1</v>
      </c>
      <c r="CT481">
        <f ca="1" xml:space="preserve"> IF( AND( OFFSET($A$1, 481 - 1, 96 - 1) = "1", OFFSET($A$1, 481 - 1, 97 - 1) = "1" ), 1, IF( AND( OFFSET($A$1, 481 - 1, 96 - 1) = "1", OFFSET($A$1, 481 - 1, 97 - 1) = "0" ), 2, IF( AND( OFFSET($A$1, 481 - 1, 96 - 1) = "0", OFFSET($A$1, 481 - 1, 97 - 1) = "1" ), 3, 4 ) ) )</f>
        <v>1</v>
      </c>
    </row>
    <row r="482" spans="95:98" ht="13.8" x14ac:dyDescent="0.3">
      <c r="CQ482" s="24">
        <v>0.98552885166609783</v>
      </c>
      <c r="CR482" s="24" t="str">
        <f>"1"</f>
        <v>1</v>
      </c>
      <c r="CS482" t="str">
        <f ca="1">IF((OFFSET($A$1, 482 - 1, 95 - 1)) &gt;= (OFFSET($A$1, 55 - 1, 7 - 1)), "1","0")</f>
        <v>1</v>
      </c>
      <c r="CT482">
        <f ca="1" xml:space="preserve"> IF( AND( OFFSET($A$1, 482 - 1, 96 - 1) = "1", OFFSET($A$1, 482 - 1, 97 - 1) = "1" ), 1, IF( AND( OFFSET($A$1, 482 - 1, 96 - 1) = "1", OFFSET($A$1, 482 - 1, 97 - 1) = "0" ), 2, IF( AND( OFFSET($A$1, 482 - 1, 96 - 1) = "0", OFFSET($A$1, 482 - 1, 97 - 1) = "1" ), 3, 4 ) ) )</f>
        <v>1</v>
      </c>
    </row>
    <row r="483" spans="95:98" ht="13.8" x14ac:dyDescent="0.3">
      <c r="CQ483" s="24">
        <v>0.98971043955287175</v>
      </c>
      <c r="CR483" s="24" t="str">
        <f>"1"</f>
        <v>1</v>
      </c>
      <c r="CS483" t="str">
        <f ca="1">IF((OFFSET($A$1, 483 - 1, 95 - 1)) &gt;= (OFFSET($A$1, 55 - 1, 7 - 1)), "1","0")</f>
        <v>1</v>
      </c>
      <c r="CT483">
        <f ca="1" xml:space="preserve"> IF( AND( OFFSET($A$1, 483 - 1, 96 - 1) = "1", OFFSET($A$1, 483 - 1, 97 - 1) = "1" ), 1, IF( AND( OFFSET($A$1, 483 - 1, 96 - 1) = "1", OFFSET($A$1, 483 - 1, 97 - 1) = "0" ), 2, IF( AND( OFFSET($A$1, 483 - 1, 96 - 1) = "0", OFFSET($A$1, 483 - 1, 97 - 1) = "1" ), 3, 4 ) ) )</f>
        <v>1</v>
      </c>
    </row>
    <row r="484" spans="95:98" ht="13.8" x14ac:dyDescent="0.3">
      <c r="CQ484" s="24">
        <v>0.98985323973321415</v>
      </c>
      <c r="CR484" s="24" t="str">
        <f>"1"</f>
        <v>1</v>
      </c>
      <c r="CS484" t="str">
        <f ca="1">IF((OFFSET($A$1, 484 - 1, 95 - 1)) &gt;= (OFFSET($A$1, 55 - 1, 7 - 1)), "1","0")</f>
        <v>1</v>
      </c>
      <c r="CT484">
        <f ca="1" xml:space="preserve"> IF( AND( OFFSET($A$1, 484 - 1, 96 - 1) = "1", OFFSET($A$1, 484 - 1, 97 - 1) = "1" ), 1, IF( AND( OFFSET($A$1, 484 - 1, 96 - 1) = "1", OFFSET($A$1, 484 - 1, 97 - 1) = "0" ), 2, IF( AND( OFFSET($A$1, 484 - 1, 96 - 1) = "0", OFFSET($A$1, 484 - 1, 97 - 1) = "1" ), 3, 4 ) ) )</f>
        <v>1</v>
      </c>
    </row>
    <row r="485" spans="95:98" ht="13.8" x14ac:dyDescent="0.3">
      <c r="CQ485" s="24">
        <v>4.1815733447203789E-2</v>
      </c>
      <c r="CR485" s="24" t="str">
        <f>"0"</f>
        <v>0</v>
      </c>
      <c r="CS485" t="str">
        <f ca="1">IF((OFFSET($A$1, 485 - 1, 95 - 1)) &gt;= (OFFSET($A$1, 55 - 1, 7 - 1)), "1","0")</f>
        <v>0</v>
      </c>
      <c r="CT485">
        <f ca="1" xml:space="preserve"> IF( AND( OFFSET($A$1, 485 - 1, 96 - 1) = "1", OFFSET($A$1, 485 - 1, 97 - 1) = "1" ), 1, IF( AND( OFFSET($A$1, 485 - 1, 96 - 1) = "1", OFFSET($A$1, 485 - 1, 97 - 1) = "0" ), 2, IF( AND( OFFSET($A$1, 485 - 1, 96 - 1) = "0", OFFSET($A$1, 485 - 1, 97 - 1) = "1" ), 3, 4 ) ) )</f>
        <v>4</v>
      </c>
    </row>
    <row r="486" spans="95:98" ht="13.8" x14ac:dyDescent="0.3">
      <c r="CQ486" s="24">
        <v>0.9930473633314626</v>
      </c>
      <c r="CR486" s="24" t="str">
        <f>"1"</f>
        <v>1</v>
      </c>
      <c r="CS486" t="str">
        <f ca="1">IF((OFFSET($A$1, 486 - 1, 95 - 1)) &gt;= (OFFSET($A$1, 55 - 1, 7 - 1)), "1","0")</f>
        <v>1</v>
      </c>
      <c r="CT486">
        <f ca="1" xml:space="preserve"> IF( AND( OFFSET($A$1, 486 - 1, 96 - 1) = "1", OFFSET($A$1, 486 - 1, 97 - 1) = "1" ), 1, IF( AND( OFFSET($A$1, 486 - 1, 96 - 1) = "1", OFFSET($A$1, 486 - 1, 97 - 1) = "0" ), 2, IF( AND( OFFSET($A$1, 486 - 1, 96 - 1) = "0", OFFSET($A$1, 486 - 1, 97 - 1) = "1" ), 3, 4 ) ) )</f>
        <v>1</v>
      </c>
    </row>
    <row r="487" spans="95:98" ht="13.8" x14ac:dyDescent="0.3">
      <c r="CQ487" s="24">
        <v>0.98950242146766199</v>
      </c>
      <c r="CR487" s="24" t="str">
        <f>"1"</f>
        <v>1</v>
      </c>
      <c r="CS487" t="str">
        <f ca="1">IF((OFFSET($A$1, 487 - 1, 95 - 1)) &gt;= (OFFSET($A$1, 55 - 1, 7 - 1)), "1","0")</f>
        <v>1</v>
      </c>
      <c r="CT487">
        <f ca="1" xml:space="preserve"> IF( AND( OFFSET($A$1, 487 - 1, 96 - 1) = "1", OFFSET($A$1, 487 - 1, 97 - 1) = "1" ), 1, IF( AND( OFFSET($A$1, 487 - 1, 96 - 1) = "1", OFFSET($A$1, 487 - 1, 97 - 1) = "0" ), 2, IF( AND( OFFSET($A$1, 487 - 1, 96 - 1) = "0", OFFSET($A$1, 487 - 1, 97 - 1) = "1" ), 3, 4 ) ) )</f>
        <v>1</v>
      </c>
    </row>
    <row r="488" spans="95:98" ht="13.8" x14ac:dyDescent="0.3">
      <c r="CQ488" s="24">
        <v>7.4726239282537271E-2</v>
      </c>
      <c r="CR488" s="24" t="str">
        <f>"0"</f>
        <v>0</v>
      </c>
      <c r="CS488" t="str">
        <f ca="1">IF((OFFSET($A$1, 488 - 1, 95 - 1)) &gt;= (OFFSET($A$1, 55 - 1, 7 - 1)), "1","0")</f>
        <v>0</v>
      </c>
      <c r="CT488">
        <f ca="1" xml:space="preserve"> IF( AND( OFFSET($A$1, 488 - 1, 96 - 1) = "1", OFFSET($A$1, 488 - 1, 97 - 1) = "1" ), 1, IF( AND( OFFSET($A$1, 488 - 1, 96 - 1) = "1", OFFSET($A$1, 488 - 1, 97 - 1) = "0" ), 2, IF( AND( OFFSET($A$1, 488 - 1, 96 - 1) = "0", OFFSET($A$1, 488 - 1, 97 - 1) = "1" ), 3, 4 ) ) )</f>
        <v>4</v>
      </c>
    </row>
    <row r="489" spans="95:98" ht="13.8" x14ac:dyDescent="0.3">
      <c r="CQ489" s="24">
        <v>0.98793331086683267</v>
      </c>
      <c r="CR489" s="24" t="str">
        <f>"1"</f>
        <v>1</v>
      </c>
      <c r="CS489" t="str">
        <f ca="1">IF((OFFSET($A$1, 489 - 1, 95 - 1)) &gt;= (OFFSET($A$1, 55 - 1, 7 - 1)), "1","0")</f>
        <v>1</v>
      </c>
      <c r="CT489">
        <f ca="1" xml:space="preserve"> IF( AND( OFFSET($A$1, 489 - 1, 96 - 1) = "1", OFFSET($A$1, 489 - 1, 97 - 1) = "1" ), 1, IF( AND( OFFSET($A$1, 489 - 1, 96 - 1) = "1", OFFSET($A$1, 489 - 1, 97 - 1) = "0" ), 2, IF( AND( OFFSET($A$1, 489 - 1, 96 - 1) = "0", OFFSET($A$1, 489 - 1, 97 - 1) = "1" ), 3, 4 ) ) )</f>
        <v>1</v>
      </c>
    </row>
    <row r="490" spans="95:98" ht="13.8" x14ac:dyDescent="0.3">
      <c r="CQ490" s="24">
        <v>0.44807214601459405</v>
      </c>
      <c r="CR490" s="24" t="str">
        <f>"0"</f>
        <v>0</v>
      </c>
      <c r="CS490" t="str">
        <f ca="1">IF((OFFSET($A$1, 490 - 1, 95 - 1)) &gt;= (OFFSET($A$1, 55 - 1, 7 - 1)), "1","0")</f>
        <v>0</v>
      </c>
      <c r="CT490">
        <f ca="1" xml:space="preserve"> IF( AND( OFFSET($A$1, 490 - 1, 96 - 1) = "1", OFFSET($A$1, 490 - 1, 97 - 1) = "1" ), 1, IF( AND( OFFSET($A$1, 490 - 1, 96 - 1) = "1", OFFSET($A$1, 490 - 1, 97 - 1) = "0" ), 2, IF( AND( OFFSET($A$1, 490 - 1, 96 - 1) = "0", OFFSET($A$1, 490 - 1, 97 - 1) = "1" ), 3, 4 ) ) )</f>
        <v>4</v>
      </c>
    </row>
    <row r="491" spans="95:98" ht="13.8" x14ac:dyDescent="0.3">
      <c r="CQ491" s="24">
        <v>0.99381052835238193</v>
      </c>
      <c r="CR491" s="24" t="str">
        <f t="shared" ref="CR491:CR502" si="34">"1"</f>
        <v>1</v>
      </c>
      <c r="CS491" t="str">
        <f ca="1">IF((OFFSET($A$1, 491 - 1, 95 - 1)) &gt;= (OFFSET($A$1, 55 - 1, 7 - 1)), "1","0")</f>
        <v>1</v>
      </c>
      <c r="CT491">
        <f ca="1" xml:space="preserve"> IF( AND( OFFSET($A$1, 491 - 1, 96 - 1) = "1", OFFSET($A$1, 491 - 1, 97 - 1) = "1" ), 1, IF( AND( OFFSET($A$1, 491 - 1, 96 - 1) = "1", OFFSET($A$1, 491 - 1, 97 - 1) = "0" ), 2, IF( AND( OFFSET($A$1, 491 - 1, 96 - 1) = "0", OFFSET($A$1, 491 - 1, 97 - 1) = "1" ), 3, 4 ) ) )</f>
        <v>1</v>
      </c>
    </row>
    <row r="492" spans="95:98" ht="13.8" x14ac:dyDescent="0.3">
      <c r="CQ492" s="24">
        <v>0.99184232194218214</v>
      </c>
      <c r="CR492" s="24" t="str">
        <f t="shared" si="34"/>
        <v>1</v>
      </c>
      <c r="CS492" t="str">
        <f ca="1">IF((OFFSET($A$1, 492 - 1, 95 - 1)) &gt;= (OFFSET($A$1, 55 - 1, 7 - 1)), "1","0")</f>
        <v>1</v>
      </c>
      <c r="CT492">
        <f ca="1" xml:space="preserve"> IF( AND( OFFSET($A$1, 492 - 1, 96 - 1) = "1", OFFSET($A$1, 492 - 1, 97 - 1) = "1" ), 1, IF( AND( OFFSET($A$1, 492 - 1, 96 - 1) = "1", OFFSET($A$1, 492 - 1, 97 - 1) = "0" ), 2, IF( AND( OFFSET($A$1, 492 - 1, 96 - 1) = "0", OFFSET($A$1, 492 - 1, 97 - 1) = "1" ), 3, 4 ) ) )</f>
        <v>1</v>
      </c>
    </row>
    <row r="493" spans="95:98" ht="13.8" x14ac:dyDescent="0.3">
      <c r="CQ493" s="24">
        <v>0.98988528758617278</v>
      </c>
      <c r="CR493" s="24" t="str">
        <f t="shared" si="34"/>
        <v>1</v>
      </c>
      <c r="CS493" t="str">
        <f ca="1">IF((OFFSET($A$1, 493 - 1, 95 - 1)) &gt;= (OFFSET($A$1, 55 - 1, 7 - 1)), "1","0")</f>
        <v>1</v>
      </c>
      <c r="CT493">
        <f ca="1" xml:space="preserve"> IF( AND( OFFSET($A$1, 493 - 1, 96 - 1) = "1", OFFSET($A$1, 493 - 1, 97 - 1) = "1" ), 1, IF( AND( OFFSET($A$1, 493 - 1, 96 - 1) = "1", OFFSET($A$1, 493 - 1, 97 - 1) = "0" ), 2, IF( AND( OFFSET($A$1, 493 - 1, 96 - 1) = "0", OFFSET($A$1, 493 - 1, 97 - 1) = "1" ), 3, 4 ) ) )</f>
        <v>1</v>
      </c>
    </row>
    <row r="494" spans="95:98" ht="13.8" x14ac:dyDescent="0.3">
      <c r="CQ494" s="24">
        <v>0.99535379649071809</v>
      </c>
      <c r="CR494" s="24" t="str">
        <f t="shared" si="34"/>
        <v>1</v>
      </c>
      <c r="CS494" t="str">
        <f ca="1">IF((OFFSET($A$1, 494 - 1, 95 - 1)) &gt;= (OFFSET($A$1, 55 - 1, 7 - 1)), "1","0")</f>
        <v>1</v>
      </c>
      <c r="CT494">
        <f ca="1" xml:space="preserve"> IF( AND( OFFSET($A$1, 494 - 1, 96 - 1) = "1", OFFSET($A$1, 494 - 1, 97 - 1) = "1" ), 1, IF( AND( OFFSET($A$1, 494 - 1, 96 - 1) = "1", OFFSET($A$1, 494 - 1, 97 - 1) = "0" ), 2, IF( AND( OFFSET($A$1, 494 - 1, 96 - 1) = "0", OFFSET($A$1, 494 - 1, 97 - 1) = "1" ), 3, 4 ) ) )</f>
        <v>1</v>
      </c>
    </row>
    <row r="495" spans="95:98" ht="13.8" x14ac:dyDescent="0.3">
      <c r="CQ495" s="24">
        <v>0.98692914751571692</v>
      </c>
      <c r="CR495" s="24" t="str">
        <f t="shared" si="34"/>
        <v>1</v>
      </c>
      <c r="CS495" t="str">
        <f ca="1">IF((OFFSET($A$1, 495 - 1, 95 - 1)) &gt;= (OFFSET($A$1, 55 - 1, 7 - 1)), "1","0")</f>
        <v>1</v>
      </c>
      <c r="CT495">
        <f ca="1" xml:space="preserve"> IF( AND( OFFSET($A$1, 495 - 1, 96 - 1) = "1", OFFSET($A$1, 495 - 1, 97 - 1) = "1" ), 1, IF( AND( OFFSET($A$1, 495 - 1, 96 - 1) = "1", OFFSET($A$1, 495 - 1, 97 - 1) = "0" ), 2, IF( AND( OFFSET($A$1, 495 - 1, 96 - 1) = "0", OFFSET($A$1, 495 - 1, 97 - 1) = "1" ), 3, 4 ) ) )</f>
        <v>1</v>
      </c>
    </row>
    <row r="496" spans="95:98" ht="13.8" x14ac:dyDescent="0.3">
      <c r="CQ496" s="24">
        <v>0.99852717346349262</v>
      </c>
      <c r="CR496" s="24" t="str">
        <f t="shared" si="34"/>
        <v>1</v>
      </c>
      <c r="CS496" t="str">
        <f ca="1">IF((OFFSET($A$1, 496 - 1, 95 - 1)) &gt;= (OFFSET($A$1, 55 - 1, 7 - 1)), "1","0")</f>
        <v>1</v>
      </c>
      <c r="CT496">
        <f ca="1" xml:space="preserve"> IF( AND( OFFSET($A$1, 496 - 1, 96 - 1) = "1", OFFSET($A$1, 496 - 1, 97 - 1) = "1" ), 1, IF( AND( OFFSET($A$1, 496 - 1, 96 - 1) = "1", OFFSET($A$1, 496 - 1, 97 - 1) = "0" ), 2, IF( AND( OFFSET($A$1, 496 - 1, 96 - 1) = "0", OFFSET($A$1, 496 - 1, 97 - 1) = "1" ), 3, 4 ) ) )</f>
        <v>1</v>
      </c>
    </row>
    <row r="497" spans="95:98" ht="13.8" x14ac:dyDescent="0.3">
      <c r="CQ497" s="24">
        <v>0.9931792762462982</v>
      </c>
      <c r="CR497" s="24" t="str">
        <f t="shared" si="34"/>
        <v>1</v>
      </c>
      <c r="CS497" t="str">
        <f ca="1">IF((OFFSET($A$1, 497 - 1, 95 - 1)) &gt;= (OFFSET($A$1, 55 - 1, 7 - 1)), "1","0")</f>
        <v>1</v>
      </c>
      <c r="CT497">
        <f ca="1" xml:space="preserve"> IF( AND( OFFSET($A$1, 497 - 1, 96 - 1) = "1", OFFSET($A$1, 497 - 1, 97 - 1) = "1" ), 1, IF( AND( OFFSET($A$1, 497 - 1, 96 - 1) = "1", OFFSET($A$1, 497 - 1, 97 - 1) = "0" ), 2, IF( AND( OFFSET($A$1, 497 - 1, 96 - 1) = "0", OFFSET($A$1, 497 - 1, 97 - 1) = "1" ), 3, 4 ) ) )</f>
        <v>1</v>
      </c>
    </row>
    <row r="498" spans="95:98" ht="13.8" x14ac:dyDescent="0.3">
      <c r="CQ498" s="24">
        <v>0.99680136631633154</v>
      </c>
      <c r="CR498" s="24" t="str">
        <f t="shared" si="34"/>
        <v>1</v>
      </c>
      <c r="CS498" t="str">
        <f ca="1">IF((OFFSET($A$1, 498 - 1, 95 - 1)) &gt;= (OFFSET($A$1, 55 - 1, 7 - 1)), "1","0")</f>
        <v>1</v>
      </c>
      <c r="CT498">
        <f ca="1" xml:space="preserve"> IF( AND( OFFSET($A$1, 498 - 1, 96 - 1) = "1", OFFSET($A$1, 498 - 1, 97 - 1) = "1" ), 1, IF( AND( OFFSET($A$1, 498 - 1, 96 - 1) = "1", OFFSET($A$1, 498 - 1, 97 - 1) = "0" ), 2, IF( AND( OFFSET($A$1, 498 - 1, 96 - 1) = "0", OFFSET($A$1, 498 - 1, 97 - 1) = "1" ), 3, 4 ) ) )</f>
        <v>1</v>
      </c>
    </row>
    <row r="499" spans="95:98" ht="13.8" x14ac:dyDescent="0.3">
      <c r="CQ499" s="24">
        <v>0.92637912274122458</v>
      </c>
      <c r="CR499" s="24" t="str">
        <f t="shared" si="34"/>
        <v>1</v>
      </c>
      <c r="CS499" t="str">
        <f ca="1">IF((OFFSET($A$1, 499 - 1, 95 - 1)) &gt;= (OFFSET($A$1, 55 - 1, 7 - 1)), "1","0")</f>
        <v>1</v>
      </c>
      <c r="CT499">
        <f ca="1" xml:space="preserve"> IF( AND( OFFSET($A$1, 499 - 1, 96 - 1) = "1", OFFSET($A$1, 499 - 1, 97 - 1) = "1" ), 1, IF( AND( OFFSET($A$1, 499 - 1, 96 - 1) = "1", OFFSET($A$1, 499 - 1, 97 - 1) = "0" ), 2, IF( AND( OFFSET($A$1, 499 - 1, 96 - 1) = "0", OFFSET($A$1, 499 - 1, 97 - 1) = "1" ), 3, 4 ) ) )</f>
        <v>1</v>
      </c>
    </row>
    <row r="500" spans="95:98" ht="13.8" x14ac:dyDescent="0.3">
      <c r="CQ500" s="24">
        <v>0.99680510629681396</v>
      </c>
      <c r="CR500" s="24" t="str">
        <f t="shared" si="34"/>
        <v>1</v>
      </c>
      <c r="CS500" t="str">
        <f ca="1">IF((OFFSET($A$1, 500 - 1, 95 - 1)) &gt;= (OFFSET($A$1, 55 - 1, 7 - 1)), "1","0")</f>
        <v>1</v>
      </c>
      <c r="CT500">
        <f ca="1" xml:space="preserve"> IF( AND( OFFSET($A$1, 500 - 1, 96 - 1) = "1", OFFSET($A$1, 500 - 1, 97 - 1) = "1" ), 1, IF( AND( OFFSET($A$1, 500 - 1, 96 - 1) = "1", OFFSET($A$1, 500 - 1, 97 - 1) = "0" ), 2, IF( AND( OFFSET($A$1, 500 - 1, 96 - 1) = "0", OFFSET($A$1, 500 - 1, 97 - 1) = "1" ), 3, 4 ) ) )</f>
        <v>1</v>
      </c>
    </row>
    <row r="501" spans="95:98" ht="13.8" x14ac:dyDescent="0.3">
      <c r="CQ501" s="24">
        <v>0.99893267713759948</v>
      </c>
      <c r="CR501" s="24" t="str">
        <f t="shared" si="34"/>
        <v>1</v>
      </c>
      <c r="CS501" t="str">
        <f ca="1">IF((OFFSET($A$1, 501 - 1, 95 - 1)) &gt;= (OFFSET($A$1, 55 - 1, 7 - 1)), "1","0")</f>
        <v>1</v>
      </c>
      <c r="CT501">
        <f ca="1" xml:space="preserve"> IF( AND( OFFSET($A$1, 501 - 1, 96 - 1) = "1", OFFSET($A$1, 501 - 1, 97 - 1) = "1" ), 1, IF( AND( OFFSET($A$1, 501 - 1, 96 - 1) = "1", OFFSET($A$1, 501 - 1, 97 - 1) = "0" ), 2, IF( AND( OFFSET($A$1, 501 - 1, 96 - 1) = "0", OFFSET($A$1, 501 - 1, 97 - 1) = "1" ), 3, 4 ) ) )</f>
        <v>1</v>
      </c>
    </row>
    <row r="502" spans="95:98" ht="13.8" x14ac:dyDescent="0.3">
      <c r="CQ502" s="24">
        <v>0.98465386006460964</v>
      </c>
      <c r="CR502" s="24" t="str">
        <f t="shared" si="34"/>
        <v>1</v>
      </c>
      <c r="CS502" t="str">
        <f ca="1">IF((OFFSET($A$1, 502 - 1, 95 - 1)) &gt;= (OFFSET($A$1, 55 - 1, 7 - 1)), "1","0")</f>
        <v>1</v>
      </c>
      <c r="CT502">
        <f ca="1" xml:space="preserve"> IF( AND( OFFSET($A$1, 502 - 1, 96 - 1) = "1", OFFSET($A$1, 502 - 1, 97 - 1) = "1" ), 1, IF( AND( OFFSET($A$1, 502 - 1, 96 - 1) = "1", OFFSET($A$1, 502 - 1, 97 - 1) = "0" ), 2, IF( AND( OFFSET($A$1, 502 - 1, 96 - 1) = "0", OFFSET($A$1, 502 - 1, 97 - 1) = "1" ), 3, 4 ) ) )</f>
        <v>1</v>
      </c>
    </row>
    <row r="503" spans="95:98" ht="13.8" x14ac:dyDescent="0.3">
      <c r="CQ503" s="24">
        <v>0.99874068451475073</v>
      </c>
      <c r="CR503" s="24" t="str">
        <f>"0"</f>
        <v>0</v>
      </c>
      <c r="CS503" t="str">
        <f ca="1">IF((OFFSET($A$1, 503 - 1, 95 - 1)) &gt;= (OFFSET($A$1, 55 - 1, 7 - 1)), "1","0")</f>
        <v>1</v>
      </c>
      <c r="CT503">
        <f ca="1" xml:space="preserve"> IF( AND( OFFSET($A$1, 503 - 1, 96 - 1) = "1", OFFSET($A$1, 503 - 1, 97 - 1) = "1" ), 1, IF( AND( OFFSET($A$1, 503 - 1, 96 - 1) = "1", OFFSET($A$1, 503 - 1, 97 - 1) = "0" ), 2, IF( AND( OFFSET($A$1, 503 - 1, 96 - 1) = "0", OFFSET($A$1, 503 - 1, 97 - 1) = "1" ), 3, 4 ) ) )</f>
        <v>3</v>
      </c>
    </row>
    <row r="504" spans="95:98" ht="13.8" x14ac:dyDescent="0.3">
      <c r="CQ504" s="24">
        <v>0.97382358118126755</v>
      </c>
      <c r="CR504" s="24" t="str">
        <f>"1"</f>
        <v>1</v>
      </c>
      <c r="CS504" t="str">
        <f ca="1">IF((OFFSET($A$1, 504 - 1, 95 - 1)) &gt;= (OFFSET($A$1, 55 - 1, 7 - 1)), "1","0")</f>
        <v>1</v>
      </c>
      <c r="CT504">
        <f ca="1" xml:space="preserve"> IF( AND( OFFSET($A$1, 504 - 1, 96 - 1) = "1", OFFSET($A$1, 504 - 1, 97 - 1) = "1" ), 1, IF( AND( OFFSET($A$1, 504 - 1, 96 - 1) = "1", OFFSET($A$1, 504 - 1, 97 - 1) = "0" ), 2, IF( AND( OFFSET($A$1, 504 - 1, 96 - 1) = "0", OFFSET($A$1, 504 - 1, 97 - 1) = "1" ), 3, 4 ) ) )</f>
        <v>1</v>
      </c>
    </row>
    <row r="505" spans="95:98" ht="13.8" x14ac:dyDescent="0.3">
      <c r="CQ505" s="24">
        <v>0.9986826482478034</v>
      </c>
      <c r="CR505" s="24" t="str">
        <f>"1"</f>
        <v>1</v>
      </c>
      <c r="CS505" t="str">
        <f ca="1">IF((OFFSET($A$1, 505 - 1, 95 - 1)) &gt;= (OFFSET($A$1, 55 - 1, 7 - 1)), "1","0")</f>
        <v>1</v>
      </c>
      <c r="CT505">
        <f ca="1" xml:space="preserve"> IF( AND( OFFSET($A$1, 505 - 1, 96 - 1) = "1", OFFSET($A$1, 505 - 1, 97 - 1) = "1" ), 1, IF( AND( OFFSET($A$1, 505 - 1, 96 - 1) = "1", OFFSET($A$1, 505 - 1, 97 - 1) = "0" ), 2, IF( AND( OFFSET($A$1, 505 - 1, 96 - 1) = "0", OFFSET($A$1, 505 - 1, 97 - 1) = "1" ), 3, 4 ) ) )</f>
        <v>1</v>
      </c>
    </row>
    <row r="506" spans="95:98" ht="13.8" x14ac:dyDescent="0.3">
      <c r="CQ506" s="24">
        <v>0.98832517937329745</v>
      </c>
      <c r="CR506" s="24" t="str">
        <f>"1"</f>
        <v>1</v>
      </c>
      <c r="CS506" t="str">
        <f ca="1">IF((OFFSET($A$1, 506 - 1, 95 - 1)) &gt;= (OFFSET($A$1, 55 - 1, 7 - 1)), "1","0")</f>
        <v>1</v>
      </c>
      <c r="CT506">
        <f ca="1" xml:space="preserve"> IF( AND( OFFSET($A$1, 506 - 1, 96 - 1) = "1", OFFSET($A$1, 506 - 1, 97 - 1) = "1" ), 1, IF( AND( OFFSET($A$1, 506 - 1, 96 - 1) = "1", OFFSET($A$1, 506 - 1, 97 - 1) = "0" ), 2, IF( AND( OFFSET($A$1, 506 - 1, 96 - 1) = "0", OFFSET($A$1, 506 - 1, 97 - 1) = "1" ), 3, 4 ) ) )</f>
        <v>1</v>
      </c>
    </row>
    <row r="507" spans="95:98" ht="13.8" x14ac:dyDescent="0.3">
      <c r="CQ507" s="24">
        <v>1.2231375167581987E-2</v>
      </c>
      <c r="CR507" s="24" t="str">
        <f>"0"</f>
        <v>0</v>
      </c>
      <c r="CS507" t="str">
        <f ca="1">IF((OFFSET($A$1, 507 - 1, 95 - 1)) &gt;= (OFFSET($A$1, 55 - 1, 7 - 1)), "1","0")</f>
        <v>0</v>
      </c>
      <c r="CT507">
        <f ca="1" xml:space="preserve"> IF( AND( OFFSET($A$1, 507 - 1, 96 - 1) = "1", OFFSET($A$1, 507 - 1, 97 - 1) = "1" ), 1, IF( AND( OFFSET($A$1, 507 - 1, 96 - 1) = "1", OFFSET($A$1, 507 - 1, 97 - 1) = "0" ), 2, IF( AND( OFFSET($A$1, 507 - 1, 96 - 1) = "0", OFFSET($A$1, 507 - 1, 97 - 1) = "1" ), 3, 4 ) ) )</f>
        <v>4</v>
      </c>
    </row>
    <row r="508" spans="95:98" ht="13.8" x14ac:dyDescent="0.3">
      <c r="CQ508" s="24">
        <v>0.65847617566956362</v>
      </c>
      <c r="CR508" s="24" t="str">
        <f>"0"</f>
        <v>0</v>
      </c>
      <c r="CS508" t="str">
        <f ca="1">IF((OFFSET($A$1, 508 - 1, 95 - 1)) &gt;= (OFFSET($A$1, 55 - 1, 7 - 1)), "1","0")</f>
        <v>1</v>
      </c>
      <c r="CT508">
        <f ca="1" xml:space="preserve"> IF( AND( OFFSET($A$1, 508 - 1, 96 - 1) = "1", OFFSET($A$1, 508 - 1, 97 - 1) = "1" ), 1, IF( AND( OFFSET($A$1, 508 - 1, 96 - 1) = "1", OFFSET($A$1, 508 - 1, 97 - 1) = "0" ), 2, IF( AND( OFFSET($A$1, 508 - 1, 96 - 1) = "0", OFFSET($A$1, 508 - 1, 97 - 1) = "1" ), 3, 4 ) ) )</f>
        <v>3</v>
      </c>
    </row>
    <row r="509" spans="95:98" ht="13.8" x14ac:dyDescent="0.3">
      <c r="CQ509" s="24">
        <v>3.0443928208349416E-2</v>
      </c>
      <c r="CR509" s="24" t="str">
        <f>"0"</f>
        <v>0</v>
      </c>
      <c r="CS509" t="str">
        <f ca="1">IF((OFFSET($A$1, 509 - 1, 95 - 1)) &gt;= (OFFSET($A$1, 55 - 1, 7 - 1)), "1","0")</f>
        <v>0</v>
      </c>
      <c r="CT509">
        <f ca="1" xml:space="preserve"> IF( AND( OFFSET($A$1, 509 - 1, 96 - 1) = "1", OFFSET($A$1, 509 - 1, 97 - 1) = "1" ), 1, IF( AND( OFFSET($A$1, 509 - 1, 96 - 1) = "1", OFFSET($A$1, 509 - 1, 97 - 1) = "0" ), 2, IF( AND( OFFSET($A$1, 509 - 1, 96 - 1) = "0", OFFSET($A$1, 509 - 1, 97 - 1) = "1" ), 3, 4 ) ) )</f>
        <v>4</v>
      </c>
    </row>
    <row r="510" spans="95:98" ht="13.8" x14ac:dyDescent="0.3">
      <c r="CQ510" s="24">
        <v>0.99725823035598238</v>
      </c>
      <c r="CR510" s="24" t="str">
        <f>"1"</f>
        <v>1</v>
      </c>
      <c r="CS510" t="str">
        <f ca="1">IF((OFFSET($A$1, 510 - 1, 95 - 1)) &gt;= (OFFSET($A$1, 55 - 1, 7 - 1)), "1","0")</f>
        <v>1</v>
      </c>
      <c r="CT510">
        <f ca="1" xml:space="preserve"> IF( AND( OFFSET($A$1, 510 - 1, 96 - 1) = "1", OFFSET($A$1, 510 - 1, 97 - 1) = "1" ), 1, IF( AND( OFFSET($A$1, 510 - 1, 96 - 1) = "1", OFFSET($A$1, 510 - 1, 97 - 1) = "0" ), 2, IF( AND( OFFSET($A$1, 510 - 1, 96 - 1) = "0", OFFSET($A$1, 510 - 1, 97 - 1) = "1" ), 3, 4 ) ) )</f>
        <v>1</v>
      </c>
    </row>
    <row r="511" spans="95:98" ht="13.8" x14ac:dyDescent="0.3">
      <c r="CQ511" s="24">
        <v>0.96451852073323552</v>
      </c>
      <c r="CR511" s="24" t="str">
        <f>"1"</f>
        <v>1</v>
      </c>
      <c r="CS511" t="str">
        <f ca="1">IF((OFFSET($A$1, 511 - 1, 95 - 1)) &gt;= (OFFSET($A$1, 55 - 1, 7 - 1)), "1","0")</f>
        <v>1</v>
      </c>
      <c r="CT511">
        <f ca="1" xml:space="preserve"> IF( AND( OFFSET($A$1, 511 - 1, 96 - 1) = "1", OFFSET($A$1, 511 - 1, 97 - 1) = "1" ), 1, IF( AND( OFFSET($A$1, 511 - 1, 96 - 1) = "1", OFFSET($A$1, 511 - 1, 97 - 1) = "0" ), 2, IF( AND( OFFSET($A$1, 511 - 1, 96 - 1) = "0", OFFSET($A$1, 511 - 1, 97 - 1) = "1" ), 3, 4 ) ) )</f>
        <v>1</v>
      </c>
    </row>
    <row r="512" spans="95:98" ht="13.8" x14ac:dyDescent="0.3">
      <c r="CQ512" s="24">
        <v>0.99402766984578816</v>
      </c>
      <c r="CR512" s="24" t="str">
        <f>"1"</f>
        <v>1</v>
      </c>
      <c r="CS512" t="str">
        <f ca="1">IF((OFFSET($A$1, 512 - 1, 95 - 1)) &gt;= (OFFSET($A$1, 55 - 1, 7 - 1)), "1","0")</f>
        <v>1</v>
      </c>
      <c r="CT512">
        <f ca="1" xml:space="preserve"> IF( AND( OFFSET($A$1, 512 - 1, 96 - 1) = "1", OFFSET($A$1, 512 - 1, 97 - 1) = "1" ), 1, IF( AND( OFFSET($A$1, 512 - 1, 96 - 1) = "1", OFFSET($A$1, 512 - 1, 97 - 1) = "0" ), 2, IF( AND( OFFSET($A$1, 512 - 1, 96 - 1) = "0", OFFSET($A$1, 512 - 1, 97 - 1) = "1" ), 3, 4 ) ) )</f>
        <v>1</v>
      </c>
    </row>
    <row r="513" spans="95:98" ht="13.8" x14ac:dyDescent="0.3">
      <c r="CQ513" s="24">
        <v>0.44898119064855502</v>
      </c>
      <c r="CR513" s="24" t="str">
        <f>"0"</f>
        <v>0</v>
      </c>
      <c r="CS513" t="str">
        <f ca="1">IF((OFFSET($A$1, 513 - 1, 95 - 1)) &gt;= (OFFSET($A$1, 55 - 1, 7 - 1)), "1","0")</f>
        <v>0</v>
      </c>
      <c r="CT513">
        <f ca="1" xml:space="preserve"> IF( AND( OFFSET($A$1, 513 - 1, 96 - 1) = "1", OFFSET($A$1, 513 - 1, 97 - 1) = "1" ), 1, IF( AND( OFFSET($A$1, 513 - 1, 96 - 1) = "1", OFFSET($A$1, 513 - 1, 97 - 1) = "0" ), 2, IF( AND( OFFSET($A$1, 513 - 1, 96 - 1) = "0", OFFSET($A$1, 513 - 1, 97 - 1) = "1" ), 3, 4 ) ) )</f>
        <v>4</v>
      </c>
    </row>
    <row r="514" spans="95:98" ht="13.8" x14ac:dyDescent="0.3">
      <c r="CQ514" s="24">
        <v>0.97153641739966079</v>
      </c>
      <c r="CR514" s="24" t="str">
        <f>"1"</f>
        <v>1</v>
      </c>
      <c r="CS514" t="str">
        <f ca="1">IF((OFFSET($A$1, 514 - 1, 95 - 1)) &gt;= (OFFSET($A$1, 55 - 1, 7 - 1)), "1","0")</f>
        <v>1</v>
      </c>
      <c r="CT514">
        <f ca="1" xml:space="preserve"> IF( AND( OFFSET($A$1, 514 - 1, 96 - 1) = "1", OFFSET($A$1, 514 - 1, 97 - 1) = "1" ), 1, IF( AND( OFFSET($A$1, 514 - 1, 96 - 1) = "1", OFFSET($A$1, 514 - 1, 97 - 1) = "0" ), 2, IF( AND( OFFSET($A$1, 514 - 1, 96 - 1) = "0", OFFSET($A$1, 514 - 1, 97 - 1) = "1" ), 3, 4 ) ) )</f>
        <v>1</v>
      </c>
    </row>
    <row r="515" spans="95:98" ht="13.8" x14ac:dyDescent="0.3">
      <c r="CQ515" s="24">
        <v>0.99304862767351909</v>
      </c>
      <c r="CR515" s="24" t="str">
        <f>"1"</f>
        <v>1</v>
      </c>
      <c r="CS515" t="str">
        <f ca="1">IF((OFFSET($A$1, 515 - 1, 95 - 1)) &gt;= (OFFSET($A$1, 55 - 1, 7 - 1)), "1","0")</f>
        <v>1</v>
      </c>
      <c r="CT515">
        <f ca="1" xml:space="preserve"> IF( AND( OFFSET($A$1, 515 - 1, 96 - 1) = "1", OFFSET($A$1, 515 - 1, 97 - 1) = "1" ), 1, IF( AND( OFFSET($A$1, 515 - 1, 96 - 1) = "1", OFFSET($A$1, 515 - 1, 97 - 1) = "0" ), 2, IF( AND( OFFSET($A$1, 515 - 1, 96 - 1) = "0", OFFSET($A$1, 515 - 1, 97 - 1) = "1" ), 3, 4 ) ) )</f>
        <v>1</v>
      </c>
    </row>
    <row r="516" spans="95:98" ht="13.8" x14ac:dyDescent="0.3">
      <c r="CQ516" s="24">
        <v>0.99954610891635698</v>
      </c>
      <c r="CR516" s="24" t="str">
        <f>"1"</f>
        <v>1</v>
      </c>
      <c r="CS516" t="str">
        <f ca="1">IF((OFFSET($A$1, 516 - 1, 95 - 1)) &gt;= (OFFSET($A$1, 55 - 1, 7 - 1)), "1","0")</f>
        <v>1</v>
      </c>
      <c r="CT516">
        <f ca="1" xml:space="preserve"> IF( AND( OFFSET($A$1, 516 - 1, 96 - 1) = "1", OFFSET($A$1, 516 - 1, 97 - 1) = "1" ), 1, IF( AND( OFFSET($A$1, 516 - 1, 96 - 1) = "1", OFFSET($A$1, 516 - 1, 97 - 1) = "0" ), 2, IF( AND( OFFSET($A$1, 516 - 1, 96 - 1) = "0", OFFSET($A$1, 516 - 1, 97 - 1) = "1" ), 3, 4 ) ) )</f>
        <v>1</v>
      </c>
    </row>
    <row r="517" spans="95:98" ht="13.8" x14ac:dyDescent="0.3">
      <c r="CQ517" s="24">
        <v>0.94319929685944759</v>
      </c>
      <c r="CR517" s="24" t="str">
        <f>"1"</f>
        <v>1</v>
      </c>
      <c r="CS517" t="str">
        <f ca="1">IF((OFFSET($A$1, 517 - 1, 95 - 1)) &gt;= (OFFSET($A$1, 55 - 1, 7 - 1)), "1","0")</f>
        <v>1</v>
      </c>
      <c r="CT517">
        <f ca="1" xml:space="preserve"> IF( AND( OFFSET($A$1, 517 - 1, 96 - 1) = "1", OFFSET($A$1, 517 - 1, 97 - 1) = "1" ), 1, IF( AND( OFFSET($A$1, 517 - 1, 96 - 1) = "1", OFFSET($A$1, 517 - 1, 97 - 1) = "0" ), 2, IF( AND( OFFSET($A$1, 517 - 1, 96 - 1) = "0", OFFSET($A$1, 517 - 1, 97 - 1) = "1" ), 3, 4 ) ) )</f>
        <v>1</v>
      </c>
    </row>
    <row r="518" spans="95:98" ht="13.8" x14ac:dyDescent="0.3">
      <c r="CQ518" s="24">
        <v>0.99939779396761819</v>
      </c>
      <c r="CR518" s="24" t="str">
        <f>"1"</f>
        <v>1</v>
      </c>
      <c r="CS518" t="str">
        <f ca="1">IF((OFFSET($A$1, 518 - 1, 95 - 1)) &gt;= (OFFSET($A$1, 55 - 1, 7 - 1)), "1","0")</f>
        <v>1</v>
      </c>
      <c r="CT518">
        <f ca="1" xml:space="preserve"> IF( AND( OFFSET($A$1, 518 - 1, 96 - 1) = "1", OFFSET($A$1, 518 - 1, 97 - 1) = "1" ), 1, IF( AND( OFFSET($A$1, 518 - 1, 96 - 1) = "1", OFFSET($A$1, 518 - 1, 97 - 1) = "0" ), 2, IF( AND( OFFSET($A$1, 518 - 1, 96 - 1) = "0", OFFSET($A$1, 518 - 1, 97 - 1) = "1" ), 3, 4 ) ) )</f>
        <v>1</v>
      </c>
    </row>
    <row r="519" spans="95:98" ht="13.8" x14ac:dyDescent="0.3">
      <c r="CQ519" s="24">
        <v>6.5200800461296934E-2</v>
      </c>
      <c r="CR519" s="24" t="str">
        <f>"0"</f>
        <v>0</v>
      </c>
      <c r="CS519" t="str">
        <f ca="1">IF((OFFSET($A$1, 519 - 1, 95 - 1)) &gt;= (OFFSET($A$1, 55 - 1, 7 - 1)), "1","0")</f>
        <v>0</v>
      </c>
      <c r="CT519">
        <f ca="1" xml:space="preserve"> IF( AND( OFFSET($A$1, 519 - 1, 96 - 1) = "1", OFFSET($A$1, 519 - 1, 97 - 1) = "1" ), 1, IF( AND( OFFSET($A$1, 519 - 1, 96 - 1) = "1", OFFSET($A$1, 519 - 1, 97 - 1) = "0" ), 2, IF( AND( OFFSET($A$1, 519 - 1, 96 - 1) = "0", OFFSET($A$1, 519 - 1, 97 - 1) = "1" ), 3, 4 ) ) )</f>
        <v>4</v>
      </c>
    </row>
    <row r="520" spans="95:98" ht="13.8" x14ac:dyDescent="0.3">
      <c r="CQ520" s="24">
        <v>8.6954344208996517E-2</v>
      </c>
      <c r="CR520" s="24" t="str">
        <f>"0"</f>
        <v>0</v>
      </c>
      <c r="CS520" t="str">
        <f ca="1">IF((OFFSET($A$1, 520 - 1, 95 - 1)) &gt;= (OFFSET($A$1, 55 - 1, 7 - 1)), "1","0")</f>
        <v>0</v>
      </c>
      <c r="CT520">
        <f ca="1" xml:space="preserve"> IF( AND( OFFSET($A$1, 520 - 1, 96 - 1) = "1", OFFSET($A$1, 520 - 1, 97 - 1) = "1" ), 1, IF( AND( OFFSET($A$1, 520 - 1, 96 - 1) = "1", OFFSET($A$1, 520 - 1, 97 - 1) = "0" ), 2, IF( AND( OFFSET($A$1, 520 - 1, 96 - 1) = "0", OFFSET($A$1, 520 - 1, 97 - 1) = "1" ), 3, 4 ) ) )</f>
        <v>4</v>
      </c>
    </row>
    <row r="521" spans="95:98" ht="13.8" x14ac:dyDescent="0.3">
      <c r="CQ521" s="24">
        <v>0.99926989078576012</v>
      </c>
      <c r="CR521" s="24" t="str">
        <f>"1"</f>
        <v>1</v>
      </c>
      <c r="CS521" t="str">
        <f ca="1">IF((OFFSET($A$1, 521 - 1, 95 - 1)) &gt;= (OFFSET($A$1, 55 - 1, 7 - 1)), "1","0")</f>
        <v>1</v>
      </c>
      <c r="CT521">
        <f ca="1" xml:space="preserve"> IF( AND( OFFSET($A$1, 521 - 1, 96 - 1) = "1", OFFSET($A$1, 521 - 1, 97 - 1) = "1" ), 1, IF( AND( OFFSET($A$1, 521 - 1, 96 - 1) = "1", OFFSET($A$1, 521 - 1, 97 - 1) = "0" ), 2, IF( AND( OFFSET($A$1, 521 - 1, 96 - 1) = "0", OFFSET($A$1, 521 - 1, 97 - 1) = "1" ), 3, 4 ) ) )</f>
        <v>1</v>
      </c>
    </row>
    <row r="522" spans="95:98" ht="13.8" x14ac:dyDescent="0.3">
      <c r="CQ522" s="24">
        <v>0.95544498107691489</v>
      </c>
      <c r="CR522" s="24" t="str">
        <f>"1"</f>
        <v>1</v>
      </c>
      <c r="CS522" t="str">
        <f ca="1">IF((OFFSET($A$1, 522 - 1, 95 - 1)) &gt;= (OFFSET($A$1, 55 - 1, 7 - 1)), "1","0")</f>
        <v>1</v>
      </c>
      <c r="CT522">
        <f ca="1" xml:space="preserve"> IF( AND( OFFSET($A$1, 522 - 1, 96 - 1) = "1", OFFSET($A$1, 522 - 1, 97 - 1) = "1" ), 1, IF( AND( OFFSET($A$1, 522 - 1, 96 - 1) = "1", OFFSET($A$1, 522 - 1, 97 - 1) = "0" ), 2, IF( AND( OFFSET($A$1, 522 - 1, 96 - 1) = "0", OFFSET($A$1, 522 - 1, 97 - 1) = "1" ), 3, 4 ) ) )</f>
        <v>1</v>
      </c>
    </row>
    <row r="523" spans="95:98" ht="13.8" x14ac:dyDescent="0.3">
      <c r="CQ523" s="24">
        <v>0.97805348317823948</v>
      </c>
      <c r="CR523" s="24" t="str">
        <f>"1"</f>
        <v>1</v>
      </c>
      <c r="CS523" t="str">
        <f ca="1">IF((OFFSET($A$1, 523 - 1, 95 - 1)) &gt;= (OFFSET($A$1, 55 - 1, 7 - 1)), "1","0")</f>
        <v>1</v>
      </c>
      <c r="CT523">
        <f ca="1" xml:space="preserve"> IF( AND( OFFSET($A$1, 523 - 1, 96 - 1) = "1", OFFSET($A$1, 523 - 1, 97 - 1) = "1" ), 1, IF( AND( OFFSET($A$1, 523 - 1, 96 - 1) = "1", OFFSET($A$1, 523 - 1, 97 - 1) = "0" ), 2, IF( AND( OFFSET($A$1, 523 - 1, 96 - 1) = "0", OFFSET($A$1, 523 - 1, 97 - 1) = "1" ), 3, 4 ) ) )</f>
        <v>1</v>
      </c>
    </row>
    <row r="524" spans="95:98" ht="13.8" x14ac:dyDescent="0.3">
      <c r="CQ524" s="24">
        <v>4.9655582894669974E-2</v>
      </c>
      <c r="CR524" s="24" t="str">
        <f>"0"</f>
        <v>0</v>
      </c>
      <c r="CS524" t="str">
        <f ca="1">IF((OFFSET($A$1, 524 - 1, 95 - 1)) &gt;= (OFFSET($A$1, 55 - 1, 7 - 1)), "1","0")</f>
        <v>0</v>
      </c>
      <c r="CT524">
        <f ca="1" xml:space="preserve"> IF( AND( OFFSET($A$1, 524 - 1, 96 - 1) = "1", OFFSET($A$1, 524 - 1, 97 - 1) = "1" ), 1, IF( AND( OFFSET($A$1, 524 - 1, 96 - 1) = "1", OFFSET($A$1, 524 - 1, 97 - 1) = "0" ), 2, IF( AND( OFFSET($A$1, 524 - 1, 96 - 1) = "0", OFFSET($A$1, 524 - 1, 97 - 1) = "1" ), 3, 4 ) ) )</f>
        <v>4</v>
      </c>
    </row>
    <row r="525" spans="95:98" ht="13.8" x14ac:dyDescent="0.3">
      <c r="CQ525" s="24">
        <v>0.12177432917931875</v>
      </c>
      <c r="CR525" s="24" t="str">
        <f>"0"</f>
        <v>0</v>
      </c>
      <c r="CS525" t="str">
        <f ca="1">IF((OFFSET($A$1, 525 - 1, 95 - 1)) &gt;= (OFFSET($A$1, 55 - 1, 7 - 1)), "1","0")</f>
        <v>0</v>
      </c>
      <c r="CT525">
        <f ca="1" xml:space="preserve"> IF( AND( OFFSET($A$1, 525 - 1, 96 - 1) = "1", OFFSET($A$1, 525 - 1, 97 - 1) = "1" ), 1, IF( AND( OFFSET($A$1, 525 - 1, 96 - 1) = "1", OFFSET($A$1, 525 - 1, 97 - 1) = "0" ), 2, IF( AND( OFFSET($A$1, 525 - 1, 96 - 1) = "0", OFFSET($A$1, 525 - 1, 97 - 1) = "1" ), 3, 4 ) ) )</f>
        <v>4</v>
      </c>
    </row>
    <row r="526" spans="95:98" ht="13.8" x14ac:dyDescent="0.3">
      <c r="CQ526" s="24">
        <v>0.98684947889663954</v>
      </c>
      <c r="CR526" s="24" t="str">
        <f>"1"</f>
        <v>1</v>
      </c>
      <c r="CS526" t="str">
        <f ca="1">IF((OFFSET($A$1, 526 - 1, 95 - 1)) &gt;= (OFFSET($A$1, 55 - 1, 7 - 1)), "1","0")</f>
        <v>1</v>
      </c>
      <c r="CT526">
        <f ca="1" xml:space="preserve"> IF( AND( OFFSET($A$1, 526 - 1, 96 - 1) = "1", OFFSET($A$1, 526 - 1, 97 - 1) = "1" ), 1, IF( AND( OFFSET($A$1, 526 - 1, 96 - 1) = "1", OFFSET($A$1, 526 - 1, 97 - 1) = "0" ), 2, IF( AND( OFFSET($A$1, 526 - 1, 96 - 1) = "0", OFFSET($A$1, 526 - 1, 97 - 1) = "1" ), 3, 4 ) ) )</f>
        <v>1</v>
      </c>
    </row>
    <row r="527" spans="95:98" ht="13.8" x14ac:dyDescent="0.3">
      <c r="CQ527" s="24">
        <v>0.99766332605880881</v>
      </c>
      <c r="CR527" s="24" t="str">
        <f>"1"</f>
        <v>1</v>
      </c>
      <c r="CS527" t="str">
        <f ca="1">IF((OFFSET($A$1, 527 - 1, 95 - 1)) &gt;= (OFFSET($A$1, 55 - 1, 7 - 1)), "1","0")</f>
        <v>1</v>
      </c>
      <c r="CT527">
        <f ca="1" xml:space="preserve"> IF( AND( OFFSET($A$1, 527 - 1, 96 - 1) = "1", OFFSET($A$1, 527 - 1, 97 - 1) = "1" ), 1, IF( AND( OFFSET($A$1, 527 - 1, 96 - 1) = "1", OFFSET($A$1, 527 - 1, 97 - 1) = "0" ), 2, IF( AND( OFFSET($A$1, 527 - 1, 96 - 1) = "0", OFFSET($A$1, 527 - 1, 97 - 1) = "1" ), 3, 4 ) ) )</f>
        <v>1</v>
      </c>
    </row>
    <row r="528" spans="95:98" ht="13.8" x14ac:dyDescent="0.3">
      <c r="CQ528" s="24">
        <v>0.90960137659245088</v>
      </c>
      <c r="CR528" s="24" t="str">
        <f>"1"</f>
        <v>1</v>
      </c>
      <c r="CS528" t="str">
        <f ca="1">IF((OFFSET($A$1, 528 - 1, 95 - 1)) &gt;= (OFFSET($A$1, 55 - 1, 7 - 1)), "1","0")</f>
        <v>1</v>
      </c>
      <c r="CT528">
        <f ca="1" xml:space="preserve"> IF( AND( OFFSET($A$1, 528 - 1, 96 - 1) = "1", OFFSET($A$1, 528 - 1, 97 - 1) = "1" ), 1, IF( AND( OFFSET($A$1, 528 - 1, 96 - 1) = "1", OFFSET($A$1, 528 - 1, 97 - 1) = "0" ), 2, IF( AND( OFFSET($A$1, 528 - 1, 96 - 1) = "0", OFFSET($A$1, 528 - 1, 97 - 1) = "1" ), 3, 4 ) ) )</f>
        <v>1</v>
      </c>
    </row>
    <row r="529" spans="95:98" ht="13.8" x14ac:dyDescent="0.3">
      <c r="CQ529" s="24">
        <v>6.9276760527594267E-2</v>
      </c>
      <c r="CR529" s="24" t="str">
        <f>"0"</f>
        <v>0</v>
      </c>
      <c r="CS529" t="str">
        <f ca="1">IF((OFFSET($A$1, 529 - 1, 95 - 1)) &gt;= (OFFSET($A$1, 55 - 1, 7 - 1)), "1","0")</f>
        <v>0</v>
      </c>
      <c r="CT529">
        <f ca="1" xml:space="preserve"> IF( AND( OFFSET($A$1, 529 - 1, 96 - 1) = "1", OFFSET($A$1, 529 - 1, 97 - 1) = "1" ), 1, IF( AND( OFFSET($A$1, 529 - 1, 96 - 1) = "1", OFFSET($A$1, 529 - 1, 97 - 1) = "0" ), 2, IF( AND( OFFSET($A$1, 529 - 1, 96 - 1) = "0", OFFSET($A$1, 529 - 1, 97 - 1) = "1" ), 3, 4 ) ) )</f>
        <v>4</v>
      </c>
    </row>
    <row r="530" spans="95:98" ht="13.8" x14ac:dyDescent="0.3">
      <c r="CQ530" s="24">
        <v>0.22479041582158776</v>
      </c>
      <c r="CR530" s="24" t="str">
        <f>"0"</f>
        <v>0</v>
      </c>
      <c r="CS530" t="str">
        <f ca="1">IF((OFFSET($A$1, 530 - 1, 95 - 1)) &gt;= (OFFSET($A$1, 55 - 1, 7 - 1)), "1","0")</f>
        <v>0</v>
      </c>
      <c r="CT530">
        <f ca="1" xml:space="preserve"> IF( AND( OFFSET($A$1, 530 - 1, 96 - 1) = "1", OFFSET($A$1, 530 - 1, 97 - 1) = "1" ), 1, IF( AND( OFFSET($A$1, 530 - 1, 96 - 1) = "1", OFFSET($A$1, 530 - 1, 97 - 1) = "0" ), 2, IF( AND( OFFSET($A$1, 530 - 1, 96 - 1) = "0", OFFSET($A$1, 530 - 1, 97 - 1) = "1" ), 3, 4 ) ) )</f>
        <v>4</v>
      </c>
    </row>
    <row r="531" spans="95:98" ht="13.8" x14ac:dyDescent="0.3">
      <c r="CQ531" s="24">
        <v>0.98972561543199356</v>
      </c>
      <c r="CR531" s="24" t="str">
        <f t="shared" ref="CR531:CR539" si="35">"1"</f>
        <v>1</v>
      </c>
      <c r="CS531" t="str">
        <f ca="1">IF((OFFSET($A$1, 531 - 1, 95 - 1)) &gt;= (OFFSET($A$1, 55 - 1, 7 - 1)), "1","0")</f>
        <v>1</v>
      </c>
      <c r="CT531">
        <f ca="1" xml:space="preserve"> IF( AND( OFFSET($A$1, 531 - 1, 96 - 1) = "1", OFFSET($A$1, 531 - 1, 97 - 1) = "1" ), 1, IF( AND( OFFSET($A$1, 531 - 1, 96 - 1) = "1", OFFSET($A$1, 531 - 1, 97 - 1) = "0" ), 2, IF( AND( OFFSET($A$1, 531 - 1, 96 - 1) = "0", OFFSET($A$1, 531 - 1, 97 - 1) = "1" ), 3, 4 ) ) )</f>
        <v>1</v>
      </c>
    </row>
    <row r="532" spans="95:98" ht="13.8" x14ac:dyDescent="0.3">
      <c r="CQ532" s="24">
        <v>0.96206045278242469</v>
      </c>
      <c r="CR532" s="24" t="str">
        <f t="shared" si="35"/>
        <v>1</v>
      </c>
      <c r="CS532" t="str">
        <f ca="1">IF((OFFSET($A$1, 532 - 1, 95 - 1)) &gt;= (OFFSET($A$1, 55 - 1, 7 - 1)), "1","0")</f>
        <v>1</v>
      </c>
      <c r="CT532">
        <f ca="1" xml:space="preserve"> IF( AND( OFFSET($A$1, 532 - 1, 96 - 1) = "1", OFFSET($A$1, 532 - 1, 97 - 1) = "1" ), 1, IF( AND( OFFSET($A$1, 532 - 1, 96 - 1) = "1", OFFSET($A$1, 532 - 1, 97 - 1) = "0" ), 2, IF( AND( OFFSET($A$1, 532 - 1, 96 - 1) = "0", OFFSET($A$1, 532 - 1, 97 - 1) = "1" ), 3, 4 ) ) )</f>
        <v>1</v>
      </c>
    </row>
    <row r="533" spans="95:98" ht="13.8" x14ac:dyDescent="0.3">
      <c r="CQ533" s="24">
        <v>0.97358199949788193</v>
      </c>
      <c r="CR533" s="24" t="str">
        <f t="shared" si="35"/>
        <v>1</v>
      </c>
      <c r="CS533" t="str">
        <f ca="1">IF((OFFSET($A$1, 533 - 1, 95 - 1)) &gt;= (OFFSET($A$1, 55 - 1, 7 - 1)), "1","0")</f>
        <v>1</v>
      </c>
      <c r="CT533">
        <f ca="1" xml:space="preserve"> IF( AND( OFFSET($A$1, 533 - 1, 96 - 1) = "1", OFFSET($A$1, 533 - 1, 97 - 1) = "1" ), 1, IF( AND( OFFSET($A$1, 533 - 1, 96 - 1) = "1", OFFSET($A$1, 533 - 1, 97 - 1) = "0" ), 2, IF( AND( OFFSET($A$1, 533 - 1, 96 - 1) = "0", OFFSET($A$1, 533 - 1, 97 - 1) = "1" ), 3, 4 ) ) )</f>
        <v>1</v>
      </c>
    </row>
    <row r="534" spans="95:98" ht="13.8" x14ac:dyDescent="0.3">
      <c r="CQ534" s="24">
        <v>0.97306290975417997</v>
      </c>
      <c r="CR534" s="24" t="str">
        <f t="shared" si="35"/>
        <v>1</v>
      </c>
      <c r="CS534" t="str">
        <f ca="1">IF((OFFSET($A$1, 534 - 1, 95 - 1)) &gt;= (OFFSET($A$1, 55 - 1, 7 - 1)), "1","0")</f>
        <v>1</v>
      </c>
      <c r="CT534">
        <f ca="1" xml:space="preserve"> IF( AND( OFFSET($A$1, 534 - 1, 96 - 1) = "1", OFFSET($A$1, 534 - 1, 97 - 1) = "1" ), 1, IF( AND( OFFSET($A$1, 534 - 1, 96 - 1) = "1", OFFSET($A$1, 534 - 1, 97 - 1) = "0" ), 2, IF( AND( OFFSET($A$1, 534 - 1, 96 - 1) = "0", OFFSET($A$1, 534 - 1, 97 - 1) = "1" ), 3, 4 ) ) )</f>
        <v>1</v>
      </c>
    </row>
    <row r="535" spans="95:98" ht="13.8" x14ac:dyDescent="0.3">
      <c r="CQ535" s="24">
        <v>0.99606056507548324</v>
      </c>
      <c r="CR535" s="24" t="str">
        <f t="shared" si="35"/>
        <v>1</v>
      </c>
      <c r="CS535" t="str">
        <f ca="1">IF((OFFSET($A$1, 535 - 1, 95 - 1)) &gt;= (OFFSET($A$1, 55 - 1, 7 - 1)), "1","0")</f>
        <v>1</v>
      </c>
      <c r="CT535">
        <f ca="1" xml:space="preserve"> IF( AND( OFFSET($A$1, 535 - 1, 96 - 1) = "1", OFFSET($A$1, 535 - 1, 97 - 1) = "1" ), 1, IF( AND( OFFSET($A$1, 535 - 1, 96 - 1) = "1", OFFSET($A$1, 535 - 1, 97 - 1) = "0" ), 2, IF( AND( OFFSET($A$1, 535 - 1, 96 - 1) = "0", OFFSET($A$1, 535 - 1, 97 - 1) = "1" ), 3, 4 ) ) )</f>
        <v>1</v>
      </c>
    </row>
    <row r="536" spans="95:98" ht="13.8" x14ac:dyDescent="0.3">
      <c r="CQ536" s="24">
        <v>0.94907031445455659</v>
      </c>
      <c r="CR536" s="24" t="str">
        <f t="shared" si="35"/>
        <v>1</v>
      </c>
      <c r="CS536" t="str">
        <f ca="1">IF((OFFSET($A$1, 536 - 1, 95 - 1)) &gt;= (OFFSET($A$1, 55 - 1, 7 - 1)), "1","0")</f>
        <v>1</v>
      </c>
      <c r="CT536">
        <f ca="1" xml:space="preserve"> IF( AND( OFFSET($A$1, 536 - 1, 96 - 1) = "1", OFFSET($A$1, 536 - 1, 97 - 1) = "1" ), 1, IF( AND( OFFSET($A$1, 536 - 1, 96 - 1) = "1", OFFSET($A$1, 536 - 1, 97 - 1) = "0" ), 2, IF( AND( OFFSET($A$1, 536 - 1, 96 - 1) = "0", OFFSET($A$1, 536 - 1, 97 - 1) = "1" ), 3, 4 ) ) )</f>
        <v>1</v>
      </c>
    </row>
    <row r="537" spans="95:98" ht="13.8" x14ac:dyDescent="0.3">
      <c r="CQ537" s="24">
        <v>0.99597777457837544</v>
      </c>
      <c r="CR537" s="24" t="str">
        <f t="shared" si="35"/>
        <v>1</v>
      </c>
      <c r="CS537" t="str">
        <f ca="1">IF((OFFSET($A$1, 537 - 1, 95 - 1)) &gt;= (OFFSET($A$1, 55 - 1, 7 - 1)), "1","0")</f>
        <v>1</v>
      </c>
      <c r="CT537">
        <f ca="1" xml:space="preserve"> IF( AND( OFFSET($A$1, 537 - 1, 96 - 1) = "1", OFFSET($A$1, 537 - 1, 97 - 1) = "1" ), 1, IF( AND( OFFSET($A$1, 537 - 1, 96 - 1) = "1", OFFSET($A$1, 537 - 1, 97 - 1) = "0" ), 2, IF( AND( OFFSET($A$1, 537 - 1, 96 - 1) = "0", OFFSET($A$1, 537 - 1, 97 - 1) = "1" ), 3, 4 ) ) )</f>
        <v>1</v>
      </c>
    </row>
    <row r="538" spans="95:98" ht="13.8" x14ac:dyDescent="0.3">
      <c r="CQ538" s="24">
        <v>0.99732993485472166</v>
      </c>
      <c r="CR538" s="24" t="str">
        <f t="shared" si="35"/>
        <v>1</v>
      </c>
      <c r="CS538" t="str">
        <f ca="1">IF((OFFSET($A$1, 538 - 1, 95 - 1)) &gt;= (OFFSET($A$1, 55 - 1, 7 - 1)), "1","0")</f>
        <v>1</v>
      </c>
      <c r="CT538">
        <f ca="1" xml:space="preserve"> IF( AND( OFFSET($A$1, 538 - 1, 96 - 1) = "1", OFFSET($A$1, 538 - 1, 97 - 1) = "1" ), 1, IF( AND( OFFSET($A$1, 538 - 1, 96 - 1) = "1", OFFSET($A$1, 538 - 1, 97 - 1) = "0" ), 2, IF( AND( OFFSET($A$1, 538 - 1, 96 - 1) = "0", OFFSET($A$1, 538 - 1, 97 - 1) = "1" ), 3, 4 ) ) )</f>
        <v>1</v>
      </c>
    </row>
    <row r="539" spans="95:98" ht="13.8" x14ac:dyDescent="0.3">
      <c r="CQ539" s="24">
        <v>0.96223412757429561</v>
      </c>
      <c r="CR539" s="24" t="str">
        <f t="shared" si="35"/>
        <v>1</v>
      </c>
      <c r="CS539" t="str">
        <f ca="1">IF((OFFSET($A$1, 539 - 1, 95 - 1)) &gt;= (OFFSET($A$1, 55 - 1, 7 - 1)), "1","0")</f>
        <v>1</v>
      </c>
      <c r="CT539">
        <f ca="1" xml:space="preserve"> IF( AND( OFFSET($A$1, 539 - 1, 96 - 1) = "1", OFFSET($A$1, 539 - 1, 97 - 1) = "1" ), 1, IF( AND( OFFSET($A$1, 539 - 1, 96 - 1) = "1", OFFSET($A$1, 539 - 1, 97 - 1) = "0" ), 2, IF( AND( OFFSET($A$1, 539 - 1, 96 - 1) = "0", OFFSET($A$1, 539 - 1, 97 - 1) = "1" ), 3, 4 ) ) )</f>
        <v>1</v>
      </c>
    </row>
    <row r="540" spans="95:98" ht="13.8" x14ac:dyDescent="0.3">
      <c r="CQ540" s="24">
        <v>8.3779950779316829E-3</v>
      </c>
      <c r="CR540" s="24" t="str">
        <f>"0"</f>
        <v>0</v>
      </c>
      <c r="CS540" t="str">
        <f ca="1">IF((OFFSET($A$1, 540 - 1, 95 - 1)) &gt;= (OFFSET($A$1, 55 - 1, 7 - 1)), "1","0")</f>
        <v>0</v>
      </c>
      <c r="CT540">
        <f ca="1" xml:space="preserve"> IF( AND( OFFSET($A$1, 540 - 1, 96 - 1) = "1", OFFSET($A$1, 540 - 1, 97 - 1) = "1" ), 1, IF( AND( OFFSET($A$1, 540 - 1, 96 - 1) = "1", OFFSET($A$1, 540 - 1, 97 - 1) = "0" ), 2, IF( AND( OFFSET($A$1, 540 - 1, 96 - 1) = "0", OFFSET($A$1, 540 - 1, 97 - 1) = "1" ), 3, 4 ) ) )</f>
        <v>4</v>
      </c>
    </row>
    <row r="541" spans="95:98" ht="13.8" x14ac:dyDescent="0.3">
      <c r="CQ541" s="24">
        <v>0.9491182916659523</v>
      </c>
      <c r="CR541" s="24" t="str">
        <f>"1"</f>
        <v>1</v>
      </c>
      <c r="CS541" t="str">
        <f ca="1">IF((OFFSET($A$1, 541 - 1, 95 - 1)) &gt;= (OFFSET($A$1, 55 - 1, 7 - 1)), "1","0")</f>
        <v>1</v>
      </c>
      <c r="CT541">
        <f ca="1" xml:space="preserve"> IF( AND( OFFSET($A$1, 541 - 1, 96 - 1) = "1", OFFSET($A$1, 541 - 1, 97 - 1) = "1" ), 1, IF( AND( OFFSET($A$1, 541 - 1, 96 - 1) = "1", OFFSET($A$1, 541 - 1, 97 - 1) = "0" ), 2, IF( AND( OFFSET($A$1, 541 - 1, 96 - 1) = "0", OFFSET($A$1, 541 - 1, 97 - 1) = "1" ), 3, 4 ) ) )</f>
        <v>1</v>
      </c>
    </row>
    <row r="542" spans="95:98" ht="13.8" x14ac:dyDescent="0.3">
      <c r="CQ542" s="24">
        <v>0.99927445653620239</v>
      </c>
      <c r="CR542" s="24" t="str">
        <f>"1"</f>
        <v>1</v>
      </c>
      <c r="CS542" t="str">
        <f ca="1">IF((OFFSET($A$1, 542 - 1, 95 - 1)) &gt;= (OFFSET($A$1, 55 - 1, 7 - 1)), "1","0")</f>
        <v>1</v>
      </c>
      <c r="CT542">
        <f ca="1" xml:space="preserve"> IF( AND( OFFSET($A$1, 542 - 1, 96 - 1) = "1", OFFSET($A$1, 542 - 1, 97 - 1) = "1" ), 1, IF( AND( OFFSET($A$1, 542 - 1, 96 - 1) = "1", OFFSET($A$1, 542 - 1, 97 - 1) = "0" ), 2, IF( AND( OFFSET($A$1, 542 - 1, 96 - 1) = "0", OFFSET($A$1, 542 - 1, 97 - 1) = "1" ), 3, 4 ) ) )</f>
        <v>1</v>
      </c>
    </row>
    <row r="543" spans="95:98" ht="13.8" x14ac:dyDescent="0.3">
      <c r="CQ543" s="24">
        <v>0.99921482843230158</v>
      </c>
      <c r="CR543" s="24" t="str">
        <f>"1"</f>
        <v>1</v>
      </c>
      <c r="CS543" t="str">
        <f ca="1">IF((OFFSET($A$1, 543 - 1, 95 - 1)) &gt;= (OFFSET($A$1, 55 - 1, 7 - 1)), "1","0")</f>
        <v>1</v>
      </c>
      <c r="CT543">
        <f ca="1" xml:space="preserve"> IF( AND( OFFSET($A$1, 543 - 1, 96 - 1) = "1", OFFSET($A$1, 543 - 1, 97 - 1) = "1" ), 1, IF( AND( OFFSET($A$1, 543 - 1, 96 - 1) = "1", OFFSET($A$1, 543 - 1, 97 - 1) = "0" ), 2, IF( AND( OFFSET($A$1, 543 - 1, 96 - 1) = "0", OFFSET($A$1, 543 - 1, 97 - 1) = "1" ), 3, 4 ) ) )</f>
        <v>1</v>
      </c>
    </row>
    <row r="544" spans="95:98" ht="13.8" x14ac:dyDescent="0.3">
      <c r="CQ544" s="24">
        <v>0.99246285968174719</v>
      </c>
      <c r="CR544" s="24" t="str">
        <f>"1"</f>
        <v>1</v>
      </c>
      <c r="CS544" t="str">
        <f ca="1">IF((OFFSET($A$1, 544 - 1, 95 - 1)) &gt;= (OFFSET($A$1, 55 - 1, 7 - 1)), "1","0")</f>
        <v>1</v>
      </c>
      <c r="CT544">
        <f ca="1" xml:space="preserve"> IF( AND( OFFSET($A$1, 544 - 1, 96 - 1) = "1", OFFSET($A$1, 544 - 1, 97 - 1) = "1" ), 1, IF( AND( OFFSET($A$1, 544 - 1, 96 - 1) = "1", OFFSET($A$1, 544 - 1, 97 - 1) = "0" ), 2, IF( AND( OFFSET($A$1, 544 - 1, 96 - 1) = "0", OFFSET($A$1, 544 - 1, 97 - 1) = "1" ), 3, 4 ) ) )</f>
        <v>1</v>
      </c>
    </row>
    <row r="545" spans="95:98" ht="13.8" x14ac:dyDescent="0.3">
      <c r="CQ545" s="24">
        <v>0.1134946462035924</v>
      </c>
      <c r="CR545" s="24" t="str">
        <f>"0"</f>
        <v>0</v>
      </c>
      <c r="CS545" t="str">
        <f ca="1">IF((OFFSET($A$1, 545 - 1, 95 - 1)) &gt;= (OFFSET($A$1, 55 - 1, 7 - 1)), "1","0")</f>
        <v>0</v>
      </c>
      <c r="CT545">
        <f ca="1" xml:space="preserve"> IF( AND( OFFSET($A$1, 545 - 1, 96 - 1) = "1", OFFSET($A$1, 545 - 1, 97 - 1) = "1" ), 1, IF( AND( OFFSET($A$1, 545 - 1, 96 - 1) = "1", OFFSET($A$1, 545 - 1, 97 - 1) = "0" ), 2, IF( AND( OFFSET($A$1, 545 - 1, 96 - 1) = "0", OFFSET($A$1, 545 - 1, 97 - 1) = "1" ), 3, 4 ) ) )</f>
        <v>4</v>
      </c>
    </row>
    <row r="546" spans="95:98" ht="13.8" x14ac:dyDescent="0.3">
      <c r="CQ546" s="24">
        <v>0.79753930816019369</v>
      </c>
      <c r="CR546" s="24" t="str">
        <f t="shared" ref="CR546:CR553" si="36">"1"</f>
        <v>1</v>
      </c>
      <c r="CS546" t="str">
        <f ca="1">IF((OFFSET($A$1, 546 - 1, 95 - 1)) &gt;= (OFFSET($A$1, 55 - 1, 7 - 1)), "1","0")</f>
        <v>1</v>
      </c>
      <c r="CT546">
        <f ca="1" xml:space="preserve"> IF( AND( OFFSET($A$1, 546 - 1, 96 - 1) = "1", OFFSET($A$1, 546 - 1, 97 - 1) = "1" ), 1, IF( AND( OFFSET($A$1, 546 - 1, 96 - 1) = "1", OFFSET($A$1, 546 - 1, 97 - 1) = "0" ), 2, IF( AND( OFFSET($A$1, 546 - 1, 96 - 1) = "0", OFFSET($A$1, 546 - 1, 97 - 1) = "1" ), 3, 4 ) ) )</f>
        <v>1</v>
      </c>
    </row>
    <row r="547" spans="95:98" ht="13.8" x14ac:dyDescent="0.3">
      <c r="CQ547" s="24">
        <v>0.99948681901572833</v>
      </c>
      <c r="CR547" s="24" t="str">
        <f t="shared" si="36"/>
        <v>1</v>
      </c>
      <c r="CS547" t="str">
        <f ca="1">IF((OFFSET($A$1, 547 - 1, 95 - 1)) &gt;= (OFFSET($A$1, 55 - 1, 7 - 1)), "1","0")</f>
        <v>1</v>
      </c>
      <c r="CT547">
        <f ca="1" xml:space="preserve"> IF( AND( OFFSET($A$1, 547 - 1, 96 - 1) = "1", OFFSET($A$1, 547 - 1, 97 - 1) = "1" ), 1, IF( AND( OFFSET($A$1, 547 - 1, 96 - 1) = "1", OFFSET($A$1, 547 - 1, 97 - 1) = "0" ), 2, IF( AND( OFFSET($A$1, 547 - 1, 96 - 1) = "0", OFFSET($A$1, 547 - 1, 97 - 1) = "1" ), 3, 4 ) ) )</f>
        <v>1</v>
      </c>
    </row>
    <row r="548" spans="95:98" ht="13.8" x14ac:dyDescent="0.3">
      <c r="CQ548" s="24">
        <v>0.9546834733974302</v>
      </c>
      <c r="CR548" s="24" t="str">
        <f t="shared" si="36"/>
        <v>1</v>
      </c>
      <c r="CS548" t="str">
        <f ca="1">IF((OFFSET($A$1, 548 - 1, 95 - 1)) &gt;= (OFFSET($A$1, 55 - 1, 7 - 1)), "1","0")</f>
        <v>1</v>
      </c>
      <c r="CT548">
        <f ca="1" xml:space="preserve"> IF( AND( OFFSET($A$1, 548 - 1, 96 - 1) = "1", OFFSET($A$1, 548 - 1, 97 - 1) = "1" ), 1, IF( AND( OFFSET($A$1, 548 - 1, 96 - 1) = "1", OFFSET($A$1, 548 - 1, 97 - 1) = "0" ), 2, IF( AND( OFFSET($A$1, 548 - 1, 96 - 1) = "0", OFFSET($A$1, 548 - 1, 97 - 1) = "1" ), 3, 4 ) ) )</f>
        <v>1</v>
      </c>
    </row>
    <row r="549" spans="95:98" ht="13.8" x14ac:dyDescent="0.3">
      <c r="CQ549" s="24">
        <v>0.99923801146181201</v>
      </c>
      <c r="CR549" s="24" t="str">
        <f t="shared" si="36"/>
        <v>1</v>
      </c>
      <c r="CS549" t="str">
        <f ca="1">IF((OFFSET($A$1, 549 - 1, 95 - 1)) &gt;= (OFFSET($A$1, 55 - 1, 7 - 1)), "1","0")</f>
        <v>1</v>
      </c>
      <c r="CT549">
        <f ca="1" xml:space="preserve"> IF( AND( OFFSET($A$1, 549 - 1, 96 - 1) = "1", OFFSET($A$1, 549 - 1, 97 - 1) = "1" ), 1, IF( AND( OFFSET($A$1, 549 - 1, 96 - 1) = "1", OFFSET($A$1, 549 - 1, 97 - 1) = "0" ), 2, IF( AND( OFFSET($A$1, 549 - 1, 96 - 1) = "0", OFFSET($A$1, 549 - 1, 97 - 1) = "1" ), 3, 4 ) ) )</f>
        <v>1</v>
      </c>
    </row>
    <row r="550" spans="95:98" ht="13.8" x14ac:dyDescent="0.3">
      <c r="CQ550" s="24">
        <v>0.97876079744727396</v>
      </c>
      <c r="CR550" s="24" t="str">
        <f t="shared" si="36"/>
        <v>1</v>
      </c>
      <c r="CS550" t="str">
        <f ca="1">IF((OFFSET($A$1, 550 - 1, 95 - 1)) &gt;= (OFFSET($A$1, 55 - 1, 7 - 1)), "1","0")</f>
        <v>1</v>
      </c>
      <c r="CT550">
        <f ca="1" xml:space="preserve"> IF( AND( OFFSET($A$1, 550 - 1, 96 - 1) = "1", OFFSET($A$1, 550 - 1, 97 - 1) = "1" ), 1, IF( AND( OFFSET($A$1, 550 - 1, 96 - 1) = "1", OFFSET($A$1, 550 - 1, 97 - 1) = "0" ), 2, IF( AND( OFFSET($A$1, 550 - 1, 96 - 1) = "0", OFFSET($A$1, 550 - 1, 97 - 1) = "1" ), 3, 4 ) ) )</f>
        <v>1</v>
      </c>
    </row>
    <row r="551" spans="95:98" ht="13.8" x14ac:dyDescent="0.3">
      <c r="CQ551" s="24">
        <v>0.9183755563424586</v>
      </c>
      <c r="CR551" s="24" t="str">
        <f t="shared" si="36"/>
        <v>1</v>
      </c>
      <c r="CS551" t="str">
        <f ca="1">IF((OFFSET($A$1, 551 - 1, 95 - 1)) &gt;= (OFFSET($A$1, 55 - 1, 7 - 1)), "1","0")</f>
        <v>1</v>
      </c>
      <c r="CT551">
        <f ca="1" xml:space="preserve"> IF( AND( OFFSET($A$1, 551 - 1, 96 - 1) = "1", OFFSET($A$1, 551 - 1, 97 - 1) = "1" ), 1, IF( AND( OFFSET($A$1, 551 - 1, 96 - 1) = "1", OFFSET($A$1, 551 - 1, 97 - 1) = "0" ), 2, IF( AND( OFFSET($A$1, 551 - 1, 96 - 1) = "0", OFFSET($A$1, 551 - 1, 97 - 1) = "1" ), 3, 4 ) ) )</f>
        <v>1</v>
      </c>
    </row>
    <row r="552" spans="95:98" ht="13.8" x14ac:dyDescent="0.3">
      <c r="CQ552" s="24">
        <v>0.98492582484401114</v>
      </c>
      <c r="CR552" s="24" t="str">
        <f t="shared" si="36"/>
        <v>1</v>
      </c>
      <c r="CS552" t="str">
        <f ca="1">IF((OFFSET($A$1, 552 - 1, 95 - 1)) &gt;= (OFFSET($A$1, 55 - 1, 7 - 1)), "1","0")</f>
        <v>1</v>
      </c>
      <c r="CT552">
        <f ca="1" xml:space="preserve"> IF( AND( OFFSET($A$1, 552 - 1, 96 - 1) = "1", OFFSET($A$1, 552 - 1, 97 - 1) = "1" ), 1, IF( AND( OFFSET($A$1, 552 - 1, 96 - 1) = "1", OFFSET($A$1, 552 - 1, 97 - 1) = "0" ), 2, IF( AND( OFFSET($A$1, 552 - 1, 96 - 1) = "0", OFFSET($A$1, 552 - 1, 97 - 1) = "1" ), 3, 4 ) ) )</f>
        <v>1</v>
      </c>
    </row>
    <row r="553" spans="95:98" ht="13.8" x14ac:dyDescent="0.3">
      <c r="CQ553" s="24">
        <v>0.83871609510630896</v>
      </c>
      <c r="CR553" s="24" t="str">
        <f t="shared" si="36"/>
        <v>1</v>
      </c>
      <c r="CS553" t="str">
        <f ca="1">IF((OFFSET($A$1, 553 - 1, 95 - 1)) &gt;= (OFFSET($A$1, 55 - 1, 7 - 1)), "1","0")</f>
        <v>1</v>
      </c>
      <c r="CT553">
        <f ca="1" xml:space="preserve"> IF( AND( OFFSET($A$1, 553 - 1, 96 - 1) = "1", OFFSET($A$1, 553 - 1, 97 - 1) = "1" ), 1, IF( AND( OFFSET($A$1, 553 - 1, 96 - 1) = "1", OFFSET($A$1, 553 - 1, 97 - 1) = "0" ), 2, IF( AND( OFFSET($A$1, 553 - 1, 96 - 1) = "0", OFFSET($A$1, 553 - 1, 97 - 1) = "1" ), 3, 4 ) ) )</f>
        <v>1</v>
      </c>
    </row>
    <row r="554" spans="95:98" ht="13.8" x14ac:dyDescent="0.3">
      <c r="CQ554" s="24">
        <v>3.7151674957495662E-2</v>
      </c>
      <c r="CR554" s="24" t="str">
        <f>"0"</f>
        <v>0</v>
      </c>
      <c r="CS554" t="str">
        <f ca="1">IF((OFFSET($A$1, 554 - 1, 95 - 1)) &gt;= (OFFSET($A$1, 55 - 1, 7 - 1)), "1","0")</f>
        <v>0</v>
      </c>
      <c r="CT554">
        <f ca="1" xml:space="preserve"> IF( AND( OFFSET($A$1, 554 - 1, 96 - 1) = "1", OFFSET($A$1, 554 - 1, 97 - 1) = "1" ), 1, IF( AND( OFFSET($A$1, 554 - 1, 96 - 1) = "1", OFFSET($A$1, 554 - 1, 97 - 1) = "0" ), 2, IF( AND( OFFSET($A$1, 554 - 1, 96 - 1) = "0", OFFSET($A$1, 554 - 1, 97 - 1) = "1" ), 3, 4 ) ) )</f>
        <v>4</v>
      </c>
    </row>
    <row r="555" spans="95:98" ht="13.8" x14ac:dyDescent="0.3">
      <c r="CQ555" s="24">
        <v>8.0591919461940695E-3</v>
      </c>
      <c r="CR555" s="24" t="str">
        <f>"0"</f>
        <v>0</v>
      </c>
      <c r="CS555" t="str">
        <f ca="1">IF((OFFSET($A$1, 555 - 1, 95 - 1)) &gt;= (OFFSET($A$1, 55 - 1, 7 - 1)), "1","0")</f>
        <v>0</v>
      </c>
      <c r="CT555">
        <f ca="1" xml:space="preserve"> IF( AND( OFFSET($A$1, 555 - 1, 96 - 1) = "1", OFFSET($A$1, 555 - 1, 97 - 1) = "1" ), 1, IF( AND( OFFSET($A$1, 555 - 1, 96 - 1) = "1", OFFSET($A$1, 555 - 1, 97 - 1) = "0" ), 2, IF( AND( OFFSET($A$1, 555 - 1, 96 - 1) = "0", OFFSET($A$1, 555 - 1, 97 - 1) = "1" ), 3, 4 ) ) )</f>
        <v>4</v>
      </c>
    </row>
    <row r="556" spans="95:98" ht="13.8" x14ac:dyDescent="0.3">
      <c r="CQ556" s="24">
        <v>0.99585624352768309</v>
      </c>
      <c r="CR556" s="24" t="str">
        <f>"1"</f>
        <v>1</v>
      </c>
      <c r="CS556" t="str">
        <f ca="1">IF((OFFSET($A$1, 556 - 1, 95 - 1)) &gt;= (OFFSET($A$1, 55 - 1, 7 - 1)), "1","0")</f>
        <v>1</v>
      </c>
      <c r="CT556">
        <f ca="1" xml:space="preserve"> IF( AND( OFFSET($A$1, 556 - 1, 96 - 1) = "1", OFFSET($A$1, 556 - 1, 97 - 1) = "1" ), 1, IF( AND( OFFSET($A$1, 556 - 1, 96 - 1) = "1", OFFSET($A$1, 556 - 1, 97 - 1) = "0" ), 2, IF( AND( OFFSET($A$1, 556 - 1, 96 - 1) = "0", OFFSET($A$1, 556 - 1, 97 - 1) = "1" ), 3, 4 ) ) )</f>
        <v>1</v>
      </c>
    </row>
    <row r="557" spans="95:98" ht="13.8" x14ac:dyDescent="0.3">
      <c r="CQ557" s="24">
        <v>0.14963142717782138</v>
      </c>
      <c r="CR557" s="24" t="str">
        <f>"0"</f>
        <v>0</v>
      </c>
      <c r="CS557" t="str">
        <f ca="1">IF((OFFSET($A$1, 557 - 1, 95 - 1)) &gt;= (OFFSET($A$1, 55 - 1, 7 - 1)), "1","0")</f>
        <v>0</v>
      </c>
      <c r="CT557">
        <f ca="1" xml:space="preserve"> IF( AND( OFFSET($A$1, 557 - 1, 96 - 1) = "1", OFFSET($A$1, 557 - 1, 97 - 1) = "1" ), 1, IF( AND( OFFSET($A$1, 557 - 1, 96 - 1) = "1", OFFSET($A$1, 557 - 1, 97 - 1) = "0" ), 2, IF( AND( OFFSET($A$1, 557 - 1, 96 - 1) = "0", OFFSET($A$1, 557 - 1, 97 - 1) = "1" ), 3, 4 ) ) )</f>
        <v>4</v>
      </c>
    </row>
    <row r="558" spans="95:98" ht="13.8" x14ac:dyDescent="0.3">
      <c r="CQ558" s="24">
        <v>0.92022332826396425</v>
      </c>
      <c r="CR558" s="24" t="str">
        <f>"1"</f>
        <v>1</v>
      </c>
      <c r="CS558" t="str">
        <f ca="1">IF((OFFSET($A$1, 558 - 1, 95 - 1)) &gt;= (OFFSET($A$1, 55 - 1, 7 - 1)), "1","0")</f>
        <v>1</v>
      </c>
      <c r="CT558">
        <f ca="1" xml:space="preserve"> IF( AND( OFFSET($A$1, 558 - 1, 96 - 1) = "1", OFFSET($A$1, 558 - 1, 97 - 1) = "1" ), 1, IF( AND( OFFSET($A$1, 558 - 1, 96 - 1) = "1", OFFSET($A$1, 558 - 1, 97 - 1) = "0" ), 2, IF( AND( OFFSET($A$1, 558 - 1, 96 - 1) = "0", OFFSET($A$1, 558 - 1, 97 - 1) = "1" ), 3, 4 ) ) )</f>
        <v>1</v>
      </c>
    </row>
    <row r="559" spans="95:98" ht="13.8" x14ac:dyDescent="0.3">
      <c r="CQ559" s="24">
        <v>0.99587420059504506</v>
      </c>
      <c r="CR559" s="24" t="str">
        <f>"1"</f>
        <v>1</v>
      </c>
      <c r="CS559" t="str">
        <f ca="1">IF((OFFSET($A$1, 559 - 1, 95 - 1)) &gt;= (OFFSET($A$1, 55 - 1, 7 - 1)), "1","0")</f>
        <v>1</v>
      </c>
      <c r="CT559">
        <f ca="1" xml:space="preserve"> IF( AND( OFFSET($A$1, 559 - 1, 96 - 1) = "1", OFFSET($A$1, 559 - 1, 97 - 1) = "1" ), 1, IF( AND( OFFSET($A$1, 559 - 1, 96 - 1) = "1", OFFSET($A$1, 559 - 1, 97 - 1) = "0" ), 2, IF( AND( OFFSET($A$1, 559 - 1, 96 - 1) = "0", OFFSET($A$1, 559 - 1, 97 - 1) = "1" ), 3, 4 ) ) )</f>
        <v>1</v>
      </c>
    </row>
    <row r="560" spans="95:98" ht="13.8" x14ac:dyDescent="0.3">
      <c r="CQ560" s="24">
        <v>0.99561122184250239</v>
      </c>
      <c r="CR560" s="24" t="str">
        <f>"1"</f>
        <v>1</v>
      </c>
      <c r="CS560" t="str">
        <f ca="1">IF((OFFSET($A$1, 560 - 1, 95 - 1)) &gt;= (OFFSET($A$1, 55 - 1, 7 - 1)), "1","0")</f>
        <v>1</v>
      </c>
      <c r="CT560">
        <f ca="1" xml:space="preserve"> IF( AND( OFFSET($A$1, 560 - 1, 96 - 1) = "1", OFFSET($A$1, 560 - 1, 97 - 1) = "1" ), 1, IF( AND( OFFSET($A$1, 560 - 1, 96 - 1) = "1", OFFSET($A$1, 560 - 1, 97 - 1) = "0" ), 2, IF( AND( OFFSET($A$1, 560 - 1, 96 - 1) = "0", OFFSET($A$1, 560 - 1, 97 - 1) = "1" ), 3, 4 ) ) )</f>
        <v>1</v>
      </c>
    </row>
    <row r="561" spans="95:98" ht="13.8" x14ac:dyDescent="0.3">
      <c r="CQ561" s="24">
        <v>9.7387503584300941E-2</v>
      </c>
      <c r="CR561" s="24" t="str">
        <f>"0"</f>
        <v>0</v>
      </c>
      <c r="CS561" t="str">
        <f ca="1">IF((OFFSET($A$1, 561 - 1, 95 - 1)) &gt;= (OFFSET($A$1, 55 - 1, 7 - 1)), "1","0")</f>
        <v>0</v>
      </c>
      <c r="CT561">
        <f ca="1" xml:space="preserve"> IF( AND( OFFSET($A$1, 561 - 1, 96 - 1) = "1", OFFSET($A$1, 561 - 1, 97 - 1) = "1" ), 1, IF( AND( OFFSET($A$1, 561 - 1, 96 - 1) = "1", OFFSET($A$1, 561 - 1, 97 - 1) = "0" ), 2, IF( AND( OFFSET($A$1, 561 - 1, 96 - 1) = "0", OFFSET($A$1, 561 - 1, 97 - 1) = "1" ), 3, 4 ) ) )</f>
        <v>4</v>
      </c>
    </row>
    <row r="562" spans="95:98" ht="13.8" x14ac:dyDescent="0.3">
      <c r="CQ562" s="24">
        <v>0.9977287181128317</v>
      </c>
      <c r="CR562" s="24" t="str">
        <f>"1"</f>
        <v>1</v>
      </c>
      <c r="CS562" t="str">
        <f ca="1">IF((OFFSET($A$1, 562 - 1, 95 - 1)) &gt;= (OFFSET($A$1, 55 - 1, 7 - 1)), "1","0")</f>
        <v>1</v>
      </c>
      <c r="CT562">
        <f ca="1" xml:space="preserve"> IF( AND( OFFSET($A$1, 562 - 1, 96 - 1) = "1", OFFSET($A$1, 562 - 1, 97 - 1) = "1" ), 1, IF( AND( OFFSET($A$1, 562 - 1, 96 - 1) = "1", OFFSET($A$1, 562 - 1, 97 - 1) = "0" ), 2, IF( AND( OFFSET($A$1, 562 - 1, 96 - 1) = "0", OFFSET($A$1, 562 - 1, 97 - 1) = "1" ), 3, 4 ) ) )</f>
        <v>1</v>
      </c>
    </row>
    <row r="563" spans="95:98" ht="13.8" x14ac:dyDescent="0.3">
      <c r="CQ563" s="24">
        <v>0.97938953955673891</v>
      </c>
      <c r="CR563" s="24" t="str">
        <f>"1"</f>
        <v>1</v>
      </c>
      <c r="CS563" t="str">
        <f ca="1">IF((OFFSET($A$1, 563 - 1, 95 - 1)) &gt;= (OFFSET($A$1, 55 - 1, 7 - 1)), "1","0")</f>
        <v>1</v>
      </c>
      <c r="CT563">
        <f ca="1" xml:space="preserve"> IF( AND( OFFSET($A$1, 563 - 1, 96 - 1) = "1", OFFSET($A$1, 563 - 1, 97 - 1) = "1" ), 1, IF( AND( OFFSET($A$1, 563 - 1, 96 - 1) = "1", OFFSET($A$1, 563 - 1, 97 - 1) = "0" ), 2, IF( AND( OFFSET($A$1, 563 - 1, 96 - 1) = "0", OFFSET($A$1, 563 - 1, 97 - 1) = "1" ), 3, 4 ) ) )</f>
        <v>1</v>
      </c>
    </row>
    <row r="564" spans="95:98" ht="13.8" x14ac:dyDescent="0.3">
      <c r="CQ564" s="24">
        <v>0.98634943279375131</v>
      </c>
      <c r="CR564" s="24" t="str">
        <f>"1"</f>
        <v>1</v>
      </c>
      <c r="CS564" t="str">
        <f ca="1">IF((OFFSET($A$1, 564 - 1, 95 - 1)) &gt;= (OFFSET($A$1, 55 - 1, 7 - 1)), "1","0")</f>
        <v>1</v>
      </c>
      <c r="CT564">
        <f ca="1" xml:space="preserve"> IF( AND( OFFSET($A$1, 564 - 1, 96 - 1) = "1", OFFSET($A$1, 564 - 1, 97 - 1) = "1" ), 1, IF( AND( OFFSET($A$1, 564 - 1, 96 - 1) = "1", OFFSET($A$1, 564 - 1, 97 - 1) = "0" ), 2, IF( AND( OFFSET($A$1, 564 - 1, 96 - 1) = "0", OFFSET($A$1, 564 - 1, 97 - 1) = "1" ), 3, 4 ) ) )</f>
        <v>1</v>
      </c>
    </row>
    <row r="565" spans="95:98" ht="13.8" x14ac:dyDescent="0.3">
      <c r="CQ565" s="24">
        <v>4.9305519468694652E-2</v>
      </c>
      <c r="CR565" s="24" t="str">
        <f>"0"</f>
        <v>0</v>
      </c>
      <c r="CS565" t="str">
        <f ca="1">IF((OFFSET($A$1, 565 - 1, 95 - 1)) &gt;= (OFFSET($A$1, 55 - 1, 7 - 1)), "1","0")</f>
        <v>0</v>
      </c>
      <c r="CT565">
        <f ca="1" xml:space="preserve"> IF( AND( OFFSET($A$1, 565 - 1, 96 - 1) = "1", OFFSET($A$1, 565 - 1, 97 - 1) = "1" ), 1, IF( AND( OFFSET($A$1, 565 - 1, 96 - 1) = "1", OFFSET($A$1, 565 - 1, 97 - 1) = "0" ), 2, IF( AND( OFFSET($A$1, 565 - 1, 96 - 1) = "0", OFFSET($A$1, 565 - 1, 97 - 1) = "1" ), 3, 4 ) ) )</f>
        <v>4</v>
      </c>
    </row>
    <row r="566" spans="95:98" ht="13.8" x14ac:dyDescent="0.3">
      <c r="CQ566" s="24">
        <v>0.99704352725792844</v>
      </c>
      <c r="CR566" s="24" t="str">
        <f>"1"</f>
        <v>1</v>
      </c>
      <c r="CS566" t="str">
        <f ca="1">IF((OFFSET($A$1, 566 - 1, 95 - 1)) &gt;= (OFFSET($A$1, 55 - 1, 7 - 1)), "1","0")</f>
        <v>1</v>
      </c>
      <c r="CT566">
        <f ca="1" xml:space="preserve"> IF( AND( OFFSET($A$1, 566 - 1, 96 - 1) = "1", OFFSET($A$1, 566 - 1, 97 - 1) = "1" ), 1, IF( AND( OFFSET($A$1, 566 - 1, 96 - 1) = "1", OFFSET($A$1, 566 - 1, 97 - 1) = "0" ), 2, IF( AND( OFFSET($A$1, 566 - 1, 96 - 1) = "0", OFFSET($A$1, 566 - 1, 97 - 1) = "1" ), 3, 4 ) ) )</f>
        <v>1</v>
      </c>
    </row>
    <row r="567" spans="95:98" ht="13.8" x14ac:dyDescent="0.3">
      <c r="CQ567" s="24">
        <v>0.9676602161896718</v>
      </c>
      <c r="CR567" s="24" t="str">
        <f>"1"</f>
        <v>1</v>
      </c>
      <c r="CS567" t="str">
        <f ca="1">IF((OFFSET($A$1, 567 - 1, 95 - 1)) &gt;= (OFFSET($A$1, 55 - 1, 7 - 1)), "1","0")</f>
        <v>1</v>
      </c>
      <c r="CT567">
        <f ca="1" xml:space="preserve"> IF( AND( OFFSET($A$1, 567 - 1, 96 - 1) = "1", OFFSET($A$1, 567 - 1, 97 - 1) = "1" ), 1, IF( AND( OFFSET($A$1, 567 - 1, 96 - 1) = "1", OFFSET($A$1, 567 - 1, 97 - 1) = "0" ), 2, IF( AND( OFFSET($A$1, 567 - 1, 96 - 1) = "0", OFFSET($A$1, 567 - 1, 97 - 1) = "1" ), 3, 4 ) ) )</f>
        <v>1</v>
      </c>
    </row>
    <row r="568" spans="95:98" ht="13.8" x14ac:dyDescent="0.3">
      <c r="CQ568" s="24">
        <v>0.15312996100218562</v>
      </c>
      <c r="CR568" s="24" t="str">
        <f>"0"</f>
        <v>0</v>
      </c>
      <c r="CS568" t="str">
        <f ca="1">IF((OFFSET($A$1, 568 - 1, 95 - 1)) &gt;= (OFFSET($A$1, 55 - 1, 7 - 1)), "1","0")</f>
        <v>0</v>
      </c>
      <c r="CT568">
        <f ca="1" xml:space="preserve"> IF( AND( OFFSET($A$1, 568 - 1, 96 - 1) = "1", OFFSET($A$1, 568 - 1, 97 - 1) = "1" ), 1, IF( AND( OFFSET($A$1, 568 - 1, 96 - 1) = "1", OFFSET($A$1, 568 - 1, 97 - 1) = "0" ), 2, IF( AND( OFFSET($A$1, 568 - 1, 96 - 1) = "0", OFFSET($A$1, 568 - 1, 97 - 1) = "1" ), 3, 4 ) ) )</f>
        <v>4</v>
      </c>
    </row>
    <row r="569" spans="95:98" ht="13.8" x14ac:dyDescent="0.3">
      <c r="CQ569" s="24">
        <v>0.98710408471770783</v>
      </c>
      <c r="CR569" s="24" t="str">
        <f>"1"</f>
        <v>1</v>
      </c>
      <c r="CS569" t="str">
        <f ca="1">IF((OFFSET($A$1, 569 - 1, 95 - 1)) &gt;= (OFFSET($A$1, 55 - 1, 7 - 1)), "1","0")</f>
        <v>1</v>
      </c>
      <c r="CT569">
        <f ca="1" xml:space="preserve"> IF( AND( OFFSET($A$1, 569 - 1, 96 - 1) = "1", OFFSET($A$1, 569 - 1, 97 - 1) = "1" ), 1, IF( AND( OFFSET($A$1, 569 - 1, 96 - 1) = "1", OFFSET($A$1, 569 - 1, 97 - 1) = "0" ), 2, IF( AND( OFFSET($A$1, 569 - 1, 96 - 1) = "0", OFFSET($A$1, 569 - 1, 97 - 1) = "1" ), 3, 4 ) ) )</f>
        <v>1</v>
      </c>
    </row>
    <row r="570" spans="95:98" ht="13.8" x14ac:dyDescent="0.3">
      <c r="CQ570" s="24">
        <v>0.99895930282010537</v>
      </c>
      <c r="CR570" s="24" t="str">
        <f>"1"</f>
        <v>1</v>
      </c>
      <c r="CS570" t="str">
        <f ca="1">IF((OFFSET($A$1, 570 - 1, 95 - 1)) &gt;= (OFFSET($A$1, 55 - 1, 7 - 1)), "1","0")</f>
        <v>1</v>
      </c>
      <c r="CT570">
        <f ca="1" xml:space="preserve"> IF( AND( OFFSET($A$1, 570 - 1, 96 - 1) = "1", OFFSET($A$1, 570 - 1, 97 - 1) = "1" ), 1, IF( AND( OFFSET($A$1, 570 - 1, 96 - 1) = "1", OFFSET($A$1, 570 - 1, 97 - 1) = "0" ), 2, IF( AND( OFFSET($A$1, 570 - 1, 96 - 1) = "0", OFFSET($A$1, 570 - 1, 97 - 1) = "1" ), 3, 4 ) ) )</f>
        <v>1</v>
      </c>
    </row>
    <row r="571" spans="95:98" ht="13.8" x14ac:dyDescent="0.3">
      <c r="CQ571" s="24">
        <v>3.432652700920593E-2</v>
      </c>
      <c r="CR571" s="24" t="str">
        <f>"0"</f>
        <v>0</v>
      </c>
      <c r="CS571" t="str">
        <f ca="1">IF((OFFSET($A$1, 571 - 1, 95 - 1)) &gt;= (OFFSET($A$1, 55 - 1, 7 - 1)), "1","0")</f>
        <v>0</v>
      </c>
      <c r="CT571">
        <f ca="1" xml:space="preserve"> IF( AND( OFFSET($A$1, 571 - 1, 96 - 1) = "1", OFFSET($A$1, 571 - 1, 97 - 1) = "1" ), 1, IF( AND( OFFSET($A$1, 571 - 1, 96 - 1) = "1", OFFSET($A$1, 571 - 1, 97 - 1) = "0" ), 2, IF( AND( OFFSET($A$1, 571 - 1, 96 - 1) = "0", OFFSET($A$1, 571 - 1, 97 - 1) = "1" ), 3, 4 ) ) )</f>
        <v>4</v>
      </c>
    </row>
    <row r="572" spans="95:98" ht="13.8" x14ac:dyDescent="0.3">
      <c r="CQ572" s="24">
        <v>0.99400319219754218</v>
      </c>
      <c r="CR572" s="24" t="str">
        <f>"1"</f>
        <v>1</v>
      </c>
      <c r="CS572" t="str">
        <f ca="1">IF((OFFSET($A$1, 572 - 1, 95 - 1)) &gt;= (OFFSET($A$1, 55 - 1, 7 - 1)), "1","0")</f>
        <v>1</v>
      </c>
      <c r="CT572">
        <f ca="1" xml:space="preserve"> IF( AND( OFFSET($A$1, 572 - 1, 96 - 1) = "1", OFFSET($A$1, 572 - 1, 97 - 1) = "1" ), 1, IF( AND( OFFSET($A$1, 572 - 1, 96 - 1) = "1", OFFSET($A$1, 572 - 1, 97 - 1) = "0" ), 2, IF( AND( OFFSET($A$1, 572 - 1, 96 - 1) = "0", OFFSET($A$1, 572 - 1, 97 - 1) = "1" ), 3, 4 ) ) )</f>
        <v>1</v>
      </c>
    </row>
    <row r="573" spans="95:98" ht="13.8" x14ac:dyDescent="0.3">
      <c r="CQ573" s="24">
        <v>0.29933105066753624</v>
      </c>
      <c r="CR573" s="24" t="str">
        <f>"0"</f>
        <v>0</v>
      </c>
      <c r="CS573" t="str">
        <f ca="1">IF((OFFSET($A$1, 573 - 1, 95 - 1)) &gt;= (OFFSET($A$1, 55 - 1, 7 - 1)), "1","0")</f>
        <v>0</v>
      </c>
      <c r="CT573">
        <f ca="1" xml:space="preserve"> IF( AND( OFFSET($A$1, 573 - 1, 96 - 1) = "1", OFFSET($A$1, 573 - 1, 97 - 1) = "1" ), 1, IF( AND( OFFSET($A$1, 573 - 1, 96 - 1) = "1", OFFSET($A$1, 573 - 1, 97 - 1) = "0" ), 2, IF( AND( OFFSET($A$1, 573 - 1, 96 - 1) = "0", OFFSET($A$1, 573 - 1, 97 - 1) = "1" ), 3, 4 ) ) )</f>
        <v>4</v>
      </c>
    </row>
    <row r="574" spans="95:98" ht="13.8" x14ac:dyDescent="0.3">
      <c r="CQ574" s="24">
        <v>0.97668037702653965</v>
      </c>
      <c r="CR574" s="24" t="str">
        <f>"1"</f>
        <v>1</v>
      </c>
      <c r="CS574" t="str">
        <f ca="1">IF((OFFSET($A$1, 574 - 1, 95 - 1)) &gt;= (OFFSET($A$1, 55 - 1, 7 - 1)), "1","0")</f>
        <v>1</v>
      </c>
      <c r="CT574">
        <f ca="1" xml:space="preserve"> IF( AND( OFFSET($A$1, 574 - 1, 96 - 1) = "1", OFFSET($A$1, 574 - 1, 97 - 1) = "1" ), 1, IF( AND( OFFSET($A$1, 574 - 1, 96 - 1) = "1", OFFSET($A$1, 574 - 1, 97 - 1) = "0" ), 2, IF( AND( OFFSET($A$1, 574 - 1, 96 - 1) = "0", OFFSET($A$1, 574 - 1, 97 - 1) = "1" ), 3, 4 ) ) )</f>
        <v>1</v>
      </c>
    </row>
    <row r="575" spans="95:98" ht="13.8" x14ac:dyDescent="0.3">
      <c r="CQ575" s="24">
        <v>0.99633060337507839</v>
      </c>
      <c r="CR575" s="24" t="str">
        <f>"1"</f>
        <v>1</v>
      </c>
      <c r="CS575" t="str">
        <f ca="1">IF((OFFSET($A$1, 575 - 1, 95 - 1)) &gt;= (OFFSET($A$1, 55 - 1, 7 - 1)), "1","0")</f>
        <v>1</v>
      </c>
      <c r="CT575">
        <f ca="1" xml:space="preserve"> IF( AND( OFFSET($A$1, 575 - 1, 96 - 1) = "1", OFFSET($A$1, 575 - 1, 97 - 1) = "1" ), 1, IF( AND( OFFSET($A$1, 575 - 1, 96 - 1) = "1", OFFSET($A$1, 575 - 1, 97 - 1) = "0" ), 2, IF( AND( OFFSET($A$1, 575 - 1, 96 - 1) = "0", OFFSET($A$1, 575 - 1, 97 - 1) = "1" ), 3, 4 ) ) )</f>
        <v>1</v>
      </c>
    </row>
    <row r="576" spans="95:98" ht="13.8" x14ac:dyDescent="0.3">
      <c r="CQ576" s="24">
        <v>0.99294642368679076</v>
      </c>
      <c r="CR576" s="24" t="str">
        <f>"1"</f>
        <v>1</v>
      </c>
      <c r="CS576" t="str">
        <f ca="1">IF((OFFSET($A$1, 576 - 1, 95 - 1)) &gt;= (OFFSET($A$1, 55 - 1, 7 - 1)), "1","0")</f>
        <v>1</v>
      </c>
      <c r="CT576">
        <f ca="1" xml:space="preserve"> IF( AND( OFFSET($A$1, 576 - 1, 96 - 1) = "1", OFFSET($A$1, 576 - 1, 97 - 1) = "1" ), 1, IF( AND( OFFSET($A$1, 576 - 1, 96 - 1) = "1", OFFSET($A$1, 576 - 1, 97 - 1) = "0" ), 2, IF( AND( OFFSET($A$1, 576 - 1, 96 - 1) = "0", OFFSET($A$1, 576 - 1, 97 - 1) = "1" ), 3, 4 ) ) )</f>
        <v>1</v>
      </c>
    </row>
    <row r="577" spans="95:98" ht="13.8" x14ac:dyDescent="0.3">
      <c r="CQ577" s="24">
        <v>0.85067691974768789</v>
      </c>
      <c r="CR577" s="24" t="str">
        <f>"1"</f>
        <v>1</v>
      </c>
      <c r="CS577" t="str">
        <f ca="1">IF((OFFSET($A$1, 577 - 1, 95 - 1)) &gt;= (OFFSET($A$1, 55 - 1, 7 - 1)), "1","0")</f>
        <v>1</v>
      </c>
      <c r="CT577">
        <f ca="1" xml:space="preserve"> IF( AND( OFFSET($A$1, 577 - 1, 96 - 1) = "1", OFFSET($A$1, 577 - 1, 97 - 1) = "1" ), 1, IF( AND( OFFSET($A$1, 577 - 1, 96 - 1) = "1", OFFSET($A$1, 577 - 1, 97 - 1) = "0" ), 2, IF( AND( OFFSET($A$1, 577 - 1, 96 - 1) = "0", OFFSET($A$1, 577 - 1, 97 - 1) = "1" ), 3, 4 ) ) )</f>
        <v>1</v>
      </c>
    </row>
    <row r="578" spans="95:98" ht="13.8" x14ac:dyDescent="0.3">
      <c r="CQ578" s="24">
        <v>4.0603264830345723E-2</v>
      </c>
      <c r="CR578" s="24" t="str">
        <f>"0"</f>
        <v>0</v>
      </c>
      <c r="CS578" t="str">
        <f ca="1">IF((OFFSET($A$1, 578 - 1, 95 - 1)) &gt;= (OFFSET($A$1, 55 - 1, 7 - 1)), "1","0")</f>
        <v>0</v>
      </c>
      <c r="CT578">
        <f ca="1" xml:space="preserve"> IF( AND( OFFSET($A$1, 578 - 1, 96 - 1) = "1", OFFSET($A$1, 578 - 1, 97 - 1) = "1" ), 1, IF( AND( OFFSET($A$1, 578 - 1, 96 - 1) = "1", OFFSET($A$1, 578 - 1, 97 - 1) = "0" ), 2, IF( AND( OFFSET($A$1, 578 - 1, 96 - 1) = "0", OFFSET($A$1, 578 - 1, 97 - 1) = "1" ), 3, 4 ) ) )</f>
        <v>4</v>
      </c>
    </row>
    <row r="579" spans="95:98" ht="13.8" x14ac:dyDescent="0.3">
      <c r="CQ579" s="24">
        <v>0.14855754213972472</v>
      </c>
      <c r="CR579" s="24" t="str">
        <f>"0"</f>
        <v>0</v>
      </c>
      <c r="CS579" t="str">
        <f ca="1">IF((OFFSET($A$1, 579 - 1, 95 - 1)) &gt;= (OFFSET($A$1, 55 - 1, 7 - 1)), "1","0")</f>
        <v>0</v>
      </c>
      <c r="CT579">
        <f ca="1" xml:space="preserve"> IF( AND( OFFSET($A$1, 579 - 1, 96 - 1) = "1", OFFSET($A$1, 579 - 1, 97 - 1) = "1" ), 1, IF( AND( OFFSET($A$1, 579 - 1, 96 - 1) = "1", OFFSET($A$1, 579 - 1, 97 - 1) = "0" ), 2, IF( AND( OFFSET($A$1, 579 - 1, 96 - 1) = "0", OFFSET($A$1, 579 - 1, 97 - 1) = "1" ), 3, 4 ) ) )</f>
        <v>4</v>
      </c>
    </row>
    <row r="580" spans="95:98" ht="13.8" x14ac:dyDescent="0.3">
      <c r="CQ580" s="24">
        <v>0.88499935338374736</v>
      </c>
      <c r="CR580" s="24" t="str">
        <f t="shared" ref="CR580:CR587" si="37">"1"</f>
        <v>1</v>
      </c>
      <c r="CS580" t="str">
        <f ca="1">IF((OFFSET($A$1, 580 - 1, 95 - 1)) &gt;= (OFFSET($A$1, 55 - 1, 7 - 1)), "1","0")</f>
        <v>1</v>
      </c>
      <c r="CT580">
        <f ca="1" xml:space="preserve"> IF( AND( OFFSET($A$1, 580 - 1, 96 - 1) = "1", OFFSET($A$1, 580 - 1, 97 - 1) = "1" ), 1, IF( AND( OFFSET($A$1, 580 - 1, 96 - 1) = "1", OFFSET($A$1, 580 - 1, 97 - 1) = "0" ), 2, IF( AND( OFFSET($A$1, 580 - 1, 96 - 1) = "0", OFFSET($A$1, 580 - 1, 97 - 1) = "1" ), 3, 4 ) ) )</f>
        <v>1</v>
      </c>
    </row>
    <row r="581" spans="95:98" ht="13.8" x14ac:dyDescent="0.3">
      <c r="CQ581" s="24">
        <v>0.91773741215549287</v>
      </c>
      <c r="CR581" s="24" t="str">
        <f t="shared" si="37"/>
        <v>1</v>
      </c>
      <c r="CS581" t="str">
        <f ca="1">IF((OFFSET($A$1, 581 - 1, 95 - 1)) &gt;= (OFFSET($A$1, 55 - 1, 7 - 1)), "1","0")</f>
        <v>1</v>
      </c>
      <c r="CT581">
        <f ca="1" xml:space="preserve"> IF( AND( OFFSET($A$1, 581 - 1, 96 - 1) = "1", OFFSET($A$1, 581 - 1, 97 - 1) = "1" ), 1, IF( AND( OFFSET($A$1, 581 - 1, 96 - 1) = "1", OFFSET($A$1, 581 - 1, 97 - 1) = "0" ), 2, IF( AND( OFFSET($A$1, 581 - 1, 96 - 1) = "0", OFFSET($A$1, 581 - 1, 97 - 1) = "1" ), 3, 4 ) ) )</f>
        <v>1</v>
      </c>
    </row>
    <row r="582" spans="95:98" ht="13.8" x14ac:dyDescent="0.3">
      <c r="CQ582" s="24">
        <v>0.9867507442916984</v>
      </c>
      <c r="CR582" s="24" t="str">
        <f t="shared" si="37"/>
        <v>1</v>
      </c>
      <c r="CS582" t="str">
        <f ca="1">IF((OFFSET($A$1, 582 - 1, 95 - 1)) &gt;= (OFFSET($A$1, 55 - 1, 7 - 1)), "1","0")</f>
        <v>1</v>
      </c>
      <c r="CT582">
        <f ca="1" xml:space="preserve"> IF( AND( OFFSET($A$1, 582 - 1, 96 - 1) = "1", OFFSET($A$1, 582 - 1, 97 - 1) = "1" ), 1, IF( AND( OFFSET($A$1, 582 - 1, 96 - 1) = "1", OFFSET($A$1, 582 - 1, 97 - 1) = "0" ), 2, IF( AND( OFFSET($A$1, 582 - 1, 96 - 1) = "0", OFFSET($A$1, 582 - 1, 97 - 1) = "1" ), 3, 4 ) ) )</f>
        <v>1</v>
      </c>
    </row>
    <row r="583" spans="95:98" ht="13.8" x14ac:dyDescent="0.3">
      <c r="CQ583" s="24">
        <v>0.93311434792218251</v>
      </c>
      <c r="CR583" s="24" t="str">
        <f t="shared" si="37"/>
        <v>1</v>
      </c>
      <c r="CS583" t="str">
        <f ca="1">IF((OFFSET($A$1, 583 - 1, 95 - 1)) &gt;= (OFFSET($A$1, 55 - 1, 7 - 1)), "1","0")</f>
        <v>1</v>
      </c>
      <c r="CT583">
        <f ca="1" xml:space="preserve"> IF( AND( OFFSET($A$1, 583 - 1, 96 - 1) = "1", OFFSET($A$1, 583 - 1, 97 - 1) = "1" ), 1, IF( AND( OFFSET($A$1, 583 - 1, 96 - 1) = "1", OFFSET($A$1, 583 - 1, 97 - 1) = "0" ), 2, IF( AND( OFFSET($A$1, 583 - 1, 96 - 1) = "0", OFFSET($A$1, 583 - 1, 97 - 1) = "1" ), 3, 4 ) ) )</f>
        <v>1</v>
      </c>
    </row>
    <row r="584" spans="95:98" ht="13.8" x14ac:dyDescent="0.3">
      <c r="CQ584" s="24">
        <v>0.82164269046816063</v>
      </c>
      <c r="CR584" s="24" t="str">
        <f t="shared" si="37"/>
        <v>1</v>
      </c>
      <c r="CS584" t="str">
        <f ca="1">IF((OFFSET($A$1, 584 - 1, 95 - 1)) &gt;= (OFFSET($A$1, 55 - 1, 7 - 1)), "1","0")</f>
        <v>1</v>
      </c>
      <c r="CT584">
        <f ca="1" xml:space="preserve"> IF( AND( OFFSET($A$1, 584 - 1, 96 - 1) = "1", OFFSET($A$1, 584 - 1, 97 - 1) = "1" ), 1, IF( AND( OFFSET($A$1, 584 - 1, 96 - 1) = "1", OFFSET($A$1, 584 - 1, 97 - 1) = "0" ), 2, IF( AND( OFFSET($A$1, 584 - 1, 96 - 1) = "0", OFFSET($A$1, 584 - 1, 97 - 1) = "1" ), 3, 4 ) ) )</f>
        <v>1</v>
      </c>
    </row>
    <row r="585" spans="95:98" ht="13.8" x14ac:dyDescent="0.3">
      <c r="CQ585" s="24">
        <v>0.96420921429744766</v>
      </c>
      <c r="CR585" s="24" t="str">
        <f t="shared" si="37"/>
        <v>1</v>
      </c>
      <c r="CS585" t="str">
        <f ca="1">IF((OFFSET($A$1, 585 - 1, 95 - 1)) &gt;= (OFFSET($A$1, 55 - 1, 7 - 1)), "1","0")</f>
        <v>1</v>
      </c>
      <c r="CT585">
        <f ca="1" xml:space="preserve"> IF( AND( OFFSET($A$1, 585 - 1, 96 - 1) = "1", OFFSET($A$1, 585 - 1, 97 - 1) = "1" ), 1, IF( AND( OFFSET($A$1, 585 - 1, 96 - 1) = "1", OFFSET($A$1, 585 - 1, 97 - 1) = "0" ), 2, IF( AND( OFFSET($A$1, 585 - 1, 96 - 1) = "0", OFFSET($A$1, 585 - 1, 97 - 1) = "1" ), 3, 4 ) ) )</f>
        <v>1</v>
      </c>
    </row>
    <row r="586" spans="95:98" ht="13.8" x14ac:dyDescent="0.3">
      <c r="CQ586" s="24">
        <v>0.93506058235747636</v>
      </c>
      <c r="CR586" s="24" t="str">
        <f t="shared" si="37"/>
        <v>1</v>
      </c>
      <c r="CS586" t="str">
        <f ca="1">IF((OFFSET($A$1, 586 - 1, 95 - 1)) &gt;= (OFFSET($A$1, 55 - 1, 7 - 1)), "1","0")</f>
        <v>1</v>
      </c>
      <c r="CT586">
        <f ca="1" xml:space="preserve"> IF( AND( OFFSET($A$1, 586 - 1, 96 - 1) = "1", OFFSET($A$1, 586 - 1, 97 - 1) = "1" ), 1, IF( AND( OFFSET($A$1, 586 - 1, 96 - 1) = "1", OFFSET($A$1, 586 - 1, 97 - 1) = "0" ), 2, IF( AND( OFFSET($A$1, 586 - 1, 96 - 1) = "0", OFFSET($A$1, 586 - 1, 97 - 1) = "1" ), 3, 4 ) ) )</f>
        <v>1</v>
      </c>
    </row>
    <row r="587" spans="95:98" ht="13.8" x14ac:dyDescent="0.3">
      <c r="CQ587" s="24">
        <v>0.99815341551037362</v>
      </c>
      <c r="CR587" s="24" t="str">
        <f t="shared" si="37"/>
        <v>1</v>
      </c>
      <c r="CS587" t="str">
        <f ca="1">IF((OFFSET($A$1, 587 - 1, 95 - 1)) &gt;= (OFFSET($A$1, 55 - 1, 7 - 1)), "1","0")</f>
        <v>1</v>
      </c>
      <c r="CT587">
        <f ca="1" xml:space="preserve"> IF( AND( OFFSET($A$1, 587 - 1, 96 - 1) = "1", OFFSET($A$1, 587 - 1, 97 - 1) = "1" ), 1, IF( AND( OFFSET($A$1, 587 - 1, 96 - 1) = "1", OFFSET($A$1, 587 - 1, 97 - 1) = "0" ), 2, IF( AND( OFFSET($A$1, 587 - 1, 96 - 1) = "0", OFFSET($A$1, 587 - 1, 97 - 1) = "1" ), 3, 4 ) ) )</f>
        <v>1</v>
      </c>
    </row>
    <row r="588" spans="95:98" ht="13.8" x14ac:dyDescent="0.3">
      <c r="CQ588" s="24">
        <v>3.1493338063830992E-2</v>
      </c>
      <c r="CR588" s="24" t="str">
        <f>"0"</f>
        <v>0</v>
      </c>
      <c r="CS588" t="str">
        <f ca="1">IF((OFFSET($A$1, 588 - 1, 95 - 1)) &gt;= (OFFSET($A$1, 55 - 1, 7 - 1)), "1","0")</f>
        <v>0</v>
      </c>
      <c r="CT588">
        <f ca="1" xml:space="preserve"> IF( AND( OFFSET($A$1, 588 - 1, 96 - 1) = "1", OFFSET($A$1, 588 - 1, 97 - 1) = "1" ), 1, IF( AND( OFFSET($A$1, 588 - 1, 96 - 1) = "1", OFFSET($A$1, 588 - 1, 97 - 1) = "0" ), 2, IF( AND( OFFSET($A$1, 588 - 1, 96 - 1) = "0", OFFSET($A$1, 588 - 1, 97 - 1) = "1" ), 3, 4 ) ) )</f>
        <v>4</v>
      </c>
    </row>
    <row r="589" spans="95:98" ht="13.8" x14ac:dyDescent="0.3">
      <c r="CQ589" s="24">
        <v>7.5317820439407277E-3</v>
      </c>
      <c r="CR589" s="24" t="str">
        <f>"0"</f>
        <v>0</v>
      </c>
      <c r="CS589" t="str">
        <f ca="1">IF((OFFSET($A$1, 589 - 1, 95 - 1)) &gt;= (OFFSET($A$1, 55 - 1, 7 - 1)), "1","0")</f>
        <v>0</v>
      </c>
      <c r="CT589">
        <f ca="1" xml:space="preserve"> IF( AND( OFFSET($A$1, 589 - 1, 96 - 1) = "1", OFFSET($A$1, 589 - 1, 97 - 1) = "1" ), 1, IF( AND( OFFSET($A$1, 589 - 1, 96 - 1) = "1", OFFSET($A$1, 589 - 1, 97 - 1) = "0" ), 2, IF( AND( OFFSET($A$1, 589 - 1, 96 - 1) = "0", OFFSET($A$1, 589 - 1, 97 - 1) = "1" ), 3, 4 ) ) )</f>
        <v>4</v>
      </c>
    </row>
    <row r="590" spans="95:98" ht="13.8" x14ac:dyDescent="0.3">
      <c r="CQ590" s="24">
        <v>0.96704828812339894</v>
      </c>
      <c r="CR590" s="24" t="str">
        <f>"1"</f>
        <v>1</v>
      </c>
      <c r="CS590" t="str">
        <f ca="1">IF((OFFSET($A$1, 590 - 1, 95 - 1)) &gt;= (OFFSET($A$1, 55 - 1, 7 - 1)), "1","0")</f>
        <v>1</v>
      </c>
      <c r="CT590">
        <f ca="1" xml:space="preserve"> IF( AND( OFFSET($A$1, 590 - 1, 96 - 1) = "1", OFFSET($A$1, 590 - 1, 97 - 1) = "1" ), 1, IF( AND( OFFSET($A$1, 590 - 1, 96 - 1) = "1", OFFSET($A$1, 590 - 1, 97 - 1) = "0" ), 2, IF( AND( OFFSET($A$1, 590 - 1, 96 - 1) = "0", OFFSET($A$1, 590 - 1, 97 - 1) = "1" ), 3, 4 ) ) )</f>
        <v>1</v>
      </c>
    </row>
    <row r="591" spans="95:98" ht="13.8" x14ac:dyDescent="0.3">
      <c r="CQ591" s="24">
        <v>0.9996724663443135</v>
      </c>
      <c r="CR591" s="24" t="str">
        <f>"1"</f>
        <v>1</v>
      </c>
      <c r="CS591" t="str">
        <f ca="1">IF((OFFSET($A$1, 591 - 1, 95 - 1)) &gt;= (OFFSET($A$1, 55 - 1, 7 - 1)), "1","0")</f>
        <v>1</v>
      </c>
      <c r="CT591">
        <f ca="1" xml:space="preserve"> IF( AND( OFFSET($A$1, 591 - 1, 96 - 1) = "1", OFFSET($A$1, 591 - 1, 97 - 1) = "1" ), 1, IF( AND( OFFSET($A$1, 591 - 1, 96 - 1) = "1", OFFSET($A$1, 591 - 1, 97 - 1) = "0" ), 2, IF( AND( OFFSET($A$1, 591 - 1, 96 - 1) = "0", OFFSET($A$1, 591 - 1, 97 - 1) = "1" ), 3, 4 ) ) )</f>
        <v>1</v>
      </c>
    </row>
    <row r="592" spans="95:98" ht="13.8" x14ac:dyDescent="0.3">
      <c r="CQ592" s="24">
        <v>1.3149456994535538E-2</v>
      </c>
      <c r="CR592" s="24" t="str">
        <f>"0"</f>
        <v>0</v>
      </c>
      <c r="CS592" t="str">
        <f ca="1">IF((OFFSET($A$1, 592 - 1, 95 - 1)) &gt;= (OFFSET($A$1, 55 - 1, 7 - 1)), "1","0")</f>
        <v>0</v>
      </c>
      <c r="CT592">
        <f ca="1" xml:space="preserve"> IF( AND( OFFSET($A$1, 592 - 1, 96 - 1) = "1", OFFSET($A$1, 592 - 1, 97 - 1) = "1" ), 1, IF( AND( OFFSET($A$1, 592 - 1, 96 - 1) = "1", OFFSET($A$1, 592 - 1, 97 - 1) = "0" ), 2, IF( AND( OFFSET($A$1, 592 - 1, 96 - 1) = "0", OFFSET($A$1, 592 - 1, 97 - 1) = "1" ), 3, 4 ) ) )</f>
        <v>4</v>
      </c>
    </row>
    <row r="593" spans="95:98" ht="13.8" x14ac:dyDescent="0.3">
      <c r="CQ593" s="24">
        <v>9.3751980432088988E-2</v>
      </c>
      <c r="CR593" s="24" t="str">
        <f>"0"</f>
        <v>0</v>
      </c>
      <c r="CS593" t="str">
        <f ca="1">IF((OFFSET($A$1, 593 - 1, 95 - 1)) &gt;= (OFFSET($A$1, 55 - 1, 7 - 1)), "1","0")</f>
        <v>0</v>
      </c>
      <c r="CT593">
        <f ca="1" xml:space="preserve"> IF( AND( OFFSET($A$1, 593 - 1, 96 - 1) = "1", OFFSET($A$1, 593 - 1, 97 - 1) = "1" ), 1, IF( AND( OFFSET($A$1, 593 - 1, 96 - 1) = "1", OFFSET($A$1, 593 - 1, 97 - 1) = "0" ), 2, IF( AND( OFFSET($A$1, 593 - 1, 96 - 1) = "0", OFFSET($A$1, 593 - 1, 97 - 1) = "1" ), 3, 4 ) ) )</f>
        <v>4</v>
      </c>
    </row>
    <row r="594" spans="95:98" ht="13.8" x14ac:dyDescent="0.3">
      <c r="CQ594" s="24">
        <v>0.977695503112335</v>
      </c>
      <c r="CR594" s="24" t="str">
        <f>"1"</f>
        <v>1</v>
      </c>
      <c r="CS594" t="str">
        <f ca="1">IF((OFFSET($A$1, 594 - 1, 95 - 1)) &gt;= (OFFSET($A$1, 55 - 1, 7 - 1)), "1","0")</f>
        <v>1</v>
      </c>
      <c r="CT594">
        <f ca="1" xml:space="preserve"> IF( AND( OFFSET($A$1, 594 - 1, 96 - 1) = "1", OFFSET($A$1, 594 - 1, 97 - 1) = "1" ), 1, IF( AND( OFFSET($A$1, 594 - 1, 96 - 1) = "1", OFFSET($A$1, 594 - 1, 97 - 1) = "0" ), 2, IF( AND( OFFSET($A$1, 594 - 1, 96 - 1) = "0", OFFSET($A$1, 594 - 1, 97 - 1) = "1" ), 3, 4 ) ) )</f>
        <v>1</v>
      </c>
    </row>
    <row r="595" spans="95:98" ht="13.8" x14ac:dyDescent="0.3">
      <c r="CQ595" s="24">
        <v>0.14186413497756351</v>
      </c>
      <c r="CR595" s="24" t="str">
        <f>"0"</f>
        <v>0</v>
      </c>
      <c r="CS595" t="str">
        <f ca="1">IF((OFFSET($A$1, 595 - 1, 95 - 1)) &gt;= (OFFSET($A$1, 55 - 1, 7 - 1)), "1","0")</f>
        <v>0</v>
      </c>
      <c r="CT595">
        <f ca="1" xml:space="preserve"> IF( AND( OFFSET($A$1, 595 - 1, 96 - 1) = "1", OFFSET($A$1, 595 - 1, 97 - 1) = "1" ), 1, IF( AND( OFFSET($A$1, 595 - 1, 96 - 1) = "1", OFFSET($A$1, 595 - 1, 97 - 1) = "0" ), 2, IF( AND( OFFSET($A$1, 595 - 1, 96 - 1) = "0", OFFSET($A$1, 595 - 1, 97 - 1) = "1" ), 3, 4 ) ) )</f>
        <v>4</v>
      </c>
    </row>
    <row r="596" spans="95:98" ht="13.8" x14ac:dyDescent="0.3">
      <c r="CQ596" s="24">
        <v>0.98792998646048735</v>
      </c>
      <c r="CR596" s="24" t="str">
        <f>"1"</f>
        <v>1</v>
      </c>
      <c r="CS596" t="str">
        <f ca="1">IF((OFFSET($A$1, 596 - 1, 95 - 1)) &gt;= (OFFSET($A$1, 55 - 1, 7 - 1)), "1","0")</f>
        <v>1</v>
      </c>
      <c r="CT596">
        <f ca="1" xml:space="preserve"> IF( AND( OFFSET($A$1, 596 - 1, 96 - 1) = "1", OFFSET($A$1, 596 - 1, 97 - 1) = "1" ), 1, IF( AND( OFFSET($A$1, 596 - 1, 96 - 1) = "1", OFFSET($A$1, 596 - 1, 97 - 1) = "0" ), 2, IF( AND( OFFSET($A$1, 596 - 1, 96 - 1) = "0", OFFSET($A$1, 596 - 1, 97 - 1) = "1" ), 3, 4 ) ) )</f>
        <v>1</v>
      </c>
    </row>
    <row r="597" spans="95:98" ht="13.8" x14ac:dyDescent="0.3">
      <c r="CQ597" s="24">
        <v>0.98511248998924905</v>
      </c>
      <c r="CR597" s="24" t="str">
        <f>"1"</f>
        <v>1</v>
      </c>
      <c r="CS597" t="str">
        <f ca="1">IF((OFFSET($A$1, 597 - 1, 95 - 1)) &gt;= (OFFSET($A$1, 55 - 1, 7 - 1)), "1","0")</f>
        <v>1</v>
      </c>
      <c r="CT597">
        <f ca="1" xml:space="preserve"> IF( AND( OFFSET($A$1, 597 - 1, 96 - 1) = "1", OFFSET($A$1, 597 - 1, 97 - 1) = "1" ), 1, IF( AND( OFFSET($A$1, 597 - 1, 96 - 1) = "1", OFFSET($A$1, 597 - 1, 97 - 1) = "0" ), 2, IF( AND( OFFSET($A$1, 597 - 1, 96 - 1) = "0", OFFSET($A$1, 597 - 1, 97 - 1) = "1" ), 3, 4 ) ) )</f>
        <v>1</v>
      </c>
    </row>
    <row r="598" spans="95:98" ht="13.8" x14ac:dyDescent="0.3">
      <c r="CQ598" s="24">
        <v>0.13449167174500334</v>
      </c>
      <c r="CR598" s="24" t="str">
        <f>"0"</f>
        <v>0</v>
      </c>
      <c r="CS598" t="str">
        <f ca="1">IF((OFFSET($A$1, 598 - 1, 95 - 1)) &gt;= (OFFSET($A$1, 55 - 1, 7 - 1)), "1","0")</f>
        <v>0</v>
      </c>
      <c r="CT598">
        <f ca="1" xml:space="preserve"> IF( AND( OFFSET($A$1, 598 - 1, 96 - 1) = "1", OFFSET($A$1, 598 - 1, 97 - 1) = "1" ), 1, IF( AND( OFFSET($A$1, 598 - 1, 96 - 1) = "1", OFFSET($A$1, 598 - 1, 97 - 1) = "0" ), 2, IF( AND( OFFSET($A$1, 598 - 1, 96 - 1) = "0", OFFSET($A$1, 598 - 1, 97 - 1) = "1" ), 3, 4 ) ) )</f>
        <v>4</v>
      </c>
    </row>
    <row r="599" spans="95:98" ht="13.8" x14ac:dyDescent="0.3">
      <c r="CQ599" s="24">
        <v>0.98945059627520338</v>
      </c>
      <c r="CR599" s="24" t="str">
        <f>"1"</f>
        <v>1</v>
      </c>
      <c r="CS599" t="str">
        <f ca="1">IF((OFFSET($A$1, 599 - 1, 95 - 1)) &gt;= (OFFSET($A$1, 55 - 1, 7 - 1)), "1","0")</f>
        <v>1</v>
      </c>
      <c r="CT599">
        <f ca="1" xml:space="preserve"> IF( AND( OFFSET($A$1, 599 - 1, 96 - 1) = "1", OFFSET($A$1, 599 - 1, 97 - 1) = "1" ), 1, IF( AND( OFFSET($A$1, 599 - 1, 96 - 1) = "1", OFFSET($A$1, 599 - 1, 97 - 1) = "0" ), 2, IF( AND( OFFSET($A$1, 599 - 1, 96 - 1) = "0", OFFSET($A$1, 599 - 1, 97 - 1) = "1" ), 3, 4 ) ) )</f>
        <v>1</v>
      </c>
    </row>
    <row r="600" spans="95:98" ht="13.8" x14ac:dyDescent="0.3">
      <c r="CQ600" s="24">
        <v>0.99261518286383843</v>
      </c>
      <c r="CR600" s="24" t="str">
        <f>"0"</f>
        <v>0</v>
      </c>
      <c r="CS600" t="str">
        <f ca="1">IF((OFFSET($A$1, 600 - 1, 95 - 1)) &gt;= (OFFSET($A$1, 55 - 1, 7 - 1)), "1","0")</f>
        <v>1</v>
      </c>
      <c r="CT600">
        <f ca="1" xml:space="preserve"> IF( AND( OFFSET($A$1, 600 - 1, 96 - 1) = "1", OFFSET($A$1, 600 - 1, 97 - 1) = "1" ), 1, IF( AND( OFFSET($A$1, 600 - 1, 96 - 1) = "1", OFFSET($A$1, 600 - 1, 97 - 1) = "0" ), 2, IF( AND( OFFSET($A$1, 600 - 1, 96 - 1) = "0", OFFSET($A$1, 600 - 1, 97 - 1) = "1" ), 3, 4 ) ) )</f>
        <v>3</v>
      </c>
    </row>
  </sheetData>
  <mergeCells count="81">
    <mergeCell ref="B3:M3"/>
    <mergeCell ref="P3:S3"/>
    <mergeCell ref="C97:D97"/>
    <mergeCell ref="C98:D98"/>
    <mergeCell ref="D103:AW103"/>
    <mergeCell ref="C94:D94"/>
    <mergeCell ref="C95:D95"/>
    <mergeCell ref="C96:D96"/>
    <mergeCell ref="C72:D72"/>
    <mergeCell ref="C70:D70"/>
    <mergeCell ref="D120:Q120"/>
    <mergeCell ref="D149:AC149"/>
    <mergeCell ref="B4:C4"/>
    <mergeCell ref="D4:E4"/>
    <mergeCell ref="F4:G4"/>
    <mergeCell ref="H4:I4"/>
    <mergeCell ref="J4:K4"/>
    <mergeCell ref="D82:E82"/>
    <mergeCell ref="C87:F87"/>
    <mergeCell ref="C93:E93"/>
    <mergeCell ref="L4:M4"/>
    <mergeCell ref="C73:D73"/>
    <mergeCell ref="C74:D74"/>
    <mergeCell ref="C79:F79"/>
    <mergeCell ref="H79:M79"/>
    <mergeCell ref="C81:E81"/>
    <mergeCell ref="G33:J33"/>
    <mergeCell ref="G34:J34"/>
    <mergeCell ref="G35:J35"/>
    <mergeCell ref="G36:J36"/>
    <mergeCell ref="C71:D71"/>
    <mergeCell ref="G37:J37"/>
    <mergeCell ref="C39:G39"/>
    <mergeCell ref="C40:G40"/>
    <mergeCell ref="C41:G41"/>
    <mergeCell ref="C46:G46"/>
    <mergeCell ref="C55:F55"/>
    <mergeCell ref="H55:M55"/>
    <mergeCell ref="C57:E57"/>
    <mergeCell ref="D58:E58"/>
    <mergeCell ref="C63:F63"/>
    <mergeCell ref="C69:E69"/>
    <mergeCell ref="G28:J28"/>
    <mergeCell ref="G29:J29"/>
    <mergeCell ref="G30:J30"/>
    <mergeCell ref="G31:J31"/>
    <mergeCell ref="G32:J32"/>
    <mergeCell ref="C33:F33"/>
    <mergeCell ref="C34:F34"/>
    <mergeCell ref="C35:F35"/>
    <mergeCell ref="C36:F36"/>
    <mergeCell ref="C37:F37"/>
    <mergeCell ref="C28:F28"/>
    <mergeCell ref="C29:F29"/>
    <mergeCell ref="C30:F30"/>
    <mergeCell ref="C31:F31"/>
    <mergeCell ref="C32:F32"/>
    <mergeCell ref="C23:J23"/>
    <mergeCell ref="C24:F24"/>
    <mergeCell ref="C25:F25"/>
    <mergeCell ref="C26:F26"/>
    <mergeCell ref="C27:F27"/>
    <mergeCell ref="G24:J24"/>
    <mergeCell ref="G25:J25"/>
    <mergeCell ref="G26:J26"/>
    <mergeCell ref="G27:J27"/>
    <mergeCell ref="C18:AW18"/>
    <mergeCell ref="C19:D19"/>
    <mergeCell ref="C20:D20"/>
    <mergeCell ref="C21:D21"/>
    <mergeCell ref="E19:AW19"/>
    <mergeCell ref="E21:AW21"/>
    <mergeCell ref="C12:K12"/>
    <mergeCell ref="C13:F13"/>
    <mergeCell ref="C14:F14"/>
    <mergeCell ref="C15:F15"/>
    <mergeCell ref="C16:F16"/>
    <mergeCell ref="G13:K13"/>
    <mergeCell ref="G14:K14"/>
    <mergeCell ref="G15:K15"/>
    <mergeCell ref="G16:K16"/>
  </mergeCells>
  <hyperlinks>
    <hyperlink ref="B4" location="'NNC_Output5'!$B$10:$B$10" display="Inputs"/>
    <hyperlink ref="D4" location="'NNC_Output5'!$B$44:$B$44" display="Prior Class Prob."/>
    <hyperlink ref="F4" location="'NNC_Output5'!$B$53:$B$53" display="Train. Score - Summary"/>
    <hyperlink ref="H4" location="'NNC_Output5'!$B$77:$B$77" display="Valid. Score - Summary"/>
    <hyperlink ref="J4" location="'NNC_Output5'!$B$101:$B$101" display="Weights"/>
    <hyperlink ref="L4" location="'NNC_TrainLog5'!$B$10:$B$10" display="Training Log"/>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42"/>
  <sheetViews>
    <sheetView showGridLines="0" workbookViewId="0"/>
  </sheetViews>
  <sheetFormatPr defaultRowHeight="13.2" x14ac:dyDescent="0.25"/>
  <cols>
    <col min="16" max="16" width="13.5546875" bestFit="1" customWidth="1"/>
  </cols>
  <sheetData>
    <row r="1" spans="2:19" ht="18" x14ac:dyDescent="0.35">
      <c r="B1" s="23" t="s">
        <v>691</v>
      </c>
      <c r="N1" t="s">
        <v>759</v>
      </c>
    </row>
    <row r="3" spans="2:19" ht="15.6" x14ac:dyDescent="0.3">
      <c r="B3" s="59" t="s">
        <v>136</v>
      </c>
      <c r="C3" s="60"/>
      <c r="D3" s="60"/>
      <c r="E3" s="60"/>
      <c r="F3" s="60"/>
      <c r="G3" s="60"/>
      <c r="H3" s="60"/>
      <c r="I3" s="60"/>
      <c r="J3" s="60"/>
      <c r="K3" s="60"/>
      <c r="L3" s="60"/>
      <c r="M3" s="61"/>
      <c r="P3" s="59" t="s">
        <v>137</v>
      </c>
      <c r="Q3" s="60"/>
      <c r="R3" s="60"/>
      <c r="S3" s="61"/>
    </row>
    <row r="4" spans="2:19" ht="13.8" x14ac:dyDescent="0.3">
      <c r="B4" s="65" t="s">
        <v>141</v>
      </c>
      <c r="C4" s="66"/>
      <c r="D4" s="65" t="s">
        <v>683</v>
      </c>
      <c r="E4" s="66"/>
      <c r="F4" s="65" t="s">
        <v>684</v>
      </c>
      <c r="G4" s="66"/>
      <c r="H4" s="65" t="s">
        <v>685</v>
      </c>
      <c r="I4" s="66"/>
      <c r="J4" s="65" t="s">
        <v>686</v>
      </c>
      <c r="K4" s="66"/>
      <c r="L4" s="65" t="s">
        <v>687</v>
      </c>
      <c r="M4" s="66"/>
      <c r="P4" s="26" t="s">
        <v>182</v>
      </c>
      <c r="Q4" s="26" t="s">
        <v>183</v>
      </c>
      <c r="R4" s="26" t="s">
        <v>139</v>
      </c>
      <c r="S4" s="26" t="s">
        <v>140</v>
      </c>
    </row>
    <row r="5" spans="2:19" ht="13.8" x14ac:dyDescent="0.3">
      <c r="P5" s="24">
        <v>47</v>
      </c>
      <c r="Q5" s="24">
        <v>414</v>
      </c>
      <c r="R5" s="24">
        <v>141</v>
      </c>
      <c r="S5" s="24">
        <v>602</v>
      </c>
    </row>
    <row r="10" spans="2:19" ht="13.8" x14ac:dyDescent="0.3">
      <c r="B10" s="21" t="s">
        <v>687</v>
      </c>
    </row>
    <row r="12" spans="2:19" ht="13.8" x14ac:dyDescent="0.3">
      <c r="C12" s="26" t="s">
        <v>692</v>
      </c>
      <c r="D12" s="26" t="s">
        <v>693</v>
      </c>
      <c r="E12" s="26" t="s">
        <v>694</v>
      </c>
    </row>
    <row r="13" spans="2:19" ht="13.8" x14ac:dyDescent="0.3">
      <c r="C13" s="24">
        <v>1</v>
      </c>
      <c r="D13" s="24">
        <v>121.36760126412761</v>
      </c>
      <c r="E13" s="24">
        <v>29.5</v>
      </c>
    </row>
    <row r="14" spans="2:19" ht="13.8" x14ac:dyDescent="0.3">
      <c r="C14" s="24">
        <v>2</v>
      </c>
      <c r="D14" s="24">
        <v>115.51924159083437</v>
      </c>
      <c r="E14" s="24">
        <v>29.333333333333332</v>
      </c>
    </row>
    <row r="15" spans="2:19" ht="13.8" x14ac:dyDescent="0.3">
      <c r="C15" s="24">
        <v>3</v>
      </c>
      <c r="D15" s="24">
        <v>100.63741085438093</v>
      </c>
      <c r="E15" s="24">
        <v>28.166666666666668</v>
      </c>
    </row>
    <row r="16" spans="2:19" ht="13.8" x14ac:dyDescent="0.3">
      <c r="C16" s="24">
        <v>4</v>
      </c>
      <c r="D16" s="24">
        <v>92.563491071491313</v>
      </c>
      <c r="E16" s="24">
        <v>24.333333333333332</v>
      </c>
    </row>
    <row r="17" spans="3:5" ht="13.8" x14ac:dyDescent="0.3">
      <c r="C17" s="24">
        <v>5</v>
      </c>
      <c r="D17" s="24">
        <v>89.632000790719133</v>
      </c>
      <c r="E17" s="24">
        <v>23.833333333333332</v>
      </c>
    </row>
    <row r="18" spans="3:5" ht="13.8" x14ac:dyDescent="0.3">
      <c r="C18" s="24">
        <v>6</v>
      </c>
      <c r="D18" s="24">
        <v>87.27180503530063</v>
      </c>
      <c r="E18" s="24">
        <v>22.833333333333332</v>
      </c>
    </row>
    <row r="19" spans="3:5" ht="13.8" x14ac:dyDescent="0.3">
      <c r="C19" s="24">
        <v>7</v>
      </c>
      <c r="D19" s="24">
        <v>84.951160500527166</v>
      </c>
      <c r="E19" s="24">
        <v>22</v>
      </c>
    </row>
    <row r="20" spans="3:5" ht="13.8" x14ac:dyDescent="0.3">
      <c r="C20" s="24">
        <v>8</v>
      </c>
      <c r="D20" s="24">
        <v>82.681315359233011</v>
      </c>
      <c r="E20" s="24">
        <v>21.333333333333332</v>
      </c>
    </row>
    <row r="21" spans="3:5" ht="13.8" x14ac:dyDescent="0.3">
      <c r="C21" s="24">
        <v>9</v>
      </c>
      <c r="D21" s="24">
        <v>80.236357244618404</v>
      </c>
      <c r="E21" s="24">
        <v>20.166666666666668</v>
      </c>
    </row>
    <row r="22" spans="3:5" ht="13.8" x14ac:dyDescent="0.3">
      <c r="C22" s="24">
        <v>10</v>
      </c>
      <c r="D22" s="24">
        <v>77.856837977912122</v>
      </c>
      <c r="E22" s="24">
        <v>18.833333333333332</v>
      </c>
    </row>
    <row r="23" spans="3:5" ht="13.8" x14ac:dyDescent="0.3">
      <c r="C23" s="24">
        <v>11</v>
      </c>
      <c r="D23" s="24">
        <v>75.464084792452837</v>
      </c>
      <c r="E23" s="24">
        <v>17.5</v>
      </c>
    </row>
    <row r="24" spans="3:5" ht="13.8" x14ac:dyDescent="0.3">
      <c r="C24" s="24">
        <v>12</v>
      </c>
      <c r="D24" s="24">
        <v>73.182165159545377</v>
      </c>
      <c r="E24" s="24">
        <v>16.5</v>
      </c>
    </row>
    <row r="25" spans="3:5" ht="13.8" x14ac:dyDescent="0.3">
      <c r="C25" s="24">
        <v>13</v>
      </c>
      <c r="D25" s="24">
        <v>71.006067194507978</v>
      </c>
      <c r="E25" s="24">
        <v>15.833333333333334</v>
      </c>
    </row>
    <row r="26" spans="3:5" ht="13.8" x14ac:dyDescent="0.3">
      <c r="C26" s="24">
        <v>14</v>
      </c>
      <c r="D26" s="24">
        <v>68.754281088097983</v>
      </c>
      <c r="E26" s="24">
        <v>15.166666666666666</v>
      </c>
    </row>
    <row r="27" spans="3:5" ht="13.8" x14ac:dyDescent="0.3">
      <c r="C27" s="24">
        <v>15</v>
      </c>
      <c r="D27" s="24">
        <v>66.442022122920875</v>
      </c>
      <c r="E27" s="24">
        <v>14.333333333333334</v>
      </c>
    </row>
    <row r="28" spans="3:5" ht="13.8" x14ac:dyDescent="0.3">
      <c r="C28" s="24">
        <v>16</v>
      </c>
      <c r="D28" s="24">
        <v>64.053118944284932</v>
      </c>
      <c r="E28" s="24">
        <v>14</v>
      </c>
    </row>
    <row r="29" spans="3:5" ht="13.8" x14ac:dyDescent="0.3">
      <c r="C29" s="24">
        <v>17</v>
      </c>
      <c r="D29" s="24">
        <v>61.36589672724196</v>
      </c>
      <c r="E29" s="24">
        <v>13.5</v>
      </c>
    </row>
    <row r="30" spans="3:5" ht="13.8" x14ac:dyDescent="0.3">
      <c r="C30" s="24">
        <v>18</v>
      </c>
      <c r="D30" s="24">
        <v>58.427713902235567</v>
      </c>
      <c r="E30" s="24">
        <v>12.666666666666666</v>
      </c>
    </row>
    <row r="31" spans="3:5" ht="13.8" x14ac:dyDescent="0.3">
      <c r="C31" s="24">
        <v>19</v>
      </c>
      <c r="D31" s="24">
        <v>55.556432545615678</v>
      </c>
      <c r="E31" s="24">
        <v>11.5</v>
      </c>
    </row>
    <row r="32" spans="3:5" ht="13.8" x14ac:dyDescent="0.3">
      <c r="C32" s="24">
        <v>20</v>
      </c>
      <c r="D32" s="24">
        <v>52.420221280310514</v>
      </c>
      <c r="E32" s="24">
        <v>10.666666666666666</v>
      </c>
    </row>
    <row r="33" spans="3:5" ht="13.8" x14ac:dyDescent="0.3">
      <c r="C33" s="24">
        <v>21</v>
      </c>
      <c r="D33" s="24">
        <v>49.339630294774537</v>
      </c>
      <c r="E33" s="24">
        <v>10</v>
      </c>
    </row>
    <row r="34" spans="3:5" ht="13.8" x14ac:dyDescent="0.3">
      <c r="C34" s="24">
        <v>22</v>
      </c>
      <c r="D34" s="24">
        <v>46.422205435473231</v>
      </c>
      <c r="E34" s="24">
        <v>9.3333333333333339</v>
      </c>
    </row>
    <row r="35" spans="3:5" ht="13.8" x14ac:dyDescent="0.3">
      <c r="C35" s="24">
        <v>23</v>
      </c>
      <c r="D35" s="24">
        <v>43.845584869317975</v>
      </c>
      <c r="E35" s="24">
        <v>8.6666666666666661</v>
      </c>
    </row>
    <row r="36" spans="3:5" ht="13.8" x14ac:dyDescent="0.3">
      <c r="C36" s="24">
        <v>24</v>
      </c>
      <c r="D36" s="24">
        <v>40.485939419701104</v>
      </c>
      <c r="E36" s="24">
        <v>7.333333333333333</v>
      </c>
    </row>
    <row r="37" spans="3:5" ht="13.8" x14ac:dyDescent="0.3">
      <c r="C37" s="24">
        <v>25</v>
      </c>
      <c r="D37" s="24">
        <v>36.318436880275783</v>
      </c>
      <c r="E37" s="24">
        <v>6.333333333333333</v>
      </c>
    </row>
    <row r="38" spans="3:5" ht="13.8" x14ac:dyDescent="0.3">
      <c r="C38" s="24">
        <v>26</v>
      </c>
      <c r="D38" s="24">
        <v>32.422691561395602</v>
      </c>
      <c r="E38" s="24">
        <v>5.5</v>
      </c>
    </row>
    <row r="39" spans="3:5" ht="13.8" x14ac:dyDescent="0.3">
      <c r="C39" s="24">
        <v>27</v>
      </c>
      <c r="D39" s="24">
        <v>30.246379691085416</v>
      </c>
      <c r="E39" s="24">
        <v>5</v>
      </c>
    </row>
    <row r="40" spans="3:5" ht="13.8" x14ac:dyDescent="0.3">
      <c r="C40" s="24">
        <v>28</v>
      </c>
      <c r="D40" s="24">
        <v>28.311771921220291</v>
      </c>
      <c r="E40" s="24">
        <v>4.5</v>
      </c>
    </row>
    <row r="41" spans="3:5" ht="13.8" x14ac:dyDescent="0.3">
      <c r="C41" s="24">
        <v>29</v>
      </c>
      <c r="D41" s="24">
        <v>26.06460312598562</v>
      </c>
      <c r="E41" s="24">
        <v>3.8333333333333335</v>
      </c>
    </row>
    <row r="42" spans="3:5" ht="13.8" x14ac:dyDescent="0.3">
      <c r="C42" s="24">
        <v>30</v>
      </c>
      <c r="D42" s="24">
        <v>25.086554107873027</v>
      </c>
      <c r="E42" s="24">
        <v>4</v>
      </c>
    </row>
  </sheetData>
  <mergeCells count="8">
    <mergeCell ref="B3:M3"/>
    <mergeCell ref="P3:S3"/>
    <mergeCell ref="B4:C4"/>
    <mergeCell ref="D4:E4"/>
    <mergeCell ref="F4:G4"/>
    <mergeCell ref="H4:I4"/>
    <mergeCell ref="J4:K4"/>
    <mergeCell ref="L4:M4"/>
  </mergeCells>
  <hyperlinks>
    <hyperlink ref="B4" location="'NNC_Output5'!$B$10:$B$10" display="Inputs"/>
    <hyperlink ref="D4" location="'NNC_Output5'!$B$44:$B$44" display="Prior Class Prob."/>
    <hyperlink ref="F4" location="'NNC_Output5'!$B$53:$B$53" display="Train. Score - Summary"/>
    <hyperlink ref="H4" location="'NNC_Output5'!$B$77:$B$77" display="Valid. Score - Summary"/>
    <hyperlink ref="J4" location="'NNC_Output5'!$B$101:$B$101" display="Weights"/>
    <hyperlink ref="L4" location="'NNC_TrainLog5'!$B$10:$B$10" display="Training Log"/>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8"/>
  <sheetViews>
    <sheetView showGridLines="0" topLeftCell="A3" workbookViewId="0"/>
  </sheetViews>
  <sheetFormatPr defaultRowHeight="13.2" x14ac:dyDescent="0.25"/>
  <cols>
    <col min="1" max="1" width="26.77734375" bestFit="1" customWidth="1"/>
    <col min="2" max="2" width="26.88671875" bestFit="1" customWidth="1"/>
  </cols>
  <sheetData>
    <row r="1" spans="1:49" x14ac:dyDescent="0.25">
      <c r="M1" t="s">
        <v>759</v>
      </c>
    </row>
    <row r="2" spans="1:49" ht="13.8" x14ac:dyDescent="0.3">
      <c r="A2" s="25" t="s">
        <v>637</v>
      </c>
      <c r="B2" s="24" t="s">
        <v>638</v>
      </c>
    </row>
    <row r="3" spans="1:49" ht="13.8" x14ac:dyDescent="0.3">
      <c r="A3" s="25" t="s">
        <v>639</v>
      </c>
      <c r="B3" s="24">
        <v>45</v>
      </c>
    </row>
    <row r="4" spans="1:49" ht="13.8" x14ac:dyDescent="0.3">
      <c r="A4" s="25" t="s">
        <v>151</v>
      </c>
      <c r="B4" s="24" t="s">
        <v>640</v>
      </c>
      <c r="D4" s="24" t="s">
        <v>0</v>
      </c>
      <c r="E4" s="24" t="s">
        <v>68</v>
      </c>
      <c r="F4" s="24" t="s">
        <v>69</v>
      </c>
      <c r="G4" s="24" t="s">
        <v>70</v>
      </c>
      <c r="H4" s="24" t="s">
        <v>71</v>
      </c>
      <c r="I4" s="24" t="s">
        <v>81</v>
      </c>
      <c r="J4" s="24" t="s">
        <v>72</v>
      </c>
      <c r="K4" s="24" t="s">
        <v>2</v>
      </c>
      <c r="L4" s="24" t="s">
        <v>6</v>
      </c>
      <c r="M4" s="24" t="s">
        <v>74</v>
      </c>
      <c r="N4" s="24" t="s">
        <v>75</v>
      </c>
      <c r="O4" s="24" t="s">
        <v>76</v>
      </c>
      <c r="P4" s="24" t="s">
        <v>73</v>
      </c>
      <c r="Q4" s="24" t="s">
        <v>77</v>
      </c>
      <c r="R4" s="24" t="s">
        <v>78</v>
      </c>
      <c r="S4" s="24" t="s">
        <v>82</v>
      </c>
      <c r="T4" s="24" t="s">
        <v>8</v>
      </c>
      <c r="U4" s="24" t="s">
        <v>79</v>
      </c>
      <c r="V4" s="24" t="s">
        <v>80</v>
      </c>
      <c r="W4" s="24" t="s">
        <v>83</v>
      </c>
      <c r="X4" s="24" t="s">
        <v>9</v>
      </c>
      <c r="Y4" s="24" t="s">
        <v>11</v>
      </c>
      <c r="Z4" s="24" t="s">
        <v>12</v>
      </c>
      <c r="AA4" s="24" t="s">
        <v>13</v>
      </c>
      <c r="AB4" s="24" t="s">
        <v>152</v>
      </c>
      <c r="AC4" s="24" t="s">
        <v>153</v>
      </c>
      <c r="AD4" s="24" t="s">
        <v>154</v>
      </c>
      <c r="AE4" s="24" t="s">
        <v>156</v>
      </c>
      <c r="AF4" s="24" t="s">
        <v>157</v>
      </c>
      <c r="AG4" s="24" t="s">
        <v>158</v>
      </c>
      <c r="AH4" s="24" t="s">
        <v>159</v>
      </c>
      <c r="AI4" s="24" t="s">
        <v>161</v>
      </c>
      <c r="AJ4" s="24" t="s">
        <v>162</v>
      </c>
      <c r="AK4" s="24" t="s">
        <v>163</v>
      </c>
      <c r="AL4" s="24" t="s">
        <v>164</v>
      </c>
      <c r="AM4" s="24" t="s">
        <v>166</v>
      </c>
      <c r="AN4" s="24" t="s">
        <v>167</v>
      </c>
      <c r="AO4" s="24" t="s">
        <v>168</v>
      </c>
      <c r="AP4" s="24" t="s">
        <v>169</v>
      </c>
      <c r="AQ4" s="24" t="s">
        <v>171</v>
      </c>
      <c r="AR4" s="24" t="s">
        <v>172</v>
      </c>
      <c r="AS4" s="24" t="s">
        <v>173</v>
      </c>
      <c r="AT4" s="24" t="s">
        <v>176</v>
      </c>
      <c r="AU4" s="24" t="s">
        <v>177</v>
      </c>
      <c r="AV4" s="24" t="s">
        <v>178</v>
      </c>
      <c r="AW4" s="24" t="s">
        <v>14</v>
      </c>
    </row>
    <row r="5" spans="1:49" ht="13.8" x14ac:dyDescent="0.3">
      <c r="A5" s="25" t="s">
        <v>641</v>
      </c>
      <c r="B5" s="24" t="s">
        <v>642</v>
      </c>
      <c r="D5" s="24">
        <v>1</v>
      </c>
      <c r="E5" s="24">
        <v>2</v>
      </c>
      <c r="F5" s="24">
        <v>3</v>
      </c>
      <c r="G5" s="24">
        <v>4</v>
      </c>
      <c r="H5" s="24">
        <v>5</v>
      </c>
      <c r="I5" s="24">
        <v>6</v>
      </c>
      <c r="J5" s="24">
        <v>7</v>
      </c>
      <c r="K5" s="24">
        <v>8</v>
      </c>
      <c r="L5" s="24">
        <v>9</v>
      </c>
      <c r="M5" s="24">
        <v>10</v>
      </c>
      <c r="N5" s="24">
        <v>11</v>
      </c>
      <c r="O5" s="24">
        <v>12</v>
      </c>
      <c r="P5" s="24">
        <v>13</v>
      </c>
      <c r="Q5" s="24">
        <v>14</v>
      </c>
      <c r="R5" s="24">
        <v>15</v>
      </c>
      <c r="S5" s="24">
        <v>16</v>
      </c>
      <c r="T5" s="24">
        <v>17</v>
      </c>
      <c r="U5" s="24">
        <v>18</v>
      </c>
      <c r="V5" s="24">
        <v>19</v>
      </c>
      <c r="W5" s="24">
        <v>20</v>
      </c>
      <c r="X5" s="24">
        <v>21</v>
      </c>
      <c r="Y5" s="24">
        <v>22</v>
      </c>
      <c r="Z5" s="24">
        <v>23</v>
      </c>
      <c r="AA5" s="24">
        <v>24</v>
      </c>
      <c r="AB5" s="24">
        <v>26</v>
      </c>
      <c r="AC5" s="24">
        <v>27</v>
      </c>
      <c r="AD5" s="24">
        <v>28</v>
      </c>
      <c r="AE5" s="24">
        <v>30</v>
      </c>
      <c r="AF5" s="24">
        <v>31</v>
      </c>
      <c r="AG5" s="24">
        <v>32</v>
      </c>
      <c r="AH5" s="24">
        <v>33</v>
      </c>
      <c r="AI5" s="24">
        <v>35</v>
      </c>
      <c r="AJ5" s="24">
        <v>36</v>
      </c>
      <c r="AK5" s="24">
        <v>37</v>
      </c>
      <c r="AL5" s="24">
        <v>38</v>
      </c>
      <c r="AM5" s="24">
        <v>40</v>
      </c>
      <c r="AN5" s="24">
        <v>41</v>
      </c>
      <c r="AO5" s="24">
        <v>42</v>
      </c>
      <c r="AP5" s="24">
        <v>43</v>
      </c>
      <c r="AQ5" s="24">
        <v>45</v>
      </c>
      <c r="AR5" s="24">
        <v>46</v>
      </c>
      <c r="AS5" s="24">
        <v>47</v>
      </c>
      <c r="AT5" s="24">
        <v>49</v>
      </c>
      <c r="AU5" s="24">
        <v>50</v>
      </c>
      <c r="AV5" s="24">
        <v>51</v>
      </c>
      <c r="AW5" s="24">
        <v>25</v>
      </c>
    </row>
    <row r="6" spans="1:49" ht="13.8" x14ac:dyDescent="0.3">
      <c r="A6" s="25" t="s">
        <v>643</v>
      </c>
      <c r="B6" s="24" t="s">
        <v>644</v>
      </c>
      <c r="D6" s="24" t="s">
        <v>645</v>
      </c>
      <c r="E6" s="24" t="s">
        <v>645</v>
      </c>
      <c r="F6" s="24" t="s">
        <v>645</v>
      </c>
      <c r="G6" s="24" t="s">
        <v>645</v>
      </c>
      <c r="H6" s="24" t="s">
        <v>645</v>
      </c>
      <c r="I6" s="24" t="s">
        <v>645</v>
      </c>
      <c r="J6" s="24" t="s">
        <v>645</v>
      </c>
      <c r="K6" s="24" t="s">
        <v>645</v>
      </c>
      <c r="L6" s="24" t="s">
        <v>645</v>
      </c>
      <c r="M6" s="24" t="s">
        <v>645</v>
      </c>
      <c r="N6" s="24" t="s">
        <v>645</v>
      </c>
      <c r="O6" s="24" t="s">
        <v>645</v>
      </c>
      <c r="P6" s="24" t="s">
        <v>645</v>
      </c>
      <c r="Q6" s="24" t="s">
        <v>645</v>
      </c>
      <c r="R6" s="24" t="s">
        <v>645</v>
      </c>
      <c r="S6" s="24" t="s">
        <v>645</v>
      </c>
      <c r="T6" s="24" t="s">
        <v>645</v>
      </c>
      <c r="U6" s="24" t="s">
        <v>645</v>
      </c>
      <c r="V6" s="24" t="s">
        <v>645</v>
      </c>
      <c r="W6" s="24" t="s">
        <v>645</v>
      </c>
      <c r="X6" s="24" t="s">
        <v>645</v>
      </c>
      <c r="Y6" s="24" t="s">
        <v>645</v>
      </c>
      <c r="Z6" s="24" t="s">
        <v>645</v>
      </c>
      <c r="AA6" s="24" t="s">
        <v>645</v>
      </c>
      <c r="AB6" s="24" t="s">
        <v>645</v>
      </c>
      <c r="AC6" s="24" t="s">
        <v>645</v>
      </c>
      <c r="AD6" s="24" t="s">
        <v>645</v>
      </c>
      <c r="AE6" s="24" t="s">
        <v>645</v>
      </c>
      <c r="AF6" s="24" t="s">
        <v>645</v>
      </c>
      <c r="AG6" s="24" t="s">
        <v>645</v>
      </c>
      <c r="AH6" s="24" t="s">
        <v>645</v>
      </c>
      <c r="AI6" s="24" t="s">
        <v>645</v>
      </c>
      <c r="AJ6" s="24" t="s">
        <v>645</v>
      </c>
      <c r="AK6" s="24" t="s">
        <v>645</v>
      </c>
      <c r="AL6" s="24" t="s">
        <v>645</v>
      </c>
      <c r="AM6" s="24" t="s">
        <v>645</v>
      </c>
      <c r="AN6" s="24" t="s">
        <v>645</v>
      </c>
      <c r="AO6" s="24" t="s">
        <v>645</v>
      </c>
      <c r="AP6" s="24" t="s">
        <v>645</v>
      </c>
      <c r="AQ6" s="24" t="s">
        <v>645</v>
      </c>
      <c r="AR6" s="24" t="s">
        <v>645</v>
      </c>
      <c r="AS6" s="24" t="s">
        <v>645</v>
      </c>
      <c r="AT6" s="24" t="s">
        <v>645</v>
      </c>
      <c r="AU6" s="24" t="s">
        <v>645</v>
      </c>
      <c r="AV6" s="24" t="s">
        <v>645</v>
      </c>
      <c r="AW6" s="24" t="s">
        <v>666</v>
      </c>
    </row>
    <row r="7" spans="1:49" ht="13.8" x14ac:dyDescent="0.3">
      <c r="A7" s="25" t="s">
        <v>17</v>
      </c>
      <c r="B7" s="24" t="s">
        <v>646</v>
      </c>
      <c r="D7" s="24" t="s">
        <v>647</v>
      </c>
      <c r="E7" s="24" t="s">
        <v>647</v>
      </c>
      <c r="F7" s="24" t="s">
        <v>647</v>
      </c>
      <c r="G7" s="24" t="s">
        <v>647</v>
      </c>
      <c r="H7" s="24" t="s">
        <v>647</v>
      </c>
      <c r="I7" s="24" t="s">
        <v>647</v>
      </c>
      <c r="J7" s="24" t="s">
        <v>647</v>
      </c>
      <c r="K7" s="24" t="s">
        <v>647</v>
      </c>
      <c r="L7" s="24" t="s">
        <v>647</v>
      </c>
      <c r="M7" s="24" t="s">
        <v>647</v>
      </c>
      <c r="N7" s="24" t="s">
        <v>647</v>
      </c>
      <c r="O7" s="24" t="s">
        <v>647</v>
      </c>
      <c r="P7" s="24" t="s">
        <v>647</v>
      </c>
      <c r="Q7" s="24" t="s">
        <v>647</v>
      </c>
      <c r="R7" s="24" t="s">
        <v>647</v>
      </c>
      <c r="S7" s="24" t="s">
        <v>647</v>
      </c>
      <c r="T7" s="24" t="s">
        <v>647</v>
      </c>
      <c r="U7" s="24" t="s">
        <v>647</v>
      </c>
      <c r="V7" s="24" t="s">
        <v>647</v>
      </c>
      <c r="W7" s="24" t="s">
        <v>647</v>
      </c>
      <c r="X7" s="24" t="s">
        <v>647</v>
      </c>
      <c r="Y7" s="24" t="s">
        <v>647</v>
      </c>
      <c r="Z7" s="24" t="s">
        <v>647</v>
      </c>
      <c r="AA7" s="24" t="s">
        <v>647</v>
      </c>
      <c r="AB7" s="24" t="s">
        <v>647</v>
      </c>
      <c r="AC7" s="24" t="s">
        <v>647</v>
      </c>
      <c r="AD7" s="24" t="s">
        <v>647</v>
      </c>
      <c r="AE7" s="24" t="s">
        <v>647</v>
      </c>
      <c r="AF7" s="24" t="s">
        <v>647</v>
      </c>
      <c r="AG7" s="24" t="s">
        <v>647</v>
      </c>
      <c r="AH7" s="24" t="s">
        <v>647</v>
      </c>
      <c r="AI7" s="24" t="s">
        <v>647</v>
      </c>
      <c r="AJ7" s="24" t="s">
        <v>647</v>
      </c>
      <c r="AK7" s="24" t="s">
        <v>647</v>
      </c>
      <c r="AL7" s="24" t="s">
        <v>647</v>
      </c>
      <c r="AM7" s="24" t="s">
        <v>647</v>
      </c>
      <c r="AN7" s="24" t="s">
        <v>647</v>
      </c>
      <c r="AO7" s="24" t="s">
        <v>647</v>
      </c>
      <c r="AP7" s="24" t="s">
        <v>647</v>
      </c>
      <c r="AQ7" s="24" t="s">
        <v>647</v>
      </c>
      <c r="AR7" s="24" t="s">
        <v>647</v>
      </c>
      <c r="AS7" s="24" t="s">
        <v>647</v>
      </c>
      <c r="AT7" s="24" t="s">
        <v>647</v>
      </c>
      <c r="AU7" s="24" t="s">
        <v>647</v>
      </c>
      <c r="AV7" s="24" t="s">
        <v>647</v>
      </c>
      <c r="AW7" s="24"/>
    </row>
    <row r="8" spans="1:49" ht="13.8" x14ac:dyDescent="0.3">
      <c r="A8" s="25" t="s">
        <v>648</v>
      </c>
      <c r="B8" s="24" t="s">
        <v>649</v>
      </c>
      <c r="D8" s="24">
        <v>0</v>
      </c>
      <c r="E8" s="24">
        <v>1</v>
      </c>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row>
    <row r="9" spans="1:49" ht="13.8" x14ac:dyDescent="0.3">
      <c r="A9" s="25" t="s">
        <v>650</v>
      </c>
      <c r="B9" s="24">
        <v>1</v>
      </c>
      <c r="D9">
        <v>13</v>
      </c>
      <c r="E9">
        <v>25</v>
      </c>
    </row>
    <row r="10" spans="1:49" ht="13.8" x14ac:dyDescent="0.3">
      <c r="A10" s="25" t="s">
        <v>651</v>
      </c>
      <c r="B10" s="24">
        <v>0.5</v>
      </c>
      <c r="D10" s="24">
        <v>20.905000000000001</v>
      </c>
      <c r="E10" s="24">
        <v>0.23</v>
      </c>
      <c r="F10" s="24">
        <v>9.1666666666666674E-2</v>
      </c>
      <c r="G10" s="24">
        <v>0.18500000000000003</v>
      </c>
      <c r="H10" s="24">
        <v>0.28500000000000003</v>
      </c>
      <c r="I10" s="24">
        <v>5.8333333333333334E-2</v>
      </c>
      <c r="J10" s="24">
        <v>8.666666666666667E-2</v>
      </c>
      <c r="K10" s="24">
        <v>3212.7466666666669</v>
      </c>
      <c r="L10" s="24">
        <v>2.996666666666667</v>
      </c>
      <c r="M10" s="24">
        <v>0.05</v>
      </c>
      <c r="N10" s="24">
        <v>0.53333333333333333</v>
      </c>
      <c r="O10" s="24">
        <v>9.1666666666666674E-2</v>
      </c>
      <c r="P10" s="24">
        <v>4.1666666666666671E-2</v>
      </c>
      <c r="Q10" s="24">
        <v>0.05</v>
      </c>
      <c r="R10" s="24">
        <v>0.28166666666666668</v>
      </c>
      <c r="S10" s="24">
        <v>0.13</v>
      </c>
      <c r="T10" s="24">
        <v>35.375</v>
      </c>
      <c r="U10" s="24">
        <v>0.19333333333333336</v>
      </c>
      <c r="V10" s="24">
        <v>0.18000000000000002</v>
      </c>
      <c r="W10" s="24">
        <v>0.72833333333333339</v>
      </c>
      <c r="X10" s="24">
        <v>1.385</v>
      </c>
      <c r="Y10" s="24">
        <v>1.1500000000000001</v>
      </c>
      <c r="Z10" s="24">
        <v>0.40166666666666667</v>
      </c>
      <c r="AA10" s="24">
        <v>3.8333333333333337E-2</v>
      </c>
      <c r="AB10" s="24">
        <v>0.30333333333333334</v>
      </c>
      <c r="AC10" s="24">
        <v>0.24833333333333335</v>
      </c>
      <c r="AD10" s="24">
        <v>6.1666666666666668E-2</v>
      </c>
      <c r="AE10" s="24">
        <v>2.6666666666666668E-2</v>
      </c>
      <c r="AF10" s="24">
        <v>0.05</v>
      </c>
      <c r="AG10" s="24">
        <v>0.54833333333333334</v>
      </c>
      <c r="AH10" s="24">
        <v>7.8333333333333338E-2</v>
      </c>
      <c r="AI10" s="24">
        <v>0.61166666666666669</v>
      </c>
      <c r="AJ10" s="24">
        <v>9.6666666666666679E-2</v>
      </c>
      <c r="AK10" s="24">
        <v>6.8333333333333343E-2</v>
      </c>
      <c r="AL10" s="24">
        <v>0.04</v>
      </c>
      <c r="AM10" s="24">
        <v>6.1666666666666668E-2</v>
      </c>
      <c r="AN10" s="24">
        <v>0.17166666666666669</v>
      </c>
      <c r="AO10" s="24">
        <v>0.33833333333333337</v>
      </c>
      <c r="AP10" s="24">
        <v>0.17166666666666669</v>
      </c>
      <c r="AQ10" s="24">
        <v>0.13</v>
      </c>
      <c r="AR10" s="24">
        <v>0.3116666666666667</v>
      </c>
      <c r="AS10" s="24">
        <v>0.15000000000000002</v>
      </c>
      <c r="AT10" s="24">
        <v>0.02</v>
      </c>
      <c r="AU10" s="24">
        <v>0.19833333333333333</v>
      </c>
      <c r="AV10" s="24">
        <v>0.62833333333333341</v>
      </c>
    </row>
    <row r="11" spans="1:49" ht="13.8" x14ac:dyDescent="0.3">
      <c r="A11" s="25" t="s">
        <v>652</v>
      </c>
      <c r="B11" s="24">
        <v>2</v>
      </c>
      <c r="D11" s="24">
        <v>11.899382357955998</v>
      </c>
      <c r="E11" s="24">
        <v>0.42118364098381827</v>
      </c>
      <c r="F11" s="24">
        <v>0.28879559157255369</v>
      </c>
      <c r="G11" s="24">
        <v>0.38862155265156118</v>
      </c>
      <c r="H11" s="24">
        <v>0.45179109330158984</v>
      </c>
      <c r="I11" s="24">
        <v>0.23456824022252351</v>
      </c>
      <c r="J11" s="24">
        <v>0.28158071973254489</v>
      </c>
      <c r="K11" s="24">
        <v>2738.2396656611136</v>
      </c>
      <c r="L11" s="24">
        <v>1.1054526666570852</v>
      </c>
      <c r="M11" s="24">
        <v>0.21812679530810955</v>
      </c>
      <c r="N11" s="24">
        <v>0.49930391167696198</v>
      </c>
      <c r="O11" s="24">
        <v>0.28879559157255347</v>
      </c>
      <c r="P11" s="24">
        <v>0.19999304384118813</v>
      </c>
      <c r="Q11" s="24">
        <v>0.21812679530811013</v>
      </c>
      <c r="R11" s="24">
        <v>0.4501870012736377</v>
      </c>
      <c r="S11" s="24">
        <v>0.33658403808135673</v>
      </c>
      <c r="T11" s="24">
        <v>11.564050058533144</v>
      </c>
      <c r="U11" s="24">
        <v>0.39524159120034369</v>
      </c>
      <c r="V11" s="24">
        <v>0.38450801120974598</v>
      </c>
      <c r="W11" s="24">
        <v>0.44519008589198761</v>
      </c>
      <c r="X11" s="24">
        <v>0.56032574594540885</v>
      </c>
      <c r="Y11" s="24">
        <v>0.35736935341174569</v>
      </c>
      <c r="Z11" s="24">
        <v>0.49064424502979515</v>
      </c>
      <c r="AA11" s="24">
        <v>0.19215991068468552</v>
      </c>
      <c r="AB11" s="24">
        <v>0.46008152963586263</v>
      </c>
      <c r="AC11" s="24">
        <v>0.43240665437386838</v>
      </c>
      <c r="AD11" s="24">
        <v>0.24074984881628569</v>
      </c>
      <c r="AE11" s="24">
        <v>0.16124170376780711</v>
      </c>
      <c r="AF11" s="24">
        <v>0.21812679530810983</v>
      </c>
      <c r="AG11" s="24">
        <v>0.49807364027901496</v>
      </c>
      <c r="AH11" s="24">
        <v>0.26891960101221679</v>
      </c>
      <c r="AI11" s="24">
        <v>0.48777771650971358</v>
      </c>
      <c r="AJ11" s="24">
        <v>0.29574989809961394</v>
      </c>
      <c r="AK11" s="24">
        <v>0.25252756782129554</v>
      </c>
      <c r="AL11" s="24">
        <v>0.19612268314690448</v>
      </c>
      <c r="AM11" s="24">
        <v>0.24074984881628569</v>
      </c>
      <c r="AN11" s="24">
        <v>0.37740510495261731</v>
      </c>
      <c r="AO11" s="24">
        <v>0.47353734620686555</v>
      </c>
      <c r="AP11" s="24">
        <v>0.37740510495261731</v>
      </c>
      <c r="AQ11" s="24">
        <v>0.33658403808135678</v>
      </c>
      <c r="AR11" s="24">
        <v>0.46356089502302389</v>
      </c>
      <c r="AS11" s="24">
        <v>0.35736935341174525</v>
      </c>
      <c r="AT11" s="24">
        <v>0.14011681270284301</v>
      </c>
      <c r="AU11" s="24">
        <v>0.39907726067626459</v>
      </c>
      <c r="AV11" s="24">
        <v>0.48365320522777661</v>
      </c>
    </row>
    <row r="12" spans="1:49" ht="13.8" x14ac:dyDescent="0.3">
      <c r="A12" s="25" t="s">
        <v>653</v>
      </c>
      <c r="B12" s="24" t="s">
        <v>748</v>
      </c>
    </row>
    <row r="13" spans="1:49" ht="13.8" x14ac:dyDescent="0.3">
      <c r="A13" s="25" t="s">
        <v>655</v>
      </c>
      <c r="B13" s="24" t="s">
        <v>656</v>
      </c>
    </row>
    <row r="14" spans="1:49" ht="13.8" x14ac:dyDescent="0.3">
      <c r="A14" s="25" t="s">
        <v>657</v>
      </c>
      <c r="B14" s="24" t="s">
        <v>656</v>
      </c>
    </row>
    <row r="15" spans="1:49" ht="13.8" x14ac:dyDescent="0.3">
      <c r="A15" s="25" t="s">
        <v>658</v>
      </c>
      <c r="B15" s="24" t="s">
        <v>659</v>
      </c>
      <c r="D15" s="24">
        <v>-0.13052709360899298</v>
      </c>
      <c r="E15" s="24">
        <v>-0.58671263087510328</v>
      </c>
      <c r="F15" s="24">
        <v>-1.0973543074180119</v>
      </c>
      <c r="G15" s="24">
        <v>0.25615533787645811</v>
      </c>
      <c r="H15" s="24">
        <v>-0.12521107802935011</v>
      </c>
      <c r="I15" s="24">
        <v>0.23093585512362474</v>
      </c>
      <c r="J15" s="24">
        <v>1.0685963495857493</v>
      </c>
      <c r="K15" s="24">
        <v>-0.16782029004783461</v>
      </c>
      <c r="L15" s="24">
        <v>-0.21585594642504569</v>
      </c>
      <c r="M15" s="24">
        <v>1.9117129905362547</v>
      </c>
      <c r="N15" s="24">
        <v>-0.20563100994724434</v>
      </c>
      <c r="O15" s="24">
        <v>-0.24585409280233256</v>
      </c>
      <c r="P15" s="24">
        <v>1.5650691208096641</v>
      </c>
      <c r="Q15" s="24">
        <v>0.25225100920609106</v>
      </c>
      <c r="R15" s="24">
        <v>-0.2055065613848053</v>
      </c>
      <c r="S15" s="24">
        <v>-0.64368304234421825</v>
      </c>
      <c r="T15" s="24">
        <v>-1.1642678775465918</v>
      </c>
      <c r="U15" s="24">
        <v>1.4905125215550348</v>
      </c>
      <c r="V15" s="24">
        <v>-0.56598813755505395</v>
      </c>
      <c r="W15" s="24">
        <v>1.2955534377267275</v>
      </c>
      <c r="X15" s="24">
        <v>-0.73828535720754374</v>
      </c>
      <c r="Y15" s="24">
        <v>0.24572182841871468</v>
      </c>
      <c r="Z15" s="24">
        <v>-1.1827626307225481</v>
      </c>
      <c r="AA15" s="24">
        <v>-0.51913201211100279</v>
      </c>
      <c r="AB15" s="24">
        <v>0.27028962429829267</v>
      </c>
      <c r="AC15" s="24">
        <v>0.89528735153833205</v>
      </c>
      <c r="AD15" s="24">
        <v>0.85055660276995182</v>
      </c>
      <c r="AE15" s="24">
        <v>1.5810899140549475</v>
      </c>
      <c r="AF15" s="24">
        <v>1.2303460024775266</v>
      </c>
      <c r="AG15" s="24">
        <v>0.40749517650247619</v>
      </c>
      <c r="AH15" s="24">
        <v>-0.96065403739214217</v>
      </c>
      <c r="AI15" s="24">
        <v>-0.10561150091495436</v>
      </c>
      <c r="AJ15" s="24">
        <v>1.2088299602752584</v>
      </c>
      <c r="AK15" s="24">
        <v>0.3695297126431783</v>
      </c>
      <c r="AL15" s="24">
        <v>-0.32311286041235682</v>
      </c>
      <c r="AM15" s="24">
        <v>-0.71497216812117315</v>
      </c>
      <c r="AN15" s="24">
        <v>-0.58315845957511325</v>
      </c>
      <c r="AO15" s="24">
        <v>-0.35884927679436573</v>
      </c>
      <c r="AP15" s="24">
        <v>0.48295568097930197</v>
      </c>
      <c r="AQ15" s="24">
        <v>-1.3333312713955936</v>
      </c>
      <c r="AR15" s="24">
        <v>1.2655928597249488</v>
      </c>
      <c r="AS15" s="24">
        <v>0.38390083669803526</v>
      </c>
      <c r="AT15" s="24">
        <v>-0.14359124730776565</v>
      </c>
      <c r="AU15" s="24">
        <v>-7.5128767442608602E-2</v>
      </c>
      <c r="AV15" s="24">
        <v>-0.97156974330246604</v>
      </c>
      <c r="AW15" s="24">
        <v>-0.33261423871700679</v>
      </c>
    </row>
    <row r="16" spans="1:49" ht="13.8" x14ac:dyDescent="0.3">
      <c r="A16" s="25"/>
      <c r="B16" s="24" t="s">
        <v>749</v>
      </c>
      <c r="D16" s="24">
        <v>1.3963052120308204</v>
      </c>
      <c r="E16" s="24">
        <v>4.9510248716882699E-2</v>
      </c>
      <c r="F16" s="24">
        <v>-0.3657906395217066</v>
      </c>
      <c r="G16" s="24">
        <v>-1.3668553810283151</v>
      </c>
      <c r="H16" s="24">
        <v>0.77647371724281433</v>
      </c>
      <c r="I16" s="24">
        <v>0.6195772894833883</v>
      </c>
      <c r="J16" s="24">
        <v>0.60979962607026172</v>
      </c>
      <c r="K16" s="24">
        <v>1.0431582527307317</v>
      </c>
      <c r="L16" s="24">
        <v>0.53264718781822162</v>
      </c>
      <c r="M16" s="24">
        <v>0.25631666708588324</v>
      </c>
      <c r="N16" s="24">
        <v>-1.1197906762613343</v>
      </c>
      <c r="O16" s="24">
        <v>-1.6648599435839877</v>
      </c>
      <c r="P16" s="24">
        <v>0.38037570834989459</v>
      </c>
      <c r="Q16" s="24">
        <v>-0.22623843283180028</v>
      </c>
      <c r="R16" s="24">
        <v>0.59701263722935372</v>
      </c>
      <c r="S16" s="24">
        <v>0.35553671441223988</v>
      </c>
      <c r="T16" s="24">
        <v>1.0331533274768174</v>
      </c>
      <c r="U16" s="24">
        <v>1.1376592846168547</v>
      </c>
      <c r="V16" s="24">
        <v>0.21882969197875485</v>
      </c>
      <c r="W16" s="24">
        <v>-0.27016574529113352</v>
      </c>
      <c r="X16" s="24">
        <v>-3.9885618768068433E-2</v>
      </c>
      <c r="Y16" s="24">
        <v>0.4389772640378502</v>
      </c>
      <c r="Z16" s="24">
        <v>1.7688493871104334</v>
      </c>
      <c r="AA16" s="24">
        <v>-0.80376831029424156</v>
      </c>
      <c r="AB16" s="24">
        <v>0.84491596747907605</v>
      </c>
      <c r="AC16" s="24">
        <v>0.19912756302662735</v>
      </c>
      <c r="AD16" s="24">
        <v>1.1094865332166681</v>
      </c>
      <c r="AE16" s="24">
        <v>0.4051255413393296</v>
      </c>
      <c r="AF16" s="24">
        <v>-0.28168882517037319</v>
      </c>
      <c r="AG16" s="24">
        <v>0.80592801598152464</v>
      </c>
      <c r="AH16" s="24">
        <v>-1.3579746476215151</v>
      </c>
      <c r="AI16" s="24">
        <v>0.34360909074871859</v>
      </c>
      <c r="AJ16" s="24">
        <v>-6.6869444050179389E-2</v>
      </c>
      <c r="AK16" s="24">
        <v>-9.6927417953773312E-2</v>
      </c>
      <c r="AL16" s="24">
        <v>-0.30595655729816224</v>
      </c>
      <c r="AM16" s="24">
        <v>1.7073094777140274</v>
      </c>
      <c r="AN16" s="24">
        <v>1.1901571745697843</v>
      </c>
      <c r="AO16" s="24">
        <v>-0.94042792025297961</v>
      </c>
      <c r="AP16" s="24">
        <v>-0.94684843173282529</v>
      </c>
      <c r="AQ16" s="24">
        <v>-0.92715399217845451</v>
      </c>
      <c r="AR16" s="24">
        <v>-0.16378313003753087</v>
      </c>
      <c r="AS16" s="24">
        <v>-0.16782418416713046</v>
      </c>
      <c r="AT16" s="24">
        <v>0.36397454187419631</v>
      </c>
      <c r="AU16" s="24">
        <v>-1.0944256948598106</v>
      </c>
      <c r="AV16" s="24">
        <v>-2.0104617923743135</v>
      </c>
      <c r="AW16" s="24">
        <v>-0.2624449606843165</v>
      </c>
    </row>
    <row r="17" spans="1:49" ht="13.8" x14ac:dyDescent="0.3">
      <c r="A17" s="25"/>
      <c r="B17" s="24" t="s">
        <v>750</v>
      </c>
      <c r="D17" s="24">
        <v>0.66625881903964468</v>
      </c>
      <c r="E17" s="24">
        <v>0.77544063979580091</v>
      </c>
      <c r="F17" s="24">
        <v>0.39473006742962158</v>
      </c>
      <c r="G17" s="24">
        <v>6.1793166091940577E-2</v>
      </c>
      <c r="H17" s="24">
        <v>-1.0564176725551853</v>
      </c>
      <c r="I17" s="24">
        <v>-0.70489021995524115</v>
      </c>
      <c r="J17" s="24">
        <v>9.7960936437969173E-2</v>
      </c>
      <c r="K17" s="24">
        <v>1.0214537244593189</v>
      </c>
      <c r="L17" s="24">
        <v>0.98344018292583113</v>
      </c>
      <c r="M17" s="24">
        <v>1.1152339028789862</v>
      </c>
      <c r="N17" s="24">
        <v>-0.63937174323832757</v>
      </c>
      <c r="O17" s="24">
        <v>-0.96442377478393937</v>
      </c>
      <c r="P17" s="24">
        <v>-0.68841201183671852</v>
      </c>
      <c r="Q17" s="24">
        <v>0.37920307551705768</v>
      </c>
      <c r="R17" s="24">
        <v>0.69826374078358966</v>
      </c>
      <c r="S17" s="24">
        <v>0.3139606406757075</v>
      </c>
      <c r="T17" s="24">
        <v>0.73868407228587185</v>
      </c>
      <c r="U17" s="24">
        <v>-0.26815664975789361</v>
      </c>
      <c r="V17" s="24">
        <v>1.1938421912265895</v>
      </c>
      <c r="W17" s="24">
        <v>-0.3930689215339141</v>
      </c>
      <c r="X17" s="24">
        <v>-0.28338035384908511</v>
      </c>
      <c r="Y17" s="24">
        <v>-0.21509009238026539</v>
      </c>
      <c r="Z17" s="24">
        <v>-0.96105349863902512</v>
      </c>
      <c r="AA17" s="24">
        <v>0.38868730448771732</v>
      </c>
      <c r="AB17" s="24">
        <v>6.4914537619720922E-2</v>
      </c>
      <c r="AC17" s="24">
        <v>0.27677781013963032</v>
      </c>
      <c r="AD17" s="24">
        <v>-0.37072916712210496</v>
      </c>
      <c r="AE17" s="24">
        <v>0.59526983347690865</v>
      </c>
      <c r="AF17" s="24">
        <v>0.51336189462854054</v>
      </c>
      <c r="AG17" s="24">
        <v>-1.2639833237181961</v>
      </c>
      <c r="AH17" s="24">
        <v>-0.96956955301075498</v>
      </c>
      <c r="AI17" s="24">
        <v>0.13023123724701544</v>
      </c>
      <c r="AJ17" s="24">
        <v>-0.50468373047885851</v>
      </c>
      <c r="AK17" s="24">
        <v>0.30257569543960205</v>
      </c>
      <c r="AL17" s="24">
        <v>-0.39231790912037751</v>
      </c>
      <c r="AM17" s="24">
        <v>-0.64474634643842144</v>
      </c>
      <c r="AN17" s="24">
        <v>1.1439824042627194</v>
      </c>
      <c r="AO17" s="24">
        <v>1.1303046985959095</v>
      </c>
      <c r="AP17" s="24">
        <v>0.22139134992187109</v>
      </c>
      <c r="AQ17" s="24">
        <v>-1.3469769571930781</v>
      </c>
      <c r="AR17" s="24">
        <v>1.0454671576956636</v>
      </c>
      <c r="AS17" s="24">
        <v>-2.0389695770417426</v>
      </c>
      <c r="AT17" s="24">
        <v>-7.8928198508724401E-2</v>
      </c>
      <c r="AU17" s="24">
        <v>-0.55999874123476279</v>
      </c>
      <c r="AV17" s="24">
        <v>0.77749035085191176</v>
      </c>
      <c r="AW17" s="24">
        <v>-1.6895616793241741</v>
      </c>
    </row>
    <row r="18" spans="1:49" ht="13.8" x14ac:dyDescent="0.3">
      <c r="A18" s="25" t="s">
        <v>661</v>
      </c>
      <c r="B18" s="24" t="b">
        <v>1</v>
      </c>
      <c r="D18" s="24">
        <v>0.48578222047539549</v>
      </c>
      <c r="E18" s="24">
        <v>4.6509441556940943E-2</v>
      </c>
      <c r="F18" s="24">
        <v>-0.10252596365252978</v>
      </c>
      <c r="G18" s="24">
        <v>-0.55577723066405782</v>
      </c>
      <c r="H18" s="24">
        <v>2.420663846006978E-2</v>
      </c>
      <c r="I18" s="24">
        <v>0.69525013551825487</v>
      </c>
      <c r="J18" s="24">
        <v>-7.7195980296735328E-2</v>
      </c>
      <c r="K18" s="24">
        <v>-0.2487757138083127</v>
      </c>
      <c r="L18" s="24">
        <v>0.20459883233630083</v>
      </c>
      <c r="M18" s="24">
        <v>0.11152830080235959</v>
      </c>
      <c r="N18" s="24">
        <v>-0.35376039514942692</v>
      </c>
      <c r="O18" s="24">
        <v>1.7011112840419323E-2</v>
      </c>
      <c r="P18" s="24">
        <v>0.48917201737677546</v>
      </c>
      <c r="Q18" s="24">
        <v>-4.4129074441585266E-2</v>
      </c>
      <c r="R18" s="24">
        <v>-0.16460980719407539</v>
      </c>
      <c r="S18" s="24">
        <v>0.60457222117477183</v>
      </c>
      <c r="T18" s="24">
        <v>0.12359071772482891</v>
      </c>
      <c r="U18" s="24">
        <v>8.4360355000968557E-2</v>
      </c>
      <c r="V18" s="24">
        <v>-0.18682202125525979</v>
      </c>
      <c r="W18" s="24">
        <v>-3.2695623058653624E-2</v>
      </c>
      <c r="X18" s="24">
        <v>-0.2685405344454338</v>
      </c>
      <c r="Y18" s="24">
        <v>0.12385691748603139</v>
      </c>
      <c r="Z18" s="24">
        <v>0.47345212873484566</v>
      </c>
      <c r="AA18" s="24">
        <v>-0.26927248825034167</v>
      </c>
      <c r="AB18" s="24">
        <v>0.54038112674311167</v>
      </c>
      <c r="AC18" s="24">
        <v>-0.24532089619818581</v>
      </c>
      <c r="AD18" s="24">
        <v>-0.6526933268278694</v>
      </c>
      <c r="AE18" s="24">
        <v>-0.13854551100678586</v>
      </c>
      <c r="AF18" s="24">
        <v>-5.9344005974075492E-2</v>
      </c>
      <c r="AG18" s="24">
        <v>0.51492841810648249</v>
      </c>
      <c r="AH18" s="24">
        <v>0.15772129344270447</v>
      </c>
      <c r="AI18" s="24">
        <v>0.29099011294395577</v>
      </c>
      <c r="AJ18" s="24">
        <v>6.5206389190420955E-3</v>
      </c>
      <c r="AK18" s="24">
        <v>-0.50127943142954523</v>
      </c>
      <c r="AL18" s="24">
        <v>-0.39730361678581327</v>
      </c>
      <c r="AM18" s="24">
        <v>0.17239479403919175</v>
      </c>
      <c r="AN18" s="24">
        <v>-7.1569205182683407E-2</v>
      </c>
      <c r="AO18" s="24">
        <v>-0.1852473573391519</v>
      </c>
      <c r="AP18" s="24">
        <v>-1.5652171023113112E-2</v>
      </c>
      <c r="AQ18" s="24">
        <v>-5.8482073797638777E-2</v>
      </c>
      <c r="AR18" s="24">
        <v>-0.37836896474218751</v>
      </c>
      <c r="AS18" s="24">
        <v>-0.302167735559142</v>
      </c>
      <c r="AT18" s="24">
        <v>-0.74096418195155378</v>
      </c>
      <c r="AU18" s="24">
        <v>-0.66414129710023162</v>
      </c>
      <c r="AV18" s="24">
        <v>-6.9632355441175381E-2</v>
      </c>
      <c r="AW18" s="24">
        <v>0.35361783490209014</v>
      </c>
    </row>
    <row r="19" spans="1:49" ht="13.8" x14ac:dyDescent="0.3">
      <c r="A19" s="25" t="s">
        <v>662</v>
      </c>
      <c r="B19" s="24" t="s">
        <v>663</v>
      </c>
      <c r="D19" s="24">
        <v>0.72802420569884696</v>
      </c>
      <c r="E19" s="24">
        <v>0.78358363984176238</v>
      </c>
      <c r="F19" s="24">
        <v>-0.5601173603634928</v>
      </c>
      <c r="G19" s="24">
        <v>0.2243114294616923</v>
      </c>
      <c r="H19" s="24">
        <v>-0.50330185524120874</v>
      </c>
      <c r="I19" s="24">
        <v>0.74165648942072837</v>
      </c>
      <c r="J19" s="24">
        <v>0.38312709614163565</v>
      </c>
      <c r="K19" s="24">
        <v>0.8154674356633741</v>
      </c>
      <c r="L19" s="24">
        <v>-1.0154902783014377</v>
      </c>
      <c r="M19" s="24">
        <v>0.61792647147246971</v>
      </c>
      <c r="N19" s="24">
        <v>-0.10983050526729438</v>
      </c>
      <c r="O19" s="24">
        <v>-0.30504358354299771</v>
      </c>
      <c r="P19" s="24">
        <v>0.17384757846437968</v>
      </c>
      <c r="Q19" s="24">
        <v>-0.40780314924048322</v>
      </c>
      <c r="R19" s="24">
        <v>0.55491003109349724</v>
      </c>
      <c r="S19" s="24">
        <v>0.12418626579163554</v>
      </c>
      <c r="T19" s="24">
        <v>4.7079984786685819E-2</v>
      </c>
      <c r="U19" s="24">
        <v>-0.50262154071075205</v>
      </c>
      <c r="V19" s="24">
        <v>-0.69874009632607992</v>
      </c>
      <c r="W19" s="24">
        <v>0.10981804728551979</v>
      </c>
      <c r="X19" s="24">
        <v>-0.66431669484973943</v>
      </c>
      <c r="Y19" s="24">
        <v>0.39535320888937586</v>
      </c>
      <c r="Z19" s="24">
        <v>0.67087585823144502</v>
      </c>
      <c r="AA19" s="24">
        <v>-0.28865856105367677</v>
      </c>
      <c r="AB19" s="24">
        <v>-0.35126825763832759</v>
      </c>
      <c r="AC19" s="24">
        <v>4.102605809409314E-2</v>
      </c>
      <c r="AD19" s="24">
        <v>-0.17870667316369718</v>
      </c>
      <c r="AE19" s="24">
        <v>0.19611785965174577</v>
      </c>
      <c r="AF19" s="24">
        <v>1.7051661827152481E-2</v>
      </c>
      <c r="AG19" s="24">
        <v>0.39146108405118807</v>
      </c>
      <c r="AH19" s="24">
        <v>-0.68172318336130999</v>
      </c>
      <c r="AI19" s="24">
        <v>0.41630452797476425</v>
      </c>
      <c r="AJ19" s="24">
        <v>0.53741025595122405</v>
      </c>
      <c r="AK19" s="24">
        <v>0.72153302002481456</v>
      </c>
      <c r="AL19" s="24">
        <v>0.13407412506367447</v>
      </c>
      <c r="AM19" s="24">
        <v>9.824686191223439E-3</v>
      </c>
      <c r="AN19" s="24">
        <v>-0.29208895068935614</v>
      </c>
      <c r="AO19" s="24">
        <v>0.69244452850505367</v>
      </c>
      <c r="AP19" s="24">
        <v>5.8202812965935574E-2</v>
      </c>
      <c r="AQ19" s="24">
        <v>-0.7338906936637577</v>
      </c>
      <c r="AR19" s="24">
        <v>0.57190322927626047</v>
      </c>
      <c r="AS19" s="24">
        <v>0.47315078448231362</v>
      </c>
      <c r="AT19" s="24">
        <v>4.8618029723224217E-2</v>
      </c>
      <c r="AU19" s="24">
        <v>-0.96293788819132609</v>
      </c>
      <c r="AV19" s="24">
        <v>-0.26715073273466006</v>
      </c>
      <c r="AW19" s="24">
        <v>-0.79738186270229339</v>
      </c>
    </row>
    <row r="20" spans="1:49" ht="13.8" x14ac:dyDescent="0.3">
      <c r="A20" s="25" t="s">
        <v>664</v>
      </c>
      <c r="B20" s="24" t="s">
        <v>665</v>
      </c>
      <c r="D20" s="24">
        <v>0.55107919969974206</v>
      </c>
      <c r="E20" s="24">
        <v>1.3373730215908695</v>
      </c>
      <c r="F20" s="24">
        <v>-1.0147209257973751</v>
      </c>
      <c r="G20" s="24">
        <v>-0.45794872022840594</v>
      </c>
      <c r="H20" s="24">
        <v>0.11565686560775464</v>
      </c>
      <c r="I20" s="24">
        <v>0.99226281520397264</v>
      </c>
      <c r="J20" s="24">
        <v>-0.84368352708755767</v>
      </c>
      <c r="K20" s="24">
        <v>1.0892991441328908</v>
      </c>
      <c r="L20" s="24">
        <v>-1.8914330412573301</v>
      </c>
      <c r="M20" s="24">
        <v>-0.27132778998102092</v>
      </c>
      <c r="N20" s="24">
        <v>1.5330333628805808</v>
      </c>
      <c r="O20" s="24">
        <v>-5.2573729873529587E-3</v>
      </c>
      <c r="P20" s="24">
        <v>-0.95223608696671824</v>
      </c>
      <c r="Q20" s="24">
        <v>-0.46748142167807033</v>
      </c>
      <c r="R20" s="24">
        <v>-0.3414719647985886</v>
      </c>
      <c r="S20" s="24">
        <v>-0.50594216573485262</v>
      </c>
      <c r="T20" s="24">
        <v>-0.53493774583398024</v>
      </c>
      <c r="U20" s="24">
        <v>-0.22817647488257081</v>
      </c>
      <c r="V20" s="24">
        <v>0.26421086541074473</v>
      </c>
      <c r="W20" s="24">
        <v>0.4057232848429842</v>
      </c>
      <c r="X20" s="24">
        <v>-1.6431869536072695E-2</v>
      </c>
      <c r="Y20" s="24">
        <v>2.1340261570169081E-2</v>
      </c>
      <c r="Z20" s="24">
        <v>-0.13478060874090178</v>
      </c>
      <c r="AA20" s="24">
        <v>-0.65820423937241923</v>
      </c>
      <c r="AB20" s="24">
        <v>1.0262858408399815</v>
      </c>
      <c r="AC20" s="24">
        <v>-8.3950935512127865E-3</v>
      </c>
      <c r="AD20" s="24">
        <v>0.40278337358819333</v>
      </c>
      <c r="AE20" s="24">
        <v>-0.82302821595374298</v>
      </c>
      <c r="AF20" s="24">
        <v>-0.35530291825540078</v>
      </c>
      <c r="AG20" s="24">
        <v>0.89452291764935188</v>
      </c>
      <c r="AH20" s="24">
        <v>0.18891191574851685</v>
      </c>
      <c r="AI20" s="24">
        <v>0.30146742395904025</v>
      </c>
      <c r="AJ20" s="24">
        <v>0.37087984050938733</v>
      </c>
      <c r="AK20" s="24">
        <v>-0.71117011242232042</v>
      </c>
      <c r="AL20" s="24">
        <v>-0.41143092568317657</v>
      </c>
      <c r="AM20" s="24">
        <v>0.31380516526468977</v>
      </c>
      <c r="AN20" s="24">
        <v>-0.6510847740411817</v>
      </c>
      <c r="AO20" s="24">
        <v>0.60770539454716732</v>
      </c>
      <c r="AP20" s="24">
        <v>0.22495958546902264</v>
      </c>
      <c r="AQ20" s="24">
        <v>0.29836276065540612</v>
      </c>
      <c r="AR20" s="24">
        <v>0.74022327970581092</v>
      </c>
      <c r="AS20" s="24">
        <v>0.29042118591535337</v>
      </c>
      <c r="AT20" s="24">
        <v>-0.67902411411784636</v>
      </c>
      <c r="AU20" s="24">
        <v>0.24812521605529869</v>
      </c>
      <c r="AV20" s="24">
        <v>-0.22950132185055946</v>
      </c>
      <c r="AW20" s="24">
        <v>0.9960578678279759</v>
      </c>
    </row>
    <row r="21" spans="1:49" ht="13.8" x14ac:dyDescent="0.3">
      <c r="D21" s="24">
        <v>0.1882315534482861</v>
      </c>
      <c r="E21" s="24">
        <v>-4.6808903007964198E-2</v>
      </c>
      <c r="F21" s="24">
        <v>-6.8215683607358954E-2</v>
      </c>
      <c r="G21" s="24">
        <v>-0.35928780935569787</v>
      </c>
      <c r="H21" s="24">
        <v>2.4361728484878893E-2</v>
      </c>
      <c r="I21" s="24">
        <v>0.28864061928936458</v>
      </c>
      <c r="J21" s="24">
        <v>-0.1092538972102442</v>
      </c>
      <c r="K21" s="24">
        <v>-8.2738430652602404E-2</v>
      </c>
      <c r="L21" s="24">
        <v>0.1024069759811761</v>
      </c>
      <c r="M21" s="24">
        <v>-0.20428540700285788</v>
      </c>
      <c r="N21" s="24">
        <v>4.1575752948694415E-2</v>
      </c>
      <c r="O21" s="24">
        <v>-0.55104091791625454</v>
      </c>
      <c r="P21" s="24">
        <v>-0.1307161469111576</v>
      </c>
      <c r="Q21" s="24">
        <v>-0.16510314237792056</v>
      </c>
      <c r="R21" s="24">
        <v>-3.3917944493035805E-2</v>
      </c>
      <c r="S21" s="24">
        <v>-9.5949934117156896E-2</v>
      </c>
      <c r="T21" s="24">
        <v>-0.14428110072776876</v>
      </c>
      <c r="U21" s="24">
        <v>-3.8026122981551558E-2</v>
      </c>
      <c r="V21" s="24">
        <v>0.33562793040758537</v>
      </c>
      <c r="W21" s="24">
        <v>-0.33654088593617854</v>
      </c>
      <c r="X21" s="24">
        <v>0.25699951869507415</v>
      </c>
      <c r="Y21" s="24">
        <v>0.20994668675630326</v>
      </c>
      <c r="Z21" s="24">
        <v>0.10226473933086795</v>
      </c>
      <c r="AA21" s="24">
        <v>6.315732794558461E-2</v>
      </c>
      <c r="AB21" s="24">
        <v>0.27896889249318269</v>
      </c>
      <c r="AC21" s="24">
        <v>6.8334589561219683E-2</v>
      </c>
      <c r="AD21" s="24">
        <v>-4.5777947019054938E-2</v>
      </c>
      <c r="AE21" s="24">
        <v>-0.11764776592039444</v>
      </c>
      <c r="AF21" s="24">
        <v>4.1864062004919461E-2</v>
      </c>
      <c r="AG21" s="24">
        <v>8.8742807514150729E-2</v>
      </c>
      <c r="AH21" s="24">
        <v>1.7723666110185988E-2</v>
      </c>
      <c r="AI21" s="24">
        <v>0.22214413631975213</v>
      </c>
      <c r="AJ21" s="24">
        <v>0.21516820953412427</v>
      </c>
      <c r="AK21" s="24">
        <v>-3.7173834971358746E-2</v>
      </c>
      <c r="AL21" s="24">
        <v>-0.22979226175837597</v>
      </c>
      <c r="AM21" s="24">
        <v>-0.27429063618194899</v>
      </c>
      <c r="AN21" s="24">
        <v>0.16392131099991125</v>
      </c>
      <c r="AO21" s="24">
        <v>-0.30811171642503132</v>
      </c>
      <c r="AP21" s="24">
        <v>0.35293064271249952</v>
      </c>
      <c r="AQ21" s="24">
        <v>-7.0051881244015943E-2</v>
      </c>
      <c r="AR21" s="24">
        <v>0.14374595704803103</v>
      </c>
      <c r="AS21" s="24">
        <v>-0.28247563131057313</v>
      </c>
      <c r="AT21" s="24">
        <v>-4.5143262076221435E-2</v>
      </c>
      <c r="AU21" s="24">
        <v>-5.8500914868446059E-2</v>
      </c>
      <c r="AV21" s="24">
        <v>-0.27777288306670939</v>
      </c>
      <c r="AW21" s="24">
        <v>-0.1913686704624406</v>
      </c>
    </row>
    <row r="22" spans="1:49" ht="13.8" x14ac:dyDescent="0.3">
      <c r="D22" s="24">
        <v>-1.3835847433319799</v>
      </c>
      <c r="E22" s="24">
        <v>-0.70522733362004453</v>
      </c>
      <c r="F22" s="24">
        <v>0.89787969814295021</v>
      </c>
      <c r="G22" s="24">
        <v>0.92133329697362154</v>
      </c>
      <c r="H22" s="24">
        <v>-1.0384577990419122</v>
      </c>
      <c r="I22" s="24">
        <v>1.0393356380641046</v>
      </c>
      <c r="J22" s="24">
        <v>0.73169200096935882</v>
      </c>
      <c r="K22" s="24">
        <v>-1.5571076520269864</v>
      </c>
      <c r="L22" s="24">
        <v>-0.21424232755796518</v>
      </c>
      <c r="M22" s="24">
        <v>0.42447127159786296</v>
      </c>
      <c r="N22" s="24">
        <v>2.030506119728424</v>
      </c>
      <c r="O22" s="24">
        <v>0.67772557801165234</v>
      </c>
      <c r="P22" s="24">
        <v>-0.73416723131239092</v>
      </c>
      <c r="Q22" s="24">
        <v>1.1519055945047314</v>
      </c>
      <c r="R22" s="24">
        <v>0.51076796001964242</v>
      </c>
      <c r="S22" s="24">
        <v>-1.7562031462876737</v>
      </c>
      <c r="T22" s="24">
        <v>0.87816444949055816</v>
      </c>
      <c r="U22" s="24">
        <v>6.5200128362070731E-2</v>
      </c>
      <c r="V22" s="24">
        <v>-9.3839079404584302E-2</v>
      </c>
      <c r="W22" s="24">
        <v>0.17973655033845173</v>
      </c>
      <c r="X22" s="24">
        <v>0.95750007713001573</v>
      </c>
      <c r="Y22" s="24">
        <v>-1.3130168221492173</v>
      </c>
      <c r="Z22" s="24">
        <v>0.7528611024787234</v>
      </c>
      <c r="AA22" s="24">
        <v>0.44193264739212584</v>
      </c>
      <c r="AB22" s="24">
        <v>-2.0064284432401389</v>
      </c>
      <c r="AC22" s="24">
        <v>-1.8544128997728166</v>
      </c>
      <c r="AD22" s="24">
        <v>0.43597262817500626</v>
      </c>
      <c r="AE22" s="24">
        <v>0.17998960298796424</v>
      </c>
      <c r="AF22" s="24">
        <v>8.385317565924047E-2</v>
      </c>
      <c r="AG22" s="24">
        <v>-0.10057870631738318</v>
      </c>
      <c r="AH22" s="24">
        <v>-2.2393137094309741</v>
      </c>
      <c r="AI22" s="24">
        <v>-0.14785458557987788</v>
      </c>
      <c r="AJ22" s="24">
        <v>-0.10301994926009196</v>
      </c>
      <c r="AK22" s="24">
        <v>-0.78280141396719061</v>
      </c>
      <c r="AL22" s="24">
        <v>-0.12754248597342843</v>
      </c>
      <c r="AM22" s="24">
        <v>-0.49796465702957859</v>
      </c>
      <c r="AN22" s="24">
        <v>-0.69432724903849385</v>
      </c>
      <c r="AO22" s="24">
        <v>-5.4475151778175933E-2</v>
      </c>
      <c r="AP22" s="24">
        <v>0.44152568067263381</v>
      </c>
      <c r="AQ22" s="24">
        <v>-1.1644467727100498</v>
      </c>
      <c r="AR22" s="24">
        <v>1.4343738281886977</v>
      </c>
      <c r="AS22" s="24">
        <v>0.67746123106229805</v>
      </c>
      <c r="AT22" s="24">
        <v>-0.28857130463342351</v>
      </c>
      <c r="AU22" s="24">
        <v>-0.3217246782586386</v>
      </c>
      <c r="AV22" s="24">
        <v>-1.6133097477499434</v>
      </c>
      <c r="AW22" s="24">
        <v>1.7480446475388893</v>
      </c>
    </row>
    <row r="23" spans="1:49" ht="13.8" x14ac:dyDescent="0.3">
      <c r="D23" s="24">
        <v>7.7951794924756318E-2</v>
      </c>
      <c r="E23" s="24">
        <v>-0.18039345671345997</v>
      </c>
      <c r="F23" s="24">
        <v>0.23957148218835364</v>
      </c>
      <c r="G23" s="24">
        <v>-0.45829318696171756</v>
      </c>
      <c r="H23" s="24">
        <v>9.3142708845889328E-3</v>
      </c>
      <c r="I23" s="24">
        <v>2.9722409738599551E-2</v>
      </c>
      <c r="J23" s="24">
        <v>0.29872052035432439</v>
      </c>
      <c r="K23" s="24">
        <v>0.46154543444303409</v>
      </c>
      <c r="L23" s="24">
        <v>-0.17787977136100513</v>
      </c>
      <c r="M23" s="24">
        <v>0.62581774340597973</v>
      </c>
      <c r="N23" s="24">
        <v>0.48300921468643893</v>
      </c>
      <c r="O23" s="24">
        <v>-0.33313280646668636</v>
      </c>
      <c r="P23" s="24">
        <v>0.40764611194821626</v>
      </c>
      <c r="Q23" s="24">
        <v>6.4531936143429017E-2</v>
      </c>
      <c r="R23" s="24">
        <v>5.8814463495615615E-2</v>
      </c>
      <c r="S23" s="24">
        <v>-0.5756635937083332</v>
      </c>
      <c r="T23" s="24">
        <v>-0.40626229266792513</v>
      </c>
      <c r="U23" s="24">
        <v>-6.6335960633343068E-3</v>
      </c>
      <c r="V23" s="24">
        <v>-3.4706580936560205E-2</v>
      </c>
      <c r="W23" s="24">
        <v>0.53541949914714293</v>
      </c>
      <c r="X23" s="24">
        <v>0.27217942155462926</v>
      </c>
      <c r="Y23" s="24">
        <v>0.51639166914696855</v>
      </c>
      <c r="Z23" s="24">
        <v>-0.41058953709806206</v>
      </c>
      <c r="AA23" s="24">
        <v>5.1270467688818142E-2</v>
      </c>
      <c r="AB23" s="24">
        <v>-0.44837942544193615</v>
      </c>
      <c r="AC23" s="24">
        <v>0.26055810216144837</v>
      </c>
      <c r="AD23" s="24">
        <v>-0.31291084468629021</v>
      </c>
      <c r="AE23" s="24">
        <v>-2.7121272564819936E-2</v>
      </c>
      <c r="AF23" s="24">
        <v>0.16956121091943041</v>
      </c>
      <c r="AG23" s="24">
        <v>-0.20177467174081873</v>
      </c>
      <c r="AH23" s="24">
        <v>0.11827620018664289</v>
      </c>
      <c r="AI23" s="24">
        <v>-0.29940273274439522</v>
      </c>
      <c r="AJ23" s="24">
        <v>0.23140494353779323</v>
      </c>
      <c r="AK23" s="24">
        <v>0.1695953508460509</v>
      </c>
      <c r="AL23" s="24">
        <v>0.30264439810577676</v>
      </c>
      <c r="AM23" s="24">
        <v>-0.44722386590763169</v>
      </c>
      <c r="AN23" s="24">
        <v>-0.25426408019981489</v>
      </c>
      <c r="AO23" s="24">
        <v>0.92625883473850867</v>
      </c>
      <c r="AP23" s="24">
        <v>-4.9276878032710122E-2</v>
      </c>
      <c r="AQ23" s="24">
        <v>-0.31084517034190395</v>
      </c>
      <c r="AR23" s="24">
        <v>0.50995864110493883</v>
      </c>
      <c r="AS23" s="24">
        <v>0.15393228274217069</v>
      </c>
      <c r="AT23" s="24">
        <v>-0.13439770186858319</v>
      </c>
      <c r="AU23" s="24">
        <v>-0.18384798825936607</v>
      </c>
      <c r="AV23" s="24">
        <v>0.22444639405914521</v>
      </c>
      <c r="AW23" s="24">
        <v>-0.55982427477880392</v>
      </c>
    </row>
    <row r="24" spans="1:49" ht="13.8" x14ac:dyDescent="0.3">
      <c r="D24" s="24">
        <v>0.21769440569472895</v>
      </c>
      <c r="E24" s="24">
        <v>0.23109163192386392</v>
      </c>
      <c r="F24" s="24">
        <v>-8.5535095279869966E-2</v>
      </c>
      <c r="G24" s="24">
        <v>-0.4086138866373315</v>
      </c>
      <c r="H24" s="24">
        <v>0.17683466275044463</v>
      </c>
      <c r="I24" s="24">
        <v>0.18733761838136065</v>
      </c>
      <c r="J24" s="24">
        <v>-0.45321486825578688</v>
      </c>
      <c r="K24" s="24">
        <v>0.31247966723824472</v>
      </c>
      <c r="L24" s="24">
        <v>9.0164287563714834E-2</v>
      </c>
      <c r="M24" s="24">
        <v>-0.59854472270160586</v>
      </c>
      <c r="N24" s="24">
        <v>4.297436876047897E-2</v>
      </c>
      <c r="O24" s="24">
        <v>6.8152781040232396E-2</v>
      </c>
      <c r="P24" s="24">
        <v>-0.13402168695153527</v>
      </c>
      <c r="Q24" s="24">
        <v>0.24107001289560662</v>
      </c>
      <c r="R24" s="24">
        <v>-0.615127055939789</v>
      </c>
      <c r="S24" s="24">
        <v>-0.28435179297432928</v>
      </c>
      <c r="T24" s="24">
        <v>0.54424789364199533</v>
      </c>
      <c r="U24" s="24">
        <v>-0.20500133124131911</v>
      </c>
      <c r="V24" s="24">
        <v>-0.37736618410635653</v>
      </c>
      <c r="W24" s="24">
        <v>0.88121981969012542</v>
      </c>
      <c r="X24" s="24">
        <v>1.8473418620223704E-2</v>
      </c>
      <c r="Y24" s="24">
        <v>-0.5778724191171033</v>
      </c>
      <c r="Z24" s="24">
        <v>-0.19697500400165105</v>
      </c>
      <c r="AA24" s="24">
        <v>6.9161101978857898E-3</v>
      </c>
      <c r="AB24" s="24">
        <v>0.31729454416122821</v>
      </c>
      <c r="AC24" s="24">
        <v>0.54315077790564181</v>
      </c>
      <c r="AD24" s="24">
        <v>-0.8169385484124464</v>
      </c>
      <c r="AE24" s="24">
        <v>-0.56921480749567832</v>
      </c>
      <c r="AF24" s="24">
        <v>-0.21831058973648221</v>
      </c>
      <c r="AG24" s="24">
        <v>0.12299016401908651</v>
      </c>
      <c r="AH24" s="24">
        <v>0.15996320694273736</v>
      </c>
      <c r="AI24" s="24">
        <v>-8.9856006327927576E-2</v>
      </c>
      <c r="AJ24" s="24">
        <v>0.11041380496222097</v>
      </c>
      <c r="AK24" s="24">
        <v>5.6530240132331849E-2</v>
      </c>
      <c r="AL24" s="24">
        <v>-0.32602107099926986</v>
      </c>
      <c r="AM24" s="24">
        <v>-0.46303720558176714</v>
      </c>
      <c r="AN24" s="24">
        <v>0.21604832314067066</v>
      </c>
      <c r="AO24" s="24">
        <v>-0.55886814688410313</v>
      </c>
      <c r="AP24" s="24">
        <v>-0.22799145148354119</v>
      </c>
      <c r="AQ24" s="24">
        <v>0.4340210090658243</v>
      </c>
      <c r="AR24" s="24">
        <v>0.2964926435341228</v>
      </c>
      <c r="AS24" s="24">
        <v>-0.55812102852774736</v>
      </c>
      <c r="AT24" s="24">
        <v>-3.4557584011626966E-2</v>
      </c>
      <c r="AU24" s="24">
        <v>-0.13311811643744412</v>
      </c>
      <c r="AV24" s="24">
        <v>0.33631322629786103</v>
      </c>
      <c r="AW24" s="24">
        <v>-2.3695952172585986E-2</v>
      </c>
    </row>
    <row r="25" spans="1:49" ht="13.8" x14ac:dyDescent="0.3">
      <c r="D25" s="24">
        <v>0.81135871501900525</v>
      </c>
      <c r="E25" s="24">
        <v>-0.18675781949468467</v>
      </c>
      <c r="F25" s="24">
        <v>0.14931623887037054</v>
      </c>
      <c r="G25" s="24">
        <v>-0.17263791175439069</v>
      </c>
      <c r="H25" s="24">
        <v>1.0099974276261341</v>
      </c>
      <c r="I25" s="24">
        <v>-6.2192306018931234E-2</v>
      </c>
      <c r="J25" s="24">
        <v>0.91301698688771793</v>
      </c>
      <c r="K25" s="24">
        <v>-0.61669887922777256</v>
      </c>
      <c r="L25" s="24">
        <v>-1.0060598882475995</v>
      </c>
      <c r="M25" s="24">
        <v>-1.3993018304243316</v>
      </c>
      <c r="N25" s="24">
        <v>0.14618796597064496</v>
      </c>
      <c r="O25" s="24">
        <v>-1.5143904870595</v>
      </c>
      <c r="P25" s="24">
        <v>-0.63256255100692194</v>
      </c>
      <c r="Q25" s="24">
        <v>1.9739964340577627</v>
      </c>
      <c r="R25" s="24">
        <v>-1.8704259245707866</v>
      </c>
      <c r="S25" s="24">
        <v>0.29213364230101524</v>
      </c>
      <c r="T25" s="24">
        <v>-0.27808615754479765</v>
      </c>
      <c r="U25" s="24">
        <v>0.21137650557841206</v>
      </c>
      <c r="V25" s="24">
        <v>0.28021915038060807</v>
      </c>
      <c r="W25" s="24">
        <v>-0.82663038602392491</v>
      </c>
      <c r="X25" s="24">
        <v>-0.18823238378833806</v>
      </c>
      <c r="Y25" s="24">
        <v>-0.98913381524761279</v>
      </c>
      <c r="Z25" s="24">
        <v>0.65132232516685284</v>
      </c>
      <c r="AA25" s="24">
        <v>0.45740521111155913</v>
      </c>
      <c r="AB25" s="24">
        <v>-1.6988368497631363</v>
      </c>
      <c r="AC25" s="24">
        <v>-0.34151393390411572</v>
      </c>
      <c r="AD25" s="24">
        <v>0.26535162191422568</v>
      </c>
      <c r="AE25" s="24">
        <v>-0.10589241005572393</v>
      </c>
      <c r="AF25" s="24">
        <v>-1.0825604882060307</v>
      </c>
      <c r="AG25" s="24">
        <v>-0.25349422838415908</v>
      </c>
      <c r="AH25" s="24">
        <v>1.1342250695498781</v>
      </c>
      <c r="AI25" s="24">
        <v>-0.80893036837968235</v>
      </c>
      <c r="AJ25" s="24">
        <v>-1.4266758254295755</v>
      </c>
      <c r="AK25" s="24">
        <v>-0.97875939435804638</v>
      </c>
      <c r="AL25" s="24">
        <v>0.37477632376124809</v>
      </c>
      <c r="AM25" s="24">
        <v>0.8360581772367609</v>
      </c>
      <c r="AN25" s="24">
        <v>-1.6160012944344784E-2</v>
      </c>
      <c r="AO25" s="24">
        <v>-1.9029453254215054</v>
      </c>
      <c r="AP25" s="24">
        <v>-2.7855771370292316E-2</v>
      </c>
      <c r="AQ25" s="24">
        <v>0.99463891078352928</v>
      </c>
      <c r="AR25" s="24">
        <v>-1.3160889314771447</v>
      </c>
      <c r="AS25" s="24">
        <v>-2.1558035911974063</v>
      </c>
      <c r="AT25" s="24">
        <v>-0.16783942814111508</v>
      </c>
      <c r="AU25" s="24">
        <v>8.8393751949390531E-2</v>
      </c>
      <c r="AV25" s="24">
        <v>1.0278745758689121</v>
      </c>
      <c r="AW25" s="24">
        <v>0.49488072987735976</v>
      </c>
    </row>
    <row r="26" spans="1:49" ht="13.8" x14ac:dyDescent="0.3">
      <c r="D26" s="24">
        <v>0.87073378091713693</v>
      </c>
      <c r="E26" s="24">
        <v>0.74795053667167055</v>
      </c>
      <c r="F26" s="24">
        <v>-0.41900697070046988</v>
      </c>
      <c r="G26" s="24">
        <v>-0.49405553273108233</v>
      </c>
      <c r="H26" s="24">
        <v>-1.4726623450116729</v>
      </c>
      <c r="I26" s="24">
        <v>1.5251319551405023</v>
      </c>
      <c r="J26" s="24">
        <v>0.31830757427054557</v>
      </c>
      <c r="K26" s="24">
        <v>0.25470130553742276</v>
      </c>
      <c r="L26" s="24">
        <v>1.4988311411160447E-2</v>
      </c>
      <c r="M26" s="24">
        <v>-5.268824477435214E-2</v>
      </c>
      <c r="N26" s="24">
        <v>0.63479627650225423</v>
      </c>
      <c r="O26" s="24">
        <v>-1.4723707115382092</v>
      </c>
      <c r="P26" s="24">
        <v>-0.20119662704557503</v>
      </c>
      <c r="Q26" s="24">
        <v>-0.39137660301113136</v>
      </c>
      <c r="R26" s="24">
        <v>-0.54930191687734131</v>
      </c>
      <c r="S26" s="24">
        <v>0.81483962182850489</v>
      </c>
      <c r="T26" s="24">
        <v>-0.74200827421094839</v>
      </c>
      <c r="U26" s="24">
        <v>0.96291366913153964</v>
      </c>
      <c r="V26" s="24">
        <v>0.29754050027841433</v>
      </c>
      <c r="W26" s="24">
        <v>-0.98742805881657292</v>
      </c>
      <c r="X26" s="24">
        <v>-0.81857387325539543</v>
      </c>
      <c r="Y26" s="24">
        <v>-1.1870540540134096</v>
      </c>
      <c r="Z26" s="24">
        <v>-0.4824497509536696</v>
      </c>
      <c r="AA26" s="24">
        <v>-0.3194203557090225</v>
      </c>
      <c r="AB26" s="24">
        <v>0.20465034164705789</v>
      </c>
      <c r="AC26" s="24">
        <v>1.5903863158293354</v>
      </c>
      <c r="AD26" s="24">
        <v>-0.83395411062368707</v>
      </c>
      <c r="AE26" s="24">
        <v>-0.55574504980289352</v>
      </c>
      <c r="AF26" s="24">
        <v>1.1281283339110475</v>
      </c>
      <c r="AG26" s="24">
        <v>-0.11906636166725029</v>
      </c>
      <c r="AH26" s="24">
        <v>0.71536639670757063</v>
      </c>
      <c r="AI26" s="24">
        <v>0.86288027111480559</v>
      </c>
      <c r="AJ26" s="24">
        <v>-7.2173243378992016E-2</v>
      </c>
      <c r="AK26" s="24">
        <v>0.80032026020729075</v>
      </c>
      <c r="AL26" s="24">
        <v>-0.3394279537035837</v>
      </c>
      <c r="AM26" s="24">
        <v>1.6690699430044789</v>
      </c>
      <c r="AN26" s="24">
        <v>0.52229642972333723</v>
      </c>
      <c r="AO26" s="24">
        <v>-5.9281985817097975E-2</v>
      </c>
      <c r="AP26" s="24">
        <v>0.25823946857589858</v>
      </c>
      <c r="AQ26" s="24">
        <v>-0.92748862506955454</v>
      </c>
      <c r="AR26" s="24">
        <v>0.2773529406258553</v>
      </c>
      <c r="AS26" s="24">
        <v>-0.90803341432432771</v>
      </c>
      <c r="AT26" s="24">
        <v>0.28471397450193509</v>
      </c>
      <c r="AU26" s="24">
        <v>-0.48788653368952162</v>
      </c>
      <c r="AV26" s="24">
        <v>0.70002680381295479</v>
      </c>
      <c r="AW26" s="24">
        <v>-0.65035028440136844</v>
      </c>
    </row>
    <row r="27" spans="1:49" ht="13.8" x14ac:dyDescent="0.3">
      <c r="D27" s="24">
        <v>0.55451748515529675</v>
      </c>
      <c r="E27" s="24">
        <v>-3.3724785956496736E-2</v>
      </c>
      <c r="F27" s="24">
        <v>0.13994427633884463</v>
      </c>
      <c r="G27" s="24">
        <v>0.1172838714796345</v>
      </c>
      <c r="H27" s="24">
        <v>0.16140584910036807</v>
      </c>
      <c r="I27" s="24">
        <v>6.2337162481346173E-2</v>
      </c>
      <c r="J27" s="24">
        <v>7.214863995305458E-2</v>
      </c>
      <c r="K27" s="24">
        <v>3.5985761580812917E-2</v>
      </c>
      <c r="L27" s="24">
        <v>-0.30187564690534174</v>
      </c>
      <c r="M27" s="24">
        <v>0.55468145931222568</v>
      </c>
      <c r="N27" s="24">
        <v>0.38279218057629849</v>
      </c>
      <c r="O27" s="24">
        <v>-0.43533728273784184</v>
      </c>
      <c r="P27" s="24">
        <v>-0.21777644202242877</v>
      </c>
      <c r="Q27" s="24">
        <v>-1.2685970111867478E-2</v>
      </c>
      <c r="R27" s="24">
        <v>-0.32286979959740042</v>
      </c>
      <c r="S27" s="24">
        <v>0.4344551101074427</v>
      </c>
      <c r="T27" s="24">
        <v>-3.8688509194919694E-2</v>
      </c>
      <c r="U27" s="24">
        <v>0.30833358591420473</v>
      </c>
      <c r="V27" s="24">
        <v>-0.74806553810692755</v>
      </c>
      <c r="W27" s="24">
        <v>0.54931982282606284</v>
      </c>
      <c r="X27" s="24">
        <v>-0.40805291964236912</v>
      </c>
      <c r="Y27" s="24">
        <v>0.2669316568210241</v>
      </c>
      <c r="Z27" s="24">
        <v>-0.33720999597937146</v>
      </c>
      <c r="AA27" s="24">
        <v>0.39127179269327578</v>
      </c>
      <c r="AB27" s="24">
        <v>0.26511012304673637</v>
      </c>
      <c r="AC27" s="24">
        <v>0.34806711967210818</v>
      </c>
      <c r="AD27" s="24">
        <v>-0.2533063288221884</v>
      </c>
      <c r="AE27" s="24">
        <v>0.27109667350831379</v>
      </c>
      <c r="AF27" s="24">
        <v>0.53108111394431978</v>
      </c>
      <c r="AG27" s="24">
        <v>0.27421974735387783</v>
      </c>
      <c r="AH27" s="24">
        <v>-0.77134764320941418</v>
      </c>
      <c r="AI27" s="24">
        <v>-8.8472699048765063E-2</v>
      </c>
      <c r="AJ27" s="24">
        <v>0.42693726767196766</v>
      </c>
      <c r="AK27" s="24">
        <v>-8.7545301757198535E-3</v>
      </c>
      <c r="AL27" s="24">
        <v>0.26615907653823145</v>
      </c>
      <c r="AM27" s="24">
        <v>0.52887143114136248</v>
      </c>
      <c r="AN27" s="24">
        <v>-3.1809910959134817E-2</v>
      </c>
      <c r="AO27" s="24">
        <v>-7.4543435952482501E-2</v>
      </c>
      <c r="AP27" s="24">
        <v>-4.794555373011547E-2</v>
      </c>
      <c r="AQ27" s="24">
        <v>0.29383037045849403</v>
      </c>
      <c r="AR27" s="24">
        <v>-3.2611947663535153E-2</v>
      </c>
      <c r="AS27" s="24">
        <v>-8.8042480165128764E-2</v>
      </c>
      <c r="AT27" s="24">
        <v>0.15669745193302739</v>
      </c>
      <c r="AU27" s="24">
        <v>3.2990957855267539E-2</v>
      </c>
      <c r="AV27" s="24">
        <v>-0.24068774618383665</v>
      </c>
      <c r="AW27" s="24">
        <v>-0.6826615831914854</v>
      </c>
    </row>
    <row r="30" spans="1:49" ht="13.8" x14ac:dyDescent="0.3">
      <c r="D30" s="24">
        <v>-0.78252295181265363</v>
      </c>
      <c r="E30" s="24">
        <v>-0.86154625029819798</v>
      </c>
      <c r="F30" s="24">
        <v>-0.61215756431218793</v>
      </c>
      <c r="G30" s="24">
        <v>-0.1604015713563737</v>
      </c>
      <c r="H30" s="24">
        <v>0.44800003455024034</v>
      </c>
      <c r="I30" s="24">
        <v>-0.39442702415626063</v>
      </c>
      <c r="J30" s="24">
        <v>7.5699567829798461E-2</v>
      </c>
      <c r="K30" s="24">
        <v>0.63637645269486942</v>
      </c>
      <c r="L30" s="24">
        <v>6.9957394921971505E-2</v>
      </c>
      <c r="M30" s="24">
        <v>-0.15663962444617605</v>
      </c>
      <c r="N30" s="24">
        <v>0.59432670283991351</v>
      </c>
      <c r="O30" s="24">
        <v>-0.31174334224339678</v>
      </c>
      <c r="P30" s="24">
        <v>0.15776882583850374</v>
      </c>
      <c r="Q30" s="24">
        <v>0.14973953176043178</v>
      </c>
    </row>
    <row r="31" spans="1:49" ht="13.8" x14ac:dyDescent="0.3">
      <c r="D31" s="24">
        <v>-4.0666700162644037E-2</v>
      </c>
      <c r="E31" s="24">
        <v>-0.22779604836921535</v>
      </c>
      <c r="F31" s="24">
        <v>-0.10160152575552035</v>
      </c>
      <c r="G31" s="24">
        <v>-0.19105652807648929</v>
      </c>
      <c r="H31" s="24">
        <v>-1.7571133899699651E-2</v>
      </c>
      <c r="I31" s="24">
        <v>-0.31148884318721204</v>
      </c>
      <c r="J31" s="24">
        <v>-0.1631208900219937</v>
      </c>
      <c r="K31" s="24">
        <v>-0.22485671582182096</v>
      </c>
      <c r="L31" s="24">
        <v>-0.15168448759448894</v>
      </c>
      <c r="M31" s="24">
        <v>-0.37122337534302507</v>
      </c>
      <c r="N31" s="24">
        <v>-0.13916227663505676</v>
      </c>
      <c r="O31" s="24">
        <v>-0.21535446390750709</v>
      </c>
      <c r="P31" s="24">
        <v>-3.8950803077279987E-2</v>
      </c>
      <c r="Q31" s="24">
        <v>-0.22394830844347641</v>
      </c>
    </row>
    <row r="32" spans="1:49" ht="13.8" x14ac:dyDescent="0.3">
      <c r="D32" s="24">
        <v>-0.55928666295731366</v>
      </c>
      <c r="E32" s="24">
        <v>-0.76751217729624932</v>
      </c>
      <c r="F32" s="24">
        <v>-0.28535044949524302</v>
      </c>
      <c r="G32" s="24">
        <v>-0.20111664238991375</v>
      </c>
      <c r="H32" s="24">
        <v>0.20126638208240116</v>
      </c>
      <c r="I32" s="24">
        <v>-0.4842418722935386</v>
      </c>
      <c r="J32" s="24">
        <v>-0.20743896550518123</v>
      </c>
      <c r="K32" s="24">
        <v>0.62844584956397509</v>
      </c>
      <c r="L32" s="24">
        <v>0.25169198999644804</v>
      </c>
      <c r="M32" s="24">
        <v>-0.43963901371832281</v>
      </c>
      <c r="N32" s="24">
        <v>0.65598735167796463</v>
      </c>
      <c r="O32" s="24">
        <v>-0.37165515318065834</v>
      </c>
      <c r="P32" s="24">
        <v>0.26491737735665122</v>
      </c>
      <c r="Q32" s="24">
        <v>-0.10436545269388429</v>
      </c>
    </row>
    <row r="33" spans="4:17" ht="13.8" x14ac:dyDescent="0.3">
      <c r="D33" s="24">
        <v>0.27395700162334341</v>
      </c>
      <c r="E33" s="24">
        <v>0.25557097218179914</v>
      </c>
      <c r="F33" s="24">
        <v>0.22280451361527723</v>
      </c>
      <c r="G33" s="24">
        <v>2.4889224810099298E-2</v>
      </c>
      <c r="H33" s="24">
        <v>-0.40701513614110529</v>
      </c>
      <c r="I33" s="24">
        <v>0.17967401415766895</v>
      </c>
      <c r="J33" s="24">
        <v>-0.13949855692421725</v>
      </c>
      <c r="K33" s="24">
        <v>-0.32988586498404632</v>
      </c>
      <c r="L33" s="24">
        <v>-0.27268418703805047</v>
      </c>
      <c r="M33" s="24">
        <v>0.16453613032156625</v>
      </c>
      <c r="N33" s="24">
        <v>-0.45392283506717279</v>
      </c>
      <c r="O33" s="24">
        <v>0.15293386755459348</v>
      </c>
      <c r="P33" s="24">
        <v>-0.15727628929956392</v>
      </c>
      <c r="Q33" s="24">
        <v>-0.42129157053281541</v>
      </c>
    </row>
    <row r="34" spans="4:17" ht="13.8" x14ac:dyDescent="0.3">
      <c r="D34" s="24">
        <v>-0.80993624549473275</v>
      </c>
      <c r="E34" s="24">
        <v>-0.82471900665227804</v>
      </c>
      <c r="F34" s="24">
        <v>-0.74250392028202483</v>
      </c>
      <c r="G34" s="24">
        <v>0.12236742420781768</v>
      </c>
      <c r="H34" s="24">
        <v>0.80412643412089613</v>
      </c>
      <c r="I34" s="24">
        <v>-0.91341690848228618</v>
      </c>
      <c r="J34" s="24">
        <v>0.13728926980731396</v>
      </c>
      <c r="K34" s="24">
        <v>0.96090796653138977</v>
      </c>
      <c r="L34" s="24">
        <v>0.19104573656482379</v>
      </c>
      <c r="M34" s="24">
        <v>-0.22832196728638859</v>
      </c>
      <c r="N34" s="24">
        <v>0.80198500920953752</v>
      </c>
      <c r="O34" s="24">
        <v>-0.59351855039951706</v>
      </c>
      <c r="P34" s="24">
        <v>0.14519277447187517</v>
      </c>
      <c r="Q34" s="24">
        <v>0.42931990552374188</v>
      </c>
    </row>
    <row r="35" spans="4:17" ht="13.8" x14ac:dyDescent="0.3">
      <c r="D35" s="24">
        <v>-0.70743734597228647</v>
      </c>
      <c r="E35" s="24">
        <v>-1.0923059713879482</v>
      </c>
      <c r="F35" s="24">
        <v>-0.28521129332671374</v>
      </c>
      <c r="G35" s="24">
        <v>-0.43038892735232703</v>
      </c>
      <c r="H35" s="24">
        <v>0.55198354318426468</v>
      </c>
      <c r="I35" s="24">
        <v>-1.0696417901913833</v>
      </c>
      <c r="J35" s="24">
        <v>-0.13468605064784911</v>
      </c>
      <c r="K35" s="24">
        <v>1.2752745506014544</v>
      </c>
      <c r="L35" s="24">
        <v>0.568619716754594</v>
      </c>
      <c r="M35" s="24">
        <v>-0.31245478642565011</v>
      </c>
      <c r="N35" s="24">
        <v>0.95775682460069578</v>
      </c>
      <c r="O35" s="24">
        <v>-0.78313498143627625</v>
      </c>
      <c r="P35" s="24">
        <v>0.20908129304786491</v>
      </c>
      <c r="Q35" s="24">
        <v>0.34337344525996671</v>
      </c>
    </row>
    <row r="36" spans="4:17" ht="13.8" x14ac:dyDescent="0.3">
      <c r="D36" s="24">
        <v>0.24913722249563638</v>
      </c>
      <c r="E36" s="24">
        <v>0.28909511566996204</v>
      </c>
      <c r="F36" s="24">
        <v>0.31257377718451745</v>
      </c>
      <c r="G36" s="24">
        <v>7.0504333073848069E-3</v>
      </c>
      <c r="H36" s="24">
        <v>-0.38190780112550221</v>
      </c>
      <c r="I36" s="24">
        <v>-9.5857681742434406E-2</v>
      </c>
      <c r="J36" s="24">
        <v>-0.13160237416622669</v>
      </c>
      <c r="K36" s="24">
        <v>-0.32333344666570113</v>
      </c>
      <c r="L36" s="24">
        <v>-0.21029782784625647</v>
      </c>
      <c r="M36" s="24">
        <v>-3.9688286632496302E-2</v>
      </c>
      <c r="N36" s="24">
        <v>-0.59635424844389906</v>
      </c>
      <c r="O36" s="24">
        <v>0.13386121200234036</v>
      </c>
      <c r="P36" s="24">
        <v>-0.15702882833116105</v>
      </c>
      <c r="Q36" s="24">
        <v>-0.20666918964190664</v>
      </c>
    </row>
    <row r="37" spans="4:17" ht="13.8" x14ac:dyDescent="0.3">
      <c r="D37" s="24">
        <v>0.69547267503055821</v>
      </c>
      <c r="E37" s="24">
        <v>0.67366769612242705</v>
      </c>
      <c r="F37" s="24">
        <v>0.65715502712317908</v>
      </c>
      <c r="G37" s="24">
        <v>1.0725219468830142E-2</v>
      </c>
      <c r="H37" s="24">
        <v>-0.62414648248171012</v>
      </c>
      <c r="I37" s="24">
        <v>0.48988337502656271</v>
      </c>
      <c r="J37" s="24">
        <v>-4.5889608099400993E-2</v>
      </c>
      <c r="K37" s="24">
        <v>-0.69723830492439265</v>
      </c>
      <c r="L37" s="24">
        <v>-4.5185267513502957E-2</v>
      </c>
      <c r="M37" s="24">
        <v>0.16761617187823971</v>
      </c>
      <c r="N37" s="24">
        <v>-0.76488331470678128</v>
      </c>
      <c r="O37" s="24">
        <v>0.33130552626323267</v>
      </c>
      <c r="P37" s="24">
        <v>-0.28323913261877404</v>
      </c>
      <c r="Q37" s="24">
        <v>-0.35104176725940966</v>
      </c>
    </row>
    <row r="38" spans="4:17" ht="13.8" x14ac:dyDescent="0.3">
      <c r="D38" s="24">
        <v>-0.51308951884424947</v>
      </c>
      <c r="E38" s="24">
        <v>-0.3503744232299037</v>
      </c>
      <c r="F38" s="24">
        <v>-0.1890921322099153</v>
      </c>
      <c r="G38" s="24">
        <v>-0.215481167076258</v>
      </c>
      <c r="H38" s="24">
        <v>-8.0063770421074251E-2</v>
      </c>
      <c r="I38" s="24">
        <v>-0.32495142195786597</v>
      </c>
      <c r="J38" s="24">
        <v>4.0110726662943947E-3</v>
      </c>
      <c r="K38" s="24">
        <v>6.7412806621696075E-2</v>
      </c>
      <c r="L38" s="24">
        <v>-0.14775166202438708</v>
      </c>
      <c r="M38" s="24">
        <v>-0.11244800757678239</v>
      </c>
      <c r="N38" s="24">
        <v>7.9493100131750594E-2</v>
      </c>
      <c r="O38" s="24">
        <v>-0.274774246973087</v>
      </c>
      <c r="P38" s="24">
        <v>-6.3333433829119767E-2</v>
      </c>
      <c r="Q38" s="24">
        <v>-0.30487896748886328</v>
      </c>
    </row>
    <row r="39" spans="4:17" ht="13.8" x14ac:dyDescent="0.3">
      <c r="D39" s="24">
        <v>-0.12472673305042818</v>
      </c>
      <c r="E39" s="24">
        <v>-7.9395823776195043E-2</v>
      </c>
      <c r="F39" s="24">
        <v>-0.2001643364809034</v>
      </c>
      <c r="G39" s="24">
        <v>-0.29656062249435811</v>
      </c>
      <c r="H39" s="24">
        <v>6.2276024583854256E-2</v>
      </c>
      <c r="I39" s="24">
        <v>-0.26416597688964716</v>
      </c>
      <c r="J39" s="24">
        <v>-0.30123804489266037</v>
      </c>
      <c r="K39" s="24">
        <v>0.15046307483176816</v>
      </c>
      <c r="L39" s="24">
        <v>-0.24490042623592254</v>
      </c>
      <c r="M39" s="24">
        <v>-0.28375734053752066</v>
      </c>
      <c r="N39" s="24">
        <v>-0.12850970714030241</v>
      </c>
      <c r="O39" s="24">
        <v>-0.18304871416926852</v>
      </c>
      <c r="P39" s="24">
        <v>-0.26877139857862831</v>
      </c>
      <c r="Q39" s="24">
        <v>-0.20377788295554072</v>
      </c>
    </row>
    <row r="40" spans="4:17" ht="13.8" x14ac:dyDescent="0.3">
      <c r="D40" s="24">
        <v>0.10160993269780098</v>
      </c>
      <c r="E40" s="24">
        <v>0.13435837366998088</v>
      </c>
      <c r="F40" s="24">
        <v>3.8326299304822967E-2</v>
      </c>
      <c r="G40" s="24">
        <v>4.426609463849966E-3</v>
      </c>
      <c r="H40" s="24">
        <v>-0.10189707120195182</v>
      </c>
      <c r="I40" s="24">
        <v>-0.22339673617651332</v>
      </c>
      <c r="J40" s="24">
        <v>-9.2867316005324621E-2</v>
      </c>
      <c r="K40" s="24">
        <v>-0.20170650032651949</v>
      </c>
      <c r="L40" s="24">
        <v>-0.26572959287810954</v>
      </c>
      <c r="M40" s="24">
        <v>-0.13107201918404857</v>
      </c>
      <c r="N40" s="24">
        <v>-0.35600181748743887</v>
      </c>
      <c r="O40" s="24">
        <v>-0.20866067929099899</v>
      </c>
      <c r="P40" s="24">
        <v>-6.4254248461107596E-2</v>
      </c>
      <c r="Q40" s="24">
        <v>-0.4261864251358895</v>
      </c>
    </row>
    <row r="41" spans="4:17" ht="13.8" x14ac:dyDescent="0.3">
      <c r="D41" s="24">
        <v>-0.51717003899115177</v>
      </c>
      <c r="E41" s="24">
        <v>-0.52586527683162709</v>
      </c>
      <c r="F41" s="24">
        <v>-0.32411546512508166</v>
      </c>
      <c r="G41" s="24">
        <v>-0.24335966694855379</v>
      </c>
      <c r="H41" s="24">
        <v>0.11549099058709339</v>
      </c>
      <c r="I41" s="24">
        <v>-0.4302906506392023</v>
      </c>
      <c r="J41" s="24">
        <v>-5.7738103562111932E-2</v>
      </c>
      <c r="K41" s="24">
        <v>9.0068874175760261E-2</v>
      </c>
      <c r="L41" s="24">
        <v>1.977448177867297E-2</v>
      </c>
      <c r="M41" s="24">
        <v>-0.30147629256915515</v>
      </c>
      <c r="N41" s="24">
        <v>0.22855267779888777</v>
      </c>
      <c r="O41" s="24">
        <v>-0.11457370369289609</v>
      </c>
      <c r="P41" s="24">
        <v>0.12171905638472151</v>
      </c>
      <c r="Q41" s="24">
        <v>-0.15284435581854572</v>
      </c>
    </row>
    <row r="42" spans="4:17" ht="13.8" x14ac:dyDescent="0.3">
      <c r="D42" s="24">
        <v>-0.55159099315691418</v>
      </c>
      <c r="E42" s="24">
        <v>-0.59410263751093351</v>
      </c>
      <c r="F42" s="24">
        <v>-0.38592937368508745</v>
      </c>
      <c r="G42" s="24">
        <v>-0.19105507963295837</v>
      </c>
      <c r="H42" s="24">
        <v>8.484302966462455E-2</v>
      </c>
      <c r="I42" s="24">
        <v>-0.44590872045359486</v>
      </c>
      <c r="J42" s="24">
        <v>-0.22898905857105412</v>
      </c>
      <c r="K42" s="24">
        <v>0.52418742653777051</v>
      </c>
      <c r="L42" s="24">
        <v>0.10693145417324465</v>
      </c>
      <c r="M42" s="24">
        <v>-0.23180631618691611</v>
      </c>
      <c r="N42" s="24">
        <v>0.45785037723803335</v>
      </c>
      <c r="O42" s="24">
        <v>-0.37685089331889121</v>
      </c>
      <c r="P42" s="24">
        <v>-3.7787310589090635E-2</v>
      </c>
      <c r="Q42" s="24">
        <v>-7.3541689821225595E-2</v>
      </c>
    </row>
    <row r="43" spans="4:17" ht="13.8" x14ac:dyDescent="0.3">
      <c r="D43" s="24">
        <v>-0.72470065247362692</v>
      </c>
      <c r="E43" s="24">
        <v>-0.66172564136810419</v>
      </c>
      <c r="F43" s="24">
        <v>-0.3204036669653052</v>
      </c>
      <c r="G43" s="24">
        <v>-0.17447147653151504</v>
      </c>
      <c r="H43" s="24">
        <v>0.43747902920576881</v>
      </c>
      <c r="I43" s="24">
        <v>-0.59663676083376127</v>
      </c>
      <c r="J43" s="24">
        <v>-2.735153567189625E-2</v>
      </c>
      <c r="K43" s="24">
        <v>0.40493177407091818</v>
      </c>
      <c r="L43" s="24">
        <v>-2.8134534685260101E-2</v>
      </c>
      <c r="M43" s="24">
        <v>-0.18448322854155044</v>
      </c>
      <c r="N43" s="24">
        <v>0.35437066020561436</v>
      </c>
      <c r="O43" s="24">
        <v>-0.21180131728173845</v>
      </c>
      <c r="P43" s="24">
        <v>1.650835193037772E-2</v>
      </c>
      <c r="Q43" s="24">
        <v>-1.5321934016586845E-2</v>
      </c>
    </row>
    <row r="44" spans="4:17" ht="13.8" x14ac:dyDescent="0.3">
      <c r="D44" s="24">
        <v>-0.42777167245846004</v>
      </c>
      <c r="E44" s="24">
        <v>-0.83105083979088368</v>
      </c>
      <c r="F44" s="24">
        <v>-0.17207562645413046</v>
      </c>
      <c r="G44" s="24">
        <v>-0.34996439742792929</v>
      </c>
      <c r="H44" s="24">
        <v>2.6711087177052804E-3</v>
      </c>
      <c r="I44" s="24">
        <v>-0.84635943305357442</v>
      </c>
      <c r="J44" s="24">
        <v>-4.3795066511554966E-2</v>
      </c>
      <c r="K44" s="24">
        <v>0.70371601689514474</v>
      </c>
      <c r="L44" s="24">
        <v>0.36236323955580935</v>
      </c>
      <c r="M44" s="24">
        <v>-0.45617737610316905</v>
      </c>
      <c r="N44" s="24">
        <v>0.54563090971452599</v>
      </c>
      <c r="O44" s="24">
        <v>-0.42783273634282765</v>
      </c>
      <c r="P44" s="24">
        <v>-2.7133542076056526E-2</v>
      </c>
      <c r="Q44" s="24">
        <v>5.9250712606894206E-2</v>
      </c>
    </row>
    <row r="45" spans="4:17" ht="13.8" x14ac:dyDescent="0.3">
      <c r="D45" s="24">
        <v>-6.4551110556693603E-2</v>
      </c>
      <c r="E45" s="24">
        <v>-0.44996237556413782</v>
      </c>
      <c r="F45" s="24">
        <v>-6.6761484092294932E-2</v>
      </c>
      <c r="G45" s="24">
        <v>-3.6047384663919602E-2</v>
      </c>
      <c r="H45" s="24">
        <v>-0.21859908499062072</v>
      </c>
      <c r="I45" s="24">
        <v>-0.4280490396906183</v>
      </c>
      <c r="J45" s="24">
        <v>-0.32577374203284998</v>
      </c>
      <c r="K45" s="24">
        <v>-6.5787425539572106E-2</v>
      </c>
      <c r="L45" s="24">
        <v>-0.11093041067495675</v>
      </c>
      <c r="M45" s="24">
        <v>-0.18017864486228921</v>
      </c>
      <c r="N45" s="24">
        <v>4.9358599094936451E-2</v>
      </c>
      <c r="O45" s="24">
        <v>-0.25026214436257155</v>
      </c>
      <c r="P45" s="24">
        <v>-0.28857509246636298</v>
      </c>
      <c r="Q45" s="24">
        <v>-0.33724186048269156</v>
      </c>
    </row>
    <row r="46" spans="4:17" ht="13.8" x14ac:dyDescent="0.3">
      <c r="D46" s="24">
        <v>0.24435767937313554</v>
      </c>
      <c r="E46" s="24">
        <v>-0.13951246175539372</v>
      </c>
      <c r="F46" s="24">
        <v>8.3427848810064098E-2</v>
      </c>
      <c r="G46" s="24">
        <v>-0.12549381455459163</v>
      </c>
      <c r="H46" s="24">
        <v>-0.19986993792783117</v>
      </c>
      <c r="I46" s="24">
        <v>-0.20202991943650367</v>
      </c>
      <c r="J46" s="24">
        <v>-0.10053033438202094</v>
      </c>
      <c r="K46" s="24">
        <v>-0.15510864566511787</v>
      </c>
      <c r="L46" s="24">
        <v>-0.30899917311357544</v>
      </c>
      <c r="M46" s="24">
        <v>-0.17044660384518301</v>
      </c>
      <c r="N46" s="24">
        <v>-0.19718723885654915</v>
      </c>
      <c r="O46" s="24">
        <v>-0.17968666662726621</v>
      </c>
      <c r="P46" s="24">
        <v>-0.10408752155130135</v>
      </c>
      <c r="Q46" s="24">
        <v>-0.43404352862224727</v>
      </c>
    </row>
    <row r="47" spans="4:17" ht="13.8" x14ac:dyDescent="0.3">
      <c r="D47" s="24">
        <v>1.8195992961678582</v>
      </c>
      <c r="E47" s="24">
        <v>1.652596309857832</v>
      </c>
      <c r="F47" s="24">
        <v>1.7757784027502765</v>
      </c>
      <c r="G47" s="24">
        <v>0.10364806705325752</v>
      </c>
      <c r="H47" s="24">
        <v>-1.7103406182368448</v>
      </c>
      <c r="I47" s="24">
        <v>1.1315053549922702</v>
      </c>
      <c r="J47" s="24">
        <v>5.9594428172867357E-2</v>
      </c>
      <c r="K47" s="24">
        <v>-2.1214344650531807</v>
      </c>
      <c r="L47" s="24">
        <v>-0.74867483307499871</v>
      </c>
      <c r="M47" s="24">
        <v>0.50229409081072285</v>
      </c>
      <c r="N47" s="24">
        <v>-2.3694399599209492</v>
      </c>
      <c r="O47" s="24">
        <v>1.1133631712834531</v>
      </c>
      <c r="P47" s="24">
        <v>-1.0443179646888716</v>
      </c>
      <c r="Q47" s="24">
        <v>-0.94923038901077283</v>
      </c>
    </row>
    <row r="48" spans="4:17" ht="13.8" x14ac:dyDescent="0.3">
      <c r="D48" s="24">
        <v>-0.48678564746232772</v>
      </c>
      <c r="E48" s="24">
        <v>-0.46137055112591258</v>
      </c>
      <c r="F48" s="24">
        <v>-0.41277045968883347</v>
      </c>
      <c r="G48" s="24">
        <v>-0.21419203927701569</v>
      </c>
      <c r="H48" s="24">
        <v>-5.0976976636422526E-2</v>
      </c>
      <c r="I48" s="24">
        <v>-0.49002898110207155</v>
      </c>
      <c r="J48" s="24">
        <v>-6.0024277838300499E-2</v>
      </c>
      <c r="K48" s="24">
        <v>0.40355855923793899</v>
      </c>
      <c r="L48" s="24">
        <v>1.4800726255486894E-2</v>
      </c>
      <c r="M48" s="24">
        <v>-0.36320491975763058</v>
      </c>
      <c r="N48" s="24">
        <v>0.18933827260626257</v>
      </c>
      <c r="O48" s="24">
        <v>-0.17389173744550615</v>
      </c>
      <c r="P48" s="24">
        <v>-0.23058771009173692</v>
      </c>
      <c r="Q48" s="24">
        <v>-0.13488224975984445</v>
      </c>
    </row>
    <row r="49" spans="4:29" ht="13.8" x14ac:dyDescent="0.3">
      <c r="D49" s="24">
        <v>-0.12750844242299433</v>
      </c>
      <c r="E49" s="24">
        <v>-5.8410606512236805E-2</v>
      </c>
      <c r="F49" s="24">
        <v>-0.11644858649873681</v>
      </c>
      <c r="G49" s="24">
        <v>-4.5735846432677059E-3</v>
      </c>
      <c r="H49" s="24">
        <v>-6.1683255230483937E-2</v>
      </c>
      <c r="I49" s="24">
        <v>-0.21213070889584723</v>
      </c>
      <c r="J49" s="24">
        <v>-0.26426656933503695</v>
      </c>
      <c r="K49" s="24">
        <v>-0.20137196713915401</v>
      </c>
      <c r="L49" s="24">
        <v>-5.2340711818688906E-2</v>
      </c>
      <c r="M49" s="24">
        <v>-0.28316210430272731</v>
      </c>
      <c r="N49" s="24">
        <v>-0.30286564089484763</v>
      </c>
      <c r="O49" s="24">
        <v>5.6787752655509817E-2</v>
      </c>
      <c r="P49" s="24">
        <v>-0.16432833186681142</v>
      </c>
      <c r="Q49" s="24">
        <v>-0.43076320292632891</v>
      </c>
    </row>
    <row r="50" spans="4:29" ht="13.8" x14ac:dyDescent="0.3">
      <c r="D50" s="24">
        <v>-0.22705922511869156</v>
      </c>
      <c r="E50" s="24">
        <v>-0.30531942858263444</v>
      </c>
      <c r="F50" s="24">
        <v>-0.37667583520714581</v>
      </c>
      <c r="G50" s="24">
        <v>-0.26487097906962448</v>
      </c>
      <c r="H50" s="24">
        <v>7.3030104115781244E-2</v>
      </c>
      <c r="I50" s="24">
        <v>-0.5280670219690351</v>
      </c>
      <c r="J50" s="24">
        <v>-0.14495706797521551</v>
      </c>
      <c r="K50" s="24">
        <v>0.19053194679149796</v>
      </c>
      <c r="L50" s="24">
        <v>-0.10095785646798523</v>
      </c>
      <c r="M50" s="24">
        <v>-0.1047980967738619</v>
      </c>
      <c r="N50" s="24">
        <v>0.10006317180199184</v>
      </c>
      <c r="O50" s="24">
        <v>-0.26212220506184497</v>
      </c>
      <c r="P50" s="24">
        <v>-0.20414410910754116</v>
      </c>
      <c r="Q50" s="24">
        <v>-0.25723812677573449</v>
      </c>
    </row>
    <row r="51" spans="4:29" ht="13.8" x14ac:dyDescent="0.3">
      <c r="D51" s="24">
        <v>5.0893307336874076E-2</v>
      </c>
      <c r="E51" s="24">
        <v>0.29761083279766887</v>
      </c>
      <c r="F51" s="24">
        <v>0.3257165962753425</v>
      </c>
      <c r="G51" s="24">
        <v>-0.28724947176671944</v>
      </c>
      <c r="H51" s="24">
        <v>-0.26692722340066005</v>
      </c>
      <c r="I51" s="24">
        <v>4.6567421481685085E-2</v>
      </c>
      <c r="J51" s="24">
        <v>-0.20575618703312776</v>
      </c>
      <c r="K51" s="24">
        <v>-0.36417714923943095</v>
      </c>
      <c r="L51" s="24">
        <v>-6.5408121193586133E-2</v>
      </c>
      <c r="M51" s="24">
        <v>-7.3959282054601838E-2</v>
      </c>
      <c r="N51" s="24">
        <v>-0.49602638155331658</v>
      </c>
      <c r="O51" s="24">
        <v>-0.13167386825243335</v>
      </c>
      <c r="P51" s="24">
        <v>-0.19495060694454536</v>
      </c>
      <c r="Q51" s="24">
        <v>-0.16705703746491132</v>
      </c>
    </row>
    <row r="52" spans="4:29" ht="13.8" x14ac:dyDescent="0.3">
      <c r="D52" s="24">
        <v>-0.45433180337117302</v>
      </c>
      <c r="E52" s="24">
        <v>-0.71790010371471613</v>
      </c>
      <c r="F52" s="24">
        <v>-0.18540054475603238</v>
      </c>
      <c r="G52" s="24">
        <v>-0.3636551399373425</v>
      </c>
      <c r="H52" s="24">
        <v>0.12423091026771568</v>
      </c>
      <c r="I52" s="24">
        <v>-0.62163509222625624</v>
      </c>
      <c r="J52" s="24">
        <v>2.3490591026733829E-2</v>
      </c>
      <c r="K52" s="24">
        <v>0.53539494948242683</v>
      </c>
      <c r="L52" s="24">
        <v>0.20973928184620308</v>
      </c>
      <c r="M52" s="24">
        <v>-0.42057443649674892</v>
      </c>
      <c r="N52" s="24">
        <v>0.29907656229351048</v>
      </c>
      <c r="O52" s="24">
        <v>-0.30137661029735452</v>
      </c>
      <c r="P52" s="24">
        <v>-9.432905901963079E-2</v>
      </c>
      <c r="Q52" s="24">
        <v>-8.6167123619867503E-2</v>
      </c>
    </row>
    <row r="53" spans="4:29" ht="13.8" x14ac:dyDescent="0.3">
      <c r="D53" s="24">
        <v>-1.9918865547446456</v>
      </c>
      <c r="E53" s="24">
        <v>-2.0098058939931831</v>
      </c>
      <c r="F53" s="24">
        <v>-1.8416875816677925</v>
      </c>
      <c r="G53" s="24">
        <v>8.0965056671158248E-3</v>
      </c>
      <c r="H53" s="24">
        <v>1.7945717023103678</v>
      </c>
      <c r="I53" s="24">
        <v>-1.5229421817945454</v>
      </c>
      <c r="J53" s="24">
        <v>0.26158716438950197</v>
      </c>
      <c r="K53" s="24">
        <v>2.5440902595362203</v>
      </c>
      <c r="L53" s="24">
        <v>1.0129148689180467</v>
      </c>
      <c r="M53" s="24">
        <v>-0.51119631411915922</v>
      </c>
      <c r="N53" s="24">
        <v>2.6555202176952424</v>
      </c>
      <c r="O53" s="24">
        <v>-1.340971500978958</v>
      </c>
      <c r="P53" s="24">
        <v>1.0674936435138687</v>
      </c>
      <c r="Q53" s="24">
        <v>0.9712367883700348</v>
      </c>
    </row>
    <row r="54" spans="4:29" ht="13.8" x14ac:dyDescent="0.3">
      <c r="D54" s="24">
        <v>0.22672172035841598</v>
      </c>
      <c r="E54" s="24">
        <v>9.573672881008094E-2</v>
      </c>
      <c r="F54" s="24">
        <v>0.37174239545371363</v>
      </c>
      <c r="G54" s="24">
        <v>-0.27743971819986102</v>
      </c>
      <c r="H54" s="24">
        <v>-0.3010557839577892</v>
      </c>
      <c r="I54" s="24">
        <v>-1.3595346314405041E-2</v>
      </c>
      <c r="J54" s="24">
        <v>-2.4845585631086256E-2</v>
      </c>
      <c r="K54" s="24">
        <v>-0.45835365677750911</v>
      </c>
      <c r="L54" s="24">
        <v>-0.13682622214255047</v>
      </c>
      <c r="M54" s="24">
        <v>0.11472541858759844</v>
      </c>
      <c r="N54" s="24">
        <v>-0.35355572858174877</v>
      </c>
      <c r="O54" s="24">
        <v>0.17419399298313201</v>
      </c>
      <c r="P54" s="24">
        <v>-0.23016535341251776</v>
      </c>
      <c r="Q54" s="24">
        <v>-0.22970515559337371</v>
      </c>
    </row>
    <row r="57" spans="4:29" ht="13.8" x14ac:dyDescent="0.3">
      <c r="D57" s="24">
        <v>-1.0589000010564784</v>
      </c>
      <c r="E57" s="24">
        <v>-0.41350632904896678</v>
      </c>
      <c r="F57" s="24">
        <v>-0.59334175651222809</v>
      </c>
      <c r="G57" s="24">
        <v>0.32624800454770553</v>
      </c>
      <c r="H57" s="24">
        <v>-1.1117258777255168</v>
      </c>
      <c r="I57" s="24">
        <v>-1.6523522617998994</v>
      </c>
      <c r="J57" s="24">
        <v>9.5659517388176671E-2</v>
      </c>
      <c r="K57" s="24">
        <v>1.7871786690652909</v>
      </c>
      <c r="L57" s="24">
        <v>0.30854753671319057</v>
      </c>
      <c r="M57" s="24">
        <v>0.55054472953345268</v>
      </c>
      <c r="N57" s="24">
        <v>0.59514216918419005</v>
      </c>
      <c r="O57" s="24">
        <v>-0.23357832934038147</v>
      </c>
      <c r="P57" s="24">
        <v>-0.38695140237844056</v>
      </c>
      <c r="Q57" s="24">
        <v>-0.59838130979539328</v>
      </c>
      <c r="R57" s="24">
        <v>-0.72962810907216624</v>
      </c>
      <c r="S57" s="24">
        <v>-0.17333637141448788</v>
      </c>
      <c r="T57" s="24">
        <v>-1.4850059986041143E-3</v>
      </c>
      <c r="U57" s="24">
        <v>3.1563070326934382</v>
      </c>
      <c r="V57" s="24">
        <v>-1.0633120161751271</v>
      </c>
      <c r="W57" s="24">
        <v>-0.12558830086416642</v>
      </c>
      <c r="X57" s="24">
        <v>-0.24339542004538475</v>
      </c>
      <c r="Y57" s="24">
        <v>-0.10094976922974429</v>
      </c>
      <c r="Z57" s="24">
        <v>-0.43361595844815237</v>
      </c>
      <c r="AA57" s="24">
        <v>-3.1527528440277828</v>
      </c>
      <c r="AB57" s="24">
        <v>0.13634128230097495</v>
      </c>
      <c r="AC57" s="24">
        <v>0.49380484799618918</v>
      </c>
    </row>
    <row r="58" spans="4:29" ht="13.8" x14ac:dyDescent="0.3">
      <c r="D58" s="24">
        <v>0.77456802760885757</v>
      </c>
      <c r="E58" s="24">
        <v>-0.35598983695760006</v>
      </c>
      <c r="F58" s="24">
        <v>1.1560255229074992</v>
      </c>
      <c r="G58" s="24">
        <v>-0.77837710760109857</v>
      </c>
      <c r="H58" s="24">
        <v>1.43051746073469</v>
      </c>
      <c r="I58" s="24">
        <v>1.2856875294516985</v>
      </c>
      <c r="J58" s="24">
        <v>-0.91477457213324309</v>
      </c>
      <c r="K58" s="24">
        <v>-0.41528785693048431</v>
      </c>
      <c r="L58" s="24">
        <v>0.89246884475193533</v>
      </c>
      <c r="M58" s="24">
        <v>0.72142706485374453</v>
      </c>
      <c r="N58" s="24">
        <v>0.17347409734446773</v>
      </c>
      <c r="O58" s="24">
        <v>0.69764225146569459</v>
      </c>
      <c r="P58" s="24">
        <v>0.99418927914997635</v>
      </c>
      <c r="Q58" s="24">
        <v>1.0175847381093794</v>
      </c>
      <c r="R58" s="24">
        <v>1.0660296057977439</v>
      </c>
      <c r="S58" s="24">
        <v>0.15119258915760328</v>
      </c>
      <c r="T58" s="24">
        <v>-0.3892700312531685</v>
      </c>
      <c r="U58" s="24">
        <v>-2.8133331373204742</v>
      </c>
      <c r="V58" s="24">
        <v>-2.6275703155051348E-2</v>
      </c>
      <c r="W58" s="24">
        <v>-0.28702905887887514</v>
      </c>
      <c r="X58" s="24">
        <v>0.43313893377119111</v>
      </c>
      <c r="Y58" s="24">
        <v>-0.93323555583115092</v>
      </c>
      <c r="Z58" s="24">
        <v>0.99433673088062391</v>
      </c>
      <c r="AA58" s="24">
        <v>3.1345641408652503</v>
      </c>
      <c r="AB58" s="24">
        <v>-0.81986043400655273</v>
      </c>
      <c r="AC58" s="24">
        <v>-1.1664978162863286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Y600"/>
  <sheetViews>
    <sheetView showGridLines="0" topLeftCell="A57" workbookViewId="0">
      <selection activeCell="D83" sqref="D83:E84"/>
    </sheetView>
  </sheetViews>
  <sheetFormatPr defaultRowHeight="13.2" x14ac:dyDescent="0.25"/>
  <cols>
    <col min="3" max="3" width="14.21875" bestFit="1" customWidth="1"/>
    <col min="16" max="16" width="13.5546875" bestFit="1" customWidth="1"/>
  </cols>
  <sheetData>
    <row r="1" spans="2:103" ht="18" x14ac:dyDescent="0.35">
      <c r="B1" s="23" t="s">
        <v>180</v>
      </c>
      <c r="N1" t="s">
        <v>758</v>
      </c>
      <c r="CQ1" s="24">
        <v>0.99179999486387638</v>
      </c>
      <c r="CR1" s="24" t="str">
        <f>"1"</f>
        <v>1</v>
      </c>
      <c r="CS1" t="str">
        <f ca="1">IF((OFFSET($A$1, 1 - 1, 95 - 1)) &gt;= (OFFSET($A$1, 54 - 1, 7 - 1)), "1","0")</f>
        <v>1</v>
      </c>
      <c r="CT1">
        <f ca="1" xml:space="preserve"> IF( AND( OFFSET($A$1, 1 - 1, 96 - 1) = "1", OFFSET($A$1, 1 - 1, 97 - 1) = "1" ), 1, IF( AND( OFFSET($A$1, 1 - 1, 96 - 1) = "1", OFFSET($A$1, 1 - 1, 97 - 1) = "0" ), 2, IF( AND( OFFSET($A$1, 1 - 1, 96 - 1) = "0", OFFSET($A$1, 1 - 1, 97 - 1) = "1" ), 3, 4 ) ) )</f>
        <v>1</v>
      </c>
      <c r="CV1" s="24">
        <v>0.86390877536190092</v>
      </c>
      <c r="CW1" s="24" t="str">
        <f t="shared" ref="CW1:CW10" si="0">"1"</f>
        <v>1</v>
      </c>
      <c r="CX1" t="str">
        <f ca="1">IF((OFFSET($A$1, 1 - 1, 100 - 1)) &gt;= (OFFSET($A$1, 78 - 1, 7 - 1)), "1","0")</f>
        <v>1</v>
      </c>
      <c r="CY1">
        <f ca="1" xml:space="preserve"> IF( AND( OFFSET($A$1, 1 - 1, 101 - 1) = "1", OFFSET($A$1, 1 - 1, 102 - 1) = "1" ), 1, IF( AND( OFFSET($A$1, 1 - 1, 101 - 1) = "1", OFFSET($A$1, 1 - 1, 102 - 1) = "0" ), 2, IF( AND( OFFSET($A$1, 1 - 1, 101 - 1) = "0", OFFSET($A$1, 1 - 1, 102 - 1) = "1" ), 3, 4 ) ) )</f>
        <v>1</v>
      </c>
    </row>
    <row r="2" spans="2:103" ht="13.8" x14ac:dyDescent="0.3">
      <c r="CQ2" s="24">
        <v>2.1551811435211822E-2</v>
      </c>
      <c r="CR2" s="24" t="str">
        <f>"0"</f>
        <v>0</v>
      </c>
      <c r="CS2" t="str">
        <f ca="1">IF((OFFSET($A$1, 2 - 1, 95 - 1)) &gt;= (OFFSET($A$1, 54 - 1, 7 - 1)), "1","0")</f>
        <v>0</v>
      </c>
      <c r="CT2">
        <f ca="1" xml:space="preserve"> IF( AND( OFFSET($A$1, 2 - 1, 96 - 1) = "1", OFFSET($A$1, 2 - 1, 97 - 1) = "1" ), 1, IF( AND( OFFSET($A$1, 2 - 1, 96 - 1) = "1", OFFSET($A$1, 2 - 1, 97 - 1) = "0" ), 2, IF( AND( OFFSET($A$1, 2 - 1, 96 - 1) = "0", OFFSET($A$1, 2 - 1, 97 - 1) = "1" ), 3, 4 ) ) )</f>
        <v>4</v>
      </c>
      <c r="CV2" s="24">
        <v>0.99871253329097509</v>
      </c>
      <c r="CW2" s="24" t="str">
        <f t="shared" si="0"/>
        <v>1</v>
      </c>
      <c r="CX2" t="str">
        <f ca="1">IF((OFFSET($A$1, 2 - 1, 100 - 1)) &gt;= (OFFSET($A$1, 78 - 1, 7 - 1)), "1","0")</f>
        <v>1</v>
      </c>
      <c r="CY2">
        <f ca="1" xml:space="preserve"> IF( AND( OFFSET($A$1, 2 - 1, 101 - 1) = "1", OFFSET($A$1, 2 - 1, 102 - 1) = "1" ), 1, IF( AND( OFFSET($A$1, 2 - 1, 101 - 1) = "1", OFFSET($A$1, 2 - 1, 102 - 1) = "0" ), 2, IF( AND( OFFSET($A$1, 2 - 1, 101 - 1) = "0", OFFSET($A$1, 2 - 1, 102 - 1) = "1" ), 3, 4 ) ) )</f>
        <v>1</v>
      </c>
    </row>
    <row r="3" spans="2:103" ht="15.6" x14ac:dyDescent="0.3">
      <c r="B3" s="59" t="s">
        <v>136</v>
      </c>
      <c r="C3" s="60"/>
      <c r="D3" s="60"/>
      <c r="E3" s="60"/>
      <c r="F3" s="60"/>
      <c r="G3" s="60"/>
      <c r="H3" s="60"/>
      <c r="I3" s="60"/>
      <c r="J3" s="60"/>
      <c r="K3" s="60"/>
      <c r="L3" s="60"/>
      <c r="M3" s="61"/>
      <c r="P3" s="59" t="s">
        <v>137</v>
      </c>
      <c r="Q3" s="60"/>
      <c r="R3" s="60"/>
      <c r="S3" s="61"/>
      <c r="CQ3" s="24">
        <v>0.99521086706175887</v>
      </c>
      <c r="CR3" s="24" t="str">
        <f>"1"</f>
        <v>1</v>
      </c>
      <c r="CS3" t="str">
        <f ca="1">IF((OFFSET($A$1, 3 - 1, 95 - 1)) &gt;= (OFFSET($A$1, 54 - 1, 7 - 1)), "1","0")</f>
        <v>1</v>
      </c>
      <c r="CT3">
        <f ca="1" xml:space="preserve"> IF( AND( OFFSET($A$1, 3 - 1, 96 - 1) = "1", OFFSET($A$1, 3 - 1, 97 - 1) = "1" ), 1, IF( AND( OFFSET($A$1, 3 - 1, 96 - 1) = "1", OFFSET($A$1, 3 - 1, 97 - 1) = "0" ), 2, IF( AND( OFFSET($A$1, 3 - 1, 96 - 1) = "0", OFFSET($A$1, 3 - 1, 97 - 1) = "1" ), 3, 4 ) ) )</f>
        <v>1</v>
      </c>
      <c r="CV3" s="24">
        <v>0.99357271271028869</v>
      </c>
      <c r="CW3" s="24" t="str">
        <f t="shared" si="0"/>
        <v>1</v>
      </c>
      <c r="CX3" t="str">
        <f ca="1">IF((OFFSET($A$1, 3 - 1, 100 - 1)) &gt;= (OFFSET($A$1, 78 - 1, 7 - 1)), "1","0")</f>
        <v>1</v>
      </c>
      <c r="CY3">
        <f ca="1" xml:space="preserve"> IF( AND( OFFSET($A$1, 3 - 1, 101 - 1) = "1", OFFSET($A$1, 3 - 1, 102 - 1) = "1" ), 1, IF( AND( OFFSET($A$1, 3 - 1, 101 - 1) = "1", OFFSET($A$1, 3 - 1, 102 - 1) = "0" ), 2, IF( AND( OFFSET($A$1, 3 - 1, 101 - 1) = "0", OFFSET($A$1, 3 - 1, 102 - 1) = "1" ), 3, 4 ) ) )</f>
        <v>1</v>
      </c>
    </row>
    <row r="4" spans="2:103" ht="13.8" x14ac:dyDescent="0.3">
      <c r="B4" s="65" t="s">
        <v>141</v>
      </c>
      <c r="C4" s="66"/>
      <c r="D4" s="65" t="s">
        <v>683</v>
      </c>
      <c r="E4" s="66"/>
      <c r="F4" s="65" t="s">
        <v>684</v>
      </c>
      <c r="G4" s="66"/>
      <c r="H4" s="65" t="s">
        <v>685</v>
      </c>
      <c r="I4" s="66"/>
      <c r="J4" s="65" t="s">
        <v>686</v>
      </c>
      <c r="K4" s="66"/>
      <c r="L4" s="65" t="s">
        <v>687</v>
      </c>
      <c r="M4" s="66"/>
      <c r="P4" s="26" t="s">
        <v>182</v>
      </c>
      <c r="Q4" s="26" t="s">
        <v>183</v>
      </c>
      <c r="R4" s="26" t="s">
        <v>139</v>
      </c>
      <c r="S4" s="26" t="s">
        <v>140</v>
      </c>
      <c r="CQ4" s="24">
        <v>1.636730345961419E-2</v>
      </c>
      <c r="CR4" s="24" t="str">
        <f>"0"</f>
        <v>0</v>
      </c>
      <c r="CS4" t="str">
        <f ca="1">IF((OFFSET($A$1, 4 - 1, 95 - 1)) &gt;= (OFFSET($A$1, 54 - 1, 7 - 1)), "1","0")</f>
        <v>0</v>
      </c>
      <c r="CT4">
        <f ca="1" xml:space="preserve"> IF( AND( OFFSET($A$1, 4 - 1, 96 - 1) = "1", OFFSET($A$1, 4 - 1, 97 - 1) = "1" ), 1, IF( AND( OFFSET($A$1, 4 - 1, 96 - 1) = "1", OFFSET($A$1, 4 - 1, 97 - 1) = "0" ), 2, IF( AND( OFFSET($A$1, 4 - 1, 96 - 1) = "0", OFFSET($A$1, 4 - 1, 97 - 1) = "1" ), 3, 4 ) ) )</f>
        <v>4</v>
      </c>
      <c r="CV4" s="24">
        <v>0.99975130709292026</v>
      </c>
      <c r="CW4" s="24" t="str">
        <f t="shared" si="0"/>
        <v>1</v>
      </c>
      <c r="CX4" t="str">
        <f ca="1">IF((OFFSET($A$1, 4 - 1, 100 - 1)) &gt;= (OFFSET($A$1, 78 - 1, 7 - 1)), "1","0")</f>
        <v>1</v>
      </c>
      <c r="CY4">
        <f ca="1" xml:space="preserve"> IF( AND( OFFSET($A$1, 4 - 1, 101 - 1) = "1", OFFSET($A$1, 4 - 1, 102 - 1) = "1" ), 1, IF( AND( OFFSET($A$1, 4 - 1, 101 - 1) = "1", OFFSET($A$1, 4 - 1, 102 - 1) = "0" ), 2, IF( AND( OFFSET($A$1, 4 - 1, 101 - 1) = "0", OFFSET($A$1, 4 - 1, 102 - 1) = "1" ), 3, 4 ) ) )</f>
        <v>1</v>
      </c>
    </row>
    <row r="5" spans="2:103" ht="13.8" x14ac:dyDescent="0.3">
      <c r="P5" s="24">
        <v>47</v>
      </c>
      <c r="Q5" s="24">
        <v>218</v>
      </c>
      <c r="R5" s="24">
        <v>109</v>
      </c>
      <c r="S5" s="24">
        <v>374</v>
      </c>
      <c r="CQ5" s="24">
        <v>2.7968244507222007E-3</v>
      </c>
      <c r="CR5" s="24" t="str">
        <f>"0"</f>
        <v>0</v>
      </c>
      <c r="CS5" t="str">
        <f ca="1">IF((OFFSET($A$1, 5 - 1, 95 - 1)) &gt;= (OFFSET($A$1, 54 - 1, 7 - 1)), "1","0")</f>
        <v>0</v>
      </c>
      <c r="CT5">
        <f ca="1" xml:space="preserve"> IF( AND( OFFSET($A$1, 5 - 1, 96 - 1) = "1", OFFSET($A$1, 5 - 1, 97 - 1) = "1" ), 1, IF( AND( OFFSET($A$1, 5 - 1, 96 - 1) = "1", OFFSET($A$1, 5 - 1, 97 - 1) = "0" ), 2, IF( AND( OFFSET($A$1, 5 - 1, 96 - 1) = "0", OFFSET($A$1, 5 - 1, 97 - 1) = "1" ), 3, 4 ) ) )</f>
        <v>4</v>
      </c>
      <c r="CV5" s="24">
        <v>0.9784363490389022</v>
      </c>
      <c r="CW5" s="24" t="str">
        <f t="shared" si="0"/>
        <v>1</v>
      </c>
      <c r="CX5" t="str">
        <f ca="1">IF((OFFSET($A$1, 5 - 1, 100 - 1)) &gt;= (OFFSET($A$1, 78 - 1, 7 - 1)), "1","0")</f>
        <v>1</v>
      </c>
      <c r="CY5">
        <f ca="1" xml:space="preserve"> IF( AND( OFFSET($A$1, 5 - 1, 101 - 1) = "1", OFFSET($A$1, 5 - 1, 102 - 1) = "1" ), 1, IF( AND( OFFSET($A$1, 5 - 1, 101 - 1) = "1", OFFSET($A$1, 5 - 1, 102 - 1) = "0" ), 2, IF( AND( OFFSET($A$1, 5 - 1, 101 - 1) = "0", OFFSET($A$1, 5 - 1, 102 - 1) = "1" ), 3, 4 ) ) )</f>
        <v>1</v>
      </c>
    </row>
    <row r="6" spans="2:103" ht="13.8" x14ac:dyDescent="0.3">
      <c r="CQ6" s="24">
        <v>0.81930325989901487</v>
      </c>
      <c r="CR6" s="24" t="str">
        <f>"1"</f>
        <v>1</v>
      </c>
      <c r="CS6" t="str">
        <f ca="1">IF((OFFSET($A$1, 6 - 1, 95 - 1)) &gt;= (OFFSET($A$1, 54 - 1, 7 - 1)), "1","0")</f>
        <v>1</v>
      </c>
      <c r="CT6">
        <f ca="1" xml:space="preserve"> IF( AND( OFFSET($A$1, 6 - 1, 96 - 1) = "1", OFFSET($A$1, 6 - 1, 97 - 1) = "1" ), 1, IF( AND( OFFSET($A$1, 6 - 1, 96 - 1) = "1", OFFSET($A$1, 6 - 1, 97 - 1) = "0" ), 2, IF( AND( OFFSET($A$1, 6 - 1, 96 - 1) = "0", OFFSET($A$1, 6 - 1, 97 - 1) = "1" ), 3, 4 ) ) )</f>
        <v>1</v>
      </c>
      <c r="CV6" s="24">
        <v>0.99990041682744524</v>
      </c>
      <c r="CW6" s="24" t="str">
        <f t="shared" si="0"/>
        <v>1</v>
      </c>
      <c r="CX6" t="str">
        <f ca="1">IF((OFFSET($A$1, 6 - 1, 100 - 1)) &gt;= (OFFSET($A$1, 78 - 1, 7 - 1)), "1","0")</f>
        <v>1</v>
      </c>
      <c r="CY6">
        <f ca="1" xml:space="preserve"> IF( AND( OFFSET($A$1, 6 - 1, 101 - 1) = "1", OFFSET($A$1, 6 - 1, 102 - 1) = "1" ), 1, IF( AND( OFFSET($A$1, 6 - 1, 101 - 1) = "1", OFFSET($A$1, 6 - 1, 102 - 1) = "0" ), 2, IF( AND( OFFSET($A$1, 6 - 1, 101 - 1) = "0", OFFSET($A$1, 6 - 1, 102 - 1) = "1" ), 3, 4 ) ) )</f>
        <v>1</v>
      </c>
    </row>
    <row r="7" spans="2:103" ht="13.8" x14ac:dyDescent="0.3">
      <c r="CQ7" s="24">
        <v>1.5374875392284487E-3</v>
      </c>
      <c r="CR7" s="24" t="str">
        <f>"0"</f>
        <v>0</v>
      </c>
      <c r="CS7" t="str">
        <f ca="1">IF((OFFSET($A$1, 7 - 1, 95 - 1)) &gt;= (OFFSET($A$1, 54 - 1, 7 - 1)), "1","0")</f>
        <v>0</v>
      </c>
      <c r="CT7">
        <f ca="1" xml:space="preserve"> IF( AND( OFFSET($A$1, 7 - 1, 96 - 1) = "1", OFFSET($A$1, 7 - 1, 97 - 1) = "1" ), 1, IF( AND( OFFSET($A$1, 7 - 1, 96 - 1) = "1", OFFSET($A$1, 7 - 1, 97 - 1) = "0" ), 2, IF( AND( OFFSET($A$1, 7 - 1, 96 - 1) = "0", OFFSET($A$1, 7 - 1, 97 - 1) = "1" ), 3, 4 ) ) )</f>
        <v>4</v>
      </c>
      <c r="CV7" s="24">
        <v>0.69896023521749351</v>
      </c>
      <c r="CW7" s="24" t="str">
        <f t="shared" si="0"/>
        <v>1</v>
      </c>
      <c r="CX7" t="str">
        <f ca="1">IF((OFFSET($A$1, 7 - 1, 100 - 1)) &gt;= (OFFSET($A$1, 78 - 1, 7 - 1)), "1","0")</f>
        <v>1</v>
      </c>
      <c r="CY7">
        <f ca="1" xml:space="preserve"> IF( AND( OFFSET($A$1, 7 - 1, 101 - 1) = "1", OFFSET($A$1, 7 - 1, 102 - 1) = "1" ), 1, IF( AND( OFFSET($A$1, 7 - 1, 101 - 1) = "1", OFFSET($A$1, 7 - 1, 102 - 1) = "0" ), 2, IF( AND( OFFSET($A$1, 7 - 1, 101 - 1) = "0", OFFSET($A$1, 7 - 1, 102 - 1) = "1" ), 3, 4 ) ) )</f>
        <v>1</v>
      </c>
    </row>
    <row r="8" spans="2:103" ht="13.8" x14ac:dyDescent="0.3">
      <c r="CQ8" s="24">
        <v>0.8302875474560818</v>
      </c>
      <c r="CR8" s="24" t="str">
        <f t="shared" ref="CR8:CR24" si="1">"1"</f>
        <v>1</v>
      </c>
      <c r="CS8" t="str">
        <f ca="1">IF((OFFSET($A$1, 8 - 1, 95 - 1)) &gt;= (OFFSET($A$1, 54 - 1, 7 - 1)), "1","0")</f>
        <v>1</v>
      </c>
      <c r="CT8">
        <f ca="1" xml:space="preserve"> IF( AND( OFFSET($A$1, 8 - 1, 96 - 1) = "1", OFFSET($A$1, 8 - 1, 97 - 1) = "1" ), 1, IF( AND( OFFSET($A$1, 8 - 1, 96 - 1) = "1", OFFSET($A$1, 8 - 1, 97 - 1) = "0" ), 2, IF( AND( OFFSET($A$1, 8 - 1, 96 - 1) = "0", OFFSET($A$1, 8 - 1, 97 - 1) = "1" ), 3, 4 ) ) )</f>
        <v>1</v>
      </c>
      <c r="CV8" s="24">
        <v>0.99934340556616563</v>
      </c>
      <c r="CW8" s="24" t="str">
        <f t="shared" si="0"/>
        <v>1</v>
      </c>
      <c r="CX8" t="str">
        <f ca="1">IF((OFFSET($A$1, 8 - 1, 100 - 1)) &gt;= (OFFSET($A$1, 78 - 1, 7 - 1)), "1","0")</f>
        <v>1</v>
      </c>
      <c r="CY8">
        <f ca="1" xml:space="preserve"> IF( AND( OFFSET($A$1, 8 - 1, 101 - 1) = "1", OFFSET($A$1, 8 - 1, 102 - 1) = "1" ), 1, IF( AND( OFFSET($A$1, 8 - 1, 101 - 1) = "1", OFFSET($A$1, 8 - 1, 102 - 1) = "0" ), 2, IF( AND( OFFSET($A$1, 8 - 1, 101 - 1) = "0", OFFSET($A$1, 8 - 1, 102 - 1) = "1" ), 3, 4 ) ) )</f>
        <v>1</v>
      </c>
    </row>
    <row r="9" spans="2:103" ht="13.8" x14ac:dyDescent="0.3">
      <c r="CQ9" s="24">
        <v>0.95873544136437172</v>
      </c>
      <c r="CR9" s="24" t="str">
        <f t="shared" si="1"/>
        <v>1</v>
      </c>
      <c r="CS9" t="str">
        <f ca="1">IF((OFFSET($A$1, 9 - 1, 95 - 1)) &gt;= (OFFSET($A$1, 54 - 1, 7 - 1)), "1","0")</f>
        <v>1</v>
      </c>
      <c r="CT9">
        <f ca="1" xml:space="preserve"> IF( AND( OFFSET($A$1, 9 - 1, 96 - 1) = "1", OFFSET($A$1, 9 - 1, 97 - 1) = "1" ), 1, IF( AND( OFFSET($A$1, 9 - 1, 96 - 1) = "1", OFFSET($A$1, 9 - 1, 97 - 1) = "0" ), 2, IF( AND( OFFSET($A$1, 9 - 1, 96 - 1) = "0", OFFSET($A$1, 9 - 1, 97 - 1) = "1" ), 3, 4 ) ) )</f>
        <v>1</v>
      </c>
      <c r="CV9" s="24">
        <v>0.999517142315969</v>
      </c>
      <c r="CW9" s="24" t="str">
        <f t="shared" si="0"/>
        <v>1</v>
      </c>
      <c r="CX9" t="str">
        <f ca="1">IF((OFFSET($A$1, 9 - 1, 100 - 1)) &gt;= (OFFSET($A$1, 78 - 1, 7 - 1)), "1","0")</f>
        <v>1</v>
      </c>
      <c r="CY9">
        <f ca="1" xml:space="preserve"> IF( AND( OFFSET($A$1, 9 - 1, 101 - 1) = "1", OFFSET($A$1, 9 - 1, 102 - 1) = "1" ), 1, IF( AND( OFFSET($A$1, 9 - 1, 101 - 1) = "1", OFFSET($A$1, 9 - 1, 102 - 1) = "0" ), 2, IF( AND( OFFSET($A$1, 9 - 1, 101 - 1) = "0", OFFSET($A$1, 9 - 1, 102 - 1) = "1" ), 3, 4 ) ) )</f>
        <v>1</v>
      </c>
    </row>
    <row r="10" spans="2:103" ht="18" x14ac:dyDescent="0.35">
      <c r="B10" s="22" t="s">
        <v>141</v>
      </c>
      <c r="CQ10" s="24">
        <v>0.99999830428048919</v>
      </c>
      <c r="CR10" s="24" t="str">
        <f t="shared" si="1"/>
        <v>1</v>
      </c>
      <c r="CS10" t="str">
        <f ca="1">IF((OFFSET($A$1, 10 - 1, 95 - 1)) &gt;= (OFFSET($A$1, 54 - 1, 7 - 1)), "1","0")</f>
        <v>1</v>
      </c>
      <c r="CT10">
        <f ca="1" xml:space="preserve"> IF( AND( OFFSET($A$1, 10 - 1, 96 - 1) = "1", OFFSET($A$1, 10 - 1, 97 - 1) = "1" ), 1, IF( AND( OFFSET($A$1, 10 - 1, 96 - 1) = "1", OFFSET($A$1, 10 - 1, 97 - 1) = "0" ), 2, IF( AND( OFFSET($A$1, 10 - 1, 96 - 1) = "0", OFFSET($A$1, 10 - 1, 97 - 1) = "1" ), 3, 4 ) ) )</f>
        <v>1</v>
      </c>
      <c r="CV10" s="24">
        <v>0.99870749468157349</v>
      </c>
      <c r="CW10" s="24" t="str">
        <f t="shared" si="0"/>
        <v>1</v>
      </c>
      <c r="CX10" t="str">
        <f ca="1">IF((OFFSET($A$1, 10 - 1, 100 - 1)) &gt;= (OFFSET($A$1, 78 - 1, 7 - 1)), "1","0")</f>
        <v>1</v>
      </c>
      <c r="CY10">
        <f ca="1" xml:space="preserve"> IF( AND( OFFSET($A$1, 10 - 1, 101 - 1) = "1", OFFSET($A$1, 10 - 1, 102 - 1) = "1" ), 1, IF( AND( OFFSET($A$1, 10 - 1, 101 - 1) = "1", OFFSET($A$1, 10 - 1, 102 - 1) = "0" ), 2, IF( AND( OFFSET($A$1, 10 - 1, 101 - 1) = "0", OFFSET($A$1, 10 - 1, 102 - 1) = "1" ), 3, 4 ) ) )</f>
        <v>1</v>
      </c>
    </row>
    <row r="11" spans="2:103" ht="13.8" x14ac:dyDescent="0.3">
      <c r="CQ11" s="24">
        <v>0.99979768158054483</v>
      </c>
      <c r="CR11" s="24" t="str">
        <f t="shared" si="1"/>
        <v>1</v>
      </c>
      <c r="CS11" t="str">
        <f ca="1">IF((OFFSET($A$1, 11 - 1, 95 - 1)) &gt;= (OFFSET($A$1, 54 - 1, 7 - 1)), "1","0")</f>
        <v>1</v>
      </c>
      <c r="CT11">
        <f ca="1" xml:space="preserve"> IF( AND( OFFSET($A$1, 11 - 1, 96 - 1) = "1", OFFSET($A$1, 11 - 1, 97 - 1) = "1" ), 1, IF( AND( OFFSET($A$1, 11 - 1, 96 - 1) = "1", OFFSET($A$1, 11 - 1, 97 - 1) = "0" ), 2, IF( AND( OFFSET($A$1, 11 - 1, 96 - 1) = "0", OFFSET($A$1, 11 - 1, 97 - 1) = "1" ), 3, 4 ) ) )</f>
        <v>1</v>
      </c>
      <c r="CV11" s="24">
        <v>0.95584840547971761</v>
      </c>
      <c r="CW11" s="24" t="str">
        <f>"0"</f>
        <v>0</v>
      </c>
      <c r="CX11" t="str">
        <f ca="1">IF((OFFSET($A$1, 11 - 1, 100 - 1)) &gt;= (OFFSET($A$1, 78 - 1, 7 - 1)), "1","0")</f>
        <v>1</v>
      </c>
      <c r="CY11">
        <f ca="1" xml:space="preserve"> IF( AND( OFFSET($A$1, 11 - 1, 101 - 1) = "1", OFFSET($A$1, 11 - 1, 102 - 1) = "1" ), 1, IF( AND( OFFSET($A$1, 11 - 1, 101 - 1) = "1", OFFSET($A$1, 11 - 1, 102 - 1) = "0" ), 2, IF( AND( OFFSET($A$1, 11 - 1, 101 - 1) = "0", OFFSET($A$1, 11 - 1, 102 - 1) = "1" ), 3, 4 ) ) )</f>
        <v>3</v>
      </c>
    </row>
    <row r="12" spans="2:103" ht="15.6" x14ac:dyDescent="0.3">
      <c r="C12" s="59" t="s">
        <v>142</v>
      </c>
      <c r="D12" s="60"/>
      <c r="E12" s="60"/>
      <c r="F12" s="60"/>
      <c r="G12" s="60"/>
      <c r="H12" s="60"/>
      <c r="I12" s="60"/>
      <c r="J12" s="60"/>
      <c r="K12" s="61"/>
      <c r="CQ12" s="24">
        <v>0.99996707346320546</v>
      </c>
      <c r="CR12" s="24" t="str">
        <f t="shared" si="1"/>
        <v>1</v>
      </c>
      <c r="CS12" t="str">
        <f ca="1">IF((OFFSET($A$1, 12 - 1, 95 - 1)) &gt;= (OFFSET($A$1, 54 - 1, 7 - 1)), "1","0")</f>
        <v>1</v>
      </c>
      <c r="CT12">
        <f ca="1" xml:space="preserve"> IF( AND( OFFSET($A$1, 12 - 1, 96 - 1) = "1", OFFSET($A$1, 12 - 1, 97 - 1) = "1" ), 1, IF( AND( OFFSET($A$1, 12 - 1, 96 - 1) = "1", OFFSET($A$1, 12 - 1, 97 - 1) = "0" ), 2, IF( AND( OFFSET($A$1, 12 - 1, 96 - 1) = "0", OFFSET($A$1, 12 - 1, 97 - 1) = "1" ), 3, 4 ) ) )</f>
        <v>1</v>
      </c>
      <c r="CV12" s="24">
        <v>0.9999613338161758</v>
      </c>
      <c r="CW12" s="24" t="str">
        <f>"1"</f>
        <v>1</v>
      </c>
      <c r="CX12" t="str">
        <f ca="1">IF((OFFSET($A$1, 12 - 1, 100 - 1)) &gt;= (OFFSET($A$1, 78 - 1, 7 - 1)), "1","0")</f>
        <v>1</v>
      </c>
      <c r="CY12">
        <f ca="1" xml:space="preserve"> IF( AND( OFFSET($A$1, 12 - 1, 101 - 1) = "1", OFFSET($A$1, 12 - 1, 102 - 1) = "1" ), 1, IF( AND( OFFSET($A$1, 12 - 1, 101 - 1) = "1", OFFSET($A$1, 12 - 1, 102 - 1) = "0" ), 2, IF( AND( OFFSET($A$1, 12 - 1, 101 - 1) = "0", OFFSET($A$1, 12 - 1, 102 - 1) = "1" ), 3, 4 ) ) )</f>
        <v>1</v>
      </c>
    </row>
    <row r="13" spans="2:103" ht="13.8" x14ac:dyDescent="0.3">
      <c r="C13" s="62" t="s">
        <v>143</v>
      </c>
      <c r="D13" s="63"/>
      <c r="E13" s="63"/>
      <c r="F13" s="64"/>
      <c r="G13" s="69" t="s">
        <v>144</v>
      </c>
      <c r="H13" s="70"/>
      <c r="I13" s="70"/>
      <c r="J13" s="70"/>
      <c r="K13" s="71"/>
      <c r="CQ13" s="24">
        <v>0.99158421613834835</v>
      </c>
      <c r="CR13" s="24" t="str">
        <f t="shared" si="1"/>
        <v>1</v>
      </c>
      <c r="CS13" t="str">
        <f ca="1">IF((OFFSET($A$1, 13 - 1, 95 - 1)) &gt;= (OFFSET($A$1, 54 - 1, 7 - 1)), "1","0")</f>
        <v>1</v>
      </c>
      <c r="CT13">
        <f ca="1" xml:space="preserve"> IF( AND( OFFSET($A$1, 13 - 1, 96 - 1) = "1", OFFSET($A$1, 13 - 1, 97 - 1) = "1" ), 1, IF( AND( OFFSET($A$1, 13 - 1, 96 - 1) = "1", OFFSET($A$1, 13 - 1, 97 - 1) = "0" ), 2, IF( AND( OFFSET($A$1, 13 - 1, 96 - 1) = "0", OFFSET($A$1, 13 - 1, 97 - 1) = "1" ), 3, 4 ) ) )</f>
        <v>1</v>
      </c>
      <c r="CV13" s="24">
        <v>0.99984811431554543</v>
      </c>
      <c r="CW13" s="24" t="str">
        <f>"1"</f>
        <v>1</v>
      </c>
      <c r="CX13" t="str">
        <f ca="1">IF((OFFSET($A$1, 13 - 1, 100 - 1)) &gt;= (OFFSET($A$1, 78 - 1, 7 - 1)), "1","0")</f>
        <v>1</v>
      </c>
      <c r="CY13">
        <f ca="1" xml:space="preserve"> IF( AND( OFFSET($A$1, 13 - 1, 101 - 1) = "1", OFFSET($A$1, 13 - 1, 102 - 1) = "1" ), 1, IF( AND( OFFSET($A$1, 13 - 1, 101 - 1) = "1", OFFSET($A$1, 13 - 1, 102 - 1) = "0" ), 2, IF( AND( OFFSET($A$1, 13 - 1, 101 - 1) = "0", OFFSET($A$1, 13 - 1, 102 - 1) = "1" ), 3, 4 ) ) )</f>
        <v>1</v>
      </c>
    </row>
    <row r="14" spans="2:103" ht="13.8" x14ac:dyDescent="0.3">
      <c r="C14" s="62" t="s">
        <v>145</v>
      </c>
      <c r="D14" s="63"/>
      <c r="E14" s="63"/>
      <c r="F14" s="64"/>
      <c r="G14" s="69" t="s">
        <v>184</v>
      </c>
      <c r="H14" s="70"/>
      <c r="I14" s="70"/>
      <c r="J14" s="70"/>
      <c r="K14" s="71"/>
      <c r="CQ14" s="24">
        <v>0.99999664741239247</v>
      </c>
      <c r="CR14" s="24" t="str">
        <f t="shared" si="1"/>
        <v>1</v>
      </c>
      <c r="CS14" t="str">
        <f ca="1">IF((OFFSET($A$1, 14 - 1, 95 - 1)) &gt;= (OFFSET($A$1, 54 - 1, 7 - 1)), "1","0")</f>
        <v>1</v>
      </c>
      <c r="CT14">
        <f ca="1" xml:space="preserve"> IF( AND( OFFSET($A$1, 14 - 1, 96 - 1) = "1", OFFSET($A$1, 14 - 1, 97 - 1) = "1" ), 1, IF( AND( OFFSET($A$1, 14 - 1, 96 - 1) = "1", OFFSET($A$1, 14 - 1, 97 - 1) = "0" ), 2, IF( AND( OFFSET($A$1, 14 - 1, 96 - 1) = "0", OFFSET($A$1, 14 - 1, 97 - 1) = "1" ), 3, 4 ) ) )</f>
        <v>1</v>
      </c>
      <c r="CV14" s="24">
        <v>0.98798281753567263</v>
      </c>
      <c r="CW14" s="24" t="str">
        <f>"0"</f>
        <v>0</v>
      </c>
      <c r="CX14" t="str">
        <f ca="1">IF((OFFSET($A$1, 14 - 1, 100 - 1)) &gt;= (OFFSET($A$1, 78 - 1, 7 - 1)), "1","0")</f>
        <v>1</v>
      </c>
      <c r="CY14">
        <f ca="1" xml:space="preserve"> IF( AND( OFFSET($A$1, 14 - 1, 101 - 1) = "1", OFFSET($A$1, 14 - 1, 102 - 1) = "1" ), 1, IF( AND( OFFSET($A$1, 14 - 1, 101 - 1) = "1", OFFSET($A$1, 14 - 1, 102 - 1) = "0" ), 2, IF( AND( OFFSET($A$1, 14 - 1, 101 - 1) = "0", OFFSET($A$1, 14 - 1, 102 - 1) = "1" ), 3, 4 ) ) )</f>
        <v>3</v>
      </c>
    </row>
    <row r="15" spans="2:103" ht="13.8" x14ac:dyDescent="0.3">
      <c r="C15" s="62" t="s">
        <v>185</v>
      </c>
      <c r="D15" s="63"/>
      <c r="E15" s="63"/>
      <c r="F15" s="64"/>
      <c r="G15" s="69">
        <v>600</v>
      </c>
      <c r="H15" s="70"/>
      <c r="I15" s="70"/>
      <c r="J15" s="70"/>
      <c r="K15" s="71"/>
      <c r="CQ15" s="24">
        <v>0.99300526177396642</v>
      </c>
      <c r="CR15" s="24" t="str">
        <f t="shared" si="1"/>
        <v>1</v>
      </c>
      <c r="CS15" t="str">
        <f ca="1">IF((OFFSET($A$1, 15 - 1, 95 - 1)) &gt;= (OFFSET($A$1, 54 - 1, 7 - 1)), "1","0")</f>
        <v>1</v>
      </c>
      <c r="CT15">
        <f ca="1" xml:space="preserve"> IF( AND( OFFSET($A$1, 15 - 1, 96 - 1) = "1", OFFSET($A$1, 15 - 1, 97 - 1) = "1" ), 1, IF( AND( OFFSET($A$1, 15 - 1, 96 - 1) = "1", OFFSET($A$1, 15 - 1, 97 - 1) = "0" ), 2, IF( AND( OFFSET($A$1, 15 - 1, 96 - 1) = "0", OFFSET($A$1, 15 - 1, 97 - 1) = "1" ), 3, 4 ) ) )</f>
        <v>1</v>
      </c>
      <c r="CV15" s="24">
        <v>0.88968995136519347</v>
      </c>
      <c r="CW15" s="24" t="str">
        <f>"1"</f>
        <v>1</v>
      </c>
      <c r="CX15" t="str">
        <f ca="1">IF((OFFSET($A$1, 15 - 1, 100 - 1)) &gt;= (OFFSET($A$1, 78 - 1, 7 - 1)), "1","0")</f>
        <v>1</v>
      </c>
      <c r="CY15">
        <f ca="1" xml:space="preserve"> IF( AND( OFFSET($A$1, 15 - 1, 101 - 1) = "1", OFFSET($A$1, 15 - 1, 102 - 1) = "1" ), 1, IF( AND( OFFSET($A$1, 15 - 1, 101 - 1) = "1", OFFSET($A$1, 15 - 1, 102 - 1) = "0" ), 2, IF( AND( OFFSET($A$1, 15 - 1, 101 - 1) = "0", OFFSET($A$1, 15 - 1, 102 - 1) = "1" ), 3, 4 ) ) )</f>
        <v>1</v>
      </c>
    </row>
    <row r="16" spans="2:103" ht="13.8" x14ac:dyDescent="0.3">
      <c r="C16" s="62" t="s">
        <v>186</v>
      </c>
      <c r="D16" s="63"/>
      <c r="E16" s="63"/>
      <c r="F16" s="64"/>
      <c r="G16" s="69">
        <v>400</v>
      </c>
      <c r="H16" s="70"/>
      <c r="I16" s="70"/>
      <c r="J16" s="70"/>
      <c r="K16" s="71"/>
      <c r="CQ16" s="24">
        <v>0.99975720042117866</v>
      </c>
      <c r="CR16" s="24" t="str">
        <f t="shared" si="1"/>
        <v>1</v>
      </c>
      <c r="CS16" t="str">
        <f ca="1">IF((OFFSET($A$1, 16 - 1, 95 - 1)) &gt;= (OFFSET($A$1, 54 - 1, 7 - 1)), "1","0")</f>
        <v>1</v>
      </c>
      <c r="CT16">
        <f ca="1" xml:space="preserve"> IF( AND( OFFSET($A$1, 16 - 1, 96 - 1) = "1", OFFSET($A$1, 16 - 1, 97 - 1) = "1" ), 1, IF( AND( OFFSET($A$1, 16 - 1, 96 - 1) = "1", OFFSET($A$1, 16 - 1, 97 - 1) = "0" ), 2, IF( AND( OFFSET($A$1, 16 - 1, 96 - 1) = "0", OFFSET($A$1, 16 - 1, 97 - 1) = "1" ), 3, 4 ) ) )</f>
        <v>1</v>
      </c>
      <c r="CV16" s="24">
        <v>0.99984903701107442</v>
      </c>
      <c r="CW16" s="24" t="str">
        <f>"1"</f>
        <v>1</v>
      </c>
      <c r="CX16" t="str">
        <f ca="1">IF((OFFSET($A$1, 16 - 1, 100 - 1)) &gt;= (OFFSET($A$1, 78 - 1, 7 - 1)), "1","0")</f>
        <v>1</v>
      </c>
      <c r="CY16">
        <f ca="1" xml:space="preserve"> IF( AND( OFFSET($A$1, 16 - 1, 101 - 1) = "1", OFFSET($A$1, 16 - 1, 102 - 1) = "1" ), 1, IF( AND( OFFSET($A$1, 16 - 1, 101 - 1) = "1", OFFSET($A$1, 16 - 1, 102 - 1) = "0" ), 2, IF( AND( OFFSET($A$1, 16 - 1, 101 - 1) = "0", OFFSET($A$1, 16 - 1, 102 - 1) = "1" ), 3, 4 ) ) )</f>
        <v>1</v>
      </c>
    </row>
    <row r="17" spans="3:103" ht="13.8" x14ac:dyDescent="0.3">
      <c r="CQ17" s="24">
        <v>0.99982420156051677</v>
      </c>
      <c r="CR17" s="24" t="str">
        <f t="shared" si="1"/>
        <v>1</v>
      </c>
      <c r="CS17" t="str">
        <f ca="1">IF((OFFSET($A$1, 17 - 1, 95 - 1)) &gt;= (OFFSET($A$1, 54 - 1, 7 - 1)), "1","0")</f>
        <v>1</v>
      </c>
      <c r="CT17">
        <f ca="1" xml:space="preserve"> IF( AND( OFFSET($A$1, 17 - 1, 96 - 1) = "1", OFFSET($A$1, 17 - 1, 97 - 1) = "1" ), 1, IF( AND( OFFSET($A$1, 17 - 1, 96 - 1) = "1", OFFSET($A$1, 17 - 1, 97 - 1) = "0" ), 2, IF( AND( OFFSET($A$1, 17 - 1, 96 - 1) = "0", OFFSET($A$1, 17 - 1, 97 - 1) = "1" ), 3, 4 ) ) )</f>
        <v>1</v>
      </c>
      <c r="CV17" s="24">
        <v>0.9612025805913762</v>
      </c>
      <c r="CW17" s="24" t="str">
        <f>"1"</f>
        <v>1</v>
      </c>
      <c r="CX17" t="str">
        <f ca="1">IF((OFFSET($A$1, 17 - 1, 100 - 1)) &gt;= (OFFSET($A$1, 78 - 1, 7 - 1)), "1","0")</f>
        <v>1</v>
      </c>
      <c r="CY17">
        <f ca="1" xml:space="preserve"> IF( AND( OFFSET($A$1, 17 - 1, 101 - 1) = "1", OFFSET($A$1, 17 - 1, 102 - 1) = "1" ), 1, IF( AND( OFFSET($A$1, 17 - 1, 101 - 1) = "1", OFFSET($A$1, 17 - 1, 102 - 1) = "0" ), 2, IF( AND( OFFSET($A$1, 17 - 1, 101 - 1) = "0", OFFSET($A$1, 17 - 1, 102 - 1) = "1" ), 3, 4 ) ) )</f>
        <v>1</v>
      </c>
    </row>
    <row r="18" spans="3:103" ht="15.6" x14ac:dyDescent="0.3">
      <c r="C18" s="59" t="s">
        <v>187</v>
      </c>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1"/>
      <c r="CQ18" s="24">
        <v>0.88496540002065227</v>
      </c>
      <c r="CR18" s="24" t="str">
        <f t="shared" si="1"/>
        <v>1</v>
      </c>
      <c r="CS18" t="str">
        <f ca="1">IF((OFFSET($A$1, 18 - 1, 95 - 1)) &gt;= (OFFSET($A$1, 54 - 1, 7 - 1)), "1","0")</f>
        <v>1</v>
      </c>
      <c r="CT18">
        <f ca="1" xml:space="preserve"> IF( AND( OFFSET($A$1, 18 - 1, 96 - 1) = "1", OFFSET($A$1, 18 - 1, 97 - 1) = "1" ), 1, IF( AND( OFFSET($A$1, 18 - 1, 96 - 1) = "1", OFFSET($A$1, 18 - 1, 97 - 1) = "0" ), 2, IF( AND( OFFSET($A$1, 18 - 1, 96 - 1) = "0", OFFSET($A$1, 18 - 1, 97 - 1) = "1" ), 3, 4 ) ) )</f>
        <v>1</v>
      </c>
      <c r="CV18" s="24">
        <v>0.9999879638032485</v>
      </c>
      <c r="CW18" s="24" t="str">
        <f>"0"</f>
        <v>0</v>
      </c>
      <c r="CX18" t="str">
        <f ca="1">IF((OFFSET($A$1, 18 - 1, 100 - 1)) &gt;= (OFFSET($A$1, 78 - 1, 7 - 1)), "1","0")</f>
        <v>1</v>
      </c>
      <c r="CY18">
        <f ca="1" xml:space="preserve"> IF( AND( OFFSET($A$1, 18 - 1, 101 - 1) = "1", OFFSET($A$1, 18 - 1, 102 - 1) = "1" ), 1, IF( AND( OFFSET($A$1, 18 - 1, 101 - 1) = "1", OFFSET($A$1, 18 - 1, 102 - 1) = "0" ), 2, IF( AND( OFFSET($A$1, 18 - 1, 101 - 1) = "0", OFFSET($A$1, 18 - 1, 102 - 1) = "1" ), 3, 4 ) ) )</f>
        <v>3</v>
      </c>
    </row>
    <row r="19" spans="3:103" ht="13.8" x14ac:dyDescent="0.3">
      <c r="C19" s="62" t="s">
        <v>188</v>
      </c>
      <c r="D19" s="64"/>
      <c r="E19" s="69">
        <v>45</v>
      </c>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1"/>
      <c r="CQ19" s="24">
        <v>0.96867939922156299</v>
      </c>
      <c r="CR19" s="24" t="str">
        <f t="shared" si="1"/>
        <v>1</v>
      </c>
      <c r="CS19" t="str">
        <f ca="1">IF((OFFSET($A$1, 19 - 1, 95 - 1)) &gt;= (OFFSET($A$1, 54 - 1, 7 - 1)), "1","0")</f>
        <v>1</v>
      </c>
      <c r="CT19">
        <f ca="1" xml:space="preserve"> IF( AND( OFFSET($A$1, 19 - 1, 96 - 1) = "1", OFFSET($A$1, 19 - 1, 97 - 1) = "1" ), 1, IF( AND( OFFSET($A$1, 19 - 1, 96 - 1) = "1", OFFSET($A$1, 19 - 1, 97 - 1) = "0" ), 2, IF( AND( OFFSET($A$1, 19 - 1, 96 - 1) = "0", OFFSET($A$1, 19 - 1, 97 - 1) = "1" ), 3, 4 ) ) )</f>
        <v>1</v>
      </c>
      <c r="CV19" s="24">
        <v>0.39584230051406116</v>
      </c>
      <c r="CW19" s="24" t="str">
        <f t="shared" ref="CW19:CW24" si="2">"1"</f>
        <v>1</v>
      </c>
      <c r="CX19" t="str">
        <f ca="1">IF((OFFSET($A$1, 19 - 1, 100 - 1)) &gt;= (OFFSET($A$1, 78 - 1, 7 - 1)), "1","0")</f>
        <v>0</v>
      </c>
      <c r="CY19">
        <f ca="1" xml:space="preserve"> IF( AND( OFFSET($A$1, 19 - 1, 101 - 1) = "1", OFFSET($A$1, 19 - 1, 102 - 1) = "1" ), 1, IF( AND( OFFSET($A$1, 19 - 1, 101 - 1) = "1", OFFSET($A$1, 19 - 1, 102 - 1) = "0" ), 2, IF( AND( OFFSET($A$1, 19 - 1, 101 - 1) = "0", OFFSET($A$1, 19 - 1, 102 - 1) = "1" ), 3, 4 ) ) )</f>
        <v>2</v>
      </c>
    </row>
    <row r="20" spans="3:103" ht="13.8" x14ac:dyDescent="0.3">
      <c r="C20" s="62" t="s">
        <v>189</v>
      </c>
      <c r="D20" s="64"/>
      <c r="E20" s="24" t="s">
        <v>0</v>
      </c>
      <c r="F20" s="24" t="s">
        <v>68</v>
      </c>
      <c r="G20" s="24" t="s">
        <v>69</v>
      </c>
      <c r="H20" s="24" t="s">
        <v>70</v>
      </c>
      <c r="I20" s="24" t="s">
        <v>71</v>
      </c>
      <c r="J20" s="24" t="s">
        <v>81</v>
      </c>
      <c r="K20" s="24" t="s">
        <v>72</v>
      </c>
      <c r="L20" s="24" t="s">
        <v>2</v>
      </c>
      <c r="M20" s="24" t="s">
        <v>6</v>
      </c>
      <c r="N20" s="24" t="s">
        <v>74</v>
      </c>
      <c r="O20" s="24" t="s">
        <v>75</v>
      </c>
      <c r="P20" s="24" t="s">
        <v>76</v>
      </c>
      <c r="Q20" s="24" t="s">
        <v>73</v>
      </c>
      <c r="R20" s="24" t="s">
        <v>77</v>
      </c>
      <c r="S20" s="24" t="s">
        <v>78</v>
      </c>
      <c r="T20" s="24" t="s">
        <v>82</v>
      </c>
      <c r="U20" s="24" t="s">
        <v>8</v>
      </c>
      <c r="V20" s="24" t="s">
        <v>79</v>
      </c>
      <c r="W20" s="24" t="s">
        <v>80</v>
      </c>
      <c r="X20" s="24" t="s">
        <v>83</v>
      </c>
      <c r="Y20" s="24" t="s">
        <v>9</v>
      </c>
      <c r="Z20" s="24" t="s">
        <v>11</v>
      </c>
      <c r="AA20" s="24" t="s">
        <v>12</v>
      </c>
      <c r="AB20" s="24" t="s">
        <v>13</v>
      </c>
      <c r="AC20" s="24" t="s">
        <v>152</v>
      </c>
      <c r="AD20" s="24" t="s">
        <v>153</v>
      </c>
      <c r="AE20" s="24" t="s">
        <v>154</v>
      </c>
      <c r="AF20" s="24" t="s">
        <v>156</v>
      </c>
      <c r="AG20" s="24" t="s">
        <v>157</v>
      </c>
      <c r="AH20" s="24" t="s">
        <v>158</v>
      </c>
      <c r="AI20" s="24" t="s">
        <v>159</v>
      </c>
      <c r="AJ20" s="24" t="s">
        <v>161</v>
      </c>
      <c r="AK20" s="24" t="s">
        <v>162</v>
      </c>
      <c r="AL20" s="24" t="s">
        <v>163</v>
      </c>
      <c r="AM20" s="24" t="s">
        <v>164</v>
      </c>
      <c r="AN20" s="24" t="s">
        <v>166</v>
      </c>
      <c r="AO20" s="24" t="s">
        <v>167</v>
      </c>
      <c r="AP20" s="24" t="s">
        <v>168</v>
      </c>
      <c r="AQ20" s="24" t="s">
        <v>169</v>
      </c>
      <c r="AR20" s="24" t="s">
        <v>171</v>
      </c>
      <c r="AS20" s="24" t="s">
        <v>172</v>
      </c>
      <c r="AT20" s="24" t="s">
        <v>173</v>
      </c>
      <c r="AU20" s="24" t="s">
        <v>176</v>
      </c>
      <c r="AV20" s="24" t="s">
        <v>177</v>
      </c>
      <c r="AW20" s="24" t="s">
        <v>178</v>
      </c>
      <c r="CQ20" s="24">
        <v>0.9999260996690883</v>
      </c>
      <c r="CR20" s="24" t="str">
        <f t="shared" si="1"/>
        <v>1</v>
      </c>
      <c r="CS20" t="str">
        <f ca="1">IF((OFFSET($A$1, 20 - 1, 95 - 1)) &gt;= (OFFSET($A$1, 54 - 1, 7 - 1)), "1","0")</f>
        <v>1</v>
      </c>
      <c r="CT20">
        <f ca="1" xml:space="preserve"> IF( AND( OFFSET($A$1, 20 - 1, 96 - 1) = "1", OFFSET($A$1, 20 - 1, 97 - 1) = "1" ), 1, IF( AND( OFFSET($A$1, 20 - 1, 96 - 1) = "1", OFFSET($A$1, 20 - 1, 97 - 1) = "0" ), 2, IF( AND( OFFSET($A$1, 20 - 1, 96 - 1) = "0", OFFSET($A$1, 20 - 1, 97 - 1) = "1" ), 3, 4 ) ) )</f>
        <v>1</v>
      </c>
      <c r="CV20" s="24">
        <v>0.99938772916463237</v>
      </c>
      <c r="CW20" s="24" t="str">
        <f t="shared" si="2"/>
        <v>1</v>
      </c>
      <c r="CX20" t="str">
        <f ca="1">IF((OFFSET($A$1, 20 - 1, 100 - 1)) &gt;= (OFFSET($A$1, 78 - 1, 7 - 1)), "1","0")</f>
        <v>1</v>
      </c>
      <c r="CY20">
        <f ca="1" xml:space="preserve"> IF( AND( OFFSET($A$1, 20 - 1, 101 - 1) = "1", OFFSET($A$1, 20 - 1, 102 - 1) = "1" ), 1, IF( AND( OFFSET($A$1, 20 - 1, 101 - 1) = "1", OFFSET($A$1, 20 - 1, 102 - 1) = "0" ), 2, IF( AND( OFFSET($A$1, 20 - 1, 101 - 1) = "0", OFFSET($A$1, 20 - 1, 102 - 1) = "1" ), 3, 4 ) ) )</f>
        <v>1</v>
      </c>
    </row>
    <row r="21" spans="3:103" ht="13.8" x14ac:dyDescent="0.3">
      <c r="C21" s="62" t="s">
        <v>190</v>
      </c>
      <c r="D21" s="64"/>
      <c r="E21" s="67" t="s">
        <v>14</v>
      </c>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6"/>
      <c r="CQ21" s="24">
        <v>0.86942500226299679</v>
      </c>
      <c r="CR21" s="24" t="str">
        <f t="shared" si="1"/>
        <v>1</v>
      </c>
      <c r="CS21" t="str">
        <f ca="1">IF((OFFSET($A$1, 21 - 1, 95 - 1)) &gt;= (OFFSET($A$1, 54 - 1, 7 - 1)), "1","0")</f>
        <v>1</v>
      </c>
      <c r="CT21">
        <f ca="1" xml:space="preserve"> IF( AND( OFFSET($A$1, 21 - 1, 96 - 1) = "1", OFFSET($A$1, 21 - 1, 97 - 1) = "1" ), 1, IF( AND( OFFSET($A$1, 21 - 1, 96 - 1) = "1", OFFSET($A$1, 21 - 1, 97 - 1) = "0" ), 2, IF( AND( OFFSET($A$1, 21 - 1, 96 - 1) = "0", OFFSET($A$1, 21 - 1, 97 - 1) = "1" ), 3, 4 ) ) )</f>
        <v>1</v>
      </c>
      <c r="CV21" s="24">
        <v>0.86965788912094566</v>
      </c>
      <c r="CW21" s="24" t="str">
        <f t="shared" si="2"/>
        <v>1</v>
      </c>
      <c r="CX21" t="str">
        <f ca="1">IF((OFFSET($A$1, 21 - 1, 100 - 1)) &gt;= (OFFSET($A$1, 78 - 1, 7 - 1)), "1","0")</f>
        <v>1</v>
      </c>
      <c r="CY21">
        <f ca="1" xml:space="preserve"> IF( AND( OFFSET($A$1, 21 - 1, 101 - 1) = "1", OFFSET($A$1, 21 - 1, 102 - 1) = "1" ), 1, IF( AND( OFFSET($A$1, 21 - 1, 101 - 1) = "1", OFFSET($A$1, 21 - 1, 102 - 1) = "0" ), 2, IF( AND( OFFSET($A$1, 21 - 1, 101 - 1) = "0", OFFSET($A$1, 21 - 1, 102 - 1) = "1" ), 3, 4 ) ) )</f>
        <v>1</v>
      </c>
    </row>
    <row r="22" spans="3:103" ht="13.8" x14ac:dyDescent="0.3">
      <c r="CQ22" s="24">
        <v>0.99671705208343842</v>
      </c>
      <c r="CR22" s="24" t="str">
        <f t="shared" si="1"/>
        <v>1</v>
      </c>
      <c r="CS22" t="str">
        <f ca="1">IF((OFFSET($A$1, 22 - 1, 95 - 1)) &gt;= (OFFSET($A$1, 54 - 1, 7 - 1)), "1","0")</f>
        <v>1</v>
      </c>
      <c r="CT22">
        <f ca="1" xml:space="preserve"> IF( AND( OFFSET($A$1, 22 - 1, 96 - 1) = "1", OFFSET($A$1, 22 - 1, 97 - 1) = "1" ), 1, IF( AND( OFFSET($A$1, 22 - 1, 96 - 1) = "1", OFFSET($A$1, 22 - 1, 97 - 1) = "0" ), 2, IF( AND( OFFSET($A$1, 22 - 1, 96 - 1) = "0", OFFSET($A$1, 22 - 1, 97 - 1) = "1" ), 3, 4 ) ) )</f>
        <v>1</v>
      </c>
      <c r="CV22" s="24">
        <v>2.9171312581000329E-2</v>
      </c>
      <c r="CW22" s="24" t="str">
        <f t="shared" si="2"/>
        <v>1</v>
      </c>
      <c r="CX22" t="str">
        <f ca="1">IF((OFFSET($A$1, 22 - 1, 100 - 1)) &gt;= (OFFSET($A$1, 78 - 1, 7 - 1)), "1","0")</f>
        <v>0</v>
      </c>
      <c r="CY22">
        <f ca="1" xml:space="preserve"> IF( AND( OFFSET($A$1, 22 - 1, 101 - 1) = "1", OFFSET($A$1, 22 - 1, 102 - 1) = "1" ), 1, IF( AND( OFFSET($A$1, 22 - 1, 101 - 1) = "1", OFFSET($A$1, 22 - 1, 102 - 1) = "0" ), 2, IF( AND( OFFSET($A$1, 22 - 1, 101 - 1) = "0", OFFSET($A$1, 22 - 1, 102 - 1) = "1" ), 3, 4 ) ) )</f>
        <v>2</v>
      </c>
    </row>
    <row r="23" spans="3:103" ht="15.6" x14ac:dyDescent="0.3">
      <c r="C23" s="59" t="s">
        <v>191</v>
      </c>
      <c r="D23" s="60"/>
      <c r="E23" s="60"/>
      <c r="F23" s="60"/>
      <c r="G23" s="60"/>
      <c r="H23" s="60"/>
      <c r="I23" s="60"/>
      <c r="J23" s="61"/>
      <c r="CQ23" s="24">
        <v>0.98195085721649411</v>
      </c>
      <c r="CR23" s="24" t="str">
        <f t="shared" si="1"/>
        <v>1</v>
      </c>
      <c r="CS23" t="str">
        <f ca="1">IF((OFFSET($A$1, 23 - 1, 95 - 1)) &gt;= (OFFSET($A$1, 54 - 1, 7 - 1)), "1","0")</f>
        <v>1</v>
      </c>
      <c r="CT23">
        <f ca="1" xml:space="preserve"> IF( AND( OFFSET($A$1, 23 - 1, 96 - 1) = "1", OFFSET($A$1, 23 - 1, 97 - 1) = "1" ), 1, IF( AND( OFFSET($A$1, 23 - 1, 96 - 1) = "1", OFFSET($A$1, 23 - 1, 97 - 1) = "0" ), 2, IF( AND( OFFSET($A$1, 23 - 1, 96 - 1) = "0", OFFSET($A$1, 23 - 1, 97 - 1) = "1" ), 3, 4 ) ) )</f>
        <v>1</v>
      </c>
      <c r="CV23" s="24">
        <v>0.97718302313180927</v>
      </c>
      <c r="CW23" s="24" t="str">
        <f t="shared" si="2"/>
        <v>1</v>
      </c>
      <c r="CX23" t="str">
        <f ca="1">IF((OFFSET($A$1, 23 - 1, 100 - 1)) &gt;= (OFFSET($A$1, 78 - 1, 7 - 1)), "1","0")</f>
        <v>1</v>
      </c>
      <c r="CY23">
        <f ca="1" xml:space="preserve"> IF( AND( OFFSET($A$1, 23 - 1, 101 - 1) = "1", OFFSET($A$1, 23 - 1, 102 - 1) = "1" ), 1, IF( AND( OFFSET($A$1, 23 - 1, 101 - 1) = "1", OFFSET($A$1, 23 - 1, 102 - 1) = "0" ), 2, IF( AND( OFFSET($A$1, 23 - 1, 101 - 1) = "0", OFFSET($A$1, 23 - 1, 102 - 1) = "1" ), 3, 4 ) ) )</f>
        <v>1</v>
      </c>
    </row>
    <row r="24" spans="3:103" ht="13.8" x14ac:dyDescent="0.3">
      <c r="C24" s="62" t="s">
        <v>192</v>
      </c>
      <c r="D24" s="63"/>
      <c r="E24" s="63"/>
      <c r="F24" s="64"/>
      <c r="G24" s="69" t="s">
        <v>193</v>
      </c>
      <c r="H24" s="70"/>
      <c r="I24" s="70"/>
      <c r="J24" s="71"/>
      <c r="CQ24" s="24">
        <v>0.97645216600435558</v>
      </c>
      <c r="CR24" s="24" t="str">
        <f t="shared" si="1"/>
        <v>1</v>
      </c>
      <c r="CS24" t="str">
        <f ca="1">IF((OFFSET($A$1, 24 - 1, 95 - 1)) &gt;= (OFFSET($A$1, 54 - 1, 7 - 1)), "1","0")</f>
        <v>1</v>
      </c>
      <c r="CT24">
        <f ca="1" xml:space="preserve"> IF( AND( OFFSET($A$1, 24 - 1, 96 - 1) = "1", OFFSET($A$1, 24 - 1, 97 - 1) = "1" ), 1, IF( AND( OFFSET($A$1, 24 - 1, 96 - 1) = "1", OFFSET($A$1, 24 - 1, 97 - 1) = "0" ), 2, IF( AND( OFFSET($A$1, 24 - 1, 96 - 1) = "0", OFFSET($A$1, 24 - 1, 97 - 1) = "1" ), 3, 4 ) ) )</f>
        <v>1</v>
      </c>
      <c r="CV24" s="24">
        <v>0.56938082049111116</v>
      </c>
      <c r="CW24" s="24" t="str">
        <f t="shared" si="2"/>
        <v>1</v>
      </c>
      <c r="CX24" t="str">
        <f ca="1">IF((OFFSET($A$1, 24 - 1, 100 - 1)) &gt;= (OFFSET($A$1, 78 - 1, 7 - 1)), "1","0")</f>
        <v>1</v>
      </c>
      <c r="CY24">
        <f ca="1" xml:space="preserve"> IF( AND( OFFSET($A$1, 24 - 1, 101 - 1) = "1", OFFSET($A$1, 24 - 1, 102 - 1) = "1" ), 1, IF( AND( OFFSET($A$1, 24 - 1, 101 - 1) = "1", OFFSET($A$1, 24 - 1, 102 - 1) = "0" ), 2, IF( AND( OFFSET($A$1, 24 - 1, 101 - 1) = "0", OFFSET($A$1, 24 - 1, 102 - 1) = "1" ), 3, 4 ) ) )</f>
        <v>1</v>
      </c>
    </row>
    <row r="25" spans="3:103" ht="13.8" x14ac:dyDescent="0.3">
      <c r="C25" s="62" t="s">
        <v>194</v>
      </c>
      <c r="D25" s="63"/>
      <c r="E25" s="63"/>
      <c r="F25" s="64"/>
      <c r="G25" s="69" t="s">
        <v>695</v>
      </c>
      <c r="H25" s="70"/>
      <c r="I25" s="70"/>
      <c r="J25" s="71"/>
      <c r="CQ25" s="24">
        <v>4.1689664896131413E-2</v>
      </c>
      <c r="CR25" s="24" t="str">
        <f>"0"</f>
        <v>0</v>
      </c>
      <c r="CS25" t="str">
        <f ca="1">IF((OFFSET($A$1, 25 - 1, 95 - 1)) &gt;= (OFFSET($A$1, 54 - 1, 7 - 1)), "1","0")</f>
        <v>0</v>
      </c>
      <c r="CT25">
        <f ca="1" xml:space="preserve"> IF( AND( OFFSET($A$1, 25 - 1, 96 - 1) = "1", OFFSET($A$1, 25 - 1, 97 - 1) = "1" ), 1, IF( AND( OFFSET($A$1, 25 - 1, 96 - 1) = "1", OFFSET($A$1, 25 - 1, 97 - 1) = "0" ), 2, IF( AND( OFFSET($A$1, 25 - 1, 96 - 1) = "0", OFFSET($A$1, 25 - 1, 97 - 1) = "1" ), 3, 4 ) ) )</f>
        <v>4</v>
      </c>
      <c r="CV25" s="24">
        <v>0.1104156810644301</v>
      </c>
      <c r="CW25" s="24" t="str">
        <f>"0"</f>
        <v>0</v>
      </c>
      <c r="CX25" t="str">
        <f ca="1">IF((OFFSET($A$1, 25 - 1, 100 - 1)) &gt;= (OFFSET($A$1, 78 - 1, 7 - 1)), "1","0")</f>
        <v>0</v>
      </c>
      <c r="CY25">
        <f ca="1" xml:space="preserve"> IF( AND( OFFSET($A$1, 25 - 1, 101 - 1) = "1", OFFSET($A$1, 25 - 1, 102 - 1) = "1" ), 1, IF( AND( OFFSET($A$1, 25 - 1, 101 - 1) = "1", OFFSET($A$1, 25 - 1, 102 - 1) = "0" ), 2, IF( AND( OFFSET($A$1, 25 - 1, 101 - 1) = "0", OFFSET($A$1, 25 - 1, 102 - 1) = "1" ), 3, 4 ) ) )</f>
        <v>4</v>
      </c>
    </row>
    <row r="26" spans="3:103" ht="13.8" x14ac:dyDescent="0.3">
      <c r="C26" s="62" t="s">
        <v>196</v>
      </c>
      <c r="D26" s="63"/>
      <c r="E26" s="63"/>
      <c r="F26" s="64"/>
      <c r="G26" s="69">
        <v>12345</v>
      </c>
      <c r="H26" s="70"/>
      <c r="I26" s="70"/>
      <c r="J26" s="71"/>
      <c r="CQ26" s="24">
        <v>0.99965630393865501</v>
      </c>
      <c r="CR26" s="24" t="str">
        <f>"1"</f>
        <v>1</v>
      </c>
      <c r="CS26" t="str">
        <f ca="1">IF((OFFSET($A$1, 26 - 1, 95 - 1)) &gt;= (OFFSET($A$1, 54 - 1, 7 - 1)), "1","0")</f>
        <v>1</v>
      </c>
      <c r="CT26">
        <f ca="1" xml:space="preserve"> IF( AND( OFFSET($A$1, 26 - 1, 96 - 1) = "1", OFFSET($A$1, 26 - 1, 97 - 1) = "1" ), 1, IF( AND( OFFSET($A$1, 26 - 1, 96 - 1) = "1", OFFSET($A$1, 26 - 1, 97 - 1) = "0" ), 2, IF( AND( OFFSET($A$1, 26 - 1, 96 - 1) = "0", OFFSET($A$1, 26 - 1, 97 - 1) = "1" ), 3, 4 ) ) )</f>
        <v>1</v>
      </c>
      <c r="CV26" s="24">
        <v>0.98768559231352182</v>
      </c>
      <c r="CW26" s="24" t="str">
        <f>"0"</f>
        <v>0</v>
      </c>
      <c r="CX26" t="str">
        <f ca="1">IF((OFFSET($A$1, 26 - 1, 100 - 1)) &gt;= (OFFSET($A$1, 78 - 1, 7 - 1)), "1","0")</f>
        <v>1</v>
      </c>
      <c r="CY26">
        <f ca="1" xml:space="preserve"> IF( AND( OFFSET($A$1, 26 - 1, 101 - 1) = "1", OFFSET($A$1, 26 - 1, 102 - 1) = "1" ), 1, IF( AND( OFFSET($A$1, 26 - 1, 101 - 1) = "1", OFFSET($A$1, 26 - 1, 102 - 1) = "0" ), 2, IF( AND( OFFSET($A$1, 26 - 1, 101 - 1) = "0", OFFSET($A$1, 26 - 1, 102 - 1) = "1" ), 3, 4 ) ) )</f>
        <v>3</v>
      </c>
    </row>
    <row r="27" spans="3:103" ht="13.8" x14ac:dyDescent="0.3">
      <c r="C27" s="62" t="s">
        <v>652</v>
      </c>
      <c r="D27" s="63"/>
      <c r="E27" s="63"/>
      <c r="F27" s="64"/>
      <c r="G27" s="69">
        <v>1</v>
      </c>
      <c r="H27" s="70"/>
      <c r="I27" s="70"/>
      <c r="J27" s="71"/>
      <c r="CQ27" s="24">
        <v>0.99983320348663107</v>
      </c>
      <c r="CR27" s="24" t="str">
        <f>"1"</f>
        <v>1</v>
      </c>
      <c r="CS27" t="str">
        <f ca="1">IF((OFFSET($A$1, 27 - 1, 95 - 1)) &gt;= (OFFSET($A$1, 54 - 1, 7 - 1)), "1","0")</f>
        <v>1</v>
      </c>
      <c r="CT27">
        <f ca="1" xml:space="preserve"> IF( AND( OFFSET($A$1, 27 - 1, 96 - 1) = "1", OFFSET($A$1, 27 - 1, 97 - 1) = "1" ), 1, IF( AND( OFFSET($A$1, 27 - 1, 96 - 1) = "1", OFFSET($A$1, 27 - 1, 97 - 1) = "0" ), 2, IF( AND( OFFSET($A$1, 27 - 1, 96 - 1) = "0", OFFSET($A$1, 27 - 1, 97 - 1) = "1" ), 3, 4 ) ) )</f>
        <v>1</v>
      </c>
      <c r="CV27" s="24">
        <v>0.87532840359053443</v>
      </c>
      <c r="CW27" s="24" t="str">
        <f>"1"</f>
        <v>1</v>
      </c>
      <c r="CX27" t="str">
        <f ca="1">IF((OFFSET($A$1, 27 - 1, 100 - 1)) &gt;= (OFFSET($A$1, 78 - 1, 7 - 1)), "1","0")</f>
        <v>1</v>
      </c>
      <c r="CY27">
        <f ca="1" xml:space="preserve"> IF( AND( OFFSET($A$1, 27 - 1, 101 - 1) = "1", OFFSET($A$1, 27 - 1, 102 - 1) = "1" ), 1, IF( AND( OFFSET($A$1, 27 - 1, 101 - 1) = "1", OFFSET($A$1, 27 - 1, 102 - 1) = "0" ), 2, IF( AND( OFFSET($A$1, 27 - 1, 101 - 1) = "0", OFFSET($A$1, 27 - 1, 102 - 1) = "1" ), 3, 4 ) ) )</f>
        <v>1</v>
      </c>
    </row>
    <row r="28" spans="3:103" ht="13.8" x14ac:dyDescent="0.3">
      <c r="C28" s="62" t="s">
        <v>696</v>
      </c>
      <c r="D28" s="63"/>
      <c r="E28" s="63"/>
      <c r="F28" s="64"/>
      <c r="G28" s="69">
        <v>13</v>
      </c>
      <c r="H28" s="70"/>
      <c r="I28" s="70"/>
      <c r="J28" s="71"/>
      <c r="CQ28" s="24">
        <v>0.99997393869511864</v>
      </c>
      <c r="CR28" s="24" t="str">
        <f>"1"</f>
        <v>1</v>
      </c>
      <c r="CS28" t="str">
        <f ca="1">IF((OFFSET($A$1, 28 - 1, 95 - 1)) &gt;= (OFFSET($A$1, 54 - 1, 7 - 1)), "1","0")</f>
        <v>1</v>
      </c>
      <c r="CT28">
        <f ca="1" xml:space="preserve"> IF( AND( OFFSET($A$1, 28 - 1, 96 - 1) = "1", OFFSET($A$1, 28 - 1, 97 - 1) = "1" ), 1, IF( AND( OFFSET($A$1, 28 - 1, 96 - 1) = "1", OFFSET($A$1, 28 - 1, 97 - 1) = "0" ), 2, IF( AND( OFFSET($A$1, 28 - 1, 96 - 1) = "0", OFFSET($A$1, 28 - 1, 97 - 1) = "1" ), 3, 4 ) ) )</f>
        <v>1</v>
      </c>
      <c r="CV28" s="24">
        <v>9.7913040846333566E-2</v>
      </c>
      <c r="CW28" s="24" t="str">
        <f>"0"</f>
        <v>0</v>
      </c>
      <c r="CX28" t="str">
        <f ca="1">IF((OFFSET($A$1, 28 - 1, 100 - 1)) &gt;= (OFFSET($A$1, 78 - 1, 7 - 1)), "1","0")</f>
        <v>0</v>
      </c>
      <c r="CY28">
        <f ca="1" xml:space="preserve"> IF( AND( OFFSET($A$1, 28 - 1, 101 - 1) = "1", OFFSET($A$1, 28 - 1, 102 - 1) = "1" ), 1, IF( AND( OFFSET($A$1, 28 - 1, 101 - 1) = "1", OFFSET($A$1, 28 - 1, 102 - 1) = "0" ), 2, IF( AND( OFFSET($A$1, 28 - 1, 101 - 1) = "0", OFFSET($A$1, 28 - 1, 102 - 1) = "1" ), 3, 4 ) ) )</f>
        <v>4</v>
      </c>
    </row>
    <row r="29" spans="3:103" ht="13.8" x14ac:dyDescent="0.3">
      <c r="C29" s="62" t="s">
        <v>200</v>
      </c>
      <c r="D29" s="63"/>
      <c r="E29" s="63"/>
      <c r="F29" s="64"/>
      <c r="G29" s="69">
        <v>40</v>
      </c>
      <c r="H29" s="70"/>
      <c r="I29" s="70"/>
      <c r="J29" s="71"/>
      <c r="CQ29" s="24">
        <v>0.99997299177346821</v>
      </c>
      <c r="CR29" s="24" t="str">
        <f>"1"</f>
        <v>1</v>
      </c>
      <c r="CS29" t="str">
        <f ca="1">IF((OFFSET($A$1, 29 - 1, 95 - 1)) &gt;= (OFFSET($A$1, 54 - 1, 7 - 1)), "1","0")</f>
        <v>1</v>
      </c>
      <c r="CT29">
        <f ca="1" xml:space="preserve"> IF( AND( OFFSET($A$1, 29 - 1, 96 - 1) = "1", OFFSET($A$1, 29 - 1, 97 - 1) = "1" ), 1, IF( AND( OFFSET($A$1, 29 - 1, 96 - 1) = "1", OFFSET($A$1, 29 - 1, 97 - 1) = "0" ), 2, IF( AND( OFFSET($A$1, 29 - 1, 96 - 1) = "0", OFFSET($A$1, 29 - 1, 97 - 1) = "1" ), 3, 4 ) ) )</f>
        <v>1</v>
      </c>
      <c r="CV29" s="24">
        <v>0.99973880273966442</v>
      </c>
      <c r="CW29" s="24" t="str">
        <f>"1"</f>
        <v>1</v>
      </c>
      <c r="CX29" t="str">
        <f ca="1">IF((OFFSET($A$1, 29 - 1, 100 - 1)) &gt;= (OFFSET($A$1, 78 - 1, 7 - 1)), "1","0")</f>
        <v>1</v>
      </c>
      <c r="CY29">
        <f ca="1" xml:space="preserve"> IF( AND( OFFSET($A$1, 29 - 1, 101 - 1) = "1", OFFSET($A$1, 29 - 1, 102 - 1) = "1" ), 1, IF( AND( OFFSET($A$1, 29 - 1, 101 - 1) = "1", OFFSET($A$1, 29 - 1, 102 - 1) = "0" ), 2, IF( AND( OFFSET($A$1, 29 - 1, 101 - 1) = "0", OFFSET($A$1, 29 - 1, 102 - 1) = "1" ), 3, 4 ) ) )</f>
        <v>1</v>
      </c>
    </row>
    <row r="30" spans="3:103" ht="13.8" x14ac:dyDescent="0.3">
      <c r="C30" s="62" t="s">
        <v>201</v>
      </c>
      <c r="D30" s="63"/>
      <c r="E30" s="63"/>
      <c r="F30" s="64"/>
      <c r="G30" s="69">
        <v>0.3</v>
      </c>
      <c r="H30" s="70"/>
      <c r="I30" s="70"/>
      <c r="J30" s="71"/>
      <c r="CQ30" s="24">
        <v>0.98082290369213365</v>
      </c>
      <c r="CR30" s="24" t="str">
        <f>"1"</f>
        <v>1</v>
      </c>
      <c r="CS30" t="str">
        <f ca="1">IF((OFFSET($A$1, 30 - 1, 95 - 1)) &gt;= (OFFSET($A$1, 54 - 1, 7 - 1)), "1","0")</f>
        <v>1</v>
      </c>
      <c r="CT30">
        <f ca="1" xml:space="preserve"> IF( AND( OFFSET($A$1, 30 - 1, 96 - 1) = "1", OFFSET($A$1, 30 - 1, 97 - 1) = "1" ), 1, IF( AND( OFFSET($A$1, 30 - 1, 96 - 1) = "1", OFFSET($A$1, 30 - 1, 97 - 1) = "0" ), 2, IF( AND( OFFSET($A$1, 30 - 1, 96 - 1) = "0", OFFSET($A$1, 30 - 1, 97 - 1) = "1" ), 3, 4 ) ) )</f>
        <v>1</v>
      </c>
      <c r="CV30" s="24">
        <v>0.99103466518426298</v>
      </c>
      <c r="CW30" s="24" t="str">
        <f>"1"</f>
        <v>1</v>
      </c>
      <c r="CX30" t="str">
        <f ca="1">IF((OFFSET($A$1, 30 - 1, 100 - 1)) &gt;= (OFFSET($A$1, 78 - 1, 7 - 1)), "1","0")</f>
        <v>1</v>
      </c>
      <c r="CY30">
        <f ca="1" xml:space="preserve"> IF( AND( OFFSET($A$1, 30 - 1, 101 - 1) = "1", OFFSET($A$1, 30 - 1, 102 - 1) = "1" ), 1, IF( AND( OFFSET($A$1, 30 - 1, 101 - 1) = "1", OFFSET($A$1, 30 - 1, 102 - 1) = "0" ), 2, IF( AND( OFFSET($A$1, 30 - 1, 101 - 1) = "0", OFFSET($A$1, 30 - 1, 102 - 1) = "1" ), 3, 4 ) ) )</f>
        <v>1</v>
      </c>
    </row>
    <row r="31" spans="3:103" ht="13.8" x14ac:dyDescent="0.3">
      <c r="C31" s="62" t="s">
        <v>202</v>
      </c>
      <c r="D31" s="63"/>
      <c r="E31" s="63"/>
      <c r="F31" s="64"/>
      <c r="G31" s="69">
        <v>0.6</v>
      </c>
      <c r="H31" s="70"/>
      <c r="I31" s="70"/>
      <c r="J31" s="71"/>
      <c r="CQ31" s="24">
        <v>0.99374381544798573</v>
      </c>
      <c r="CR31" s="24" t="str">
        <f>"0"</f>
        <v>0</v>
      </c>
      <c r="CS31" t="str">
        <f ca="1">IF((OFFSET($A$1, 31 - 1, 95 - 1)) &gt;= (OFFSET($A$1, 54 - 1, 7 - 1)), "1","0")</f>
        <v>1</v>
      </c>
      <c r="CT31">
        <f ca="1" xml:space="preserve"> IF( AND( OFFSET($A$1, 31 - 1, 96 - 1) = "1", OFFSET($A$1, 31 - 1, 97 - 1) = "1" ), 1, IF( AND( OFFSET($A$1, 31 - 1, 96 - 1) = "1", OFFSET($A$1, 31 - 1, 97 - 1) = "0" ), 2, IF( AND( OFFSET($A$1, 31 - 1, 96 - 1) = "0", OFFSET($A$1, 31 - 1, 97 - 1) = "1" ), 3, 4 ) ) )</f>
        <v>3</v>
      </c>
      <c r="CV31" s="24">
        <v>0.48495549822305956</v>
      </c>
      <c r="CW31" s="24" t="str">
        <f>"0"</f>
        <v>0</v>
      </c>
      <c r="CX31" t="str">
        <f ca="1">IF((OFFSET($A$1, 31 - 1, 100 - 1)) &gt;= (OFFSET($A$1, 78 - 1, 7 - 1)), "1","0")</f>
        <v>0</v>
      </c>
      <c r="CY31">
        <f ca="1" xml:space="preserve"> IF( AND( OFFSET($A$1, 31 - 1, 101 - 1) = "1", OFFSET($A$1, 31 - 1, 102 - 1) = "1" ), 1, IF( AND( OFFSET($A$1, 31 - 1, 101 - 1) = "1", OFFSET($A$1, 31 - 1, 102 - 1) = "0" ), 2, IF( AND( OFFSET($A$1, 31 - 1, 101 - 1) = "0", OFFSET($A$1, 31 - 1, 102 - 1) = "1" ), 3, 4 ) ) )</f>
        <v>4</v>
      </c>
    </row>
    <row r="32" spans="3:103" ht="13.8" x14ac:dyDescent="0.3">
      <c r="C32" s="62" t="s">
        <v>203</v>
      </c>
      <c r="D32" s="63"/>
      <c r="E32" s="63"/>
      <c r="F32" s="64"/>
      <c r="G32" s="69">
        <v>0.01</v>
      </c>
      <c r="H32" s="70"/>
      <c r="I32" s="70"/>
      <c r="J32" s="71"/>
      <c r="CQ32" s="24">
        <v>0.93680742683767915</v>
      </c>
      <c r="CR32" s="24" t="str">
        <f>"1"</f>
        <v>1</v>
      </c>
      <c r="CS32" t="str">
        <f ca="1">IF((OFFSET($A$1, 32 - 1, 95 - 1)) &gt;= (OFFSET($A$1, 54 - 1, 7 - 1)), "1","0")</f>
        <v>1</v>
      </c>
      <c r="CT32">
        <f ca="1" xml:space="preserve"> IF( AND( OFFSET($A$1, 32 - 1, 96 - 1) = "1", OFFSET($A$1, 32 - 1, 97 - 1) = "1" ), 1, IF( AND( OFFSET($A$1, 32 - 1, 96 - 1) = "1", OFFSET($A$1, 32 - 1, 97 - 1) = "0" ), 2, IF( AND( OFFSET($A$1, 32 - 1, 96 - 1) = "0", OFFSET($A$1, 32 - 1, 97 - 1) = "1" ), 3, 4 ) ) )</f>
        <v>1</v>
      </c>
      <c r="CV32" s="24">
        <v>0.99998946061752769</v>
      </c>
      <c r="CW32" s="24" t="str">
        <f>"1"</f>
        <v>1</v>
      </c>
      <c r="CX32" t="str">
        <f ca="1">IF((OFFSET($A$1, 32 - 1, 100 - 1)) &gt;= (OFFSET($A$1, 78 - 1, 7 - 1)), "1","0")</f>
        <v>1</v>
      </c>
      <c r="CY32">
        <f ca="1" xml:space="preserve"> IF( AND( OFFSET($A$1, 32 - 1, 101 - 1) = "1", OFFSET($A$1, 32 - 1, 102 - 1) = "1" ), 1, IF( AND( OFFSET($A$1, 32 - 1, 101 - 1) = "1", OFFSET($A$1, 32 - 1, 102 - 1) = "0" ), 2, IF( AND( OFFSET($A$1, 32 - 1, 101 - 1) = "0", OFFSET($A$1, 32 - 1, 102 - 1) = "1" ), 3, 4 ) ) )</f>
        <v>1</v>
      </c>
    </row>
    <row r="33" spans="2:103" ht="13.8" x14ac:dyDescent="0.3">
      <c r="C33" s="62" t="s">
        <v>204</v>
      </c>
      <c r="D33" s="63"/>
      <c r="E33" s="63"/>
      <c r="F33" s="64"/>
      <c r="G33" s="69">
        <v>0</v>
      </c>
      <c r="H33" s="70"/>
      <c r="I33" s="70"/>
      <c r="J33" s="71"/>
      <c r="CQ33" s="24">
        <v>1.6029631478250431E-2</v>
      </c>
      <c r="CR33" s="24" t="str">
        <f>"0"</f>
        <v>0</v>
      </c>
      <c r="CS33" t="str">
        <f ca="1">IF((OFFSET($A$1, 33 - 1, 95 - 1)) &gt;= (OFFSET($A$1, 54 - 1, 7 - 1)), "1","0")</f>
        <v>0</v>
      </c>
      <c r="CT33">
        <f ca="1" xml:space="preserve"> IF( AND( OFFSET($A$1, 33 - 1, 96 - 1) = "1", OFFSET($A$1, 33 - 1, 97 - 1) = "1" ), 1, IF( AND( OFFSET($A$1, 33 - 1, 96 - 1) = "1", OFFSET($A$1, 33 - 1, 97 - 1) = "0" ), 2, IF( AND( OFFSET($A$1, 33 - 1, 96 - 1) = "0", OFFSET($A$1, 33 - 1, 97 - 1) = "1" ), 3, 4 ) ) )</f>
        <v>4</v>
      </c>
      <c r="CV33" s="24">
        <v>0.78507039636551046</v>
      </c>
      <c r="CW33" s="24" t="str">
        <f>"0"</f>
        <v>0</v>
      </c>
      <c r="CX33" t="str">
        <f ca="1">IF((OFFSET($A$1, 33 - 1, 100 - 1)) &gt;= (OFFSET($A$1, 78 - 1, 7 - 1)), "1","0")</f>
        <v>1</v>
      </c>
      <c r="CY33">
        <f ca="1" xml:space="preserve"> IF( AND( OFFSET($A$1, 33 - 1, 101 - 1) = "1", OFFSET($A$1, 33 - 1, 102 - 1) = "1" ), 1, IF( AND( OFFSET($A$1, 33 - 1, 101 - 1) = "1", OFFSET($A$1, 33 - 1, 102 - 1) = "0" ), 2, IF( AND( OFFSET($A$1, 33 - 1, 101 - 1) = "0", OFFSET($A$1, 33 - 1, 102 - 1) = "1" ), 3, 4 ) ) )</f>
        <v>3</v>
      </c>
    </row>
    <row r="34" spans="2:103" ht="13.8" x14ac:dyDescent="0.3">
      <c r="C34" s="62" t="s">
        <v>205</v>
      </c>
      <c r="D34" s="63"/>
      <c r="E34" s="63"/>
      <c r="F34" s="64"/>
      <c r="G34" s="69" t="s">
        <v>206</v>
      </c>
      <c r="H34" s="70"/>
      <c r="I34" s="70"/>
      <c r="J34" s="71"/>
      <c r="CQ34" s="24">
        <v>0.92960431004835908</v>
      </c>
      <c r="CR34" s="24" t="str">
        <f t="shared" ref="CR34:CR43" si="3">"1"</f>
        <v>1</v>
      </c>
      <c r="CS34" t="str">
        <f ca="1">IF((OFFSET($A$1, 34 - 1, 95 - 1)) &gt;= (OFFSET($A$1, 54 - 1, 7 - 1)), "1","0")</f>
        <v>1</v>
      </c>
      <c r="CT34">
        <f ca="1" xml:space="preserve"> IF( AND( OFFSET($A$1, 34 - 1, 96 - 1) = "1", OFFSET($A$1, 34 - 1, 97 - 1) = "1" ), 1, IF( AND( OFFSET($A$1, 34 - 1, 96 - 1) = "1", OFFSET($A$1, 34 - 1, 97 - 1) = "0" ), 2, IF( AND( OFFSET($A$1, 34 - 1, 96 - 1) = "0", OFFSET($A$1, 34 - 1, 97 - 1) = "1" ), 3, 4 ) ) )</f>
        <v>1</v>
      </c>
      <c r="CV34" s="24">
        <v>0.99999766032470194</v>
      </c>
      <c r="CW34" s="24" t="str">
        <f>"1"</f>
        <v>1</v>
      </c>
      <c r="CX34" t="str">
        <f ca="1">IF((OFFSET($A$1, 34 - 1, 100 - 1)) &gt;= (OFFSET($A$1, 78 - 1, 7 - 1)), "1","0")</f>
        <v>1</v>
      </c>
      <c r="CY34">
        <f ca="1" xml:space="preserve"> IF( AND( OFFSET($A$1, 34 - 1, 101 - 1) = "1", OFFSET($A$1, 34 - 1, 102 - 1) = "1" ), 1, IF( AND( OFFSET($A$1, 34 - 1, 101 - 1) = "1", OFFSET($A$1, 34 - 1, 102 - 1) = "0" ), 2, IF( AND( OFFSET($A$1, 34 - 1, 101 - 1) = "0", OFFSET($A$1, 34 - 1, 102 - 1) = "1" ), 3, 4 ) ) )</f>
        <v>1</v>
      </c>
    </row>
    <row r="35" spans="2:103" ht="13.8" x14ac:dyDescent="0.3">
      <c r="C35" s="62" t="s">
        <v>207</v>
      </c>
      <c r="D35" s="63"/>
      <c r="E35" s="63"/>
      <c r="F35" s="64"/>
      <c r="G35" s="69" t="s">
        <v>208</v>
      </c>
      <c r="H35" s="70"/>
      <c r="I35" s="70"/>
      <c r="J35" s="71"/>
      <c r="CQ35" s="24">
        <v>0.99999707524900194</v>
      </c>
      <c r="CR35" s="24" t="str">
        <f t="shared" si="3"/>
        <v>1</v>
      </c>
      <c r="CS35" t="str">
        <f ca="1">IF((OFFSET($A$1, 35 - 1, 95 - 1)) &gt;= (OFFSET($A$1, 54 - 1, 7 - 1)), "1","0")</f>
        <v>1</v>
      </c>
      <c r="CT35">
        <f ca="1" xml:space="preserve"> IF( AND( OFFSET($A$1, 35 - 1, 96 - 1) = "1", OFFSET($A$1, 35 - 1, 97 - 1) = "1" ), 1, IF( AND( OFFSET($A$1, 35 - 1, 96 - 1) = "1", OFFSET($A$1, 35 - 1, 97 - 1) = "0" ), 2, IF( AND( OFFSET($A$1, 35 - 1, 96 - 1) = "0", OFFSET($A$1, 35 - 1, 97 - 1) = "1" ), 3, 4 ) ) )</f>
        <v>1</v>
      </c>
      <c r="CV35" s="24">
        <v>0.88981000012603662</v>
      </c>
      <c r="CW35" s="24" t="str">
        <f>"1"</f>
        <v>1</v>
      </c>
      <c r="CX35" t="str">
        <f ca="1">IF((OFFSET($A$1, 35 - 1, 100 - 1)) &gt;= (OFFSET($A$1, 78 - 1, 7 - 1)), "1","0")</f>
        <v>1</v>
      </c>
      <c r="CY35">
        <f ca="1" xml:space="preserve"> IF( AND( OFFSET($A$1, 35 - 1, 101 - 1) = "1", OFFSET($A$1, 35 - 1, 102 - 1) = "1" ), 1, IF( AND( OFFSET($A$1, 35 - 1, 101 - 1) = "1", OFFSET($A$1, 35 - 1, 102 - 1) = "0" ), 2, IF( AND( OFFSET($A$1, 35 - 1, 101 - 1) = "0", OFFSET($A$1, 35 - 1, 102 - 1) = "1" ), 3, 4 ) ) )</f>
        <v>1</v>
      </c>
    </row>
    <row r="36" spans="2:103" ht="13.8" x14ac:dyDescent="0.3">
      <c r="C36" s="62" t="s">
        <v>209</v>
      </c>
      <c r="D36" s="63"/>
      <c r="E36" s="63"/>
      <c r="F36" s="64"/>
      <c r="G36" s="69" t="s">
        <v>208</v>
      </c>
      <c r="H36" s="70"/>
      <c r="I36" s="70"/>
      <c r="J36" s="71"/>
      <c r="CQ36" s="24">
        <v>0.91379260234948834</v>
      </c>
      <c r="CR36" s="24" t="str">
        <f t="shared" si="3"/>
        <v>1</v>
      </c>
      <c r="CS36" t="str">
        <f ca="1">IF((OFFSET($A$1, 36 - 1, 95 - 1)) &gt;= (OFFSET($A$1, 54 - 1, 7 - 1)), "1","0")</f>
        <v>1</v>
      </c>
      <c r="CT36">
        <f ca="1" xml:space="preserve"> IF( AND( OFFSET($A$1, 36 - 1, 96 - 1) = "1", OFFSET($A$1, 36 - 1, 97 - 1) = "1" ), 1, IF( AND( OFFSET($A$1, 36 - 1, 96 - 1) = "1", OFFSET($A$1, 36 - 1, 97 - 1) = "0" ), 2, IF( AND( OFFSET($A$1, 36 - 1, 96 - 1) = "0", OFFSET($A$1, 36 - 1, 97 - 1) = "1" ), 3, 4 ) ) )</f>
        <v>1</v>
      </c>
      <c r="CV36" s="24">
        <v>0.99478119876713533</v>
      </c>
      <c r="CW36" s="24" t="str">
        <f>"1"</f>
        <v>1</v>
      </c>
      <c r="CX36" t="str">
        <f ca="1">IF((OFFSET($A$1, 36 - 1, 100 - 1)) &gt;= (OFFSET($A$1, 78 - 1, 7 - 1)), "1","0")</f>
        <v>1</v>
      </c>
      <c r="CY36">
        <f ca="1" xml:space="preserve"> IF( AND( OFFSET($A$1, 36 - 1, 101 - 1) = "1", OFFSET($A$1, 36 - 1, 102 - 1) = "1" ), 1, IF( AND( OFFSET($A$1, 36 - 1, 101 - 1) = "1", OFFSET($A$1, 36 - 1, 102 - 1) = "0" ), 2, IF( AND( OFFSET($A$1, 36 - 1, 101 - 1) = "0", OFFSET($A$1, 36 - 1, 102 - 1) = "1" ), 3, 4 ) ) )</f>
        <v>1</v>
      </c>
    </row>
    <row r="37" spans="2:103" ht="13.8" x14ac:dyDescent="0.3">
      <c r="CQ37" s="24">
        <v>0.99691248115055864</v>
      </c>
      <c r="CR37" s="24" t="str">
        <f t="shared" si="3"/>
        <v>1</v>
      </c>
      <c r="CS37" t="str">
        <f ca="1">IF((OFFSET($A$1, 37 - 1, 95 - 1)) &gt;= (OFFSET($A$1, 54 - 1, 7 - 1)), "1","0")</f>
        <v>1</v>
      </c>
      <c r="CT37">
        <f ca="1" xml:space="preserve"> IF( AND( OFFSET($A$1, 37 - 1, 96 - 1) = "1", OFFSET($A$1, 37 - 1, 97 - 1) = "1" ), 1, IF( AND( OFFSET($A$1, 37 - 1, 96 - 1) = "1", OFFSET($A$1, 37 - 1, 97 - 1) = "0" ), 2, IF( AND( OFFSET($A$1, 37 - 1, 96 - 1) = "0", OFFSET($A$1, 37 - 1, 97 - 1) = "1" ), 3, 4 ) ) )</f>
        <v>1</v>
      </c>
      <c r="CV37" s="24">
        <v>0.78866458508571968</v>
      </c>
      <c r="CW37" s="24" t="str">
        <f>"1"</f>
        <v>1</v>
      </c>
      <c r="CX37" t="str">
        <f ca="1">IF((OFFSET($A$1, 37 - 1, 100 - 1)) &gt;= (OFFSET($A$1, 78 - 1, 7 - 1)), "1","0")</f>
        <v>1</v>
      </c>
      <c r="CY37">
        <f ca="1" xml:space="preserve"> IF( AND( OFFSET($A$1, 37 - 1, 101 - 1) = "1", OFFSET($A$1, 37 - 1, 102 - 1) = "1" ), 1, IF( AND( OFFSET($A$1, 37 - 1, 101 - 1) = "1", OFFSET($A$1, 37 - 1, 102 - 1) = "0" ), 2, IF( AND( OFFSET($A$1, 37 - 1, 101 - 1) = "0", OFFSET($A$1, 37 - 1, 102 - 1) = "1" ), 3, 4 ) ) )</f>
        <v>1</v>
      </c>
    </row>
    <row r="38" spans="2:103" ht="15.6" x14ac:dyDescent="0.3">
      <c r="C38" s="59" t="s">
        <v>697</v>
      </c>
      <c r="D38" s="60"/>
      <c r="E38" s="60"/>
      <c r="F38" s="60"/>
      <c r="G38" s="61"/>
      <c r="CQ38" s="24">
        <v>0.99988238006362207</v>
      </c>
      <c r="CR38" s="24" t="str">
        <f t="shared" si="3"/>
        <v>1</v>
      </c>
      <c r="CS38" t="str">
        <f ca="1">IF((OFFSET($A$1, 38 - 1, 95 - 1)) &gt;= (OFFSET($A$1, 54 - 1, 7 - 1)), "1","0")</f>
        <v>1</v>
      </c>
      <c r="CT38">
        <f ca="1" xml:space="preserve"> IF( AND( OFFSET($A$1, 38 - 1, 96 - 1) = "1", OFFSET($A$1, 38 - 1, 97 - 1) = "1" ), 1, IF( AND( OFFSET($A$1, 38 - 1, 96 - 1) = "1", OFFSET($A$1, 38 - 1, 97 - 1) = "0" ), 2, IF( AND( OFFSET($A$1, 38 - 1, 96 - 1) = "0", OFFSET($A$1, 38 - 1, 97 - 1) = "1" ), 3, 4 ) ) )</f>
        <v>1</v>
      </c>
      <c r="CV38" s="24">
        <v>0.11288581303566865</v>
      </c>
      <c r="CW38" s="24" t="str">
        <f>"0"</f>
        <v>0</v>
      </c>
      <c r="CX38" t="str">
        <f ca="1">IF((OFFSET($A$1, 38 - 1, 100 - 1)) &gt;= (OFFSET($A$1, 78 - 1, 7 - 1)), "1","0")</f>
        <v>0</v>
      </c>
      <c r="CY38">
        <f ca="1" xml:space="preserve"> IF( AND( OFFSET($A$1, 38 - 1, 101 - 1) = "1", OFFSET($A$1, 38 - 1, 102 - 1) = "1" ), 1, IF( AND( OFFSET($A$1, 38 - 1, 101 - 1) = "1", OFFSET($A$1, 38 - 1, 102 - 1) = "0" ), 2, IF( AND( OFFSET($A$1, 38 - 1, 101 - 1) = "0", OFFSET($A$1, 38 - 1, 102 - 1) = "1" ), 3, 4 ) ) )</f>
        <v>4</v>
      </c>
    </row>
    <row r="39" spans="2:103" ht="13.8" x14ac:dyDescent="0.3">
      <c r="C39" s="67" t="s">
        <v>698</v>
      </c>
      <c r="D39" s="68"/>
      <c r="E39" s="68"/>
      <c r="F39" s="68"/>
      <c r="G39" s="66"/>
      <c r="CQ39" s="24">
        <v>0.9842675106415798</v>
      </c>
      <c r="CR39" s="24" t="str">
        <f t="shared" si="3"/>
        <v>1</v>
      </c>
      <c r="CS39" t="str">
        <f ca="1">IF((OFFSET($A$1, 39 - 1, 95 - 1)) &gt;= (OFFSET($A$1, 54 - 1, 7 - 1)), "1","0")</f>
        <v>1</v>
      </c>
      <c r="CT39">
        <f ca="1" xml:space="preserve"> IF( AND( OFFSET($A$1, 39 - 1, 96 - 1) = "1", OFFSET($A$1, 39 - 1, 97 - 1) = "1" ), 1, IF( AND( OFFSET($A$1, 39 - 1, 96 - 1) = "1", OFFSET($A$1, 39 - 1, 97 - 1) = "0" ), 2, IF( AND( OFFSET($A$1, 39 - 1, 96 - 1) = "0", OFFSET($A$1, 39 - 1, 97 - 1) = "1" ), 3, 4 ) ) )</f>
        <v>1</v>
      </c>
      <c r="CV39" s="24">
        <v>0.97027271263553094</v>
      </c>
      <c r="CW39" s="24" t="str">
        <f>"1"</f>
        <v>1</v>
      </c>
      <c r="CX39" t="str">
        <f ca="1">IF((OFFSET($A$1, 39 - 1, 100 - 1)) &gt;= (OFFSET($A$1, 78 - 1, 7 - 1)), "1","0")</f>
        <v>1</v>
      </c>
      <c r="CY39">
        <f ca="1" xml:space="preserve"> IF( AND( OFFSET($A$1, 39 - 1, 101 - 1) = "1", OFFSET($A$1, 39 - 1, 102 - 1) = "1" ), 1, IF( AND( OFFSET($A$1, 39 - 1, 101 - 1) = "1", OFFSET($A$1, 39 - 1, 102 - 1) = "0" ), 2, IF( AND( OFFSET($A$1, 39 - 1, 101 - 1) = "0", OFFSET($A$1, 39 - 1, 102 - 1) = "1" ), 3, 4 ) ) )</f>
        <v>1</v>
      </c>
    </row>
    <row r="40" spans="2:103" ht="13.8" x14ac:dyDescent="0.3">
      <c r="C40" s="67" t="s">
        <v>700</v>
      </c>
      <c r="D40" s="68"/>
      <c r="E40" s="68"/>
      <c r="F40" s="68"/>
      <c r="G40" s="66"/>
      <c r="CQ40" s="24">
        <v>0.93790120033209312</v>
      </c>
      <c r="CR40" s="24" t="str">
        <f t="shared" si="3"/>
        <v>1</v>
      </c>
      <c r="CS40" t="str">
        <f ca="1">IF((OFFSET($A$1, 40 - 1, 95 - 1)) &gt;= (OFFSET($A$1, 54 - 1, 7 - 1)), "1","0")</f>
        <v>1</v>
      </c>
      <c r="CT40">
        <f ca="1" xml:space="preserve"> IF( AND( OFFSET($A$1, 40 - 1, 96 - 1) = "1", OFFSET($A$1, 40 - 1, 97 - 1) = "1" ), 1, IF( AND( OFFSET($A$1, 40 - 1, 96 - 1) = "1", OFFSET($A$1, 40 - 1, 97 - 1) = "0" ), 2, IF( AND( OFFSET($A$1, 40 - 1, 96 - 1) = "0", OFFSET($A$1, 40 - 1, 97 - 1) = "1" ), 3, 4 ) ) )</f>
        <v>1</v>
      </c>
      <c r="CV40" s="24">
        <v>3.456675828829061E-2</v>
      </c>
      <c r="CW40" s="24" t="str">
        <f>"1"</f>
        <v>1</v>
      </c>
      <c r="CX40" t="str">
        <f ca="1">IF((OFFSET($A$1, 40 - 1, 100 - 1)) &gt;= (OFFSET($A$1, 78 - 1, 7 - 1)), "1","0")</f>
        <v>0</v>
      </c>
      <c r="CY40">
        <f ca="1" xml:space="preserve"> IF( AND( OFFSET($A$1, 40 - 1, 101 - 1) = "1", OFFSET($A$1, 40 - 1, 102 - 1) = "1" ), 1, IF( AND( OFFSET($A$1, 40 - 1, 101 - 1) = "1", OFFSET($A$1, 40 - 1, 102 - 1) = "0" ), 2, IF( AND( OFFSET($A$1, 40 - 1, 101 - 1) = "0", OFFSET($A$1, 40 - 1, 102 - 1) = "1" ), 3, 4 ) ) )</f>
        <v>2</v>
      </c>
    </row>
    <row r="41" spans="2:103" ht="13.8" x14ac:dyDescent="0.3">
      <c r="CQ41" s="24">
        <v>0.97324233225762513</v>
      </c>
      <c r="CR41" s="24" t="str">
        <f t="shared" si="3"/>
        <v>1</v>
      </c>
      <c r="CS41" t="str">
        <f ca="1">IF((OFFSET($A$1, 41 - 1, 95 - 1)) &gt;= (OFFSET($A$1, 54 - 1, 7 - 1)), "1","0")</f>
        <v>1</v>
      </c>
      <c r="CT41">
        <f ca="1" xml:space="preserve"> IF( AND( OFFSET($A$1, 41 - 1, 96 - 1) = "1", OFFSET($A$1, 41 - 1, 97 - 1) = "1" ), 1, IF( AND( OFFSET($A$1, 41 - 1, 96 - 1) = "1", OFFSET($A$1, 41 - 1, 97 - 1) = "0" ), 2, IF( AND( OFFSET($A$1, 41 - 1, 96 - 1) = "0", OFFSET($A$1, 41 - 1, 97 - 1) = "1" ), 3, 4 ) ) )</f>
        <v>1</v>
      </c>
      <c r="CV41" s="24">
        <v>0.42222445301831263</v>
      </c>
      <c r="CW41" s="24" t="str">
        <f>"1"</f>
        <v>1</v>
      </c>
      <c r="CX41" t="str">
        <f ca="1">IF((OFFSET($A$1, 41 - 1, 100 - 1)) &gt;= (OFFSET($A$1, 78 - 1, 7 - 1)), "1","0")</f>
        <v>0</v>
      </c>
      <c r="CY41">
        <f ca="1" xml:space="preserve"> IF( AND( OFFSET($A$1, 41 - 1, 101 - 1) = "1", OFFSET($A$1, 41 - 1, 102 - 1) = "1" ), 1, IF( AND( OFFSET($A$1, 41 - 1, 101 - 1) = "1", OFFSET($A$1, 41 - 1, 102 - 1) = "0" ), 2, IF( AND( OFFSET($A$1, 41 - 1, 101 - 1) = "0", OFFSET($A$1, 41 - 1, 102 - 1) = "1" ), 3, 4 ) ) )</f>
        <v>2</v>
      </c>
    </row>
    <row r="42" spans="2:103" ht="13.8" x14ac:dyDescent="0.3">
      <c r="CQ42" s="24">
        <v>0.99548558519923613</v>
      </c>
      <c r="CR42" s="24" t="str">
        <f t="shared" si="3"/>
        <v>1</v>
      </c>
      <c r="CS42" t="str">
        <f ca="1">IF((OFFSET($A$1, 42 - 1, 95 - 1)) &gt;= (OFFSET($A$1, 54 - 1, 7 - 1)), "1","0")</f>
        <v>1</v>
      </c>
      <c r="CT42">
        <f ca="1" xml:space="preserve"> IF( AND( OFFSET($A$1, 42 - 1, 96 - 1) = "1", OFFSET($A$1, 42 - 1, 97 - 1) = "1" ), 1, IF( AND( OFFSET($A$1, 42 - 1, 96 - 1) = "1", OFFSET($A$1, 42 - 1, 97 - 1) = "0" ), 2, IF( AND( OFFSET($A$1, 42 - 1, 96 - 1) = "0", OFFSET($A$1, 42 - 1, 97 - 1) = "1" ), 3, 4 ) ) )</f>
        <v>1</v>
      </c>
      <c r="CV42" s="24">
        <v>0.99888155590366845</v>
      </c>
      <c r="CW42" s="24" t="str">
        <f>"1"</f>
        <v>1</v>
      </c>
      <c r="CX42" t="str">
        <f ca="1">IF((OFFSET($A$1, 42 - 1, 100 - 1)) &gt;= (OFFSET($A$1, 78 - 1, 7 - 1)), "1","0")</f>
        <v>1</v>
      </c>
      <c r="CY42">
        <f ca="1" xml:space="preserve"> IF( AND( OFFSET($A$1, 42 - 1, 101 - 1) = "1", OFFSET($A$1, 42 - 1, 102 - 1) = "1" ), 1, IF( AND( OFFSET($A$1, 42 - 1, 101 - 1) = "1", OFFSET($A$1, 42 - 1, 102 - 1) = "0" ), 2, IF( AND( OFFSET($A$1, 42 - 1, 101 - 1) = "0", OFFSET($A$1, 42 - 1, 102 - 1) = "1" ), 3, 4 ) ) )</f>
        <v>1</v>
      </c>
    </row>
    <row r="43" spans="2:103" ht="18" x14ac:dyDescent="0.35">
      <c r="B43" s="22" t="s">
        <v>702</v>
      </c>
      <c r="CQ43" s="24">
        <v>0.8883305052108762</v>
      </c>
      <c r="CR43" s="24" t="str">
        <f t="shared" si="3"/>
        <v>1</v>
      </c>
      <c r="CS43" t="str">
        <f ca="1">IF((OFFSET($A$1, 43 - 1, 95 - 1)) &gt;= (OFFSET($A$1, 54 - 1, 7 - 1)), "1","0")</f>
        <v>1</v>
      </c>
      <c r="CT43">
        <f ca="1" xml:space="preserve"> IF( AND( OFFSET($A$1, 43 - 1, 96 - 1) = "1", OFFSET($A$1, 43 - 1, 97 - 1) = "1" ), 1, IF( AND( OFFSET($A$1, 43 - 1, 96 - 1) = "1", OFFSET($A$1, 43 - 1, 97 - 1) = "0" ), 2, IF( AND( OFFSET($A$1, 43 - 1, 96 - 1) = "0", OFFSET($A$1, 43 - 1, 97 - 1) = "1" ), 3, 4 ) ) )</f>
        <v>1</v>
      </c>
      <c r="CV43" s="24">
        <v>8.9740892968290673E-2</v>
      </c>
      <c r="CW43" s="24" t="str">
        <f>"0"</f>
        <v>0</v>
      </c>
      <c r="CX43" t="str">
        <f ca="1">IF((OFFSET($A$1, 43 - 1, 100 - 1)) &gt;= (OFFSET($A$1, 78 - 1, 7 - 1)), "1","0")</f>
        <v>0</v>
      </c>
      <c r="CY43">
        <f ca="1" xml:space="preserve"> IF( AND( OFFSET($A$1, 43 - 1, 101 - 1) = "1", OFFSET($A$1, 43 - 1, 102 - 1) = "1" ), 1, IF( AND( OFFSET($A$1, 43 - 1, 101 - 1) = "1", OFFSET($A$1, 43 - 1, 102 - 1) = "0" ), 2, IF( AND( OFFSET($A$1, 43 - 1, 101 - 1) = "0", OFFSET($A$1, 43 - 1, 102 - 1) = "1" ), 3, 4 ) ) )</f>
        <v>4</v>
      </c>
    </row>
    <row r="44" spans="2:103" ht="13.8" x14ac:dyDescent="0.3">
      <c r="CQ44" s="24">
        <v>0.97813235228758388</v>
      </c>
      <c r="CR44" s="24" t="str">
        <f>"0"</f>
        <v>0</v>
      </c>
      <c r="CS44" t="str">
        <f ca="1">IF((OFFSET($A$1, 44 - 1, 95 - 1)) &gt;= (OFFSET($A$1, 54 - 1, 7 - 1)), "1","0")</f>
        <v>1</v>
      </c>
      <c r="CT44">
        <f ca="1" xml:space="preserve"> IF( AND( OFFSET($A$1, 44 - 1, 96 - 1) = "1", OFFSET($A$1, 44 - 1, 97 - 1) = "1" ), 1, IF( AND( OFFSET($A$1, 44 - 1, 96 - 1) = "1", OFFSET($A$1, 44 - 1, 97 - 1) = "0" ), 2, IF( AND( OFFSET($A$1, 44 - 1, 96 - 1) = "0", OFFSET($A$1, 44 - 1, 97 - 1) = "1" ), 3, 4 ) ) )</f>
        <v>3</v>
      </c>
      <c r="CV44" s="24">
        <v>0.36479707634606978</v>
      </c>
      <c r="CW44" s="24" t="str">
        <f>"1"</f>
        <v>1</v>
      </c>
      <c r="CX44" t="str">
        <f ca="1">IF((OFFSET($A$1, 44 - 1, 100 - 1)) &gt;= (OFFSET($A$1, 78 - 1, 7 - 1)), "1","0")</f>
        <v>0</v>
      </c>
      <c r="CY44">
        <f ca="1" xml:space="preserve"> IF( AND( OFFSET($A$1, 44 - 1, 101 - 1) = "1", OFFSET($A$1, 44 - 1, 102 - 1) = "1" ), 1, IF( AND( OFFSET($A$1, 44 - 1, 101 - 1) = "1", OFFSET($A$1, 44 - 1, 102 - 1) = "0" ), 2, IF( AND( OFFSET($A$1, 44 - 1, 101 - 1) = "0", OFFSET($A$1, 44 - 1, 102 - 1) = "1" ), 3, 4 ) ) )</f>
        <v>2</v>
      </c>
    </row>
    <row r="45" spans="2:103" ht="13.8" x14ac:dyDescent="0.3">
      <c r="C45" s="67" t="s">
        <v>703</v>
      </c>
      <c r="D45" s="68"/>
      <c r="E45" s="68"/>
      <c r="F45" s="68"/>
      <c r="G45" s="66"/>
      <c r="CQ45" s="24">
        <v>0.99964146237478468</v>
      </c>
      <c r="CR45" s="24" t="str">
        <f>"1"</f>
        <v>1</v>
      </c>
      <c r="CS45" t="str">
        <f ca="1">IF((OFFSET($A$1, 45 - 1, 95 - 1)) &gt;= (OFFSET($A$1, 54 - 1, 7 - 1)), "1","0")</f>
        <v>1</v>
      </c>
      <c r="CT45">
        <f ca="1" xml:space="preserve"> IF( AND( OFFSET($A$1, 45 - 1, 96 - 1) = "1", OFFSET($A$1, 45 - 1, 97 - 1) = "1" ), 1, IF( AND( OFFSET($A$1, 45 - 1, 96 - 1) = "1", OFFSET($A$1, 45 - 1, 97 - 1) = "0" ), 2, IF( AND( OFFSET($A$1, 45 - 1, 96 - 1) = "0", OFFSET($A$1, 45 - 1, 97 - 1) = "1" ), 3, 4 ) ) )</f>
        <v>1</v>
      </c>
      <c r="CV45" s="24">
        <v>0.98808257012363543</v>
      </c>
      <c r="CW45" s="24" t="str">
        <f>"1"</f>
        <v>1</v>
      </c>
      <c r="CX45" t="str">
        <f ca="1">IF((OFFSET($A$1, 45 - 1, 100 - 1)) &gt;= (OFFSET($A$1, 78 - 1, 7 - 1)), "1","0")</f>
        <v>1</v>
      </c>
      <c r="CY45">
        <f ca="1" xml:space="preserve"> IF( AND( OFFSET($A$1, 45 - 1, 101 - 1) = "1", OFFSET($A$1, 45 - 1, 102 - 1) = "1" ), 1, IF( AND( OFFSET($A$1, 45 - 1, 101 - 1) = "1", OFFSET($A$1, 45 - 1, 102 - 1) = "0" ), 2, IF( AND( OFFSET($A$1, 45 - 1, 101 - 1) = "0", OFFSET($A$1, 45 - 1, 102 - 1) = "1" ), 3, 4 ) ) )</f>
        <v>1</v>
      </c>
    </row>
    <row r="46" spans="2:103" ht="13.8" x14ac:dyDescent="0.3">
      <c r="CQ46" s="24">
        <v>0.98913549524283639</v>
      </c>
      <c r="CR46" s="24" t="str">
        <f>"1"</f>
        <v>1</v>
      </c>
      <c r="CS46" t="str">
        <f ca="1">IF((OFFSET($A$1, 46 - 1, 95 - 1)) &gt;= (OFFSET($A$1, 54 - 1, 7 - 1)), "1","0")</f>
        <v>1</v>
      </c>
      <c r="CT46">
        <f ca="1" xml:space="preserve"> IF( AND( OFFSET($A$1, 46 - 1, 96 - 1) = "1", OFFSET($A$1, 46 - 1, 97 - 1) = "1" ), 1, IF( AND( OFFSET($A$1, 46 - 1, 96 - 1) = "1", OFFSET($A$1, 46 - 1, 97 - 1) = "0" ), 2, IF( AND( OFFSET($A$1, 46 - 1, 96 - 1) = "0", OFFSET($A$1, 46 - 1, 97 - 1) = "1" ), 3, 4 ) ) )</f>
        <v>1</v>
      </c>
      <c r="CV46" s="24">
        <v>0.2238529907293218</v>
      </c>
      <c r="CW46" s="24" t="str">
        <f>"0"</f>
        <v>0</v>
      </c>
      <c r="CX46" t="str">
        <f ca="1">IF((OFFSET($A$1, 46 - 1, 100 - 1)) &gt;= (OFFSET($A$1, 78 - 1, 7 - 1)), "1","0")</f>
        <v>0</v>
      </c>
      <c r="CY46">
        <f ca="1" xml:space="preserve"> IF( AND( OFFSET($A$1, 46 - 1, 101 - 1) = "1", OFFSET($A$1, 46 - 1, 102 - 1) = "1" ), 1, IF( AND( OFFSET($A$1, 46 - 1, 101 - 1) = "1", OFFSET($A$1, 46 - 1, 102 - 1) = "0" ), 2, IF( AND( OFFSET($A$1, 46 - 1, 101 - 1) = "0", OFFSET($A$1, 46 - 1, 102 - 1) = "1" ), 3, 4 ) ) )</f>
        <v>4</v>
      </c>
    </row>
    <row r="47" spans="2:103" ht="13.8" x14ac:dyDescent="0.3">
      <c r="C47" s="26" t="s">
        <v>332</v>
      </c>
      <c r="D47" s="26" t="s">
        <v>704</v>
      </c>
      <c r="CQ47" s="24">
        <v>0.93576208724960719</v>
      </c>
      <c r="CR47" s="24" t="str">
        <f>"1"</f>
        <v>1</v>
      </c>
      <c r="CS47" t="str">
        <f ca="1">IF((OFFSET($A$1, 47 - 1, 95 - 1)) &gt;= (OFFSET($A$1, 54 - 1, 7 - 1)), "1","0")</f>
        <v>1</v>
      </c>
      <c r="CT47">
        <f ca="1" xml:space="preserve"> IF( AND( OFFSET($A$1, 47 - 1, 96 - 1) = "1", OFFSET($A$1, 47 - 1, 97 - 1) = "1" ), 1, IF( AND( OFFSET($A$1, 47 - 1, 96 - 1) = "1", OFFSET($A$1, 47 - 1, 97 - 1) = "0" ), 2, IF( AND( OFFSET($A$1, 47 - 1, 96 - 1) = "0", OFFSET($A$1, 47 - 1, 97 - 1) = "1" ), 3, 4 ) ) )</f>
        <v>1</v>
      </c>
      <c r="CV47" s="24">
        <v>6.6247703164338853E-2</v>
      </c>
      <c r="CW47" s="24" t="str">
        <f>"0"</f>
        <v>0</v>
      </c>
      <c r="CX47" t="str">
        <f ca="1">IF((OFFSET($A$1, 47 - 1, 100 - 1)) &gt;= (OFFSET($A$1, 78 - 1, 7 - 1)), "1","0")</f>
        <v>0</v>
      </c>
      <c r="CY47">
        <f ca="1" xml:space="preserve"> IF( AND( OFFSET($A$1, 47 - 1, 101 - 1) = "1", OFFSET($A$1, 47 - 1, 102 - 1) = "1" ), 1, IF( AND( OFFSET($A$1, 47 - 1, 101 - 1) = "1", OFFSET($A$1, 47 - 1, 102 - 1) = "0" ), 2, IF( AND( OFFSET($A$1, 47 - 1, 101 - 1) = "0", OFFSET($A$1, 47 - 1, 102 - 1) = "1" ), 3, 4 ) ) )</f>
        <v>4</v>
      </c>
    </row>
    <row r="48" spans="2:103" ht="13.8" x14ac:dyDescent="0.3">
      <c r="C48" s="25">
        <v>0</v>
      </c>
      <c r="D48" s="24">
        <v>0.28500000000000003</v>
      </c>
      <c r="CQ48" s="24">
        <v>1.1030039302018084E-2</v>
      </c>
      <c r="CR48" s="24" t="str">
        <f>"0"</f>
        <v>0</v>
      </c>
      <c r="CS48" t="str">
        <f ca="1">IF((OFFSET($A$1, 48 - 1, 95 - 1)) &gt;= (OFFSET($A$1, 54 - 1, 7 - 1)), "1","0")</f>
        <v>0</v>
      </c>
      <c r="CT48">
        <f ca="1" xml:space="preserve"> IF( AND( OFFSET($A$1, 48 - 1, 96 - 1) = "1", OFFSET($A$1, 48 - 1, 97 - 1) = "1" ), 1, IF( AND( OFFSET($A$1, 48 - 1, 96 - 1) = "1", OFFSET($A$1, 48 - 1, 97 - 1) = "0" ), 2, IF( AND( OFFSET($A$1, 48 - 1, 96 - 1) = "0", OFFSET($A$1, 48 - 1, 97 - 1) = "1" ), 3, 4 ) ) )</f>
        <v>4</v>
      </c>
      <c r="CV48" s="24">
        <v>0.39521965857053959</v>
      </c>
      <c r="CW48" s="24" t="str">
        <f>"1"</f>
        <v>1</v>
      </c>
      <c r="CX48" t="str">
        <f ca="1">IF((OFFSET($A$1, 48 - 1, 100 - 1)) &gt;= (OFFSET($A$1, 78 - 1, 7 - 1)), "1","0")</f>
        <v>0</v>
      </c>
      <c r="CY48">
        <f ca="1" xml:space="preserve"> IF( AND( OFFSET($A$1, 48 - 1, 101 - 1) = "1", OFFSET($A$1, 48 - 1, 102 - 1) = "1" ), 1, IF( AND( OFFSET($A$1, 48 - 1, 101 - 1) = "1", OFFSET($A$1, 48 - 1, 102 - 1) = "0" ), 2, IF( AND( OFFSET($A$1, 48 - 1, 101 - 1) = "0", OFFSET($A$1, 48 - 1, 102 - 1) = "1" ), 3, 4 ) ) )</f>
        <v>2</v>
      </c>
    </row>
    <row r="49" spans="2:103" ht="13.8" x14ac:dyDescent="0.3">
      <c r="C49" s="25">
        <v>1</v>
      </c>
      <c r="D49" s="24">
        <v>0.71500000000000008</v>
      </c>
      <c r="CQ49" s="24">
        <v>0.98546399411577057</v>
      </c>
      <c r="CR49" s="24" t="str">
        <f t="shared" ref="CR49:CR55" si="4">"1"</f>
        <v>1</v>
      </c>
      <c r="CS49" t="str">
        <f ca="1">IF((OFFSET($A$1, 49 - 1, 95 - 1)) &gt;= (OFFSET($A$1, 54 - 1, 7 - 1)), "1","0")</f>
        <v>1</v>
      </c>
      <c r="CT49">
        <f ca="1" xml:space="preserve"> IF( AND( OFFSET($A$1, 49 - 1, 96 - 1) = "1", OFFSET($A$1, 49 - 1, 97 - 1) = "1" ), 1, IF( AND( OFFSET($A$1, 49 - 1, 96 - 1) = "1", OFFSET($A$1, 49 - 1, 97 - 1) = "0" ), 2, IF( AND( OFFSET($A$1, 49 - 1, 96 - 1) = "0", OFFSET($A$1, 49 - 1, 97 - 1) = "1" ), 3, 4 ) ) )</f>
        <v>1</v>
      </c>
      <c r="CV49" s="24">
        <v>0.99999745846714572</v>
      </c>
      <c r="CW49" s="24" t="str">
        <f>"1"</f>
        <v>1</v>
      </c>
      <c r="CX49" t="str">
        <f ca="1">IF((OFFSET($A$1, 49 - 1, 100 - 1)) &gt;= (OFFSET($A$1, 78 - 1, 7 - 1)), "1","0")</f>
        <v>1</v>
      </c>
      <c r="CY49">
        <f ca="1" xml:space="preserve"> IF( AND( OFFSET($A$1, 49 - 1, 101 - 1) = "1", OFFSET($A$1, 49 - 1, 102 - 1) = "1" ), 1, IF( AND( OFFSET($A$1, 49 - 1, 101 - 1) = "1", OFFSET($A$1, 49 - 1, 102 - 1) = "0" ), 2, IF( AND( OFFSET($A$1, 49 - 1, 101 - 1) = "0", OFFSET($A$1, 49 - 1, 102 - 1) = "1" ), 3, 4 ) ) )</f>
        <v>1</v>
      </c>
    </row>
    <row r="50" spans="2:103" ht="13.8" x14ac:dyDescent="0.3">
      <c r="CQ50" s="24">
        <v>0.99992993463107216</v>
      </c>
      <c r="CR50" s="24" t="str">
        <f t="shared" si="4"/>
        <v>1</v>
      </c>
      <c r="CS50" t="str">
        <f ca="1">IF((OFFSET($A$1, 50 - 1, 95 - 1)) &gt;= (OFFSET($A$1, 54 - 1, 7 - 1)), "1","0")</f>
        <v>1</v>
      </c>
      <c r="CT50">
        <f ca="1" xml:space="preserve"> IF( AND( OFFSET($A$1, 50 - 1, 96 - 1) = "1", OFFSET($A$1, 50 - 1, 97 - 1) = "1" ), 1, IF( AND( OFFSET($A$1, 50 - 1, 96 - 1) = "1", OFFSET($A$1, 50 - 1, 97 - 1) = "0" ), 2, IF( AND( OFFSET($A$1, 50 - 1, 96 - 1) = "0", OFFSET($A$1, 50 - 1, 97 - 1) = "1" ), 3, 4 ) ) )</f>
        <v>1</v>
      </c>
      <c r="CV50" s="24">
        <v>0.77773811332619291</v>
      </c>
      <c r="CW50" s="24" t="str">
        <f>"0"</f>
        <v>0</v>
      </c>
      <c r="CX50" t="str">
        <f ca="1">IF((OFFSET($A$1, 50 - 1, 100 - 1)) &gt;= (OFFSET($A$1, 78 - 1, 7 - 1)), "1","0")</f>
        <v>1</v>
      </c>
      <c r="CY50">
        <f ca="1" xml:space="preserve"> IF( AND( OFFSET($A$1, 50 - 1, 101 - 1) = "1", OFFSET($A$1, 50 - 1, 102 - 1) = "1" ), 1, IF( AND( OFFSET($A$1, 50 - 1, 101 - 1) = "1", OFFSET($A$1, 50 - 1, 102 - 1) = "0" ), 2, IF( AND( OFFSET($A$1, 50 - 1, 101 - 1) = "0", OFFSET($A$1, 50 - 1, 102 - 1) = "1" ), 3, 4 ) ) )</f>
        <v>3</v>
      </c>
    </row>
    <row r="51" spans="2:103" ht="13.8" x14ac:dyDescent="0.3">
      <c r="CQ51" s="24">
        <v>0.99998834663056668</v>
      </c>
      <c r="CR51" s="24" t="str">
        <f t="shared" si="4"/>
        <v>1</v>
      </c>
      <c r="CS51" t="str">
        <f ca="1">IF((OFFSET($A$1, 51 - 1, 95 - 1)) &gt;= (OFFSET($A$1, 54 - 1, 7 - 1)), "1","0")</f>
        <v>1</v>
      </c>
      <c r="CT51">
        <f ca="1" xml:space="preserve"> IF( AND( OFFSET($A$1, 51 - 1, 96 - 1) = "1", OFFSET($A$1, 51 - 1, 97 - 1) = "1" ), 1, IF( AND( OFFSET($A$1, 51 - 1, 96 - 1) = "1", OFFSET($A$1, 51 - 1, 97 - 1) = "0" ), 2, IF( AND( OFFSET($A$1, 51 - 1, 96 - 1) = "0", OFFSET($A$1, 51 - 1, 97 - 1) = "1" ), 3, 4 ) ) )</f>
        <v>1</v>
      </c>
      <c r="CV51" s="24">
        <v>3.1376176533950279E-2</v>
      </c>
      <c r="CW51" s="24" t="str">
        <f>"1"</f>
        <v>1</v>
      </c>
      <c r="CX51" t="str">
        <f ca="1">IF((OFFSET($A$1, 51 - 1, 100 - 1)) &gt;= (OFFSET($A$1, 78 - 1, 7 - 1)), "1","0")</f>
        <v>0</v>
      </c>
      <c r="CY51">
        <f ca="1" xml:space="preserve"> IF( AND( OFFSET($A$1, 51 - 1, 101 - 1) = "1", OFFSET($A$1, 51 - 1, 102 - 1) = "1" ), 1, IF( AND( OFFSET($A$1, 51 - 1, 101 - 1) = "1", OFFSET($A$1, 51 - 1, 102 - 1) = "0" ), 2, IF( AND( OFFSET($A$1, 51 - 1, 101 - 1) = "0", OFFSET($A$1, 51 - 1, 102 - 1) = "1" ), 3, 4 ) ) )</f>
        <v>2</v>
      </c>
    </row>
    <row r="52" spans="2:103" ht="18" x14ac:dyDescent="0.35">
      <c r="B52" s="22" t="s">
        <v>705</v>
      </c>
      <c r="CQ52" s="24">
        <v>0.99971040182995374</v>
      </c>
      <c r="CR52" s="24" t="str">
        <f t="shared" si="4"/>
        <v>1</v>
      </c>
      <c r="CS52" t="str">
        <f ca="1">IF((OFFSET($A$1, 52 - 1, 95 - 1)) &gt;= (OFFSET($A$1, 54 - 1, 7 - 1)), "1","0")</f>
        <v>1</v>
      </c>
      <c r="CT52">
        <f ca="1" xml:space="preserve"> IF( AND( OFFSET($A$1, 52 - 1, 96 - 1) = "1", OFFSET($A$1, 52 - 1, 97 - 1) = "1" ), 1, IF( AND( OFFSET($A$1, 52 - 1, 96 - 1) = "1", OFFSET($A$1, 52 - 1, 97 - 1) = "0" ), 2, IF( AND( OFFSET($A$1, 52 - 1, 96 - 1) = "0", OFFSET($A$1, 52 - 1, 97 - 1) = "1" ), 3, 4 ) ) )</f>
        <v>1</v>
      </c>
      <c r="CV52" s="24">
        <v>0.93468742205974431</v>
      </c>
      <c r="CW52" s="24" t="str">
        <f>"0"</f>
        <v>0</v>
      </c>
      <c r="CX52" t="str">
        <f ca="1">IF((OFFSET($A$1, 52 - 1, 100 - 1)) &gt;= (OFFSET($A$1, 78 - 1, 7 - 1)), "1","0")</f>
        <v>1</v>
      </c>
      <c r="CY52">
        <f ca="1" xml:space="preserve"> IF( AND( OFFSET($A$1, 52 - 1, 101 - 1) = "1", OFFSET($A$1, 52 - 1, 102 - 1) = "1" ), 1, IF( AND( OFFSET($A$1, 52 - 1, 101 - 1) = "1", OFFSET($A$1, 52 - 1, 102 - 1) = "0" ), 2, IF( AND( OFFSET($A$1, 52 - 1, 101 - 1) = "0", OFFSET($A$1, 52 - 1, 102 - 1) = "1" ), 3, 4 ) ) )</f>
        <v>3</v>
      </c>
    </row>
    <row r="53" spans="2:103" ht="13.8" x14ac:dyDescent="0.3">
      <c r="CQ53" s="24">
        <v>0.99799342315802519</v>
      </c>
      <c r="CR53" s="24" t="str">
        <f t="shared" si="4"/>
        <v>1</v>
      </c>
      <c r="CS53" t="str">
        <f ca="1">IF((OFFSET($A$1, 53 - 1, 95 - 1)) &gt;= (OFFSET($A$1, 54 - 1, 7 - 1)), "1","0")</f>
        <v>1</v>
      </c>
      <c r="CT53">
        <f ca="1" xml:space="preserve"> IF( AND( OFFSET($A$1, 53 - 1, 96 - 1) = "1", OFFSET($A$1, 53 - 1, 97 - 1) = "1" ), 1, IF( AND( OFFSET($A$1, 53 - 1, 96 - 1) = "1", OFFSET($A$1, 53 - 1, 97 - 1) = "0" ), 2, IF( AND( OFFSET($A$1, 53 - 1, 96 - 1) = "0", OFFSET($A$1, 53 - 1, 97 - 1) = "1" ), 3, 4 ) ) )</f>
        <v>1</v>
      </c>
      <c r="CV53" s="24">
        <v>0.99464568105273832</v>
      </c>
      <c r="CW53" s="24" t="str">
        <f>"0"</f>
        <v>0</v>
      </c>
      <c r="CX53" t="str">
        <f ca="1">IF((OFFSET($A$1, 53 - 1, 100 - 1)) &gt;= (OFFSET($A$1, 78 - 1, 7 - 1)), "1","0")</f>
        <v>1</v>
      </c>
      <c r="CY53">
        <f ca="1" xml:space="preserve"> IF( AND( OFFSET($A$1, 53 - 1, 101 - 1) = "1", OFFSET($A$1, 53 - 1, 102 - 1) = "1" ), 1, IF( AND( OFFSET($A$1, 53 - 1, 101 - 1) = "1", OFFSET($A$1, 53 - 1, 102 - 1) = "0" ), 2, IF( AND( OFFSET($A$1, 53 - 1, 101 - 1) = "0", OFFSET($A$1, 53 - 1, 102 - 1) = "1" ), 3, 4 ) ) )</f>
        <v>3</v>
      </c>
    </row>
    <row r="54" spans="2:103" ht="13.8" x14ac:dyDescent="0.3">
      <c r="C54" s="72" t="s">
        <v>706</v>
      </c>
      <c r="D54" s="73"/>
      <c r="E54" s="73"/>
      <c r="F54" s="74"/>
      <c r="G54" s="35">
        <v>0.5</v>
      </c>
      <c r="H54" s="72" t="s">
        <v>707</v>
      </c>
      <c r="I54" s="73"/>
      <c r="J54" s="73"/>
      <c r="K54" s="73"/>
      <c r="L54" s="73"/>
      <c r="M54" s="74"/>
      <c r="CQ54" s="24">
        <v>0.98567876844815194</v>
      </c>
      <c r="CR54" s="24" t="str">
        <f t="shared" si="4"/>
        <v>1</v>
      </c>
      <c r="CS54" t="str">
        <f ca="1">IF((OFFSET($A$1, 54 - 1, 95 - 1)) &gt;= (OFFSET($A$1, 54 - 1, 7 - 1)), "1","0")</f>
        <v>1</v>
      </c>
      <c r="CT54">
        <f ca="1" xml:space="preserve"> IF( AND( OFFSET($A$1, 54 - 1, 96 - 1) = "1", OFFSET($A$1, 54 - 1, 97 - 1) = "1" ), 1, IF( AND( OFFSET($A$1, 54 - 1, 96 - 1) = "1", OFFSET($A$1, 54 - 1, 97 - 1) = "0" ), 2, IF( AND( OFFSET($A$1, 54 - 1, 96 - 1) = "0", OFFSET($A$1, 54 - 1, 97 - 1) = "1" ), 3, 4 ) ) )</f>
        <v>1</v>
      </c>
      <c r="CV54" s="24">
        <v>0.99696163012325623</v>
      </c>
      <c r="CW54" s="24" t="str">
        <f>"1"</f>
        <v>1</v>
      </c>
      <c r="CX54" t="str">
        <f ca="1">IF((OFFSET($A$1, 54 - 1, 100 - 1)) &gt;= (OFFSET($A$1, 78 - 1, 7 - 1)), "1","0")</f>
        <v>1</v>
      </c>
      <c r="CY54">
        <f ca="1" xml:space="preserve"> IF( AND( OFFSET($A$1, 54 - 1, 101 - 1) = "1", OFFSET($A$1, 54 - 1, 102 - 1) = "1" ), 1, IF( AND( OFFSET($A$1, 54 - 1, 101 - 1) = "1", OFFSET($A$1, 54 - 1, 102 - 1) = "0" ), 2, IF( AND( OFFSET($A$1, 54 - 1, 101 - 1) = "0", OFFSET($A$1, 54 - 1, 102 - 1) = "1" ), 3, 4 ) ) )</f>
        <v>1</v>
      </c>
    </row>
    <row r="55" spans="2:103" ht="13.8" x14ac:dyDescent="0.3">
      <c r="CQ55" s="24">
        <v>0.99976327957345357</v>
      </c>
      <c r="CR55" s="24" t="str">
        <f t="shared" si="4"/>
        <v>1</v>
      </c>
      <c r="CS55" t="str">
        <f ca="1">IF((OFFSET($A$1, 55 - 1, 95 - 1)) &gt;= (OFFSET($A$1, 54 - 1, 7 - 1)), "1","0")</f>
        <v>1</v>
      </c>
      <c r="CT55">
        <f ca="1" xml:space="preserve"> IF( AND( OFFSET($A$1, 55 - 1, 96 - 1) = "1", OFFSET($A$1, 55 - 1, 97 - 1) = "1" ), 1, IF( AND( OFFSET($A$1, 55 - 1, 96 - 1) = "1", OFFSET($A$1, 55 - 1, 97 - 1) = "0" ), 2, IF( AND( OFFSET($A$1, 55 - 1, 96 - 1) = "0", OFFSET($A$1, 55 - 1, 97 - 1) = "1" ), 3, 4 ) ) )</f>
        <v>1</v>
      </c>
      <c r="CV55" s="24">
        <v>0.9774121386682052</v>
      </c>
      <c r="CW55" s="24" t="str">
        <f>"0"</f>
        <v>0</v>
      </c>
      <c r="CX55" t="str">
        <f ca="1">IF((OFFSET($A$1, 55 - 1, 100 - 1)) &gt;= (OFFSET($A$1, 78 - 1, 7 - 1)), "1","0")</f>
        <v>1</v>
      </c>
      <c r="CY55">
        <f ca="1" xml:space="preserve"> IF( AND( OFFSET($A$1, 55 - 1, 101 - 1) = "1", OFFSET($A$1, 55 - 1, 102 - 1) = "1" ), 1, IF( AND( OFFSET($A$1, 55 - 1, 101 - 1) = "1", OFFSET($A$1, 55 - 1, 102 - 1) = "0" ), 2, IF( AND( OFFSET($A$1, 55 - 1, 101 - 1) = "0", OFFSET($A$1, 55 - 1, 102 - 1) = "1" ), 3, 4 ) ) )</f>
        <v>3</v>
      </c>
    </row>
    <row r="56" spans="2:103" ht="15.6" x14ac:dyDescent="0.3">
      <c r="C56" s="59" t="s">
        <v>329</v>
      </c>
      <c r="D56" s="60"/>
      <c r="E56" s="61"/>
      <c r="CQ56" s="24">
        <v>7.2505188345464336E-2</v>
      </c>
      <c r="CR56" s="24" t="str">
        <f>"0"</f>
        <v>0</v>
      </c>
      <c r="CS56" t="str">
        <f ca="1">IF((OFFSET($A$1, 56 - 1, 95 - 1)) &gt;= (OFFSET($A$1, 54 - 1, 7 - 1)), "1","0")</f>
        <v>0</v>
      </c>
      <c r="CT56">
        <f ca="1" xml:space="preserve"> IF( AND( OFFSET($A$1, 56 - 1, 96 - 1) = "1", OFFSET($A$1, 56 - 1, 97 - 1) = "1" ), 1, IF( AND( OFFSET($A$1, 56 - 1, 96 - 1) = "1", OFFSET($A$1, 56 - 1, 97 - 1) = "0" ), 2, IF( AND( OFFSET($A$1, 56 - 1, 96 - 1) = "0", OFFSET($A$1, 56 - 1, 97 - 1) = "1" ), 3, 4 ) ) )</f>
        <v>4</v>
      </c>
      <c r="CV56" s="24">
        <v>0.99656937195488737</v>
      </c>
      <c r="CW56" s="24" t="str">
        <f>"0"</f>
        <v>0</v>
      </c>
      <c r="CX56" t="str">
        <f ca="1">IF((OFFSET($A$1, 56 - 1, 100 - 1)) &gt;= (OFFSET($A$1, 78 - 1, 7 - 1)), "1","0")</f>
        <v>1</v>
      </c>
      <c r="CY56">
        <f ca="1" xml:space="preserve"> IF( AND( OFFSET($A$1, 56 - 1, 101 - 1) = "1", OFFSET($A$1, 56 - 1, 102 - 1) = "1" ), 1, IF( AND( OFFSET($A$1, 56 - 1, 101 - 1) = "1", OFFSET($A$1, 56 - 1, 102 - 1) = "0" ), 2, IF( AND( OFFSET($A$1, 56 - 1, 101 - 1) = "0", OFFSET($A$1, 56 - 1, 102 - 1) = "1" ), 3, 4 ) ) )</f>
        <v>3</v>
      </c>
    </row>
    <row r="57" spans="2:103" ht="13.8" x14ac:dyDescent="0.3">
      <c r="C57" s="26"/>
      <c r="D57" s="75" t="s">
        <v>330</v>
      </c>
      <c r="E57" s="76"/>
      <c r="CQ57" s="24">
        <v>1.1031690147948504E-3</v>
      </c>
      <c r="CR57" s="24" t="str">
        <f>"0"</f>
        <v>0</v>
      </c>
      <c r="CS57" t="str">
        <f ca="1">IF((OFFSET($A$1, 57 - 1, 95 - 1)) &gt;= (OFFSET($A$1, 54 - 1, 7 - 1)), "1","0")</f>
        <v>0</v>
      </c>
      <c r="CT57">
        <f ca="1" xml:space="preserve"> IF( AND( OFFSET($A$1, 57 - 1, 96 - 1) = "1", OFFSET($A$1, 57 - 1, 97 - 1) = "1" ), 1, IF( AND( OFFSET($A$1, 57 - 1, 96 - 1) = "1", OFFSET($A$1, 57 - 1, 97 - 1) = "0" ), 2, IF( AND( OFFSET($A$1, 57 - 1, 96 - 1) = "0", OFFSET($A$1, 57 - 1, 97 - 1) = "1" ), 3, 4 ) ) )</f>
        <v>4</v>
      </c>
      <c r="CV57" s="24">
        <v>0.97889124712091558</v>
      </c>
      <c r="CW57" s="24" t="str">
        <f>"0"</f>
        <v>0</v>
      </c>
      <c r="CX57" t="str">
        <f ca="1">IF((OFFSET($A$1, 57 - 1, 100 - 1)) &gt;= (OFFSET($A$1, 78 - 1, 7 - 1)), "1","0")</f>
        <v>1</v>
      </c>
      <c r="CY57">
        <f ca="1" xml:space="preserve"> IF( AND( OFFSET($A$1, 57 - 1, 101 - 1) = "1", OFFSET($A$1, 57 - 1, 102 - 1) = "1" ), 1, IF( AND( OFFSET($A$1, 57 - 1, 101 - 1) = "1", OFFSET($A$1, 57 - 1, 102 - 1) = "0" ), 2, IF( AND( OFFSET($A$1, 57 - 1, 101 - 1) = "0", OFFSET($A$1, 57 - 1, 102 - 1) = "1" ), 3, 4 ) ) )</f>
        <v>3</v>
      </c>
    </row>
    <row r="58" spans="2:103" ht="13.8" x14ac:dyDescent="0.3">
      <c r="C58" s="25" t="s">
        <v>331</v>
      </c>
      <c r="D58" s="26">
        <v>1</v>
      </c>
      <c r="E58" s="26">
        <v>0</v>
      </c>
      <c r="CQ58" s="24">
        <v>0.93826607679874197</v>
      </c>
      <c r="CR58" s="24" t="str">
        <f>"1"</f>
        <v>1</v>
      </c>
      <c r="CS58" t="str">
        <f ca="1">IF((OFFSET($A$1, 58 - 1, 95 - 1)) &gt;= (OFFSET($A$1, 54 - 1, 7 - 1)), "1","0")</f>
        <v>1</v>
      </c>
      <c r="CT58">
        <f ca="1" xml:space="preserve"> IF( AND( OFFSET($A$1, 58 - 1, 96 - 1) = "1", OFFSET($A$1, 58 - 1, 97 - 1) = "1" ), 1, IF( AND( OFFSET($A$1, 58 - 1, 96 - 1) = "1", OFFSET($A$1, 58 - 1, 97 - 1) = "0" ), 2, IF( AND( OFFSET($A$1, 58 - 1, 96 - 1) = "0", OFFSET($A$1, 58 - 1, 97 - 1) = "1" ), 3, 4 ) ) )</f>
        <v>1</v>
      </c>
      <c r="CV58" s="24">
        <v>0.9999687840007242</v>
      </c>
      <c r="CW58" s="24" t="str">
        <f>"1"</f>
        <v>1</v>
      </c>
      <c r="CX58" t="str">
        <f ca="1">IF((OFFSET($A$1, 58 - 1, 100 - 1)) &gt;= (OFFSET($A$1, 78 - 1, 7 - 1)), "1","0")</f>
        <v>1</v>
      </c>
      <c r="CY58">
        <f ca="1" xml:space="preserve"> IF( AND( OFFSET($A$1, 58 - 1, 101 - 1) = "1", OFFSET($A$1, 58 - 1, 102 - 1) = "1" ), 1, IF( AND( OFFSET($A$1, 58 - 1, 101 - 1) = "1", OFFSET($A$1, 58 - 1, 102 - 1) = "0" ), 2, IF( AND( OFFSET($A$1, 58 - 1, 101 - 1) = "0", OFFSET($A$1, 58 - 1, 102 - 1) = "1" ), 3, 4 ) ) )</f>
        <v>1</v>
      </c>
    </row>
    <row r="59" spans="2:103" ht="13.8" x14ac:dyDescent="0.3">
      <c r="C59" s="25">
        <v>1</v>
      </c>
      <c r="D59" s="24">
        <f ca="1" xml:space="preserve"> COUNTIF( OFFSET($A$1, 1 - 1, 98 - 1, 601, 1), 1 )</f>
        <v>428</v>
      </c>
      <c r="E59" s="24">
        <f ca="1" xml:space="preserve"> COUNTIF( OFFSET($A$1, 1 - 1, 98 - 1, 601, 1), 2 )</f>
        <v>1</v>
      </c>
      <c r="CQ59" s="24">
        <v>0.99801804642088732</v>
      </c>
      <c r="CR59" s="24" t="str">
        <f>"1"</f>
        <v>1</v>
      </c>
      <c r="CS59" t="str">
        <f ca="1">IF((OFFSET($A$1, 59 - 1, 95 - 1)) &gt;= (OFFSET($A$1, 54 - 1, 7 - 1)), "1","0")</f>
        <v>1</v>
      </c>
      <c r="CT59">
        <f ca="1" xml:space="preserve"> IF( AND( OFFSET($A$1, 59 - 1, 96 - 1) = "1", OFFSET($A$1, 59 - 1, 97 - 1) = "1" ), 1, IF( AND( OFFSET($A$1, 59 - 1, 96 - 1) = "1", OFFSET($A$1, 59 - 1, 97 - 1) = "0" ), 2, IF( AND( OFFSET($A$1, 59 - 1, 96 - 1) = "0", OFFSET($A$1, 59 - 1, 97 - 1) = "1" ), 3, 4 ) ) )</f>
        <v>1</v>
      </c>
      <c r="CV59" s="24">
        <v>0.1461135690249635</v>
      </c>
      <c r="CW59" s="24" t="str">
        <f>"1"</f>
        <v>1</v>
      </c>
      <c r="CX59" t="str">
        <f ca="1">IF((OFFSET($A$1, 59 - 1, 100 - 1)) &gt;= (OFFSET($A$1, 78 - 1, 7 - 1)), "1","0")</f>
        <v>0</v>
      </c>
      <c r="CY59">
        <f ca="1" xml:space="preserve"> IF( AND( OFFSET($A$1, 59 - 1, 101 - 1) = "1", OFFSET($A$1, 59 - 1, 102 - 1) = "1" ), 1, IF( AND( OFFSET($A$1, 59 - 1, 101 - 1) = "1", OFFSET($A$1, 59 - 1, 102 - 1) = "0" ), 2, IF( AND( OFFSET($A$1, 59 - 1, 101 - 1) = "0", OFFSET($A$1, 59 - 1, 102 - 1) = "1" ), 3, 4 ) ) )</f>
        <v>2</v>
      </c>
    </row>
    <row r="60" spans="2:103" ht="13.8" x14ac:dyDescent="0.3">
      <c r="C60" s="25">
        <v>0</v>
      </c>
      <c r="D60" s="24">
        <f ca="1" xml:space="preserve"> COUNTIF( OFFSET($A$1, 1 - 1, 98 - 1, 601, 1), 3 )</f>
        <v>6</v>
      </c>
      <c r="E60" s="24">
        <f ca="1" xml:space="preserve"> COUNTIF( OFFSET($A$1, 1 - 1, 98 - 1, 601, 1), 4 )</f>
        <v>165</v>
      </c>
      <c r="CQ60" s="24">
        <v>0.99861783267294324</v>
      </c>
      <c r="CR60" s="24" t="str">
        <f>"1"</f>
        <v>1</v>
      </c>
      <c r="CS60" t="str">
        <f ca="1">IF((OFFSET($A$1, 60 - 1, 95 - 1)) &gt;= (OFFSET($A$1, 54 - 1, 7 - 1)), "1","0")</f>
        <v>1</v>
      </c>
      <c r="CT60">
        <f ca="1" xml:space="preserve"> IF( AND( OFFSET($A$1, 60 - 1, 96 - 1) = "1", OFFSET($A$1, 60 - 1, 97 - 1) = "1" ), 1, IF( AND( OFFSET($A$1, 60 - 1, 96 - 1) = "1", OFFSET($A$1, 60 - 1, 97 - 1) = "0" ), 2, IF( AND( OFFSET($A$1, 60 - 1, 96 - 1) = "0", OFFSET($A$1, 60 - 1, 97 - 1) = "1" ), 3, 4 ) ) )</f>
        <v>1</v>
      </c>
      <c r="CV60" s="24">
        <v>1.7123480657042379E-2</v>
      </c>
      <c r="CW60" s="24" t="str">
        <f>"0"</f>
        <v>0</v>
      </c>
      <c r="CX60" t="str">
        <f ca="1">IF((OFFSET($A$1, 60 - 1, 100 - 1)) &gt;= (OFFSET($A$1, 78 - 1, 7 - 1)), "1","0")</f>
        <v>0</v>
      </c>
      <c r="CY60">
        <f ca="1" xml:space="preserve"> IF( AND( OFFSET($A$1, 60 - 1, 101 - 1) = "1", OFFSET($A$1, 60 - 1, 102 - 1) = "1" ), 1, IF( AND( OFFSET($A$1, 60 - 1, 101 - 1) = "1", OFFSET($A$1, 60 - 1, 102 - 1) = "0" ), 2, IF( AND( OFFSET($A$1, 60 - 1, 101 - 1) = "0", OFFSET($A$1, 60 - 1, 102 - 1) = "1" ), 3, 4 ) ) )</f>
        <v>4</v>
      </c>
    </row>
    <row r="61" spans="2:103" ht="13.8" x14ac:dyDescent="0.3">
      <c r="CQ61" s="24">
        <v>0.99976237642359955</v>
      </c>
      <c r="CR61" s="24" t="str">
        <f>"1"</f>
        <v>1</v>
      </c>
      <c r="CS61" t="str">
        <f ca="1">IF((OFFSET($A$1, 61 - 1, 95 - 1)) &gt;= (OFFSET($A$1, 54 - 1, 7 - 1)), "1","0")</f>
        <v>1</v>
      </c>
      <c r="CT61">
        <f ca="1" xml:space="preserve"> IF( AND( OFFSET($A$1, 61 - 1, 96 - 1) = "1", OFFSET($A$1, 61 - 1, 97 - 1) = "1" ), 1, IF( AND( OFFSET($A$1, 61 - 1, 96 - 1) = "1", OFFSET($A$1, 61 - 1, 97 - 1) = "0" ), 2, IF( AND( OFFSET($A$1, 61 - 1, 96 - 1) = "0", OFFSET($A$1, 61 - 1, 97 - 1) = "1" ), 3, 4 ) ) )</f>
        <v>1</v>
      </c>
      <c r="CV61" s="24">
        <v>0.63418078767399177</v>
      </c>
      <c r="CW61" s="24" t="str">
        <f>"0"</f>
        <v>0</v>
      </c>
      <c r="CX61" t="str">
        <f ca="1">IF((OFFSET($A$1, 61 - 1, 100 - 1)) &gt;= (OFFSET($A$1, 78 - 1, 7 - 1)), "1","0")</f>
        <v>1</v>
      </c>
      <c r="CY61">
        <f ca="1" xml:space="preserve"> IF( AND( OFFSET($A$1, 61 - 1, 101 - 1) = "1", OFFSET($A$1, 61 - 1, 102 - 1) = "1" ), 1, IF( AND( OFFSET($A$1, 61 - 1, 101 - 1) = "1", OFFSET($A$1, 61 - 1, 102 - 1) = "0" ), 2, IF( AND( OFFSET($A$1, 61 - 1, 101 - 1) = "0", OFFSET($A$1, 61 - 1, 102 - 1) = "1" ), 3, 4 ) ) )</f>
        <v>3</v>
      </c>
    </row>
    <row r="62" spans="2:103" ht="15.6" x14ac:dyDescent="0.3">
      <c r="C62" s="59" t="s">
        <v>210</v>
      </c>
      <c r="D62" s="60"/>
      <c r="E62" s="60"/>
      <c r="F62" s="61"/>
      <c r="CQ62" s="24">
        <v>0.98545678518344415</v>
      </c>
      <c r="CR62" s="24" t="str">
        <f>"1"</f>
        <v>1</v>
      </c>
      <c r="CS62" t="str">
        <f ca="1">IF((OFFSET($A$1, 62 - 1, 95 - 1)) &gt;= (OFFSET($A$1, 54 - 1, 7 - 1)), "1","0")</f>
        <v>1</v>
      </c>
      <c r="CT62">
        <f ca="1" xml:space="preserve"> IF( AND( OFFSET($A$1, 62 - 1, 96 - 1) = "1", OFFSET($A$1, 62 - 1, 97 - 1) = "1" ), 1, IF( AND( OFFSET($A$1, 62 - 1, 96 - 1) = "1", OFFSET($A$1, 62 - 1, 97 - 1) = "0" ), 2, IF( AND( OFFSET($A$1, 62 - 1, 96 - 1) = "0", OFFSET($A$1, 62 - 1, 97 - 1) = "1" ), 3, 4 ) ) )</f>
        <v>1</v>
      </c>
      <c r="CV62" s="24">
        <v>0.99991902070172334</v>
      </c>
      <c r="CW62" s="24" t="str">
        <f>"1"</f>
        <v>1</v>
      </c>
      <c r="CX62" t="str">
        <f ca="1">IF((OFFSET($A$1, 62 - 1, 100 - 1)) &gt;= (OFFSET($A$1, 78 - 1, 7 - 1)), "1","0")</f>
        <v>1</v>
      </c>
      <c r="CY62">
        <f ca="1" xml:space="preserve"> IF( AND( OFFSET($A$1, 62 - 1, 101 - 1) = "1", OFFSET($A$1, 62 - 1, 102 - 1) = "1" ), 1, IF( AND( OFFSET($A$1, 62 - 1, 101 - 1) = "1", OFFSET($A$1, 62 - 1, 102 - 1) = "0" ), 2, IF( AND( OFFSET($A$1, 62 - 1, 101 - 1) = "0", OFFSET($A$1, 62 - 1, 102 - 1) = "1" ), 3, 4 ) ) )</f>
        <v>1</v>
      </c>
    </row>
    <row r="63" spans="2:103" ht="13.8" x14ac:dyDescent="0.3">
      <c r="C63" s="26" t="s">
        <v>332</v>
      </c>
      <c r="D63" s="26" t="s">
        <v>333</v>
      </c>
      <c r="E63" s="26" t="s">
        <v>334</v>
      </c>
      <c r="F63" s="26" t="s">
        <v>335</v>
      </c>
      <c r="CQ63" s="24">
        <v>5.1189352104381393E-2</v>
      </c>
      <c r="CR63" s="24" t="str">
        <f>"0"</f>
        <v>0</v>
      </c>
      <c r="CS63" t="str">
        <f ca="1">IF((OFFSET($A$1, 63 - 1, 95 - 1)) &gt;= (OFFSET($A$1, 54 - 1, 7 - 1)), "1","0")</f>
        <v>0</v>
      </c>
      <c r="CT63">
        <f ca="1" xml:space="preserve"> IF( AND( OFFSET($A$1, 63 - 1, 96 - 1) = "1", OFFSET($A$1, 63 - 1, 97 - 1) = "1" ), 1, IF( AND( OFFSET($A$1, 63 - 1, 96 - 1) = "1", OFFSET($A$1, 63 - 1, 97 - 1) = "0" ), 2, IF( AND( OFFSET($A$1, 63 - 1, 96 - 1) = "0", OFFSET($A$1, 63 - 1, 97 - 1) = "1" ), 3, 4 ) ) )</f>
        <v>4</v>
      </c>
      <c r="CV63" s="24">
        <v>0.98304423930668139</v>
      </c>
      <c r="CW63" s="24" t="str">
        <f>"0"</f>
        <v>0</v>
      </c>
      <c r="CX63" t="str">
        <f ca="1">IF((OFFSET($A$1, 63 - 1, 100 - 1)) &gt;= (OFFSET($A$1, 78 - 1, 7 - 1)), "1","0")</f>
        <v>1</v>
      </c>
      <c r="CY63">
        <f ca="1" xml:space="preserve"> IF( AND( OFFSET($A$1, 63 - 1, 101 - 1) = "1", OFFSET($A$1, 63 - 1, 102 - 1) = "1" ), 1, IF( AND( OFFSET($A$1, 63 - 1, 101 - 1) = "1", OFFSET($A$1, 63 - 1, 102 - 1) = "0" ), 2, IF( AND( OFFSET($A$1, 63 - 1, 101 - 1) = "0", OFFSET($A$1, 63 - 1, 102 - 1) = "1" ), 3, 4 ) ) )</f>
        <v>3</v>
      </c>
    </row>
    <row r="64" spans="2:103" ht="13.8" x14ac:dyDescent="0.3">
      <c r="C64" s="25">
        <v>1</v>
      </c>
      <c r="D64" s="24">
        <f ca="1">SUM(OFFSET($A$1, 59 - 1, 4 - 1, 1, 2))</f>
        <v>429</v>
      </c>
      <c r="E64" s="24">
        <f ca="1">SUM(OFFSET($A$1, 59 - 1, 4 - 1, 1, 2)) - OFFSET($A$1, 59 - 1, 4 - 1)</f>
        <v>1</v>
      </c>
      <c r="F64" s="24">
        <f ca="1">IF(OFFSET($A$1, 64 - 1, 4 - 1)=0,"Undefined",((OFFSET($A$1, 64 - 1, 5 - 1))*100) / (OFFSET($A$1, 64 - 1, 4 - 1)))</f>
        <v>0.23310023310023309</v>
      </c>
      <c r="CQ64" s="24">
        <v>0.99126017385959497</v>
      </c>
      <c r="CR64" s="24" t="str">
        <f>"1"</f>
        <v>1</v>
      </c>
      <c r="CS64" t="str">
        <f ca="1">IF((OFFSET($A$1, 64 - 1, 95 - 1)) &gt;= (OFFSET($A$1, 54 - 1, 7 - 1)), "1","0")</f>
        <v>1</v>
      </c>
      <c r="CT64">
        <f ca="1" xml:space="preserve"> IF( AND( OFFSET($A$1, 64 - 1, 96 - 1) = "1", OFFSET($A$1, 64 - 1, 97 - 1) = "1" ), 1, IF( AND( OFFSET($A$1, 64 - 1, 96 - 1) = "1", OFFSET($A$1, 64 - 1, 97 - 1) = "0" ), 2, IF( AND( OFFSET($A$1, 64 - 1, 96 - 1) = "0", OFFSET($A$1, 64 - 1, 97 - 1) = "1" ), 3, 4 ) ) )</f>
        <v>1</v>
      </c>
      <c r="CV64" s="24">
        <v>0.84285538140916727</v>
      </c>
      <c r="CW64" s="24" t="str">
        <f>"0"</f>
        <v>0</v>
      </c>
      <c r="CX64" t="str">
        <f ca="1">IF((OFFSET($A$1, 64 - 1, 100 - 1)) &gt;= (OFFSET($A$1, 78 - 1, 7 - 1)), "1","0")</f>
        <v>1</v>
      </c>
      <c r="CY64">
        <f ca="1" xml:space="preserve"> IF( AND( OFFSET($A$1, 64 - 1, 101 - 1) = "1", OFFSET($A$1, 64 - 1, 102 - 1) = "1" ), 1, IF( AND( OFFSET($A$1, 64 - 1, 101 - 1) = "1", OFFSET($A$1, 64 - 1, 102 - 1) = "0" ), 2, IF( AND( OFFSET($A$1, 64 - 1, 101 - 1) = "0", OFFSET($A$1, 64 - 1, 102 - 1) = "1" ), 3, 4 ) ) )</f>
        <v>3</v>
      </c>
    </row>
    <row r="65" spans="2:103" ht="13.8" x14ac:dyDescent="0.3">
      <c r="C65" s="25">
        <v>0</v>
      </c>
      <c r="D65" s="24">
        <f ca="1">SUM(OFFSET($A$1, 60 - 1, 4 - 1, 1, 2))</f>
        <v>171</v>
      </c>
      <c r="E65" s="24">
        <f ca="1">SUM(OFFSET($A$1, 60 - 1, 4 - 1, 1, 2)) - OFFSET($A$1, 60 - 1, 5 - 1)</f>
        <v>6</v>
      </c>
      <c r="F65" s="24">
        <f ca="1">IF(OFFSET($A$1, 65 - 1, 4 - 1)=0,"Undefined",((OFFSET($A$1, 65 - 1, 5 - 1))*100) / (OFFSET($A$1, 65 - 1, 4 - 1)))</f>
        <v>3.5087719298245612</v>
      </c>
      <c r="CQ65" s="24">
        <v>0.99991982801172785</v>
      </c>
      <c r="CR65" s="24" t="str">
        <f>"1"</f>
        <v>1</v>
      </c>
      <c r="CS65" t="str">
        <f ca="1">IF((OFFSET($A$1, 65 - 1, 95 - 1)) &gt;= (OFFSET($A$1, 54 - 1, 7 - 1)), "1","0")</f>
        <v>1</v>
      </c>
      <c r="CT65">
        <f ca="1" xml:space="preserve"> IF( AND( OFFSET($A$1, 65 - 1, 96 - 1) = "1", OFFSET($A$1, 65 - 1, 97 - 1) = "1" ), 1, IF( AND( OFFSET($A$1, 65 - 1, 96 - 1) = "1", OFFSET($A$1, 65 - 1, 97 - 1) = "0" ), 2, IF( AND( OFFSET($A$1, 65 - 1, 96 - 1) = "0", OFFSET($A$1, 65 - 1, 97 - 1) = "1" ), 3, 4 ) ) )</f>
        <v>1</v>
      </c>
      <c r="CV65" s="24">
        <v>0.88732716729776084</v>
      </c>
      <c r="CW65" s="24" t="str">
        <f>"1"</f>
        <v>1</v>
      </c>
      <c r="CX65" t="str">
        <f ca="1">IF((OFFSET($A$1, 65 - 1, 100 - 1)) &gt;= (OFFSET($A$1, 78 - 1, 7 - 1)), "1","0")</f>
        <v>1</v>
      </c>
      <c r="CY65">
        <f ca="1" xml:space="preserve"> IF( AND( OFFSET($A$1, 65 - 1, 101 - 1) = "1", OFFSET($A$1, 65 - 1, 102 - 1) = "1" ), 1, IF( AND( OFFSET($A$1, 65 - 1, 101 - 1) = "1", OFFSET($A$1, 65 - 1, 102 - 1) = "0" ), 2, IF( AND( OFFSET($A$1, 65 - 1, 101 - 1) = "0", OFFSET($A$1, 65 - 1, 102 - 1) = "1" ), 3, 4 ) ) )</f>
        <v>1</v>
      </c>
    </row>
    <row r="66" spans="2:103" ht="13.8" x14ac:dyDescent="0.3">
      <c r="C66" s="25" t="s">
        <v>336</v>
      </c>
      <c r="D66" s="24">
        <f ca="1">SUM(OFFSET($A$1, 64 - 1, 4 - 1, 2, 1))</f>
        <v>600</v>
      </c>
      <c r="E66" s="24">
        <f ca="1">SUM(OFFSET($A$1, 64 - 1, 5 - 1, 2, 1))</f>
        <v>7</v>
      </c>
      <c r="F66" s="24">
        <f ca="1">IF(OFFSET($A$1, 66 - 1, 4 - 1)=0,"Undefined",((OFFSET($A$1, 66 - 1, 5 - 1))*100) / (OFFSET($A$1, 66 - 1, 4 - 1)))</f>
        <v>1.1666666666666667</v>
      </c>
      <c r="CQ66" s="24">
        <v>8.207468016482939E-3</v>
      </c>
      <c r="CR66" s="24" t="str">
        <f>"0"</f>
        <v>0</v>
      </c>
      <c r="CS66" t="str">
        <f ca="1">IF((OFFSET($A$1, 66 - 1, 95 - 1)) &gt;= (OFFSET($A$1, 54 - 1, 7 - 1)), "1","0")</f>
        <v>0</v>
      </c>
      <c r="CT66">
        <f ca="1" xml:space="preserve"> IF( AND( OFFSET($A$1, 66 - 1, 96 - 1) = "1", OFFSET($A$1, 66 - 1, 97 - 1) = "1" ), 1, IF( AND( OFFSET($A$1, 66 - 1, 96 - 1) = "1", OFFSET($A$1, 66 - 1, 97 - 1) = "0" ), 2, IF( AND( OFFSET($A$1, 66 - 1, 96 - 1) = "0", OFFSET($A$1, 66 - 1, 97 - 1) = "1" ), 3, 4 ) ) )</f>
        <v>4</v>
      </c>
      <c r="CV66" s="24">
        <v>0.94624657523867806</v>
      </c>
      <c r="CW66" s="24" t="str">
        <f>"1"</f>
        <v>1</v>
      </c>
      <c r="CX66" t="str">
        <f ca="1">IF((OFFSET($A$1, 66 - 1, 100 - 1)) &gt;= (OFFSET($A$1, 78 - 1, 7 - 1)), "1","0")</f>
        <v>1</v>
      </c>
      <c r="CY66">
        <f ca="1" xml:space="preserve"> IF( AND( OFFSET($A$1, 66 - 1, 101 - 1) = "1", OFFSET($A$1, 66 - 1, 102 - 1) = "1" ), 1, IF( AND( OFFSET($A$1, 66 - 1, 101 - 1) = "1", OFFSET($A$1, 66 - 1, 102 - 1) = "0" ), 2, IF( AND( OFFSET($A$1, 66 - 1, 101 - 1) = "0", OFFSET($A$1, 66 - 1, 102 - 1) = "1" ), 3, 4 ) ) )</f>
        <v>1</v>
      </c>
    </row>
    <row r="67" spans="2:103" ht="13.8" x14ac:dyDescent="0.3">
      <c r="CQ67" s="24">
        <v>0.98516636387522472</v>
      </c>
      <c r="CR67" s="24" t="str">
        <f>"1"</f>
        <v>1</v>
      </c>
      <c r="CS67" t="str">
        <f ca="1">IF((OFFSET($A$1, 67 - 1, 95 - 1)) &gt;= (OFFSET($A$1, 54 - 1, 7 - 1)), "1","0")</f>
        <v>1</v>
      </c>
      <c r="CT67">
        <f ca="1" xml:space="preserve"> IF( AND( OFFSET($A$1, 67 - 1, 96 - 1) = "1", OFFSET($A$1, 67 - 1, 97 - 1) = "1" ), 1, IF( AND( OFFSET($A$1, 67 - 1, 96 - 1) = "1", OFFSET($A$1, 67 - 1, 97 - 1) = "0" ), 2, IF( AND( OFFSET($A$1, 67 - 1, 96 - 1) = "0", OFFSET($A$1, 67 - 1, 97 - 1) = "1" ), 3, 4 ) ) )</f>
        <v>1</v>
      </c>
      <c r="CV67" s="24">
        <v>0.84604948750843045</v>
      </c>
      <c r="CW67" s="24" t="str">
        <f>"1"</f>
        <v>1</v>
      </c>
      <c r="CX67" t="str">
        <f ca="1">IF((OFFSET($A$1, 67 - 1, 100 - 1)) &gt;= (OFFSET($A$1, 78 - 1, 7 - 1)), "1","0")</f>
        <v>1</v>
      </c>
      <c r="CY67">
        <f ca="1" xml:space="preserve"> IF( AND( OFFSET($A$1, 67 - 1, 101 - 1) = "1", OFFSET($A$1, 67 - 1, 102 - 1) = "1" ), 1, IF( AND( OFFSET($A$1, 67 - 1, 101 - 1) = "1", OFFSET($A$1, 67 - 1, 102 - 1) = "0" ), 2, IF( AND( OFFSET($A$1, 67 - 1, 101 - 1) = "0", OFFSET($A$1, 67 - 1, 102 - 1) = "1" ), 3, 4 ) ) )</f>
        <v>1</v>
      </c>
    </row>
    <row r="68" spans="2:103" ht="15.6" x14ac:dyDescent="0.3">
      <c r="C68" s="59" t="s">
        <v>708</v>
      </c>
      <c r="D68" s="60"/>
      <c r="E68" s="61"/>
      <c r="CQ68" s="24">
        <v>0.99997221248538226</v>
      </c>
      <c r="CR68" s="24" t="str">
        <f>"1"</f>
        <v>1</v>
      </c>
      <c r="CS68" t="str">
        <f ca="1">IF((OFFSET($A$1, 68 - 1, 95 - 1)) &gt;= (OFFSET($A$1, 54 - 1, 7 - 1)), "1","0")</f>
        <v>1</v>
      </c>
      <c r="CT68">
        <f ca="1" xml:space="preserve"> IF( AND( OFFSET($A$1, 68 - 1, 96 - 1) = "1", OFFSET($A$1, 68 - 1, 97 - 1) = "1" ), 1, IF( AND( OFFSET($A$1, 68 - 1, 96 - 1) = "1", OFFSET($A$1, 68 - 1, 97 - 1) = "0" ), 2, IF( AND( OFFSET($A$1, 68 - 1, 96 - 1) = "0", OFFSET($A$1, 68 - 1, 97 - 1) = "1" ), 3, 4 ) ) )</f>
        <v>1</v>
      </c>
      <c r="CV68" s="24">
        <v>0.46881829260285657</v>
      </c>
      <c r="CW68" s="24" t="str">
        <f>"0"</f>
        <v>0</v>
      </c>
      <c r="CX68" t="str">
        <f ca="1">IF((OFFSET($A$1, 68 - 1, 100 - 1)) &gt;= (OFFSET($A$1, 78 - 1, 7 - 1)), "1","0")</f>
        <v>0</v>
      </c>
      <c r="CY68">
        <f ca="1" xml:space="preserve"> IF( AND( OFFSET($A$1, 68 - 1, 101 - 1) = "1", OFFSET($A$1, 68 - 1, 102 - 1) = "1" ), 1, IF( AND( OFFSET($A$1, 68 - 1, 101 - 1) = "1", OFFSET($A$1, 68 - 1, 102 - 1) = "0" ), 2, IF( AND( OFFSET($A$1, 68 - 1, 101 - 1) = "0", OFFSET($A$1, 68 - 1, 102 - 1) = "1" ), 3, 4 ) ) )</f>
        <v>4</v>
      </c>
    </row>
    <row r="69" spans="2:103" ht="13.8" x14ac:dyDescent="0.3">
      <c r="C69" s="62" t="s">
        <v>709</v>
      </c>
      <c r="D69" s="64"/>
      <c r="E69" s="34">
        <v>1</v>
      </c>
      <c r="CQ69" s="24">
        <v>0.97575189626742986</v>
      </c>
      <c r="CR69" s="24" t="str">
        <f>"1"</f>
        <v>1</v>
      </c>
      <c r="CS69" t="str">
        <f ca="1">IF((OFFSET($A$1, 69 - 1, 95 - 1)) &gt;= (OFFSET($A$1, 54 - 1, 7 - 1)), "1","0")</f>
        <v>1</v>
      </c>
      <c r="CT69">
        <f ca="1" xml:space="preserve"> IF( AND( OFFSET($A$1, 69 - 1, 96 - 1) = "1", OFFSET($A$1, 69 - 1, 97 - 1) = "1" ), 1, IF( AND( OFFSET($A$1, 69 - 1, 96 - 1) = "1", OFFSET($A$1, 69 - 1, 97 - 1) = "0" ), 2, IF( AND( OFFSET($A$1, 69 - 1, 96 - 1) = "0", OFFSET($A$1, 69 - 1, 97 - 1) = "1" ), 3, 4 ) ) )</f>
        <v>1</v>
      </c>
      <c r="CV69" s="24">
        <v>0.99999999177055032</v>
      </c>
      <c r="CW69" s="24" t="str">
        <f>"1"</f>
        <v>1</v>
      </c>
      <c r="CX69" t="str">
        <f ca="1">IF((OFFSET($A$1, 69 - 1, 100 - 1)) &gt;= (OFFSET($A$1, 78 - 1, 7 - 1)), "1","0")</f>
        <v>1</v>
      </c>
      <c r="CY69">
        <f ca="1" xml:space="preserve"> IF( AND( OFFSET($A$1, 69 - 1, 101 - 1) = "1", OFFSET($A$1, 69 - 1, 102 - 1) = "1" ), 1, IF( AND( OFFSET($A$1, 69 - 1, 101 - 1) = "1", OFFSET($A$1, 69 - 1, 102 - 1) = "0" ), 2, IF( AND( OFFSET($A$1, 69 - 1, 101 - 1) = "0", OFFSET($A$1, 69 - 1, 102 - 1) = "1" ), 3, 4 ) ) )</f>
        <v>1</v>
      </c>
    </row>
    <row r="70" spans="2:103" ht="13.8" x14ac:dyDescent="0.3">
      <c r="C70" s="62" t="s">
        <v>710</v>
      </c>
      <c r="D70" s="64"/>
      <c r="E70" s="34">
        <f ca="1">IF((OFFSET($A$1, 59 - 1, 4 - 1) + OFFSET($A$1, 60 - 1, 4 - 1)) = 0,"Undefined",OFFSET($A$1, 59 - 1, 4 - 1)/(OFFSET($A$1, 59 - 1, 4 - 1) + OFFSET($A$1, 60 - 1, 4 - 1)))</f>
        <v>0.98617511520737322</v>
      </c>
      <c r="CQ70" s="24">
        <v>7.9655288466182791E-2</v>
      </c>
      <c r="CR70" s="24" t="str">
        <f>"0"</f>
        <v>0</v>
      </c>
      <c r="CS70" t="str">
        <f ca="1">IF((OFFSET($A$1, 70 - 1, 95 - 1)) &gt;= (OFFSET($A$1, 54 - 1, 7 - 1)), "1","0")</f>
        <v>0</v>
      </c>
      <c r="CT70">
        <f ca="1" xml:space="preserve"> IF( AND( OFFSET($A$1, 70 - 1, 96 - 1) = "1", OFFSET($A$1, 70 - 1, 97 - 1) = "1" ), 1, IF( AND( OFFSET($A$1, 70 - 1, 96 - 1) = "1", OFFSET($A$1, 70 - 1, 97 - 1) = "0" ), 2, IF( AND( OFFSET($A$1, 70 - 1, 96 - 1) = "0", OFFSET($A$1, 70 - 1, 97 - 1) = "1" ), 3, 4 ) ) )</f>
        <v>4</v>
      </c>
      <c r="CV70" s="24">
        <v>6.8744803315879649E-2</v>
      </c>
      <c r="CW70" s="24" t="str">
        <f>"0"</f>
        <v>0</v>
      </c>
      <c r="CX70" t="str">
        <f ca="1">IF((OFFSET($A$1, 70 - 1, 100 - 1)) &gt;= (OFFSET($A$1, 78 - 1, 7 - 1)), "1","0")</f>
        <v>0</v>
      </c>
      <c r="CY70">
        <f ca="1" xml:space="preserve"> IF( AND( OFFSET($A$1, 70 - 1, 101 - 1) = "1", OFFSET($A$1, 70 - 1, 102 - 1) = "1" ), 1, IF( AND( OFFSET($A$1, 70 - 1, 101 - 1) = "1", OFFSET($A$1, 70 - 1, 102 - 1) = "0" ), 2, IF( AND( OFFSET($A$1, 70 - 1, 101 - 1) = "0", OFFSET($A$1, 70 - 1, 102 - 1) = "1" ), 3, 4 ) ) )</f>
        <v>4</v>
      </c>
    </row>
    <row r="71" spans="2:103" ht="13.8" x14ac:dyDescent="0.3">
      <c r="C71" s="62" t="s">
        <v>711</v>
      </c>
      <c r="D71" s="64"/>
      <c r="E71" s="34">
        <f ca="1">IF((OFFSET($A$1, 59 - 1, 4 - 1) + OFFSET($A$1, 59 - 1, 5 - 1)) = 0,"Undefined",OFFSET($A$1, 59 - 1, 4 - 1)/(OFFSET($A$1, 59 - 1, 4 - 1) + OFFSET($A$1, 59 - 1, 5 - 1)))</f>
        <v>0.99766899766899764</v>
      </c>
      <c r="CQ71" s="24">
        <v>0.99326048257771371</v>
      </c>
      <c r="CR71" s="24" t="str">
        <f>"1"</f>
        <v>1</v>
      </c>
      <c r="CS71" t="str">
        <f ca="1">IF((OFFSET($A$1, 71 - 1, 95 - 1)) &gt;= (OFFSET($A$1, 54 - 1, 7 - 1)), "1","0")</f>
        <v>1</v>
      </c>
      <c r="CT71">
        <f ca="1" xml:space="preserve"> IF( AND( OFFSET($A$1, 71 - 1, 96 - 1) = "1", OFFSET($A$1, 71 - 1, 97 - 1) = "1" ), 1, IF( AND( OFFSET($A$1, 71 - 1, 96 - 1) = "1", OFFSET($A$1, 71 - 1, 97 - 1) = "0" ), 2, IF( AND( OFFSET($A$1, 71 - 1, 96 - 1) = "0", OFFSET($A$1, 71 - 1, 97 - 1) = "1" ), 3, 4 ) ) )</f>
        <v>1</v>
      </c>
      <c r="CV71" s="24">
        <v>0.82646363992196892</v>
      </c>
      <c r="CW71" s="24" t="str">
        <f>"1"</f>
        <v>1</v>
      </c>
      <c r="CX71" t="str">
        <f ca="1">IF((OFFSET($A$1, 71 - 1, 100 - 1)) &gt;= (OFFSET($A$1, 78 - 1, 7 - 1)), "1","0")</f>
        <v>1</v>
      </c>
      <c r="CY71">
        <f ca="1" xml:space="preserve"> IF( AND( OFFSET($A$1, 71 - 1, 101 - 1) = "1", OFFSET($A$1, 71 - 1, 102 - 1) = "1" ), 1, IF( AND( OFFSET($A$1, 71 - 1, 101 - 1) = "1", OFFSET($A$1, 71 - 1, 102 - 1) = "0" ), 2, IF( AND( OFFSET($A$1, 71 - 1, 101 - 1) = "0", OFFSET($A$1, 71 - 1, 102 - 1) = "1" ), 3, 4 ) ) )</f>
        <v>1</v>
      </c>
    </row>
    <row r="72" spans="2:103" ht="13.8" x14ac:dyDescent="0.3">
      <c r="C72" s="62" t="s">
        <v>712</v>
      </c>
      <c r="D72" s="64"/>
      <c r="E72" s="34">
        <f ca="1">IF((OFFSET($A$1, 60 - 1, 4 - 1) + OFFSET($A$1, 60 - 1, 5 - 1)) = 0,"Undefined",OFFSET($A$1, 60 - 1, 5 - 1)/(OFFSET($A$1, 60 - 1, 4 - 1) + OFFSET($A$1, 60 - 1, 5 - 1)))</f>
        <v>0.96491228070175439</v>
      </c>
      <c r="CQ72" s="24">
        <v>4.7873114225253401E-2</v>
      </c>
      <c r="CR72" s="24" t="str">
        <f>"0"</f>
        <v>0</v>
      </c>
      <c r="CS72" t="str">
        <f ca="1">IF((OFFSET($A$1, 72 - 1, 95 - 1)) &gt;= (OFFSET($A$1, 54 - 1, 7 - 1)), "1","0")</f>
        <v>0</v>
      </c>
      <c r="CT72">
        <f ca="1" xml:space="preserve"> IF( AND( OFFSET($A$1, 72 - 1, 96 - 1) = "1", OFFSET($A$1, 72 - 1, 97 - 1) = "1" ), 1, IF( AND( OFFSET($A$1, 72 - 1, 96 - 1) = "1", OFFSET($A$1, 72 - 1, 97 - 1) = "0" ), 2, IF( AND( OFFSET($A$1, 72 - 1, 96 - 1) = "0", OFFSET($A$1, 72 - 1, 97 - 1) = "1" ), 3, 4 ) ) )</f>
        <v>4</v>
      </c>
      <c r="CV72" s="24">
        <v>0.95773695960957062</v>
      </c>
      <c r="CW72" s="24" t="str">
        <f>"0"</f>
        <v>0</v>
      </c>
      <c r="CX72" t="str">
        <f ca="1">IF((OFFSET($A$1, 72 - 1, 100 - 1)) &gt;= (OFFSET($A$1, 78 - 1, 7 - 1)), "1","0")</f>
        <v>1</v>
      </c>
      <c r="CY72">
        <f ca="1" xml:space="preserve"> IF( AND( OFFSET($A$1, 72 - 1, 101 - 1) = "1", OFFSET($A$1, 72 - 1, 102 - 1) = "1" ), 1, IF( AND( OFFSET($A$1, 72 - 1, 101 - 1) = "1", OFFSET($A$1, 72 - 1, 102 - 1) = "0" ), 2, IF( AND( OFFSET($A$1, 72 - 1, 101 - 1) = "0", OFFSET($A$1, 72 - 1, 102 - 1) = "1" ), 3, 4 ) ) )</f>
        <v>3</v>
      </c>
    </row>
    <row r="73" spans="2:103" ht="13.8" x14ac:dyDescent="0.3">
      <c r="C73" s="62" t="s">
        <v>713</v>
      </c>
      <c r="D73" s="64"/>
      <c r="E73" s="34">
        <f ca="1">IF(OR(OFFSET($A$1, 70 - 1, 5 - 1)="Undefined",OFFSET($A$1, 71 - 1, 5 - 1)="Undefined"),"Undefined",IF((OFFSET($A$1, 70 - 1, 5 - 1) + OFFSET($A$1, 71 - 1, 5 - 1))=0,"Undefined",2*OFFSET($A$1, 70 - 1, 5 - 1)*OFFSET($A$1, 71 - 1, 5 - 1)/(OFFSET($A$1, 70 - 1, 5 - 1)+OFFSET($A$1, 71 - 1, 5 - 1))))</f>
        <v>0.99188876013904981</v>
      </c>
      <c r="CQ73" s="24">
        <v>1.6903547619819561E-3</v>
      </c>
      <c r="CR73" s="24" t="str">
        <f>"0"</f>
        <v>0</v>
      </c>
      <c r="CS73" t="str">
        <f ca="1">IF((OFFSET($A$1, 73 - 1, 95 - 1)) &gt;= (OFFSET($A$1, 54 - 1, 7 - 1)), "1","0")</f>
        <v>0</v>
      </c>
      <c r="CT73">
        <f ca="1" xml:space="preserve"> IF( AND( OFFSET($A$1, 73 - 1, 96 - 1) = "1", OFFSET($A$1, 73 - 1, 97 - 1) = "1" ), 1, IF( AND( OFFSET($A$1, 73 - 1, 96 - 1) = "1", OFFSET($A$1, 73 - 1, 97 - 1) = "0" ), 2, IF( AND( OFFSET($A$1, 73 - 1, 96 - 1) = "0", OFFSET($A$1, 73 - 1, 97 - 1) = "1" ), 3, 4 ) ) )</f>
        <v>4</v>
      </c>
      <c r="CV73" s="24">
        <v>0.99594117752032962</v>
      </c>
      <c r="CW73" s="24" t="str">
        <f>"1"</f>
        <v>1</v>
      </c>
      <c r="CX73" t="str">
        <f ca="1">IF((OFFSET($A$1, 73 - 1, 100 - 1)) &gt;= (OFFSET($A$1, 78 - 1, 7 - 1)), "1","0")</f>
        <v>1</v>
      </c>
      <c r="CY73">
        <f ca="1" xml:space="preserve"> IF( AND( OFFSET($A$1, 73 - 1, 101 - 1) = "1", OFFSET($A$1, 73 - 1, 102 - 1) = "1" ), 1, IF( AND( OFFSET($A$1, 73 - 1, 101 - 1) = "1", OFFSET($A$1, 73 - 1, 102 - 1) = "0" ), 2, IF( AND( OFFSET($A$1, 73 - 1, 101 - 1) = "0", OFFSET($A$1, 73 - 1, 102 - 1) = "1" ), 3, 4 ) ) )</f>
        <v>1</v>
      </c>
    </row>
    <row r="74" spans="2:103" ht="13.8" x14ac:dyDescent="0.3">
      <c r="CQ74" s="24">
        <v>0.98620376486386285</v>
      </c>
      <c r="CR74" s="24" t="str">
        <f t="shared" ref="CR74:CR84" si="5">"1"</f>
        <v>1</v>
      </c>
      <c r="CS74" t="str">
        <f ca="1">IF((OFFSET($A$1, 74 - 1, 95 - 1)) &gt;= (OFFSET($A$1, 54 - 1, 7 - 1)), "1","0")</f>
        <v>1</v>
      </c>
      <c r="CT74">
        <f ca="1" xml:space="preserve"> IF( AND( OFFSET($A$1, 74 - 1, 96 - 1) = "1", OFFSET($A$1, 74 - 1, 97 - 1) = "1" ), 1, IF( AND( OFFSET($A$1, 74 - 1, 96 - 1) = "1", OFFSET($A$1, 74 - 1, 97 - 1) = "0" ), 2, IF( AND( OFFSET($A$1, 74 - 1, 96 - 1) = "0", OFFSET($A$1, 74 - 1, 97 - 1) = "1" ), 3, 4 ) ) )</f>
        <v>1</v>
      </c>
      <c r="CV74" s="24">
        <v>0.68902779598916708</v>
      </c>
      <c r="CW74" s="24" t="str">
        <f>"0"</f>
        <v>0</v>
      </c>
      <c r="CX74" t="str">
        <f ca="1">IF((OFFSET($A$1, 74 - 1, 100 - 1)) &gt;= (OFFSET($A$1, 78 - 1, 7 - 1)), "1","0")</f>
        <v>1</v>
      </c>
      <c r="CY74">
        <f ca="1" xml:space="preserve"> IF( AND( OFFSET($A$1, 74 - 1, 101 - 1) = "1", OFFSET($A$1, 74 - 1, 102 - 1) = "1" ), 1, IF( AND( OFFSET($A$1, 74 - 1, 101 - 1) = "1", OFFSET($A$1, 74 - 1, 102 - 1) = "0" ), 2, IF( AND( OFFSET($A$1, 74 - 1, 101 - 1) = "0", OFFSET($A$1, 74 - 1, 102 - 1) = "1" ), 3, 4 ) ) )</f>
        <v>3</v>
      </c>
    </row>
    <row r="75" spans="2:103" ht="13.8" x14ac:dyDescent="0.3">
      <c r="CQ75" s="24">
        <v>0.95534013145262753</v>
      </c>
      <c r="CR75" s="24" t="str">
        <f t="shared" si="5"/>
        <v>1</v>
      </c>
      <c r="CS75" t="str">
        <f ca="1">IF((OFFSET($A$1, 75 - 1, 95 - 1)) &gt;= (OFFSET($A$1, 54 - 1, 7 - 1)), "1","0")</f>
        <v>1</v>
      </c>
      <c r="CT75">
        <f ca="1" xml:space="preserve"> IF( AND( OFFSET($A$1, 75 - 1, 96 - 1) = "1", OFFSET($A$1, 75 - 1, 97 - 1) = "1" ), 1, IF( AND( OFFSET($A$1, 75 - 1, 96 - 1) = "1", OFFSET($A$1, 75 - 1, 97 - 1) = "0" ), 2, IF( AND( OFFSET($A$1, 75 - 1, 96 - 1) = "0", OFFSET($A$1, 75 - 1, 97 - 1) = "1" ), 3, 4 ) ) )</f>
        <v>1</v>
      </c>
      <c r="CV75" s="24">
        <v>0.65562785169858517</v>
      </c>
      <c r="CW75" s="24" t="str">
        <f t="shared" ref="CW75:CW84" si="6">"1"</f>
        <v>1</v>
      </c>
      <c r="CX75" t="str">
        <f ca="1">IF((OFFSET($A$1, 75 - 1, 100 - 1)) &gt;= (OFFSET($A$1, 78 - 1, 7 - 1)), "1","0")</f>
        <v>1</v>
      </c>
      <c r="CY75">
        <f ca="1" xml:space="preserve"> IF( AND( OFFSET($A$1, 75 - 1, 101 - 1) = "1", OFFSET($A$1, 75 - 1, 102 - 1) = "1" ), 1, IF( AND( OFFSET($A$1, 75 - 1, 101 - 1) = "1", OFFSET($A$1, 75 - 1, 102 - 1) = "0" ), 2, IF( AND( OFFSET($A$1, 75 - 1, 101 - 1) = "0", OFFSET($A$1, 75 - 1, 102 - 1) = "1" ), 3, 4 ) ) )</f>
        <v>1</v>
      </c>
    </row>
    <row r="76" spans="2:103" ht="18" x14ac:dyDescent="0.35">
      <c r="B76" s="22" t="s">
        <v>714</v>
      </c>
      <c r="CQ76" s="24">
        <v>0.99999654884168254</v>
      </c>
      <c r="CR76" s="24" t="str">
        <f t="shared" si="5"/>
        <v>1</v>
      </c>
      <c r="CS76" t="str">
        <f ca="1">IF((OFFSET($A$1, 76 - 1, 95 - 1)) &gt;= (OFFSET($A$1, 54 - 1, 7 - 1)), "1","0")</f>
        <v>1</v>
      </c>
      <c r="CT76">
        <f ca="1" xml:space="preserve"> IF( AND( OFFSET($A$1, 76 - 1, 96 - 1) = "1", OFFSET($A$1, 76 - 1, 97 - 1) = "1" ), 1, IF( AND( OFFSET($A$1, 76 - 1, 96 - 1) = "1", OFFSET($A$1, 76 - 1, 97 - 1) = "0" ), 2, IF( AND( OFFSET($A$1, 76 - 1, 96 - 1) = "0", OFFSET($A$1, 76 - 1, 97 - 1) = "1" ), 3, 4 ) ) )</f>
        <v>1</v>
      </c>
      <c r="CV76" s="24">
        <v>0.99962560147842028</v>
      </c>
      <c r="CW76" s="24" t="str">
        <f t="shared" si="6"/>
        <v>1</v>
      </c>
      <c r="CX76" t="str">
        <f ca="1">IF((OFFSET($A$1, 76 - 1, 100 - 1)) &gt;= (OFFSET($A$1, 78 - 1, 7 - 1)), "1","0")</f>
        <v>1</v>
      </c>
      <c r="CY76">
        <f ca="1" xml:space="preserve"> IF( AND( OFFSET($A$1, 76 - 1, 101 - 1) = "1", OFFSET($A$1, 76 - 1, 102 - 1) = "1" ), 1, IF( AND( OFFSET($A$1, 76 - 1, 101 - 1) = "1", OFFSET($A$1, 76 - 1, 102 - 1) = "0" ), 2, IF( AND( OFFSET($A$1, 76 - 1, 101 - 1) = "0", OFFSET($A$1, 76 - 1, 102 - 1) = "1" ), 3, 4 ) ) )</f>
        <v>1</v>
      </c>
    </row>
    <row r="77" spans="2:103" ht="13.8" x14ac:dyDescent="0.3">
      <c r="CQ77" s="24">
        <v>0.99990541109382003</v>
      </c>
      <c r="CR77" s="24" t="str">
        <f t="shared" si="5"/>
        <v>1</v>
      </c>
      <c r="CS77" t="str">
        <f ca="1">IF((OFFSET($A$1, 77 - 1, 95 - 1)) &gt;= (OFFSET($A$1, 54 - 1, 7 - 1)), "1","0")</f>
        <v>1</v>
      </c>
      <c r="CT77">
        <f ca="1" xml:space="preserve"> IF( AND( OFFSET($A$1, 77 - 1, 96 - 1) = "1", OFFSET($A$1, 77 - 1, 97 - 1) = "1" ), 1, IF( AND( OFFSET($A$1, 77 - 1, 96 - 1) = "1", OFFSET($A$1, 77 - 1, 97 - 1) = "0" ), 2, IF( AND( OFFSET($A$1, 77 - 1, 96 - 1) = "0", OFFSET($A$1, 77 - 1, 97 - 1) = "1" ), 3, 4 ) ) )</f>
        <v>1</v>
      </c>
      <c r="CV77" s="24">
        <v>0.17602634534643422</v>
      </c>
      <c r="CW77" s="24" t="str">
        <f t="shared" si="6"/>
        <v>1</v>
      </c>
      <c r="CX77" t="str">
        <f ca="1">IF((OFFSET($A$1, 77 - 1, 100 - 1)) &gt;= (OFFSET($A$1, 78 - 1, 7 - 1)), "1","0")</f>
        <v>0</v>
      </c>
      <c r="CY77">
        <f ca="1" xml:space="preserve"> IF( AND( OFFSET($A$1, 77 - 1, 101 - 1) = "1", OFFSET($A$1, 77 - 1, 102 - 1) = "1" ), 1, IF( AND( OFFSET($A$1, 77 - 1, 101 - 1) = "1", OFFSET($A$1, 77 - 1, 102 - 1) = "0" ), 2, IF( AND( OFFSET($A$1, 77 - 1, 101 - 1) = "0", OFFSET($A$1, 77 - 1, 102 - 1) = "1" ), 3, 4 ) ) )</f>
        <v>2</v>
      </c>
    </row>
    <row r="78" spans="2:103" ht="13.8" x14ac:dyDescent="0.3">
      <c r="C78" s="72" t="s">
        <v>706</v>
      </c>
      <c r="D78" s="73"/>
      <c r="E78" s="73"/>
      <c r="F78" s="74"/>
      <c r="G78" s="35">
        <v>0.5</v>
      </c>
      <c r="H78" s="72" t="s">
        <v>707</v>
      </c>
      <c r="I78" s="73"/>
      <c r="J78" s="73"/>
      <c r="K78" s="73"/>
      <c r="L78" s="73"/>
      <c r="M78" s="74"/>
      <c r="CQ78" s="24">
        <v>0.90453419684140368</v>
      </c>
      <c r="CR78" s="24" t="str">
        <f t="shared" si="5"/>
        <v>1</v>
      </c>
      <c r="CS78" t="str">
        <f ca="1">IF((OFFSET($A$1, 78 - 1, 95 - 1)) &gt;= (OFFSET($A$1, 54 - 1, 7 - 1)), "1","0")</f>
        <v>1</v>
      </c>
      <c r="CT78">
        <f ca="1" xml:space="preserve"> IF( AND( OFFSET($A$1, 78 - 1, 96 - 1) = "1", OFFSET($A$1, 78 - 1, 97 - 1) = "1" ), 1, IF( AND( OFFSET($A$1, 78 - 1, 96 - 1) = "1", OFFSET($A$1, 78 - 1, 97 - 1) = "0" ), 2, IF( AND( OFFSET($A$1, 78 - 1, 96 - 1) = "0", OFFSET($A$1, 78 - 1, 97 - 1) = "1" ), 3, 4 ) ) )</f>
        <v>1</v>
      </c>
      <c r="CV78" s="24">
        <v>0.49054087269753327</v>
      </c>
      <c r="CW78" s="24" t="str">
        <f t="shared" si="6"/>
        <v>1</v>
      </c>
      <c r="CX78" t="str">
        <f ca="1">IF((OFFSET($A$1, 78 - 1, 100 - 1)) &gt;= (OFFSET($A$1, 78 - 1, 7 - 1)), "1","0")</f>
        <v>0</v>
      </c>
      <c r="CY78">
        <f ca="1" xml:space="preserve"> IF( AND( OFFSET($A$1, 78 - 1, 101 - 1) = "1", OFFSET($A$1, 78 - 1, 102 - 1) = "1" ), 1, IF( AND( OFFSET($A$1, 78 - 1, 101 - 1) = "1", OFFSET($A$1, 78 - 1, 102 - 1) = "0" ), 2, IF( AND( OFFSET($A$1, 78 - 1, 101 - 1) = "0", OFFSET($A$1, 78 - 1, 102 - 1) = "1" ), 3, 4 ) ) )</f>
        <v>2</v>
      </c>
    </row>
    <row r="79" spans="2:103" ht="13.8" x14ac:dyDescent="0.3">
      <c r="CQ79" s="24">
        <v>0.89049112108019723</v>
      </c>
      <c r="CR79" s="24" t="str">
        <f t="shared" si="5"/>
        <v>1</v>
      </c>
      <c r="CS79" t="str">
        <f ca="1">IF((OFFSET($A$1, 79 - 1, 95 - 1)) &gt;= (OFFSET($A$1, 54 - 1, 7 - 1)), "1","0")</f>
        <v>1</v>
      </c>
      <c r="CT79">
        <f ca="1" xml:space="preserve"> IF( AND( OFFSET($A$1, 79 - 1, 96 - 1) = "1", OFFSET($A$1, 79 - 1, 97 - 1) = "1" ), 1, IF( AND( OFFSET($A$1, 79 - 1, 96 - 1) = "1", OFFSET($A$1, 79 - 1, 97 - 1) = "0" ), 2, IF( AND( OFFSET($A$1, 79 - 1, 96 - 1) = "0", OFFSET($A$1, 79 - 1, 97 - 1) = "1" ), 3, 4 ) ) )</f>
        <v>1</v>
      </c>
      <c r="CV79" s="24">
        <v>0.9995684297195917</v>
      </c>
      <c r="CW79" s="24" t="str">
        <f t="shared" si="6"/>
        <v>1</v>
      </c>
      <c r="CX79" t="str">
        <f ca="1">IF((OFFSET($A$1, 79 - 1, 100 - 1)) &gt;= (OFFSET($A$1, 78 - 1, 7 - 1)), "1","0")</f>
        <v>1</v>
      </c>
      <c r="CY79">
        <f ca="1" xml:space="preserve"> IF( AND( OFFSET($A$1, 79 - 1, 101 - 1) = "1", OFFSET($A$1, 79 - 1, 102 - 1) = "1" ), 1, IF( AND( OFFSET($A$1, 79 - 1, 101 - 1) = "1", OFFSET($A$1, 79 - 1, 102 - 1) = "0" ), 2, IF( AND( OFFSET($A$1, 79 - 1, 101 - 1) = "0", OFFSET($A$1, 79 - 1, 102 - 1) = "1" ), 3, 4 ) ) )</f>
        <v>1</v>
      </c>
    </row>
    <row r="80" spans="2:103" ht="15.6" x14ac:dyDescent="0.3">
      <c r="C80" s="59" t="s">
        <v>329</v>
      </c>
      <c r="D80" s="60"/>
      <c r="E80" s="61"/>
      <c r="CQ80" s="24">
        <v>0.99842342738579903</v>
      </c>
      <c r="CR80" s="24" t="str">
        <f t="shared" si="5"/>
        <v>1</v>
      </c>
      <c r="CS80" t="str">
        <f ca="1">IF((OFFSET($A$1, 80 - 1, 95 - 1)) &gt;= (OFFSET($A$1, 54 - 1, 7 - 1)), "1","0")</f>
        <v>1</v>
      </c>
      <c r="CT80">
        <f ca="1" xml:space="preserve"> IF( AND( OFFSET($A$1, 80 - 1, 96 - 1) = "1", OFFSET($A$1, 80 - 1, 97 - 1) = "1" ), 1, IF( AND( OFFSET($A$1, 80 - 1, 96 - 1) = "1", OFFSET($A$1, 80 - 1, 97 - 1) = "0" ), 2, IF( AND( OFFSET($A$1, 80 - 1, 96 - 1) = "0", OFFSET($A$1, 80 - 1, 97 - 1) = "1" ), 3, 4 ) ) )</f>
        <v>1</v>
      </c>
      <c r="CV80" s="24">
        <v>0.99999987110182842</v>
      </c>
      <c r="CW80" s="24" t="str">
        <f t="shared" si="6"/>
        <v>1</v>
      </c>
      <c r="CX80" t="str">
        <f ca="1">IF((OFFSET($A$1, 80 - 1, 100 - 1)) &gt;= (OFFSET($A$1, 78 - 1, 7 - 1)), "1","0")</f>
        <v>1</v>
      </c>
      <c r="CY80">
        <f ca="1" xml:space="preserve"> IF( AND( OFFSET($A$1, 80 - 1, 101 - 1) = "1", OFFSET($A$1, 80 - 1, 102 - 1) = "1" ), 1, IF( AND( OFFSET($A$1, 80 - 1, 101 - 1) = "1", OFFSET($A$1, 80 - 1, 102 - 1) = "0" ), 2, IF( AND( OFFSET($A$1, 80 - 1, 101 - 1) = "0", OFFSET($A$1, 80 - 1, 102 - 1) = "1" ), 3, 4 ) ) )</f>
        <v>1</v>
      </c>
    </row>
    <row r="81" spans="3:103" ht="13.8" x14ac:dyDescent="0.3">
      <c r="C81" s="26"/>
      <c r="D81" s="75" t="s">
        <v>330</v>
      </c>
      <c r="E81" s="76"/>
      <c r="CQ81" s="24">
        <v>0.99394831652044113</v>
      </c>
      <c r="CR81" s="24" t="str">
        <f t="shared" si="5"/>
        <v>1</v>
      </c>
      <c r="CS81" t="str">
        <f ca="1">IF((OFFSET($A$1, 81 - 1, 95 - 1)) &gt;= (OFFSET($A$1, 54 - 1, 7 - 1)), "1","0")</f>
        <v>1</v>
      </c>
      <c r="CT81">
        <f ca="1" xml:space="preserve"> IF( AND( OFFSET($A$1, 81 - 1, 96 - 1) = "1", OFFSET($A$1, 81 - 1, 97 - 1) = "1" ), 1, IF( AND( OFFSET($A$1, 81 - 1, 96 - 1) = "1", OFFSET($A$1, 81 - 1, 97 - 1) = "0" ), 2, IF( AND( OFFSET($A$1, 81 - 1, 96 - 1) = "0", OFFSET($A$1, 81 - 1, 97 - 1) = "1" ), 3, 4 ) ) )</f>
        <v>1</v>
      </c>
      <c r="CV81" s="24">
        <v>0.98698001415603343</v>
      </c>
      <c r="CW81" s="24" t="str">
        <f t="shared" si="6"/>
        <v>1</v>
      </c>
      <c r="CX81" t="str">
        <f ca="1">IF((OFFSET($A$1, 81 - 1, 100 - 1)) &gt;= (OFFSET($A$1, 78 - 1, 7 - 1)), "1","0")</f>
        <v>1</v>
      </c>
      <c r="CY81">
        <f ca="1" xml:space="preserve"> IF( AND( OFFSET($A$1, 81 - 1, 101 - 1) = "1", OFFSET($A$1, 81 - 1, 102 - 1) = "1" ), 1, IF( AND( OFFSET($A$1, 81 - 1, 101 - 1) = "1", OFFSET($A$1, 81 - 1, 102 - 1) = "0" ), 2, IF( AND( OFFSET($A$1, 81 - 1, 101 - 1) = "0", OFFSET($A$1, 81 - 1, 102 - 1) = "1" ), 3, 4 ) ) )</f>
        <v>1</v>
      </c>
    </row>
    <row r="82" spans="3:103" ht="13.8" x14ac:dyDescent="0.3">
      <c r="C82" s="25" t="s">
        <v>331</v>
      </c>
      <c r="D82" s="26">
        <v>1</v>
      </c>
      <c r="E82" s="26">
        <v>0</v>
      </c>
      <c r="CQ82" s="24">
        <v>0.99925200186201568</v>
      </c>
      <c r="CR82" s="24" t="str">
        <f t="shared" si="5"/>
        <v>1</v>
      </c>
      <c r="CS82" t="str">
        <f ca="1">IF((OFFSET($A$1, 82 - 1, 95 - 1)) &gt;= (OFFSET($A$1, 54 - 1, 7 - 1)), "1","0")</f>
        <v>1</v>
      </c>
      <c r="CT82">
        <f ca="1" xml:space="preserve"> IF( AND( OFFSET($A$1, 82 - 1, 96 - 1) = "1", OFFSET($A$1, 82 - 1, 97 - 1) = "1" ), 1, IF( AND( OFFSET($A$1, 82 - 1, 96 - 1) = "1", OFFSET($A$1, 82 - 1, 97 - 1) = "0" ), 2, IF( AND( OFFSET($A$1, 82 - 1, 96 - 1) = "0", OFFSET($A$1, 82 - 1, 97 - 1) = "1" ), 3, 4 ) ) )</f>
        <v>1</v>
      </c>
      <c r="CV82" s="24">
        <v>0.99997238541802325</v>
      </c>
      <c r="CW82" s="24" t="str">
        <f t="shared" si="6"/>
        <v>1</v>
      </c>
      <c r="CX82" t="str">
        <f ca="1">IF((OFFSET($A$1, 82 - 1, 100 - 1)) &gt;= (OFFSET($A$1, 78 - 1, 7 - 1)), "1","0")</f>
        <v>1</v>
      </c>
      <c r="CY82">
        <f ca="1" xml:space="preserve"> IF( AND( OFFSET($A$1, 82 - 1, 101 - 1) = "1", OFFSET($A$1, 82 - 1, 102 - 1) = "1" ), 1, IF( AND( OFFSET($A$1, 82 - 1, 101 - 1) = "1", OFFSET($A$1, 82 - 1, 102 - 1) = "0" ), 2, IF( AND( OFFSET($A$1, 82 - 1, 101 - 1) = "0", OFFSET($A$1, 82 - 1, 102 - 1) = "1" ), 3, 4 ) ) )</f>
        <v>1</v>
      </c>
    </row>
    <row r="83" spans="3:103" ht="13.8" x14ac:dyDescent="0.3">
      <c r="C83" s="25">
        <v>1</v>
      </c>
      <c r="D83" s="24">
        <f ca="1" xml:space="preserve"> COUNTIF( OFFSET($A$1, 1 - 1, 103 - 1, 401, 1), 1 )</f>
        <v>228</v>
      </c>
      <c r="E83" s="24">
        <f ca="1" xml:space="preserve"> COUNTIF( OFFSET($A$1, 1 - 1, 103 - 1, 401, 1), 2 )</f>
        <v>43</v>
      </c>
      <c r="CQ83" s="24">
        <v>0.99999961590541431</v>
      </c>
      <c r="CR83" s="24" t="str">
        <f t="shared" si="5"/>
        <v>1</v>
      </c>
      <c r="CS83" t="str">
        <f ca="1">IF((OFFSET($A$1, 83 - 1, 95 - 1)) &gt;= (OFFSET($A$1, 54 - 1, 7 - 1)), "1","0")</f>
        <v>1</v>
      </c>
      <c r="CT83">
        <f ca="1" xml:space="preserve"> IF( AND( OFFSET($A$1, 83 - 1, 96 - 1) = "1", OFFSET($A$1, 83 - 1, 97 - 1) = "1" ), 1, IF( AND( OFFSET($A$1, 83 - 1, 96 - 1) = "1", OFFSET($A$1, 83 - 1, 97 - 1) = "0" ), 2, IF( AND( OFFSET($A$1, 83 - 1, 96 - 1) = "0", OFFSET($A$1, 83 - 1, 97 - 1) = "1" ), 3, 4 ) ) )</f>
        <v>1</v>
      </c>
      <c r="CV83" s="24">
        <v>0.99999967672868717</v>
      </c>
      <c r="CW83" s="24" t="str">
        <f t="shared" si="6"/>
        <v>1</v>
      </c>
      <c r="CX83" t="str">
        <f ca="1">IF((OFFSET($A$1, 83 - 1, 100 - 1)) &gt;= (OFFSET($A$1, 78 - 1, 7 - 1)), "1","0")</f>
        <v>1</v>
      </c>
      <c r="CY83">
        <f ca="1" xml:space="preserve"> IF( AND( OFFSET($A$1, 83 - 1, 101 - 1) = "1", OFFSET($A$1, 83 - 1, 102 - 1) = "1" ), 1, IF( AND( OFFSET($A$1, 83 - 1, 101 - 1) = "1", OFFSET($A$1, 83 - 1, 102 - 1) = "0" ), 2, IF( AND( OFFSET($A$1, 83 - 1, 101 - 1) = "0", OFFSET($A$1, 83 - 1, 102 - 1) = "1" ), 3, 4 ) ) )</f>
        <v>1</v>
      </c>
    </row>
    <row r="84" spans="3:103" ht="13.8" x14ac:dyDescent="0.3">
      <c r="C84" s="25">
        <v>0</v>
      </c>
      <c r="D84" s="24">
        <f ca="1" xml:space="preserve"> COUNTIF( OFFSET($A$1, 1 - 1, 103 - 1, 401, 1), 3 )</f>
        <v>73</v>
      </c>
      <c r="E84" s="24">
        <f ca="1" xml:space="preserve"> COUNTIF( OFFSET($A$1, 1 - 1, 103 - 1, 401, 1), 4 )</f>
        <v>56</v>
      </c>
      <c r="CQ84" s="24">
        <v>0.99931484959396766</v>
      </c>
      <c r="CR84" s="24" t="str">
        <f t="shared" si="5"/>
        <v>1</v>
      </c>
      <c r="CS84" t="str">
        <f ca="1">IF((OFFSET($A$1, 84 - 1, 95 - 1)) &gt;= (OFFSET($A$1, 54 - 1, 7 - 1)), "1","0")</f>
        <v>1</v>
      </c>
      <c r="CT84">
        <f ca="1" xml:space="preserve"> IF( AND( OFFSET($A$1, 84 - 1, 96 - 1) = "1", OFFSET($A$1, 84 - 1, 97 - 1) = "1" ), 1, IF( AND( OFFSET($A$1, 84 - 1, 96 - 1) = "1", OFFSET($A$1, 84 - 1, 97 - 1) = "0" ), 2, IF( AND( OFFSET($A$1, 84 - 1, 96 - 1) = "0", OFFSET($A$1, 84 - 1, 97 - 1) = "1" ), 3, 4 ) ) )</f>
        <v>1</v>
      </c>
      <c r="CV84" s="24">
        <v>0.99907615000498451</v>
      </c>
      <c r="CW84" s="24" t="str">
        <f t="shared" si="6"/>
        <v>1</v>
      </c>
      <c r="CX84" t="str">
        <f ca="1">IF((OFFSET($A$1, 84 - 1, 100 - 1)) &gt;= (OFFSET($A$1, 78 - 1, 7 - 1)), "1","0")</f>
        <v>1</v>
      </c>
      <c r="CY84">
        <f ca="1" xml:space="preserve"> IF( AND( OFFSET($A$1, 84 - 1, 101 - 1) = "1", OFFSET($A$1, 84 - 1, 102 - 1) = "1" ), 1, IF( AND( OFFSET($A$1, 84 - 1, 101 - 1) = "1", OFFSET($A$1, 84 - 1, 102 - 1) = "0" ), 2, IF( AND( OFFSET($A$1, 84 - 1, 101 - 1) = "0", OFFSET($A$1, 84 - 1, 102 - 1) = "1" ), 3, 4 ) ) )</f>
        <v>1</v>
      </c>
    </row>
    <row r="85" spans="3:103" ht="13.8" x14ac:dyDescent="0.3">
      <c r="CQ85" s="24">
        <v>0.11659185446159623</v>
      </c>
      <c r="CR85" s="24" t="str">
        <f>"0"</f>
        <v>0</v>
      </c>
      <c r="CS85" t="str">
        <f ca="1">IF((OFFSET($A$1, 85 - 1, 95 - 1)) &gt;= (OFFSET($A$1, 54 - 1, 7 - 1)), "1","0")</f>
        <v>0</v>
      </c>
      <c r="CT85">
        <f ca="1" xml:space="preserve"> IF( AND( OFFSET($A$1, 85 - 1, 96 - 1) = "1", OFFSET($A$1, 85 - 1, 97 - 1) = "1" ), 1, IF( AND( OFFSET($A$1, 85 - 1, 96 - 1) = "1", OFFSET($A$1, 85 - 1, 97 - 1) = "0" ), 2, IF( AND( OFFSET($A$1, 85 - 1, 96 - 1) = "0", OFFSET($A$1, 85 - 1, 97 - 1) = "1" ), 3, 4 ) ) )</f>
        <v>4</v>
      </c>
      <c r="CV85" s="24">
        <v>0.93260275363606526</v>
      </c>
      <c r="CW85" s="24" t="str">
        <f>"0"</f>
        <v>0</v>
      </c>
      <c r="CX85" t="str">
        <f ca="1">IF((OFFSET($A$1, 85 - 1, 100 - 1)) &gt;= (OFFSET($A$1, 78 - 1, 7 - 1)), "1","0")</f>
        <v>1</v>
      </c>
      <c r="CY85">
        <f ca="1" xml:space="preserve"> IF( AND( OFFSET($A$1, 85 - 1, 101 - 1) = "1", OFFSET($A$1, 85 - 1, 102 - 1) = "1" ), 1, IF( AND( OFFSET($A$1, 85 - 1, 101 - 1) = "1", OFFSET($A$1, 85 - 1, 102 - 1) = "0" ), 2, IF( AND( OFFSET($A$1, 85 - 1, 101 - 1) = "0", OFFSET($A$1, 85 - 1, 102 - 1) = "1" ), 3, 4 ) ) )</f>
        <v>3</v>
      </c>
    </row>
    <row r="86" spans="3:103" ht="15.6" x14ac:dyDescent="0.3">
      <c r="C86" s="59" t="s">
        <v>210</v>
      </c>
      <c r="D86" s="60"/>
      <c r="E86" s="60"/>
      <c r="F86" s="61"/>
      <c r="CQ86" s="24">
        <v>0.99999600877095995</v>
      </c>
      <c r="CR86" s="24" t="str">
        <f>"1"</f>
        <v>1</v>
      </c>
      <c r="CS86" t="str">
        <f ca="1">IF((OFFSET($A$1, 86 - 1, 95 - 1)) &gt;= (OFFSET($A$1, 54 - 1, 7 - 1)), "1","0")</f>
        <v>1</v>
      </c>
      <c r="CT86">
        <f ca="1" xml:space="preserve"> IF( AND( OFFSET($A$1, 86 - 1, 96 - 1) = "1", OFFSET($A$1, 86 - 1, 97 - 1) = "1" ), 1, IF( AND( OFFSET($A$1, 86 - 1, 96 - 1) = "1", OFFSET($A$1, 86 - 1, 97 - 1) = "0" ), 2, IF( AND( OFFSET($A$1, 86 - 1, 96 - 1) = "0", OFFSET($A$1, 86 - 1, 97 - 1) = "1" ), 3, 4 ) ) )</f>
        <v>1</v>
      </c>
      <c r="CV86" s="24">
        <v>0.87051771014023949</v>
      </c>
      <c r="CW86" s="24" t="str">
        <f>"1"</f>
        <v>1</v>
      </c>
      <c r="CX86" t="str">
        <f ca="1">IF((OFFSET($A$1, 86 - 1, 100 - 1)) &gt;= (OFFSET($A$1, 78 - 1, 7 - 1)), "1","0")</f>
        <v>1</v>
      </c>
      <c r="CY86">
        <f ca="1" xml:space="preserve"> IF( AND( OFFSET($A$1, 86 - 1, 101 - 1) = "1", OFFSET($A$1, 86 - 1, 102 - 1) = "1" ), 1, IF( AND( OFFSET($A$1, 86 - 1, 101 - 1) = "1", OFFSET($A$1, 86 - 1, 102 - 1) = "0" ), 2, IF( AND( OFFSET($A$1, 86 - 1, 101 - 1) = "0", OFFSET($A$1, 86 - 1, 102 - 1) = "1" ), 3, 4 ) ) )</f>
        <v>1</v>
      </c>
    </row>
    <row r="87" spans="3:103" ht="13.8" x14ac:dyDescent="0.3">
      <c r="C87" s="26" t="s">
        <v>332</v>
      </c>
      <c r="D87" s="26" t="s">
        <v>333</v>
      </c>
      <c r="E87" s="26" t="s">
        <v>334</v>
      </c>
      <c r="F87" s="26" t="s">
        <v>335</v>
      </c>
      <c r="CQ87" s="24">
        <v>0.9651345999809311</v>
      </c>
      <c r="CR87" s="24" t="str">
        <f>"1"</f>
        <v>1</v>
      </c>
      <c r="CS87" t="str">
        <f ca="1">IF((OFFSET($A$1, 87 - 1, 95 - 1)) &gt;= (OFFSET($A$1, 54 - 1, 7 - 1)), "1","0")</f>
        <v>1</v>
      </c>
      <c r="CT87">
        <f ca="1" xml:space="preserve"> IF( AND( OFFSET($A$1, 87 - 1, 96 - 1) = "1", OFFSET($A$1, 87 - 1, 97 - 1) = "1" ), 1, IF( AND( OFFSET($A$1, 87 - 1, 96 - 1) = "1", OFFSET($A$1, 87 - 1, 97 - 1) = "0" ), 2, IF( AND( OFFSET($A$1, 87 - 1, 96 - 1) = "0", OFFSET($A$1, 87 - 1, 97 - 1) = "1" ), 3, 4 ) ) )</f>
        <v>1</v>
      </c>
      <c r="CV87" s="24">
        <v>0.61408246388772825</v>
      </c>
      <c r="CW87" s="24" t="str">
        <f>"1"</f>
        <v>1</v>
      </c>
      <c r="CX87" t="str">
        <f ca="1">IF((OFFSET($A$1, 87 - 1, 100 - 1)) &gt;= (OFFSET($A$1, 78 - 1, 7 - 1)), "1","0")</f>
        <v>1</v>
      </c>
      <c r="CY87">
        <f ca="1" xml:space="preserve"> IF( AND( OFFSET($A$1, 87 - 1, 101 - 1) = "1", OFFSET($A$1, 87 - 1, 102 - 1) = "1" ), 1, IF( AND( OFFSET($A$1, 87 - 1, 101 - 1) = "1", OFFSET($A$1, 87 - 1, 102 - 1) = "0" ), 2, IF( AND( OFFSET($A$1, 87 - 1, 101 - 1) = "0", OFFSET($A$1, 87 - 1, 102 - 1) = "1" ), 3, 4 ) ) )</f>
        <v>1</v>
      </c>
    </row>
    <row r="88" spans="3:103" ht="13.8" x14ac:dyDescent="0.3">
      <c r="C88" s="25">
        <v>1</v>
      </c>
      <c r="D88" s="24">
        <f ca="1">SUM(OFFSET($A$1, 83 - 1, 4 - 1, 1, 2))</f>
        <v>271</v>
      </c>
      <c r="E88" s="24">
        <f ca="1">SUM(OFFSET($A$1, 83 - 1, 4 - 1, 1, 2)) - OFFSET($A$1, 83 - 1, 4 - 1)</f>
        <v>43</v>
      </c>
      <c r="F88" s="24">
        <f ca="1">IF(OFFSET($A$1, 88 - 1, 4 - 1)=0,"Undefined",((OFFSET($A$1, 88 - 1, 5 - 1))*100) / (OFFSET($A$1, 88 - 1, 4 - 1)))</f>
        <v>15.867158671586715</v>
      </c>
      <c r="CQ88" s="24">
        <v>0.98687912563028524</v>
      </c>
      <c r="CR88" s="24" t="str">
        <f>"1"</f>
        <v>1</v>
      </c>
      <c r="CS88" t="str">
        <f ca="1">IF((OFFSET($A$1, 88 - 1, 95 - 1)) &gt;= (OFFSET($A$1, 54 - 1, 7 - 1)), "1","0")</f>
        <v>1</v>
      </c>
      <c r="CT88">
        <f ca="1" xml:space="preserve"> IF( AND( OFFSET($A$1, 88 - 1, 96 - 1) = "1", OFFSET($A$1, 88 - 1, 97 - 1) = "1" ), 1, IF( AND( OFFSET($A$1, 88 - 1, 96 - 1) = "1", OFFSET($A$1, 88 - 1, 97 - 1) = "0" ), 2, IF( AND( OFFSET($A$1, 88 - 1, 96 - 1) = "0", OFFSET($A$1, 88 - 1, 97 - 1) = "1" ), 3, 4 ) ) )</f>
        <v>1</v>
      </c>
      <c r="CV88" s="24">
        <v>0.92818731550614297</v>
      </c>
      <c r="CW88" s="24" t="str">
        <f>"1"</f>
        <v>1</v>
      </c>
      <c r="CX88" t="str">
        <f ca="1">IF((OFFSET($A$1, 88 - 1, 100 - 1)) &gt;= (OFFSET($A$1, 78 - 1, 7 - 1)), "1","0")</f>
        <v>1</v>
      </c>
      <c r="CY88">
        <f ca="1" xml:space="preserve"> IF( AND( OFFSET($A$1, 88 - 1, 101 - 1) = "1", OFFSET($A$1, 88 - 1, 102 - 1) = "1" ), 1, IF( AND( OFFSET($A$1, 88 - 1, 101 - 1) = "1", OFFSET($A$1, 88 - 1, 102 - 1) = "0" ), 2, IF( AND( OFFSET($A$1, 88 - 1, 101 - 1) = "0", OFFSET($A$1, 88 - 1, 102 - 1) = "1" ), 3, 4 ) ) )</f>
        <v>1</v>
      </c>
    </row>
    <row r="89" spans="3:103" ht="13.8" x14ac:dyDescent="0.3">
      <c r="C89" s="25">
        <v>0</v>
      </c>
      <c r="D89" s="24">
        <f ca="1">SUM(OFFSET($A$1, 84 - 1, 4 - 1, 1, 2))</f>
        <v>129</v>
      </c>
      <c r="E89" s="24">
        <f ca="1">SUM(OFFSET($A$1, 84 - 1, 4 - 1, 1, 2)) - OFFSET($A$1, 84 - 1, 5 - 1)</f>
        <v>73</v>
      </c>
      <c r="F89" s="24">
        <f ca="1">IF(OFFSET($A$1, 89 - 1, 4 - 1)=0,"Undefined",((OFFSET($A$1, 89 - 1, 5 - 1))*100) / (OFFSET($A$1, 89 - 1, 4 - 1)))</f>
        <v>56.589147286821706</v>
      </c>
      <c r="CQ89" s="24">
        <v>0.95997644263658555</v>
      </c>
      <c r="CR89" s="24" t="str">
        <f>"1"</f>
        <v>1</v>
      </c>
      <c r="CS89" t="str">
        <f ca="1">IF((OFFSET($A$1, 89 - 1, 95 - 1)) &gt;= (OFFSET($A$1, 54 - 1, 7 - 1)), "1","0")</f>
        <v>1</v>
      </c>
      <c r="CT89">
        <f ca="1" xml:space="preserve"> IF( AND( OFFSET($A$1, 89 - 1, 96 - 1) = "1", OFFSET($A$1, 89 - 1, 97 - 1) = "1" ), 1, IF( AND( OFFSET($A$1, 89 - 1, 96 - 1) = "1", OFFSET($A$1, 89 - 1, 97 - 1) = "0" ), 2, IF( AND( OFFSET($A$1, 89 - 1, 96 - 1) = "0", OFFSET($A$1, 89 - 1, 97 - 1) = "1" ), 3, 4 ) ) )</f>
        <v>1</v>
      </c>
      <c r="CV89" s="24">
        <v>0.96740818599881229</v>
      </c>
      <c r="CW89" s="24" t="str">
        <f>"0"</f>
        <v>0</v>
      </c>
      <c r="CX89" t="str">
        <f ca="1">IF((OFFSET($A$1, 89 - 1, 100 - 1)) &gt;= (OFFSET($A$1, 78 - 1, 7 - 1)), "1","0")</f>
        <v>1</v>
      </c>
      <c r="CY89">
        <f ca="1" xml:space="preserve"> IF( AND( OFFSET($A$1, 89 - 1, 101 - 1) = "1", OFFSET($A$1, 89 - 1, 102 - 1) = "1" ), 1, IF( AND( OFFSET($A$1, 89 - 1, 101 - 1) = "1", OFFSET($A$1, 89 - 1, 102 - 1) = "0" ), 2, IF( AND( OFFSET($A$1, 89 - 1, 101 - 1) = "0", OFFSET($A$1, 89 - 1, 102 - 1) = "1" ), 3, 4 ) ) )</f>
        <v>3</v>
      </c>
    </row>
    <row r="90" spans="3:103" ht="13.8" x14ac:dyDescent="0.3">
      <c r="C90" s="25" t="s">
        <v>336</v>
      </c>
      <c r="D90" s="24">
        <f ca="1">SUM(OFFSET($A$1, 88 - 1, 4 - 1, 2, 1))</f>
        <v>400</v>
      </c>
      <c r="E90" s="24">
        <f ca="1">SUM(OFFSET($A$1, 88 - 1, 5 - 1, 2, 1))</f>
        <v>116</v>
      </c>
      <c r="F90" s="24">
        <f ca="1">IF(OFFSET($A$1, 90 - 1, 4 - 1)=0,"Undefined",((OFFSET($A$1, 90 - 1, 5 - 1))*100) / (OFFSET($A$1, 90 - 1, 4 - 1)))</f>
        <v>29</v>
      </c>
      <c r="CQ90" s="24">
        <v>0.99999407578963462</v>
      </c>
      <c r="CR90" s="24" t="str">
        <f>"1"</f>
        <v>1</v>
      </c>
      <c r="CS90" t="str">
        <f ca="1">IF((OFFSET($A$1, 90 - 1, 95 - 1)) &gt;= (OFFSET($A$1, 54 - 1, 7 - 1)), "1","0")</f>
        <v>1</v>
      </c>
      <c r="CT90">
        <f ca="1" xml:space="preserve"> IF( AND( OFFSET($A$1, 90 - 1, 96 - 1) = "1", OFFSET($A$1, 90 - 1, 97 - 1) = "1" ), 1, IF( AND( OFFSET($A$1, 90 - 1, 96 - 1) = "1", OFFSET($A$1, 90 - 1, 97 - 1) = "0" ), 2, IF( AND( OFFSET($A$1, 90 - 1, 96 - 1) = "0", OFFSET($A$1, 90 - 1, 97 - 1) = "1" ), 3, 4 ) ) )</f>
        <v>1</v>
      </c>
      <c r="CV90" s="24">
        <v>0.29041440968287274</v>
      </c>
      <c r="CW90" s="24" t="str">
        <f>"0"</f>
        <v>0</v>
      </c>
      <c r="CX90" t="str">
        <f ca="1">IF((OFFSET($A$1, 90 - 1, 100 - 1)) &gt;= (OFFSET($A$1, 78 - 1, 7 - 1)), "1","0")</f>
        <v>0</v>
      </c>
      <c r="CY90">
        <f ca="1" xml:space="preserve"> IF( AND( OFFSET($A$1, 90 - 1, 101 - 1) = "1", OFFSET($A$1, 90 - 1, 102 - 1) = "1" ), 1, IF( AND( OFFSET($A$1, 90 - 1, 101 - 1) = "1", OFFSET($A$1, 90 - 1, 102 - 1) = "0" ), 2, IF( AND( OFFSET($A$1, 90 - 1, 101 - 1) = "0", OFFSET($A$1, 90 - 1, 102 - 1) = "1" ), 3, 4 ) ) )</f>
        <v>4</v>
      </c>
    </row>
    <row r="91" spans="3:103" ht="13.8" x14ac:dyDescent="0.3">
      <c r="CQ91" s="24">
        <v>1.3769779878549934E-2</v>
      </c>
      <c r="CR91" s="24" t="str">
        <f>"0"</f>
        <v>0</v>
      </c>
      <c r="CS91" t="str">
        <f ca="1">IF((OFFSET($A$1, 91 - 1, 95 - 1)) &gt;= (OFFSET($A$1, 54 - 1, 7 - 1)), "1","0")</f>
        <v>0</v>
      </c>
      <c r="CT91">
        <f ca="1" xml:space="preserve"> IF( AND( OFFSET($A$1, 91 - 1, 96 - 1) = "1", OFFSET($A$1, 91 - 1, 97 - 1) = "1" ), 1, IF( AND( OFFSET($A$1, 91 - 1, 96 - 1) = "1", OFFSET($A$1, 91 - 1, 97 - 1) = "0" ), 2, IF( AND( OFFSET($A$1, 91 - 1, 96 - 1) = "0", OFFSET($A$1, 91 - 1, 97 - 1) = "1" ), 3, 4 ) ) )</f>
        <v>4</v>
      </c>
      <c r="CV91" s="24">
        <v>0.74593908732186986</v>
      </c>
      <c r="CW91" s="24" t="str">
        <f>"1"</f>
        <v>1</v>
      </c>
      <c r="CX91" t="str">
        <f ca="1">IF((OFFSET($A$1, 91 - 1, 100 - 1)) &gt;= (OFFSET($A$1, 78 - 1, 7 - 1)), "1","0")</f>
        <v>1</v>
      </c>
      <c r="CY91">
        <f ca="1" xml:space="preserve"> IF( AND( OFFSET($A$1, 91 - 1, 101 - 1) = "1", OFFSET($A$1, 91 - 1, 102 - 1) = "1" ), 1, IF( AND( OFFSET($A$1, 91 - 1, 101 - 1) = "1", OFFSET($A$1, 91 - 1, 102 - 1) = "0" ), 2, IF( AND( OFFSET($A$1, 91 - 1, 101 - 1) = "0", OFFSET($A$1, 91 - 1, 102 - 1) = "1" ), 3, 4 ) ) )</f>
        <v>1</v>
      </c>
    </row>
    <row r="92" spans="3:103" ht="15.6" x14ac:dyDescent="0.3">
      <c r="C92" s="59" t="s">
        <v>708</v>
      </c>
      <c r="D92" s="60"/>
      <c r="E92" s="61"/>
      <c r="CQ92" s="24">
        <v>0.99995679412402327</v>
      </c>
      <c r="CR92" s="24" t="str">
        <f>"1"</f>
        <v>1</v>
      </c>
      <c r="CS92" t="str">
        <f ca="1">IF((OFFSET($A$1, 92 - 1, 95 - 1)) &gt;= (OFFSET($A$1, 54 - 1, 7 - 1)), "1","0")</f>
        <v>1</v>
      </c>
      <c r="CT92">
        <f ca="1" xml:space="preserve"> IF( AND( OFFSET($A$1, 92 - 1, 96 - 1) = "1", OFFSET($A$1, 92 - 1, 97 - 1) = "1" ), 1, IF( AND( OFFSET($A$1, 92 - 1, 96 - 1) = "1", OFFSET($A$1, 92 - 1, 97 - 1) = "0" ), 2, IF( AND( OFFSET($A$1, 92 - 1, 96 - 1) = "0", OFFSET($A$1, 92 - 1, 97 - 1) = "1" ), 3, 4 ) ) )</f>
        <v>1</v>
      </c>
      <c r="CV92" s="24">
        <v>0.96633013825591985</v>
      </c>
      <c r="CW92" s="24" t="str">
        <f>"0"</f>
        <v>0</v>
      </c>
      <c r="CX92" t="str">
        <f ca="1">IF((OFFSET($A$1, 92 - 1, 100 - 1)) &gt;= (OFFSET($A$1, 78 - 1, 7 - 1)), "1","0")</f>
        <v>1</v>
      </c>
      <c r="CY92">
        <f ca="1" xml:space="preserve"> IF( AND( OFFSET($A$1, 92 - 1, 101 - 1) = "1", OFFSET($A$1, 92 - 1, 102 - 1) = "1" ), 1, IF( AND( OFFSET($A$1, 92 - 1, 101 - 1) = "1", OFFSET($A$1, 92 - 1, 102 - 1) = "0" ), 2, IF( AND( OFFSET($A$1, 92 - 1, 101 - 1) = "0", OFFSET($A$1, 92 - 1, 102 - 1) = "1" ), 3, 4 ) ) )</f>
        <v>3</v>
      </c>
    </row>
    <row r="93" spans="3:103" ht="13.8" x14ac:dyDescent="0.3">
      <c r="C93" s="62" t="s">
        <v>709</v>
      </c>
      <c r="D93" s="64"/>
      <c r="E93" s="34">
        <v>1</v>
      </c>
      <c r="CQ93" s="24">
        <v>0.99911382044128716</v>
      </c>
      <c r="CR93" s="24" t="str">
        <f>"1"</f>
        <v>1</v>
      </c>
      <c r="CS93" t="str">
        <f ca="1">IF((OFFSET($A$1, 93 - 1, 95 - 1)) &gt;= (OFFSET($A$1, 54 - 1, 7 - 1)), "1","0")</f>
        <v>1</v>
      </c>
      <c r="CT93">
        <f ca="1" xml:space="preserve"> IF( AND( OFFSET($A$1, 93 - 1, 96 - 1) = "1", OFFSET($A$1, 93 - 1, 97 - 1) = "1" ), 1, IF( AND( OFFSET($A$1, 93 - 1, 96 - 1) = "1", OFFSET($A$1, 93 - 1, 97 - 1) = "0" ), 2, IF( AND( OFFSET($A$1, 93 - 1, 96 - 1) = "0", OFFSET($A$1, 93 - 1, 97 - 1) = "1" ), 3, 4 ) ) )</f>
        <v>1</v>
      </c>
      <c r="CV93" s="24">
        <v>0.99987343960631514</v>
      </c>
      <c r="CW93" s="24" t="str">
        <f>"1"</f>
        <v>1</v>
      </c>
      <c r="CX93" t="str">
        <f ca="1">IF((OFFSET($A$1, 93 - 1, 100 - 1)) &gt;= (OFFSET($A$1, 78 - 1, 7 - 1)), "1","0")</f>
        <v>1</v>
      </c>
      <c r="CY93">
        <f ca="1" xml:space="preserve"> IF( AND( OFFSET($A$1, 93 - 1, 101 - 1) = "1", OFFSET($A$1, 93 - 1, 102 - 1) = "1" ), 1, IF( AND( OFFSET($A$1, 93 - 1, 101 - 1) = "1", OFFSET($A$1, 93 - 1, 102 - 1) = "0" ), 2, IF( AND( OFFSET($A$1, 93 - 1, 101 - 1) = "0", OFFSET($A$1, 93 - 1, 102 - 1) = "1" ), 3, 4 ) ) )</f>
        <v>1</v>
      </c>
    </row>
    <row r="94" spans="3:103" ht="13.8" x14ac:dyDescent="0.3">
      <c r="C94" s="62" t="s">
        <v>710</v>
      </c>
      <c r="D94" s="64"/>
      <c r="E94" s="34">
        <f ca="1">IF((OFFSET($A$1, 83 - 1, 4 - 1) + OFFSET($A$1, 84 - 1, 4 - 1)) = 0,"Undefined",OFFSET($A$1, 83 - 1, 4 - 1)/(OFFSET($A$1, 83 - 1, 4 - 1) + OFFSET($A$1, 84 - 1, 4 - 1)))</f>
        <v>0.75747508305647837</v>
      </c>
      <c r="CQ94" s="24">
        <v>3.5022216712982945E-2</v>
      </c>
      <c r="CR94" s="24" t="str">
        <f>"0"</f>
        <v>0</v>
      </c>
      <c r="CS94" t="str">
        <f ca="1">IF((OFFSET($A$1, 94 - 1, 95 - 1)) &gt;= (OFFSET($A$1, 54 - 1, 7 - 1)), "1","0")</f>
        <v>0</v>
      </c>
      <c r="CT94">
        <f ca="1" xml:space="preserve"> IF( AND( OFFSET($A$1, 94 - 1, 96 - 1) = "1", OFFSET($A$1, 94 - 1, 97 - 1) = "1" ), 1, IF( AND( OFFSET($A$1, 94 - 1, 96 - 1) = "1", OFFSET($A$1, 94 - 1, 97 - 1) = "0" ), 2, IF( AND( OFFSET($A$1, 94 - 1, 96 - 1) = "0", OFFSET($A$1, 94 - 1, 97 - 1) = "1" ), 3, 4 ) ) )</f>
        <v>4</v>
      </c>
      <c r="CV94" s="24">
        <v>0.29653975132981431</v>
      </c>
      <c r="CW94" s="24" t="str">
        <f>"0"</f>
        <v>0</v>
      </c>
      <c r="CX94" t="str">
        <f ca="1">IF((OFFSET($A$1, 94 - 1, 100 - 1)) &gt;= (OFFSET($A$1, 78 - 1, 7 - 1)), "1","0")</f>
        <v>0</v>
      </c>
      <c r="CY94">
        <f ca="1" xml:space="preserve"> IF( AND( OFFSET($A$1, 94 - 1, 101 - 1) = "1", OFFSET($A$1, 94 - 1, 102 - 1) = "1" ), 1, IF( AND( OFFSET($A$1, 94 - 1, 101 - 1) = "1", OFFSET($A$1, 94 - 1, 102 - 1) = "0" ), 2, IF( AND( OFFSET($A$1, 94 - 1, 101 - 1) = "0", OFFSET($A$1, 94 - 1, 102 - 1) = "1" ), 3, 4 ) ) )</f>
        <v>4</v>
      </c>
    </row>
    <row r="95" spans="3:103" ht="13.8" x14ac:dyDescent="0.3">
      <c r="C95" s="62" t="s">
        <v>711</v>
      </c>
      <c r="D95" s="64"/>
      <c r="E95" s="34">
        <f ca="1">IF((OFFSET($A$1, 83 - 1, 4 - 1) + OFFSET($A$1, 83 - 1, 5 - 1)) = 0,"Undefined",OFFSET($A$1, 83 - 1, 4 - 1)/(OFFSET($A$1, 83 - 1, 4 - 1) + OFFSET($A$1, 83 - 1, 5 - 1)))</f>
        <v>0.84132841328413288</v>
      </c>
      <c r="CQ95" s="24">
        <v>0.9999999824677025</v>
      </c>
      <c r="CR95" s="24" t="str">
        <f>"1"</f>
        <v>1</v>
      </c>
      <c r="CS95" t="str">
        <f ca="1">IF((OFFSET($A$1, 95 - 1, 95 - 1)) &gt;= (OFFSET($A$1, 54 - 1, 7 - 1)), "1","0")</f>
        <v>1</v>
      </c>
      <c r="CT95">
        <f ca="1" xml:space="preserve"> IF( AND( OFFSET($A$1, 95 - 1, 96 - 1) = "1", OFFSET($A$1, 95 - 1, 97 - 1) = "1" ), 1, IF( AND( OFFSET($A$1, 95 - 1, 96 - 1) = "1", OFFSET($A$1, 95 - 1, 97 - 1) = "0" ), 2, IF( AND( OFFSET($A$1, 95 - 1, 96 - 1) = "0", OFFSET($A$1, 95 - 1, 97 - 1) = "1" ), 3, 4 ) ) )</f>
        <v>1</v>
      </c>
      <c r="CV95" s="24">
        <v>0.67239747798823257</v>
      </c>
      <c r="CW95" s="24" t="str">
        <f>"1"</f>
        <v>1</v>
      </c>
      <c r="CX95" t="str">
        <f ca="1">IF((OFFSET($A$1, 95 - 1, 100 - 1)) &gt;= (OFFSET($A$1, 78 - 1, 7 - 1)), "1","0")</f>
        <v>1</v>
      </c>
      <c r="CY95">
        <f ca="1" xml:space="preserve"> IF( AND( OFFSET($A$1, 95 - 1, 101 - 1) = "1", OFFSET($A$1, 95 - 1, 102 - 1) = "1" ), 1, IF( AND( OFFSET($A$1, 95 - 1, 101 - 1) = "1", OFFSET($A$1, 95 - 1, 102 - 1) = "0" ), 2, IF( AND( OFFSET($A$1, 95 - 1, 101 - 1) = "0", OFFSET($A$1, 95 - 1, 102 - 1) = "1" ), 3, 4 ) ) )</f>
        <v>1</v>
      </c>
    </row>
    <row r="96" spans="3:103" ht="13.8" x14ac:dyDescent="0.3">
      <c r="C96" s="62" t="s">
        <v>712</v>
      </c>
      <c r="D96" s="64"/>
      <c r="E96" s="34">
        <f ca="1">IF((OFFSET($A$1, 84 - 1, 4 - 1) + OFFSET($A$1, 84 - 1, 5 - 1)) = 0,"Undefined",OFFSET($A$1, 84 - 1, 5 - 1)/(OFFSET($A$1, 84 - 1, 4 - 1) + OFFSET($A$1, 84 - 1, 5 - 1)))</f>
        <v>0.43410852713178294</v>
      </c>
      <c r="CQ96" s="24">
        <v>0.99437631974313112</v>
      </c>
      <c r="CR96" s="24" t="str">
        <f>"1"</f>
        <v>1</v>
      </c>
      <c r="CS96" t="str">
        <f ca="1">IF((OFFSET($A$1, 96 - 1, 95 - 1)) &gt;= (OFFSET($A$1, 54 - 1, 7 - 1)), "1","0")</f>
        <v>1</v>
      </c>
      <c r="CT96">
        <f ca="1" xml:space="preserve"> IF( AND( OFFSET($A$1, 96 - 1, 96 - 1) = "1", OFFSET($A$1, 96 - 1, 97 - 1) = "1" ), 1, IF( AND( OFFSET($A$1, 96 - 1, 96 - 1) = "1", OFFSET($A$1, 96 - 1, 97 - 1) = "0" ), 2, IF( AND( OFFSET($A$1, 96 - 1, 96 - 1) = "0", OFFSET($A$1, 96 - 1, 97 - 1) = "1" ), 3, 4 ) ) )</f>
        <v>1</v>
      </c>
      <c r="CV96" s="24">
        <v>0.11173229672343207</v>
      </c>
      <c r="CW96" s="24" t="str">
        <f>"0"</f>
        <v>0</v>
      </c>
      <c r="CX96" t="str">
        <f ca="1">IF((OFFSET($A$1, 96 - 1, 100 - 1)) &gt;= (OFFSET($A$1, 78 - 1, 7 - 1)), "1","0")</f>
        <v>0</v>
      </c>
      <c r="CY96">
        <f ca="1" xml:space="preserve"> IF( AND( OFFSET($A$1, 96 - 1, 101 - 1) = "1", OFFSET($A$1, 96 - 1, 102 - 1) = "1" ), 1, IF( AND( OFFSET($A$1, 96 - 1, 101 - 1) = "1", OFFSET($A$1, 96 - 1, 102 - 1) = "0" ), 2, IF( AND( OFFSET($A$1, 96 - 1, 101 - 1) = "0", OFFSET($A$1, 96 - 1, 102 - 1) = "1" ), 3, 4 ) ) )</f>
        <v>4</v>
      </c>
    </row>
    <row r="97" spans="2:103" ht="13.8" x14ac:dyDescent="0.3">
      <c r="C97" s="62" t="s">
        <v>713</v>
      </c>
      <c r="D97" s="64"/>
      <c r="E97" s="34">
        <f ca="1">IF(OR(OFFSET($A$1, 94 - 1, 5 - 1)="Undefined",OFFSET($A$1, 95 - 1, 5 - 1)="Undefined"),"Undefined",IF((OFFSET($A$1, 94 - 1, 5 - 1) + OFFSET($A$1, 95 - 1, 5 - 1))=0,"Undefined",2*OFFSET($A$1, 94 - 1, 5 - 1)*OFFSET($A$1, 95 - 1, 5 - 1)/(OFFSET($A$1, 94 - 1, 5 - 1)+OFFSET($A$1, 95 - 1, 5 - 1))))</f>
        <v>0.79720279720279719</v>
      </c>
      <c r="CQ97" s="24">
        <v>3.533109528566216E-2</v>
      </c>
      <c r="CR97" s="24" t="str">
        <f>"0"</f>
        <v>0</v>
      </c>
      <c r="CS97" t="str">
        <f ca="1">IF((OFFSET($A$1, 97 - 1, 95 - 1)) &gt;= (OFFSET($A$1, 54 - 1, 7 - 1)), "1","0")</f>
        <v>0</v>
      </c>
      <c r="CT97">
        <f ca="1" xml:space="preserve"> IF( AND( OFFSET($A$1, 97 - 1, 96 - 1) = "1", OFFSET($A$1, 97 - 1, 97 - 1) = "1" ), 1, IF( AND( OFFSET($A$1, 97 - 1, 96 - 1) = "1", OFFSET($A$1, 97 - 1, 97 - 1) = "0" ), 2, IF( AND( OFFSET($A$1, 97 - 1, 96 - 1) = "0", OFFSET($A$1, 97 - 1, 97 - 1) = "1" ), 3, 4 ) ) )</f>
        <v>4</v>
      </c>
      <c r="CV97" s="24">
        <v>0.33713335191162419</v>
      </c>
      <c r="CW97" s="24" t="str">
        <f>"1"</f>
        <v>1</v>
      </c>
      <c r="CX97" t="str">
        <f ca="1">IF((OFFSET($A$1, 97 - 1, 100 - 1)) &gt;= (OFFSET($A$1, 78 - 1, 7 - 1)), "1","0")</f>
        <v>0</v>
      </c>
      <c r="CY97">
        <f ca="1" xml:space="preserve"> IF( AND( OFFSET($A$1, 97 - 1, 101 - 1) = "1", OFFSET($A$1, 97 - 1, 102 - 1) = "1" ), 1, IF( AND( OFFSET($A$1, 97 - 1, 101 - 1) = "1", OFFSET($A$1, 97 - 1, 102 - 1) = "0" ), 2, IF( AND( OFFSET($A$1, 97 - 1, 101 - 1) = "0", OFFSET($A$1, 97 - 1, 102 - 1) = "1" ), 3, 4 ) ) )</f>
        <v>2</v>
      </c>
    </row>
    <row r="98" spans="2:103" ht="13.8" x14ac:dyDescent="0.3">
      <c r="CQ98" s="24">
        <v>5.265678919758536E-2</v>
      </c>
      <c r="CR98" s="24" t="str">
        <f>"0"</f>
        <v>0</v>
      </c>
      <c r="CS98" t="str">
        <f ca="1">IF((OFFSET($A$1, 98 - 1, 95 - 1)) &gt;= (OFFSET($A$1, 54 - 1, 7 - 1)), "1","0")</f>
        <v>0</v>
      </c>
      <c r="CT98">
        <f ca="1" xml:space="preserve"> IF( AND( OFFSET($A$1, 98 - 1, 96 - 1) = "1", OFFSET($A$1, 98 - 1, 97 - 1) = "1" ), 1, IF( AND( OFFSET($A$1, 98 - 1, 96 - 1) = "1", OFFSET($A$1, 98 - 1, 97 - 1) = "0" ), 2, IF( AND( OFFSET($A$1, 98 - 1, 96 - 1) = "0", OFFSET($A$1, 98 - 1, 97 - 1) = "1" ), 3, 4 ) ) )</f>
        <v>4</v>
      </c>
      <c r="CV98" s="24">
        <v>0.98447536948352365</v>
      </c>
      <c r="CW98" s="24" t="str">
        <f>"1"</f>
        <v>1</v>
      </c>
      <c r="CX98" t="str">
        <f ca="1">IF((OFFSET($A$1, 98 - 1, 100 - 1)) &gt;= (OFFSET($A$1, 78 - 1, 7 - 1)), "1","0")</f>
        <v>1</v>
      </c>
      <c r="CY98">
        <f ca="1" xml:space="preserve"> IF( AND( OFFSET($A$1, 98 - 1, 101 - 1) = "1", OFFSET($A$1, 98 - 1, 102 - 1) = "1" ), 1, IF( AND( OFFSET($A$1, 98 - 1, 101 - 1) = "1", OFFSET($A$1, 98 - 1, 102 - 1) = "0" ), 2, IF( AND( OFFSET($A$1, 98 - 1, 101 - 1) = "0", OFFSET($A$1, 98 - 1, 102 - 1) = "1" ), 3, 4 ) ) )</f>
        <v>1</v>
      </c>
    </row>
    <row r="99" spans="2:103" ht="13.8" x14ac:dyDescent="0.3">
      <c r="CQ99" s="24">
        <v>6.8518195458652245E-2</v>
      </c>
      <c r="CR99" s="24" t="str">
        <f>"0"</f>
        <v>0</v>
      </c>
      <c r="CS99" t="str">
        <f ca="1">IF((OFFSET($A$1, 99 - 1, 95 - 1)) &gt;= (OFFSET($A$1, 54 - 1, 7 - 1)), "1","0")</f>
        <v>0</v>
      </c>
      <c r="CT99">
        <f ca="1" xml:space="preserve"> IF( AND( OFFSET($A$1, 99 - 1, 96 - 1) = "1", OFFSET($A$1, 99 - 1, 97 - 1) = "1" ), 1, IF( AND( OFFSET($A$1, 99 - 1, 96 - 1) = "1", OFFSET($A$1, 99 - 1, 97 - 1) = "0" ), 2, IF( AND( OFFSET($A$1, 99 - 1, 96 - 1) = "0", OFFSET($A$1, 99 - 1, 97 - 1) = "1" ), 3, 4 ) ) )</f>
        <v>4</v>
      </c>
      <c r="CV99" s="24">
        <v>0.97174161689399607</v>
      </c>
      <c r="CW99" s="24" t="str">
        <f>"0"</f>
        <v>0</v>
      </c>
      <c r="CX99" t="str">
        <f ca="1">IF((OFFSET($A$1, 99 - 1, 100 - 1)) &gt;= (OFFSET($A$1, 78 - 1, 7 - 1)), "1","0")</f>
        <v>1</v>
      </c>
      <c r="CY99">
        <f ca="1" xml:space="preserve"> IF( AND( OFFSET($A$1, 99 - 1, 101 - 1) = "1", OFFSET($A$1, 99 - 1, 102 - 1) = "1" ), 1, IF( AND( OFFSET($A$1, 99 - 1, 101 - 1) = "1", OFFSET($A$1, 99 - 1, 102 - 1) = "0" ), 2, IF( AND( OFFSET($A$1, 99 - 1, 101 - 1) = "0", OFFSET($A$1, 99 - 1, 102 - 1) = "1" ), 3, 4 ) ) )</f>
        <v>3</v>
      </c>
    </row>
    <row r="100" spans="2:103" ht="18" x14ac:dyDescent="0.35">
      <c r="B100" s="22" t="s">
        <v>715</v>
      </c>
      <c r="CQ100" s="24">
        <v>0.99537099891999503</v>
      </c>
      <c r="CR100" s="24" t="str">
        <f>"1"</f>
        <v>1</v>
      </c>
      <c r="CS100" t="str">
        <f ca="1">IF((OFFSET($A$1, 100 - 1, 95 - 1)) &gt;= (OFFSET($A$1, 54 - 1, 7 - 1)), "1","0")</f>
        <v>1</v>
      </c>
      <c r="CT100">
        <f ca="1" xml:space="preserve"> IF( AND( OFFSET($A$1, 100 - 1, 96 - 1) = "1", OFFSET($A$1, 100 - 1, 97 - 1) = "1" ), 1, IF( AND( OFFSET($A$1, 100 - 1, 96 - 1) = "1", OFFSET($A$1, 100 - 1, 97 - 1) = "0" ), 2, IF( AND( OFFSET($A$1, 100 - 1, 96 - 1) = "0", OFFSET($A$1, 100 - 1, 97 - 1) = "1" ), 3, 4 ) ) )</f>
        <v>1</v>
      </c>
      <c r="CV100" s="24">
        <v>0.72117280558237296</v>
      </c>
      <c r="CW100" s="24" t="str">
        <f>"0"</f>
        <v>0</v>
      </c>
      <c r="CX100" t="str">
        <f ca="1">IF((OFFSET($A$1, 100 - 1, 100 - 1)) &gt;= (OFFSET($A$1, 78 - 1, 7 - 1)), "1","0")</f>
        <v>1</v>
      </c>
      <c r="CY100">
        <f ca="1" xml:space="preserve"> IF( AND( OFFSET($A$1, 100 - 1, 101 - 1) = "1", OFFSET($A$1, 100 - 1, 102 - 1) = "1" ), 1, IF( AND( OFFSET($A$1, 100 - 1, 101 - 1) = "1", OFFSET($A$1, 100 - 1, 102 - 1) = "0" ), 2, IF( AND( OFFSET($A$1, 100 - 1, 101 - 1) = "0", OFFSET($A$1, 100 - 1, 102 - 1) = "1" ), 3, 4 ) ) )</f>
        <v>3</v>
      </c>
    </row>
    <row r="101" spans="2:103" ht="13.8" x14ac:dyDescent="0.3">
      <c r="CQ101" s="24">
        <v>3.2129201869341277E-3</v>
      </c>
      <c r="CR101" s="24" t="str">
        <f>"0"</f>
        <v>0</v>
      </c>
      <c r="CS101" t="str">
        <f ca="1">IF((OFFSET($A$1, 101 - 1, 95 - 1)) &gt;= (OFFSET($A$1, 54 - 1, 7 - 1)), "1","0")</f>
        <v>0</v>
      </c>
      <c r="CT101">
        <f ca="1" xml:space="preserve"> IF( AND( OFFSET($A$1, 101 - 1, 96 - 1) = "1", OFFSET($A$1, 101 - 1, 97 - 1) = "1" ), 1, IF( AND( OFFSET($A$1, 101 - 1, 96 - 1) = "1", OFFSET($A$1, 101 - 1, 97 - 1) = "0" ), 2, IF( AND( OFFSET($A$1, 101 - 1, 96 - 1) = "0", OFFSET($A$1, 101 - 1, 97 - 1) = "1" ), 3, 4 ) ) )</f>
        <v>4</v>
      </c>
      <c r="CV101" s="24">
        <v>0.92978586945631803</v>
      </c>
      <c r="CW101" s="24" t="str">
        <f>"0"</f>
        <v>0</v>
      </c>
      <c r="CX101" t="str">
        <f ca="1">IF((OFFSET($A$1, 101 - 1, 100 - 1)) &gt;= (OFFSET($A$1, 78 - 1, 7 - 1)), "1","0")</f>
        <v>1</v>
      </c>
      <c r="CY101">
        <f ca="1" xml:space="preserve"> IF( AND( OFFSET($A$1, 101 - 1, 101 - 1) = "1", OFFSET($A$1, 101 - 1, 102 - 1) = "1" ), 1, IF( AND( OFFSET($A$1, 101 - 1, 101 - 1) = "1", OFFSET($A$1, 101 - 1, 102 - 1) = "0" ), 2, IF( AND( OFFSET($A$1, 101 - 1, 101 - 1) = "0", OFFSET($A$1, 101 - 1, 102 - 1) = "1" ), 3, 4 ) ) )</f>
        <v>3</v>
      </c>
    </row>
    <row r="102" spans="2:103" ht="13.8" x14ac:dyDescent="0.3">
      <c r="D102" s="77" t="s">
        <v>716</v>
      </c>
      <c r="E102" s="77"/>
      <c r="F102" s="77"/>
      <c r="G102" s="77"/>
      <c r="H102" s="77"/>
      <c r="I102" s="77"/>
      <c r="J102" s="77"/>
      <c r="K102" s="77"/>
      <c r="L102" s="77"/>
      <c r="M102" s="77"/>
      <c r="N102" s="77"/>
      <c r="O102" s="77"/>
      <c r="P102" s="77"/>
      <c r="Q102" s="77"/>
      <c r="R102" s="77"/>
      <c r="S102" s="77"/>
      <c r="T102" s="77"/>
      <c r="U102" s="77"/>
      <c r="V102" s="77"/>
      <c r="W102" s="77"/>
      <c r="X102" s="77"/>
      <c r="Y102" s="77"/>
      <c r="Z102" s="77"/>
      <c r="AA102" s="77"/>
      <c r="AB102" s="77"/>
      <c r="AC102" s="77"/>
      <c r="AD102" s="77"/>
      <c r="AE102" s="77"/>
      <c r="AF102" s="77"/>
      <c r="AG102" s="77"/>
      <c r="AH102" s="77"/>
      <c r="AI102" s="77"/>
      <c r="AJ102" s="77"/>
      <c r="AK102" s="77"/>
      <c r="AL102" s="77"/>
      <c r="AM102" s="77"/>
      <c r="AN102" s="77"/>
      <c r="AO102" s="77"/>
      <c r="AP102" s="77"/>
      <c r="AQ102" s="77"/>
      <c r="AR102" s="77"/>
      <c r="AS102" s="77"/>
      <c r="AT102" s="77"/>
      <c r="AU102" s="77"/>
      <c r="AV102" s="77"/>
      <c r="AW102" s="77"/>
      <c r="CQ102" s="24">
        <v>0.99762660688326299</v>
      </c>
      <c r="CR102" s="24" t="str">
        <f>"1"</f>
        <v>1</v>
      </c>
      <c r="CS102" t="str">
        <f ca="1">IF((OFFSET($A$1, 102 - 1, 95 - 1)) &gt;= (OFFSET($A$1, 54 - 1, 7 - 1)), "1","0")</f>
        <v>1</v>
      </c>
      <c r="CT102">
        <f ca="1" xml:space="preserve"> IF( AND( OFFSET($A$1, 102 - 1, 96 - 1) = "1", OFFSET($A$1, 102 - 1, 97 - 1) = "1" ), 1, IF( AND( OFFSET($A$1, 102 - 1, 96 - 1) = "1", OFFSET($A$1, 102 - 1, 97 - 1) = "0" ), 2, IF( AND( OFFSET($A$1, 102 - 1, 96 - 1) = "0", OFFSET($A$1, 102 - 1, 97 - 1) = "1" ), 3, 4 ) ) )</f>
        <v>1</v>
      </c>
      <c r="CV102" s="24">
        <v>0.9930082880743587</v>
      </c>
      <c r="CW102" s="24" t="str">
        <f>"1"</f>
        <v>1</v>
      </c>
      <c r="CX102" t="str">
        <f ca="1">IF((OFFSET($A$1, 102 - 1, 100 - 1)) &gt;= (OFFSET($A$1, 78 - 1, 7 - 1)), "1","0")</f>
        <v>1</v>
      </c>
      <c r="CY102">
        <f ca="1" xml:space="preserve"> IF( AND( OFFSET($A$1, 102 - 1, 101 - 1) = "1", OFFSET($A$1, 102 - 1, 102 - 1) = "1" ), 1, IF( AND( OFFSET($A$1, 102 - 1, 101 - 1) = "1", OFFSET($A$1, 102 - 1, 102 - 1) = "0" ), 2, IF( AND( OFFSET($A$1, 102 - 1, 101 - 1) = "0", OFFSET($A$1, 102 - 1, 102 - 1) = "1" ), 3, 4 ) ) )</f>
        <v>1</v>
      </c>
    </row>
    <row r="103" spans="2:103" ht="13.8" x14ac:dyDescent="0.3">
      <c r="C103" s="36" t="s">
        <v>717</v>
      </c>
      <c r="D103" s="26" t="s">
        <v>0</v>
      </c>
      <c r="E103" s="26" t="s">
        <v>68</v>
      </c>
      <c r="F103" s="26" t="s">
        <v>69</v>
      </c>
      <c r="G103" s="26" t="s">
        <v>70</v>
      </c>
      <c r="H103" s="26" t="s">
        <v>71</v>
      </c>
      <c r="I103" s="26" t="s">
        <v>81</v>
      </c>
      <c r="J103" s="26" t="s">
        <v>72</v>
      </c>
      <c r="K103" s="26" t="s">
        <v>2</v>
      </c>
      <c r="L103" s="26" t="s">
        <v>6</v>
      </c>
      <c r="M103" s="26" t="s">
        <v>74</v>
      </c>
      <c r="N103" s="26" t="s">
        <v>75</v>
      </c>
      <c r="O103" s="26" t="s">
        <v>76</v>
      </c>
      <c r="P103" s="26" t="s">
        <v>73</v>
      </c>
      <c r="Q103" s="26" t="s">
        <v>77</v>
      </c>
      <c r="R103" s="26" t="s">
        <v>78</v>
      </c>
      <c r="S103" s="26" t="s">
        <v>82</v>
      </c>
      <c r="T103" s="26" t="s">
        <v>8</v>
      </c>
      <c r="U103" s="26" t="s">
        <v>79</v>
      </c>
      <c r="V103" s="26" t="s">
        <v>80</v>
      </c>
      <c r="W103" s="26" t="s">
        <v>83</v>
      </c>
      <c r="X103" s="26" t="s">
        <v>9</v>
      </c>
      <c r="Y103" s="26" t="s">
        <v>11</v>
      </c>
      <c r="Z103" s="26" t="s">
        <v>12</v>
      </c>
      <c r="AA103" s="26" t="s">
        <v>13</v>
      </c>
      <c r="AB103" s="26" t="s">
        <v>152</v>
      </c>
      <c r="AC103" s="26" t="s">
        <v>153</v>
      </c>
      <c r="AD103" s="26" t="s">
        <v>154</v>
      </c>
      <c r="AE103" s="26" t="s">
        <v>156</v>
      </c>
      <c r="AF103" s="26" t="s">
        <v>157</v>
      </c>
      <c r="AG103" s="26" t="s">
        <v>158</v>
      </c>
      <c r="AH103" s="26" t="s">
        <v>159</v>
      </c>
      <c r="AI103" s="26" t="s">
        <v>161</v>
      </c>
      <c r="AJ103" s="26" t="s">
        <v>162</v>
      </c>
      <c r="AK103" s="26" t="s">
        <v>163</v>
      </c>
      <c r="AL103" s="26" t="s">
        <v>164</v>
      </c>
      <c r="AM103" s="26" t="s">
        <v>166</v>
      </c>
      <c r="AN103" s="26" t="s">
        <v>167</v>
      </c>
      <c r="AO103" s="26" t="s">
        <v>168</v>
      </c>
      <c r="AP103" s="26" t="s">
        <v>169</v>
      </c>
      <c r="AQ103" s="26" t="s">
        <v>171</v>
      </c>
      <c r="AR103" s="26" t="s">
        <v>172</v>
      </c>
      <c r="AS103" s="26" t="s">
        <v>173</v>
      </c>
      <c r="AT103" s="26" t="s">
        <v>176</v>
      </c>
      <c r="AU103" s="26" t="s">
        <v>177</v>
      </c>
      <c r="AV103" s="26" t="s">
        <v>178</v>
      </c>
      <c r="AW103" s="26" t="s">
        <v>732</v>
      </c>
      <c r="CQ103" s="24">
        <v>4.7816162859905869E-3</v>
      </c>
      <c r="CR103" s="24" t="str">
        <f>"0"</f>
        <v>0</v>
      </c>
      <c r="CS103" t="str">
        <f ca="1">IF((OFFSET($A$1, 103 - 1, 95 - 1)) &gt;= (OFFSET($A$1, 54 - 1, 7 - 1)), "1","0")</f>
        <v>0</v>
      </c>
      <c r="CT103">
        <f ca="1" xml:space="preserve"> IF( AND( OFFSET($A$1, 103 - 1, 96 - 1) = "1", OFFSET($A$1, 103 - 1, 97 - 1) = "1" ), 1, IF( AND( OFFSET($A$1, 103 - 1, 96 - 1) = "1", OFFSET($A$1, 103 - 1, 97 - 1) = "0" ), 2, IF( AND( OFFSET($A$1, 103 - 1, 96 - 1) = "0", OFFSET($A$1, 103 - 1, 97 - 1) = "1" ), 3, 4 ) ) )</f>
        <v>4</v>
      </c>
      <c r="CV103" s="24">
        <v>0.9962375915052859</v>
      </c>
      <c r="CW103" s="24" t="str">
        <f>"1"</f>
        <v>1</v>
      </c>
      <c r="CX103" t="str">
        <f ca="1">IF((OFFSET($A$1, 103 - 1, 100 - 1)) &gt;= (OFFSET($A$1, 78 - 1, 7 - 1)), "1","0")</f>
        <v>1</v>
      </c>
      <c r="CY103">
        <f ca="1" xml:space="preserve"> IF( AND( OFFSET($A$1, 103 - 1, 101 - 1) = "1", OFFSET($A$1, 103 - 1, 102 - 1) = "1" ), 1, IF( AND( OFFSET($A$1, 103 - 1, 101 - 1) = "1", OFFSET($A$1, 103 - 1, 102 - 1) = "0" ), 2, IF( AND( OFFSET($A$1, 103 - 1, 101 - 1) = "0", OFFSET($A$1, 103 - 1, 102 - 1) = "1" ), 3, 4 ) ) )</f>
        <v>1</v>
      </c>
    </row>
    <row r="104" spans="2:103" ht="13.8" x14ac:dyDescent="0.3">
      <c r="C104" s="26" t="s">
        <v>718</v>
      </c>
      <c r="D104" s="24">
        <v>-0.35891764287090888</v>
      </c>
      <c r="E104" s="24">
        <v>2.2245079428402037</v>
      </c>
      <c r="F104" s="24">
        <v>0.78045476569944228</v>
      </c>
      <c r="G104" s="24">
        <v>-0.15912064480885485</v>
      </c>
      <c r="H104" s="24">
        <v>-1.2198218071529856</v>
      </c>
      <c r="I104" s="24">
        <v>8.7216991941077765E-2</v>
      </c>
      <c r="J104" s="24">
        <v>-0.36409978200192583</v>
      </c>
      <c r="K104" s="24">
        <v>-1.3819709855414384</v>
      </c>
      <c r="L104" s="24">
        <v>2.0562871403130147</v>
      </c>
      <c r="M104" s="24">
        <v>-1.004186774358153</v>
      </c>
      <c r="N104" s="24">
        <v>-0.39571580872993473</v>
      </c>
      <c r="O104" s="24">
        <v>-0.74720307380820083</v>
      </c>
      <c r="P104" s="24">
        <v>-0.62485899779987863</v>
      </c>
      <c r="Q104" s="24">
        <v>-0.19550300972396156</v>
      </c>
      <c r="R104" s="24">
        <v>0.53164817083283644</v>
      </c>
      <c r="S104" s="24">
        <v>-0.38318769529490265</v>
      </c>
      <c r="T104" s="24">
        <v>-0.58547168629174018</v>
      </c>
      <c r="U104" s="24">
        <v>-1.4200317308965491</v>
      </c>
      <c r="V104" s="24">
        <v>1.8537687370736178</v>
      </c>
      <c r="W104" s="24">
        <v>-0.1768536279074637</v>
      </c>
      <c r="X104" s="24">
        <v>-0.46502356760723679</v>
      </c>
      <c r="Y104" s="24">
        <v>-0.16487105040027017</v>
      </c>
      <c r="Z104" s="24">
        <v>-0.50787269218577247</v>
      </c>
      <c r="AA104" s="24">
        <v>1.1396357326696234</v>
      </c>
      <c r="AB104" s="24">
        <v>-2.142470798769518</v>
      </c>
      <c r="AC104" s="24">
        <v>0.26568895671872816</v>
      </c>
      <c r="AD104" s="24">
        <v>-1.118494956521203</v>
      </c>
      <c r="AE104" s="24">
        <v>-1.7410876687538617</v>
      </c>
      <c r="AF104" s="24">
        <v>1.7292507293553525</v>
      </c>
      <c r="AG104" s="24">
        <v>-0.84714289127885545</v>
      </c>
      <c r="AH104" s="24">
        <v>0.90837926566107929</v>
      </c>
      <c r="AI104" s="24">
        <v>-2.6069770496389175</v>
      </c>
      <c r="AJ104" s="24">
        <v>0.32974145702610996</v>
      </c>
      <c r="AK104" s="24">
        <v>2.4519116696770329</v>
      </c>
      <c r="AL104" s="24">
        <v>0.66066498063170909</v>
      </c>
      <c r="AM104" s="24">
        <v>-1.5695489538473755</v>
      </c>
      <c r="AN104" s="24">
        <v>0.90165839245477919</v>
      </c>
      <c r="AO104" s="24">
        <v>0.78042726650169203</v>
      </c>
      <c r="AP104" s="24">
        <v>-0.44453933193415118</v>
      </c>
      <c r="AQ104" s="24">
        <v>-0.73966210395924659</v>
      </c>
      <c r="AR104" s="24">
        <v>0.55561256527595082</v>
      </c>
      <c r="AS104" s="24">
        <v>1.4634970984399107</v>
      </c>
      <c r="AT104" s="24">
        <v>0.22144720081205171</v>
      </c>
      <c r="AU104" s="24">
        <v>9.6821727641749821E-4</v>
      </c>
      <c r="AV104" s="24">
        <v>1.7228029690387121</v>
      </c>
      <c r="AW104" s="24">
        <v>-2.6859706918648945</v>
      </c>
      <c r="CQ104" s="24">
        <v>0.94731309771534267</v>
      </c>
      <c r="CR104" s="24" t="str">
        <f>"1"</f>
        <v>1</v>
      </c>
      <c r="CS104" t="str">
        <f ca="1">IF((OFFSET($A$1, 104 - 1, 95 - 1)) &gt;= (OFFSET($A$1, 54 - 1, 7 - 1)), "1","0")</f>
        <v>1</v>
      </c>
      <c r="CT104">
        <f ca="1" xml:space="preserve"> IF( AND( OFFSET($A$1, 104 - 1, 96 - 1) = "1", OFFSET($A$1, 104 - 1, 97 - 1) = "1" ), 1, IF( AND( OFFSET($A$1, 104 - 1, 96 - 1) = "1", OFFSET($A$1, 104 - 1, 97 - 1) = "0" ), 2, IF( AND( OFFSET($A$1, 104 - 1, 96 - 1) = "0", OFFSET($A$1, 104 - 1, 97 - 1) = "1" ), 3, 4 ) ) )</f>
        <v>1</v>
      </c>
      <c r="CV104" s="24">
        <v>4.2928342722015056E-4</v>
      </c>
      <c r="CW104" s="24" t="str">
        <f>"0"</f>
        <v>0</v>
      </c>
      <c r="CX104" t="str">
        <f ca="1">IF((OFFSET($A$1, 104 - 1, 100 - 1)) &gt;= (OFFSET($A$1, 78 - 1, 7 - 1)), "1","0")</f>
        <v>0</v>
      </c>
      <c r="CY104">
        <f ca="1" xml:space="preserve"> IF( AND( OFFSET($A$1, 104 - 1, 101 - 1) = "1", OFFSET($A$1, 104 - 1, 102 - 1) = "1" ), 1, IF( AND( OFFSET($A$1, 104 - 1, 101 - 1) = "1", OFFSET($A$1, 104 - 1, 102 - 1) = "0" ), 2, IF( AND( OFFSET($A$1, 104 - 1, 101 - 1) = "0", OFFSET($A$1, 104 - 1, 102 - 1) = "1" ), 3, 4 ) ) )</f>
        <v>4</v>
      </c>
    </row>
    <row r="105" spans="2:103" ht="13.8" x14ac:dyDescent="0.3">
      <c r="C105" s="26" t="s">
        <v>719</v>
      </c>
      <c r="D105" s="24">
        <v>0.30148917558466526</v>
      </c>
      <c r="E105" s="24">
        <v>0.34458681772140926</v>
      </c>
      <c r="F105" s="24">
        <v>0.75254995129142144</v>
      </c>
      <c r="G105" s="24">
        <v>-1.3800090000547307</v>
      </c>
      <c r="H105" s="24">
        <v>6.5804422209766192E-2</v>
      </c>
      <c r="I105" s="24">
        <v>-1.8376693853808845</v>
      </c>
      <c r="J105" s="24">
        <v>1.4040665493423896</v>
      </c>
      <c r="K105" s="24">
        <v>-1.745862430252894</v>
      </c>
      <c r="L105" s="24">
        <v>1.7580136194608518</v>
      </c>
      <c r="M105" s="24">
        <v>3.1988448623860632E-2</v>
      </c>
      <c r="N105" s="24">
        <v>-0.4587998466624375</v>
      </c>
      <c r="O105" s="24">
        <v>-1.0311265954062407</v>
      </c>
      <c r="P105" s="24">
        <v>-9.1595982622629704E-2</v>
      </c>
      <c r="Q105" s="24">
        <v>0.34183932527753458</v>
      </c>
      <c r="R105" s="24">
        <v>0.85792815578019521</v>
      </c>
      <c r="S105" s="24">
        <v>-1.4794473636612873</v>
      </c>
      <c r="T105" s="24">
        <v>1.6770730926107629</v>
      </c>
      <c r="U105" s="24">
        <v>0.89742978786004868</v>
      </c>
      <c r="V105" s="24">
        <v>-0.81494751389786968</v>
      </c>
      <c r="W105" s="24">
        <v>1.0886260594536084</v>
      </c>
      <c r="X105" s="24">
        <v>-0.3078793127442172</v>
      </c>
      <c r="Y105" s="24">
        <v>-1.1716990112830714</v>
      </c>
      <c r="Z105" s="24">
        <v>1.9347128654268129</v>
      </c>
      <c r="AA105" s="24">
        <v>0.45353255832321326</v>
      </c>
      <c r="AB105" s="24">
        <v>-0.60623507746929117</v>
      </c>
      <c r="AC105" s="24">
        <v>-0.69204988180876192</v>
      </c>
      <c r="AD105" s="24">
        <v>2.0296945093734915</v>
      </c>
      <c r="AE105" s="24">
        <v>-1.1979895502971536</v>
      </c>
      <c r="AF105" s="24">
        <v>1.4506306088170058</v>
      </c>
      <c r="AG105" s="24">
        <v>-0.26612321252136412</v>
      </c>
      <c r="AH105" s="24">
        <v>-1.1587992824383717</v>
      </c>
      <c r="AI105" s="24">
        <v>0.11770611560181615</v>
      </c>
      <c r="AJ105" s="24">
        <v>0.64044520564483087</v>
      </c>
      <c r="AK105" s="24">
        <v>0.51483763279990769</v>
      </c>
      <c r="AL105" s="24">
        <v>0.67755231476714473</v>
      </c>
      <c r="AM105" s="24">
        <v>0.19916689410005714</v>
      </c>
      <c r="AN105" s="24">
        <v>0.97256661372293873</v>
      </c>
      <c r="AO105" s="24">
        <v>-0.94309600860721743</v>
      </c>
      <c r="AP105" s="24">
        <v>-0.20440330379493596</v>
      </c>
      <c r="AQ105" s="24">
        <v>0.57081283507744007</v>
      </c>
      <c r="AR105" s="24">
        <v>-0.15325875833604016</v>
      </c>
      <c r="AS105" s="24">
        <v>-0.70296413311489714</v>
      </c>
      <c r="AT105" s="24">
        <v>7.6711934717863195E-2</v>
      </c>
      <c r="AU105" s="24">
        <v>0.89504081764900933</v>
      </c>
      <c r="AV105" s="24">
        <v>-1.6346916051404989</v>
      </c>
      <c r="AW105" s="24">
        <v>-1.2752328599287457</v>
      </c>
      <c r="CQ105" s="24">
        <v>1.8849458729109712E-3</v>
      </c>
      <c r="CR105" s="24" t="str">
        <f>"0"</f>
        <v>0</v>
      </c>
      <c r="CS105" t="str">
        <f ca="1">IF((OFFSET($A$1, 105 - 1, 95 - 1)) &gt;= (OFFSET($A$1, 54 - 1, 7 - 1)), "1","0")</f>
        <v>0</v>
      </c>
      <c r="CT105">
        <f ca="1" xml:space="preserve"> IF( AND( OFFSET($A$1, 105 - 1, 96 - 1) = "1", OFFSET($A$1, 105 - 1, 97 - 1) = "1" ), 1, IF( AND( OFFSET($A$1, 105 - 1, 96 - 1) = "1", OFFSET($A$1, 105 - 1, 97 - 1) = "0" ), 2, IF( AND( OFFSET($A$1, 105 - 1, 96 - 1) = "0", OFFSET($A$1, 105 - 1, 97 - 1) = "1" ), 3, 4 ) ) )</f>
        <v>4</v>
      </c>
      <c r="CV105" s="24">
        <v>0.99999986643231353</v>
      </c>
      <c r="CW105" s="24" t="str">
        <f>"1"</f>
        <v>1</v>
      </c>
      <c r="CX105" t="str">
        <f ca="1">IF((OFFSET($A$1, 105 - 1, 100 - 1)) &gt;= (OFFSET($A$1, 78 - 1, 7 - 1)), "1","0")</f>
        <v>1</v>
      </c>
      <c r="CY105">
        <f ca="1" xml:space="preserve"> IF( AND( OFFSET($A$1, 105 - 1, 101 - 1) = "1", OFFSET($A$1, 105 - 1, 102 - 1) = "1" ), 1, IF( AND( OFFSET($A$1, 105 - 1, 101 - 1) = "1", OFFSET($A$1, 105 - 1, 102 - 1) = "0" ), 2, IF( AND( OFFSET($A$1, 105 - 1, 101 - 1) = "0", OFFSET($A$1, 105 - 1, 102 - 1) = "1" ), 3, 4 ) ) )</f>
        <v>1</v>
      </c>
    </row>
    <row r="106" spans="2:103" ht="13.8" x14ac:dyDescent="0.3">
      <c r="C106" s="26" t="s">
        <v>720</v>
      </c>
      <c r="D106" s="24">
        <v>0.48528619970263553</v>
      </c>
      <c r="E106" s="24">
        <v>0.35965731613645019</v>
      </c>
      <c r="F106" s="24">
        <v>1.8425443220689726</v>
      </c>
      <c r="G106" s="24">
        <v>0.91482428223678613</v>
      </c>
      <c r="H106" s="24">
        <v>-1.2712557059763574</v>
      </c>
      <c r="I106" s="24">
        <v>-1.0008434908695822</v>
      </c>
      <c r="J106" s="24">
        <v>6.9669542813672783E-2</v>
      </c>
      <c r="K106" s="24">
        <v>-0.51498040488157526</v>
      </c>
      <c r="L106" s="24">
        <v>-0.95107643937357622</v>
      </c>
      <c r="M106" s="24">
        <v>1.1233848122860741</v>
      </c>
      <c r="N106" s="24">
        <v>1.8607172816626261</v>
      </c>
      <c r="O106" s="24">
        <v>1.3853206796110369</v>
      </c>
      <c r="P106" s="24">
        <v>0.45588966101177281</v>
      </c>
      <c r="Q106" s="24">
        <v>1.0834189021058067</v>
      </c>
      <c r="R106" s="24">
        <v>1.4617978757758163</v>
      </c>
      <c r="S106" s="24">
        <v>-1.0243597518003011</v>
      </c>
      <c r="T106" s="24">
        <v>1.3013560375898758</v>
      </c>
      <c r="U106" s="24">
        <v>0.53843045925401545</v>
      </c>
      <c r="V106" s="24">
        <v>1.3787083837282417</v>
      </c>
      <c r="W106" s="24">
        <v>0.23776005773252545</v>
      </c>
      <c r="X106" s="24">
        <v>-0.65855111061587324</v>
      </c>
      <c r="Y106" s="24">
        <v>-0.53863464671901262</v>
      </c>
      <c r="Z106" s="24">
        <v>-1.349861476828089</v>
      </c>
      <c r="AA106" s="24">
        <v>0.348549722523123</v>
      </c>
      <c r="AB106" s="24">
        <v>-2.9513551115068517</v>
      </c>
      <c r="AC106" s="24">
        <v>0.67642840454295117</v>
      </c>
      <c r="AD106" s="24">
        <v>-0.81823998831257805</v>
      </c>
      <c r="AE106" s="24">
        <v>8.2007429495422599E-2</v>
      </c>
      <c r="AF106" s="24">
        <v>-0.2136361600697036</v>
      </c>
      <c r="AG106" s="24">
        <v>-0.15565200579941482</v>
      </c>
      <c r="AH106" s="24">
        <v>0.99530147988205575</v>
      </c>
      <c r="AI106" s="24">
        <v>-2.4502027642058084</v>
      </c>
      <c r="AJ106" s="24">
        <v>0.3892437157797104</v>
      </c>
      <c r="AK106" s="24">
        <v>1.9065097899681511</v>
      </c>
      <c r="AL106" s="24">
        <v>0.51802383423292386</v>
      </c>
      <c r="AM106" s="24">
        <v>0.31642888696195692</v>
      </c>
      <c r="AN106" s="24">
        <v>-1.3733309434208663</v>
      </c>
      <c r="AO106" s="24">
        <v>0.83679091094813862</v>
      </c>
      <c r="AP106" s="24">
        <v>2.2592849744742423</v>
      </c>
      <c r="AQ106" s="24">
        <v>-1.5567843249185391</v>
      </c>
      <c r="AR106" s="24">
        <v>1.827641174678057</v>
      </c>
      <c r="AS106" s="24">
        <v>1.6617380270310078</v>
      </c>
      <c r="AT106" s="24">
        <v>1.0680515704431586</v>
      </c>
      <c r="AU106" s="24">
        <v>3.7596043181308216</v>
      </c>
      <c r="AV106" s="24">
        <v>0.62200009737564854</v>
      </c>
      <c r="AW106" s="24">
        <v>-2.9924676397798153</v>
      </c>
      <c r="CQ106" s="24">
        <v>5.1014668027204377E-3</v>
      </c>
      <c r="CR106" s="24" t="str">
        <f>"0"</f>
        <v>0</v>
      </c>
      <c r="CS106" t="str">
        <f ca="1">IF((OFFSET($A$1, 106 - 1, 95 - 1)) &gt;= (OFFSET($A$1, 54 - 1, 7 - 1)), "1","0")</f>
        <v>0</v>
      </c>
      <c r="CT106">
        <f ca="1" xml:space="preserve"> IF( AND( OFFSET($A$1, 106 - 1, 96 - 1) = "1", OFFSET($A$1, 106 - 1, 97 - 1) = "1" ), 1, IF( AND( OFFSET($A$1, 106 - 1, 96 - 1) = "1", OFFSET($A$1, 106 - 1, 97 - 1) = "0" ), 2, IF( AND( OFFSET($A$1, 106 - 1, 96 - 1) = "0", OFFSET($A$1, 106 - 1, 97 - 1) = "1" ), 3, 4 ) ) )</f>
        <v>4</v>
      </c>
      <c r="CV106" s="24">
        <v>0.98938780867442699</v>
      </c>
      <c r="CW106" s="24" t="str">
        <f>"1"</f>
        <v>1</v>
      </c>
      <c r="CX106" t="str">
        <f ca="1">IF((OFFSET($A$1, 106 - 1, 100 - 1)) &gt;= (OFFSET($A$1, 78 - 1, 7 - 1)), "1","0")</f>
        <v>1</v>
      </c>
      <c r="CY106">
        <f ca="1" xml:space="preserve"> IF( AND( OFFSET($A$1, 106 - 1, 101 - 1) = "1", OFFSET($A$1, 106 - 1, 102 - 1) = "1" ), 1, IF( AND( OFFSET($A$1, 106 - 1, 101 - 1) = "1", OFFSET($A$1, 106 - 1, 102 - 1) = "0" ), 2, IF( AND( OFFSET($A$1, 106 - 1, 101 - 1) = "0", OFFSET($A$1, 106 - 1, 102 - 1) = "1" ), 3, 4 ) ) )</f>
        <v>1</v>
      </c>
    </row>
    <row r="107" spans="2:103" ht="13.8" x14ac:dyDescent="0.3">
      <c r="C107" s="26" t="s">
        <v>721</v>
      </c>
      <c r="D107" s="24">
        <v>0.16960725594806242</v>
      </c>
      <c r="E107" s="24">
        <v>-1.8400438400469661</v>
      </c>
      <c r="F107" s="24">
        <v>-0.36549127069889936</v>
      </c>
      <c r="G107" s="24">
        <v>1.9474292504187816</v>
      </c>
      <c r="H107" s="24">
        <v>0.28450960581142598</v>
      </c>
      <c r="I107" s="24">
        <v>1.4963296442810963</v>
      </c>
      <c r="J107" s="24">
        <v>1.6883134446631556</v>
      </c>
      <c r="K107" s="24">
        <v>-1.7115112030715298</v>
      </c>
      <c r="L107" s="24">
        <v>1.6899202913181397</v>
      </c>
      <c r="M107" s="24">
        <v>-0.51322104587207229</v>
      </c>
      <c r="N107" s="24">
        <v>0.12063159624938791</v>
      </c>
      <c r="O107" s="24">
        <v>-1.4982904544257003</v>
      </c>
      <c r="P107" s="24">
        <v>-0.5635006086427361</v>
      </c>
      <c r="Q107" s="24">
        <v>0.8644387407156231</v>
      </c>
      <c r="R107" s="24">
        <v>-2.7002231236867353</v>
      </c>
      <c r="S107" s="24">
        <v>0.83356909090935094</v>
      </c>
      <c r="T107" s="24">
        <v>-0.71325227933766022</v>
      </c>
      <c r="U107" s="24">
        <v>0.3890327248321937</v>
      </c>
      <c r="V107" s="24">
        <v>-0.87975393808915248</v>
      </c>
      <c r="W107" s="24">
        <v>1.5248295380596846</v>
      </c>
      <c r="X107" s="24">
        <v>-0.68308312597840426</v>
      </c>
      <c r="Y107" s="24">
        <v>0.9706852000848839</v>
      </c>
      <c r="Z107" s="24">
        <v>2.7997827773415107</v>
      </c>
      <c r="AA107" s="24">
        <v>0.170627360565063</v>
      </c>
      <c r="AB107" s="24">
        <v>-1.9480265902674785</v>
      </c>
      <c r="AC107" s="24">
        <v>-0.29361145250306686</v>
      </c>
      <c r="AD107" s="24">
        <v>-0.75324814768518211</v>
      </c>
      <c r="AE107" s="24">
        <v>-0.6734748606270593</v>
      </c>
      <c r="AF107" s="24">
        <v>-2.0485837765224146</v>
      </c>
      <c r="AG107" s="24">
        <v>2.2222323526687884</v>
      </c>
      <c r="AH107" s="24">
        <v>-1.7796088132500922</v>
      </c>
      <c r="AI107" s="24">
        <v>0.23428224971793091</v>
      </c>
      <c r="AJ107" s="24">
        <v>-1.4839057109241092</v>
      </c>
      <c r="AK107" s="24">
        <v>-1.5028271289105795</v>
      </c>
      <c r="AL107" s="24">
        <v>0.76597068310867267</v>
      </c>
      <c r="AM107" s="24">
        <v>0.33930918178160197</v>
      </c>
      <c r="AN107" s="24">
        <v>-1.336184473237362</v>
      </c>
      <c r="AO107" s="24">
        <v>-0.99177661485140878</v>
      </c>
      <c r="AP107" s="24">
        <v>0.32237626207970871</v>
      </c>
      <c r="AQ107" s="24">
        <v>-1.2648427758982328</v>
      </c>
      <c r="AR107" s="24">
        <v>2.3272011992194068</v>
      </c>
      <c r="AS107" s="24">
        <v>-0.16956781317352926</v>
      </c>
      <c r="AT107" s="24">
        <v>-0.75530888363311799</v>
      </c>
      <c r="AU107" s="24">
        <v>-1.875146329663935</v>
      </c>
      <c r="AV107" s="24">
        <v>-1.2500680265781001</v>
      </c>
      <c r="AW107" s="24">
        <v>-2.5903405019416161</v>
      </c>
      <c r="CQ107" s="24">
        <v>4.6624268589716836E-3</v>
      </c>
      <c r="CR107" s="24" t="str">
        <f>"0"</f>
        <v>0</v>
      </c>
      <c r="CS107" t="str">
        <f ca="1">IF((OFFSET($A$1, 107 - 1, 95 - 1)) &gt;= (OFFSET($A$1, 54 - 1, 7 - 1)), "1","0")</f>
        <v>0</v>
      </c>
      <c r="CT107">
        <f ca="1" xml:space="preserve"> IF( AND( OFFSET($A$1, 107 - 1, 96 - 1) = "1", OFFSET($A$1, 107 - 1, 97 - 1) = "1" ), 1, IF( AND( OFFSET($A$1, 107 - 1, 96 - 1) = "1", OFFSET($A$1, 107 - 1, 97 - 1) = "0" ), 2, IF( AND( OFFSET($A$1, 107 - 1, 96 - 1) = "0", OFFSET($A$1, 107 - 1, 97 - 1) = "1" ), 3, 4 ) ) )</f>
        <v>4</v>
      </c>
      <c r="CV107" s="24">
        <v>4.1707504013779526E-2</v>
      </c>
      <c r="CW107" s="24" t="str">
        <f>"0"</f>
        <v>0</v>
      </c>
      <c r="CX107" t="str">
        <f ca="1">IF((OFFSET($A$1, 107 - 1, 100 - 1)) &gt;= (OFFSET($A$1, 78 - 1, 7 - 1)), "1","0")</f>
        <v>0</v>
      </c>
      <c r="CY107">
        <f ca="1" xml:space="preserve"> IF( AND( OFFSET($A$1, 107 - 1, 101 - 1) = "1", OFFSET($A$1, 107 - 1, 102 - 1) = "1" ), 1, IF( AND( OFFSET($A$1, 107 - 1, 101 - 1) = "1", OFFSET($A$1, 107 - 1, 102 - 1) = "0" ), 2, IF( AND( OFFSET($A$1, 107 - 1, 101 - 1) = "0", OFFSET($A$1, 107 - 1, 102 - 1) = "1" ), 3, 4 ) ) )</f>
        <v>4</v>
      </c>
    </row>
    <row r="108" spans="2:103" ht="13.8" x14ac:dyDescent="0.3">
      <c r="C108" s="26" t="s">
        <v>722</v>
      </c>
      <c r="D108" s="24">
        <v>-0.20289854354746753</v>
      </c>
      <c r="E108" s="24">
        <v>1.7694780392103895</v>
      </c>
      <c r="F108" s="24">
        <v>7.6714199296004967E-2</v>
      </c>
      <c r="G108" s="24">
        <v>0.36806567291182707</v>
      </c>
      <c r="H108" s="24">
        <v>-0.27089854424710452</v>
      </c>
      <c r="I108" s="24">
        <v>1.1402118424444896</v>
      </c>
      <c r="J108" s="24">
        <v>-3.3751770546748627</v>
      </c>
      <c r="K108" s="24">
        <v>0.67711678762068328</v>
      </c>
      <c r="L108" s="24">
        <v>-2.3819936588588191</v>
      </c>
      <c r="M108" s="24">
        <v>-2.1630092054810137</v>
      </c>
      <c r="N108" s="24">
        <v>2.8932439261969307</v>
      </c>
      <c r="O108" s="24">
        <v>0.25179186684628441</v>
      </c>
      <c r="P108" s="24">
        <v>-1.734567272305664</v>
      </c>
      <c r="Q108" s="24">
        <v>-0.6829379176265169</v>
      </c>
      <c r="R108" s="24">
        <v>2.8725681640119327</v>
      </c>
      <c r="S108" s="24">
        <v>-1.3523488438318782E-2</v>
      </c>
      <c r="T108" s="24">
        <v>1.5583627194239622</v>
      </c>
      <c r="U108" s="24">
        <v>-3.0308608945154205</v>
      </c>
      <c r="V108" s="24">
        <v>-2.0963523261830614</v>
      </c>
      <c r="W108" s="24">
        <v>-0.92699053442041368</v>
      </c>
      <c r="X108" s="24">
        <v>-0.50721472051770933</v>
      </c>
      <c r="Y108" s="24">
        <v>0.89082282693512582</v>
      </c>
      <c r="Z108" s="24">
        <v>2.3201535626422949</v>
      </c>
      <c r="AA108" s="24">
        <v>2.6970921491176643E-2</v>
      </c>
      <c r="AB108" s="24">
        <v>-3.7498406703700953</v>
      </c>
      <c r="AC108" s="24">
        <v>-1.8131358437254417</v>
      </c>
      <c r="AD108" s="24">
        <v>2.3688127528661682</v>
      </c>
      <c r="AE108" s="24">
        <v>-0.93729068529117165</v>
      </c>
      <c r="AF108" s="24">
        <v>-3.6307932959935885</v>
      </c>
      <c r="AG108" s="24">
        <v>0.69156793891428825</v>
      </c>
      <c r="AH108" s="24">
        <v>1.6484047155918886</v>
      </c>
      <c r="AI108" s="24">
        <v>-2.2321040998888884</v>
      </c>
      <c r="AJ108" s="24">
        <v>1.7018656708876712</v>
      </c>
      <c r="AK108" s="24">
        <v>2.8672103026254128E-2</v>
      </c>
      <c r="AL108" s="24">
        <v>0.92456914801019441</v>
      </c>
      <c r="AM108" s="24">
        <v>1.7478253573050271</v>
      </c>
      <c r="AN108" s="24">
        <v>-0.13267930936185837</v>
      </c>
      <c r="AO108" s="24">
        <v>0.8397251191783679</v>
      </c>
      <c r="AP108" s="24">
        <v>0.87161192134682119</v>
      </c>
      <c r="AQ108" s="24">
        <v>1.0897556719938801</v>
      </c>
      <c r="AR108" s="24">
        <v>3.4127559426930777E-2</v>
      </c>
      <c r="AS108" s="24">
        <v>-2.3318280821643306E-2</v>
      </c>
      <c r="AT108" s="24">
        <v>0.5972982707640565</v>
      </c>
      <c r="AU108" s="24">
        <v>-0.59843751385989075</v>
      </c>
      <c r="AV108" s="24">
        <v>0.45175919612339333</v>
      </c>
      <c r="AW108" s="24">
        <v>-0.98967727386169579</v>
      </c>
      <c r="CQ108" s="24">
        <v>1.5039163731478124E-2</v>
      </c>
      <c r="CR108" s="24" t="str">
        <f>"0"</f>
        <v>0</v>
      </c>
      <c r="CS108" t="str">
        <f ca="1">IF((OFFSET($A$1, 108 - 1, 95 - 1)) &gt;= (OFFSET($A$1, 54 - 1, 7 - 1)), "1","0")</f>
        <v>0</v>
      </c>
      <c r="CT108">
        <f ca="1" xml:space="preserve"> IF( AND( OFFSET($A$1, 108 - 1, 96 - 1) = "1", OFFSET($A$1, 108 - 1, 97 - 1) = "1" ), 1, IF( AND( OFFSET($A$1, 108 - 1, 96 - 1) = "1", OFFSET($A$1, 108 - 1, 97 - 1) = "0" ), 2, IF( AND( OFFSET($A$1, 108 - 1, 96 - 1) = "0", OFFSET($A$1, 108 - 1, 97 - 1) = "1" ), 3, 4 ) ) )</f>
        <v>4</v>
      </c>
      <c r="CV108" s="24">
        <v>0.9861410305422077</v>
      </c>
      <c r="CW108" s="24" t="str">
        <f>"1"</f>
        <v>1</v>
      </c>
      <c r="CX108" t="str">
        <f ca="1">IF((OFFSET($A$1, 108 - 1, 100 - 1)) &gt;= (OFFSET($A$1, 78 - 1, 7 - 1)), "1","0")</f>
        <v>1</v>
      </c>
      <c r="CY108">
        <f ca="1" xml:space="preserve"> IF( AND( OFFSET($A$1, 108 - 1, 101 - 1) = "1", OFFSET($A$1, 108 - 1, 102 - 1) = "1" ), 1, IF( AND( OFFSET($A$1, 108 - 1, 101 - 1) = "1", OFFSET($A$1, 108 - 1, 102 - 1) = "0" ), 2, IF( AND( OFFSET($A$1, 108 - 1, 101 - 1) = "0", OFFSET($A$1, 108 - 1, 102 - 1) = "1" ), 3, 4 ) ) )</f>
        <v>1</v>
      </c>
    </row>
    <row r="109" spans="2:103" ht="13.8" x14ac:dyDescent="0.3">
      <c r="C109" s="26" t="s">
        <v>723</v>
      </c>
      <c r="D109" s="24">
        <v>2.7059673659339869</v>
      </c>
      <c r="E109" s="24">
        <v>2.0309518416796974</v>
      </c>
      <c r="F109" s="24">
        <v>-0.62935623726235557</v>
      </c>
      <c r="G109" s="24">
        <v>1.6102543359296784E-2</v>
      </c>
      <c r="H109" s="24">
        <v>-2.9987426620827984</v>
      </c>
      <c r="I109" s="24">
        <v>2.036560048168059</v>
      </c>
      <c r="J109" s="24">
        <v>0.84674587951389957</v>
      </c>
      <c r="K109" s="24">
        <v>2.1872824478053179</v>
      </c>
      <c r="L109" s="24">
        <v>0.36363921201480781</v>
      </c>
      <c r="M109" s="24">
        <v>0.62282199309730879</v>
      </c>
      <c r="N109" s="24">
        <v>0.79875329326834632</v>
      </c>
      <c r="O109" s="24">
        <v>-1.6204525079625167</v>
      </c>
      <c r="P109" s="24">
        <v>-1.9244874339660178</v>
      </c>
      <c r="Q109" s="24">
        <v>0.21844801347145892</v>
      </c>
      <c r="R109" s="24">
        <v>-1.8419365836878054</v>
      </c>
      <c r="S109" s="24">
        <v>-1.751234382848712</v>
      </c>
      <c r="T109" s="24">
        <v>1.2276110007778536</v>
      </c>
      <c r="U109" s="24">
        <v>6.797094800887854E-2</v>
      </c>
      <c r="V109" s="24">
        <v>0.32238483304047344</v>
      </c>
      <c r="W109" s="24">
        <v>3.495511318877504E-2</v>
      </c>
      <c r="X109" s="24">
        <v>0.81431861116695403</v>
      </c>
      <c r="Y109" s="24">
        <v>1.4613065737729032</v>
      </c>
      <c r="Z109" s="24">
        <v>-0.39086566372430126</v>
      </c>
      <c r="AA109" s="24">
        <v>-0.13423249090859851</v>
      </c>
      <c r="AB109" s="24">
        <v>1.3462186414365949</v>
      </c>
      <c r="AC109" s="24">
        <v>3.3080021144336178</v>
      </c>
      <c r="AD109" s="24">
        <v>-0.68936440426890144</v>
      </c>
      <c r="AE109" s="24">
        <v>-0.95459060507418669</v>
      </c>
      <c r="AF109" s="24">
        <v>0.40173363060227624</v>
      </c>
      <c r="AG109" s="24">
        <v>0.38325427635025971</v>
      </c>
      <c r="AH109" s="24">
        <v>-2.2884356136018462E-2</v>
      </c>
      <c r="AI109" s="24">
        <v>-0.80609077959875819</v>
      </c>
      <c r="AJ109" s="24">
        <v>0.36080846660695814</v>
      </c>
      <c r="AK109" s="24">
        <v>1.0922332230430962</v>
      </c>
      <c r="AL109" s="24">
        <v>7.441116381231784E-2</v>
      </c>
      <c r="AM109" s="24">
        <v>0.30593820515757275</v>
      </c>
      <c r="AN109" s="24">
        <v>0.8354589313880797</v>
      </c>
      <c r="AO109" s="24">
        <v>-1.098323182683197</v>
      </c>
      <c r="AP109" s="24">
        <v>0.23949594266485083</v>
      </c>
      <c r="AQ109" s="24">
        <v>-0.58059548644729853</v>
      </c>
      <c r="AR109" s="24">
        <v>2.726539140143561</v>
      </c>
      <c r="AS109" s="24">
        <v>2.0836379608084767</v>
      </c>
      <c r="AT109" s="24">
        <v>-0.93810958006983869</v>
      </c>
      <c r="AU109" s="24">
        <v>-0.69688175919561313</v>
      </c>
      <c r="AV109" s="24">
        <v>0.15883684107748966</v>
      </c>
      <c r="AW109" s="24">
        <v>-2.0904277639152924</v>
      </c>
      <c r="CQ109" s="24">
        <v>1.5035168232099575E-2</v>
      </c>
      <c r="CR109" s="24" t="str">
        <f>"0"</f>
        <v>0</v>
      </c>
      <c r="CS109" t="str">
        <f ca="1">IF((OFFSET($A$1, 109 - 1, 95 - 1)) &gt;= (OFFSET($A$1, 54 - 1, 7 - 1)), "1","0")</f>
        <v>0</v>
      </c>
      <c r="CT109">
        <f ca="1" xml:space="preserve"> IF( AND( OFFSET($A$1, 109 - 1, 96 - 1) = "1", OFFSET($A$1, 109 - 1, 97 - 1) = "1" ), 1, IF( AND( OFFSET($A$1, 109 - 1, 96 - 1) = "1", OFFSET($A$1, 109 - 1, 97 - 1) = "0" ), 2, IF( AND( OFFSET($A$1, 109 - 1, 96 - 1) = "0", OFFSET($A$1, 109 - 1, 97 - 1) = "1" ), 3, 4 ) ) )</f>
        <v>4</v>
      </c>
      <c r="CV109" s="24">
        <v>0.99833233877712368</v>
      </c>
      <c r="CW109" s="24" t="str">
        <f>"1"</f>
        <v>1</v>
      </c>
      <c r="CX109" t="str">
        <f ca="1">IF((OFFSET($A$1, 109 - 1, 100 - 1)) &gt;= (OFFSET($A$1, 78 - 1, 7 - 1)), "1","0")</f>
        <v>1</v>
      </c>
      <c r="CY109">
        <f ca="1" xml:space="preserve"> IF( AND( OFFSET($A$1, 109 - 1, 101 - 1) = "1", OFFSET($A$1, 109 - 1, 102 - 1) = "1" ), 1, IF( AND( OFFSET($A$1, 109 - 1, 101 - 1) = "1", OFFSET($A$1, 109 - 1, 102 - 1) = "0" ), 2, IF( AND( OFFSET($A$1, 109 - 1, 101 - 1) = "0", OFFSET($A$1, 109 - 1, 102 - 1) = "1" ), 3, 4 ) ) )</f>
        <v>1</v>
      </c>
    </row>
    <row r="110" spans="2:103" ht="13.8" x14ac:dyDescent="0.3">
      <c r="C110" s="26" t="s">
        <v>724</v>
      </c>
      <c r="D110" s="24">
        <v>0.69328601631455589</v>
      </c>
      <c r="E110" s="24">
        <v>0.45732431952958896</v>
      </c>
      <c r="F110" s="24">
        <v>-0.36240429430081228</v>
      </c>
      <c r="G110" s="24">
        <v>0.61940669673737314</v>
      </c>
      <c r="H110" s="24">
        <v>-0.54788440969441032</v>
      </c>
      <c r="I110" s="24">
        <v>0.9863501491056148</v>
      </c>
      <c r="J110" s="24">
        <v>5.4204440197574089E-2</v>
      </c>
      <c r="K110" s="24">
        <v>-2.2439415063049952</v>
      </c>
      <c r="L110" s="24">
        <v>1.3501850777308568</v>
      </c>
      <c r="M110" s="24">
        <v>-0.44428974176779024</v>
      </c>
      <c r="N110" s="24">
        <v>0.40849667454655331</v>
      </c>
      <c r="O110" s="24">
        <v>-0.32836105977517249</v>
      </c>
      <c r="P110" s="24">
        <v>-0.49370577111549635</v>
      </c>
      <c r="Q110" s="24">
        <v>0.73892060265907722</v>
      </c>
      <c r="R110" s="24">
        <v>0.45724715099406005</v>
      </c>
      <c r="S110" s="24">
        <v>-0.18459641187343126</v>
      </c>
      <c r="T110" s="24">
        <v>-0.27100679936998162</v>
      </c>
      <c r="U110" s="24">
        <v>0.3363272463759503</v>
      </c>
      <c r="V110" s="24">
        <v>-0.69478352420280043</v>
      </c>
      <c r="W110" s="24">
        <v>1.2854192702876543</v>
      </c>
      <c r="X110" s="24">
        <v>-0.69709286280953897</v>
      </c>
      <c r="Y110" s="24">
        <v>0.56733724098552019</v>
      </c>
      <c r="Z110" s="24">
        <v>-0.15751306366518655</v>
      </c>
      <c r="AA110" s="24">
        <v>-0.35567130803821179</v>
      </c>
      <c r="AB110" s="24">
        <v>-1.7825173095960936</v>
      </c>
      <c r="AC110" s="24">
        <v>1.680383749919393</v>
      </c>
      <c r="AD110" s="24">
        <v>0.62452601746894898</v>
      </c>
      <c r="AE110" s="24">
        <v>0.32490041129711317</v>
      </c>
      <c r="AF110" s="24">
        <v>0.63570610127582972</v>
      </c>
      <c r="AG110" s="24">
        <v>0.57572514438839573</v>
      </c>
      <c r="AH110" s="24">
        <v>-0.26796117196921121</v>
      </c>
      <c r="AI110" s="24">
        <v>1.0159141048125016</v>
      </c>
      <c r="AJ110" s="24">
        <v>0.18281024895515094</v>
      </c>
      <c r="AK110" s="24">
        <v>-0.58947362241608658</v>
      </c>
      <c r="AL110" s="24">
        <v>0.11195832527464677</v>
      </c>
      <c r="AM110" s="24">
        <v>9.3891435709595836E-2</v>
      </c>
      <c r="AN110" s="24">
        <v>0.85953972065744177</v>
      </c>
      <c r="AO110" s="24">
        <v>-0.50720522056618833</v>
      </c>
      <c r="AP110" s="24">
        <v>0.30303225333533007</v>
      </c>
      <c r="AQ110" s="24">
        <v>-0.78443767829061073</v>
      </c>
      <c r="AR110" s="24">
        <v>1.2375123894047109</v>
      </c>
      <c r="AS110" s="24">
        <v>-1.1138172664551531</v>
      </c>
      <c r="AT110" s="24">
        <v>1.38817574553883E-2</v>
      </c>
      <c r="AU110" s="24">
        <v>1.1737675746911886</v>
      </c>
      <c r="AV110" s="24">
        <v>-0.88607139139477742</v>
      </c>
      <c r="AW110" s="24">
        <v>-2.7673298884473478</v>
      </c>
      <c r="CQ110" s="24">
        <v>0.99616360486773381</v>
      </c>
      <c r="CR110" s="24" t="str">
        <f t="shared" ref="CR110:CR126" si="7">"1"</f>
        <v>1</v>
      </c>
      <c r="CS110" t="str">
        <f ca="1">IF((OFFSET($A$1, 110 - 1, 95 - 1)) &gt;= (OFFSET($A$1, 54 - 1, 7 - 1)), "1","0")</f>
        <v>1</v>
      </c>
      <c r="CT110">
        <f ca="1" xml:space="preserve"> IF( AND( OFFSET($A$1, 110 - 1, 96 - 1) = "1", OFFSET($A$1, 110 - 1, 97 - 1) = "1" ), 1, IF( AND( OFFSET($A$1, 110 - 1, 96 - 1) = "1", OFFSET($A$1, 110 - 1, 97 - 1) = "0" ), 2, IF( AND( OFFSET($A$1, 110 - 1, 96 - 1) = "0", OFFSET($A$1, 110 - 1, 97 - 1) = "1" ), 3, 4 ) ) )</f>
        <v>1</v>
      </c>
      <c r="CV110" s="24">
        <v>0.9151190864047174</v>
      </c>
      <c r="CW110" s="24" t="str">
        <f>"0"</f>
        <v>0</v>
      </c>
      <c r="CX110" t="str">
        <f ca="1">IF((OFFSET($A$1, 110 - 1, 100 - 1)) &gt;= (OFFSET($A$1, 78 - 1, 7 - 1)), "1","0")</f>
        <v>1</v>
      </c>
      <c r="CY110">
        <f ca="1" xml:space="preserve"> IF( AND( OFFSET($A$1, 110 - 1, 101 - 1) = "1", OFFSET($A$1, 110 - 1, 102 - 1) = "1" ), 1, IF( AND( OFFSET($A$1, 110 - 1, 101 - 1) = "1", OFFSET($A$1, 110 - 1, 102 - 1) = "0" ), 2, IF( AND( OFFSET($A$1, 110 - 1, 101 - 1) = "0", OFFSET($A$1, 110 - 1, 102 - 1) = "1" ), 3, 4 ) ) )</f>
        <v>3</v>
      </c>
    </row>
    <row r="111" spans="2:103" ht="13.8" x14ac:dyDescent="0.3">
      <c r="C111" s="26" t="s">
        <v>725</v>
      </c>
      <c r="D111" s="24">
        <v>-0.69708117252296542</v>
      </c>
      <c r="E111" s="24">
        <v>-0.31820346534076605</v>
      </c>
      <c r="F111" s="24">
        <v>0.69774341889747027</v>
      </c>
      <c r="G111" s="24">
        <v>0.51625926646576603</v>
      </c>
      <c r="H111" s="24">
        <v>-0.75205323221568032</v>
      </c>
      <c r="I111" s="24">
        <v>0.27103609641463655</v>
      </c>
      <c r="J111" s="24">
        <v>1.3400270089128707</v>
      </c>
      <c r="K111" s="24">
        <v>-1.4490058731666275</v>
      </c>
      <c r="L111" s="24">
        <v>0.18418498928813007</v>
      </c>
      <c r="M111" s="24">
        <v>-1.5155630193802891</v>
      </c>
      <c r="N111" s="24">
        <v>7.8322321994183111E-2</v>
      </c>
      <c r="O111" s="24">
        <v>-5.7643212049986348E-2</v>
      </c>
      <c r="P111" s="24">
        <v>-1.4294636658186763</v>
      </c>
      <c r="Q111" s="24">
        <v>1.5917483629271236</v>
      </c>
      <c r="R111" s="24">
        <v>-0.67347629025245337</v>
      </c>
      <c r="S111" s="24">
        <v>-0.53700802803980763</v>
      </c>
      <c r="T111" s="24">
        <v>0.34531157708098759</v>
      </c>
      <c r="U111" s="24">
        <v>-1.8302870405506906</v>
      </c>
      <c r="V111" s="24">
        <v>-0.80323311333424008</v>
      </c>
      <c r="W111" s="24">
        <v>1.2506757023214463</v>
      </c>
      <c r="X111" s="24">
        <v>3.0020264318881567</v>
      </c>
      <c r="Y111" s="24">
        <v>-4.5261454809560057E-2</v>
      </c>
      <c r="Z111" s="24">
        <v>-0.54766975109292626</v>
      </c>
      <c r="AA111" s="24">
        <v>2.2450861146134273</v>
      </c>
      <c r="AB111" s="24">
        <v>-1.2868656387143107</v>
      </c>
      <c r="AC111" s="24">
        <v>0.27849153732006288</v>
      </c>
      <c r="AD111" s="24">
        <v>-1.5704743613804664</v>
      </c>
      <c r="AE111" s="24">
        <v>-1.1699733625229838</v>
      </c>
      <c r="AF111" s="24">
        <v>-1.6220150946736989</v>
      </c>
      <c r="AG111" s="24">
        <v>-1.3785125925840345</v>
      </c>
      <c r="AH111" s="24">
        <v>-1.5686359574519053</v>
      </c>
      <c r="AI111" s="24">
        <v>1.1700533769168155</v>
      </c>
      <c r="AJ111" s="24">
        <v>-1.4168767584450874</v>
      </c>
      <c r="AK111" s="24">
        <v>-0.93669302580437575</v>
      </c>
      <c r="AL111" s="24">
        <v>0.85458160281269346</v>
      </c>
      <c r="AM111" s="24">
        <v>-3.3958542268015173E-4</v>
      </c>
      <c r="AN111" s="24">
        <v>-0.86716748637937646</v>
      </c>
      <c r="AO111" s="24">
        <v>-1.1552787534161357</v>
      </c>
      <c r="AP111" s="24">
        <v>0.40888624386163724</v>
      </c>
      <c r="AQ111" s="24">
        <v>1.1398443239802232</v>
      </c>
      <c r="AR111" s="24">
        <v>-1.1030548157074382</v>
      </c>
      <c r="AS111" s="24">
        <v>2.6009024244964425</v>
      </c>
      <c r="AT111" s="24">
        <v>-0.71252445047943613</v>
      </c>
      <c r="AU111" s="24">
        <v>-7.0069262165413509E-2</v>
      </c>
      <c r="AV111" s="24">
        <v>-8.0851961036574715E-2</v>
      </c>
      <c r="AW111" s="24">
        <v>-3.2509582530870604</v>
      </c>
      <c r="CQ111" s="24">
        <v>0.99653398743294752</v>
      </c>
      <c r="CR111" s="24" t="str">
        <f t="shared" si="7"/>
        <v>1</v>
      </c>
      <c r="CS111" t="str">
        <f ca="1">IF((OFFSET($A$1, 111 - 1, 95 - 1)) &gt;= (OFFSET($A$1, 54 - 1, 7 - 1)), "1","0")</f>
        <v>1</v>
      </c>
      <c r="CT111">
        <f ca="1" xml:space="preserve"> IF( AND( OFFSET($A$1, 111 - 1, 96 - 1) = "1", OFFSET($A$1, 111 - 1, 97 - 1) = "1" ), 1, IF( AND( OFFSET($A$1, 111 - 1, 96 - 1) = "1", OFFSET($A$1, 111 - 1, 97 - 1) = "0" ), 2, IF( AND( OFFSET($A$1, 111 - 1, 96 - 1) = "0", OFFSET($A$1, 111 - 1, 97 - 1) = "1" ), 3, 4 ) ) )</f>
        <v>1</v>
      </c>
      <c r="CV111" s="24">
        <v>0.96387420188803719</v>
      </c>
      <c r="CW111" s="24" t="str">
        <f>"0"</f>
        <v>0</v>
      </c>
      <c r="CX111" t="str">
        <f ca="1">IF((OFFSET($A$1, 111 - 1, 100 - 1)) &gt;= (OFFSET($A$1, 78 - 1, 7 - 1)), "1","0")</f>
        <v>1</v>
      </c>
      <c r="CY111">
        <f ca="1" xml:space="preserve"> IF( AND( OFFSET($A$1, 111 - 1, 101 - 1) = "1", OFFSET($A$1, 111 - 1, 102 - 1) = "1" ), 1, IF( AND( OFFSET($A$1, 111 - 1, 101 - 1) = "1", OFFSET($A$1, 111 - 1, 102 - 1) = "0" ), 2, IF( AND( OFFSET($A$1, 111 - 1, 101 - 1) = "0", OFFSET($A$1, 111 - 1, 102 - 1) = "1" ), 3, 4 ) ) )</f>
        <v>3</v>
      </c>
    </row>
    <row r="112" spans="2:103" ht="13.8" x14ac:dyDescent="0.3">
      <c r="C112" s="26" t="s">
        <v>726</v>
      </c>
      <c r="D112" s="24">
        <v>2.2567801299897827E-2</v>
      </c>
      <c r="E112" s="24">
        <v>-1.2762048724264654</v>
      </c>
      <c r="F112" s="24">
        <v>0.53118691466302426</v>
      </c>
      <c r="G112" s="24">
        <v>0.558256455439608</v>
      </c>
      <c r="H112" s="24">
        <v>0.56697834588863727</v>
      </c>
      <c r="I112" s="24">
        <v>-1.560319591059957</v>
      </c>
      <c r="J112" s="24">
        <v>1.3254977287595489</v>
      </c>
      <c r="K112" s="24">
        <v>-0.26582508997527959</v>
      </c>
      <c r="L112" s="24">
        <v>0.93220514201605142</v>
      </c>
      <c r="M112" s="24">
        <v>-1.7287053778491785</v>
      </c>
      <c r="N112" s="24">
        <v>-0.30251951519555526</v>
      </c>
      <c r="O112" s="24">
        <v>0.63080295680248377</v>
      </c>
      <c r="P112" s="24">
        <v>0.25232856776532497</v>
      </c>
      <c r="Q112" s="24">
        <v>0.6027149369665763</v>
      </c>
      <c r="R112" s="24">
        <v>0.13601420986750562</v>
      </c>
      <c r="S112" s="24">
        <v>-0.14006766819462366</v>
      </c>
      <c r="T112" s="24">
        <v>0.25654089578998163</v>
      </c>
      <c r="U112" s="24">
        <v>-9.321646916156176E-2</v>
      </c>
      <c r="V112" s="24">
        <v>-0.67195759017897605</v>
      </c>
      <c r="W112" s="24">
        <v>0.59563048026881105</v>
      </c>
      <c r="X112" s="24">
        <v>1.1179820182430811</v>
      </c>
      <c r="Y112" s="24">
        <v>-1.7954154564127325</v>
      </c>
      <c r="Z112" s="24">
        <v>8.1480600309187107E-2</v>
      </c>
      <c r="AA112" s="24">
        <v>-0.67032383660275319</v>
      </c>
      <c r="AB112" s="24">
        <v>-0.92082394808090828</v>
      </c>
      <c r="AC112" s="24">
        <v>-1.0997006907699685</v>
      </c>
      <c r="AD112" s="24">
        <v>-1.0467718853503576E-2</v>
      </c>
      <c r="AE112" s="24">
        <v>-1.1846330022908127</v>
      </c>
      <c r="AF112" s="24">
        <v>-2.4796518448656277</v>
      </c>
      <c r="AG112" s="24">
        <v>1.2194394185712945</v>
      </c>
      <c r="AH112" s="24">
        <v>-0.13573371006203871</v>
      </c>
      <c r="AI112" s="24">
        <v>-3.0504273306916119</v>
      </c>
      <c r="AJ112" s="24">
        <v>-0.22843511636512542</v>
      </c>
      <c r="AK112" s="24">
        <v>0.99907144872755127</v>
      </c>
      <c r="AL112" s="24">
        <v>0.73991130602191812</v>
      </c>
      <c r="AM112" s="24">
        <v>-0.3777102588294512</v>
      </c>
      <c r="AN112" s="24">
        <v>-7.9634036614075254E-2</v>
      </c>
      <c r="AO112" s="24">
        <v>8.9673639387823745E-2</v>
      </c>
      <c r="AP112" s="24">
        <v>1.5974543140015873</v>
      </c>
      <c r="AQ112" s="24">
        <v>-0.17346018808465558</v>
      </c>
      <c r="AR112" s="24">
        <v>0.50306146862108325</v>
      </c>
      <c r="AS112" s="24">
        <v>-0.4734341628298544</v>
      </c>
      <c r="AT112" s="24">
        <v>-0.48479334564833537</v>
      </c>
      <c r="AU112" s="24">
        <v>1.8608487078764349</v>
      </c>
      <c r="AV112" s="24">
        <v>-0.55127400488157008</v>
      </c>
      <c r="AW112" s="24">
        <v>-2.0692427564339337</v>
      </c>
      <c r="CQ112" s="24">
        <v>0.9990080499406121</v>
      </c>
      <c r="CR112" s="24" t="str">
        <f t="shared" si="7"/>
        <v>1</v>
      </c>
      <c r="CS112" t="str">
        <f ca="1">IF((OFFSET($A$1, 112 - 1, 95 - 1)) &gt;= (OFFSET($A$1, 54 - 1, 7 - 1)), "1","0")</f>
        <v>1</v>
      </c>
      <c r="CT112">
        <f ca="1" xml:space="preserve"> IF( AND( OFFSET($A$1, 112 - 1, 96 - 1) = "1", OFFSET($A$1, 112 - 1, 97 - 1) = "1" ), 1, IF( AND( OFFSET($A$1, 112 - 1, 96 - 1) = "1", OFFSET($A$1, 112 - 1, 97 - 1) = "0" ), 2, IF( AND( OFFSET($A$1, 112 - 1, 96 - 1) = "0", OFFSET($A$1, 112 - 1, 97 - 1) = "1" ), 3, 4 ) ) )</f>
        <v>1</v>
      </c>
      <c r="CV112" s="24">
        <v>0.8237801901963071</v>
      </c>
      <c r="CW112" s="24" t="str">
        <f>"1"</f>
        <v>1</v>
      </c>
      <c r="CX112" t="str">
        <f ca="1">IF((OFFSET($A$1, 112 - 1, 100 - 1)) &gt;= (OFFSET($A$1, 78 - 1, 7 - 1)), "1","0")</f>
        <v>1</v>
      </c>
      <c r="CY112">
        <f ca="1" xml:space="preserve"> IF( AND( OFFSET($A$1, 112 - 1, 101 - 1) = "1", OFFSET($A$1, 112 - 1, 102 - 1) = "1" ), 1, IF( AND( OFFSET($A$1, 112 - 1, 101 - 1) = "1", OFFSET($A$1, 112 - 1, 102 - 1) = "0" ), 2, IF( AND( OFFSET($A$1, 112 - 1, 101 - 1) = "0", OFFSET($A$1, 112 - 1, 102 - 1) = "1" ), 3, 4 ) ) )</f>
        <v>1</v>
      </c>
    </row>
    <row r="113" spans="3:103" ht="13.8" x14ac:dyDescent="0.3">
      <c r="C113" s="26" t="s">
        <v>727</v>
      </c>
      <c r="D113" s="24">
        <v>0.43393864077128808</v>
      </c>
      <c r="E113" s="24">
        <v>1.0844634069657884</v>
      </c>
      <c r="F113" s="24">
        <v>-1.3644140239781337</v>
      </c>
      <c r="G113" s="24">
        <v>-1.5333809273441479</v>
      </c>
      <c r="H113" s="24">
        <v>0.19349671473006172</v>
      </c>
      <c r="I113" s="24">
        <v>-0.88243194617302212</v>
      </c>
      <c r="J113" s="24">
        <v>1.3854583387434556</v>
      </c>
      <c r="K113" s="24">
        <v>-1.0301497047193782</v>
      </c>
      <c r="L113" s="24">
        <v>0.94994201585824178</v>
      </c>
      <c r="M113" s="24">
        <v>-1.7507153281134586</v>
      </c>
      <c r="N113" s="24">
        <v>-1.9105000593018084</v>
      </c>
      <c r="O113" s="24">
        <v>-2.7169085792300454</v>
      </c>
      <c r="P113" s="24">
        <v>-1.113010848620545</v>
      </c>
      <c r="Q113" s="24">
        <v>-0.86917246573373153</v>
      </c>
      <c r="R113" s="24">
        <v>-0.12261479962582822</v>
      </c>
      <c r="S113" s="24">
        <v>0.70905962346246487</v>
      </c>
      <c r="T113" s="24">
        <v>-0.9687474254422126</v>
      </c>
      <c r="U113" s="24">
        <v>-1.0311277915724091</v>
      </c>
      <c r="V113" s="24">
        <v>-1.922960471462146</v>
      </c>
      <c r="W113" s="24">
        <v>0.8665259027689608</v>
      </c>
      <c r="X113" s="24">
        <v>-1.0003049686630456</v>
      </c>
      <c r="Y113" s="24">
        <v>-0.19834286781933549</v>
      </c>
      <c r="Z113" s="24">
        <v>-0.24822056323620958</v>
      </c>
      <c r="AA113" s="24">
        <v>-0.58411780629643317</v>
      </c>
      <c r="AB113" s="24">
        <v>-1.2769798506033363</v>
      </c>
      <c r="AC113" s="24">
        <v>2.7884296802745521</v>
      </c>
      <c r="AD113" s="24">
        <v>0.56424920662859512</v>
      </c>
      <c r="AE113" s="24">
        <v>-0.94269973451736788</v>
      </c>
      <c r="AF113" s="24">
        <v>1.9063041627062207</v>
      </c>
      <c r="AG113" s="24">
        <v>-2.0127612986310432</v>
      </c>
      <c r="AH113" s="24">
        <v>1.3167059432954578</v>
      </c>
      <c r="AI113" s="24">
        <v>-2.8565152826004301</v>
      </c>
      <c r="AJ113" s="24">
        <v>3.1698356063900213</v>
      </c>
      <c r="AK113" s="24">
        <v>-0.34734978030241642</v>
      </c>
      <c r="AL113" s="24">
        <v>-0.64313002117656581</v>
      </c>
      <c r="AM113" s="24">
        <v>0.15864471689045703</v>
      </c>
      <c r="AN113" s="24">
        <v>0.43578002630547552</v>
      </c>
      <c r="AO113" s="24">
        <v>2.5205579774561881E-3</v>
      </c>
      <c r="AP113" s="24">
        <v>0.39340374950813245</v>
      </c>
      <c r="AQ113" s="24">
        <v>0.30439111061945573</v>
      </c>
      <c r="AR113" s="24">
        <v>1.443959949269255</v>
      </c>
      <c r="AS113" s="24">
        <v>1.4763245440392996</v>
      </c>
      <c r="AT113" s="24">
        <v>1.1339977169458357</v>
      </c>
      <c r="AU113" s="24">
        <v>1.0757251579434909E-2</v>
      </c>
      <c r="AV113" s="24">
        <v>0.88817996101770103</v>
      </c>
      <c r="AW113" s="24">
        <v>0.8904238438275649</v>
      </c>
      <c r="CQ113" s="24">
        <v>0.89795578126034203</v>
      </c>
      <c r="CR113" s="24" t="str">
        <f t="shared" si="7"/>
        <v>1</v>
      </c>
      <c r="CS113" t="str">
        <f ca="1">IF((OFFSET($A$1, 113 - 1, 95 - 1)) &gt;= (OFFSET($A$1, 54 - 1, 7 - 1)), "1","0")</f>
        <v>1</v>
      </c>
      <c r="CT113">
        <f ca="1" xml:space="preserve"> IF( AND( OFFSET($A$1, 113 - 1, 96 - 1) = "1", OFFSET($A$1, 113 - 1, 97 - 1) = "1" ), 1, IF( AND( OFFSET($A$1, 113 - 1, 96 - 1) = "1", OFFSET($A$1, 113 - 1, 97 - 1) = "0" ), 2, IF( AND( OFFSET($A$1, 113 - 1, 96 - 1) = "0", OFFSET($A$1, 113 - 1, 97 - 1) = "1" ), 3, 4 ) ) )</f>
        <v>1</v>
      </c>
      <c r="CV113" s="24">
        <v>2.7036249798614159E-2</v>
      </c>
      <c r="CW113" s="24" t="str">
        <f>"0"</f>
        <v>0</v>
      </c>
      <c r="CX113" t="str">
        <f ca="1">IF((OFFSET($A$1, 113 - 1, 100 - 1)) &gt;= (OFFSET($A$1, 78 - 1, 7 - 1)), "1","0")</f>
        <v>0</v>
      </c>
      <c r="CY113">
        <f ca="1" xml:space="preserve"> IF( AND( OFFSET($A$1, 113 - 1, 101 - 1) = "1", OFFSET($A$1, 113 - 1, 102 - 1) = "1" ), 1, IF( AND( OFFSET($A$1, 113 - 1, 101 - 1) = "1", OFFSET($A$1, 113 - 1, 102 - 1) = "0" ), 2, IF( AND( OFFSET($A$1, 113 - 1, 101 - 1) = "0", OFFSET($A$1, 113 - 1, 102 - 1) = "1" ), 3, 4 ) ) )</f>
        <v>4</v>
      </c>
    </row>
    <row r="114" spans="3:103" ht="13.8" x14ac:dyDescent="0.3">
      <c r="C114" s="26" t="s">
        <v>728</v>
      </c>
      <c r="D114" s="24">
        <v>-1.1378688551328342</v>
      </c>
      <c r="E114" s="24">
        <v>-2.8057789041163987</v>
      </c>
      <c r="F114" s="24">
        <v>-1.0592264635802398</v>
      </c>
      <c r="G114" s="24">
        <v>1.1030852125826536</v>
      </c>
      <c r="H114" s="24">
        <v>2.3127394321938537</v>
      </c>
      <c r="I114" s="24">
        <v>-6.0677719062175513E-2</v>
      </c>
      <c r="J114" s="24">
        <v>1.9972056412296428</v>
      </c>
      <c r="K114" s="24">
        <v>-0.13544474517793459</v>
      </c>
      <c r="L114" s="24">
        <v>-1.9497872927965449</v>
      </c>
      <c r="M114" s="24">
        <v>-2.1056018318614376</v>
      </c>
      <c r="N114" s="24">
        <v>-0.26276529169986962</v>
      </c>
      <c r="O114" s="24">
        <v>1.3643241674123223</v>
      </c>
      <c r="P114" s="24">
        <v>1.2670798480322605</v>
      </c>
      <c r="Q114" s="24">
        <v>0.28131781048135779</v>
      </c>
      <c r="R114" s="24">
        <v>-2.7631440397701397</v>
      </c>
      <c r="S114" s="24">
        <v>0.2111511503054844</v>
      </c>
      <c r="T114" s="24">
        <v>-0.89725541113970764</v>
      </c>
      <c r="U114" s="24">
        <v>0.57850027731168996</v>
      </c>
      <c r="V114" s="24">
        <v>-1.0930570651218339</v>
      </c>
      <c r="W114" s="24">
        <v>1.4274722834598355</v>
      </c>
      <c r="X114" s="24">
        <v>0.18883857548810698</v>
      </c>
      <c r="Y114" s="24">
        <v>-1.2462957494210536</v>
      </c>
      <c r="Z114" s="24">
        <v>-1.2808052139305504</v>
      </c>
      <c r="AA114" s="24">
        <v>1.0691216875485714</v>
      </c>
      <c r="AB114" s="24">
        <v>-2.2974444088602799</v>
      </c>
      <c r="AC114" s="24">
        <v>-0.85414142942733084</v>
      </c>
      <c r="AD114" s="24">
        <v>-0.9027215533664108</v>
      </c>
      <c r="AE114" s="24">
        <v>-0.32531003157215721</v>
      </c>
      <c r="AF114" s="24">
        <v>-0.54739243713154628</v>
      </c>
      <c r="AG114" s="24">
        <v>-5.238904616624885E-2</v>
      </c>
      <c r="AH114" s="24">
        <v>1.6394712241216256</v>
      </c>
      <c r="AI114" s="24">
        <v>-1.9393496736641733</v>
      </c>
      <c r="AJ114" s="24">
        <v>-1.5677041981688717</v>
      </c>
      <c r="AK114" s="24">
        <v>-2.3435914589007707</v>
      </c>
      <c r="AL114" s="24">
        <v>0.88934926174059203</v>
      </c>
      <c r="AM114" s="24">
        <v>-2.5768612675192175</v>
      </c>
      <c r="AN114" s="24">
        <v>-1.4245380539435857</v>
      </c>
      <c r="AO114" s="24">
        <v>-1.594266576043984</v>
      </c>
      <c r="AP114" s="24">
        <v>1.837994649614088</v>
      </c>
      <c r="AQ114" s="24">
        <v>3.8344760030992497</v>
      </c>
      <c r="AR114" s="24">
        <v>0.18249169443538088</v>
      </c>
      <c r="AS114" s="24">
        <v>-2.1002807894071562</v>
      </c>
      <c r="AT114" s="24">
        <v>-0.1742458352674863</v>
      </c>
      <c r="AU114" s="24">
        <v>-0.16667684083477852</v>
      </c>
      <c r="AV114" s="24">
        <v>1.2916194877906668</v>
      </c>
      <c r="AW114" s="24">
        <v>-1.7118994097748979</v>
      </c>
      <c r="CQ114" s="24">
        <v>0.99999999881721569</v>
      </c>
      <c r="CR114" s="24" t="str">
        <f t="shared" si="7"/>
        <v>1</v>
      </c>
      <c r="CS114" t="str">
        <f ca="1">IF((OFFSET($A$1, 114 - 1, 95 - 1)) &gt;= (OFFSET($A$1, 54 - 1, 7 - 1)), "1","0")</f>
        <v>1</v>
      </c>
      <c r="CT114">
        <f ca="1" xml:space="preserve"> IF( AND( OFFSET($A$1, 114 - 1, 96 - 1) = "1", OFFSET($A$1, 114 - 1, 97 - 1) = "1" ), 1, IF( AND( OFFSET($A$1, 114 - 1, 96 - 1) = "1", OFFSET($A$1, 114 - 1, 97 - 1) = "0" ), 2, IF( AND( OFFSET($A$1, 114 - 1, 96 - 1) = "0", OFFSET($A$1, 114 - 1, 97 - 1) = "1" ), 3, 4 ) ) )</f>
        <v>1</v>
      </c>
      <c r="CV114" s="24">
        <v>0.84845697745628412</v>
      </c>
      <c r="CW114" s="24" t="str">
        <f>"1"</f>
        <v>1</v>
      </c>
      <c r="CX114" t="str">
        <f ca="1">IF((OFFSET($A$1, 114 - 1, 100 - 1)) &gt;= (OFFSET($A$1, 78 - 1, 7 - 1)), "1","0")</f>
        <v>1</v>
      </c>
      <c r="CY114">
        <f ca="1" xml:space="preserve"> IF( AND( OFFSET($A$1, 114 - 1, 101 - 1) = "1", OFFSET($A$1, 114 - 1, 102 - 1) = "1" ), 1, IF( AND( OFFSET($A$1, 114 - 1, 101 - 1) = "1", OFFSET($A$1, 114 - 1, 102 - 1) = "0" ), 2, IF( AND( OFFSET($A$1, 114 - 1, 101 - 1) = "0", OFFSET($A$1, 114 - 1, 102 - 1) = "1" ), 3, 4 ) ) )</f>
        <v>1</v>
      </c>
    </row>
    <row r="115" spans="3:103" ht="13.8" x14ac:dyDescent="0.3">
      <c r="C115" s="26" t="s">
        <v>729</v>
      </c>
      <c r="D115" s="24">
        <v>0.10198610586217467</v>
      </c>
      <c r="E115" s="24">
        <v>2.0693529815616657E-3</v>
      </c>
      <c r="F115" s="24">
        <v>0.17098231433542496</v>
      </c>
      <c r="G115" s="24">
        <v>1.5925259350236826E-2</v>
      </c>
      <c r="H115" s="24">
        <v>-0.56262142868148246</v>
      </c>
      <c r="I115" s="24">
        <v>1.3694109647950421</v>
      </c>
      <c r="J115" s="24">
        <v>-0.17112436660189151</v>
      </c>
      <c r="K115" s="24">
        <v>-0.74535658909371838</v>
      </c>
      <c r="L115" s="24">
        <v>1.1662499289439467</v>
      </c>
      <c r="M115" s="24">
        <v>-1.0681907571091329</v>
      </c>
      <c r="N115" s="24">
        <v>-0.1222430819156389</v>
      </c>
      <c r="O115" s="24">
        <v>-1.0718064589555785</v>
      </c>
      <c r="P115" s="24">
        <v>-2.6446377536770878E-2</v>
      </c>
      <c r="Q115" s="24">
        <v>-0.54295511378111716</v>
      </c>
      <c r="R115" s="24">
        <v>6.7690196640032091E-2</v>
      </c>
      <c r="S115" s="24">
        <v>-1.381973385121102</v>
      </c>
      <c r="T115" s="24">
        <v>-1.3117344133733795</v>
      </c>
      <c r="U115" s="24">
        <v>3.5916162590348508E-2</v>
      </c>
      <c r="V115" s="24">
        <v>1.0414070339454107</v>
      </c>
      <c r="W115" s="24">
        <v>-0.32142478610355663</v>
      </c>
      <c r="X115" s="24">
        <v>-0.23626924847398173</v>
      </c>
      <c r="Y115" s="24">
        <v>0.80660998498236325</v>
      </c>
      <c r="Z115" s="24">
        <v>-0.92370046427811126</v>
      </c>
      <c r="AA115" s="24">
        <v>-0.26848467032302969</v>
      </c>
      <c r="AB115" s="24">
        <v>8.6895458543528481E-2</v>
      </c>
      <c r="AC115" s="24">
        <v>1.2502391884507755</v>
      </c>
      <c r="AD115" s="24">
        <v>1.5107767962250371</v>
      </c>
      <c r="AE115" s="24">
        <v>-0.19994593913929432</v>
      </c>
      <c r="AF115" s="24">
        <v>1.176280392990867</v>
      </c>
      <c r="AG115" s="24">
        <v>-1.3378807406448012</v>
      </c>
      <c r="AH115" s="24">
        <v>1.0310807594032276</v>
      </c>
      <c r="AI115" s="24">
        <v>0.49794329939791687</v>
      </c>
      <c r="AJ115" s="24">
        <v>0.64483583767472785</v>
      </c>
      <c r="AK115" s="24">
        <v>0.98669733364073953</v>
      </c>
      <c r="AL115" s="24">
        <v>-0.12822947990153072</v>
      </c>
      <c r="AM115" s="24">
        <v>0.14316747715660136</v>
      </c>
      <c r="AN115" s="24">
        <v>0.26427658718041913</v>
      </c>
      <c r="AO115" s="24">
        <v>-0.18983180845576703</v>
      </c>
      <c r="AP115" s="24">
        <v>-0.16490484280827639</v>
      </c>
      <c r="AQ115" s="24">
        <v>-2.2021101116389779</v>
      </c>
      <c r="AR115" s="24">
        <v>0.67362460545054481</v>
      </c>
      <c r="AS115" s="24">
        <v>-5.9429098165075606E-2</v>
      </c>
      <c r="AT115" s="24">
        <v>0.31213098452593085</v>
      </c>
      <c r="AU115" s="24">
        <v>-8.4332254216731864E-2</v>
      </c>
      <c r="AV115" s="24">
        <v>0.58968583306171263</v>
      </c>
      <c r="AW115" s="24">
        <v>-1.0302480186272804</v>
      </c>
      <c r="CQ115" s="24">
        <v>0.99961381317443532</v>
      </c>
      <c r="CR115" s="24" t="str">
        <f t="shared" si="7"/>
        <v>1</v>
      </c>
      <c r="CS115" t="str">
        <f ca="1">IF((OFFSET($A$1, 115 - 1, 95 - 1)) &gt;= (OFFSET($A$1, 54 - 1, 7 - 1)), "1","0")</f>
        <v>1</v>
      </c>
      <c r="CT115">
        <f ca="1" xml:space="preserve"> IF( AND( OFFSET($A$1, 115 - 1, 96 - 1) = "1", OFFSET($A$1, 115 - 1, 97 - 1) = "1" ), 1, IF( AND( OFFSET($A$1, 115 - 1, 96 - 1) = "1", OFFSET($A$1, 115 - 1, 97 - 1) = "0" ), 2, IF( AND( OFFSET($A$1, 115 - 1, 96 - 1) = "0", OFFSET($A$1, 115 - 1, 97 - 1) = "1" ), 3, 4 ) ) )</f>
        <v>1</v>
      </c>
      <c r="CV115" s="24">
        <v>0.99999881410944746</v>
      </c>
      <c r="CW115" s="24" t="str">
        <f>"1"</f>
        <v>1</v>
      </c>
      <c r="CX115" t="str">
        <f ca="1">IF((OFFSET($A$1, 115 - 1, 100 - 1)) &gt;= (OFFSET($A$1, 78 - 1, 7 - 1)), "1","0")</f>
        <v>1</v>
      </c>
      <c r="CY115">
        <f ca="1" xml:space="preserve"> IF( AND( OFFSET($A$1, 115 - 1, 101 - 1) = "1", OFFSET($A$1, 115 - 1, 102 - 1) = "1" ), 1, IF( AND( OFFSET($A$1, 115 - 1, 101 - 1) = "1", OFFSET($A$1, 115 - 1, 102 - 1) = "0" ), 2, IF( AND( OFFSET($A$1, 115 - 1, 101 - 1) = "0", OFFSET($A$1, 115 - 1, 102 - 1) = "1" ), 3, 4 ) ) )</f>
        <v>1</v>
      </c>
    </row>
    <row r="116" spans="3:103" ht="13.8" x14ac:dyDescent="0.3">
      <c r="C116" s="26" t="s">
        <v>730</v>
      </c>
      <c r="D116" s="24">
        <v>-2.1459673034507958</v>
      </c>
      <c r="E116" s="24">
        <v>-0.58198442388608818</v>
      </c>
      <c r="F116" s="24">
        <v>0.94269718310627926</v>
      </c>
      <c r="G116" s="24">
        <v>0.42167414993305535</v>
      </c>
      <c r="H116" s="24">
        <v>0.42139890687416054</v>
      </c>
      <c r="I116" s="24">
        <v>-2.2746607709541355</v>
      </c>
      <c r="J116" s="24">
        <v>1.4900326709888352</v>
      </c>
      <c r="K116" s="24">
        <v>0.39411909239574028</v>
      </c>
      <c r="L116" s="24">
        <v>-1.2161528145557715E-2</v>
      </c>
      <c r="M116" s="24">
        <v>7.6425349280898128E-2</v>
      </c>
      <c r="N116" s="24">
        <v>0.55081497426499726</v>
      </c>
      <c r="O116" s="24">
        <v>-0.4998956960011835</v>
      </c>
      <c r="P116" s="24">
        <v>-1.167618579062714</v>
      </c>
      <c r="Q116" s="24">
        <v>1.1639202637264021</v>
      </c>
      <c r="R116" s="24">
        <v>6.1826344142983145E-2</v>
      </c>
      <c r="S116" s="24">
        <v>-1.966427254677763</v>
      </c>
      <c r="T116" s="24">
        <v>0.10993315498161209</v>
      </c>
      <c r="U116" s="24">
        <v>-1.4348069653533684</v>
      </c>
      <c r="V116" s="24">
        <v>-0.66635185255364748</v>
      </c>
      <c r="W116" s="24">
        <v>1.599008637700275</v>
      </c>
      <c r="X116" s="24">
        <v>2.2523641195952742</v>
      </c>
      <c r="Y116" s="24">
        <v>0.15341585813110317</v>
      </c>
      <c r="Z116" s="24">
        <v>-0.51531290462577795</v>
      </c>
      <c r="AA116" s="24">
        <v>0.40249962125018801</v>
      </c>
      <c r="AB116" s="24">
        <v>-3.0201793485094477</v>
      </c>
      <c r="AC116" s="24">
        <v>0.2246715426021785</v>
      </c>
      <c r="AD116" s="24">
        <v>2.8287067151335155</v>
      </c>
      <c r="AE116" s="24">
        <v>0.17098928596756383</v>
      </c>
      <c r="AF116" s="24">
        <v>-0.13862612854695436</v>
      </c>
      <c r="AG116" s="24">
        <v>-1.5060486586056185</v>
      </c>
      <c r="AH116" s="24">
        <v>-1.315638753161311</v>
      </c>
      <c r="AI116" s="24">
        <v>-1.5991235524271628</v>
      </c>
      <c r="AJ116" s="24">
        <v>0.51721284525292599</v>
      </c>
      <c r="AK116" s="24">
        <v>-0.46025995692148441</v>
      </c>
      <c r="AL116" s="24">
        <v>1.0125267050316478</v>
      </c>
      <c r="AM116" s="24">
        <v>-0.27944681058609855</v>
      </c>
      <c r="AN116" s="24">
        <v>9.1636306590410319E-2</v>
      </c>
      <c r="AO116" s="24">
        <v>-0.98951488976629554</v>
      </c>
      <c r="AP116" s="24">
        <v>0.11788295196029436</v>
      </c>
      <c r="AQ116" s="24">
        <v>-0.47223705487500273</v>
      </c>
      <c r="AR116" s="24">
        <v>-0.37849030918113163</v>
      </c>
      <c r="AS116" s="24">
        <v>-1.3138101844468839</v>
      </c>
      <c r="AT116" s="24">
        <v>-0.16252812961424687</v>
      </c>
      <c r="AU116" s="24">
        <v>1.3635136168128994</v>
      </c>
      <c r="AV116" s="24">
        <v>-1.5455204576014567</v>
      </c>
      <c r="AW116" s="24">
        <v>-2.6387097773555643</v>
      </c>
      <c r="CQ116" s="24">
        <v>0.99854694197478533</v>
      </c>
      <c r="CR116" s="24" t="str">
        <f t="shared" si="7"/>
        <v>1</v>
      </c>
      <c r="CS116" t="str">
        <f ca="1">IF((OFFSET($A$1, 116 - 1, 95 - 1)) &gt;= (OFFSET($A$1, 54 - 1, 7 - 1)), "1","0")</f>
        <v>1</v>
      </c>
      <c r="CT116">
        <f ca="1" xml:space="preserve"> IF( AND( OFFSET($A$1, 116 - 1, 96 - 1) = "1", OFFSET($A$1, 116 - 1, 97 - 1) = "1" ), 1, IF( AND( OFFSET($A$1, 116 - 1, 96 - 1) = "1", OFFSET($A$1, 116 - 1, 97 - 1) = "0" ), 2, IF( AND( OFFSET($A$1, 116 - 1, 96 - 1) = "0", OFFSET($A$1, 116 - 1, 97 - 1) = "1" ), 3, 4 ) ) )</f>
        <v>1</v>
      </c>
      <c r="CV116" s="24">
        <v>0.99930919645578009</v>
      </c>
      <c r="CW116" s="24" t="str">
        <f>"0"</f>
        <v>0</v>
      </c>
      <c r="CX116" t="str">
        <f ca="1">IF((OFFSET($A$1, 116 - 1, 100 - 1)) &gt;= (OFFSET($A$1, 78 - 1, 7 - 1)), "1","0")</f>
        <v>1</v>
      </c>
      <c r="CY116">
        <f ca="1" xml:space="preserve"> IF( AND( OFFSET($A$1, 116 - 1, 101 - 1) = "1", OFFSET($A$1, 116 - 1, 102 - 1) = "1" ), 1, IF( AND( OFFSET($A$1, 116 - 1, 101 - 1) = "1", OFFSET($A$1, 116 - 1, 102 - 1) = "0" ), 2, IF( AND( OFFSET($A$1, 116 - 1, 101 - 1) = "0", OFFSET($A$1, 116 - 1, 102 - 1) = "1" ), 3, 4 ) ) )</f>
        <v>3</v>
      </c>
    </row>
    <row r="117" spans="3:103" ht="13.8" x14ac:dyDescent="0.3">
      <c r="CQ117" s="24">
        <v>0.99754509930149049</v>
      </c>
      <c r="CR117" s="24" t="str">
        <f t="shared" si="7"/>
        <v>1</v>
      </c>
      <c r="CS117" t="str">
        <f ca="1">IF((OFFSET($A$1, 117 - 1, 95 - 1)) &gt;= (OFFSET($A$1, 54 - 1, 7 - 1)), "1","0")</f>
        <v>1</v>
      </c>
      <c r="CT117">
        <f ca="1" xml:space="preserve"> IF( AND( OFFSET($A$1, 117 - 1, 96 - 1) = "1", OFFSET($A$1, 117 - 1, 97 - 1) = "1" ), 1, IF( AND( OFFSET($A$1, 117 - 1, 96 - 1) = "1", OFFSET($A$1, 117 - 1, 97 - 1) = "0" ), 2, IF( AND( OFFSET($A$1, 117 - 1, 96 - 1) = "0", OFFSET($A$1, 117 - 1, 97 - 1) = "1" ), 3, 4 ) ) )</f>
        <v>1</v>
      </c>
      <c r="CV117" s="24">
        <v>0.99966649701292165</v>
      </c>
      <c r="CW117" s="24" t="str">
        <f>"0"</f>
        <v>0</v>
      </c>
      <c r="CX117" t="str">
        <f ca="1">IF((OFFSET($A$1, 117 - 1, 100 - 1)) &gt;= (OFFSET($A$1, 78 - 1, 7 - 1)), "1","0")</f>
        <v>1</v>
      </c>
      <c r="CY117">
        <f ca="1" xml:space="preserve"> IF( AND( OFFSET($A$1, 117 - 1, 101 - 1) = "1", OFFSET($A$1, 117 - 1, 102 - 1) = "1" ), 1, IF( AND( OFFSET($A$1, 117 - 1, 101 - 1) = "1", OFFSET($A$1, 117 - 1, 102 - 1) = "0" ), 2, IF( AND( OFFSET($A$1, 117 - 1, 101 - 1) = "0", OFFSET($A$1, 117 - 1, 102 - 1) = "1" ), 3, 4 ) ) )</f>
        <v>3</v>
      </c>
    </row>
    <row r="118" spans="3:103" ht="13.8" x14ac:dyDescent="0.3">
      <c r="CQ118" s="24">
        <v>0.99789478892015859</v>
      </c>
      <c r="CR118" s="24" t="str">
        <f t="shared" si="7"/>
        <v>1</v>
      </c>
      <c r="CS118" t="str">
        <f ca="1">IF((OFFSET($A$1, 118 - 1, 95 - 1)) &gt;= (OFFSET($A$1, 54 - 1, 7 - 1)), "1","0")</f>
        <v>1</v>
      </c>
      <c r="CT118">
        <f ca="1" xml:space="preserve"> IF( AND( OFFSET($A$1, 118 - 1, 96 - 1) = "1", OFFSET($A$1, 118 - 1, 97 - 1) = "1" ), 1, IF( AND( OFFSET($A$1, 118 - 1, 96 - 1) = "1", OFFSET($A$1, 118 - 1, 97 - 1) = "0" ), 2, IF( AND( OFFSET($A$1, 118 - 1, 96 - 1) = "0", OFFSET($A$1, 118 - 1, 97 - 1) = "1" ), 3, 4 ) ) )</f>
        <v>1</v>
      </c>
      <c r="CV118" s="24">
        <v>7.9353596688411774E-4</v>
      </c>
      <c r="CW118" s="24" t="str">
        <f>"0"</f>
        <v>0</v>
      </c>
      <c r="CX118" t="str">
        <f ca="1">IF((OFFSET($A$1, 118 - 1, 100 - 1)) &gt;= (OFFSET($A$1, 78 - 1, 7 - 1)), "1","0")</f>
        <v>0</v>
      </c>
      <c r="CY118">
        <f ca="1" xml:space="preserve"> IF( AND( OFFSET($A$1, 118 - 1, 101 - 1) = "1", OFFSET($A$1, 118 - 1, 102 - 1) = "1" ), 1, IF( AND( OFFSET($A$1, 118 - 1, 101 - 1) = "1", OFFSET($A$1, 118 - 1, 102 - 1) = "0" ), 2, IF( AND( OFFSET($A$1, 118 - 1, 101 - 1) = "0", OFFSET($A$1, 118 - 1, 102 - 1) = "1" ), 3, 4 ) ) )</f>
        <v>4</v>
      </c>
    </row>
    <row r="119" spans="3:103" ht="13.8" x14ac:dyDescent="0.3">
      <c r="D119" s="77" t="s">
        <v>717</v>
      </c>
      <c r="E119" s="77"/>
      <c r="F119" s="77"/>
      <c r="G119" s="77"/>
      <c r="H119" s="77"/>
      <c r="I119" s="77"/>
      <c r="J119" s="77"/>
      <c r="K119" s="77"/>
      <c r="L119" s="77"/>
      <c r="M119" s="77"/>
      <c r="N119" s="77"/>
      <c r="O119" s="77"/>
      <c r="P119" s="77"/>
      <c r="Q119" s="77"/>
      <c r="CQ119" s="24">
        <v>0.88819868954439263</v>
      </c>
      <c r="CR119" s="24" t="str">
        <f t="shared" si="7"/>
        <v>1</v>
      </c>
      <c r="CS119" t="str">
        <f ca="1">IF((OFFSET($A$1, 119 - 1, 95 - 1)) &gt;= (OFFSET($A$1, 54 - 1, 7 - 1)), "1","0")</f>
        <v>1</v>
      </c>
      <c r="CT119">
        <f ca="1" xml:space="preserve"> IF( AND( OFFSET($A$1, 119 - 1, 96 - 1) = "1", OFFSET($A$1, 119 - 1, 97 - 1) = "1" ), 1, IF( AND( OFFSET($A$1, 119 - 1, 96 - 1) = "1", OFFSET($A$1, 119 - 1, 97 - 1) = "0" ), 2, IF( AND( OFFSET($A$1, 119 - 1, 96 - 1) = "0", OFFSET($A$1, 119 - 1, 97 - 1) = "1" ), 3, 4 ) ) )</f>
        <v>1</v>
      </c>
      <c r="CV119" s="24">
        <v>0.8900303571563638</v>
      </c>
      <c r="CW119" s="24" t="str">
        <f t="shared" ref="CW119:CW124" si="8">"1"</f>
        <v>1</v>
      </c>
      <c r="CX119" t="str">
        <f ca="1">IF((OFFSET($A$1, 119 - 1, 100 - 1)) &gt;= (OFFSET($A$1, 78 - 1, 7 - 1)), "1","0")</f>
        <v>1</v>
      </c>
      <c r="CY119">
        <f ca="1" xml:space="preserve"> IF( AND( OFFSET($A$1, 119 - 1, 101 - 1) = "1", OFFSET($A$1, 119 - 1, 102 - 1) = "1" ), 1, IF( AND( OFFSET($A$1, 119 - 1, 101 - 1) = "1", OFFSET($A$1, 119 - 1, 102 - 1) = "0" ), 2, IF( AND( OFFSET($A$1, 119 - 1, 101 - 1) = "0", OFFSET($A$1, 119 - 1, 102 - 1) = "1" ), 3, 4 ) ) )</f>
        <v>1</v>
      </c>
    </row>
    <row r="120" spans="3:103" ht="13.8" x14ac:dyDescent="0.3">
      <c r="C120" s="36" t="s">
        <v>731</v>
      </c>
      <c r="D120" s="26" t="s">
        <v>718</v>
      </c>
      <c r="E120" s="26" t="s">
        <v>719</v>
      </c>
      <c r="F120" s="26" t="s">
        <v>720</v>
      </c>
      <c r="G120" s="26" t="s">
        <v>721</v>
      </c>
      <c r="H120" s="26" t="s">
        <v>722</v>
      </c>
      <c r="I120" s="26" t="s">
        <v>723</v>
      </c>
      <c r="J120" s="26" t="s">
        <v>724</v>
      </c>
      <c r="K120" s="26" t="s">
        <v>725</v>
      </c>
      <c r="L120" s="26" t="s">
        <v>726</v>
      </c>
      <c r="M120" s="26" t="s">
        <v>727</v>
      </c>
      <c r="N120" s="26" t="s">
        <v>728</v>
      </c>
      <c r="O120" s="26" t="s">
        <v>729</v>
      </c>
      <c r="P120" s="26" t="s">
        <v>730</v>
      </c>
      <c r="Q120" s="26" t="s">
        <v>732</v>
      </c>
      <c r="CQ120" s="24">
        <v>0.99946997263936566</v>
      </c>
      <c r="CR120" s="24" t="str">
        <f t="shared" si="7"/>
        <v>1</v>
      </c>
      <c r="CS120" t="str">
        <f ca="1">IF((OFFSET($A$1, 120 - 1, 95 - 1)) &gt;= (OFFSET($A$1, 54 - 1, 7 - 1)), "1","0")</f>
        <v>1</v>
      </c>
      <c r="CT120">
        <f ca="1" xml:space="preserve"> IF( AND( OFFSET($A$1, 120 - 1, 96 - 1) = "1", OFFSET($A$1, 120 - 1, 97 - 1) = "1" ), 1, IF( AND( OFFSET($A$1, 120 - 1, 96 - 1) = "1", OFFSET($A$1, 120 - 1, 97 - 1) = "0" ), 2, IF( AND( OFFSET($A$1, 120 - 1, 96 - 1) = "0", OFFSET($A$1, 120 - 1, 97 - 1) = "1" ), 3, 4 ) ) )</f>
        <v>1</v>
      </c>
      <c r="CV120" s="24">
        <v>0.99733129658633157</v>
      </c>
      <c r="CW120" s="24" t="str">
        <f t="shared" si="8"/>
        <v>1</v>
      </c>
      <c r="CX120" t="str">
        <f ca="1">IF((OFFSET($A$1, 120 - 1, 100 - 1)) &gt;= (OFFSET($A$1, 78 - 1, 7 - 1)), "1","0")</f>
        <v>1</v>
      </c>
      <c r="CY120">
        <f ca="1" xml:space="preserve"> IF( AND( OFFSET($A$1, 120 - 1, 101 - 1) = "1", OFFSET($A$1, 120 - 1, 102 - 1) = "1" ), 1, IF( AND( OFFSET($A$1, 120 - 1, 101 - 1) = "1", OFFSET($A$1, 120 - 1, 102 - 1) = "0" ), 2, IF( AND( OFFSET($A$1, 120 - 1, 101 - 1) = "0", OFFSET($A$1, 120 - 1, 102 - 1) = "1" ), 3, 4 ) ) )</f>
        <v>1</v>
      </c>
    </row>
    <row r="121" spans="3:103" ht="13.8" x14ac:dyDescent="0.3">
      <c r="C121" s="26">
        <v>0</v>
      </c>
      <c r="D121" s="24">
        <v>-4.4896620359461332</v>
      </c>
      <c r="E121" s="24">
        <v>-3.0159932297435526</v>
      </c>
      <c r="F121" s="24">
        <v>-4.145853294183949</v>
      </c>
      <c r="G121" s="24">
        <v>-3.8624032874736867</v>
      </c>
      <c r="H121" s="24">
        <v>-3.483933545274744</v>
      </c>
      <c r="I121" s="24">
        <v>3.3215939690802347</v>
      </c>
      <c r="J121" s="24">
        <v>2.6016897454604764</v>
      </c>
      <c r="K121" s="24">
        <v>-3.0048234298770939</v>
      </c>
      <c r="L121" s="24">
        <v>3.9063375802977487</v>
      </c>
      <c r="M121" s="24">
        <v>3.9967207485269856</v>
      </c>
      <c r="N121" s="24">
        <v>-3.7043499160622773</v>
      </c>
      <c r="O121" s="24">
        <v>0.91158221533671135</v>
      </c>
      <c r="P121" s="24">
        <v>-2.3644729078009563</v>
      </c>
      <c r="Q121" s="24">
        <v>1.8601542231708552</v>
      </c>
      <c r="CQ121" s="24">
        <v>0.99680095914306266</v>
      </c>
      <c r="CR121" s="24" t="str">
        <f t="shared" si="7"/>
        <v>1</v>
      </c>
      <c r="CS121" t="str">
        <f ca="1">IF((OFFSET($A$1, 121 - 1, 95 - 1)) &gt;= (OFFSET($A$1, 54 - 1, 7 - 1)), "1","0")</f>
        <v>1</v>
      </c>
      <c r="CT121">
        <f ca="1" xml:space="preserve"> IF( AND( OFFSET($A$1, 121 - 1, 96 - 1) = "1", OFFSET($A$1, 121 - 1, 97 - 1) = "1" ), 1, IF( AND( OFFSET($A$1, 121 - 1, 96 - 1) = "1", OFFSET($A$1, 121 - 1, 97 - 1) = "0" ), 2, IF( AND( OFFSET($A$1, 121 - 1, 96 - 1) = "0", OFFSET($A$1, 121 - 1, 97 - 1) = "1" ), 3, 4 ) ) )</f>
        <v>1</v>
      </c>
      <c r="CV121" s="24">
        <v>7.4196172090318993E-2</v>
      </c>
      <c r="CW121" s="24" t="str">
        <f t="shared" si="8"/>
        <v>1</v>
      </c>
      <c r="CX121" t="str">
        <f ca="1">IF((OFFSET($A$1, 121 - 1, 100 - 1)) &gt;= (OFFSET($A$1, 78 - 1, 7 - 1)), "1","0")</f>
        <v>0</v>
      </c>
      <c r="CY121">
        <f ca="1" xml:space="preserve"> IF( AND( OFFSET($A$1, 121 - 1, 101 - 1) = "1", OFFSET($A$1, 121 - 1, 102 - 1) = "1" ), 1, IF( AND( OFFSET($A$1, 121 - 1, 101 - 1) = "1", OFFSET($A$1, 121 - 1, 102 - 1) = "0" ), 2, IF( AND( OFFSET($A$1, 121 - 1, 101 - 1) = "0", OFFSET($A$1, 121 - 1, 102 - 1) = "1" ), 3, 4 ) ) )</f>
        <v>2</v>
      </c>
    </row>
    <row r="122" spans="3:103" ht="13.8" x14ac:dyDescent="0.3">
      <c r="C122" s="26">
        <v>1</v>
      </c>
      <c r="D122" s="24">
        <v>4.4912628321619374</v>
      </c>
      <c r="E122" s="24">
        <v>3.0151707051663195</v>
      </c>
      <c r="F122" s="24">
        <v>4.1458528634823804</v>
      </c>
      <c r="G122" s="24">
        <v>3.8627036950316032</v>
      </c>
      <c r="H122" s="24">
        <v>3.483834349001024</v>
      </c>
      <c r="I122" s="24">
        <v>-3.321575462839462</v>
      </c>
      <c r="J122" s="24">
        <v>-2.6020123170940006</v>
      </c>
      <c r="K122" s="24">
        <v>3.0038010172912788</v>
      </c>
      <c r="L122" s="24">
        <v>-3.907426076687365</v>
      </c>
      <c r="M122" s="24">
        <v>-3.9968744204678597</v>
      </c>
      <c r="N122" s="24">
        <v>3.7044833580589445</v>
      </c>
      <c r="O122" s="24">
        <v>-0.91336007783738982</v>
      </c>
      <c r="P122" s="24">
        <v>2.3673242414077289</v>
      </c>
      <c r="Q122" s="24">
        <v>-1.8596314188350922</v>
      </c>
      <c r="CQ122" s="24">
        <v>0.95311337509605065</v>
      </c>
      <c r="CR122" s="24" t="str">
        <f t="shared" si="7"/>
        <v>1</v>
      </c>
      <c r="CS122" t="str">
        <f ca="1">IF((OFFSET($A$1, 122 - 1, 95 - 1)) &gt;= (OFFSET($A$1, 54 - 1, 7 - 1)), "1","0")</f>
        <v>1</v>
      </c>
      <c r="CT122">
        <f ca="1" xml:space="preserve"> IF( AND( OFFSET($A$1, 122 - 1, 96 - 1) = "1", OFFSET($A$1, 122 - 1, 97 - 1) = "1" ), 1, IF( AND( OFFSET($A$1, 122 - 1, 96 - 1) = "1", OFFSET($A$1, 122 - 1, 97 - 1) = "0" ), 2, IF( AND( OFFSET($A$1, 122 - 1, 96 - 1) = "0", OFFSET($A$1, 122 - 1, 97 - 1) = "1" ), 3, 4 ) ) )</f>
        <v>1</v>
      </c>
      <c r="CV122" s="24">
        <v>0.78641774381681262</v>
      </c>
      <c r="CW122" s="24" t="str">
        <f t="shared" si="8"/>
        <v>1</v>
      </c>
      <c r="CX122" t="str">
        <f ca="1">IF((OFFSET($A$1, 122 - 1, 100 - 1)) &gt;= (OFFSET($A$1, 78 - 1, 7 - 1)), "1","0")</f>
        <v>1</v>
      </c>
      <c r="CY122">
        <f ca="1" xml:space="preserve"> IF( AND( OFFSET($A$1, 122 - 1, 101 - 1) = "1", OFFSET($A$1, 122 - 1, 102 - 1) = "1" ), 1, IF( AND( OFFSET($A$1, 122 - 1, 101 - 1) = "1", OFFSET($A$1, 122 - 1, 102 - 1) = "0" ), 2, IF( AND( OFFSET($A$1, 122 - 1, 101 - 1) = "0", OFFSET($A$1, 122 - 1, 102 - 1) = "1" ), 3, 4 ) ) )</f>
        <v>1</v>
      </c>
    </row>
    <row r="123" spans="3:103" ht="13.8" x14ac:dyDescent="0.3">
      <c r="CQ123" s="24">
        <v>0.99817587048211409</v>
      </c>
      <c r="CR123" s="24" t="str">
        <f t="shared" si="7"/>
        <v>1</v>
      </c>
      <c r="CS123" t="str">
        <f ca="1">IF((OFFSET($A$1, 123 - 1, 95 - 1)) &gt;= (OFFSET($A$1, 54 - 1, 7 - 1)), "1","0")</f>
        <v>1</v>
      </c>
      <c r="CT123">
        <f ca="1" xml:space="preserve"> IF( AND( OFFSET($A$1, 123 - 1, 96 - 1) = "1", OFFSET($A$1, 123 - 1, 97 - 1) = "1" ), 1, IF( AND( OFFSET($A$1, 123 - 1, 96 - 1) = "1", OFFSET($A$1, 123 - 1, 97 - 1) = "0" ), 2, IF( AND( OFFSET($A$1, 123 - 1, 96 - 1) = "0", OFFSET($A$1, 123 - 1, 97 - 1) = "1" ), 3, 4 ) ) )</f>
        <v>1</v>
      </c>
      <c r="CV123" s="24">
        <v>0.9996608959932457</v>
      </c>
      <c r="CW123" s="24" t="str">
        <f t="shared" si="8"/>
        <v>1</v>
      </c>
      <c r="CX123" t="str">
        <f ca="1">IF((OFFSET($A$1, 123 - 1, 100 - 1)) &gt;= (OFFSET($A$1, 78 - 1, 7 - 1)), "1","0")</f>
        <v>1</v>
      </c>
      <c r="CY123">
        <f ca="1" xml:space="preserve"> IF( AND( OFFSET($A$1, 123 - 1, 101 - 1) = "1", OFFSET($A$1, 123 - 1, 102 - 1) = "1" ), 1, IF( AND( OFFSET($A$1, 123 - 1, 101 - 1) = "1", OFFSET($A$1, 123 - 1, 102 - 1) = "0" ), 2, IF( AND( OFFSET($A$1, 123 - 1, 101 - 1) = "0", OFFSET($A$1, 123 - 1, 102 - 1) = "1" ), 3, 4 ) ) )</f>
        <v>1</v>
      </c>
    </row>
    <row r="124" spans="3:103" ht="13.8" x14ac:dyDescent="0.3">
      <c r="CQ124" s="24">
        <v>0.99940947176943451</v>
      </c>
      <c r="CR124" s="24" t="str">
        <f t="shared" si="7"/>
        <v>1</v>
      </c>
      <c r="CS124" t="str">
        <f ca="1">IF((OFFSET($A$1, 124 - 1, 95 - 1)) &gt;= (OFFSET($A$1, 54 - 1, 7 - 1)), "1","0")</f>
        <v>1</v>
      </c>
      <c r="CT124">
        <f ca="1" xml:space="preserve"> IF( AND( OFFSET($A$1, 124 - 1, 96 - 1) = "1", OFFSET($A$1, 124 - 1, 97 - 1) = "1" ), 1, IF( AND( OFFSET($A$1, 124 - 1, 96 - 1) = "1", OFFSET($A$1, 124 - 1, 97 - 1) = "0" ), 2, IF( AND( OFFSET($A$1, 124 - 1, 96 - 1) = "0", OFFSET($A$1, 124 - 1, 97 - 1) = "1" ), 3, 4 ) ) )</f>
        <v>1</v>
      </c>
      <c r="CV124" s="24">
        <v>2.0355990889182701E-2</v>
      </c>
      <c r="CW124" s="24" t="str">
        <f t="shared" si="8"/>
        <v>1</v>
      </c>
      <c r="CX124" t="str">
        <f ca="1">IF((OFFSET($A$1, 124 - 1, 100 - 1)) &gt;= (OFFSET($A$1, 78 - 1, 7 - 1)), "1","0")</f>
        <v>0</v>
      </c>
      <c r="CY124">
        <f ca="1" xml:space="preserve"> IF( AND( OFFSET($A$1, 124 - 1, 101 - 1) = "1", OFFSET($A$1, 124 - 1, 102 - 1) = "1" ), 1, IF( AND( OFFSET($A$1, 124 - 1, 101 - 1) = "1", OFFSET($A$1, 124 - 1, 102 - 1) = "0" ), 2, IF( AND( OFFSET($A$1, 124 - 1, 101 - 1) = "0", OFFSET($A$1, 124 - 1, 102 - 1) = "1" ), 3, 4 ) ) )</f>
        <v>2</v>
      </c>
    </row>
    <row r="125" spans="3:103" ht="13.8" x14ac:dyDescent="0.3">
      <c r="CQ125" s="24">
        <v>0.99705277733465902</v>
      </c>
      <c r="CR125" s="24" t="str">
        <f t="shared" si="7"/>
        <v>1</v>
      </c>
      <c r="CS125" t="str">
        <f ca="1">IF((OFFSET($A$1, 125 - 1, 95 - 1)) &gt;= (OFFSET($A$1, 54 - 1, 7 - 1)), "1","0")</f>
        <v>1</v>
      </c>
      <c r="CT125">
        <f ca="1" xml:space="preserve"> IF( AND( OFFSET($A$1, 125 - 1, 96 - 1) = "1", OFFSET($A$1, 125 - 1, 97 - 1) = "1" ), 1, IF( AND( OFFSET($A$1, 125 - 1, 96 - 1) = "1", OFFSET($A$1, 125 - 1, 97 - 1) = "0" ), 2, IF( AND( OFFSET($A$1, 125 - 1, 96 - 1) = "0", OFFSET($A$1, 125 - 1, 97 - 1) = "1" ), 3, 4 ) ) )</f>
        <v>1</v>
      </c>
      <c r="CV125" s="24">
        <v>0.11430182629067813</v>
      </c>
      <c r="CW125" s="24" t="str">
        <f>"0"</f>
        <v>0</v>
      </c>
      <c r="CX125" t="str">
        <f ca="1">IF((OFFSET($A$1, 125 - 1, 100 - 1)) &gt;= (OFFSET($A$1, 78 - 1, 7 - 1)), "1","0")</f>
        <v>0</v>
      </c>
      <c r="CY125">
        <f ca="1" xml:space="preserve"> IF( AND( OFFSET($A$1, 125 - 1, 101 - 1) = "1", OFFSET($A$1, 125 - 1, 102 - 1) = "1" ), 1, IF( AND( OFFSET($A$1, 125 - 1, 101 - 1) = "1", OFFSET($A$1, 125 - 1, 102 - 1) = "0" ), 2, IF( AND( OFFSET($A$1, 125 - 1, 101 - 1) = "0", OFFSET($A$1, 125 - 1, 102 - 1) = "1" ), 3, 4 ) ) )</f>
        <v>4</v>
      </c>
    </row>
    <row r="126" spans="3:103" ht="13.8" x14ac:dyDescent="0.3">
      <c r="CQ126" s="24">
        <v>0.92346642349755281</v>
      </c>
      <c r="CR126" s="24" t="str">
        <f t="shared" si="7"/>
        <v>1</v>
      </c>
      <c r="CS126" t="str">
        <f ca="1">IF((OFFSET($A$1, 126 - 1, 95 - 1)) &gt;= (OFFSET($A$1, 54 - 1, 7 - 1)), "1","0")</f>
        <v>1</v>
      </c>
      <c r="CT126">
        <f ca="1" xml:space="preserve"> IF( AND( OFFSET($A$1, 126 - 1, 96 - 1) = "1", OFFSET($A$1, 126 - 1, 97 - 1) = "1" ), 1, IF( AND( OFFSET($A$1, 126 - 1, 96 - 1) = "1", OFFSET($A$1, 126 - 1, 97 - 1) = "0" ), 2, IF( AND( OFFSET($A$1, 126 - 1, 96 - 1) = "0", OFFSET($A$1, 126 - 1, 97 - 1) = "1" ), 3, 4 ) ) )</f>
        <v>1</v>
      </c>
      <c r="CV126" s="24">
        <v>0.46235935444507476</v>
      </c>
      <c r="CW126" s="24" t="str">
        <f>"1"</f>
        <v>1</v>
      </c>
      <c r="CX126" t="str">
        <f ca="1">IF((OFFSET($A$1, 126 - 1, 100 - 1)) &gt;= (OFFSET($A$1, 78 - 1, 7 - 1)), "1","0")</f>
        <v>0</v>
      </c>
      <c r="CY126">
        <f ca="1" xml:space="preserve"> IF( AND( OFFSET($A$1, 126 - 1, 101 - 1) = "1", OFFSET($A$1, 126 - 1, 102 - 1) = "1" ), 1, IF( AND( OFFSET($A$1, 126 - 1, 101 - 1) = "1", OFFSET($A$1, 126 - 1, 102 - 1) = "0" ), 2, IF( AND( OFFSET($A$1, 126 - 1, 101 - 1) = "0", OFFSET($A$1, 126 - 1, 102 - 1) = "1" ), 3, 4 ) ) )</f>
        <v>2</v>
      </c>
    </row>
    <row r="127" spans="3:103" ht="13.8" x14ac:dyDescent="0.3">
      <c r="CQ127" s="24">
        <v>6.7210067055811423E-2</v>
      </c>
      <c r="CR127" s="24" t="str">
        <f>"0"</f>
        <v>0</v>
      </c>
      <c r="CS127" t="str">
        <f ca="1">IF((OFFSET($A$1, 127 - 1, 95 - 1)) &gt;= (OFFSET($A$1, 54 - 1, 7 - 1)), "1","0")</f>
        <v>0</v>
      </c>
      <c r="CT127">
        <f ca="1" xml:space="preserve"> IF( AND( OFFSET($A$1, 127 - 1, 96 - 1) = "1", OFFSET($A$1, 127 - 1, 97 - 1) = "1" ), 1, IF( AND( OFFSET($A$1, 127 - 1, 96 - 1) = "1", OFFSET($A$1, 127 - 1, 97 - 1) = "0" ), 2, IF( AND( OFFSET($A$1, 127 - 1, 96 - 1) = "0", OFFSET($A$1, 127 - 1, 97 - 1) = "1" ), 3, 4 ) ) )</f>
        <v>4</v>
      </c>
      <c r="CV127" s="24">
        <v>0.99350850539378743</v>
      </c>
      <c r="CW127" s="24" t="str">
        <f>"1"</f>
        <v>1</v>
      </c>
      <c r="CX127" t="str">
        <f ca="1">IF((OFFSET($A$1, 127 - 1, 100 - 1)) &gt;= (OFFSET($A$1, 78 - 1, 7 - 1)), "1","0")</f>
        <v>1</v>
      </c>
      <c r="CY127">
        <f ca="1" xml:space="preserve"> IF( AND( OFFSET($A$1, 127 - 1, 101 - 1) = "1", OFFSET($A$1, 127 - 1, 102 - 1) = "1" ), 1, IF( AND( OFFSET($A$1, 127 - 1, 101 - 1) = "1", OFFSET($A$1, 127 - 1, 102 - 1) = "0" ), 2, IF( AND( OFFSET($A$1, 127 - 1, 101 - 1) = "0", OFFSET($A$1, 127 - 1, 102 - 1) = "1" ), 3, 4 ) ) )</f>
        <v>1</v>
      </c>
    </row>
    <row r="128" spans="3:103" ht="13.8" x14ac:dyDescent="0.3">
      <c r="CQ128" s="24">
        <v>0.99992386860701077</v>
      </c>
      <c r="CR128" s="24" t="str">
        <f>"1"</f>
        <v>1</v>
      </c>
      <c r="CS128" t="str">
        <f ca="1">IF((OFFSET($A$1, 128 - 1, 95 - 1)) &gt;= (OFFSET($A$1, 54 - 1, 7 - 1)), "1","0")</f>
        <v>1</v>
      </c>
      <c r="CT128">
        <f ca="1" xml:space="preserve"> IF( AND( OFFSET($A$1, 128 - 1, 96 - 1) = "1", OFFSET($A$1, 128 - 1, 97 - 1) = "1" ), 1, IF( AND( OFFSET($A$1, 128 - 1, 96 - 1) = "1", OFFSET($A$1, 128 - 1, 97 - 1) = "0" ), 2, IF( AND( OFFSET($A$1, 128 - 1, 96 - 1) = "0", OFFSET($A$1, 128 - 1, 97 - 1) = "1" ), 3, 4 ) ) )</f>
        <v>1</v>
      </c>
      <c r="CV128" s="24">
        <v>0.72501208896350222</v>
      </c>
      <c r="CW128" s="24" t="str">
        <f>"0"</f>
        <v>0</v>
      </c>
      <c r="CX128" t="str">
        <f ca="1">IF((OFFSET($A$1, 128 - 1, 100 - 1)) &gt;= (OFFSET($A$1, 78 - 1, 7 - 1)), "1","0")</f>
        <v>1</v>
      </c>
      <c r="CY128">
        <f ca="1" xml:space="preserve"> IF( AND( OFFSET($A$1, 128 - 1, 101 - 1) = "1", OFFSET($A$1, 128 - 1, 102 - 1) = "1" ), 1, IF( AND( OFFSET($A$1, 128 - 1, 101 - 1) = "1", OFFSET($A$1, 128 - 1, 102 - 1) = "0" ), 2, IF( AND( OFFSET($A$1, 128 - 1, 101 - 1) = "0", OFFSET($A$1, 128 - 1, 102 - 1) = "1" ), 3, 4 ) ) )</f>
        <v>3</v>
      </c>
    </row>
    <row r="129" spans="95:103" ht="13.8" x14ac:dyDescent="0.3">
      <c r="CQ129" s="24">
        <v>0.99924187684819588</v>
      </c>
      <c r="CR129" s="24" t="str">
        <f>"1"</f>
        <v>1</v>
      </c>
      <c r="CS129" t="str">
        <f ca="1">IF((OFFSET($A$1, 129 - 1, 95 - 1)) &gt;= (OFFSET($A$1, 54 - 1, 7 - 1)), "1","0")</f>
        <v>1</v>
      </c>
      <c r="CT129">
        <f ca="1" xml:space="preserve"> IF( AND( OFFSET($A$1, 129 - 1, 96 - 1) = "1", OFFSET($A$1, 129 - 1, 97 - 1) = "1" ), 1, IF( AND( OFFSET($A$1, 129 - 1, 96 - 1) = "1", OFFSET($A$1, 129 - 1, 97 - 1) = "0" ), 2, IF( AND( OFFSET($A$1, 129 - 1, 96 - 1) = "0", OFFSET($A$1, 129 - 1, 97 - 1) = "1" ), 3, 4 ) ) )</f>
        <v>1</v>
      </c>
      <c r="CV129" s="24">
        <v>0.99474696491222447</v>
      </c>
      <c r="CW129" s="24" t="str">
        <f>"1"</f>
        <v>1</v>
      </c>
      <c r="CX129" t="str">
        <f ca="1">IF((OFFSET($A$1, 129 - 1, 100 - 1)) &gt;= (OFFSET($A$1, 78 - 1, 7 - 1)), "1","0")</f>
        <v>1</v>
      </c>
      <c r="CY129">
        <f ca="1" xml:space="preserve"> IF( AND( OFFSET($A$1, 129 - 1, 101 - 1) = "1", OFFSET($A$1, 129 - 1, 102 - 1) = "1" ), 1, IF( AND( OFFSET($A$1, 129 - 1, 101 - 1) = "1", OFFSET($A$1, 129 - 1, 102 - 1) = "0" ), 2, IF( AND( OFFSET($A$1, 129 - 1, 101 - 1) = "0", OFFSET($A$1, 129 - 1, 102 - 1) = "1" ), 3, 4 ) ) )</f>
        <v>1</v>
      </c>
    </row>
    <row r="130" spans="95:103" ht="13.8" x14ac:dyDescent="0.3">
      <c r="CQ130" s="24">
        <v>0.9867053723542718</v>
      </c>
      <c r="CR130" s="24" t="str">
        <f>"1"</f>
        <v>1</v>
      </c>
      <c r="CS130" t="str">
        <f ca="1">IF((OFFSET($A$1, 130 - 1, 95 - 1)) &gt;= (OFFSET($A$1, 54 - 1, 7 - 1)), "1","0")</f>
        <v>1</v>
      </c>
      <c r="CT130">
        <f ca="1" xml:space="preserve"> IF( AND( OFFSET($A$1, 130 - 1, 96 - 1) = "1", OFFSET($A$1, 130 - 1, 97 - 1) = "1" ), 1, IF( AND( OFFSET($A$1, 130 - 1, 96 - 1) = "1", OFFSET($A$1, 130 - 1, 97 - 1) = "0" ), 2, IF( AND( OFFSET($A$1, 130 - 1, 96 - 1) = "0", OFFSET($A$1, 130 - 1, 97 - 1) = "1" ), 3, 4 ) ) )</f>
        <v>1</v>
      </c>
      <c r="CV130" s="24">
        <v>7.3282961693045944E-3</v>
      </c>
      <c r="CW130" s="24" t="str">
        <f>"0"</f>
        <v>0</v>
      </c>
      <c r="CX130" t="str">
        <f ca="1">IF((OFFSET($A$1, 130 - 1, 100 - 1)) &gt;= (OFFSET($A$1, 78 - 1, 7 - 1)), "1","0")</f>
        <v>0</v>
      </c>
      <c r="CY130">
        <f ca="1" xml:space="preserve"> IF( AND( OFFSET($A$1, 130 - 1, 101 - 1) = "1", OFFSET($A$1, 130 - 1, 102 - 1) = "1" ), 1, IF( AND( OFFSET($A$1, 130 - 1, 101 - 1) = "1", OFFSET($A$1, 130 - 1, 102 - 1) = "0" ), 2, IF( AND( OFFSET($A$1, 130 - 1, 101 - 1) = "0", OFFSET($A$1, 130 - 1, 102 - 1) = "1" ), 3, 4 ) ) )</f>
        <v>4</v>
      </c>
    </row>
    <row r="131" spans="95:103" ht="13.8" x14ac:dyDescent="0.3">
      <c r="CQ131" s="24">
        <v>0.99727516883717471</v>
      </c>
      <c r="CR131" s="24" t="str">
        <f>"1"</f>
        <v>1</v>
      </c>
      <c r="CS131" t="str">
        <f ca="1">IF((OFFSET($A$1, 131 - 1, 95 - 1)) &gt;= (OFFSET($A$1, 54 - 1, 7 - 1)), "1","0")</f>
        <v>1</v>
      </c>
      <c r="CT131">
        <f ca="1" xml:space="preserve"> IF( AND( OFFSET($A$1, 131 - 1, 96 - 1) = "1", OFFSET($A$1, 131 - 1, 97 - 1) = "1" ), 1, IF( AND( OFFSET($A$1, 131 - 1, 96 - 1) = "1", OFFSET($A$1, 131 - 1, 97 - 1) = "0" ), 2, IF( AND( OFFSET($A$1, 131 - 1, 96 - 1) = "0", OFFSET($A$1, 131 - 1, 97 - 1) = "1" ), 3, 4 ) ) )</f>
        <v>1</v>
      </c>
      <c r="CV131" s="24">
        <v>0.74622578896795122</v>
      </c>
      <c r="CW131" s="24" t="str">
        <f>"0"</f>
        <v>0</v>
      </c>
      <c r="CX131" t="str">
        <f ca="1">IF((OFFSET($A$1, 131 - 1, 100 - 1)) &gt;= (OFFSET($A$1, 78 - 1, 7 - 1)), "1","0")</f>
        <v>1</v>
      </c>
      <c r="CY131">
        <f ca="1" xml:space="preserve"> IF( AND( OFFSET($A$1, 131 - 1, 101 - 1) = "1", OFFSET($A$1, 131 - 1, 102 - 1) = "1" ), 1, IF( AND( OFFSET($A$1, 131 - 1, 101 - 1) = "1", OFFSET($A$1, 131 - 1, 102 - 1) = "0" ), 2, IF( AND( OFFSET($A$1, 131 - 1, 101 - 1) = "0", OFFSET($A$1, 131 - 1, 102 - 1) = "1" ), 3, 4 ) ) )</f>
        <v>3</v>
      </c>
    </row>
    <row r="132" spans="95:103" ht="13.8" x14ac:dyDescent="0.3">
      <c r="CQ132" s="24">
        <v>0.99883855960015255</v>
      </c>
      <c r="CR132" s="24" t="str">
        <f>"1"</f>
        <v>1</v>
      </c>
      <c r="CS132" t="str">
        <f ca="1">IF((OFFSET($A$1, 132 - 1, 95 - 1)) &gt;= (OFFSET($A$1, 54 - 1, 7 - 1)), "1","0")</f>
        <v>1</v>
      </c>
      <c r="CT132">
        <f ca="1" xml:space="preserve"> IF( AND( OFFSET($A$1, 132 - 1, 96 - 1) = "1", OFFSET($A$1, 132 - 1, 97 - 1) = "1" ), 1, IF( AND( OFFSET($A$1, 132 - 1, 96 - 1) = "1", OFFSET($A$1, 132 - 1, 97 - 1) = "0" ), 2, IF( AND( OFFSET($A$1, 132 - 1, 96 - 1) = "0", OFFSET($A$1, 132 - 1, 97 - 1) = "1" ), 3, 4 ) ) )</f>
        <v>1</v>
      </c>
      <c r="CV132" s="24">
        <v>0.99999993020083555</v>
      </c>
      <c r="CW132" s="24" t="str">
        <f>"1"</f>
        <v>1</v>
      </c>
      <c r="CX132" t="str">
        <f ca="1">IF((OFFSET($A$1, 132 - 1, 100 - 1)) &gt;= (OFFSET($A$1, 78 - 1, 7 - 1)), "1","0")</f>
        <v>1</v>
      </c>
      <c r="CY132">
        <f ca="1" xml:space="preserve"> IF( AND( OFFSET($A$1, 132 - 1, 101 - 1) = "1", OFFSET($A$1, 132 - 1, 102 - 1) = "1" ), 1, IF( AND( OFFSET($A$1, 132 - 1, 101 - 1) = "1", OFFSET($A$1, 132 - 1, 102 - 1) = "0" ), 2, IF( AND( OFFSET($A$1, 132 - 1, 101 - 1) = "0", OFFSET($A$1, 132 - 1, 102 - 1) = "1" ), 3, 4 ) ) )</f>
        <v>1</v>
      </c>
    </row>
    <row r="133" spans="95:103" ht="13.8" x14ac:dyDescent="0.3">
      <c r="CQ133" s="24">
        <v>6.3759343688084932E-2</v>
      </c>
      <c r="CR133" s="24" t="str">
        <f>"0"</f>
        <v>0</v>
      </c>
      <c r="CS133" t="str">
        <f ca="1">IF((OFFSET($A$1, 133 - 1, 95 - 1)) &gt;= (OFFSET($A$1, 54 - 1, 7 - 1)), "1","0")</f>
        <v>0</v>
      </c>
      <c r="CT133">
        <f ca="1" xml:space="preserve"> IF( AND( OFFSET($A$1, 133 - 1, 96 - 1) = "1", OFFSET($A$1, 133 - 1, 97 - 1) = "1" ), 1, IF( AND( OFFSET($A$1, 133 - 1, 96 - 1) = "1", OFFSET($A$1, 133 - 1, 97 - 1) = "0" ), 2, IF( AND( OFFSET($A$1, 133 - 1, 96 - 1) = "0", OFFSET($A$1, 133 - 1, 97 - 1) = "1" ), 3, 4 ) ) )</f>
        <v>4</v>
      </c>
      <c r="CV133" s="24">
        <v>0.99104475748240572</v>
      </c>
      <c r="CW133" s="24" t="str">
        <f>"1"</f>
        <v>1</v>
      </c>
      <c r="CX133" t="str">
        <f ca="1">IF((OFFSET($A$1, 133 - 1, 100 - 1)) &gt;= (OFFSET($A$1, 78 - 1, 7 - 1)), "1","0")</f>
        <v>1</v>
      </c>
      <c r="CY133">
        <f ca="1" xml:space="preserve"> IF( AND( OFFSET($A$1, 133 - 1, 101 - 1) = "1", OFFSET($A$1, 133 - 1, 102 - 1) = "1" ), 1, IF( AND( OFFSET($A$1, 133 - 1, 101 - 1) = "1", OFFSET($A$1, 133 - 1, 102 - 1) = "0" ), 2, IF( AND( OFFSET($A$1, 133 - 1, 101 - 1) = "0", OFFSET($A$1, 133 - 1, 102 - 1) = "1" ), 3, 4 ) ) )</f>
        <v>1</v>
      </c>
    </row>
    <row r="134" spans="95:103" ht="13.8" x14ac:dyDescent="0.3">
      <c r="CQ134" s="24">
        <v>0.99795661481566034</v>
      </c>
      <c r="CR134" s="24" t="str">
        <f t="shared" ref="CR134:CR139" si="9">"1"</f>
        <v>1</v>
      </c>
      <c r="CS134" t="str">
        <f ca="1">IF((OFFSET($A$1, 134 - 1, 95 - 1)) &gt;= (OFFSET($A$1, 54 - 1, 7 - 1)), "1","0")</f>
        <v>1</v>
      </c>
      <c r="CT134">
        <f ca="1" xml:space="preserve"> IF( AND( OFFSET($A$1, 134 - 1, 96 - 1) = "1", OFFSET($A$1, 134 - 1, 97 - 1) = "1" ), 1, IF( AND( OFFSET($A$1, 134 - 1, 96 - 1) = "1", OFFSET($A$1, 134 - 1, 97 - 1) = "0" ), 2, IF( AND( OFFSET($A$1, 134 - 1, 96 - 1) = "0", OFFSET($A$1, 134 - 1, 97 - 1) = "1" ), 3, 4 ) ) )</f>
        <v>1</v>
      </c>
      <c r="CV134" s="24">
        <v>0.98506976868358076</v>
      </c>
      <c r="CW134" s="24" t="str">
        <f>"0"</f>
        <v>0</v>
      </c>
      <c r="CX134" t="str">
        <f ca="1">IF((OFFSET($A$1, 134 - 1, 100 - 1)) &gt;= (OFFSET($A$1, 78 - 1, 7 - 1)), "1","0")</f>
        <v>1</v>
      </c>
      <c r="CY134">
        <f ca="1" xml:space="preserve"> IF( AND( OFFSET($A$1, 134 - 1, 101 - 1) = "1", OFFSET($A$1, 134 - 1, 102 - 1) = "1" ), 1, IF( AND( OFFSET($A$1, 134 - 1, 101 - 1) = "1", OFFSET($A$1, 134 - 1, 102 - 1) = "0" ), 2, IF( AND( OFFSET($A$1, 134 - 1, 101 - 1) = "0", OFFSET($A$1, 134 - 1, 102 - 1) = "1" ), 3, 4 ) ) )</f>
        <v>3</v>
      </c>
    </row>
    <row r="135" spans="95:103" ht="13.8" x14ac:dyDescent="0.3">
      <c r="CQ135" s="24">
        <v>0.84710617379832331</v>
      </c>
      <c r="CR135" s="24" t="str">
        <f t="shared" si="9"/>
        <v>1</v>
      </c>
      <c r="CS135" t="str">
        <f ca="1">IF((OFFSET($A$1, 135 - 1, 95 - 1)) &gt;= (OFFSET($A$1, 54 - 1, 7 - 1)), "1","0")</f>
        <v>1</v>
      </c>
      <c r="CT135">
        <f ca="1" xml:space="preserve"> IF( AND( OFFSET($A$1, 135 - 1, 96 - 1) = "1", OFFSET($A$1, 135 - 1, 97 - 1) = "1" ), 1, IF( AND( OFFSET($A$1, 135 - 1, 96 - 1) = "1", OFFSET($A$1, 135 - 1, 97 - 1) = "0" ), 2, IF( AND( OFFSET($A$1, 135 - 1, 96 - 1) = "0", OFFSET($A$1, 135 - 1, 97 - 1) = "1" ), 3, 4 ) ) )</f>
        <v>1</v>
      </c>
      <c r="CV135" s="24">
        <v>0.56300223566305574</v>
      </c>
      <c r="CW135" s="24" t="str">
        <f>"0"</f>
        <v>0</v>
      </c>
      <c r="CX135" t="str">
        <f ca="1">IF((OFFSET($A$1, 135 - 1, 100 - 1)) &gt;= (OFFSET($A$1, 78 - 1, 7 - 1)), "1","0")</f>
        <v>1</v>
      </c>
      <c r="CY135">
        <f ca="1" xml:space="preserve"> IF( AND( OFFSET($A$1, 135 - 1, 101 - 1) = "1", OFFSET($A$1, 135 - 1, 102 - 1) = "1" ), 1, IF( AND( OFFSET($A$1, 135 - 1, 101 - 1) = "1", OFFSET($A$1, 135 - 1, 102 - 1) = "0" ), 2, IF( AND( OFFSET($A$1, 135 - 1, 101 - 1) = "0", OFFSET($A$1, 135 - 1, 102 - 1) = "1" ), 3, 4 ) ) )</f>
        <v>3</v>
      </c>
    </row>
    <row r="136" spans="95:103" ht="13.8" x14ac:dyDescent="0.3">
      <c r="CQ136" s="24">
        <v>0.96960751635549924</v>
      </c>
      <c r="CR136" s="24" t="str">
        <f t="shared" si="9"/>
        <v>1</v>
      </c>
      <c r="CS136" t="str">
        <f ca="1">IF((OFFSET($A$1, 136 - 1, 95 - 1)) &gt;= (OFFSET($A$1, 54 - 1, 7 - 1)), "1","0")</f>
        <v>1</v>
      </c>
      <c r="CT136">
        <f ca="1" xml:space="preserve"> IF( AND( OFFSET($A$1, 136 - 1, 96 - 1) = "1", OFFSET($A$1, 136 - 1, 97 - 1) = "1" ), 1, IF( AND( OFFSET($A$1, 136 - 1, 96 - 1) = "1", OFFSET($A$1, 136 - 1, 97 - 1) = "0" ), 2, IF( AND( OFFSET($A$1, 136 - 1, 96 - 1) = "0", OFFSET($A$1, 136 - 1, 97 - 1) = "1" ), 3, 4 ) ) )</f>
        <v>1</v>
      </c>
      <c r="CV136" s="24">
        <v>2.0923613725895448E-3</v>
      </c>
      <c r="CW136" s="24" t="str">
        <f>"0"</f>
        <v>0</v>
      </c>
      <c r="CX136" t="str">
        <f ca="1">IF((OFFSET($A$1, 136 - 1, 100 - 1)) &gt;= (OFFSET($A$1, 78 - 1, 7 - 1)), "1","0")</f>
        <v>0</v>
      </c>
      <c r="CY136">
        <f ca="1" xml:space="preserve"> IF( AND( OFFSET($A$1, 136 - 1, 101 - 1) = "1", OFFSET($A$1, 136 - 1, 102 - 1) = "1" ), 1, IF( AND( OFFSET($A$1, 136 - 1, 101 - 1) = "1", OFFSET($A$1, 136 - 1, 102 - 1) = "0" ), 2, IF( AND( OFFSET($A$1, 136 - 1, 101 - 1) = "0", OFFSET($A$1, 136 - 1, 102 - 1) = "1" ), 3, 4 ) ) )</f>
        <v>4</v>
      </c>
    </row>
    <row r="137" spans="95:103" ht="13.8" x14ac:dyDescent="0.3">
      <c r="CQ137" s="24">
        <v>0.99742831249532893</v>
      </c>
      <c r="CR137" s="24" t="str">
        <f t="shared" si="9"/>
        <v>1</v>
      </c>
      <c r="CS137" t="str">
        <f ca="1">IF((OFFSET($A$1, 137 - 1, 95 - 1)) &gt;= (OFFSET($A$1, 54 - 1, 7 - 1)), "1","0")</f>
        <v>1</v>
      </c>
      <c r="CT137">
        <f ca="1" xml:space="preserve"> IF( AND( OFFSET($A$1, 137 - 1, 96 - 1) = "1", OFFSET($A$1, 137 - 1, 97 - 1) = "1" ), 1, IF( AND( OFFSET($A$1, 137 - 1, 96 - 1) = "1", OFFSET($A$1, 137 - 1, 97 - 1) = "0" ), 2, IF( AND( OFFSET($A$1, 137 - 1, 96 - 1) = "0", OFFSET($A$1, 137 - 1, 97 - 1) = "1" ), 3, 4 ) ) )</f>
        <v>1</v>
      </c>
      <c r="CV137" s="24">
        <v>0.9107305940596464</v>
      </c>
      <c r="CW137" s="24" t="str">
        <f>"1"</f>
        <v>1</v>
      </c>
      <c r="CX137" t="str">
        <f ca="1">IF((OFFSET($A$1, 137 - 1, 100 - 1)) &gt;= (OFFSET($A$1, 78 - 1, 7 - 1)), "1","0")</f>
        <v>1</v>
      </c>
      <c r="CY137">
        <f ca="1" xml:space="preserve"> IF( AND( OFFSET($A$1, 137 - 1, 101 - 1) = "1", OFFSET($A$1, 137 - 1, 102 - 1) = "1" ), 1, IF( AND( OFFSET($A$1, 137 - 1, 101 - 1) = "1", OFFSET($A$1, 137 - 1, 102 - 1) = "0" ), 2, IF( AND( OFFSET($A$1, 137 - 1, 101 - 1) = "0", OFFSET($A$1, 137 - 1, 102 - 1) = "1" ), 3, 4 ) ) )</f>
        <v>1</v>
      </c>
    </row>
    <row r="138" spans="95:103" ht="13.8" x14ac:dyDescent="0.3">
      <c r="CQ138" s="24">
        <v>0.94338914350557324</v>
      </c>
      <c r="CR138" s="24" t="str">
        <f t="shared" si="9"/>
        <v>1</v>
      </c>
      <c r="CS138" t="str">
        <f ca="1">IF((OFFSET($A$1, 138 - 1, 95 - 1)) &gt;= (OFFSET($A$1, 54 - 1, 7 - 1)), "1","0")</f>
        <v>1</v>
      </c>
      <c r="CT138">
        <f ca="1" xml:space="preserve"> IF( AND( OFFSET($A$1, 138 - 1, 96 - 1) = "1", OFFSET($A$1, 138 - 1, 97 - 1) = "1" ), 1, IF( AND( OFFSET($A$1, 138 - 1, 96 - 1) = "1", OFFSET($A$1, 138 - 1, 97 - 1) = "0" ), 2, IF( AND( OFFSET($A$1, 138 - 1, 96 - 1) = "0", OFFSET($A$1, 138 - 1, 97 - 1) = "1" ), 3, 4 ) ) )</f>
        <v>1</v>
      </c>
      <c r="CV138" s="24">
        <v>0.60567642684293344</v>
      </c>
      <c r="CW138" s="24" t="str">
        <f>"0"</f>
        <v>0</v>
      </c>
      <c r="CX138" t="str">
        <f ca="1">IF((OFFSET($A$1, 138 - 1, 100 - 1)) &gt;= (OFFSET($A$1, 78 - 1, 7 - 1)), "1","0")</f>
        <v>1</v>
      </c>
      <c r="CY138">
        <f ca="1" xml:space="preserve"> IF( AND( OFFSET($A$1, 138 - 1, 101 - 1) = "1", OFFSET($A$1, 138 - 1, 102 - 1) = "1" ), 1, IF( AND( OFFSET($A$1, 138 - 1, 101 - 1) = "1", OFFSET($A$1, 138 - 1, 102 - 1) = "0" ), 2, IF( AND( OFFSET($A$1, 138 - 1, 101 - 1) = "0", OFFSET($A$1, 138 - 1, 102 - 1) = "1" ), 3, 4 ) ) )</f>
        <v>3</v>
      </c>
    </row>
    <row r="139" spans="95:103" ht="13.8" x14ac:dyDescent="0.3">
      <c r="CQ139" s="24">
        <v>0.98287593836824305</v>
      </c>
      <c r="CR139" s="24" t="str">
        <f t="shared" si="9"/>
        <v>1</v>
      </c>
      <c r="CS139" t="str">
        <f ca="1">IF((OFFSET($A$1, 139 - 1, 95 - 1)) &gt;= (OFFSET($A$1, 54 - 1, 7 - 1)), "1","0")</f>
        <v>1</v>
      </c>
      <c r="CT139">
        <f ca="1" xml:space="preserve"> IF( AND( OFFSET($A$1, 139 - 1, 96 - 1) = "1", OFFSET($A$1, 139 - 1, 97 - 1) = "1" ), 1, IF( AND( OFFSET($A$1, 139 - 1, 96 - 1) = "1", OFFSET($A$1, 139 - 1, 97 - 1) = "0" ), 2, IF( AND( OFFSET($A$1, 139 - 1, 96 - 1) = "0", OFFSET($A$1, 139 - 1, 97 - 1) = "1" ), 3, 4 ) ) )</f>
        <v>1</v>
      </c>
      <c r="CV139" s="24">
        <v>6.1643415601853376E-3</v>
      </c>
      <c r="CW139" s="24" t="str">
        <f>"0"</f>
        <v>0</v>
      </c>
      <c r="CX139" t="str">
        <f ca="1">IF((OFFSET($A$1, 139 - 1, 100 - 1)) &gt;= (OFFSET($A$1, 78 - 1, 7 - 1)), "1","0")</f>
        <v>0</v>
      </c>
      <c r="CY139">
        <f ca="1" xml:space="preserve"> IF( AND( OFFSET($A$1, 139 - 1, 101 - 1) = "1", OFFSET($A$1, 139 - 1, 102 - 1) = "1" ), 1, IF( AND( OFFSET($A$1, 139 - 1, 101 - 1) = "1", OFFSET($A$1, 139 - 1, 102 - 1) = "0" ), 2, IF( AND( OFFSET($A$1, 139 - 1, 101 - 1) = "0", OFFSET($A$1, 139 - 1, 102 - 1) = "1" ), 3, 4 ) ) )</f>
        <v>4</v>
      </c>
    </row>
    <row r="140" spans="95:103" ht="13.8" x14ac:dyDescent="0.3">
      <c r="CQ140" s="24">
        <v>3.1402874401780752E-2</v>
      </c>
      <c r="CR140" s="24" t="str">
        <f>"0"</f>
        <v>0</v>
      </c>
      <c r="CS140" t="str">
        <f ca="1">IF((OFFSET($A$1, 140 - 1, 95 - 1)) &gt;= (OFFSET($A$1, 54 - 1, 7 - 1)), "1","0")</f>
        <v>0</v>
      </c>
      <c r="CT140">
        <f ca="1" xml:space="preserve"> IF( AND( OFFSET($A$1, 140 - 1, 96 - 1) = "1", OFFSET($A$1, 140 - 1, 97 - 1) = "1" ), 1, IF( AND( OFFSET($A$1, 140 - 1, 96 - 1) = "1", OFFSET($A$1, 140 - 1, 97 - 1) = "0" ), 2, IF( AND( OFFSET($A$1, 140 - 1, 96 - 1) = "0", OFFSET($A$1, 140 - 1, 97 - 1) = "1" ), 3, 4 ) ) )</f>
        <v>4</v>
      </c>
      <c r="CV140" s="24">
        <v>0.90989270181920023</v>
      </c>
      <c r="CW140" s="24" t="str">
        <f>"1"</f>
        <v>1</v>
      </c>
      <c r="CX140" t="str">
        <f ca="1">IF((OFFSET($A$1, 140 - 1, 100 - 1)) &gt;= (OFFSET($A$1, 78 - 1, 7 - 1)), "1","0")</f>
        <v>1</v>
      </c>
      <c r="CY140">
        <f ca="1" xml:space="preserve"> IF( AND( OFFSET($A$1, 140 - 1, 101 - 1) = "1", OFFSET($A$1, 140 - 1, 102 - 1) = "1" ), 1, IF( AND( OFFSET($A$1, 140 - 1, 101 - 1) = "1", OFFSET($A$1, 140 - 1, 102 - 1) = "0" ), 2, IF( AND( OFFSET($A$1, 140 - 1, 101 - 1) = "0", OFFSET($A$1, 140 - 1, 102 - 1) = "1" ), 3, 4 ) ) )</f>
        <v>1</v>
      </c>
    </row>
    <row r="141" spans="95:103" ht="13.8" x14ac:dyDescent="0.3">
      <c r="CQ141" s="24">
        <v>0.97616289699838177</v>
      </c>
      <c r="CR141" s="24" t="str">
        <f>"1"</f>
        <v>1</v>
      </c>
      <c r="CS141" t="str">
        <f ca="1">IF((OFFSET($A$1, 141 - 1, 95 - 1)) &gt;= (OFFSET($A$1, 54 - 1, 7 - 1)), "1","0")</f>
        <v>1</v>
      </c>
      <c r="CT141">
        <f ca="1" xml:space="preserve"> IF( AND( OFFSET($A$1, 141 - 1, 96 - 1) = "1", OFFSET($A$1, 141 - 1, 97 - 1) = "1" ), 1, IF( AND( OFFSET($A$1, 141 - 1, 96 - 1) = "1", OFFSET($A$1, 141 - 1, 97 - 1) = "0" ), 2, IF( AND( OFFSET($A$1, 141 - 1, 96 - 1) = "0", OFFSET($A$1, 141 - 1, 97 - 1) = "1" ), 3, 4 ) ) )</f>
        <v>1</v>
      </c>
      <c r="CV141" s="24">
        <v>0.79746308316155012</v>
      </c>
      <c r="CW141" s="24" t="str">
        <f>"0"</f>
        <v>0</v>
      </c>
      <c r="CX141" t="str">
        <f ca="1">IF((OFFSET($A$1, 141 - 1, 100 - 1)) &gt;= (OFFSET($A$1, 78 - 1, 7 - 1)), "1","0")</f>
        <v>1</v>
      </c>
      <c r="CY141">
        <f ca="1" xml:space="preserve"> IF( AND( OFFSET($A$1, 141 - 1, 101 - 1) = "1", OFFSET($A$1, 141 - 1, 102 - 1) = "1" ), 1, IF( AND( OFFSET($A$1, 141 - 1, 101 - 1) = "1", OFFSET($A$1, 141 - 1, 102 - 1) = "0" ), 2, IF( AND( OFFSET($A$1, 141 - 1, 101 - 1) = "0", OFFSET($A$1, 141 - 1, 102 - 1) = "1" ), 3, 4 ) ) )</f>
        <v>3</v>
      </c>
    </row>
    <row r="142" spans="95:103" ht="13.8" x14ac:dyDescent="0.3">
      <c r="CQ142" s="24">
        <v>8.38412862547952E-2</v>
      </c>
      <c r="CR142" s="24" t="str">
        <f>"0"</f>
        <v>0</v>
      </c>
      <c r="CS142" t="str">
        <f ca="1">IF((OFFSET($A$1, 142 - 1, 95 - 1)) &gt;= (OFFSET($A$1, 54 - 1, 7 - 1)), "1","0")</f>
        <v>0</v>
      </c>
      <c r="CT142">
        <f ca="1" xml:space="preserve"> IF( AND( OFFSET($A$1, 142 - 1, 96 - 1) = "1", OFFSET($A$1, 142 - 1, 97 - 1) = "1" ), 1, IF( AND( OFFSET($A$1, 142 - 1, 96 - 1) = "1", OFFSET($A$1, 142 - 1, 97 - 1) = "0" ), 2, IF( AND( OFFSET($A$1, 142 - 1, 96 - 1) = "0", OFFSET($A$1, 142 - 1, 97 - 1) = "1" ), 3, 4 ) ) )</f>
        <v>4</v>
      </c>
      <c r="CV142" s="24">
        <v>0.99999998571288962</v>
      </c>
      <c r="CW142" s="24" t="str">
        <f t="shared" ref="CW142:CW150" si="10">"1"</f>
        <v>1</v>
      </c>
      <c r="CX142" t="str">
        <f ca="1">IF((OFFSET($A$1, 142 - 1, 100 - 1)) &gt;= (OFFSET($A$1, 78 - 1, 7 - 1)), "1","0")</f>
        <v>1</v>
      </c>
      <c r="CY142">
        <f ca="1" xml:space="preserve"> IF( AND( OFFSET($A$1, 142 - 1, 101 - 1) = "1", OFFSET($A$1, 142 - 1, 102 - 1) = "1" ), 1, IF( AND( OFFSET($A$1, 142 - 1, 101 - 1) = "1", OFFSET($A$1, 142 - 1, 102 - 1) = "0" ), 2, IF( AND( OFFSET($A$1, 142 - 1, 101 - 1) = "0", OFFSET($A$1, 142 - 1, 102 - 1) = "1" ), 3, 4 ) ) )</f>
        <v>1</v>
      </c>
    </row>
    <row r="143" spans="95:103" ht="13.8" x14ac:dyDescent="0.3">
      <c r="CQ143" s="24">
        <v>0.99470555074495315</v>
      </c>
      <c r="CR143" s="24" t="str">
        <f>"1"</f>
        <v>1</v>
      </c>
      <c r="CS143" t="str">
        <f ca="1">IF((OFFSET($A$1, 143 - 1, 95 - 1)) &gt;= (OFFSET($A$1, 54 - 1, 7 - 1)), "1","0")</f>
        <v>1</v>
      </c>
      <c r="CT143">
        <f ca="1" xml:space="preserve"> IF( AND( OFFSET($A$1, 143 - 1, 96 - 1) = "1", OFFSET($A$1, 143 - 1, 97 - 1) = "1" ), 1, IF( AND( OFFSET($A$1, 143 - 1, 96 - 1) = "1", OFFSET($A$1, 143 - 1, 97 - 1) = "0" ), 2, IF( AND( OFFSET($A$1, 143 - 1, 96 - 1) = "0", OFFSET($A$1, 143 - 1, 97 - 1) = "1" ), 3, 4 ) ) )</f>
        <v>1</v>
      </c>
      <c r="CV143" s="24">
        <v>0.97769143471130504</v>
      </c>
      <c r="CW143" s="24" t="str">
        <f t="shared" si="10"/>
        <v>1</v>
      </c>
      <c r="CX143" t="str">
        <f ca="1">IF((OFFSET($A$1, 143 - 1, 100 - 1)) &gt;= (OFFSET($A$1, 78 - 1, 7 - 1)), "1","0")</f>
        <v>1</v>
      </c>
      <c r="CY143">
        <f ca="1" xml:space="preserve"> IF( AND( OFFSET($A$1, 143 - 1, 101 - 1) = "1", OFFSET($A$1, 143 - 1, 102 - 1) = "1" ), 1, IF( AND( OFFSET($A$1, 143 - 1, 101 - 1) = "1", OFFSET($A$1, 143 - 1, 102 - 1) = "0" ), 2, IF( AND( OFFSET($A$1, 143 - 1, 101 - 1) = "0", OFFSET($A$1, 143 - 1, 102 - 1) = "1" ), 3, 4 ) ) )</f>
        <v>1</v>
      </c>
    </row>
    <row r="144" spans="95:103" ht="13.8" x14ac:dyDescent="0.3">
      <c r="CQ144" s="24">
        <v>0.99934613156752394</v>
      </c>
      <c r="CR144" s="24" t="str">
        <f>"1"</f>
        <v>1</v>
      </c>
      <c r="CS144" t="str">
        <f ca="1">IF((OFFSET($A$1, 144 - 1, 95 - 1)) &gt;= (OFFSET($A$1, 54 - 1, 7 - 1)), "1","0")</f>
        <v>1</v>
      </c>
      <c r="CT144">
        <f ca="1" xml:space="preserve"> IF( AND( OFFSET($A$1, 144 - 1, 96 - 1) = "1", OFFSET($A$1, 144 - 1, 97 - 1) = "1" ), 1, IF( AND( OFFSET($A$1, 144 - 1, 96 - 1) = "1", OFFSET($A$1, 144 - 1, 97 - 1) = "0" ), 2, IF( AND( OFFSET($A$1, 144 - 1, 96 - 1) = "0", OFFSET($A$1, 144 - 1, 97 - 1) = "1" ), 3, 4 ) ) )</f>
        <v>1</v>
      </c>
      <c r="CV144" s="24">
        <v>0.19299827198254202</v>
      </c>
      <c r="CW144" s="24" t="str">
        <f t="shared" si="10"/>
        <v>1</v>
      </c>
      <c r="CX144" t="str">
        <f ca="1">IF((OFFSET($A$1, 144 - 1, 100 - 1)) &gt;= (OFFSET($A$1, 78 - 1, 7 - 1)), "1","0")</f>
        <v>0</v>
      </c>
      <c r="CY144">
        <f ca="1" xml:space="preserve"> IF( AND( OFFSET($A$1, 144 - 1, 101 - 1) = "1", OFFSET($A$1, 144 - 1, 102 - 1) = "1" ), 1, IF( AND( OFFSET($A$1, 144 - 1, 101 - 1) = "1", OFFSET($A$1, 144 - 1, 102 - 1) = "0" ), 2, IF( AND( OFFSET($A$1, 144 - 1, 101 - 1) = "0", OFFSET($A$1, 144 - 1, 102 - 1) = "1" ), 3, 4 ) ) )</f>
        <v>2</v>
      </c>
    </row>
    <row r="145" spans="95:103" ht="13.8" x14ac:dyDescent="0.3">
      <c r="CQ145" s="24">
        <v>3.7419231600802093E-2</v>
      </c>
      <c r="CR145" s="24" t="str">
        <f>"0"</f>
        <v>0</v>
      </c>
      <c r="CS145" t="str">
        <f ca="1">IF((OFFSET($A$1, 145 - 1, 95 - 1)) &gt;= (OFFSET($A$1, 54 - 1, 7 - 1)), "1","0")</f>
        <v>0</v>
      </c>
      <c r="CT145">
        <f ca="1" xml:space="preserve"> IF( AND( OFFSET($A$1, 145 - 1, 96 - 1) = "1", OFFSET($A$1, 145 - 1, 97 - 1) = "1" ), 1, IF( AND( OFFSET($A$1, 145 - 1, 96 - 1) = "1", OFFSET($A$1, 145 - 1, 97 - 1) = "0" ), 2, IF( AND( OFFSET($A$1, 145 - 1, 96 - 1) = "0", OFFSET($A$1, 145 - 1, 97 - 1) = "1" ), 3, 4 ) ) )</f>
        <v>4</v>
      </c>
      <c r="CV145" s="24">
        <v>0.99994117404157934</v>
      </c>
      <c r="CW145" s="24" t="str">
        <f t="shared" si="10"/>
        <v>1</v>
      </c>
      <c r="CX145" t="str">
        <f ca="1">IF((OFFSET($A$1, 145 - 1, 100 - 1)) &gt;= (OFFSET($A$1, 78 - 1, 7 - 1)), "1","0")</f>
        <v>1</v>
      </c>
      <c r="CY145">
        <f ca="1" xml:space="preserve"> IF( AND( OFFSET($A$1, 145 - 1, 101 - 1) = "1", OFFSET($A$1, 145 - 1, 102 - 1) = "1" ), 1, IF( AND( OFFSET($A$1, 145 - 1, 101 - 1) = "1", OFFSET($A$1, 145 - 1, 102 - 1) = "0" ), 2, IF( AND( OFFSET($A$1, 145 - 1, 101 - 1) = "0", OFFSET($A$1, 145 - 1, 102 - 1) = "1" ), 3, 4 ) ) )</f>
        <v>1</v>
      </c>
    </row>
    <row r="146" spans="95:103" ht="13.8" x14ac:dyDescent="0.3">
      <c r="CQ146" s="24">
        <v>0.97459467519545984</v>
      </c>
      <c r="CR146" s="24" t="str">
        <f t="shared" ref="CR146:CR151" si="11">"1"</f>
        <v>1</v>
      </c>
      <c r="CS146" t="str">
        <f ca="1">IF((OFFSET($A$1, 146 - 1, 95 - 1)) &gt;= (OFFSET($A$1, 54 - 1, 7 - 1)), "1","0")</f>
        <v>1</v>
      </c>
      <c r="CT146">
        <f ca="1" xml:space="preserve"> IF( AND( OFFSET($A$1, 146 - 1, 96 - 1) = "1", OFFSET($A$1, 146 - 1, 97 - 1) = "1" ), 1, IF( AND( OFFSET($A$1, 146 - 1, 96 - 1) = "1", OFFSET($A$1, 146 - 1, 97 - 1) = "0" ), 2, IF( AND( OFFSET($A$1, 146 - 1, 96 - 1) = "0", OFFSET($A$1, 146 - 1, 97 - 1) = "1" ), 3, 4 ) ) )</f>
        <v>1</v>
      </c>
      <c r="CV146" s="24">
        <v>0.69201856380911475</v>
      </c>
      <c r="CW146" s="24" t="str">
        <f t="shared" si="10"/>
        <v>1</v>
      </c>
      <c r="CX146" t="str">
        <f ca="1">IF((OFFSET($A$1, 146 - 1, 100 - 1)) &gt;= (OFFSET($A$1, 78 - 1, 7 - 1)), "1","0")</f>
        <v>1</v>
      </c>
      <c r="CY146">
        <f ca="1" xml:space="preserve"> IF( AND( OFFSET($A$1, 146 - 1, 101 - 1) = "1", OFFSET($A$1, 146 - 1, 102 - 1) = "1" ), 1, IF( AND( OFFSET($A$1, 146 - 1, 101 - 1) = "1", OFFSET($A$1, 146 - 1, 102 - 1) = "0" ), 2, IF( AND( OFFSET($A$1, 146 - 1, 101 - 1) = "0", OFFSET($A$1, 146 - 1, 102 - 1) = "1" ), 3, 4 ) ) )</f>
        <v>1</v>
      </c>
    </row>
    <row r="147" spans="95:103" ht="13.8" x14ac:dyDescent="0.3">
      <c r="CQ147" s="24">
        <v>0.99969436077802742</v>
      </c>
      <c r="CR147" s="24" t="str">
        <f t="shared" si="11"/>
        <v>1</v>
      </c>
      <c r="CS147" t="str">
        <f ca="1">IF((OFFSET($A$1, 147 - 1, 95 - 1)) &gt;= (OFFSET($A$1, 54 - 1, 7 - 1)), "1","0")</f>
        <v>1</v>
      </c>
      <c r="CT147">
        <f ca="1" xml:space="preserve"> IF( AND( OFFSET($A$1, 147 - 1, 96 - 1) = "1", OFFSET($A$1, 147 - 1, 97 - 1) = "1" ), 1, IF( AND( OFFSET($A$1, 147 - 1, 96 - 1) = "1", OFFSET($A$1, 147 - 1, 97 - 1) = "0" ), 2, IF( AND( OFFSET($A$1, 147 - 1, 96 - 1) = "0", OFFSET($A$1, 147 - 1, 97 - 1) = "1" ), 3, 4 ) ) )</f>
        <v>1</v>
      </c>
      <c r="CV147" s="24">
        <v>0.93579402026055269</v>
      </c>
      <c r="CW147" s="24" t="str">
        <f t="shared" si="10"/>
        <v>1</v>
      </c>
      <c r="CX147" t="str">
        <f ca="1">IF((OFFSET($A$1, 147 - 1, 100 - 1)) &gt;= (OFFSET($A$1, 78 - 1, 7 - 1)), "1","0")</f>
        <v>1</v>
      </c>
      <c r="CY147">
        <f ca="1" xml:space="preserve"> IF( AND( OFFSET($A$1, 147 - 1, 101 - 1) = "1", OFFSET($A$1, 147 - 1, 102 - 1) = "1" ), 1, IF( AND( OFFSET($A$1, 147 - 1, 101 - 1) = "1", OFFSET($A$1, 147 - 1, 102 - 1) = "0" ), 2, IF( AND( OFFSET($A$1, 147 - 1, 101 - 1) = "0", OFFSET($A$1, 147 - 1, 102 - 1) = "1" ), 3, 4 ) ) )</f>
        <v>1</v>
      </c>
    </row>
    <row r="148" spans="95:103" ht="13.8" x14ac:dyDescent="0.3">
      <c r="CQ148" s="24">
        <v>0.97875010052455658</v>
      </c>
      <c r="CR148" s="24" t="str">
        <f t="shared" si="11"/>
        <v>1</v>
      </c>
      <c r="CS148" t="str">
        <f ca="1">IF((OFFSET($A$1, 148 - 1, 95 - 1)) &gt;= (OFFSET($A$1, 54 - 1, 7 - 1)), "1","0")</f>
        <v>1</v>
      </c>
      <c r="CT148">
        <f ca="1" xml:space="preserve"> IF( AND( OFFSET($A$1, 148 - 1, 96 - 1) = "1", OFFSET($A$1, 148 - 1, 97 - 1) = "1" ), 1, IF( AND( OFFSET($A$1, 148 - 1, 96 - 1) = "1", OFFSET($A$1, 148 - 1, 97 - 1) = "0" ), 2, IF( AND( OFFSET($A$1, 148 - 1, 96 - 1) = "0", OFFSET($A$1, 148 - 1, 97 - 1) = "1" ), 3, 4 ) ) )</f>
        <v>1</v>
      </c>
      <c r="CV148" s="24">
        <v>0.9998925291839913</v>
      </c>
      <c r="CW148" s="24" t="str">
        <f t="shared" si="10"/>
        <v>1</v>
      </c>
      <c r="CX148" t="str">
        <f ca="1">IF((OFFSET($A$1, 148 - 1, 100 - 1)) &gt;= (OFFSET($A$1, 78 - 1, 7 - 1)), "1","0")</f>
        <v>1</v>
      </c>
      <c r="CY148">
        <f ca="1" xml:space="preserve"> IF( AND( OFFSET($A$1, 148 - 1, 101 - 1) = "1", OFFSET($A$1, 148 - 1, 102 - 1) = "1" ), 1, IF( AND( OFFSET($A$1, 148 - 1, 101 - 1) = "1", OFFSET($A$1, 148 - 1, 102 - 1) = "0" ), 2, IF( AND( OFFSET($A$1, 148 - 1, 101 - 1) = "0", OFFSET($A$1, 148 - 1, 102 - 1) = "1" ), 3, 4 ) ) )</f>
        <v>1</v>
      </c>
    </row>
    <row r="149" spans="95:103" ht="13.8" x14ac:dyDescent="0.3">
      <c r="CQ149" s="24">
        <v>0.99945861170668659</v>
      </c>
      <c r="CR149" s="24" t="str">
        <f t="shared" si="11"/>
        <v>1</v>
      </c>
      <c r="CS149" t="str">
        <f ca="1">IF((OFFSET($A$1, 149 - 1, 95 - 1)) &gt;= (OFFSET($A$1, 54 - 1, 7 - 1)), "1","0")</f>
        <v>1</v>
      </c>
      <c r="CT149">
        <f ca="1" xml:space="preserve"> IF( AND( OFFSET($A$1, 149 - 1, 96 - 1) = "1", OFFSET($A$1, 149 - 1, 97 - 1) = "1" ), 1, IF( AND( OFFSET($A$1, 149 - 1, 96 - 1) = "1", OFFSET($A$1, 149 - 1, 97 - 1) = "0" ), 2, IF( AND( OFFSET($A$1, 149 - 1, 96 - 1) = "0", OFFSET($A$1, 149 - 1, 97 - 1) = "1" ), 3, 4 ) ) )</f>
        <v>1</v>
      </c>
      <c r="CV149" s="24">
        <v>0.45089434077929663</v>
      </c>
      <c r="CW149" s="24" t="str">
        <f t="shared" si="10"/>
        <v>1</v>
      </c>
      <c r="CX149" t="str">
        <f ca="1">IF((OFFSET($A$1, 149 - 1, 100 - 1)) &gt;= (OFFSET($A$1, 78 - 1, 7 - 1)), "1","0")</f>
        <v>0</v>
      </c>
      <c r="CY149">
        <f ca="1" xml:space="preserve"> IF( AND( OFFSET($A$1, 149 - 1, 101 - 1) = "1", OFFSET($A$1, 149 - 1, 102 - 1) = "1" ), 1, IF( AND( OFFSET($A$1, 149 - 1, 101 - 1) = "1", OFFSET($A$1, 149 - 1, 102 - 1) = "0" ), 2, IF( AND( OFFSET($A$1, 149 - 1, 101 - 1) = "0", OFFSET($A$1, 149 - 1, 102 - 1) = "1" ), 3, 4 ) ) )</f>
        <v>2</v>
      </c>
    </row>
    <row r="150" spans="95:103" ht="13.8" x14ac:dyDescent="0.3">
      <c r="CQ150" s="24">
        <v>0.96372133462406484</v>
      </c>
      <c r="CR150" s="24" t="str">
        <f t="shared" si="11"/>
        <v>1</v>
      </c>
      <c r="CS150" t="str">
        <f ca="1">IF((OFFSET($A$1, 150 - 1, 95 - 1)) &gt;= (OFFSET($A$1, 54 - 1, 7 - 1)), "1","0")</f>
        <v>1</v>
      </c>
      <c r="CT150">
        <f ca="1" xml:space="preserve"> IF( AND( OFFSET($A$1, 150 - 1, 96 - 1) = "1", OFFSET($A$1, 150 - 1, 97 - 1) = "1" ), 1, IF( AND( OFFSET($A$1, 150 - 1, 96 - 1) = "1", OFFSET($A$1, 150 - 1, 97 - 1) = "0" ), 2, IF( AND( OFFSET($A$1, 150 - 1, 96 - 1) = "0", OFFSET($A$1, 150 - 1, 97 - 1) = "1" ), 3, 4 ) ) )</f>
        <v>1</v>
      </c>
      <c r="CV150" s="24">
        <v>0.99818637690671197</v>
      </c>
      <c r="CW150" s="24" t="str">
        <f t="shared" si="10"/>
        <v>1</v>
      </c>
      <c r="CX150" t="str">
        <f ca="1">IF((OFFSET($A$1, 150 - 1, 100 - 1)) &gt;= (OFFSET($A$1, 78 - 1, 7 - 1)), "1","0")</f>
        <v>1</v>
      </c>
      <c r="CY150">
        <f ca="1" xml:space="preserve"> IF( AND( OFFSET($A$1, 150 - 1, 101 - 1) = "1", OFFSET($A$1, 150 - 1, 102 - 1) = "1" ), 1, IF( AND( OFFSET($A$1, 150 - 1, 101 - 1) = "1", OFFSET($A$1, 150 - 1, 102 - 1) = "0" ), 2, IF( AND( OFFSET($A$1, 150 - 1, 101 - 1) = "0", OFFSET($A$1, 150 - 1, 102 - 1) = "1" ), 3, 4 ) ) )</f>
        <v>1</v>
      </c>
    </row>
    <row r="151" spans="95:103" ht="13.8" x14ac:dyDescent="0.3">
      <c r="CQ151" s="24">
        <v>0.93866633676929845</v>
      </c>
      <c r="CR151" s="24" t="str">
        <f t="shared" si="11"/>
        <v>1</v>
      </c>
      <c r="CS151" t="str">
        <f ca="1">IF((OFFSET($A$1, 151 - 1, 95 - 1)) &gt;= (OFFSET($A$1, 54 - 1, 7 - 1)), "1","0")</f>
        <v>1</v>
      </c>
      <c r="CT151">
        <f ca="1" xml:space="preserve"> IF( AND( OFFSET($A$1, 151 - 1, 96 - 1) = "1", OFFSET($A$1, 151 - 1, 97 - 1) = "1" ), 1, IF( AND( OFFSET($A$1, 151 - 1, 96 - 1) = "1", OFFSET($A$1, 151 - 1, 97 - 1) = "0" ), 2, IF( AND( OFFSET($A$1, 151 - 1, 96 - 1) = "0", OFFSET($A$1, 151 - 1, 97 - 1) = "1" ), 3, 4 ) ) )</f>
        <v>1</v>
      </c>
      <c r="CV151" s="24">
        <v>0.87212074352595215</v>
      </c>
      <c r="CW151" s="24" t="str">
        <f>"0"</f>
        <v>0</v>
      </c>
      <c r="CX151" t="str">
        <f ca="1">IF((OFFSET($A$1, 151 - 1, 100 - 1)) &gt;= (OFFSET($A$1, 78 - 1, 7 - 1)), "1","0")</f>
        <v>1</v>
      </c>
      <c r="CY151">
        <f ca="1" xml:space="preserve"> IF( AND( OFFSET($A$1, 151 - 1, 101 - 1) = "1", OFFSET($A$1, 151 - 1, 102 - 1) = "1" ), 1, IF( AND( OFFSET($A$1, 151 - 1, 101 - 1) = "1", OFFSET($A$1, 151 - 1, 102 - 1) = "0" ), 2, IF( AND( OFFSET($A$1, 151 - 1, 101 - 1) = "0", OFFSET($A$1, 151 - 1, 102 - 1) = "1" ), 3, 4 ) ) )</f>
        <v>3</v>
      </c>
    </row>
    <row r="152" spans="95:103" ht="13.8" x14ac:dyDescent="0.3">
      <c r="CQ152" s="24">
        <v>1.0368917959488865E-2</v>
      </c>
      <c r="CR152" s="24" t="str">
        <f>"0"</f>
        <v>0</v>
      </c>
      <c r="CS152" t="str">
        <f ca="1">IF((OFFSET($A$1, 152 - 1, 95 - 1)) &gt;= (OFFSET($A$1, 54 - 1, 7 - 1)), "1","0")</f>
        <v>0</v>
      </c>
      <c r="CT152">
        <f ca="1" xml:space="preserve"> IF( AND( OFFSET($A$1, 152 - 1, 96 - 1) = "1", OFFSET($A$1, 152 - 1, 97 - 1) = "1" ), 1, IF( AND( OFFSET($A$1, 152 - 1, 96 - 1) = "1", OFFSET($A$1, 152 - 1, 97 - 1) = "0" ), 2, IF( AND( OFFSET($A$1, 152 - 1, 96 - 1) = "0", OFFSET($A$1, 152 - 1, 97 - 1) = "1" ), 3, 4 ) ) )</f>
        <v>4</v>
      </c>
      <c r="CV152" s="24">
        <v>0.9486956509361758</v>
      </c>
      <c r="CW152" s="24" t="str">
        <f>"0"</f>
        <v>0</v>
      </c>
      <c r="CX152" t="str">
        <f ca="1">IF((OFFSET($A$1, 152 - 1, 100 - 1)) &gt;= (OFFSET($A$1, 78 - 1, 7 - 1)), "1","0")</f>
        <v>1</v>
      </c>
      <c r="CY152">
        <f ca="1" xml:space="preserve"> IF( AND( OFFSET($A$1, 152 - 1, 101 - 1) = "1", OFFSET($A$1, 152 - 1, 102 - 1) = "1" ), 1, IF( AND( OFFSET($A$1, 152 - 1, 101 - 1) = "1", OFFSET($A$1, 152 - 1, 102 - 1) = "0" ), 2, IF( AND( OFFSET($A$1, 152 - 1, 101 - 1) = "0", OFFSET($A$1, 152 - 1, 102 - 1) = "1" ), 3, 4 ) ) )</f>
        <v>3</v>
      </c>
    </row>
    <row r="153" spans="95:103" ht="13.8" x14ac:dyDescent="0.3">
      <c r="CQ153" s="24">
        <v>0.99691907641537292</v>
      </c>
      <c r="CR153" s="24" t="str">
        <f>"1"</f>
        <v>1</v>
      </c>
      <c r="CS153" t="str">
        <f ca="1">IF((OFFSET($A$1, 153 - 1, 95 - 1)) &gt;= (OFFSET($A$1, 54 - 1, 7 - 1)), "1","0")</f>
        <v>1</v>
      </c>
      <c r="CT153">
        <f ca="1" xml:space="preserve"> IF( AND( OFFSET($A$1, 153 - 1, 96 - 1) = "1", OFFSET($A$1, 153 - 1, 97 - 1) = "1" ), 1, IF( AND( OFFSET($A$1, 153 - 1, 96 - 1) = "1", OFFSET($A$1, 153 - 1, 97 - 1) = "0" ), 2, IF( AND( OFFSET($A$1, 153 - 1, 96 - 1) = "0", OFFSET($A$1, 153 - 1, 97 - 1) = "1" ), 3, 4 ) ) )</f>
        <v>1</v>
      </c>
      <c r="CV153" s="24">
        <v>0.98877865039799817</v>
      </c>
      <c r="CW153" s="24" t="str">
        <f>"1"</f>
        <v>1</v>
      </c>
      <c r="CX153" t="str">
        <f ca="1">IF((OFFSET($A$1, 153 - 1, 100 - 1)) &gt;= (OFFSET($A$1, 78 - 1, 7 - 1)), "1","0")</f>
        <v>1</v>
      </c>
      <c r="CY153">
        <f ca="1" xml:space="preserve"> IF( AND( OFFSET($A$1, 153 - 1, 101 - 1) = "1", OFFSET($A$1, 153 - 1, 102 - 1) = "1" ), 1, IF( AND( OFFSET($A$1, 153 - 1, 101 - 1) = "1", OFFSET($A$1, 153 - 1, 102 - 1) = "0" ), 2, IF( AND( OFFSET($A$1, 153 - 1, 101 - 1) = "0", OFFSET($A$1, 153 - 1, 102 - 1) = "1" ), 3, 4 ) ) )</f>
        <v>1</v>
      </c>
    </row>
    <row r="154" spans="95:103" ht="13.8" x14ac:dyDescent="0.3">
      <c r="CQ154" s="24">
        <v>0.99676307691109112</v>
      </c>
      <c r="CR154" s="24" t="str">
        <f>"1"</f>
        <v>1</v>
      </c>
      <c r="CS154" t="str">
        <f ca="1">IF((OFFSET($A$1, 154 - 1, 95 - 1)) &gt;= (OFFSET($A$1, 54 - 1, 7 - 1)), "1","0")</f>
        <v>1</v>
      </c>
      <c r="CT154">
        <f ca="1" xml:space="preserve"> IF( AND( OFFSET($A$1, 154 - 1, 96 - 1) = "1", OFFSET($A$1, 154 - 1, 97 - 1) = "1" ), 1, IF( AND( OFFSET($A$1, 154 - 1, 96 - 1) = "1", OFFSET($A$1, 154 - 1, 97 - 1) = "0" ), 2, IF( AND( OFFSET($A$1, 154 - 1, 96 - 1) = "0", OFFSET($A$1, 154 - 1, 97 - 1) = "1" ), 3, 4 ) ) )</f>
        <v>1</v>
      </c>
      <c r="CV154" s="24">
        <v>0.99031141170299075</v>
      </c>
      <c r="CW154" s="24" t="str">
        <f>"1"</f>
        <v>1</v>
      </c>
      <c r="CX154" t="str">
        <f ca="1">IF((OFFSET($A$1, 154 - 1, 100 - 1)) &gt;= (OFFSET($A$1, 78 - 1, 7 - 1)), "1","0")</f>
        <v>1</v>
      </c>
      <c r="CY154">
        <f ca="1" xml:space="preserve"> IF( AND( OFFSET($A$1, 154 - 1, 101 - 1) = "1", OFFSET($A$1, 154 - 1, 102 - 1) = "1" ), 1, IF( AND( OFFSET($A$1, 154 - 1, 101 - 1) = "1", OFFSET($A$1, 154 - 1, 102 - 1) = "0" ), 2, IF( AND( OFFSET($A$1, 154 - 1, 101 - 1) = "0", OFFSET($A$1, 154 - 1, 102 - 1) = "1" ), 3, 4 ) ) )</f>
        <v>1</v>
      </c>
    </row>
    <row r="155" spans="95:103" ht="13.8" x14ac:dyDescent="0.3">
      <c r="CQ155" s="24">
        <v>0.99999965676218849</v>
      </c>
      <c r="CR155" s="24" t="str">
        <f>"1"</f>
        <v>1</v>
      </c>
      <c r="CS155" t="str">
        <f ca="1">IF((OFFSET($A$1, 155 - 1, 95 - 1)) &gt;= (OFFSET($A$1, 54 - 1, 7 - 1)), "1","0")</f>
        <v>1</v>
      </c>
      <c r="CT155">
        <f ca="1" xml:space="preserve"> IF( AND( OFFSET($A$1, 155 - 1, 96 - 1) = "1", OFFSET($A$1, 155 - 1, 97 - 1) = "1" ), 1, IF( AND( OFFSET($A$1, 155 - 1, 96 - 1) = "1", OFFSET($A$1, 155 - 1, 97 - 1) = "0" ), 2, IF( AND( OFFSET($A$1, 155 - 1, 96 - 1) = "0", OFFSET($A$1, 155 - 1, 97 - 1) = "1" ), 3, 4 ) ) )</f>
        <v>1</v>
      </c>
      <c r="CV155" s="24">
        <v>0.73061917159790446</v>
      </c>
      <c r="CW155" s="24" t="str">
        <f>"1"</f>
        <v>1</v>
      </c>
      <c r="CX155" t="str">
        <f ca="1">IF((OFFSET($A$1, 155 - 1, 100 - 1)) &gt;= (OFFSET($A$1, 78 - 1, 7 - 1)), "1","0")</f>
        <v>1</v>
      </c>
      <c r="CY155">
        <f ca="1" xml:space="preserve"> IF( AND( OFFSET($A$1, 155 - 1, 101 - 1) = "1", OFFSET($A$1, 155 - 1, 102 - 1) = "1" ), 1, IF( AND( OFFSET($A$1, 155 - 1, 101 - 1) = "1", OFFSET($A$1, 155 - 1, 102 - 1) = "0" ), 2, IF( AND( OFFSET($A$1, 155 - 1, 101 - 1) = "0", OFFSET($A$1, 155 - 1, 102 - 1) = "1" ), 3, 4 ) ) )</f>
        <v>1</v>
      </c>
    </row>
    <row r="156" spans="95:103" ht="13.8" x14ac:dyDescent="0.3">
      <c r="CQ156" s="24">
        <v>0.99987900704476662</v>
      </c>
      <c r="CR156" s="24" t="str">
        <f>"1"</f>
        <v>1</v>
      </c>
      <c r="CS156" t="str">
        <f ca="1">IF((OFFSET($A$1, 156 - 1, 95 - 1)) &gt;= (OFFSET($A$1, 54 - 1, 7 - 1)), "1","0")</f>
        <v>1</v>
      </c>
      <c r="CT156">
        <f ca="1" xml:space="preserve"> IF( AND( OFFSET($A$1, 156 - 1, 96 - 1) = "1", OFFSET($A$1, 156 - 1, 97 - 1) = "1" ), 1, IF( AND( OFFSET($A$1, 156 - 1, 96 - 1) = "1", OFFSET($A$1, 156 - 1, 97 - 1) = "0" ), 2, IF( AND( OFFSET($A$1, 156 - 1, 96 - 1) = "0", OFFSET($A$1, 156 - 1, 97 - 1) = "1" ), 3, 4 ) ) )</f>
        <v>1</v>
      </c>
      <c r="CV156" s="24">
        <v>0.97662378159913776</v>
      </c>
      <c r="CW156" s="24" t="str">
        <f>"1"</f>
        <v>1</v>
      </c>
      <c r="CX156" t="str">
        <f ca="1">IF((OFFSET($A$1, 156 - 1, 100 - 1)) &gt;= (OFFSET($A$1, 78 - 1, 7 - 1)), "1","0")</f>
        <v>1</v>
      </c>
      <c r="CY156">
        <f ca="1" xml:space="preserve"> IF( AND( OFFSET($A$1, 156 - 1, 101 - 1) = "1", OFFSET($A$1, 156 - 1, 102 - 1) = "1" ), 1, IF( AND( OFFSET($A$1, 156 - 1, 101 - 1) = "1", OFFSET($A$1, 156 - 1, 102 - 1) = "0" ), 2, IF( AND( OFFSET($A$1, 156 - 1, 101 - 1) = "0", OFFSET($A$1, 156 - 1, 102 - 1) = "1" ), 3, 4 ) ) )</f>
        <v>1</v>
      </c>
    </row>
    <row r="157" spans="95:103" ht="13.8" x14ac:dyDescent="0.3">
      <c r="CQ157" s="24">
        <v>6.4421000318711813E-2</v>
      </c>
      <c r="CR157" s="24" t="str">
        <f>"0"</f>
        <v>0</v>
      </c>
      <c r="CS157" t="str">
        <f ca="1">IF((OFFSET($A$1, 157 - 1, 95 - 1)) &gt;= (OFFSET($A$1, 54 - 1, 7 - 1)), "1","0")</f>
        <v>0</v>
      </c>
      <c r="CT157">
        <f ca="1" xml:space="preserve"> IF( AND( OFFSET($A$1, 157 - 1, 96 - 1) = "1", OFFSET($A$1, 157 - 1, 97 - 1) = "1" ), 1, IF( AND( OFFSET($A$1, 157 - 1, 96 - 1) = "1", OFFSET($A$1, 157 - 1, 97 - 1) = "0" ), 2, IF( AND( OFFSET($A$1, 157 - 1, 96 - 1) = "0", OFFSET($A$1, 157 - 1, 97 - 1) = "1" ), 3, 4 ) ) )</f>
        <v>4</v>
      </c>
      <c r="CV157" s="24">
        <v>0.88813792078552423</v>
      </c>
      <c r="CW157" s="24" t="str">
        <f>"0"</f>
        <v>0</v>
      </c>
      <c r="CX157" t="str">
        <f ca="1">IF((OFFSET($A$1, 157 - 1, 100 - 1)) &gt;= (OFFSET($A$1, 78 - 1, 7 - 1)), "1","0")</f>
        <v>1</v>
      </c>
      <c r="CY157">
        <f ca="1" xml:space="preserve"> IF( AND( OFFSET($A$1, 157 - 1, 101 - 1) = "1", OFFSET($A$1, 157 - 1, 102 - 1) = "1" ), 1, IF( AND( OFFSET($A$1, 157 - 1, 101 - 1) = "1", OFFSET($A$1, 157 - 1, 102 - 1) = "0" ), 2, IF( AND( OFFSET($A$1, 157 - 1, 101 - 1) = "0", OFFSET($A$1, 157 - 1, 102 - 1) = "1" ), 3, 4 ) ) )</f>
        <v>3</v>
      </c>
    </row>
    <row r="158" spans="95:103" ht="13.8" x14ac:dyDescent="0.3">
      <c r="CQ158" s="24">
        <v>4.5903016339027769E-2</v>
      </c>
      <c r="CR158" s="24" t="str">
        <f>"0"</f>
        <v>0</v>
      </c>
      <c r="CS158" t="str">
        <f ca="1">IF((OFFSET($A$1, 158 - 1, 95 - 1)) &gt;= (OFFSET($A$1, 54 - 1, 7 - 1)), "1","0")</f>
        <v>0</v>
      </c>
      <c r="CT158">
        <f ca="1" xml:space="preserve"> IF( AND( OFFSET($A$1, 158 - 1, 96 - 1) = "1", OFFSET($A$1, 158 - 1, 97 - 1) = "1" ), 1, IF( AND( OFFSET($A$1, 158 - 1, 96 - 1) = "1", OFFSET($A$1, 158 - 1, 97 - 1) = "0" ), 2, IF( AND( OFFSET($A$1, 158 - 1, 96 - 1) = "0", OFFSET($A$1, 158 - 1, 97 - 1) = "1" ), 3, 4 ) ) )</f>
        <v>4</v>
      </c>
      <c r="CV158" s="24">
        <v>0.15625396543469383</v>
      </c>
      <c r="CW158" s="24" t="str">
        <f>"1"</f>
        <v>1</v>
      </c>
      <c r="CX158" t="str">
        <f ca="1">IF((OFFSET($A$1, 158 - 1, 100 - 1)) &gt;= (OFFSET($A$1, 78 - 1, 7 - 1)), "1","0")</f>
        <v>0</v>
      </c>
      <c r="CY158">
        <f ca="1" xml:space="preserve"> IF( AND( OFFSET($A$1, 158 - 1, 101 - 1) = "1", OFFSET($A$1, 158 - 1, 102 - 1) = "1" ), 1, IF( AND( OFFSET($A$1, 158 - 1, 101 - 1) = "1", OFFSET($A$1, 158 - 1, 102 - 1) = "0" ), 2, IF( AND( OFFSET($A$1, 158 - 1, 101 - 1) = "0", OFFSET($A$1, 158 - 1, 102 - 1) = "1" ), 3, 4 ) ) )</f>
        <v>2</v>
      </c>
    </row>
    <row r="159" spans="95:103" ht="13.8" x14ac:dyDescent="0.3">
      <c r="CQ159" s="24">
        <v>0.97731544524136438</v>
      </c>
      <c r="CR159" s="24" t="str">
        <f>"1"</f>
        <v>1</v>
      </c>
      <c r="CS159" t="str">
        <f ca="1">IF((OFFSET($A$1, 159 - 1, 95 - 1)) &gt;= (OFFSET($A$1, 54 - 1, 7 - 1)), "1","0")</f>
        <v>1</v>
      </c>
      <c r="CT159">
        <f ca="1" xml:space="preserve"> IF( AND( OFFSET($A$1, 159 - 1, 96 - 1) = "1", OFFSET($A$1, 159 - 1, 97 - 1) = "1" ), 1, IF( AND( OFFSET($A$1, 159 - 1, 96 - 1) = "1", OFFSET($A$1, 159 - 1, 97 - 1) = "0" ), 2, IF( AND( OFFSET($A$1, 159 - 1, 96 - 1) = "0", OFFSET($A$1, 159 - 1, 97 - 1) = "1" ), 3, 4 ) ) )</f>
        <v>1</v>
      </c>
      <c r="CV159" s="24">
        <v>0.99933229622866127</v>
      </c>
      <c r="CW159" s="24" t="str">
        <f>"1"</f>
        <v>1</v>
      </c>
      <c r="CX159" t="str">
        <f ca="1">IF((OFFSET($A$1, 159 - 1, 100 - 1)) &gt;= (OFFSET($A$1, 78 - 1, 7 - 1)), "1","0")</f>
        <v>1</v>
      </c>
      <c r="CY159">
        <f ca="1" xml:space="preserve"> IF( AND( OFFSET($A$1, 159 - 1, 101 - 1) = "1", OFFSET($A$1, 159 - 1, 102 - 1) = "1" ), 1, IF( AND( OFFSET($A$1, 159 - 1, 101 - 1) = "1", OFFSET($A$1, 159 - 1, 102 - 1) = "0" ), 2, IF( AND( OFFSET($A$1, 159 - 1, 101 - 1) = "0", OFFSET($A$1, 159 - 1, 102 - 1) = "1" ), 3, 4 ) ) )</f>
        <v>1</v>
      </c>
    </row>
    <row r="160" spans="95:103" ht="13.8" x14ac:dyDescent="0.3">
      <c r="CQ160" s="24">
        <v>1.3004505374168804E-3</v>
      </c>
      <c r="CR160" s="24" t="str">
        <f>"0"</f>
        <v>0</v>
      </c>
      <c r="CS160" t="str">
        <f ca="1">IF((OFFSET($A$1, 160 - 1, 95 - 1)) &gt;= (OFFSET($A$1, 54 - 1, 7 - 1)), "1","0")</f>
        <v>0</v>
      </c>
      <c r="CT160">
        <f ca="1" xml:space="preserve"> IF( AND( OFFSET($A$1, 160 - 1, 96 - 1) = "1", OFFSET($A$1, 160 - 1, 97 - 1) = "1" ), 1, IF( AND( OFFSET($A$1, 160 - 1, 96 - 1) = "1", OFFSET($A$1, 160 - 1, 97 - 1) = "0" ), 2, IF( AND( OFFSET($A$1, 160 - 1, 96 - 1) = "0", OFFSET($A$1, 160 - 1, 97 - 1) = "1" ), 3, 4 ) ) )</f>
        <v>4</v>
      </c>
      <c r="CV160" s="24">
        <v>0.98797046749871043</v>
      </c>
      <c r="CW160" s="24" t="str">
        <f>"1"</f>
        <v>1</v>
      </c>
      <c r="CX160" t="str">
        <f ca="1">IF((OFFSET($A$1, 160 - 1, 100 - 1)) &gt;= (OFFSET($A$1, 78 - 1, 7 - 1)), "1","0")</f>
        <v>1</v>
      </c>
      <c r="CY160">
        <f ca="1" xml:space="preserve"> IF( AND( OFFSET($A$1, 160 - 1, 101 - 1) = "1", OFFSET($A$1, 160 - 1, 102 - 1) = "1" ), 1, IF( AND( OFFSET($A$1, 160 - 1, 101 - 1) = "1", OFFSET($A$1, 160 - 1, 102 - 1) = "0" ), 2, IF( AND( OFFSET($A$1, 160 - 1, 101 - 1) = "0", OFFSET($A$1, 160 - 1, 102 - 1) = "1" ), 3, 4 ) ) )</f>
        <v>1</v>
      </c>
    </row>
    <row r="161" spans="95:103" ht="13.8" x14ac:dyDescent="0.3">
      <c r="CQ161" s="24">
        <v>0.94331682081766244</v>
      </c>
      <c r="CR161" s="24" t="str">
        <f>"1"</f>
        <v>1</v>
      </c>
      <c r="CS161" t="str">
        <f ca="1">IF((OFFSET($A$1, 161 - 1, 95 - 1)) &gt;= (OFFSET($A$1, 54 - 1, 7 - 1)), "1","0")</f>
        <v>1</v>
      </c>
      <c r="CT161">
        <f ca="1" xml:space="preserve"> IF( AND( OFFSET($A$1, 161 - 1, 96 - 1) = "1", OFFSET($A$1, 161 - 1, 97 - 1) = "1" ), 1, IF( AND( OFFSET($A$1, 161 - 1, 96 - 1) = "1", OFFSET($A$1, 161 - 1, 97 - 1) = "0" ), 2, IF( AND( OFFSET($A$1, 161 - 1, 96 - 1) = "0", OFFSET($A$1, 161 - 1, 97 - 1) = "1" ), 3, 4 ) ) )</f>
        <v>1</v>
      </c>
      <c r="CV161" s="24">
        <v>0.97468066061890635</v>
      </c>
      <c r="CW161" s="24" t="str">
        <f>"1"</f>
        <v>1</v>
      </c>
      <c r="CX161" t="str">
        <f ca="1">IF((OFFSET($A$1, 161 - 1, 100 - 1)) &gt;= (OFFSET($A$1, 78 - 1, 7 - 1)), "1","0")</f>
        <v>1</v>
      </c>
      <c r="CY161">
        <f ca="1" xml:space="preserve"> IF( AND( OFFSET($A$1, 161 - 1, 101 - 1) = "1", OFFSET($A$1, 161 - 1, 102 - 1) = "1" ), 1, IF( AND( OFFSET($A$1, 161 - 1, 101 - 1) = "1", OFFSET($A$1, 161 - 1, 102 - 1) = "0" ), 2, IF( AND( OFFSET($A$1, 161 - 1, 101 - 1) = "0", OFFSET($A$1, 161 - 1, 102 - 1) = "1" ), 3, 4 ) ) )</f>
        <v>1</v>
      </c>
    </row>
    <row r="162" spans="95:103" ht="13.8" x14ac:dyDescent="0.3">
      <c r="CQ162" s="24">
        <v>0.99962509449899795</v>
      </c>
      <c r="CR162" s="24" t="str">
        <f>"1"</f>
        <v>1</v>
      </c>
      <c r="CS162" t="str">
        <f ca="1">IF((OFFSET($A$1, 162 - 1, 95 - 1)) &gt;= (OFFSET($A$1, 54 - 1, 7 - 1)), "1","0")</f>
        <v>1</v>
      </c>
      <c r="CT162">
        <f ca="1" xml:space="preserve"> IF( AND( OFFSET($A$1, 162 - 1, 96 - 1) = "1", OFFSET($A$1, 162 - 1, 97 - 1) = "1" ), 1, IF( AND( OFFSET($A$1, 162 - 1, 96 - 1) = "1", OFFSET($A$1, 162 - 1, 97 - 1) = "0" ), 2, IF( AND( OFFSET($A$1, 162 - 1, 96 - 1) = "0", OFFSET($A$1, 162 - 1, 97 - 1) = "1" ), 3, 4 ) ) )</f>
        <v>1</v>
      </c>
      <c r="CV162" s="24">
        <v>1.8497523456859784E-2</v>
      </c>
      <c r="CW162" s="24" t="str">
        <f>"0"</f>
        <v>0</v>
      </c>
      <c r="CX162" t="str">
        <f ca="1">IF((OFFSET($A$1, 162 - 1, 100 - 1)) &gt;= (OFFSET($A$1, 78 - 1, 7 - 1)), "1","0")</f>
        <v>0</v>
      </c>
      <c r="CY162">
        <f ca="1" xml:space="preserve"> IF( AND( OFFSET($A$1, 162 - 1, 101 - 1) = "1", OFFSET($A$1, 162 - 1, 102 - 1) = "1" ), 1, IF( AND( OFFSET($A$1, 162 - 1, 101 - 1) = "1", OFFSET($A$1, 162 - 1, 102 - 1) = "0" ), 2, IF( AND( OFFSET($A$1, 162 - 1, 101 - 1) = "0", OFFSET($A$1, 162 - 1, 102 - 1) = "1" ), 3, 4 ) ) )</f>
        <v>4</v>
      </c>
    </row>
    <row r="163" spans="95:103" ht="13.8" x14ac:dyDescent="0.3">
      <c r="CQ163" s="24">
        <v>8.5023842760685434E-4</v>
      </c>
      <c r="CR163" s="24" t="str">
        <f>"0"</f>
        <v>0</v>
      </c>
      <c r="CS163" t="str">
        <f ca="1">IF((OFFSET($A$1, 163 - 1, 95 - 1)) &gt;= (OFFSET($A$1, 54 - 1, 7 - 1)), "1","0")</f>
        <v>0</v>
      </c>
      <c r="CT163">
        <f ca="1" xml:space="preserve"> IF( AND( OFFSET($A$1, 163 - 1, 96 - 1) = "1", OFFSET($A$1, 163 - 1, 97 - 1) = "1" ), 1, IF( AND( OFFSET($A$1, 163 - 1, 96 - 1) = "1", OFFSET($A$1, 163 - 1, 97 - 1) = "0" ), 2, IF( AND( OFFSET($A$1, 163 - 1, 96 - 1) = "0", OFFSET($A$1, 163 - 1, 97 - 1) = "1" ), 3, 4 ) ) )</f>
        <v>4</v>
      </c>
      <c r="CV163" s="24">
        <v>0.97917026228531534</v>
      </c>
      <c r="CW163" s="24" t="str">
        <f>"1"</f>
        <v>1</v>
      </c>
      <c r="CX163" t="str">
        <f ca="1">IF((OFFSET($A$1, 163 - 1, 100 - 1)) &gt;= (OFFSET($A$1, 78 - 1, 7 - 1)), "1","0")</f>
        <v>1</v>
      </c>
      <c r="CY163">
        <f ca="1" xml:space="preserve"> IF( AND( OFFSET($A$1, 163 - 1, 101 - 1) = "1", OFFSET($A$1, 163 - 1, 102 - 1) = "1" ), 1, IF( AND( OFFSET($A$1, 163 - 1, 101 - 1) = "1", OFFSET($A$1, 163 - 1, 102 - 1) = "0" ), 2, IF( AND( OFFSET($A$1, 163 - 1, 101 - 1) = "0", OFFSET($A$1, 163 - 1, 102 - 1) = "1" ), 3, 4 ) ) )</f>
        <v>1</v>
      </c>
    </row>
    <row r="164" spans="95:103" ht="13.8" x14ac:dyDescent="0.3">
      <c r="CQ164" s="24">
        <v>0.99463266374579584</v>
      </c>
      <c r="CR164" s="24" t="str">
        <f>"1"</f>
        <v>1</v>
      </c>
      <c r="CS164" t="str">
        <f ca="1">IF((OFFSET($A$1, 164 - 1, 95 - 1)) &gt;= (OFFSET($A$1, 54 - 1, 7 - 1)), "1","0")</f>
        <v>1</v>
      </c>
      <c r="CT164">
        <f ca="1" xml:space="preserve"> IF( AND( OFFSET($A$1, 164 - 1, 96 - 1) = "1", OFFSET($A$1, 164 - 1, 97 - 1) = "1" ), 1, IF( AND( OFFSET($A$1, 164 - 1, 96 - 1) = "1", OFFSET($A$1, 164 - 1, 97 - 1) = "0" ), 2, IF( AND( OFFSET($A$1, 164 - 1, 96 - 1) = "0", OFFSET($A$1, 164 - 1, 97 - 1) = "1" ), 3, 4 ) ) )</f>
        <v>1</v>
      </c>
      <c r="CV164" s="24">
        <v>0.8649239759743349</v>
      </c>
      <c r="CW164" s="24" t="str">
        <f>"1"</f>
        <v>1</v>
      </c>
      <c r="CX164" t="str">
        <f ca="1">IF((OFFSET($A$1, 164 - 1, 100 - 1)) &gt;= (OFFSET($A$1, 78 - 1, 7 - 1)), "1","0")</f>
        <v>1</v>
      </c>
      <c r="CY164">
        <f ca="1" xml:space="preserve"> IF( AND( OFFSET($A$1, 164 - 1, 101 - 1) = "1", OFFSET($A$1, 164 - 1, 102 - 1) = "1" ), 1, IF( AND( OFFSET($A$1, 164 - 1, 101 - 1) = "1", OFFSET($A$1, 164 - 1, 102 - 1) = "0" ), 2, IF( AND( OFFSET($A$1, 164 - 1, 101 - 1) = "0", OFFSET($A$1, 164 - 1, 102 - 1) = "1" ), 3, 4 ) ) )</f>
        <v>1</v>
      </c>
    </row>
    <row r="165" spans="95:103" ht="13.8" x14ac:dyDescent="0.3">
      <c r="CQ165" s="24">
        <v>0.94119541485454139</v>
      </c>
      <c r="CR165" s="24" t="str">
        <f>"1"</f>
        <v>1</v>
      </c>
      <c r="CS165" t="str">
        <f ca="1">IF((OFFSET($A$1, 165 - 1, 95 - 1)) &gt;= (OFFSET($A$1, 54 - 1, 7 - 1)), "1","0")</f>
        <v>1</v>
      </c>
      <c r="CT165">
        <f ca="1" xml:space="preserve"> IF( AND( OFFSET($A$1, 165 - 1, 96 - 1) = "1", OFFSET($A$1, 165 - 1, 97 - 1) = "1" ), 1, IF( AND( OFFSET($A$1, 165 - 1, 96 - 1) = "1", OFFSET($A$1, 165 - 1, 97 - 1) = "0" ), 2, IF( AND( OFFSET($A$1, 165 - 1, 96 - 1) = "0", OFFSET($A$1, 165 - 1, 97 - 1) = "1" ), 3, 4 ) ) )</f>
        <v>1</v>
      </c>
      <c r="CV165" s="24">
        <v>0.99827981929168874</v>
      </c>
      <c r="CW165" s="24" t="str">
        <f>"0"</f>
        <v>0</v>
      </c>
      <c r="CX165" t="str">
        <f ca="1">IF((OFFSET($A$1, 165 - 1, 100 - 1)) &gt;= (OFFSET($A$1, 78 - 1, 7 - 1)), "1","0")</f>
        <v>1</v>
      </c>
      <c r="CY165">
        <f ca="1" xml:space="preserve"> IF( AND( OFFSET($A$1, 165 - 1, 101 - 1) = "1", OFFSET($A$1, 165 - 1, 102 - 1) = "1" ), 1, IF( AND( OFFSET($A$1, 165 - 1, 101 - 1) = "1", OFFSET($A$1, 165 - 1, 102 - 1) = "0" ), 2, IF( AND( OFFSET($A$1, 165 - 1, 101 - 1) = "0", OFFSET($A$1, 165 - 1, 102 - 1) = "1" ), 3, 4 ) ) )</f>
        <v>3</v>
      </c>
    </row>
    <row r="166" spans="95:103" ht="13.8" x14ac:dyDescent="0.3">
      <c r="CQ166" s="24">
        <v>9.2285559362715154E-4</v>
      </c>
      <c r="CR166" s="24" t="str">
        <f>"0"</f>
        <v>0</v>
      </c>
      <c r="CS166" t="str">
        <f ca="1">IF((OFFSET($A$1, 166 - 1, 95 - 1)) &gt;= (OFFSET($A$1, 54 - 1, 7 - 1)), "1","0")</f>
        <v>0</v>
      </c>
      <c r="CT166">
        <f ca="1" xml:space="preserve"> IF( AND( OFFSET($A$1, 166 - 1, 96 - 1) = "1", OFFSET($A$1, 166 - 1, 97 - 1) = "1" ), 1, IF( AND( OFFSET($A$1, 166 - 1, 96 - 1) = "1", OFFSET($A$1, 166 - 1, 97 - 1) = "0" ), 2, IF( AND( OFFSET($A$1, 166 - 1, 96 - 1) = "0", OFFSET($A$1, 166 - 1, 97 - 1) = "1" ), 3, 4 ) ) )</f>
        <v>4</v>
      </c>
      <c r="CV166" s="24">
        <v>9.8638547700794041E-2</v>
      </c>
      <c r="CW166" s="24" t="str">
        <f>"1"</f>
        <v>1</v>
      </c>
      <c r="CX166" t="str">
        <f ca="1">IF((OFFSET($A$1, 166 - 1, 100 - 1)) &gt;= (OFFSET($A$1, 78 - 1, 7 - 1)), "1","0")</f>
        <v>0</v>
      </c>
      <c r="CY166">
        <f ca="1" xml:space="preserve"> IF( AND( OFFSET($A$1, 166 - 1, 101 - 1) = "1", OFFSET($A$1, 166 - 1, 102 - 1) = "1" ), 1, IF( AND( OFFSET($A$1, 166 - 1, 101 - 1) = "1", OFFSET($A$1, 166 - 1, 102 - 1) = "0" ), 2, IF( AND( OFFSET($A$1, 166 - 1, 101 - 1) = "0", OFFSET($A$1, 166 - 1, 102 - 1) = "1" ), 3, 4 ) ) )</f>
        <v>2</v>
      </c>
    </row>
    <row r="167" spans="95:103" ht="13.8" x14ac:dyDescent="0.3">
      <c r="CQ167" s="24">
        <v>4.7670102015804544E-2</v>
      </c>
      <c r="CR167" s="24" t="str">
        <f>"0"</f>
        <v>0</v>
      </c>
      <c r="CS167" t="str">
        <f ca="1">IF((OFFSET($A$1, 167 - 1, 95 - 1)) &gt;= (OFFSET($A$1, 54 - 1, 7 - 1)), "1","0")</f>
        <v>0</v>
      </c>
      <c r="CT167">
        <f ca="1" xml:space="preserve"> IF( AND( OFFSET($A$1, 167 - 1, 96 - 1) = "1", OFFSET($A$1, 167 - 1, 97 - 1) = "1" ), 1, IF( AND( OFFSET($A$1, 167 - 1, 96 - 1) = "1", OFFSET($A$1, 167 - 1, 97 - 1) = "0" ), 2, IF( AND( OFFSET($A$1, 167 - 1, 96 - 1) = "0", OFFSET($A$1, 167 - 1, 97 - 1) = "1" ), 3, 4 ) ) )</f>
        <v>4</v>
      </c>
      <c r="CV167" s="24">
        <v>0.99999925988951854</v>
      </c>
      <c r="CW167" s="24" t="str">
        <f>"0"</f>
        <v>0</v>
      </c>
      <c r="CX167" t="str">
        <f ca="1">IF((OFFSET($A$1, 167 - 1, 100 - 1)) &gt;= (OFFSET($A$1, 78 - 1, 7 - 1)), "1","0")</f>
        <v>1</v>
      </c>
      <c r="CY167">
        <f ca="1" xml:space="preserve"> IF( AND( OFFSET($A$1, 167 - 1, 101 - 1) = "1", OFFSET($A$1, 167 - 1, 102 - 1) = "1" ), 1, IF( AND( OFFSET($A$1, 167 - 1, 101 - 1) = "1", OFFSET($A$1, 167 - 1, 102 - 1) = "0" ), 2, IF( AND( OFFSET($A$1, 167 - 1, 101 - 1) = "0", OFFSET($A$1, 167 - 1, 102 - 1) = "1" ), 3, 4 ) ) )</f>
        <v>3</v>
      </c>
    </row>
    <row r="168" spans="95:103" ht="13.8" x14ac:dyDescent="0.3">
      <c r="CQ168" s="24">
        <v>0.99973831594841633</v>
      </c>
      <c r="CR168" s="24" t="str">
        <f>"1"</f>
        <v>1</v>
      </c>
      <c r="CS168" t="str">
        <f ca="1">IF((OFFSET($A$1, 168 - 1, 95 - 1)) &gt;= (OFFSET($A$1, 54 - 1, 7 - 1)), "1","0")</f>
        <v>1</v>
      </c>
      <c r="CT168">
        <f ca="1" xml:space="preserve"> IF( AND( OFFSET($A$1, 168 - 1, 96 - 1) = "1", OFFSET($A$1, 168 - 1, 97 - 1) = "1" ), 1, IF( AND( OFFSET($A$1, 168 - 1, 96 - 1) = "1", OFFSET($A$1, 168 - 1, 97 - 1) = "0" ), 2, IF( AND( OFFSET($A$1, 168 - 1, 96 - 1) = "0", OFFSET($A$1, 168 - 1, 97 - 1) = "1" ), 3, 4 ) ) )</f>
        <v>1</v>
      </c>
      <c r="CV168" s="24">
        <v>0.99268196472395354</v>
      </c>
      <c r="CW168" s="24" t="str">
        <f>"0"</f>
        <v>0</v>
      </c>
      <c r="CX168" t="str">
        <f ca="1">IF((OFFSET($A$1, 168 - 1, 100 - 1)) &gt;= (OFFSET($A$1, 78 - 1, 7 - 1)), "1","0")</f>
        <v>1</v>
      </c>
      <c r="CY168">
        <f ca="1" xml:space="preserve"> IF( AND( OFFSET($A$1, 168 - 1, 101 - 1) = "1", OFFSET($A$1, 168 - 1, 102 - 1) = "1" ), 1, IF( AND( OFFSET($A$1, 168 - 1, 101 - 1) = "1", OFFSET($A$1, 168 - 1, 102 - 1) = "0" ), 2, IF( AND( OFFSET($A$1, 168 - 1, 101 - 1) = "0", OFFSET($A$1, 168 - 1, 102 - 1) = "1" ), 3, 4 ) ) )</f>
        <v>3</v>
      </c>
    </row>
    <row r="169" spans="95:103" ht="13.8" x14ac:dyDescent="0.3">
      <c r="CQ169" s="24">
        <v>0.99964901977820175</v>
      </c>
      <c r="CR169" s="24" t="str">
        <f>"1"</f>
        <v>1</v>
      </c>
      <c r="CS169" t="str">
        <f ca="1">IF((OFFSET($A$1, 169 - 1, 95 - 1)) &gt;= (OFFSET($A$1, 54 - 1, 7 - 1)), "1","0")</f>
        <v>1</v>
      </c>
      <c r="CT169">
        <f ca="1" xml:space="preserve"> IF( AND( OFFSET($A$1, 169 - 1, 96 - 1) = "1", OFFSET($A$1, 169 - 1, 97 - 1) = "1" ), 1, IF( AND( OFFSET($A$1, 169 - 1, 96 - 1) = "1", OFFSET($A$1, 169 - 1, 97 - 1) = "0" ), 2, IF( AND( OFFSET($A$1, 169 - 1, 96 - 1) = "0", OFFSET($A$1, 169 - 1, 97 - 1) = "1" ), 3, 4 ) ) )</f>
        <v>1</v>
      </c>
      <c r="CV169" s="24">
        <v>0.98293501865707678</v>
      </c>
      <c r="CW169" s="24" t="str">
        <f t="shared" ref="CW169:CW174" si="12">"1"</f>
        <v>1</v>
      </c>
      <c r="CX169" t="str">
        <f ca="1">IF((OFFSET($A$1, 169 - 1, 100 - 1)) &gt;= (OFFSET($A$1, 78 - 1, 7 - 1)), "1","0")</f>
        <v>1</v>
      </c>
      <c r="CY169">
        <f ca="1" xml:space="preserve"> IF( AND( OFFSET($A$1, 169 - 1, 101 - 1) = "1", OFFSET($A$1, 169 - 1, 102 - 1) = "1" ), 1, IF( AND( OFFSET($A$1, 169 - 1, 101 - 1) = "1", OFFSET($A$1, 169 - 1, 102 - 1) = "0" ), 2, IF( AND( OFFSET($A$1, 169 - 1, 101 - 1) = "0", OFFSET($A$1, 169 - 1, 102 - 1) = "1" ), 3, 4 ) ) )</f>
        <v>1</v>
      </c>
    </row>
    <row r="170" spans="95:103" ht="13.8" x14ac:dyDescent="0.3">
      <c r="CQ170" s="24">
        <v>0.99701487236320774</v>
      </c>
      <c r="CR170" s="24" t="str">
        <f>"1"</f>
        <v>1</v>
      </c>
      <c r="CS170" t="str">
        <f ca="1">IF((OFFSET($A$1, 170 - 1, 95 - 1)) &gt;= (OFFSET($A$1, 54 - 1, 7 - 1)), "1","0")</f>
        <v>1</v>
      </c>
      <c r="CT170">
        <f ca="1" xml:space="preserve"> IF( AND( OFFSET($A$1, 170 - 1, 96 - 1) = "1", OFFSET($A$1, 170 - 1, 97 - 1) = "1" ), 1, IF( AND( OFFSET($A$1, 170 - 1, 96 - 1) = "1", OFFSET($A$1, 170 - 1, 97 - 1) = "0" ), 2, IF( AND( OFFSET($A$1, 170 - 1, 96 - 1) = "0", OFFSET($A$1, 170 - 1, 97 - 1) = "1" ), 3, 4 ) ) )</f>
        <v>1</v>
      </c>
      <c r="CV170" s="24">
        <v>0.99996540064978456</v>
      </c>
      <c r="CW170" s="24" t="str">
        <f t="shared" si="12"/>
        <v>1</v>
      </c>
      <c r="CX170" t="str">
        <f ca="1">IF((OFFSET($A$1, 170 - 1, 100 - 1)) &gt;= (OFFSET($A$1, 78 - 1, 7 - 1)), "1","0")</f>
        <v>1</v>
      </c>
      <c r="CY170">
        <f ca="1" xml:space="preserve"> IF( AND( OFFSET($A$1, 170 - 1, 101 - 1) = "1", OFFSET($A$1, 170 - 1, 102 - 1) = "1" ), 1, IF( AND( OFFSET($A$1, 170 - 1, 101 - 1) = "1", OFFSET($A$1, 170 - 1, 102 - 1) = "0" ), 2, IF( AND( OFFSET($A$1, 170 - 1, 101 - 1) = "0", OFFSET($A$1, 170 - 1, 102 - 1) = "1" ), 3, 4 ) ) )</f>
        <v>1</v>
      </c>
    </row>
    <row r="171" spans="95:103" ht="13.8" x14ac:dyDescent="0.3">
      <c r="CQ171" s="24">
        <v>0.99999965555549852</v>
      </c>
      <c r="CR171" s="24" t="str">
        <f>"1"</f>
        <v>1</v>
      </c>
      <c r="CS171" t="str">
        <f ca="1">IF((OFFSET($A$1, 171 - 1, 95 - 1)) &gt;= (OFFSET($A$1, 54 - 1, 7 - 1)), "1","0")</f>
        <v>1</v>
      </c>
      <c r="CT171">
        <f ca="1" xml:space="preserve"> IF( AND( OFFSET($A$1, 171 - 1, 96 - 1) = "1", OFFSET($A$1, 171 - 1, 97 - 1) = "1" ), 1, IF( AND( OFFSET($A$1, 171 - 1, 96 - 1) = "1", OFFSET($A$1, 171 - 1, 97 - 1) = "0" ), 2, IF( AND( OFFSET($A$1, 171 - 1, 96 - 1) = "0", OFFSET($A$1, 171 - 1, 97 - 1) = "1" ), 3, 4 ) ) )</f>
        <v>1</v>
      </c>
      <c r="CV171" s="24">
        <v>0.99940567997233476</v>
      </c>
      <c r="CW171" s="24" t="str">
        <f t="shared" si="12"/>
        <v>1</v>
      </c>
      <c r="CX171" t="str">
        <f ca="1">IF((OFFSET($A$1, 171 - 1, 100 - 1)) &gt;= (OFFSET($A$1, 78 - 1, 7 - 1)), "1","0")</f>
        <v>1</v>
      </c>
      <c r="CY171">
        <f ca="1" xml:space="preserve"> IF( AND( OFFSET($A$1, 171 - 1, 101 - 1) = "1", OFFSET($A$1, 171 - 1, 102 - 1) = "1" ), 1, IF( AND( OFFSET($A$1, 171 - 1, 101 - 1) = "1", OFFSET($A$1, 171 - 1, 102 - 1) = "0" ), 2, IF( AND( OFFSET($A$1, 171 - 1, 101 - 1) = "0", OFFSET($A$1, 171 - 1, 102 - 1) = "1" ), 3, 4 ) ) )</f>
        <v>1</v>
      </c>
    </row>
    <row r="172" spans="95:103" ht="13.8" x14ac:dyDescent="0.3">
      <c r="CQ172" s="24">
        <v>0.99599801894485529</v>
      </c>
      <c r="CR172" s="24" t="str">
        <f>"1"</f>
        <v>1</v>
      </c>
      <c r="CS172" t="str">
        <f ca="1">IF((OFFSET($A$1, 172 - 1, 95 - 1)) &gt;= (OFFSET($A$1, 54 - 1, 7 - 1)), "1","0")</f>
        <v>1</v>
      </c>
      <c r="CT172">
        <f ca="1" xml:space="preserve"> IF( AND( OFFSET($A$1, 172 - 1, 96 - 1) = "1", OFFSET($A$1, 172 - 1, 97 - 1) = "1" ), 1, IF( AND( OFFSET($A$1, 172 - 1, 96 - 1) = "1", OFFSET($A$1, 172 - 1, 97 - 1) = "0" ), 2, IF( AND( OFFSET($A$1, 172 - 1, 96 - 1) = "0", OFFSET($A$1, 172 - 1, 97 - 1) = "1" ), 3, 4 ) ) )</f>
        <v>1</v>
      </c>
      <c r="CV172" s="24">
        <v>0.99466143730024126</v>
      </c>
      <c r="CW172" s="24" t="str">
        <f t="shared" si="12"/>
        <v>1</v>
      </c>
      <c r="CX172" t="str">
        <f ca="1">IF((OFFSET($A$1, 172 - 1, 100 - 1)) &gt;= (OFFSET($A$1, 78 - 1, 7 - 1)), "1","0")</f>
        <v>1</v>
      </c>
      <c r="CY172">
        <f ca="1" xml:space="preserve"> IF( AND( OFFSET($A$1, 172 - 1, 101 - 1) = "1", OFFSET($A$1, 172 - 1, 102 - 1) = "1" ), 1, IF( AND( OFFSET($A$1, 172 - 1, 101 - 1) = "1", OFFSET($A$1, 172 - 1, 102 - 1) = "0" ), 2, IF( AND( OFFSET($A$1, 172 - 1, 101 - 1) = "0", OFFSET($A$1, 172 - 1, 102 - 1) = "1" ), 3, 4 ) ) )</f>
        <v>1</v>
      </c>
    </row>
    <row r="173" spans="95:103" ht="13.8" x14ac:dyDescent="0.3">
      <c r="CQ173" s="24">
        <v>1.7650909834072529E-2</v>
      </c>
      <c r="CR173" s="24" t="str">
        <f>"0"</f>
        <v>0</v>
      </c>
      <c r="CS173" t="str">
        <f ca="1">IF((OFFSET($A$1, 173 - 1, 95 - 1)) &gt;= (OFFSET($A$1, 54 - 1, 7 - 1)), "1","0")</f>
        <v>0</v>
      </c>
      <c r="CT173">
        <f ca="1" xml:space="preserve"> IF( AND( OFFSET($A$1, 173 - 1, 96 - 1) = "1", OFFSET($A$1, 173 - 1, 97 - 1) = "1" ), 1, IF( AND( OFFSET($A$1, 173 - 1, 96 - 1) = "1", OFFSET($A$1, 173 - 1, 97 - 1) = "0" ), 2, IF( AND( OFFSET($A$1, 173 - 1, 96 - 1) = "0", OFFSET($A$1, 173 - 1, 97 - 1) = "1" ), 3, 4 ) ) )</f>
        <v>4</v>
      </c>
      <c r="CV173" s="24">
        <v>0.77224418723675003</v>
      </c>
      <c r="CW173" s="24" t="str">
        <f t="shared" si="12"/>
        <v>1</v>
      </c>
      <c r="CX173" t="str">
        <f ca="1">IF((OFFSET($A$1, 173 - 1, 100 - 1)) &gt;= (OFFSET($A$1, 78 - 1, 7 - 1)), "1","0")</f>
        <v>1</v>
      </c>
      <c r="CY173">
        <f ca="1" xml:space="preserve"> IF( AND( OFFSET($A$1, 173 - 1, 101 - 1) = "1", OFFSET($A$1, 173 - 1, 102 - 1) = "1" ), 1, IF( AND( OFFSET($A$1, 173 - 1, 101 - 1) = "1", OFFSET($A$1, 173 - 1, 102 - 1) = "0" ), 2, IF( AND( OFFSET($A$1, 173 - 1, 101 - 1) = "0", OFFSET($A$1, 173 - 1, 102 - 1) = "1" ), 3, 4 ) ) )</f>
        <v>1</v>
      </c>
    </row>
    <row r="174" spans="95:103" ht="13.8" x14ac:dyDescent="0.3">
      <c r="CQ174" s="24">
        <v>1.3839542180214116E-2</v>
      </c>
      <c r="CR174" s="24" t="str">
        <f>"0"</f>
        <v>0</v>
      </c>
      <c r="CS174" t="str">
        <f ca="1">IF((OFFSET($A$1, 174 - 1, 95 - 1)) &gt;= (OFFSET($A$1, 54 - 1, 7 - 1)), "1","0")</f>
        <v>0</v>
      </c>
      <c r="CT174">
        <f ca="1" xml:space="preserve"> IF( AND( OFFSET($A$1, 174 - 1, 96 - 1) = "1", OFFSET($A$1, 174 - 1, 97 - 1) = "1" ), 1, IF( AND( OFFSET($A$1, 174 - 1, 96 - 1) = "1", OFFSET($A$1, 174 - 1, 97 - 1) = "0" ), 2, IF( AND( OFFSET($A$1, 174 - 1, 96 - 1) = "0", OFFSET($A$1, 174 - 1, 97 - 1) = "1" ), 3, 4 ) ) )</f>
        <v>4</v>
      </c>
      <c r="CV174" s="24">
        <v>0.98232680122921756</v>
      </c>
      <c r="CW174" s="24" t="str">
        <f t="shared" si="12"/>
        <v>1</v>
      </c>
      <c r="CX174" t="str">
        <f ca="1">IF((OFFSET($A$1, 174 - 1, 100 - 1)) &gt;= (OFFSET($A$1, 78 - 1, 7 - 1)), "1","0")</f>
        <v>1</v>
      </c>
      <c r="CY174">
        <f ca="1" xml:space="preserve"> IF( AND( OFFSET($A$1, 174 - 1, 101 - 1) = "1", OFFSET($A$1, 174 - 1, 102 - 1) = "1" ), 1, IF( AND( OFFSET($A$1, 174 - 1, 101 - 1) = "1", OFFSET($A$1, 174 - 1, 102 - 1) = "0" ), 2, IF( AND( OFFSET($A$1, 174 - 1, 101 - 1) = "0", OFFSET($A$1, 174 - 1, 102 - 1) = "1" ), 3, 4 ) ) )</f>
        <v>1</v>
      </c>
    </row>
    <row r="175" spans="95:103" ht="13.8" x14ac:dyDescent="0.3">
      <c r="CQ175" s="24">
        <v>0.14945025991264535</v>
      </c>
      <c r="CR175" s="24" t="str">
        <f>"0"</f>
        <v>0</v>
      </c>
      <c r="CS175" t="str">
        <f ca="1">IF((OFFSET($A$1, 175 - 1, 95 - 1)) &gt;= (OFFSET($A$1, 54 - 1, 7 - 1)), "1","0")</f>
        <v>0</v>
      </c>
      <c r="CT175">
        <f ca="1" xml:space="preserve"> IF( AND( OFFSET($A$1, 175 - 1, 96 - 1) = "1", OFFSET($A$1, 175 - 1, 97 - 1) = "1" ), 1, IF( AND( OFFSET($A$1, 175 - 1, 96 - 1) = "1", OFFSET($A$1, 175 - 1, 97 - 1) = "0" ), 2, IF( AND( OFFSET($A$1, 175 - 1, 96 - 1) = "0", OFFSET($A$1, 175 - 1, 97 - 1) = "1" ), 3, 4 ) ) )</f>
        <v>4</v>
      </c>
      <c r="CV175" s="24">
        <v>0.99853368526720288</v>
      </c>
      <c r="CW175" s="24" t="str">
        <f>"0"</f>
        <v>0</v>
      </c>
      <c r="CX175" t="str">
        <f ca="1">IF((OFFSET($A$1, 175 - 1, 100 - 1)) &gt;= (OFFSET($A$1, 78 - 1, 7 - 1)), "1","0")</f>
        <v>1</v>
      </c>
      <c r="CY175">
        <f ca="1" xml:space="preserve"> IF( AND( OFFSET($A$1, 175 - 1, 101 - 1) = "1", OFFSET($A$1, 175 - 1, 102 - 1) = "1" ), 1, IF( AND( OFFSET($A$1, 175 - 1, 101 - 1) = "1", OFFSET($A$1, 175 - 1, 102 - 1) = "0" ), 2, IF( AND( OFFSET($A$1, 175 - 1, 101 - 1) = "0", OFFSET($A$1, 175 - 1, 102 - 1) = "1" ), 3, 4 ) ) )</f>
        <v>3</v>
      </c>
    </row>
    <row r="176" spans="95:103" ht="13.8" x14ac:dyDescent="0.3">
      <c r="CQ176" s="24">
        <v>2.4601270939377484E-2</v>
      </c>
      <c r="CR176" s="24" t="str">
        <f>"0"</f>
        <v>0</v>
      </c>
      <c r="CS176" t="str">
        <f ca="1">IF((OFFSET($A$1, 176 - 1, 95 - 1)) &gt;= (OFFSET($A$1, 54 - 1, 7 - 1)), "1","0")</f>
        <v>0</v>
      </c>
      <c r="CT176">
        <f ca="1" xml:space="preserve"> IF( AND( OFFSET($A$1, 176 - 1, 96 - 1) = "1", OFFSET($A$1, 176 - 1, 97 - 1) = "1" ), 1, IF( AND( OFFSET($A$1, 176 - 1, 96 - 1) = "1", OFFSET($A$1, 176 - 1, 97 - 1) = "0" ), 2, IF( AND( OFFSET($A$1, 176 - 1, 96 - 1) = "0", OFFSET($A$1, 176 - 1, 97 - 1) = "1" ), 3, 4 ) ) )</f>
        <v>4</v>
      </c>
      <c r="CV176" s="24">
        <v>0.91078299910078153</v>
      </c>
      <c r="CW176" s="24" t="str">
        <f>"1"</f>
        <v>1</v>
      </c>
      <c r="CX176" t="str">
        <f ca="1">IF((OFFSET($A$1, 176 - 1, 100 - 1)) &gt;= (OFFSET($A$1, 78 - 1, 7 - 1)), "1","0")</f>
        <v>1</v>
      </c>
      <c r="CY176">
        <f ca="1" xml:space="preserve"> IF( AND( OFFSET($A$1, 176 - 1, 101 - 1) = "1", OFFSET($A$1, 176 - 1, 102 - 1) = "1" ), 1, IF( AND( OFFSET($A$1, 176 - 1, 101 - 1) = "1", OFFSET($A$1, 176 - 1, 102 - 1) = "0" ), 2, IF( AND( OFFSET($A$1, 176 - 1, 101 - 1) = "0", OFFSET($A$1, 176 - 1, 102 - 1) = "1" ), 3, 4 ) ) )</f>
        <v>1</v>
      </c>
    </row>
    <row r="177" spans="95:103" ht="13.8" x14ac:dyDescent="0.3">
      <c r="CQ177" s="24">
        <v>0.95134194682719642</v>
      </c>
      <c r="CR177" s="24" t="str">
        <f t="shared" ref="CR177:CR184" si="13">"1"</f>
        <v>1</v>
      </c>
      <c r="CS177" t="str">
        <f ca="1">IF((OFFSET($A$1, 177 - 1, 95 - 1)) &gt;= (OFFSET($A$1, 54 - 1, 7 - 1)), "1","0")</f>
        <v>1</v>
      </c>
      <c r="CT177">
        <f ca="1" xml:space="preserve"> IF( AND( OFFSET($A$1, 177 - 1, 96 - 1) = "1", OFFSET($A$1, 177 - 1, 97 - 1) = "1" ), 1, IF( AND( OFFSET($A$1, 177 - 1, 96 - 1) = "1", OFFSET($A$1, 177 - 1, 97 - 1) = "0" ), 2, IF( AND( OFFSET($A$1, 177 - 1, 96 - 1) = "0", OFFSET($A$1, 177 - 1, 97 - 1) = "1" ), 3, 4 ) ) )</f>
        <v>1</v>
      </c>
      <c r="CV177" s="24">
        <v>0.98526730991083111</v>
      </c>
      <c r="CW177" s="24" t="str">
        <f>"1"</f>
        <v>1</v>
      </c>
      <c r="CX177" t="str">
        <f ca="1">IF((OFFSET($A$1, 177 - 1, 100 - 1)) &gt;= (OFFSET($A$1, 78 - 1, 7 - 1)), "1","0")</f>
        <v>1</v>
      </c>
      <c r="CY177">
        <f ca="1" xml:space="preserve"> IF( AND( OFFSET($A$1, 177 - 1, 101 - 1) = "1", OFFSET($A$1, 177 - 1, 102 - 1) = "1" ), 1, IF( AND( OFFSET($A$1, 177 - 1, 101 - 1) = "1", OFFSET($A$1, 177 - 1, 102 - 1) = "0" ), 2, IF( AND( OFFSET($A$1, 177 - 1, 101 - 1) = "0", OFFSET($A$1, 177 - 1, 102 - 1) = "1" ), 3, 4 ) ) )</f>
        <v>1</v>
      </c>
    </row>
    <row r="178" spans="95:103" ht="13.8" x14ac:dyDescent="0.3">
      <c r="CQ178" s="24">
        <v>0.8742215066109239</v>
      </c>
      <c r="CR178" s="24" t="str">
        <f t="shared" si="13"/>
        <v>1</v>
      </c>
      <c r="CS178" t="str">
        <f ca="1">IF((OFFSET($A$1, 178 - 1, 95 - 1)) &gt;= (OFFSET($A$1, 54 - 1, 7 - 1)), "1","0")</f>
        <v>1</v>
      </c>
      <c r="CT178">
        <f ca="1" xml:space="preserve"> IF( AND( OFFSET($A$1, 178 - 1, 96 - 1) = "1", OFFSET($A$1, 178 - 1, 97 - 1) = "1" ), 1, IF( AND( OFFSET($A$1, 178 - 1, 96 - 1) = "1", OFFSET($A$1, 178 - 1, 97 - 1) = "0" ), 2, IF( AND( OFFSET($A$1, 178 - 1, 96 - 1) = "0", OFFSET($A$1, 178 - 1, 97 - 1) = "1" ), 3, 4 ) ) )</f>
        <v>1</v>
      </c>
      <c r="CV178" s="24">
        <v>0.99843258112696964</v>
      </c>
      <c r="CW178" s="24" t="str">
        <f>"1"</f>
        <v>1</v>
      </c>
      <c r="CX178" t="str">
        <f ca="1">IF((OFFSET($A$1, 178 - 1, 100 - 1)) &gt;= (OFFSET($A$1, 78 - 1, 7 - 1)), "1","0")</f>
        <v>1</v>
      </c>
      <c r="CY178">
        <f ca="1" xml:space="preserve"> IF( AND( OFFSET($A$1, 178 - 1, 101 - 1) = "1", OFFSET($A$1, 178 - 1, 102 - 1) = "1" ), 1, IF( AND( OFFSET($A$1, 178 - 1, 101 - 1) = "1", OFFSET($A$1, 178 - 1, 102 - 1) = "0" ), 2, IF( AND( OFFSET($A$1, 178 - 1, 101 - 1) = "0", OFFSET($A$1, 178 - 1, 102 - 1) = "1" ), 3, 4 ) ) )</f>
        <v>1</v>
      </c>
    </row>
    <row r="179" spans="95:103" ht="13.8" x14ac:dyDescent="0.3">
      <c r="CQ179" s="24">
        <v>0.98427506593628966</v>
      </c>
      <c r="CR179" s="24" t="str">
        <f t="shared" si="13"/>
        <v>1</v>
      </c>
      <c r="CS179" t="str">
        <f ca="1">IF((OFFSET($A$1, 179 - 1, 95 - 1)) &gt;= (OFFSET($A$1, 54 - 1, 7 - 1)), "1","0")</f>
        <v>1</v>
      </c>
      <c r="CT179">
        <f ca="1" xml:space="preserve"> IF( AND( OFFSET($A$1, 179 - 1, 96 - 1) = "1", OFFSET($A$1, 179 - 1, 97 - 1) = "1" ), 1, IF( AND( OFFSET($A$1, 179 - 1, 96 - 1) = "1", OFFSET($A$1, 179 - 1, 97 - 1) = "0" ), 2, IF( AND( OFFSET($A$1, 179 - 1, 96 - 1) = "0", OFFSET($A$1, 179 - 1, 97 - 1) = "1" ), 3, 4 ) ) )</f>
        <v>1</v>
      </c>
      <c r="CV179" s="24">
        <v>0.98849732850763083</v>
      </c>
      <c r="CW179" s="24" t="str">
        <f>"0"</f>
        <v>0</v>
      </c>
      <c r="CX179" t="str">
        <f ca="1">IF((OFFSET($A$1, 179 - 1, 100 - 1)) &gt;= (OFFSET($A$1, 78 - 1, 7 - 1)), "1","0")</f>
        <v>1</v>
      </c>
      <c r="CY179">
        <f ca="1" xml:space="preserve"> IF( AND( OFFSET($A$1, 179 - 1, 101 - 1) = "1", OFFSET($A$1, 179 - 1, 102 - 1) = "1" ), 1, IF( AND( OFFSET($A$1, 179 - 1, 101 - 1) = "1", OFFSET($A$1, 179 - 1, 102 - 1) = "0" ), 2, IF( AND( OFFSET($A$1, 179 - 1, 101 - 1) = "0", OFFSET($A$1, 179 - 1, 102 - 1) = "1" ), 3, 4 ) ) )</f>
        <v>3</v>
      </c>
    </row>
    <row r="180" spans="95:103" ht="13.8" x14ac:dyDescent="0.3">
      <c r="CQ180" s="24">
        <v>0.91532694501138678</v>
      </c>
      <c r="CR180" s="24" t="str">
        <f t="shared" si="13"/>
        <v>1</v>
      </c>
      <c r="CS180" t="str">
        <f ca="1">IF((OFFSET($A$1, 180 - 1, 95 - 1)) &gt;= (OFFSET($A$1, 54 - 1, 7 - 1)), "1","0")</f>
        <v>1</v>
      </c>
      <c r="CT180">
        <f ca="1" xml:space="preserve"> IF( AND( OFFSET($A$1, 180 - 1, 96 - 1) = "1", OFFSET($A$1, 180 - 1, 97 - 1) = "1" ), 1, IF( AND( OFFSET($A$1, 180 - 1, 96 - 1) = "1", OFFSET($A$1, 180 - 1, 97 - 1) = "0" ), 2, IF( AND( OFFSET($A$1, 180 - 1, 96 - 1) = "0", OFFSET($A$1, 180 - 1, 97 - 1) = "1" ), 3, 4 ) ) )</f>
        <v>1</v>
      </c>
      <c r="CV180" s="24">
        <v>0.27994088436668624</v>
      </c>
      <c r="CW180" s="24" t="str">
        <f>"0"</f>
        <v>0</v>
      </c>
      <c r="CX180" t="str">
        <f ca="1">IF((OFFSET($A$1, 180 - 1, 100 - 1)) &gt;= (OFFSET($A$1, 78 - 1, 7 - 1)), "1","0")</f>
        <v>0</v>
      </c>
      <c r="CY180">
        <f ca="1" xml:space="preserve"> IF( AND( OFFSET($A$1, 180 - 1, 101 - 1) = "1", OFFSET($A$1, 180 - 1, 102 - 1) = "1" ), 1, IF( AND( OFFSET($A$1, 180 - 1, 101 - 1) = "1", OFFSET($A$1, 180 - 1, 102 - 1) = "0" ), 2, IF( AND( OFFSET($A$1, 180 - 1, 101 - 1) = "0", OFFSET($A$1, 180 - 1, 102 - 1) = "1" ), 3, 4 ) ) )</f>
        <v>4</v>
      </c>
    </row>
    <row r="181" spans="95:103" ht="13.8" x14ac:dyDescent="0.3">
      <c r="CQ181" s="24">
        <v>0.97674171397291243</v>
      </c>
      <c r="CR181" s="24" t="str">
        <f t="shared" si="13"/>
        <v>1</v>
      </c>
      <c r="CS181" t="str">
        <f ca="1">IF((OFFSET($A$1, 181 - 1, 95 - 1)) &gt;= (OFFSET($A$1, 54 - 1, 7 - 1)), "1","0")</f>
        <v>1</v>
      </c>
      <c r="CT181">
        <f ca="1" xml:space="preserve"> IF( AND( OFFSET($A$1, 181 - 1, 96 - 1) = "1", OFFSET($A$1, 181 - 1, 97 - 1) = "1" ), 1, IF( AND( OFFSET($A$1, 181 - 1, 96 - 1) = "1", OFFSET($A$1, 181 - 1, 97 - 1) = "0" ), 2, IF( AND( OFFSET($A$1, 181 - 1, 96 - 1) = "0", OFFSET($A$1, 181 - 1, 97 - 1) = "1" ), 3, 4 ) ) )</f>
        <v>1</v>
      </c>
      <c r="CV181" s="24">
        <v>6.9874960397336584E-3</v>
      </c>
      <c r="CW181" s="24" t="str">
        <f>"0"</f>
        <v>0</v>
      </c>
      <c r="CX181" t="str">
        <f ca="1">IF((OFFSET($A$1, 181 - 1, 100 - 1)) &gt;= (OFFSET($A$1, 78 - 1, 7 - 1)), "1","0")</f>
        <v>0</v>
      </c>
      <c r="CY181">
        <f ca="1" xml:space="preserve"> IF( AND( OFFSET($A$1, 181 - 1, 101 - 1) = "1", OFFSET($A$1, 181 - 1, 102 - 1) = "1" ), 1, IF( AND( OFFSET($A$1, 181 - 1, 101 - 1) = "1", OFFSET($A$1, 181 - 1, 102 - 1) = "0" ), 2, IF( AND( OFFSET($A$1, 181 - 1, 101 - 1) = "0", OFFSET($A$1, 181 - 1, 102 - 1) = "1" ), 3, 4 ) ) )</f>
        <v>4</v>
      </c>
    </row>
    <row r="182" spans="95:103" ht="13.8" x14ac:dyDescent="0.3">
      <c r="CQ182" s="24">
        <v>0.99988686825134776</v>
      </c>
      <c r="CR182" s="24" t="str">
        <f t="shared" si="13"/>
        <v>1</v>
      </c>
      <c r="CS182" t="str">
        <f ca="1">IF((OFFSET($A$1, 182 - 1, 95 - 1)) &gt;= (OFFSET($A$1, 54 - 1, 7 - 1)), "1","0")</f>
        <v>1</v>
      </c>
      <c r="CT182">
        <f ca="1" xml:space="preserve"> IF( AND( OFFSET($A$1, 182 - 1, 96 - 1) = "1", OFFSET($A$1, 182 - 1, 97 - 1) = "1" ), 1, IF( AND( OFFSET($A$1, 182 - 1, 96 - 1) = "1", OFFSET($A$1, 182 - 1, 97 - 1) = "0" ), 2, IF( AND( OFFSET($A$1, 182 - 1, 96 - 1) = "0", OFFSET($A$1, 182 - 1, 97 - 1) = "1" ), 3, 4 ) ) )</f>
        <v>1</v>
      </c>
      <c r="CV182" s="24">
        <v>0.99895853618210384</v>
      </c>
      <c r="CW182" s="24" t="str">
        <f>"0"</f>
        <v>0</v>
      </c>
      <c r="CX182" t="str">
        <f ca="1">IF((OFFSET($A$1, 182 - 1, 100 - 1)) &gt;= (OFFSET($A$1, 78 - 1, 7 - 1)), "1","0")</f>
        <v>1</v>
      </c>
      <c r="CY182">
        <f ca="1" xml:space="preserve"> IF( AND( OFFSET($A$1, 182 - 1, 101 - 1) = "1", OFFSET($A$1, 182 - 1, 102 - 1) = "1" ), 1, IF( AND( OFFSET($A$1, 182 - 1, 101 - 1) = "1", OFFSET($A$1, 182 - 1, 102 - 1) = "0" ), 2, IF( AND( OFFSET($A$1, 182 - 1, 101 - 1) = "0", OFFSET($A$1, 182 - 1, 102 - 1) = "1" ), 3, 4 ) ) )</f>
        <v>3</v>
      </c>
    </row>
    <row r="183" spans="95:103" ht="13.8" x14ac:dyDescent="0.3">
      <c r="CQ183" s="24">
        <v>0.99398718648917161</v>
      </c>
      <c r="CR183" s="24" t="str">
        <f t="shared" si="13"/>
        <v>1</v>
      </c>
      <c r="CS183" t="str">
        <f ca="1">IF((OFFSET($A$1, 183 - 1, 95 - 1)) &gt;= (OFFSET($A$1, 54 - 1, 7 - 1)), "1","0")</f>
        <v>1</v>
      </c>
      <c r="CT183">
        <f ca="1" xml:space="preserve"> IF( AND( OFFSET($A$1, 183 - 1, 96 - 1) = "1", OFFSET($A$1, 183 - 1, 97 - 1) = "1" ), 1, IF( AND( OFFSET($A$1, 183 - 1, 96 - 1) = "1", OFFSET($A$1, 183 - 1, 97 - 1) = "0" ), 2, IF( AND( OFFSET($A$1, 183 - 1, 96 - 1) = "0", OFFSET($A$1, 183 - 1, 97 - 1) = "1" ), 3, 4 ) ) )</f>
        <v>1</v>
      </c>
      <c r="CV183" s="24">
        <v>0.99883575679228986</v>
      </c>
      <c r="CW183" s="24" t="str">
        <f>"1"</f>
        <v>1</v>
      </c>
      <c r="CX183" t="str">
        <f ca="1">IF((OFFSET($A$1, 183 - 1, 100 - 1)) &gt;= (OFFSET($A$1, 78 - 1, 7 - 1)), "1","0")</f>
        <v>1</v>
      </c>
      <c r="CY183">
        <f ca="1" xml:space="preserve"> IF( AND( OFFSET($A$1, 183 - 1, 101 - 1) = "1", OFFSET($A$1, 183 - 1, 102 - 1) = "1" ), 1, IF( AND( OFFSET($A$1, 183 - 1, 101 - 1) = "1", OFFSET($A$1, 183 - 1, 102 - 1) = "0" ), 2, IF( AND( OFFSET($A$1, 183 - 1, 101 - 1) = "0", OFFSET($A$1, 183 - 1, 102 - 1) = "1" ), 3, 4 ) ) )</f>
        <v>1</v>
      </c>
    </row>
    <row r="184" spans="95:103" ht="13.8" x14ac:dyDescent="0.3">
      <c r="CQ184" s="24">
        <v>0.99030612196801959</v>
      </c>
      <c r="CR184" s="24" t="str">
        <f t="shared" si="13"/>
        <v>1</v>
      </c>
      <c r="CS184" t="str">
        <f ca="1">IF((OFFSET($A$1, 184 - 1, 95 - 1)) &gt;= (OFFSET($A$1, 54 - 1, 7 - 1)), "1","0")</f>
        <v>1</v>
      </c>
      <c r="CT184">
        <f ca="1" xml:space="preserve"> IF( AND( OFFSET($A$1, 184 - 1, 96 - 1) = "1", OFFSET($A$1, 184 - 1, 97 - 1) = "1" ), 1, IF( AND( OFFSET($A$1, 184 - 1, 96 - 1) = "1", OFFSET($A$1, 184 - 1, 97 - 1) = "0" ), 2, IF( AND( OFFSET($A$1, 184 - 1, 96 - 1) = "0", OFFSET($A$1, 184 - 1, 97 - 1) = "1" ), 3, 4 ) ) )</f>
        <v>1</v>
      </c>
      <c r="CV184" s="24">
        <v>0.9278386541243685</v>
      </c>
      <c r="CW184" s="24" t="str">
        <f>"1"</f>
        <v>1</v>
      </c>
      <c r="CX184" t="str">
        <f ca="1">IF((OFFSET($A$1, 184 - 1, 100 - 1)) &gt;= (OFFSET($A$1, 78 - 1, 7 - 1)), "1","0")</f>
        <v>1</v>
      </c>
      <c r="CY184">
        <f ca="1" xml:space="preserve"> IF( AND( OFFSET($A$1, 184 - 1, 101 - 1) = "1", OFFSET($A$1, 184 - 1, 102 - 1) = "1" ), 1, IF( AND( OFFSET($A$1, 184 - 1, 101 - 1) = "1", OFFSET($A$1, 184 - 1, 102 - 1) = "0" ), 2, IF( AND( OFFSET($A$1, 184 - 1, 101 - 1) = "0", OFFSET($A$1, 184 - 1, 102 - 1) = "1" ), 3, 4 ) ) )</f>
        <v>1</v>
      </c>
    </row>
    <row r="185" spans="95:103" ht="13.8" x14ac:dyDescent="0.3">
      <c r="CQ185" s="24">
        <v>0.11460825695699699</v>
      </c>
      <c r="CR185" s="24" t="str">
        <f>"0"</f>
        <v>0</v>
      </c>
      <c r="CS185" t="str">
        <f ca="1">IF((OFFSET($A$1, 185 - 1, 95 - 1)) &gt;= (OFFSET($A$1, 54 - 1, 7 - 1)), "1","0")</f>
        <v>0</v>
      </c>
      <c r="CT185">
        <f ca="1" xml:space="preserve"> IF( AND( OFFSET($A$1, 185 - 1, 96 - 1) = "1", OFFSET($A$1, 185 - 1, 97 - 1) = "1" ), 1, IF( AND( OFFSET($A$1, 185 - 1, 96 - 1) = "1", OFFSET($A$1, 185 - 1, 97 - 1) = "0" ), 2, IF( AND( OFFSET($A$1, 185 - 1, 96 - 1) = "0", OFFSET($A$1, 185 - 1, 97 - 1) = "1" ), 3, 4 ) ) )</f>
        <v>4</v>
      </c>
      <c r="CV185" s="24">
        <v>0.56788302567514848</v>
      </c>
      <c r="CW185" s="24" t="str">
        <f>"0"</f>
        <v>0</v>
      </c>
      <c r="CX185" t="str">
        <f ca="1">IF((OFFSET($A$1, 185 - 1, 100 - 1)) &gt;= (OFFSET($A$1, 78 - 1, 7 - 1)), "1","0")</f>
        <v>1</v>
      </c>
      <c r="CY185">
        <f ca="1" xml:space="preserve"> IF( AND( OFFSET($A$1, 185 - 1, 101 - 1) = "1", OFFSET($A$1, 185 - 1, 102 - 1) = "1" ), 1, IF( AND( OFFSET($A$1, 185 - 1, 101 - 1) = "1", OFFSET($A$1, 185 - 1, 102 - 1) = "0" ), 2, IF( AND( OFFSET($A$1, 185 - 1, 101 - 1) = "0", OFFSET($A$1, 185 - 1, 102 - 1) = "1" ), 3, 4 ) ) )</f>
        <v>3</v>
      </c>
    </row>
    <row r="186" spans="95:103" ht="13.8" x14ac:dyDescent="0.3">
      <c r="CQ186" s="24">
        <v>0.99976617580728622</v>
      </c>
      <c r="CR186" s="24" t="str">
        <f>"1"</f>
        <v>1</v>
      </c>
      <c r="CS186" t="str">
        <f ca="1">IF((OFFSET($A$1, 186 - 1, 95 - 1)) &gt;= (OFFSET($A$1, 54 - 1, 7 - 1)), "1","0")</f>
        <v>1</v>
      </c>
      <c r="CT186">
        <f ca="1" xml:space="preserve"> IF( AND( OFFSET($A$1, 186 - 1, 96 - 1) = "1", OFFSET($A$1, 186 - 1, 97 - 1) = "1" ), 1, IF( AND( OFFSET($A$1, 186 - 1, 96 - 1) = "1", OFFSET($A$1, 186 - 1, 97 - 1) = "0" ), 2, IF( AND( OFFSET($A$1, 186 - 1, 96 - 1) = "0", OFFSET($A$1, 186 - 1, 97 - 1) = "1" ), 3, 4 ) ) )</f>
        <v>1</v>
      </c>
      <c r="CV186" s="24">
        <v>0.99992715671283006</v>
      </c>
      <c r="CW186" s="24" t="str">
        <f>"1"</f>
        <v>1</v>
      </c>
      <c r="CX186" t="str">
        <f ca="1">IF((OFFSET($A$1, 186 - 1, 100 - 1)) &gt;= (OFFSET($A$1, 78 - 1, 7 - 1)), "1","0")</f>
        <v>1</v>
      </c>
      <c r="CY186">
        <f ca="1" xml:space="preserve"> IF( AND( OFFSET($A$1, 186 - 1, 101 - 1) = "1", OFFSET($A$1, 186 - 1, 102 - 1) = "1" ), 1, IF( AND( OFFSET($A$1, 186 - 1, 101 - 1) = "1", OFFSET($A$1, 186 - 1, 102 - 1) = "0" ), 2, IF( AND( OFFSET($A$1, 186 - 1, 101 - 1) = "0", OFFSET($A$1, 186 - 1, 102 - 1) = "1" ), 3, 4 ) ) )</f>
        <v>1</v>
      </c>
    </row>
    <row r="187" spans="95:103" ht="13.8" x14ac:dyDescent="0.3">
      <c r="CQ187" s="24">
        <v>0.94818651255678887</v>
      </c>
      <c r="CR187" s="24" t="str">
        <f>"1"</f>
        <v>1</v>
      </c>
      <c r="CS187" t="str">
        <f ca="1">IF((OFFSET($A$1, 187 - 1, 95 - 1)) &gt;= (OFFSET($A$1, 54 - 1, 7 - 1)), "1","0")</f>
        <v>1</v>
      </c>
      <c r="CT187">
        <f ca="1" xml:space="preserve"> IF( AND( OFFSET($A$1, 187 - 1, 96 - 1) = "1", OFFSET($A$1, 187 - 1, 97 - 1) = "1" ), 1, IF( AND( OFFSET($A$1, 187 - 1, 96 - 1) = "1", OFFSET($A$1, 187 - 1, 97 - 1) = "0" ), 2, IF( AND( OFFSET($A$1, 187 - 1, 96 - 1) = "0", OFFSET($A$1, 187 - 1, 97 - 1) = "1" ), 3, 4 ) ) )</f>
        <v>1</v>
      </c>
      <c r="CV187" s="24">
        <v>0.47979634589114833</v>
      </c>
      <c r="CW187" s="24" t="str">
        <f>"0"</f>
        <v>0</v>
      </c>
      <c r="CX187" t="str">
        <f ca="1">IF((OFFSET($A$1, 187 - 1, 100 - 1)) &gt;= (OFFSET($A$1, 78 - 1, 7 - 1)), "1","0")</f>
        <v>0</v>
      </c>
      <c r="CY187">
        <f ca="1" xml:space="preserve"> IF( AND( OFFSET($A$1, 187 - 1, 101 - 1) = "1", OFFSET($A$1, 187 - 1, 102 - 1) = "1" ), 1, IF( AND( OFFSET($A$1, 187 - 1, 101 - 1) = "1", OFFSET($A$1, 187 - 1, 102 - 1) = "0" ), 2, IF( AND( OFFSET($A$1, 187 - 1, 101 - 1) = "0", OFFSET($A$1, 187 - 1, 102 - 1) = "1" ), 3, 4 ) ) )</f>
        <v>4</v>
      </c>
    </row>
    <row r="188" spans="95:103" ht="13.8" x14ac:dyDescent="0.3">
      <c r="CQ188" s="24">
        <v>0.99944630281043589</v>
      </c>
      <c r="CR188" s="24" t="str">
        <f>"1"</f>
        <v>1</v>
      </c>
      <c r="CS188" t="str">
        <f ca="1">IF((OFFSET($A$1, 188 - 1, 95 - 1)) &gt;= (OFFSET($A$1, 54 - 1, 7 - 1)), "1","0")</f>
        <v>1</v>
      </c>
      <c r="CT188">
        <f ca="1" xml:space="preserve"> IF( AND( OFFSET($A$1, 188 - 1, 96 - 1) = "1", OFFSET($A$1, 188 - 1, 97 - 1) = "1" ), 1, IF( AND( OFFSET($A$1, 188 - 1, 96 - 1) = "1", OFFSET($A$1, 188 - 1, 97 - 1) = "0" ), 2, IF( AND( OFFSET($A$1, 188 - 1, 96 - 1) = "0", OFFSET($A$1, 188 - 1, 97 - 1) = "1" ), 3, 4 ) ) )</f>
        <v>1</v>
      </c>
      <c r="CV188" s="24">
        <v>0.97066495225160732</v>
      </c>
      <c r="CW188" s="24" t="str">
        <f>"1"</f>
        <v>1</v>
      </c>
      <c r="CX188" t="str">
        <f ca="1">IF((OFFSET($A$1, 188 - 1, 100 - 1)) &gt;= (OFFSET($A$1, 78 - 1, 7 - 1)), "1","0")</f>
        <v>1</v>
      </c>
      <c r="CY188">
        <f ca="1" xml:space="preserve"> IF( AND( OFFSET($A$1, 188 - 1, 101 - 1) = "1", OFFSET($A$1, 188 - 1, 102 - 1) = "1" ), 1, IF( AND( OFFSET($A$1, 188 - 1, 101 - 1) = "1", OFFSET($A$1, 188 - 1, 102 - 1) = "0" ), 2, IF( AND( OFFSET($A$1, 188 - 1, 101 - 1) = "0", OFFSET($A$1, 188 - 1, 102 - 1) = "1" ), 3, 4 ) ) )</f>
        <v>1</v>
      </c>
    </row>
    <row r="189" spans="95:103" ht="13.8" x14ac:dyDescent="0.3">
      <c r="CQ189" s="24">
        <v>1.2229136295990751E-2</v>
      </c>
      <c r="CR189" s="24" t="str">
        <f>"0"</f>
        <v>0</v>
      </c>
      <c r="CS189" t="str">
        <f ca="1">IF((OFFSET($A$1, 189 - 1, 95 - 1)) &gt;= (OFFSET($A$1, 54 - 1, 7 - 1)), "1","0")</f>
        <v>0</v>
      </c>
      <c r="CT189">
        <f ca="1" xml:space="preserve"> IF( AND( OFFSET($A$1, 189 - 1, 96 - 1) = "1", OFFSET($A$1, 189 - 1, 97 - 1) = "1" ), 1, IF( AND( OFFSET($A$1, 189 - 1, 96 - 1) = "1", OFFSET($A$1, 189 - 1, 97 - 1) = "0" ), 2, IF( AND( OFFSET($A$1, 189 - 1, 96 - 1) = "0", OFFSET($A$1, 189 - 1, 97 - 1) = "1" ), 3, 4 ) ) )</f>
        <v>4</v>
      </c>
      <c r="CV189" s="24">
        <v>0.99530330231105868</v>
      </c>
      <c r="CW189" s="24" t="str">
        <f>"1"</f>
        <v>1</v>
      </c>
      <c r="CX189" t="str">
        <f ca="1">IF((OFFSET($A$1, 189 - 1, 100 - 1)) &gt;= (OFFSET($A$1, 78 - 1, 7 - 1)), "1","0")</f>
        <v>1</v>
      </c>
      <c r="CY189">
        <f ca="1" xml:space="preserve"> IF( AND( OFFSET($A$1, 189 - 1, 101 - 1) = "1", OFFSET($A$1, 189 - 1, 102 - 1) = "1" ), 1, IF( AND( OFFSET($A$1, 189 - 1, 101 - 1) = "1", OFFSET($A$1, 189 - 1, 102 - 1) = "0" ), 2, IF( AND( OFFSET($A$1, 189 - 1, 101 - 1) = "0", OFFSET($A$1, 189 - 1, 102 - 1) = "1" ), 3, 4 ) ) )</f>
        <v>1</v>
      </c>
    </row>
    <row r="190" spans="95:103" ht="13.8" x14ac:dyDescent="0.3">
      <c r="CQ190" s="24">
        <v>0.89853551411731358</v>
      </c>
      <c r="CR190" s="24" t="str">
        <f>"1"</f>
        <v>1</v>
      </c>
      <c r="CS190" t="str">
        <f ca="1">IF((OFFSET($A$1, 190 - 1, 95 - 1)) &gt;= (OFFSET($A$1, 54 - 1, 7 - 1)), "1","0")</f>
        <v>1</v>
      </c>
      <c r="CT190">
        <f ca="1" xml:space="preserve"> IF( AND( OFFSET($A$1, 190 - 1, 96 - 1) = "1", OFFSET($A$1, 190 - 1, 97 - 1) = "1" ), 1, IF( AND( OFFSET($A$1, 190 - 1, 96 - 1) = "1", OFFSET($A$1, 190 - 1, 97 - 1) = "0" ), 2, IF( AND( OFFSET($A$1, 190 - 1, 96 - 1) = "0", OFFSET($A$1, 190 - 1, 97 - 1) = "1" ), 3, 4 ) ) )</f>
        <v>1</v>
      </c>
      <c r="CV190" s="24">
        <v>0.79501539028428048</v>
      </c>
      <c r="CW190" s="24" t="str">
        <f>"1"</f>
        <v>1</v>
      </c>
      <c r="CX190" t="str">
        <f ca="1">IF((OFFSET($A$1, 190 - 1, 100 - 1)) &gt;= (OFFSET($A$1, 78 - 1, 7 - 1)), "1","0")</f>
        <v>1</v>
      </c>
      <c r="CY190">
        <f ca="1" xml:space="preserve"> IF( AND( OFFSET($A$1, 190 - 1, 101 - 1) = "1", OFFSET($A$1, 190 - 1, 102 - 1) = "1" ), 1, IF( AND( OFFSET($A$1, 190 - 1, 101 - 1) = "1", OFFSET($A$1, 190 - 1, 102 - 1) = "0" ), 2, IF( AND( OFFSET($A$1, 190 - 1, 101 - 1) = "0", OFFSET($A$1, 190 - 1, 102 - 1) = "1" ), 3, 4 ) ) )</f>
        <v>1</v>
      </c>
    </row>
    <row r="191" spans="95:103" ht="13.8" x14ac:dyDescent="0.3">
      <c r="CQ191" s="24">
        <v>0.99999935044221377</v>
      </c>
      <c r="CR191" s="24" t="str">
        <f>"1"</f>
        <v>1</v>
      </c>
      <c r="CS191" t="str">
        <f ca="1">IF((OFFSET($A$1, 191 - 1, 95 - 1)) &gt;= (OFFSET($A$1, 54 - 1, 7 - 1)), "1","0")</f>
        <v>1</v>
      </c>
      <c r="CT191">
        <f ca="1" xml:space="preserve"> IF( AND( OFFSET($A$1, 191 - 1, 96 - 1) = "1", OFFSET($A$1, 191 - 1, 97 - 1) = "1" ), 1, IF( AND( OFFSET($A$1, 191 - 1, 96 - 1) = "1", OFFSET($A$1, 191 - 1, 97 - 1) = "0" ), 2, IF( AND( OFFSET($A$1, 191 - 1, 96 - 1) = "0", OFFSET($A$1, 191 - 1, 97 - 1) = "1" ), 3, 4 ) ) )</f>
        <v>1</v>
      </c>
      <c r="CV191" s="24">
        <v>0.50639590579679727</v>
      </c>
      <c r="CW191" s="24" t="str">
        <f>"1"</f>
        <v>1</v>
      </c>
      <c r="CX191" t="str">
        <f ca="1">IF((OFFSET($A$1, 191 - 1, 100 - 1)) &gt;= (OFFSET($A$1, 78 - 1, 7 - 1)), "1","0")</f>
        <v>1</v>
      </c>
      <c r="CY191">
        <f ca="1" xml:space="preserve"> IF( AND( OFFSET($A$1, 191 - 1, 101 - 1) = "1", OFFSET($A$1, 191 - 1, 102 - 1) = "1" ), 1, IF( AND( OFFSET($A$1, 191 - 1, 101 - 1) = "1", OFFSET($A$1, 191 - 1, 102 - 1) = "0" ), 2, IF( AND( OFFSET($A$1, 191 - 1, 101 - 1) = "0", OFFSET($A$1, 191 - 1, 102 - 1) = "1" ), 3, 4 ) ) )</f>
        <v>1</v>
      </c>
    </row>
    <row r="192" spans="95:103" ht="13.8" x14ac:dyDescent="0.3">
      <c r="CQ192" s="24">
        <v>0.99788761580200802</v>
      </c>
      <c r="CR192" s="24" t="str">
        <f>"1"</f>
        <v>1</v>
      </c>
      <c r="CS192" t="str">
        <f ca="1">IF((OFFSET($A$1, 192 - 1, 95 - 1)) &gt;= (OFFSET($A$1, 54 - 1, 7 - 1)), "1","0")</f>
        <v>1</v>
      </c>
      <c r="CT192">
        <f ca="1" xml:space="preserve"> IF( AND( OFFSET($A$1, 192 - 1, 96 - 1) = "1", OFFSET($A$1, 192 - 1, 97 - 1) = "1" ), 1, IF( AND( OFFSET($A$1, 192 - 1, 96 - 1) = "1", OFFSET($A$1, 192 - 1, 97 - 1) = "0" ), 2, IF( AND( OFFSET($A$1, 192 - 1, 96 - 1) = "0", OFFSET($A$1, 192 - 1, 97 - 1) = "1" ), 3, 4 ) ) )</f>
        <v>1</v>
      </c>
      <c r="CV192" s="24">
        <v>0.60841090739260784</v>
      </c>
      <c r="CW192" s="24" t="str">
        <f>"1"</f>
        <v>1</v>
      </c>
      <c r="CX192" t="str">
        <f ca="1">IF((OFFSET($A$1, 192 - 1, 100 - 1)) &gt;= (OFFSET($A$1, 78 - 1, 7 - 1)), "1","0")</f>
        <v>1</v>
      </c>
      <c r="CY192">
        <f ca="1" xml:space="preserve"> IF( AND( OFFSET($A$1, 192 - 1, 101 - 1) = "1", OFFSET($A$1, 192 - 1, 102 - 1) = "1" ), 1, IF( AND( OFFSET($A$1, 192 - 1, 101 - 1) = "1", OFFSET($A$1, 192 - 1, 102 - 1) = "0" ), 2, IF( AND( OFFSET($A$1, 192 - 1, 101 - 1) = "0", OFFSET($A$1, 192 - 1, 102 - 1) = "1" ), 3, 4 ) ) )</f>
        <v>1</v>
      </c>
    </row>
    <row r="193" spans="95:103" ht="13.8" x14ac:dyDescent="0.3">
      <c r="CQ193" s="24">
        <v>1.8864152755046605E-3</v>
      </c>
      <c r="CR193" s="24" t="str">
        <f>"0"</f>
        <v>0</v>
      </c>
      <c r="CS193" t="str">
        <f ca="1">IF((OFFSET($A$1, 193 - 1, 95 - 1)) &gt;= (OFFSET($A$1, 54 - 1, 7 - 1)), "1","0")</f>
        <v>0</v>
      </c>
      <c r="CT193">
        <f ca="1" xml:space="preserve"> IF( AND( OFFSET($A$1, 193 - 1, 96 - 1) = "1", OFFSET($A$1, 193 - 1, 97 - 1) = "1" ), 1, IF( AND( OFFSET($A$1, 193 - 1, 96 - 1) = "1", OFFSET($A$1, 193 - 1, 97 - 1) = "0" ), 2, IF( AND( OFFSET($A$1, 193 - 1, 96 - 1) = "0", OFFSET($A$1, 193 - 1, 97 - 1) = "1" ), 3, 4 ) ) )</f>
        <v>4</v>
      </c>
      <c r="CV193" s="24">
        <v>0.10232903128982972</v>
      </c>
      <c r="CW193" s="24" t="str">
        <f>"0"</f>
        <v>0</v>
      </c>
      <c r="CX193" t="str">
        <f ca="1">IF((OFFSET($A$1, 193 - 1, 100 - 1)) &gt;= (OFFSET($A$1, 78 - 1, 7 - 1)), "1","0")</f>
        <v>0</v>
      </c>
      <c r="CY193">
        <f ca="1" xml:space="preserve"> IF( AND( OFFSET($A$1, 193 - 1, 101 - 1) = "1", OFFSET($A$1, 193 - 1, 102 - 1) = "1" ), 1, IF( AND( OFFSET($A$1, 193 - 1, 101 - 1) = "1", OFFSET($A$1, 193 - 1, 102 - 1) = "0" ), 2, IF( AND( OFFSET($A$1, 193 - 1, 101 - 1) = "0", OFFSET($A$1, 193 - 1, 102 - 1) = "1" ), 3, 4 ) ) )</f>
        <v>4</v>
      </c>
    </row>
    <row r="194" spans="95:103" ht="13.8" x14ac:dyDescent="0.3">
      <c r="CQ194" s="24">
        <v>4.7260626009375528E-2</v>
      </c>
      <c r="CR194" s="24" t="str">
        <f>"0"</f>
        <v>0</v>
      </c>
      <c r="CS194" t="str">
        <f ca="1">IF((OFFSET($A$1, 194 - 1, 95 - 1)) &gt;= (OFFSET($A$1, 54 - 1, 7 - 1)), "1","0")</f>
        <v>0</v>
      </c>
      <c r="CT194">
        <f ca="1" xml:space="preserve"> IF( AND( OFFSET($A$1, 194 - 1, 96 - 1) = "1", OFFSET($A$1, 194 - 1, 97 - 1) = "1" ), 1, IF( AND( OFFSET($A$1, 194 - 1, 96 - 1) = "1", OFFSET($A$1, 194 - 1, 97 - 1) = "0" ), 2, IF( AND( OFFSET($A$1, 194 - 1, 96 - 1) = "0", OFFSET($A$1, 194 - 1, 97 - 1) = "1" ), 3, 4 ) ) )</f>
        <v>4</v>
      </c>
      <c r="CV194" s="24">
        <v>0.91959667103676224</v>
      </c>
      <c r="CW194" s="24" t="str">
        <f>"0"</f>
        <v>0</v>
      </c>
      <c r="CX194" t="str">
        <f ca="1">IF((OFFSET($A$1, 194 - 1, 100 - 1)) &gt;= (OFFSET($A$1, 78 - 1, 7 - 1)), "1","0")</f>
        <v>1</v>
      </c>
      <c r="CY194">
        <f ca="1" xml:space="preserve"> IF( AND( OFFSET($A$1, 194 - 1, 101 - 1) = "1", OFFSET($A$1, 194 - 1, 102 - 1) = "1" ), 1, IF( AND( OFFSET($A$1, 194 - 1, 101 - 1) = "1", OFFSET($A$1, 194 - 1, 102 - 1) = "0" ), 2, IF( AND( OFFSET($A$1, 194 - 1, 101 - 1) = "0", OFFSET($A$1, 194 - 1, 102 - 1) = "1" ), 3, 4 ) ) )</f>
        <v>3</v>
      </c>
    </row>
    <row r="195" spans="95:103" ht="13.8" x14ac:dyDescent="0.3">
      <c r="CQ195" s="24">
        <v>0.99935320238633685</v>
      </c>
      <c r="CR195" s="24" t="str">
        <f t="shared" ref="CR195:CR206" si="14">"1"</f>
        <v>1</v>
      </c>
      <c r="CS195" t="str">
        <f ca="1">IF((OFFSET($A$1, 195 - 1, 95 - 1)) &gt;= (OFFSET($A$1, 54 - 1, 7 - 1)), "1","0")</f>
        <v>1</v>
      </c>
      <c r="CT195">
        <f ca="1" xml:space="preserve"> IF( AND( OFFSET($A$1, 195 - 1, 96 - 1) = "1", OFFSET($A$1, 195 - 1, 97 - 1) = "1" ), 1, IF( AND( OFFSET($A$1, 195 - 1, 96 - 1) = "1", OFFSET($A$1, 195 - 1, 97 - 1) = "0" ), 2, IF( AND( OFFSET($A$1, 195 - 1, 96 - 1) = "0", OFFSET($A$1, 195 - 1, 97 - 1) = "1" ), 3, 4 ) ) )</f>
        <v>1</v>
      </c>
      <c r="CV195" s="24">
        <v>0.99910282495138814</v>
      </c>
      <c r="CW195" s="24" t="str">
        <f>"1"</f>
        <v>1</v>
      </c>
      <c r="CX195" t="str">
        <f ca="1">IF((OFFSET($A$1, 195 - 1, 100 - 1)) &gt;= (OFFSET($A$1, 78 - 1, 7 - 1)), "1","0")</f>
        <v>1</v>
      </c>
      <c r="CY195">
        <f ca="1" xml:space="preserve"> IF( AND( OFFSET($A$1, 195 - 1, 101 - 1) = "1", OFFSET($A$1, 195 - 1, 102 - 1) = "1" ), 1, IF( AND( OFFSET($A$1, 195 - 1, 101 - 1) = "1", OFFSET($A$1, 195 - 1, 102 - 1) = "0" ), 2, IF( AND( OFFSET($A$1, 195 - 1, 101 - 1) = "0", OFFSET($A$1, 195 - 1, 102 - 1) = "1" ), 3, 4 ) ) )</f>
        <v>1</v>
      </c>
    </row>
    <row r="196" spans="95:103" ht="13.8" x14ac:dyDescent="0.3">
      <c r="CQ196" s="24">
        <v>0.99948158394329611</v>
      </c>
      <c r="CR196" s="24" t="str">
        <f t="shared" si="14"/>
        <v>1</v>
      </c>
      <c r="CS196" t="str">
        <f ca="1">IF((OFFSET($A$1, 196 - 1, 95 - 1)) &gt;= (OFFSET($A$1, 54 - 1, 7 - 1)), "1","0")</f>
        <v>1</v>
      </c>
      <c r="CT196">
        <f ca="1" xml:space="preserve"> IF( AND( OFFSET($A$1, 196 - 1, 96 - 1) = "1", OFFSET($A$1, 196 - 1, 97 - 1) = "1" ), 1, IF( AND( OFFSET($A$1, 196 - 1, 96 - 1) = "1", OFFSET($A$1, 196 - 1, 97 - 1) = "0" ), 2, IF( AND( OFFSET($A$1, 196 - 1, 96 - 1) = "0", OFFSET($A$1, 196 - 1, 97 - 1) = "1" ), 3, 4 ) ) )</f>
        <v>1</v>
      </c>
      <c r="CV196" s="24">
        <v>0.94539051845853828</v>
      </c>
      <c r="CW196" s="24" t="str">
        <f>"1"</f>
        <v>1</v>
      </c>
      <c r="CX196" t="str">
        <f ca="1">IF((OFFSET($A$1, 196 - 1, 100 - 1)) &gt;= (OFFSET($A$1, 78 - 1, 7 - 1)), "1","0")</f>
        <v>1</v>
      </c>
      <c r="CY196">
        <f ca="1" xml:space="preserve"> IF( AND( OFFSET($A$1, 196 - 1, 101 - 1) = "1", OFFSET($A$1, 196 - 1, 102 - 1) = "1" ), 1, IF( AND( OFFSET($A$1, 196 - 1, 101 - 1) = "1", OFFSET($A$1, 196 - 1, 102 - 1) = "0" ), 2, IF( AND( OFFSET($A$1, 196 - 1, 101 - 1) = "0", OFFSET($A$1, 196 - 1, 102 - 1) = "1" ), 3, 4 ) ) )</f>
        <v>1</v>
      </c>
    </row>
    <row r="197" spans="95:103" ht="13.8" x14ac:dyDescent="0.3">
      <c r="CQ197" s="24">
        <v>0.98646720722691217</v>
      </c>
      <c r="CR197" s="24" t="str">
        <f t="shared" si="14"/>
        <v>1</v>
      </c>
      <c r="CS197" t="str">
        <f ca="1">IF((OFFSET($A$1, 197 - 1, 95 - 1)) &gt;= (OFFSET($A$1, 54 - 1, 7 - 1)), "1","0")</f>
        <v>1</v>
      </c>
      <c r="CT197">
        <f ca="1" xml:space="preserve"> IF( AND( OFFSET($A$1, 197 - 1, 96 - 1) = "1", OFFSET($A$1, 197 - 1, 97 - 1) = "1" ), 1, IF( AND( OFFSET($A$1, 197 - 1, 96 - 1) = "1", OFFSET($A$1, 197 - 1, 97 - 1) = "0" ), 2, IF( AND( OFFSET($A$1, 197 - 1, 96 - 1) = "0", OFFSET($A$1, 197 - 1, 97 - 1) = "1" ), 3, 4 ) ) )</f>
        <v>1</v>
      </c>
      <c r="CV197" s="24">
        <v>0.11361996870550907</v>
      </c>
      <c r="CW197" s="24" t="str">
        <f>"0"</f>
        <v>0</v>
      </c>
      <c r="CX197" t="str">
        <f ca="1">IF((OFFSET($A$1, 197 - 1, 100 - 1)) &gt;= (OFFSET($A$1, 78 - 1, 7 - 1)), "1","0")</f>
        <v>0</v>
      </c>
      <c r="CY197">
        <f ca="1" xml:space="preserve"> IF( AND( OFFSET($A$1, 197 - 1, 101 - 1) = "1", OFFSET($A$1, 197 - 1, 102 - 1) = "1" ), 1, IF( AND( OFFSET($A$1, 197 - 1, 101 - 1) = "1", OFFSET($A$1, 197 - 1, 102 - 1) = "0" ), 2, IF( AND( OFFSET($A$1, 197 - 1, 101 - 1) = "0", OFFSET($A$1, 197 - 1, 102 - 1) = "1" ), 3, 4 ) ) )</f>
        <v>4</v>
      </c>
    </row>
    <row r="198" spans="95:103" ht="13.8" x14ac:dyDescent="0.3">
      <c r="CQ198" s="24">
        <v>0.92276482664660087</v>
      </c>
      <c r="CR198" s="24" t="str">
        <f t="shared" si="14"/>
        <v>1</v>
      </c>
      <c r="CS198" t="str">
        <f ca="1">IF((OFFSET($A$1, 198 - 1, 95 - 1)) &gt;= (OFFSET($A$1, 54 - 1, 7 - 1)), "1","0")</f>
        <v>1</v>
      </c>
      <c r="CT198">
        <f ca="1" xml:space="preserve"> IF( AND( OFFSET($A$1, 198 - 1, 96 - 1) = "1", OFFSET($A$1, 198 - 1, 97 - 1) = "1" ), 1, IF( AND( OFFSET($A$1, 198 - 1, 96 - 1) = "1", OFFSET($A$1, 198 - 1, 97 - 1) = "0" ), 2, IF( AND( OFFSET($A$1, 198 - 1, 96 - 1) = "0", OFFSET($A$1, 198 - 1, 97 - 1) = "1" ), 3, 4 ) ) )</f>
        <v>1</v>
      </c>
      <c r="CV198" s="24">
        <v>0.69451574182008058</v>
      </c>
      <c r="CW198" s="24" t="str">
        <f>"1"</f>
        <v>1</v>
      </c>
      <c r="CX198" t="str">
        <f ca="1">IF((OFFSET($A$1, 198 - 1, 100 - 1)) &gt;= (OFFSET($A$1, 78 - 1, 7 - 1)), "1","0")</f>
        <v>1</v>
      </c>
      <c r="CY198">
        <f ca="1" xml:space="preserve"> IF( AND( OFFSET($A$1, 198 - 1, 101 - 1) = "1", OFFSET($A$1, 198 - 1, 102 - 1) = "1" ), 1, IF( AND( OFFSET($A$1, 198 - 1, 101 - 1) = "1", OFFSET($A$1, 198 - 1, 102 - 1) = "0" ), 2, IF( AND( OFFSET($A$1, 198 - 1, 101 - 1) = "0", OFFSET($A$1, 198 - 1, 102 - 1) = "1" ), 3, 4 ) ) )</f>
        <v>1</v>
      </c>
    </row>
    <row r="199" spans="95:103" ht="13.8" x14ac:dyDescent="0.3">
      <c r="CQ199" s="24">
        <v>0.95292087531447156</v>
      </c>
      <c r="CR199" s="24" t="str">
        <f t="shared" si="14"/>
        <v>1</v>
      </c>
      <c r="CS199" t="str">
        <f ca="1">IF((OFFSET($A$1, 199 - 1, 95 - 1)) &gt;= (OFFSET($A$1, 54 - 1, 7 - 1)), "1","0")</f>
        <v>1</v>
      </c>
      <c r="CT199">
        <f ca="1" xml:space="preserve"> IF( AND( OFFSET($A$1, 199 - 1, 96 - 1) = "1", OFFSET($A$1, 199 - 1, 97 - 1) = "1" ), 1, IF( AND( OFFSET($A$1, 199 - 1, 96 - 1) = "1", OFFSET($A$1, 199 - 1, 97 - 1) = "0" ), 2, IF( AND( OFFSET($A$1, 199 - 1, 96 - 1) = "0", OFFSET($A$1, 199 - 1, 97 - 1) = "1" ), 3, 4 ) ) )</f>
        <v>1</v>
      </c>
      <c r="CV199" s="24">
        <v>0.9849803250852921</v>
      </c>
      <c r="CW199" s="24" t="str">
        <f>"0"</f>
        <v>0</v>
      </c>
      <c r="CX199" t="str">
        <f ca="1">IF((OFFSET($A$1, 199 - 1, 100 - 1)) &gt;= (OFFSET($A$1, 78 - 1, 7 - 1)), "1","0")</f>
        <v>1</v>
      </c>
      <c r="CY199">
        <f ca="1" xml:space="preserve"> IF( AND( OFFSET($A$1, 199 - 1, 101 - 1) = "1", OFFSET($A$1, 199 - 1, 102 - 1) = "1" ), 1, IF( AND( OFFSET($A$1, 199 - 1, 101 - 1) = "1", OFFSET($A$1, 199 - 1, 102 - 1) = "0" ), 2, IF( AND( OFFSET($A$1, 199 - 1, 101 - 1) = "0", OFFSET($A$1, 199 - 1, 102 - 1) = "1" ), 3, 4 ) ) )</f>
        <v>3</v>
      </c>
    </row>
    <row r="200" spans="95:103" ht="13.8" x14ac:dyDescent="0.3">
      <c r="CQ200" s="24">
        <v>0.94575414561900406</v>
      </c>
      <c r="CR200" s="24" t="str">
        <f t="shared" si="14"/>
        <v>1</v>
      </c>
      <c r="CS200" t="str">
        <f ca="1">IF((OFFSET($A$1, 200 - 1, 95 - 1)) &gt;= (OFFSET($A$1, 54 - 1, 7 - 1)), "1","0")</f>
        <v>1</v>
      </c>
      <c r="CT200">
        <f ca="1" xml:space="preserve"> IF( AND( OFFSET($A$1, 200 - 1, 96 - 1) = "1", OFFSET($A$1, 200 - 1, 97 - 1) = "1" ), 1, IF( AND( OFFSET($A$1, 200 - 1, 96 - 1) = "1", OFFSET($A$1, 200 - 1, 97 - 1) = "0" ), 2, IF( AND( OFFSET($A$1, 200 - 1, 96 - 1) = "0", OFFSET($A$1, 200 - 1, 97 - 1) = "1" ), 3, 4 ) ) )</f>
        <v>1</v>
      </c>
      <c r="CV200" s="24">
        <v>0.70301638014302525</v>
      </c>
      <c r="CW200" s="24" t="str">
        <f>"1"</f>
        <v>1</v>
      </c>
      <c r="CX200" t="str">
        <f ca="1">IF((OFFSET($A$1, 200 - 1, 100 - 1)) &gt;= (OFFSET($A$1, 78 - 1, 7 - 1)), "1","0")</f>
        <v>1</v>
      </c>
      <c r="CY200">
        <f ca="1" xml:space="preserve"> IF( AND( OFFSET($A$1, 200 - 1, 101 - 1) = "1", OFFSET($A$1, 200 - 1, 102 - 1) = "1" ), 1, IF( AND( OFFSET($A$1, 200 - 1, 101 - 1) = "1", OFFSET($A$1, 200 - 1, 102 - 1) = "0" ), 2, IF( AND( OFFSET($A$1, 200 - 1, 101 - 1) = "0", OFFSET($A$1, 200 - 1, 102 - 1) = "1" ), 3, 4 ) ) )</f>
        <v>1</v>
      </c>
    </row>
    <row r="201" spans="95:103" ht="13.8" x14ac:dyDescent="0.3">
      <c r="CQ201" s="24">
        <v>0.86670063336423286</v>
      </c>
      <c r="CR201" s="24" t="str">
        <f t="shared" si="14"/>
        <v>1</v>
      </c>
      <c r="CS201" t="str">
        <f ca="1">IF((OFFSET($A$1, 201 - 1, 95 - 1)) &gt;= (OFFSET($A$1, 54 - 1, 7 - 1)), "1","0")</f>
        <v>1</v>
      </c>
      <c r="CT201">
        <f ca="1" xml:space="preserve"> IF( AND( OFFSET($A$1, 201 - 1, 96 - 1) = "1", OFFSET($A$1, 201 - 1, 97 - 1) = "1" ), 1, IF( AND( OFFSET($A$1, 201 - 1, 96 - 1) = "1", OFFSET($A$1, 201 - 1, 97 - 1) = "0" ), 2, IF( AND( OFFSET($A$1, 201 - 1, 96 - 1) = "0", OFFSET($A$1, 201 - 1, 97 - 1) = "1" ), 3, 4 ) ) )</f>
        <v>1</v>
      </c>
      <c r="CV201" s="24">
        <v>0.77574341772035127</v>
      </c>
      <c r="CW201" s="24" t="str">
        <f>"1"</f>
        <v>1</v>
      </c>
      <c r="CX201" t="str">
        <f ca="1">IF((OFFSET($A$1, 201 - 1, 100 - 1)) &gt;= (OFFSET($A$1, 78 - 1, 7 - 1)), "1","0")</f>
        <v>1</v>
      </c>
      <c r="CY201">
        <f ca="1" xml:space="preserve"> IF( AND( OFFSET($A$1, 201 - 1, 101 - 1) = "1", OFFSET($A$1, 201 - 1, 102 - 1) = "1" ), 1, IF( AND( OFFSET($A$1, 201 - 1, 101 - 1) = "1", OFFSET($A$1, 201 - 1, 102 - 1) = "0" ), 2, IF( AND( OFFSET($A$1, 201 - 1, 101 - 1) = "0", OFFSET($A$1, 201 - 1, 102 - 1) = "1" ), 3, 4 ) ) )</f>
        <v>1</v>
      </c>
    </row>
    <row r="202" spans="95:103" ht="13.8" x14ac:dyDescent="0.3">
      <c r="CQ202" s="24">
        <v>0.98656368864877508</v>
      </c>
      <c r="CR202" s="24" t="str">
        <f t="shared" si="14"/>
        <v>1</v>
      </c>
      <c r="CS202" t="str">
        <f ca="1">IF((OFFSET($A$1, 202 - 1, 95 - 1)) &gt;= (OFFSET($A$1, 54 - 1, 7 - 1)), "1","0")</f>
        <v>1</v>
      </c>
      <c r="CT202">
        <f ca="1" xml:space="preserve"> IF( AND( OFFSET($A$1, 202 - 1, 96 - 1) = "1", OFFSET($A$1, 202 - 1, 97 - 1) = "1" ), 1, IF( AND( OFFSET($A$1, 202 - 1, 96 - 1) = "1", OFFSET($A$1, 202 - 1, 97 - 1) = "0" ), 2, IF( AND( OFFSET($A$1, 202 - 1, 96 - 1) = "0", OFFSET($A$1, 202 - 1, 97 - 1) = "1" ), 3, 4 ) ) )</f>
        <v>1</v>
      </c>
      <c r="CV202" s="24">
        <v>0.26594492820239085</v>
      </c>
      <c r="CW202" s="24" t="str">
        <f>"0"</f>
        <v>0</v>
      </c>
      <c r="CX202" t="str">
        <f ca="1">IF((OFFSET($A$1, 202 - 1, 100 - 1)) &gt;= (OFFSET($A$1, 78 - 1, 7 - 1)), "1","0")</f>
        <v>0</v>
      </c>
      <c r="CY202">
        <f ca="1" xml:space="preserve"> IF( AND( OFFSET($A$1, 202 - 1, 101 - 1) = "1", OFFSET($A$1, 202 - 1, 102 - 1) = "1" ), 1, IF( AND( OFFSET($A$1, 202 - 1, 101 - 1) = "1", OFFSET($A$1, 202 - 1, 102 - 1) = "0" ), 2, IF( AND( OFFSET($A$1, 202 - 1, 101 - 1) = "0", OFFSET($A$1, 202 - 1, 102 - 1) = "1" ), 3, 4 ) ) )</f>
        <v>4</v>
      </c>
    </row>
    <row r="203" spans="95:103" ht="13.8" x14ac:dyDescent="0.3">
      <c r="CQ203" s="24">
        <v>0.85363941001302379</v>
      </c>
      <c r="CR203" s="24" t="str">
        <f t="shared" si="14"/>
        <v>1</v>
      </c>
      <c r="CS203" t="str">
        <f ca="1">IF((OFFSET($A$1, 203 - 1, 95 - 1)) &gt;= (OFFSET($A$1, 54 - 1, 7 - 1)), "1","0")</f>
        <v>1</v>
      </c>
      <c r="CT203">
        <f ca="1" xml:space="preserve"> IF( AND( OFFSET($A$1, 203 - 1, 96 - 1) = "1", OFFSET($A$1, 203 - 1, 97 - 1) = "1" ), 1, IF( AND( OFFSET($A$1, 203 - 1, 96 - 1) = "1", OFFSET($A$1, 203 - 1, 97 - 1) = "0" ), 2, IF( AND( OFFSET($A$1, 203 - 1, 96 - 1) = "0", OFFSET($A$1, 203 - 1, 97 - 1) = "1" ), 3, 4 ) ) )</f>
        <v>1</v>
      </c>
      <c r="CV203" s="24">
        <v>0.99497644528112028</v>
      </c>
      <c r="CW203" s="24" t="str">
        <f>"1"</f>
        <v>1</v>
      </c>
      <c r="CX203" t="str">
        <f ca="1">IF((OFFSET($A$1, 203 - 1, 100 - 1)) &gt;= (OFFSET($A$1, 78 - 1, 7 - 1)), "1","0")</f>
        <v>1</v>
      </c>
      <c r="CY203">
        <f ca="1" xml:space="preserve"> IF( AND( OFFSET($A$1, 203 - 1, 101 - 1) = "1", OFFSET($A$1, 203 - 1, 102 - 1) = "1" ), 1, IF( AND( OFFSET($A$1, 203 - 1, 101 - 1) = "1", OFFSET($A$1, 203 - 1, 102 - 1) = "0" ), 2, IF( AND( OFFSET($A$1, 203 - 1, 101 - 1) = "0", OFFSET($A$1, 203 - 1, 102 - 1) = "1" ), 3, 4 ) ) )</f>
        <v>1</v>
      </c>
    </row>
    <row r="204" spans="95:103" ht="13.8" x14ac:dyDescent="0.3">
      <c r="CQ204" s="24">
        <v>0.91612127152134271</v>
      </c>
      <c r="CR204" s="24" t="str">
        <f t="shared" si="14"/>
        <v>1</v>
      </c>
      <c r="CS204" t="str">
        <f ca="1">IF((OFFSET($A$1, 204 - 1, 95 - 1)) &gt;= (OFFSET($A$1, 54 - 1, 7 - 1)), "1","0")</f>
        <v>1</v>
      </c>
      <c r="CT204">
        <f ca="1" xml:space="preserve"> IF( AND( OFFSET($A$1, 204 - 1, 96 - 1) = "1", OFFSET($A$1, 204 - 1, 97 - 1) = "1" ), 1, IF( AND( OFFSET($A$1, 204 - 1, 96 - 1) = "1", OFFSET($A$1, 204 - 1, 97 - 1) = "0" ), 2, IF( AND( OFFSET($A$1, 204 - 1, 96 - 1) = "0", OFFSET($A$1, 204 - 1, 97 - 1) = "1" ), 3, 4 ) ) )</f>
        <v>1</v>
      </c>
      <c r="CV204" s="24">
        <v>0.99952669061449551</v>
      </c>
      <c r="CW204" s="24" t="str">
        <f>"1"</f>
        <v>1</v>
      </c>
      <c r="CX204" t="str">
        <f ca="1">IF((OFFSET($A$1, 204 - 1, 100 - 1)) &gt;= (OFFSET($A$1, 78 - 1, 7 - 1)), "1","0")</f>
        <v>1</v>
      </c>
      <c r="CY204">
        <f ca="1" xml:space="preserve"> IF( AND( OFFSET($A$1, 204 - 1, 101 - 1) = "1", OFFSET($A$1, 204 - 1, 102 - 1) = "1" ), 1, IF( AND( OFFSET($A$1, 204 - 1, 101 - 1) = "1", OFFSET($A$1, 204 - 1, 102 - 1) = "0" ), 2, IF( AND( OFFSET($A$1, 204 - 1, 101 - 1) = "0", OFFSET($A$1, 204 - 1, 102 - 1) = "1" ), 3, 4 ) ) )</f>
        <v>1</v>
      </c>
    </row>
    <row r="205" spans="95:103" ht="13.8" x14ac:dyDescent="0.3">
      <c r="CQ205" s="24">
        <v>0.94452422241501433</v>
      </c>
      <c r="CR205" s="24" t="str">
        <f t="shared" si="14"/>
        <v>1</v>
      </c>
      <c r="CS205" t="str">
        <f ca="1">IF((OFFSET($A$1, 205 - 1, 95 - 1)) &gt;= (OFFSET($A$1, 54 - 1, 7 - 1)), "1","0")</f>
        <v>1</v>
      </c>
      <c r="CT205">
        <f ca="1" xml:space="preserve"> IF( AND( OFFSET($A$1, 205 - 1, 96 - 1) = "1", OFFSET($A$1, 205 - 1, 97 - 1) = "1" ), 1, IF( AND( OFFSET($A$1, 205 - 1, 96 - 1) = "1", OFFSET($A$1, 205 - 1, 97 - 1) = "0" ), 2, IF( AND( OFFSET($A$1, 205 - 1, 96 - 1) = "0", OFFSET($A$1, 205 - 1, 97 - 1) = "1" ), 3, 4 ) ) )</f>
        <v>1</v>
      </c>
      <c r="CV205" s="24">
        <v>0.99217586250681777</v>
      </c>
      <c r="CW205" s="24" t="str">
        <f>"1"</f>
        <v>1</v>
      </c>
      <c r="CX205" t="str">
        <f ca="1">IF((OFFSET($A$1, 205 - 1, 100 - 1)) &gt;= (OFFSET($A$1, 78 - 1, 7 - 1)), "1","0")</f>
        <v>1</v>
      </c>
      <c r="CY205">
        <f ca="1" xml:space="preserve"> IF( AND( OFFSET($A$1, 205 - 1, 101 - 1) = "1", OFFSET($A$1, 205 - 1, 102 - 1) = "1" ), 1, IF( AND( OFFSET($A$1, 205 - 1, 101 - 1) = "1", OFFSET($A$1, 205 - 1, 102 - 1) = "0" ), 2, IF( AND( OFFSET($A$1, 205 - 1, 101 - 1) = "0", OFFSET($A$1, 205 - 1, 102 - 1) = "1" ), 3, 4 ) ) )</f>
        <v>1</v>
      </c>
    </row>
    <row r="206" spans="95:103" ht="13.8" x14ac:dyDescent="0.3">
      <c r="CQ206" s="24">
        <v>0.90393409077313269</v>
      </c>
      <c r="CR206" s="24" t="str">
        <f t="shared" si="14"/>
        <v>1</v>
      </c>
      <c r="CS206" t="str">
        <f ca="1">IF((OFFSET($A$1, 206 - 1, 95 - 1)) &gt;= (OFFSET($A$1, 54 - 1, 7 - 1)), "1","0")</f>
        <v>1</v>
      </c>
      <c r="CT206">
        <f ca="1" xml:space="preserve"> IF( AND( OFFSET($A$1, 206 - 1, 96 - 1) = "1", OFFSET($A$1, 206 - 1, 97 - 1) = "1" ), 1, IF( AND( OFFSET($A$1, 206 - 1, 96 - 1) = "1", OFFSET($A$1, 206 - 1, 97 - 1) = "0" ), 2, IF( AND( OFFSET($A$1, 206 - 1, 96 - 1) = "0", OFFSET($A$1, 206 - 1, 97 - 1) = "1" ), 3, 4 ) ) )</f>
        <v>1</v>
      </c>
      <c r="CV206" s="24">
        <v>0.95453200505321523</v>
      </c>
      <c r="CW206" s="24" t="str">
        <f>"1"</f>
        <v>1</v>
      </c>
      <c r="CX206" t="str">
        <f ca="1">IF((OFFSET($A$1, 206 - 1, 100 - 1)) &gt;= (OFFSET($A$1, 78 - 1, 7 - 1)), "1","0")</f>
        <v>1</v>
      </c>
      <c r="CY206">
        <f ca="1" xml:space="preserve"> IF( AND( OFFSET($A$1, 206 - 1, 101 - 1) = "1", OFFSET($A$1, 206 - 1, 102 - 1) = "1" ), 1, IF( AND( OFFSET($A$1, 206 - 1, 101 - 1) = "1", OFFSET($A$1, 206 - 1, 102 - 1) = "0" ), 2, IF( AND( OFFSET($A$1, 206 - 1, 101 - 1) = "0", OFFSET($A$1, 206 - 1, 102 - 1) = "1" ), 3, 4 ) ) )</f>
        <v>1</v>
      </c>
    </row>
    <row r="207" spans="95:103" ht="13.8" x14ac:dyDescent="0.3">
      <c r="CQ207" s="24">
        <v>8.1165957687554635E-2</v>
      </c>
      <c r="CR207" s="24" t="str">
        <f>"0"</f>
        <v>0</v>
      </c>
      <c r="CS207" t="str">
        <f ca="1">IF((OFFSET($A$1, 207 - 1, 95 - 1)) &gt;= (OFFSET($A$1, 54 - 1, 7 - 1)), "1","0")</f>
        <v>0</v>
      </c>
      <c r="CT207">
        <f ca="1" xml:space="preserve"> IF( AND( OFFSET($A$1, 207 - 1, 96 - 1) = "1", OFFSET($A$1, 207 - 1, 97 - 1) = "1" ), 1, IF( AND( OFFSET($A$1, 207 - 1, 96 - 1) = "1", OFFSET($A$1, 207 - 1, 97 - 1) = "0" ), 2, IF( AND( OFFSET($A$1, 207 - 1, 96 - 1) = "0", OFFSET($A$1, 207 - 1, 97 - 1) = "1" ), 3, 4 ) ) )</f>
        <v>4</v>
      </c>
      <c r="CV207" s="24">
        <v>0.22820582187204028</v>
      </c>
      <c r="CW207" s="24" t="str">
        <f>"0"</f>
        <v>0</v>
      </c>
      <c r="CX207" t="str">
        <f ca="1">IF((OFFSET($A$1, 207 - 1, 100 - 1)) &gt;= (OFFSET($A$1, 78 - 1, 7 - 1)), "1","0")</f>
        <v>0</v>
      </c>
      <c r="CY207">
        <f ca="1" xml:space="preserve"> IF( AND( OFFSET($A$1, 207 - 1, 101 - 1) = "1", OFFSET($A$1, 207 - 1, 102 - 1) = "1" ), 1, IF( AND( OFFSET($A$1, 207 - 1, 101 - 1) = "1", OFFSET($A$1, 207 - 1, 102 - 1) = "0" ), 2, IF( AND( OFFSET($A$1, 207 - 1, 101 - 1) = "0", OFFSET($A$1, 207 - 1, 102 - 1) = "1" ), 3, 4 ) ) )</f>
        <v>4</v>
      </c>
    </row>
    <row r="208" spans="95:103" ht="13.8" x14ac:dyDescent="0.3">
      <c r="CQ208" s="24">
        <v>0.99999799833339686</v>
      </c>
      <c r="CR208" s="24" t="str">
        <f t="shared" ref="CR208:CR213" si="15">"1"</f>
        <v>1</v>
      </c>
      <c r="CS208" t="str">
        <f ca="1">IF((OFFSET($A$1, 208 - 1, 95 - 1)) &gt;= (OFFSET($A$1, 54 - 1, 7 - 1)), "1","0")</f>
        <v>1</v>
      </c>
      <c r="CT208">
        <f ca="1" xml:space="preserve"> IF( AND( OFFSET($A$1, 208 - 1, 96 - 1) = "1", OFFSET($A$1, 208 - 1, 97 - 1) = "1" ), 1, IF( AND( OFFSET($A$1, 208 - 1, 96 - 1) = "1", OFFSET($A$1, 208 - 1, 97 - 1) = "0" ), 2, IF( AND( OFFSET($A$1, 208 - 1, 96 - 1) = "0", OFFSET($A$1, 208 - 1, 97 - 1) = "1" ), 3, 4 ) ) )</f>
        <v>1</v>
      </c>
      <c r="CV208" s="24">
        <v>0.116418381733861</v>
      </c>
      <c r="CW208" s="24" t="str">
        <f t="shared" ref="CW208:CW213" si="16">"1"</f>
        <v>1</v>
      </c>
      <c r="CX208" t="str">
        <f ca="1">IF((OFFSET($A$1, 208 - 1, 100 - 1)) &gt;= (OFFSET($A$1, 78 - 1, 7 - 1)), "1","0")</f>
        <v>0</v>
      </c>
      <c r="CY208">
        <f ca="1" xml:space="preserve"> IF( AND( OFFSET($A$1, 208 - 1, 101 - 1) = "1", OFFSET($A$1, 208 - 1, 102 - 1) = "1" ), 1, IF( AND( OFFSET($A$1, 208 - 1, 101 - 1) = "1", OFFSET($A$1, 208 - 1, 102 - 1) = "0" ), 2, IF( AND( OFFSET($A$1, 208 - 1, 101 - 1) = "0", OFFSET($A$1, 208 - 1, 102 - 1) = "1" ), 3, 4 ) ) )</f>
        <v>2</v>
      </c>
    </row>
    <row r="209" spans="95:103" ht="13.8" x14ac:dyDescent="0.3">
      <c r="CQ209" s="24">
        <v>0.9993330430051931</v>
      </c>
      <c r="CR209" s="24" t="str">
        <f t="shared" si="15"/>
        <v>1</v>
      </c>
      <c r="CS209" t="str">
        <f ca="1">IF((OFFSET($A$1, 209 - 1, 95 - 1)) &gt;= (OFFSET($A$1, 54 - 1, 7 - 1)), "1","0")</f>
        <v>1</v>
      </c>
      <c r="CT209">
        <f ca="1" xml:space="preserve"> IF( AND( OFFSET($A$1, 209 - 1, 96 - 1) = "1", OFFSET($A$1, 209 - 1, 97 - 1) = "1" ), 1, IF( AND( OFFSET($A$1, 209 - 1, 96 - 1) = "1", OFFSET($A$1, 209 - 1, 97 - 1) = "0" ), 2, IF( AND( OFFSET($A$1, 209 - 1, 96 - 1) = "0", OFFSET($A$1, 209 - 1, 97 - 1) = "1" ), 3, 4 ) ) )</f>
        <v>1</v>
      </c>
      <c r="CV209" s="24">
        <v>0.87310274471643701</v>
      </c>
      <c r="CW209" s="24" t="str">
        <f t="shared" si="16"/>
        <v>1</v>
      </c>
      <c r="CX209" t="str">
        <f ca="1">IF((OFFSET($A$1, 209 - 1, 100 - 1)) &gt;= (OFFSET($A$1, 78 - 1, 7 - 1)), "1","0")</f>
        <v>1</v>
      </c>
      <c r="CY209">
        <f ca="1" xml:space="preserve"> IF( AND( OFFSET($A$1, 209 - 1, 101 - 1) = "1", OFFSET($A$1, 209 - 1, 102 - 1) = "1" ), 1, IF( AND( OFFSET($A$1, 209 - 1, 101 - 1) = "1", OFFSET($A$1, 209 - 1, 102 - 1) = "0" ), 2, IF( AND( OFFSET($A$1, 209 - 1, 101 - 1) = "0", OFFSET($A$1, 209 - 1, 102 - 1) = "1" ), 3, 4 ) ) )</f>
        <v>1</v>
      </c>
    </row>
    <row r="210" spans="95:103" ht="13.8" x14ac:dyDescent="0.3">
      <c r="CQ210" s="24">
        <v>0.96554509348649342</v>
      </c>
      <c r="CR210" s="24" t="str">
        <f t="shared" si="15"/>
        <v>1</v>
      </c>
      <c r="CS210" t="str">
        <f ca="1">IF((OFFSET($A$1, 210 - 1, 95 - 1)) &gt;= (OFFSET($A$1, 54 - 1, 7 - 1)), "1","0")</f>
        <v>1</v>
      </c>
      <c r="CT210">
        <f ca="1" xml:space="preserve"> IF( AND( OFFSET($A$1, 210 - 1, 96 - 1) = "1", OFFSET($A$1, 210 - 1, 97 - 1) = "1" ), 1, IF( AND( OFFSET($A$1, 210 - 1, 96 - 1) = "1", OFFSET($A$1, 210 - 1, 97 - 1) = "0" ), 2, IF( AND( OFFSET($A$1, 210 - 1, 96 - 1) = "0", OFFSET($A$1, 210 - 1, 97 - 1) = "1" ), 3, 4 ) ) )</f>
        <v>1</v>
      </c>
      <c r="CV210" s="24">
        <v>0.99780563352557028</v>
      </c>
      <c r="CW210" s="24" t="str">
        <f t="shared" si="16"/>
        <v>1</v>
      </c>
      <c r="CX210" t="str">
        <f ca="1">IF((OFFSET($A$1, 210 - 1, 100 - 1)) &gt;= (OFFSET($A$1, 78 - 1, 7 - 1)), "1","0")</f>
        <v>1</v>
      </c>
      <c r="CY210">
        <f ca="1" xml:space="preserve"> IF( AND( OFFSET($A$1, 210 - 1, 101 - 1) = "1", OFFSET($A$1, 210 - 1, 102 - 1) = "1" ), 1, IF( AND( OFFSET($A$1, 210 - 1, 101 - 1) = "1", OFFSET($A$1, 210 - 1, 102 - 1) = "0" ), 2, IF( AND( OFFSET($A$1, 210 - 1, 101 - 1) = "0", OFFSET($A$1, 210 - 1, 102 - 1) = "1" ), 3, 4 ) ) )</f>
        <v>1</v>
      </c>
    </row>
    <row r="211" spans="95:103" ht="13.8" x14ac:dyDescent="0.3">
      <c r="CQ211" s="24">
        <v>0.99977620438292414</v>
      </c>
      <c r="CR211" s="24" t="str">
        <f t="shared" si="15"/>
        <v>1</v>
      </c>
      <c r="CS211" t="str">
        <f ca="1">IF((OFFSET($A$1, 211 - 1, 95 - 1)) &gt;= (OFFSET($A$1, 54 - 1, 7 - 1)), "1","0")</f>
        <v>1</v>
      </c>
      <c r="CT211">
        <f ca="1" xml:space="preserve"> IF( AND( OFFSET($A$1, 211 - 1, 96 - 1) = "1", OFFSET($A$1, 211 - 1, 97 - 1) = "1" ), 1, IF( AND( OFFSET($A$1, 211 - 1, 96 - 1) = "1", OFFSET($A$1, 211 - 1, 97 - 1) = "0" ), 2, IF( AND( OFFSET($A$1, 211 - 1, 96 - 1) = "0", OFFSET($A$1, 211 - 1, 97 - 1) = "1" ), 3, 4 ) ) )</f>
        <v>1</v>
      </c>
      <c r="CV211" s="24">
        <v>0.99935600919248058</v>
      </c>
      <c r="CW211" s="24" t="str">
        <f t="shared" si="16"/>
        <v>1</v>
      </c>
      <c r="CX211" t="str">
        <f ca="1">IF((OFFSET($A$1, 211 - 1, 100 - 1)) &gt;= (OFFSET($A$1, 78 - 1, 7 - 1)), "1","0")</f>
        <v>1</v>
      </c>
      <c r="CY211">
        <f ca="1" xml:space="preserve"> IF( AND( OFFSET($A$1, 211 - 1, 101 - 1) = "1", OFFSET($A$1, 211 - 1, 102 - 1) = "1" ), 1, IF( AND( OFFSET($A$1, 211 - 1, 101 - 1) = "1", OFFSET($A$1, 211 - 1, 102 - 1) = "0" ), 2, IF( AND( OFFSET($A$1, 211 - 1, 101 - 1) = "0", OFFSET($A$1, 211 - 1, 102 - 1) = "1" ), 3, 4 ) ) )</f>
        <v>1</v>
      </c>
    </row>
    <row r="212" spans="95:103" ht="13.8" x14ac:dyDescent="0.3">
      <c r="CQ212" s="24">
        <v>0.99807513487651733</v>
      </c>
      <c r="CR212" s="24" t="str">
        <f t="shared" si="15"/>
        <v>1</v>
      </c>
      <c r="CS212" t="str">
        <f ca="1">IF((OFFSET($A$1, 212 - 1, 95 - 1)) &gt;= (OFFSET($A$1, 54 - 1, 7 - 1)), "1","0")</f>
        <v>1</v>
      </c>
      <c r="CT212">
        <f ca="1" xml:space="preserve"> IF( AND( OFFSET($A$1, 212 - 1, 96 - 1) = "1", OFFSET($A$1, 212 - 1, 97 - 1) = "1" ), 1, IF( AND( OFFSET($A$1, 212 - 1, 96 - 1) = "1", OFFSET($A$1, 212 - 1, 97 - 1) = "0" ), 2, IF( AND( OFFSET($A$1, 212 - 1, 96 - 1) = "0", OFFSET($A$1, 212 - 1, 97 - 1) = "1" ), 3, 4 ) ) )</f>
        <v>1</v>
      </c>
      <c r="CV212" s="24">
        <v>0.99990832763438608</v>
      </c>
      <c r="CW212" s="24" t="str">
        <f t="shared" si="16"/>
        <v>1</v>
      </c>
      <c r="CX212" t="str">
        <f ca="1">IF((OFFSET($A$1, 212 - 1, 100 - 1)) &gt;= (OFFSET($A$1, 78 - 1, 7 - 1)), "1","0")</f>
        <v>1</v>
      </c>
      <c r="CY212">
        <f ca="1" xml:space="preserve"> IF( AND( OFFSET($A$1, 212 - 1, 101 - 1) = "1", OFFSET($A$1, 212 - 1, 102 - 1) = "1" ), 1, IF( AND( OFFSET($A$1, 212 - 1, 101 - 1) = "1", OFFSET($A$1, 212 - 1, 102 - 1) = "0" ), 2, IF( AND( OFFSET($A$1, 212 - 1, 101 - 1) = "0", OFFSET($A$1, 212 - 1, 102 - 1) = "1" ), 3, 4 ) ) )</f>
        <v>1</v>
      </c>
    </row>
    <row r="213" spans="95:103" ht="13.8" x14ac:dyDescent="0.3">
      <c r="CQ213" s="24">
        <v>0.999994169775556</v>
      </c>
      <c r="CR213" s="24" t="str">
        <f t="shared" si="15"/>
        <v>1</v>
      </c>
      <c r="CS213" t="str">
        <f ca="1">IF((OFFSET($A$1, 213 - 1, 95 - 1)) &gt;= (OFFSET($A$1, 54 - 1, 7 - 1)), "1","0")</f>
        <v>1</v>
      </c>
      <c r="CT213">
        <f ca="1" xml:space="preserve"> IF( AND( OFFSET($A$1, 213 - 1, 96 - 1) = "1", OFFSET($A$1, 213 - 1, 97 - 1) = "1" ), 1, IF( AND( OFFSET($A$1, 213 - 1, 96 - 1) = "1", OFFSET($A$1, 213 - 1, 97 - 1) = "0" ), 2, IF( AND( OFFSET($A$1, 213 - 1, 96 - 1) = "0", OFFSET($A$1, 213 - 1, 97 - 1) = "1" ), 3, 4 ) ) )</f>
        <v>1</v>
      </c>
      <c r="CV213" s="24">
        <v>0.518524638434264</v>
      </c>
      <c r="CW213" s="24" t="str">
        <f t="shared" si="16"/>
        <v>1</v>
      </c>
      <c r="CX213" t="str">
        <f ca="1">IF((OFFSET($A$1, 213 - 1, 100 - 1)) &gt;= (OFFSET($A$1, 78 - 1, 7 - 1)), "1","0")</f>
        <v>1</v>
      </c>
      <c r="CY213">
        <f ca="1" xml:space="preserve"> IF( AND( OFFSET($A$1, 213 - 1, 101 - 1) = "1", OFFSET($A$1, 213 - 1, 102 - 1) = "1" ), 1, IF( AND( OFFSET($A$1, 213 - 1, 101 - 1) = "1", OFFSET($A$1, 213 - 1, 102 - 1) = "0" ), 2, IF( AND( OFFSET($A$1, 213 - 1, 101 - 1) = "0", OFFSET($A$1, 213 - 1, 102 - 1) = "1" ), 3, 4 ) ) )</f>
        <v>1</v>
      </c>
    </row>
    <row r="214" spans="95:103" ht="13.8" x14ac:dyDescent="0.3">
      <c r="CQ214" s="24">
        <v>6.4499043359533034E-2</v>
      </c>
      <c r="CR214" s="24" t="str">
        <f>"0"</f>
        <v>0</v>
      </c>
      <c r="CS214" t="str">
        <f ca="1">IF((OFFSET($A$1, 214 - 1, 95 - 1)) &gt;= (OFFSET($A$1, 54 - 1, 7 - 1)), "1","0")</f>
        <v>0</v>
      </c>
      <c r="CT214">
        <f ca="1" xml:space="preserve"> IF( AND( OFFSET($A$1, 214 - 1, 96 - 1) = "1", OFFSET($A$1, 214 - 1, 97 - 1) = "1" ), 1, IF( AND( OFFSET($A$1, 214 - 1, 96 - 1) = "1", OFFSET($A$1, 214 - 1, 97 - 1) = "0" ), 2, IF( AND( OFFSET($A$1, 214 - 1, 96 - 1) = "0", OFFSET($A$1, 214 - 1, 97 - 1) = "1" ), 3, 4 ) ) )</f>
        <v>4</v>
      </c>
      <c r="CV214" s="24">
        <v>5.6223322126686417E-2</v>
      </c>
      <c r="CW214" s="24" t="str">
        <f>"0"</f>
        <v>0</v>
      </c>
      <c r="CX214" t="str">
        <f ca="1">IF((OFFSET($A$1, 214 - 1, 100 - 1)) &gt;= (OFFSET($A$1, 78 - 1, 7 - 1)), "1","0")</f>
        <v>0</v>
      </c>
      <c r="CY214">
        <f ca="1" xml:space="preserve"> IF( AND( OFFSET($A$1, 214 - 1, 101 - 1) = "1", OFFSET($A$1, 214 - 1, 102 - 1) = "1" ), 1, IF( AND( OFFSET($A$1, 214 - 1, 101 - 1) = "1", OFFSET($A$1, 214 - 1, 102 - 1) = "0" ), 2, IF( AND( OFFSET($A$1, 214 - 1, 101 - 1) = "0", OFFSET($A$1, 214 - 1, 102 - 1) = "1" ), 3, 4 ) ) )</f>
        <v>4</v>
      </c>
    </row>
    <row r="215" spans="95:103" ht="13.8" x14ac:dyDescent="0.3">
      <c r="CQ215" s="24">
        <v>0.99478485911764092</v>
      </c>
      <c r="CR215" s="24" t="str">
        <f>"1"</f>
        <v>1</v>
      </c>
      <c r="CS215" t="str">
        <f ca="1">IF((OFFSET($A$1, 215 - 1, 95 - 1)) &gt;= (OFFSET($A$1, 54 - 1, 7 - 1)), "1","0")</f>
        <v>1</v>
      </c>
      <c r="CT215">
        <f ca="1" xml:space="preserve"> IF( AND( OFFSET($A$1, 215 - 1, 96 - 1) = "1", OFFSET($A$1, 215 - 1, 97 - 1) = "1" ), 1, IF( AND( OFFSET($A$1, 215 - 1, 96 - 1) = "1", OFFSET($A$1, 215 - 1, 97 - 1) = "0" ), 2, IF( AND( OFFSET($A$1, 215 - 1, 96 - 1) = "0", OFFSET($A$1, 215 - 1, 97 - 1) = "1" ), 3, 4 ) ) )</f>
        <v>1</v>
      </c>
      <c r="CV215" s="24">
        <v>3.0962772803544772E-2</v>
      </c>
      <c r="CW215" s="24" t="str">
        <f>"0"</f>
        <v>0</v>
      </c>
      <c r="CX215" t="str">
        <f ca="1">IF((OFFSET($A$1, 215 - 1, 100 - 1)) &gt;= (OFFSET($A$1, 78 - 1, 7 - 1)), "1","0")</f>
        <v>0</v>
      </c>
      <c r="CY215">
        <f ca="1" xml:space="preserve"> IF( AND( OFFSET($A$1, 215 - 1, 101 - 1) = "1", OFFSET($A$1, 215 - 1, 102 - 1) = "1" ), 1, IF( AND( OFFSET($A$1, 215 - 1, 101 - 1) = "1", OFFSET($A$1, 215 - 1, 102 - 1) = "0" ), 2, IF( AND( OFFSET($A$1, 215 - 1, 101 - 1) = "0", OFFSET($A$1, 215 - 1, 102 - 1) = "1" ), 3, 4 ) ) )</f>
        <v>4</v>
      </c>
    </row>
    <row r="216" spans="95:103" ht="13.8" x14ac:dyDescent="0.3">
      <c r="CQ216" s="24">
        <v>2.1605151689643803E-3</v>
      </c>
      <c r="CR216" s="24" t="str">
        <f>"0"</f>
        <v>0</v>
      </c>
      <c r="CS216" t="str">
        <f ca="1">IF((OFFSET($A$1, 216 - 1, 95 - 1)) &gt;= (OFFSET($A$1, 54 - 1, 7 - 1)), "1","0")</f>
        <v>0</v>
      </c>
      <c r="CT216">
        <f ca="1" xml:space="preserve"> IF( AND( OFFSET($A$1, 216 - 1, 96 - 1) = "1", OFFSET($A$1, 216 - 1, 97 - 1) = "1" ), 1, IF( AND( OFFSET($A$1, 216 - 1, 96 - 1) = "1", OFFSET($A$1, 216 - 1, 97 - 1) = "0" ), 2, IF( AND( OFFSET($A$1, 216 - 1, 96 - 1) = "0", OFFSET($A$1, 216 - 1, 97 - 1) = "1" ), 3, 4 ) ) )</f>
        <v>4</v>
      </c>
      <c r="CV216" s="24">
        <v>0.67073135623450475</v>
      </c>
      <c r="CW216" s="24" t="str">
        <f>"0"</f>
        <v>0</v>
      </c>
      <c r="CX216" t="str">
        <f ca="1">IF((OFFSET($A$1, 216 - 1, 100 - 1)) &gt;= (OFFSET($A$1, 78 - 1, 7 - 1)), "1","0")</f>
        <v>1</v>
      </c>
      <c r="CY216">
        <f ca="1" xml:space="preserve"> IF( AND( OFFSET($A$1, 216 - 1, 101 - 1) = "1", OFFSET($A$1, 216 - 1, 102 - 1) = "1" ), 1, IF( AND( OFFSET($A$1, 216 - 1, 101 - 1) = "1", OFFSET($A$1, 216 - 1, 102 - 1) = "0" ), 2, IF( AND( OFFSET($A$1, 216 - 1, 101 - 1) = "0", OFFSET($A$1, 216 - 1, 102 - 1) = "1" ), 3, 4 ) ) )</f>
        <v>3</v>
      </c>
    </row>
    <row r="217" spans="95:103" ht="13.8" x14ac:dyDescent="0.3">
      <c r="CQ217" s="24">
        <v>0.99962532568132278</v>
      </c>
      <c r="CR217" s="24" t="str">
        <f>"1"</f>
        <v>1</v>
      </c>
      <c r="CS217" t="str">
        <f ca="1">IF((OFFSET($A$1, 217 - 1, 95 - 1)) &gt;= (OFFSET($A$1, 54 - 1, 7 - 1)), "1","0")</f>
        <v>1</v>
      </c>
      <c r="CT217">
        <f ca="1" xml:space="preserve"> IF( AND( OFFSET($A$1, 217 - 1, 96 - 1) = "1", OFFSET($A$1, 217 - 1, 97 - 1) = "1" ), 1, IF( AND( OFFSET($A$1, 217 - 1, 96 - 1) = "1", OFFSET($A$1, 217 - 1, 97 - 1) = "0" ), 2, IF( AND( OFFSET($A$1, 217 - 1, 96 - 1) = "0", OFFSET($A$1, 217 - 1, 97 - 1) = "1" ), 3, 4 ) ) )</f>
        <v>1</v>
      </c>
      <c r="CV217" s="24">
        <v>0.61691710719996196</v>
      </c>
      <c r="CW217" s="24" t="str">
        <f>"1"</f>
        <v>1</v>
      </c>
      <c r="CX217" t="str">
        <f ca="1">IF((OFFSET($A$1, 217 - 1, 100 - 1)) &gt;= (OFFSET($A$1, 78 - 1, 7 - 1)), "1","0")</f>
        <v>1</v>
      </c>
      <c r="CY217">
        <f ca="1" xml:space="preserve"> IF( AND( OFFSET($A$1, 217 - 1, 101 - 1) = "1", OFFSET($A$1, 217 - 1, 102 - 1) = "1" ), 1, IF( AND( OFFSET($A$1, 217 - 1, 101 - 1) = "1", OFFSET($A$1, 217 - 1, 102 - 1) = "0" ), 2, IF( AND( OFFSET($A$1, 217 - 1, 101 - 1) = "0", OFFSET($A$1, 217 - 1, 102 - 1) = "1" ), 3, 4 ) ) )</f>
        <v>1</v>
      </c>
    </row>
    <row r="218" spans="95:103" ht="13.8" x14ac:dyDescent="0.3">
      <c r="CQ218" s="24">
        <v>0.98087058100656199</v>
      </c>
      <c r="CR218" s="24" t="str">
        <f>"1"</f>
        <v>1</v>
      </c>
      <c r="CS218" t="str">
        <f ca="1">IF((OFFSET($A$1, 218 - 1, 95 - 1)) &gt;= (OFFSET($A$1, 54 - 1, 7 - 1)), "1","0")</f>
        <v>1</v>
      </c>
      <c r="CT218">
        <f ca="1" xml:space="preserve"> IF( AND( OFFSET($A$1, 218 - 1, 96 - 1) = "1", OFFSET($A$1, 218 - 1, 97 - 1) = "1" ), 1, IF( AND( OFFSET($A$1, 218 - 1, 96 - 1) = "1", OFFSET($A$1, 218 - 1, 97 - 1) = "0" ), 2, IF( AND( OFFSET($A$1, 218 - 1, 96 - 1) = "0", OFFSET($A$1, 218 - 1, 97 - 1) = "1" ), 3, 4 ) ) )</f>
        <v>1</v>
      </c>
      <c r="CV218" s="24">
        <v>0.98401094313925264</v>
      </c>
      <c r="CW218" s="24" t="str">
        <f>"1"</f>
        <v>1</v>
      </c>
      <c r="CX218" t="str">
        <f ca="1">IF((OFFSET($A$1, 218 - 1, 100 - 1)) &gt;= (OFFSET($A$1, 78 - 1, 7 - 1)), "1","0")</f>
        <v>1</v>
      </c>
      <c r="CY218">
        <f ca="1" xml:space="preserve"> IF( AND( OFFSET($A$1, 218 - 1, 101 - 1) = "1", OFFSET($A$1, 218 - 1, 102 - 1) = "1" ), 1, IF( AND( OFFSET($A$1, 218 - 1, 101 - 1) = "1", OFFSET($A$1, 218 - 1, 102 - 1) = "0" ), 2, IF( AND( OFFSET($A$1, 218 - 1, 101 - 1) = "0", OFFSET($A$1, 218 - 1, 102 - 1) = "1" ), 3, 4 ) ) )</f>
        <v>1</v>
      </c>
    </row>
    <row r="219" spans="95:103" ht="13.8" x14ac:dyDescent="0.3">
      <c r="CQ219" s="24">
        <v>8.2813388948203726E-2</v>
      </c>
      <c r="CR219" s="24" t="str">
        <f>"0"</f>
        <v>0</v>
      </c>
      <c r="CS219" t="str">
        <f ca="1">IF((OFFSET($A$1, 219 - 1, 95 - 1)) &gt;= (OFFSET($A$1, 54 - 1, 7 - 1)), "1","0")</f>
        <v>0</v>
      </c>
      <c r="CT219">
        <f ca="1" xml:space="preserve"> IF( AND( OFFSET($A$1, 219 - 1, 96 - 1) = "1", OFFSET($A$1, 219 - 1, 97 - 1) = "1" ), 1, IF( AND( OFFSET($A$1, 219 - 1, 96 - 1) = "1", OFFSET($A$1, 219 - 1, 97 - 1) = "0" ), 2, IF( AND( OFFSET($A$1, 219 - 1, 96 - 1) = "0", OFFSET($A$1, 219 - 1, 97 - 1) = "1" ), 3, 4 ) ) )</f>
        <v>4</v>
      </c>
      <c r="CV219" s="24">
        <v>0.99999959194261312</v>
      </c>
      <c r="CW219" s="24" t="str">
        <f>"1"</f>
        <v>1</v>
      </c>
      <c r="CX219" t="str">
        <f ca="1">IF((OFFSET($A$1, 219 - 1, 100 - 1)) &gt;= (OFFSET($A$1, 78 - 1, 7 - 1)), "1","0")</f>
        <v>1</v>
      </c>
      <c r="CY219">
        <f ca="1" xml:space="preserve"> IF( AND( OFFSET($A$1, 219 - 1, 101 - 1) = "1", OFFSET($A$1, 219 - 1, 102 - 1) = "1" ), 1, IF( AND( OFFSET($A$1, 219 - 1, 101 - 1) = "1", OFFSET($A$1, 219 - 1, 102 - 1) = "0" ), 2, IF( AND( OFFSET($A$1, 219 - 1, 101 - 1) = "0", OFFSET($A$1, 219 - 1, 102 - 1) = "1" ), 3, 4 ) ) )</f>
        <v>1</v>
      </c>
    </row>
    <row r="220" spans="95:103" ht="13.8" x14ac:dyDescent="0.3">
      <c r="CQ220" s="24">
        <v>1.5067486945884539E-2</v>
      </c>
      <c r="CR220" s="24" t="str">
        <f>"0"</f>
        <v>0</v>
      </c>
      <c r="CS220" t="str">
        <f ca="1">IF((OFFSET($A$1, 220 - 1, 95 - 1)) &gt;= (OFFSET($A$1, 54 - 1, 7 - 1)), "1","0")</f>
        <v>0</v>
      </c>
      <c r="CT220">
        <f ca="1" xml:space="preserve"> IF( AND( OFFSET($A$1, 220 - 1, 96 - 1) = "1", OFFSET($A$1, 220 - 1, 97 - 1) = "1" ), 1, IF( AND( OFFSET($A$1, 220 - 1, 96 - 1) = "1", OFFSET($A$1, 220 - 1, 97 - 1) = "0" ), 2, IF( AND( OFFSET($A$1, 220 - 1, 96 - 1) = "0", OFFSET($A$1, 220 - 1, 97 - 1) = "1" ), 3, 4 ) ) )</f>
        <v>4</v>
      </c>
      <c r="CV220" s="24">
        <v>0.99999701836616717</v>
      </c>
      <c r="CW220" s="24" t="str">
        <f>"1"</f>
        <v>1</v>
      </c>
      <c r="CX220" t="str">
        <f ca="1">IF((OFFSET($A$1, 220 - 1, 100 - 1)) &gt;= (OFFSET($A$1, 78 - 1, 7 - 1)), "1","0")</f>
        <v>1</v>
      </c>
      <c r="CY220">
        <f ca="1" xml:space="preserve"> IF( AND( OFFSET($A$1, 220 - 1, 101 - 1) = "1", OFFSET($A$1, 220 - 1, 102 - 1) = "1" ), 1, IF( AND( OFFSET($A$1, 220 - 1, 101 - 1) = "1", OFFSET($A$1, 220 - 1, 102 - 1) = "0" ), 2, IF( AND( OFFSET($A$1, 220 - 1, 101 - 1) = "0", OFFSET($A$1, 220 - 1, 102 - 1) = "1" ), 3, 4 ) ) )</f>
        <v>1</v>
      </c>
    </row>
    <row r="221" spans="95:103" ht="13.8" x14ac:dyDescent="0.3">
      <c r="CQ221" s="24">
        <v>0.98618067946405696</v>
      </c>
      <c r="CR221" s="24" t="str">
        <f>"1"</f>
        <v>1</v>
      </c>
      <c r="CS221" t="str">
        <f ca="1">IF((OFFSET($A$1, 221 - 1, 95 - 1)) &gt;= (OFFSET($A$1, 54 - 1, 7 - 1)), "1","0")</f>
        <v>1</v>
      </c>
      <c r="CT221">
        <f ca="1" xml:space="preserve"> IF( AND( OFFSET($A$1, 221 - 1, 96 - 1) = "1", OFFSET($A$1, 221 - 1, 97 - 1) = "1" ), 1, IF( AND( OFFSET($A$1, 221 - 1, 96 - 1) = "1", OFFSET($A$1, 221 - 1, 97 - 1) = "0" ), 2, IF( AND( OFFSET($A$1, 221 - 1, 96 - 1) = "0", OFFSET($A$1, 221 - 1, 97 - 1) = "1" ), 3, 4 ) ) )</f>
        <v>1</v>
      </c>
      <c r="CV221" s="24">
        <v>0.99999996468675245</v>
      </c>
      <c r="CW221" s="24" t="str">
        <f>"1"</f>
        <v>1</v>
      </c>
      <c r="CX221" t="str">
        <f ca="1">IF((OFFSET($A$1, 221 - 1, 100 - 1)) &gt;= (OFFSET($A$1, 78 - 1, 7 - 1)), "1","0")</f>
        <v>1</v>
      </c>
      <c r="CY221">
        <f ca="1" xml:space="preserve"> IF( AND( OFFSET($A$1, 221 - 1, 101 - 1) = "1", OFFSET($A$1, 221 - 1, 102 - 1) = "1" ), 1, IF( AND( OFFSET($A$1, 221 - 1, 101 - 1) = "1", OFFSET($A$1, 221 - 1, 102 - 1) = "0" ), 2, IF( AND( OFFSET($A$1, 221 - 1, 101 - 1) = "0", OFFSET($A$1, 221 - 1, 102 - 1) = "1" ), 3, 4 ) ) )</f>
        <v>1</v>
      </c>
    </row>
    <row r="222" spans="95:103" ht="13.8" x14ac:dyDescent="0.3">
      <c r="CQ222" s="24">
        <v>0.99999624542741283</v>
      </c>
      <c r="CR222" s="24" t="str">
        <f>"1"</f>
        <v>1</v>
      </c>
      <c r="CS222" t="str">
        <f ca="1">IF((OFFSET($A$1, 222 - 1, 95 - 1)) &gt;= (OFFSET($A$1, 54 - 1, 7 - 1)), "1","0")</f>
        <v>1</v>
      </c>
      <c r="CT222">
        <f ca="1" xml:space="preserve"> IF( AND( OFFSET($A$1, 222 - 1, 96 - 1) = "1", OFFSET($A$1, 222 - 1, 97 - 1) = "1" ), 1, IF( AND( OFFSET($A$1, 222 - 1, 96 - 1) = "1", OFFSET($A$1, 222 - 1, 97 - 1) = "0" ), 2, IF( AND( OFFSET($A$1, 222 - 1, 96 - 1) = "0", OFFSET($A$1, 222 - 1, 97 - 1) = "1" ), 3, 4 ) ) )</f>
        <v>1</v>
      </c>
      <c r="CV222" s="24">
        <v>0.9110314108282207</v>
      </c>
      <c r="CW222" s="24" t="str">
        <f>"0"</f>
        <v>0</v>
      </c>
      <c r="CX222" t="str">
        <f ca="1">IF((OFFSET($A$1, 222 - 1, 100 - 1)) &gt;= (OFFSET($A$1, 78 - 1, 7 - 1)), "1","0")</f>
        <v>1</v>
      </c>
      <c r="CY222">
        <f ca="1" xml:space="preserve"> IF( AND( OFFSET($A$1, 222 - 1, 101 - 1) = "1", OFFSET($A$1, 222 - 1, 102 - 1) = "1" ), 1, IF( AND( OFFSET($A$1, 222 - 1, 101 - 1) = "1", OFFSET($A$1, 222 - 1, 102 - 1) = "0" ), 2, IF( AND( OFFSET($A$1, 222 - 1, 101 - 1) = "0", OFFSET($A$1, 222 - 1, 102 - 1) = "1" ), 3, 4 ) ) )</f>
        <v>3</v>
      </c>
    </row>
    <row r="223" spans="95:103" ht="13.8" x14ac:dyDescent="0.3">
      <c r="CQ223" s="24">
        <v>0.99999517437497498</v>
      </c>
      <c r="CR223" s="24" t="str">
        <f>"1"</f>
        <v>1</v>
      </c>
      <c r="CS223" t="str">
        <f ca="1">IF((OFFSET($A$1, 223 - 1, 95 - 1)) &gt;= (OFFSET($A$1, 54 - 1, 7 - 1)), "1","0")</f>
        <v>1</v>
      </c>
      <c r="CT223">
        <f ca="1" xml:space="preserve"> IF( AND( OFFSET($A$1, 223 - 1, 96 - 1) = "1", OFFSET($A$1, 223 - 1, 97 - 1) = "1" ), 1, IF( AND( OFFSET($A$1, 223 - 1, 96 - 1) = "1", OFFSET($A$1, 223 - 1, 97 - 1) = "0" ), 2, IF( AND( OFFSET($A$1, 223 - 1, 96 - 1) = "0", OFFSET($A$1, 223 - 1, 97 - 1) = "1" ), 3, 4 ) ) )</f>
        <v>1</v>
      </c>
      <c r="CV223" s="24">
        <v>0.6687053732759084</v>
      </c>
      <c r="CW223" s="24" t="str">
        <f>"0"</f>
        <v>0</v>
      </c>
      <c r="CX223" t="str">
        <f ca="1">IF((OFFSET($A$1, 223 - 1, 100 - 1)) &gt;= (OFFSET($A$1, 78 - 1, 7 - 1)), "1","0")</f>
        <v>1</v>
      </c>
      <c r="CY223">
        <f ca="1" xml:space="preserve"> IF( AND( OFFSET($A$1, 223 - 1, 101 - 1) = "1", OFFSET($A$1, 223 - 1, 102 - 1) = "1" ), 1, IF( AND( OFFSET($A$1, 223 - 1, 101 - 1) = "1", OFFSET($A$1, 223 - 1, 102 - 1) = "0" ), 2, IF( AND( OFFSET($A$1, 223 - 1, 101 - 1) = "0", OFFSET($A$1, 223 - 1, 102 - 1) = "1" ), 3, 4 ) ) )</f>
        <v>3</v>
      </c>
    </row>
    <row r="224" spans="95:103" ht="13.8" x14ac:dyDescent="0.3">
      <c r="CQ224" s="24">
        <v>3.4447516419884139E-2</v>
      </c>
      <c r="CR224" s="24" t="str">
        <f>"0"</f>
        <v>0</v>
      </c>
      <c r="CS224" t="str">
        <f ca="1">IF((OFFSET($A$1, 224 - 1, 95 - 1)) &gt;= (OFFSET($A$1, 54 - 1, 7 - 1)), "1","0")</f>
        <v>0</v>
      </c>
      <c r="CT224">
        <f ca="1" xml:space="preserve"> IF( AND( OFFSET($A$1, 224 - 1, 96 - 1) = "1", OFFSET($A$1, 224 - 1, 97 - 1) = "1" ), 1, IF( AND( OFFSET($A$1, 224 - 1, 96 - 1) = "1", OFFSET($A$1, 224 - 1, 97 - 1) = "0" ), 2, IF( AND( OFFSET($A$1, 224 - 1, 96 - 1) = "0", OFFSET($A$1, 224 - 1, 97 - 1) = "1" ), 3, 4 ) ) )</f>
        <v>4</v>
      </c>
      <c r="CV224" s="24">
        <v>0.997957550976734</v>
      </c>
      <c r="CW224" s="24" t="str">
        <f>"1"</f>
        <v>1</v>
      </c>
      <c r="CX224" t="str">
        <f ca="1">IF((OFFSET($A$1, 224 - 1, 100 - 1)) &gt;= (OFFSET($A$1, 78 - 1, 7 - 1)), "1","0")</f>
        <v>1</v>
      </c>
      <c r="CY224">
        <f ca="1" xml:space="preserve"> IF( AND( OFFSET($A$1, 224 - 1, 101 - 1) = "1", OFFSET($A$1, 224 - 1, 102 - 1) = "1" ), 1, IF( AND( OFFSET($A$1, 224 - 1, 101 - 1) = "1", OFFSET($A$1, 224 - 1, 102 - 1) = "0" ), 2, IF( AND( OFFSET($A$1, 224 - 1, 101 - 1) = "0", OFFSET($A$1, 224 - 1, 102 - 1) = "1" ), 3, 4 ) ) )</f>
        <v>1</v>
      </c>
    </row>
    <row r="225" spans="95:103" ht="13.8" x14ac:dyDescent="0.3">
      <c r="CQ225" s="24">
        <v>0.99959382060387536</v>
      </c>
      <c r="CR225" s="24" t="str">
        <f>"1"</f>
        <v>1</v>
      </c>
      <c r="CS225" t="str">
        <f ca="1">IF((OFFSET($A$1, 225 - 1, 95 - 1)) &gt;= (OFFSET($A$1, 54 - 1, 7 - 1)), "1","0")</f>
        <v>1</v>
      </c>
      <c r="CT225">
        <f ca="1" xml:space="preserve"> IF( AND( OFFSET($A$1, 225 - 1, 96 - 1) = "1", OFFSET($A$1, 225 - 1, 97 - 1) = "1" ), 1, IF( AND( OFFSET($A$1, 225 - 1, 96 - 1) = "1", OFFSET($A$1, 225 - 1, 97 - 1) = "0" ), 2, IF( AND( OFFSET($A$1, 225 - 1, 96 - 1) = "0", OFFSET($A$1, 225 - 1, 97 - 1) = "1" ), 3, 4 ) ) )</f>
        <v>1</v>
      </c>
      <c r="CV225" s="24">
        <v>2.1893771608793879E-2</v>
      </c>
      <c r="CW225" s="24" t="str">
        <f>"0"</f>
        <v>0</v>
      </c>
      <c r="CX225" t="str">
        <f ca="1">IF((OFFSET($A$1, 225 - 1, 100 - 1)) &gt;= (OFFSET($A$1, 78 - 1, 7 - 1)), "1","0")</f>
        <v>0</v>
      </c>
      <c r="CY225">
        <f ca="1" xml:space="preserve"> IF( AND( OFFSET($A$1, 225 - 1, 101 - 1) = "1", OFFSET($A$1, 225 - 1, 102 - 1) = "1" ), 1, IF( AND( OFFSET($A$1, 225 - 1, 101 - 1) = "1", OFFSET($A$1, 225 - 1, 102 - 1) = "0" ), 2, IF( AND( OFFSET($A$1, 225 - 1, 101 - 1) = "0", OFFSET($A$1, 225 - 1, 102 - 1) = "1" ), 3, 4 ) ) )</f>
        <v>4</v>
      </c>
    </row>
    <row r="226" spans="95:103" ht="13.8" x14ac:dyDescent="0.3">
      <c r="CQ226" s="24">
        <v>0.98592806223832108</v>
      </c>
      <c r="CR226" s="24" t="str">
        <f>"1"</f>
        <v>1</v>
      </c>
      <c r="CS226" t="str">
        <f ca="1">IF((OFFSET($A$1, 226 - 1, 95 - 1)) &gt;= (OFFSET($A$1, 54 - 1, 7 - 1)), "1","0")</f>
        <v>1</v>
      </c>
      <c r="CT226">
        <f ca="1" xml:space="preserve"> IF( AND( OFFSET($A$1, 226 - 1, 96 - 1) = "1", OFFSET($A$1, 226 - 1, 97 - 1) = "1" ), 1, IF( AND( OFFSET($A$1, 226 - 1, 96 - 1) = "1", OFFSET($A$1, 226 - 1, 97 - 1) = "0" ), 2, IF( AND( OFFSET($A$1, 226 - 1, 96 - 1) = "0", OFFSET($A$1, 226 - 1, 97 - 1) = "1" ), 3, 4 ) ) )</f>
        <v>1</v>
      </c>
      <c r="CV226" s="24">
        <v>0.99999978151558389</v>
      </c>
      <c r="CW226" s="24" t="str">
        <f>"1"</f>
        <v>1</v>
      </c>
      <c r="CX226" t="str">
        <f ca="1">IF((OFFSET($A$1, 226 - 1, 100 - 1)) &gt;= (OFFSET($A$1, 78 - 1, 7 - 1)), "1","0")</f>
        <v>1</v>
      </c>
      <c r="CY226">
        <f ca="1" xml:space="preserve"> IF( AND( OFFSET($A$1, 226 - 1, 101 - 1) = "1", OFFSET($A$1, 226 - 1, 102 - 1) = "1" ), 1, IF( AND( OFFSET($A$1, 226 - 1, 101 - 1) = "1", OFFSET($A$1, 226 - 1, 102 - 1) = "0" ), 2, IF( AND( OFFSET($A$1, 226 - 1, 101 - 1) = "0", OFFSET($A$1, 226 - 1, 102 - 1) = "1" ), 3, 4 ) ) )</f>
        <v>1</v>
      </c>
    </row>
    <row r="227" spans="95:103" ht="13.8" x14ac:dyDescent="0.3">
      <c r="CQ227" s="24">
        <v>0.89057705435986978</v>
      </c>
      <c r="CR227" s="24" t="str">
        <f>"1"</f>
        <v>1</v>
      </c>
      <c r="CS227" t="str">
        <f ca="1">IF((OFFSET($A$1, 227 - 1, 95 - 1)) &gt;= (OFFSET($A$1, 54 - 1, 7 - 1)), "1","0")</f>
        <v>1</v>
      </c>
      <c r="CT227">
        <f ca="1" xml:space="preserve"> IF( AND( OFFSET($A$1, 227 - 1, 96 - 1) = "1", OFFSET($A$1, 227 - 1, 97 - 1) = "1" ), 1, IF( AND( OFFSET($A$1, 227 - 1, 96 - 1) = "1", OFFSET($A$1, 227 - 1, 97 - 1) = "0" ), 2, IF( AND( OFFSET($A$1, 227 - 1, 96 - 1) = "0", OFFSET($A$1, 227 - 1, 97 - 1) = "1" ), 3, 4 ) ) )</f>
        <v>1</v>
      </c>
      <c r="CV227" s="24">
        <v>0.99989528569799613</v>
      </c>
      <c r="CW227" s="24" t="str">
        <f>"1"</f>
        <v>1</v>
      </c>
      <c r="CX227" t="str">
        <f ca="1">IF((OFFSET($A$1, 227 - 1, 100 - 1)) &gt;= (OFFSET($A$1, 78 - 1, 7 - 1)), "1","0")</f>
        <v>1</v>
      </c>
      <c r="CY227">
        <f ca="1" xml:space="preserve"> IF( AND( OFFSET($A$1, 227 - 1, 101 - 1) = "1", OFFSET($A$1, 227 - 1, 102 - 1) = "1" ), 1, IF( AND( OFFSET($A$1, 227 - 1, 101 - 1) = "1", OFFSET($A$1, 227 - 1, 102 - 1) = "0" ), 2, IF( AND( OFFSET($A$1, 227 - 1, 101 - 1) = "0", OFFSET($A$1, 227 - 1, 102 - 1) = "1" ), 3, 4 ) ) )</f>
        <v>1</v>
      </c>
    </row>
    <row r="228" spans="95:103" ht="13.8" x14ac:dyDescent="0.3">
      <c r="CQ228" s="24">
        <v>0.1071850012029842</v>
      </c>
      <c r="CR228" s="24" t="str">
        <f>"0"</f>
        <v>0</v>
      </c>
      <c r="CS228" t="str">
        <f ca="1">IF((OFFSET($A$1, 228 - 1, 95 - 1)) &gt;= (OFFSET($A$1, 54 - 1, 7 - 1)), "1","0")</f>
        <v>0</v>
      </c>
      <c r="CT228">
        <f ca="1" xml:space="preserve"> IF( AND( OFFSET($A$1, 228 - 1, 96 - 1) = "1", OFFSET($A$1, 228 - 1, 97 - 1) = "1" ), 1, IF( AND( OFFSET($A$1, 228 - 1, 96 - 1) = "1", OFFSET($A$1, 228 - 1, 97 - 1) = "0" ), 2, IF( AND( OFFSET($A$1, 228 - 1, 96 - 1) = "0", OFFSET($A$1, 228 - 1, 97 - 1) = "1" ), 3, 4 ) ) )</f>
        <v>4</v>
      </c>
      <c r="CV228" s="24">
        <v>0.94378670463950365</v>
      </c>
      <c r="CW228" s="24" t="str">
        <f>"0"</f>
        <v>0</v>
      </c>
      <c r="CX228" t="str">
        <f ca="1">IF((OFFSET($A$1, 228 - 1, 100 - 1)) &gt;= (OFFSET($A$1, 78 - 1, 7 - 1)), "1","0")</f>
        <v>1</v>
      </c>
      <c r="CY228">
        <f ca="1" xml:space="preserve"> IF( AND( OFFSET($A$1, 228 - 1, 101 - 1) = "1", OFFSET($A$1, 228 - 1, 102 - 1) = "1" ), 1, IF( AND( OFFSET($A$1, 228 - 1, 101 - 1) = "1", OFFSET($A$1, 228 - 1, 102 - 1) = "0" ), 2, IF( AND( OFFSET($A$1, 228 - 1, 101 - 1) = "0", OFFSET($A$1, 228 - 1, 102 - 1) = "1" ), 3, 4 ) ) )</f>
        <v>3</v>
      </c>
    </row>
    <row r="229" spans="95:103" ht="13.8" x14ac:dyDescent="0.3">
      <c r="CQ229" s="24">
        <v>0.99951681283318861</v>
      </c>
      <c r="CR229" s="24" t="str">
        <f>"1"</f>
        <v>1</v>
      </c>
      <c r="CS229" t="str">
        <f ca="1">IF((OFFSET($A$1, 229 - 1, 95 - 1)) &gt;= (OFFSET($A$1, 54 - 1, 7 - 1)), "1","0")</f>
        <v>1</v>
      </c>
      <c r="CT229">
        <f ca="1" xml:space="preserve"> IF( AND( OFFSET($A$1, 229 - 1, 96 - 1) = "1", OFFSET($A$1, 229 - 1, 97 - 1) = "1" ), 1, IF( AND( OFFSET($A$1, 229 - 1, 96 - 1) = "1", OFFSET($A$1, 229 - 1, 97 - 1) = "0" ), 2, IF( AND( OFFSET($A$1, 229 - 1, 96 - 1) = "0", OFFSET($A$1, 229 - 1, 97 - 1) = "1" ), 3, 4 ) ) )</f>
        <v>1</v>
      </c>
      <c r="CV229" s="24">
        <v>0.84656995589519957</v>
      </c>
      <c r="CW229" s="24" t="str">
        <f>"1"</f>
        <v>1</v>
      </c>
      <c r="CX229" t="str">
        <f ca="1">IF((OFFSET($A$1, 229 - 1, 100 - 1)) &gt;= (OFFSET($A$1, 78 - 1, 7 - 1)), "1","0")</f>
        <v>1</v>
      </c>
      <c r="CY229">
        <f ca="1" xml:space="preserve"> IF( AND( OFFSET($A$1, 229 - 1, 101 - 1) = "1", OFFSET($A$1, 229 - 1, 102 - 1) = "1" ), 1, IF( AND( OFFSET($A$1, 229 - 1, 101 - 1) = "1", OFFSET($A$1, 229 - 1, 102 - 1) = "0" ), 2, IF( AND( OFFSET($A$1, 229 - 1, 101 - 1) = "0", OFFSET($A$1, 229 - 1, 102 - 1) = "1" ), 3, 4 ) ) )</f>
        <v>1</v>
      </c>
    </row>
    <row r="230" spans="95:103" ht="13.8" x14ac:dyDescent="0.3">
      <c r="CQ230" s="24">
        <v>0.99984260966319527</v>
      </c>
      <c r="CR230" s="24" t="str">
        <f>"1"</f>
        <v>1</v>
      </c>
      <c r="CS230" t="str">
        <f ca="1">IF((OFFSET($A$1, 230 - 1, 95 - 1)) &gt;= (OFFSET($A$1, 54 - 1, 7 - 1)), "1","0")</f>
        <v>1</v>
      </c>
      <c r="CT230">
        <f ca="1" xml:space="preserve"> IF( AND( OFFSET($A$1, 230 - 1, 96 - 1) = "1", OFFSET($A$1, 230 - 1, 97 - 1) = "1" ), 1, IF( AND( OFFSET($A$1, 230 - 1, 96 - 1) = "1", OFFSET($A$1, 230 - 1, 97 - 1) = "0" ), 2, IF( AND( OFFSET($A$1, 230 - 1, 96 - 1) = "0", OFFSET($A$1, 230 - 1, 97 - 1) = "1" ), 3, 4 ) ) )</f>
        <v>1</v>
      </c>
      <c r="CV230" s="24">
        <v>0.99999730915493479</v>
      </c>
      <c r="CW230" s="24" t="str">
        <f>"1"</f>
        <v>1</v>
      </c>
      <c r="CX230" t="str">
        <f ca="1">IF((OFFSET($A$1, 230 - 1, 100 - 1)) &gt;= (OFFSET($A$1, 78 - 1, 7 - 1)), "1","0")</f>
        <v>1</v>
      </c>
      <c r="CY230">
        <f ca="1" xml:space="preserve"> IF( AND( OFFSET($A$1, 230 - 1, 101 - 1) = "1", OFFSET($A$1, 230 - 1, 102 - 1) = "1" ), 1, IF( AND( OFFSET($A$1, 230 - 1, 101 - 1) = "1", OFFSET($A$1, 230 - 1, 102 - 1) = "0" ), 2, IF( AND( OFFSET($A$1, 230 - 1, 101 - 1) = "0", OFFSET($A$1, 230 - 1, 102 - 1) = "1" ), 3, 4 ) ) )</f>
        <v>1</v>
      </c>
    </row>
    <row r="231" spans="95:103" ht="13.8" x14ac:dyDescent="0.3">
      <c r="CQ231" s="24">
        <v>0.94734081017856364</v>
      </c>
      <c r="CR231" s="24" t="str">
        <f>"1"</f>
        <v>1</v>
      </c>
      <c r="CS231" t="str">
        <f ca="1">IF((OFFSET($A$1, 231 - 1, 95 - 1)) &gt;= (OFFSET($A$1, 54 - 1, 7 - 1)), "1","0")</f>
        <v>1</v>
      </c>
      <c r="CT231">
        <f ca="1" xml:space="preserve"> IF( AND( OFFSET($A$1, 231 - 1, 96 - 1) = "1", OFFSET($A$1, 231 - 1, 97 - 1) = "1" ), 1, IF( AND( OFFSET($A$1, 231 - 1, 96 - 1) = "1", OFFSET($A$1, 231 - 1, 97 - 1) = "0" ), 2, IF( AND( OFFSET($A$1, 231 - 1, 96 - 1) = "0", OFFSET($A$1, 231 - 1, 97 - 1) = "1" ), 3, 4 ) ) )</f>
        <v>1</v>
      </c>
      <c r="CV231" s="24">
        <v>0.99999955005451624</v>
      </c>
      <c r="CW231" s="24" t="str">
        <f>"1"</f>
        <v>1</v>
      </c>
      <c r="CX231" t="str">
        <f ca="1">IF((OFFSET($A$1, 231 - 1, 100 - 1)) &gt;= (OFFSET($A$1, 78 - 1, 7 - 1)), "1","0")</f>
        <v>1</v>
      </c>
      <c r="CY231">
        <f ca="1" xml:space="preserve"> IF( AND( OFFSET($A$1, 231 - 1, 101 - 1) = "1", OFFSET($A$1, 231 - 1, 102 - 1) = "1" ), 1, IF( AND( OFFSET($A$1, 231 - 1, 101 - 1) = "1", OFFSET($A$1, 231 - 1, 102 - 1) = "0" ), 2, IF( AND( OFFSET($A$1, 231 - 1, 101 - 1) = "0", OFFSET($A$1, 231 - 1, 102 - 1) = "1" ), 3, 4 ) ) )</f>
        <v>1</v>
      </c>
    </row>
    <row r="232" spans="95:103" ht="13.8" x14ac:dyDescent="0.3">
      <c r="CQ232" s="24">
        <v>3.4938074644365644E-2</v>
      </c>
      <c r="CR232" s="24" t="str">
        <f>"0"</f>
        <v>0</v>
      </c>
      <c r="CS232" t="str">
        <f ca="1">IF((OFFSET($A$1, 232 - 1, 95 - 1)) &gt;= (OFFSET($A$1, 54 - 1, 7 - 1)), "1","0")</f>
        <v>0</v>
      </c>
      <c r="CT232">
        <f ca="1" xml:space="preserve"> IF( AND( OFFSET($A$1, 232 - 1, 96 - 1) = "1", OFFSET($A$1, 232 - 1, 97 - 1) = "1" ), 1, IF( AND( OFFSET($A$1, 232 - 1, 96 - 1) = "1", OFFSET($A$1, 232 - 1, 97 - 1) = "0" ), 2, IF( AND( OFFSET($A$1, 232 - 1, 96 - 1) = "0", OFFSET($A$1, 232 - 1, 97 - 1) = "1" ), 3, 4 ) ) )</f>
        <v>4</v>
      </c>
      <c r="CV232" s="24">
        <v>0.99882837764873456</v>
      </c>
      <c r="CW232" s="24" t="str">
        <f>"1"</f>
        <v>1</v>
      </c>
      <c r="CX232" t="str">
        <f ca="1">IF((OFFSET($A$1, 232 - 1, 100 - 1)) &gt;= (OFFSET($A$1, 78 - 1, 7 - 1)), "1","0")</f>
        <v>1</v>
      </c>
      <c r="CY232">
        <f ca="1" xml:space="preserve"> IF( AND( OFFSET($A$1, 232 - 1, 101 - 1) = "1", OFFSET($A$1, 232 - 1, 102 - 1) = "1" ), 1, IF( AND( OFFSET($A$1, 232 - 1, 101 - 1) = "1", OFFSET($A$1, 232 - 1, 102 - 1) = "0" ), 2, IF( AND( OFFSET($A$1, 232 - 1, 101 - 1) = "0", OFFSET($A$1, 232 - 1, 102 - 1) = "1" ), 3, 4 ) ) )</f>
        <v>1</v>
      </c>
    </row>
    <row r="233" spans="95:103" ht="13.8" x14ac:dyDescent="0.3">
      <c r="CQ233" s="24">
        <v>6.8348767681208109E-2</v>
      </c>
      <c r="CR233" s="24" t="str">
        <f>"0"</f>
        <v>0</v>
      </c>
      <c r="CS233" t="str">
        <f ca="1">IF((OFFSET($A$1, 233 - 1, 95 - 1)) &gt;= (OFFSET($A$1, 54 - 1, 7 - 1)), "1","0")</f>
        <v>0</v>
      </c>
      <c r="CT233">
        <f ca="1" xml:space="preserve"> IF( AND( OFFSET($A$1, 233 - 1, 96 - 1) = "1", OFFSET($A$1, 233 - 1, 97 - 1) = "1" ), 1, IF( AND( OFFSET($A$1, 233 - 1, 96 - 1) = "1", OFFSET($A$1, 233 - 1, 97 - 1) = "0" ), 2, IF( AND( OFFSET($A$1, 233 - 1, 96 - 1) = "0", OFFSET($A$1, 233 - 1, 97 - 1) = "1" ), 3, 4 ) ) )</f>
        <v>4</v>
      </c>
      <c r="CV233" s="24">
        <v>1.2850639919154003E-2</v>
      </c>
      <c r="CW233" s="24" t="str">
        <f>"0"</f>
        <v>0</v>
      </c>
      <c r="CX233" t="str">
        <f ca="1">IF((OFFSET($A$1, 233 - 1, 100 - 1)) &gt;= (OFFSET($A$1, 78 - 1, 7 - 1)), "1","0")</f>
        <v>0</v>
      </c>
      <c r="CY233">
        <f ca="1" xml:space="preserve"> IF( AND( OFFSET($A$1, 233 - 1, 101 - 1) = "1", OFFSET($A$1, 233 - 1, 102 - 1) = "1" ), 1, IF( AND( OFFSET($A$1, 233 - 1, 101 - 1) = "1", OFFSET($A$1, 233 - 1, 102 - 1) = "0" ), 2, IF( AND( OFFSET($A$1, 233 - 1, 101 - 1) = "0", OFFSET($A$1, 233 - 1, 102 - 1) = "1" ), 3, 4 ) ) )</f>
        <v>4</v>
      </c>
    </row>
    <row r="234" spans="95:103" ht="13.8" x14ac:dyDescent="0.3">
      <c r="CQ234" s="24">
        <v>0.98166744391487848</v>
      </c>
      <c r="CR234" s="24" t="str">
        <f t="shared" ref="CR234:CR240" si="17">"1"</f>
        <v>1</v>
      </c>
      <c r="CS234" t="str">
        <f ca="1">IF((OFFSET($A$1, 234 - 1, 95 - 1)) &gt;= (OFFSET($A$1, 54 - 1, 7 - 1)), "1","0")</f>
        <v>1</v>
      </c>
      <c r="CT234">
        <f ca="1" xml:space="preserve"> IF( AND( OFFSET($A$1, 234 - 1, 96 - 1) = "1", OFFSET($A$1, 234 - 1, 97 - 1) = "1" ), 1, IF( AND( OFFSET($A$1, 234 - 1, 96 - 1) = "1", OFFSET($A$1, 234 - 1, 97 - 1) = "0" ), 2, IF( AND( OFFSET($A$1, 234 - 1, 96 - 1) = "0", OFFSET($A$1, 234 - 1, 97 - 1) = "1" ), 3, 4 ) ) )</f>
        <v>1</v>
      </c>
      <c r="CV234" s="24">
        <v>4.2040997021798657E-3</v>
      </c>
      <c r="CW234" s="24" t="str">
        <f t="shared" ref="CW234:CW242" si="18">"1"</f>
        <v>1</v>
      </c>
      <c r="CX234" t="str">
        <f ca="1">IF((OFFSET($A$1, 234 - 1, 100 - 1)) &gt;= (OFFSET($A$1, 78 - 1, 7 - 1)), "1","0")</f>
        <v>0</v>
      </c>
      <c r="CY234">
        <f ca="1" xml:space="preserve"> IF( AND( OFFSET($A$1, 234 - 1, 101 - 1) = "1", OFFSET($A$1, 234 - 1, 102 - 1) = "1" ), 1, IF( AND( OFFSET($A$1, 234 - 1, 101 - 1) = "1", OFFSET($A$1, 234 - 1, 102 - 1) = "0" ), 2, IF( AND( OFFSET($A$1, 234 - 1, 101 - 1) = "0", OFFSET($A$1, 234 - 1, 102 - 1) = "1" ), 3, 4 ) ) )</f>
        <v>2</v>
      </c>
    </row>
    <row r="235" spans="95:103" ht="13.8" x14ac:dyDescent="0.3">
      <c r="CQ235" s="24">
        <v>0.99998776831936331</v>
      </c>
      <c r="CR235" s="24" t="str">
        <f t="shared" si="17"/>
        <v>1</v>
      </c>
      <c r="CS235" t="str">
        <f ca="1">IF((OFFSET($A$1, 235 - 1, 95 - 1)) &gt;= (OFFSET($A$1, 54 - 1, 7 - 1)), "1","0")</f>
        <v>1</v>
      </c>
      <c r="CT235">
        <f ca="1" xml:space="preserve"> IF( AND( OFFSET($A$1, 235 - 1, 96 - 1) = "1", OFFSET($A$1, 235 - 1, 97 - 1) = "1" ), 1, IF( AND( OFFSET($A$1, 235 - 1, 96 - 1) = "1", OFFSET($A$1, 235 - 1, 97 - 1) = "0" ), 2, IF( AND( OFFSET($A$1, 235 - 1, 96 - 1) = "0", OFFSET($A$1, 235 - 1, 97 - 1) = "1" ), 3, 4 ) ) )</f>
        <v>1</v>
      </c>
      <c r="CV235" s="24">
        <v>0.78792616711053953</v>
      </c>
      <c r="CW235" s="24" t="str">
        <f t="shared" si="18"/>
        <v>1</v>
      </c>
      <c r="CX235" t="str">
        <f ca="1">IF((OFFSET($A$1, 235 - 1, 100 - 1)) &gt;= (OFFSET($A$1, 78 - 1, 7 - 1)), "1","0")</f>
        <v>1</v>
      </c>
      <c r="CY235">
        <f ca="1" xml:space="preserve"> IF( AND( OFFSET($A$1, 235 - 1, 101 - 1) = "1", OFFSET($A$1, 235 - 1, 102 - 1) = "1" ), 1, IF( AND( OFFSET($A$1, 235 - 1, 101 - 1) = "1", OFFSET($A$1, 235 - 1, 102 - 1) = "0" ), 2, IF( AND( OFFSET($A$1, 235 - 1, 101 - 1) = "0", OFFSET($A$1, 235 - 1, 102 - 1) = "1" ), 3, 4 ) ) )</f>
        <v>1</v>
      </c>
    </row>
    <row r="236" spans="95:103" ht="13.8" x14ac:dyDescent="0.3">
      <c r="CQ236" s="24">
        <v>0.92054902328048438</v>
      </c>
      <c r="CR236" s="24" t="str">
        <f t="shared" si="17"/>
        <v>1</v>
      </c>
      <c r="CS236" t="str">
        <f ca="1">IF((OFFSET($A$1, 236 - 1, 95 - 1)) &gt;= (OFFSET($A$1, 54 - 1, 7 - 1)), "1","0")</f>
        <v>1</v>
      </c>
      <c r="CT236">
        <f ca="1" xml:space="preserve"> IF( AND( OFFSET($A$1, 236 - 1, 96 - 1) = "1", OFFSET($A$1, 236 - 1, 97 - 1) = "1" ), 1, IF( AND( OFFSET($A$1, 236 - 1, 96 - 1) = "1", OFFSET($A$1, 236 - 1, 97 - 1) = "0" ), 2, IF( AND( OFFSET($A$1, 236 - 1, 96 - 1) = "0", OFFSET($A$1, 236 - 1, 97 - 1) = "1" ), 3, 4 ) ) )</f>
        <v>1</v>
      </c>
      <c r="CV236" s="24">
        <v>0.99989052532372902</v>
      </c>
      <c r="CW236" s="24" t="str">
        <f t="shared" si="18"/>
        <v>1</v>
      </c>
      <c r="CX236" t="str">
        <f ca="1">IF((OFFSET($A$1, 236 - 1, 100 - 1)) &gt;= (OFFSET($A$1, 78 - 1, 7 - 1)), "1","0")</f>
        <v>1</v>
      </c>
      <c r="CY236">
        <f ca="1" xml:space="preserve"> IF( AND( OFFSET($A$1, 236 - 1, 101 - 1) = "1", OFFSET($A$1, 236 - 1, 102 - 1) = "1" ), 1, IF( AND( OFFSET($A$1, 236 - 1, 101 - 1) = "1", OFFSET($A$1, 236 - 1, 102 - 1) = "0" ), 2, IF( AND( OFFSET($A$1, 236 - 1, 101 - 1) = "0", OFFSET($A$1, 236 - 1, 102 - 1) = "1" ), 3, 4 ) ) )</f>
        <v>1</v>
      </c>
    </row>
    <row r="237" spans="95:103" ht="13.8" x14ac:dyDescent="0.3">
      <c r="CQ237" s="24">
        <v>0.99915971473432497</v>
      </c>
      <c r="CR237" s="24" t="str">
        <f t="shared" si="17"/>
        <v>1</v>
      </c>
      <c r="CS237" t="str">
        <f ca="1">IF((OFFSET($A$1, 237 - 1, 95 - 1)) &gt;= (OFFSET($A$1, 54 - 1, 7 - 1)), "1","0")</f>
        <v>1</v>
      </c>
      <c r="CT237">
        <f ca="1" xml:space="preserve"> IF( AND( OFFSET($A$1, 237 - 1, 96 - 1) = "1", OFFSET($A$1, 237 - 1, 97 - 1) = "1" ), 1, IF( AND( OFFSET($A$1, 237 - 1, 96 - 1) = "1", OFFSET($A$1, 237 - 1, 97 - 1) = "0" ), 2, IF( AND( OFFSET($A$1, 237 - 1, 96 - 1) = "0", OFFSET($A$1, 237 - 1, 97 - 1) = "1" ), 3, 4 ) ) )</f>
        <v>1</v>
      </c>
      <c r="CV237" s="24">
        <v>1.1518486500353448E-2</v>
      </c>
      <c r="CW237" s="24" t="str">
        <f t="shared" si="18"/>
        <v>1</v>
      </c>
      <c r="CX237" t="str">
        <f ca="1">IF((OFFSET($A$1, 237 - 1, 100 - 1)) &gt;= (OFFSET($A$1, 78 - 1, 7 - 1)), "1","0")</f>
        <v>0</v>
      </c>
      <c r="CY237">
        <f ca="1" xml:space="preserve"> IF( AND( OFFSET($A$1, 237 - 1, 101 - 1) = "1", OFFSET($A$1, 237 - 1, 102 - 1) = "1" ), 1, IF( AND( OFFSET($A$1, 237 - 1, 101 - 1) = "1", OFFSET($A$1, 237 - 1, 102 - 1) = "0" ), 2, IF( AND( OFFSET($A$1, 237 - 1, 101 - 1) = "0", OFFSET($A$1, 237 - 1, 102 - 1) = "1" ), 3, 4 ) ) )</f>
        <v>2</v>
      </c>
    </row>
    <row r="238" spans="95:103" ht="13.8" x14ac:dyDescent="0.3">
      <c r="CQ238" s="24">
        <v>0.98573723349064912</v>
      </c>
      <c r="CR238" s="24" t="str">
        <f t="shared" si="17"/>
        <v>1</v>
      </c>
      <c r="CS238" t="str">
        <f ca="1">IF((OFFSET($A$1, 238 - 1, 95 - 1)) &gt;= (OFFSET($A$1, 54 - 1, 7 - 1)), "1","0")</f>
        <v>1</v>
      </c>
      <c r="CT238">
        <f ca="1" xml:space="preserve"> IF( AND( OFFSET($A$1, 238 - 1, 96 - 1) = "1", OFFSET($A$1, 238 - 1, 97 - 1) = "1" ), 1, IF( AND( OFFSET($A$1, 238 - 1, 96 - 1) = "1", OFFSET($A$1, 238 - 1, 97 - 1) = "0" ), 2, IF( AND( OFFSET($A$1, 238 - 1, 96 - 1) = "0", OFFSET($A$1, 238 - 1, 97 - 1) = "1" ), 3, 4 ) ) )</f>
        <v>1</v>
      </c>
      <c r="CV238" s="24">
        <v>0.76271253885269208</v>
      </c>
      <c r="CW238" s="24" t="str">
        <f t="shared" si="18"/>
        <v>1</v>
      </c>
      <c r="CX238" t="str">
        <f ca="1">IF((OFFSET($A$1, 238 - 1, 100 - 1)) &gt;= (OFFSET($A$1, 78 - 1, 7 - 1)), "1","0")</f>
        <v>1</v>
      </c>
      <c r="CY238">
        <f ca="1" xml:space="preserve"> IF( AND( OFFSET($A$1, 238 - 1, 101 - 1) = "1", OFFSET($A$1, 238 - 1, 102 - 1) = "1" ), 1, IF( AND( OFFSET($A$1, 238 - 1, 101 - 1) = "1", OFFSET($A$1, 238 - 1, 102 - 1) = "0" ), 2, IF( AND( OFFSET($A$1, 238 - 1, 101 - 1) = "0", OFFSET($A$1, 238 - 1, 102 - 1) = "1" ), 3, 4 ) ) )</f>
        <v>1</v>
      </c>
    </row>
    <row r="239" spans="95:103" ht="13.8" x14ac:dyDescent="0.3">
      <c r="CQ239" s="24">
        <v>0.9988984989601889</v>
      </c>
      <c r="CR239" s="24" t="str">
        <f t="shared" si="17"/>
        <v>1</v>
      </c>
      <c r="CS239" t="str">
        <f ca="1">IF((OFFSET($A$1, 239 - 1, 95 - 1)) &gt;= (OFFSET($A$1, 54 - 1, 7 - 1)), "1","0")</f>
        <v>1</v>
      </c>
      <c r="CT239">
        <f ca="1" xml:space="preserve"> IF( AND( OFFSET($A$1, 239 - 1, 96 - 1) = "1", OFFSET($A$1, 239 - 1, 97 - 1) = "1" ), 1, IF( AND( OFFSET($A$1, 239 - 1, 96 - 1) = "1", OFFSET($A$1, 239 - 1, 97 - 1) = "0" ), 2, IF( AND( OFFSET($A$1, 239 - 1, 96 - 1) = "0", OFFSET($A$1, 239 - 1, 97 - 1) = "1" ), 3, 4 ) ) )</f>
        <v>1</v>
      </c>
      <c r="CV239" s="24">
        <v>0.99999987574726446</v>
      </c>
      <c r="CW239" s="24" t="str">
        <f t="shared" si="18"/>
        <v>1</v>
      </c>
      <c r="CX239" t="str">
        <f ca="1">IF((OFFSET($A$1, 239 - 1, 100 - 1)) &gt;= (OFFSET($A$1, 78 - 1, 7 - 1)), "1","0")</f>
        <v>1</v>
      </c>
      <c r="CY239">
        <f ca="1" xml:space="preserve"> IF( AND( OFFSET($A$1, 239 - 1, 101 - 1) = "1", OFFSET($A$1, 239 - 1, 102 - 1) = "1" ), 1, IF( AND( OFFSET($A$1, 239 - 1, 101 - 1) = "1", OFFSET($A$1, 239 - 1, 102 - 1) = "0" ), 2, IF( AND( OFFSET($A$1, 239 - 1, 101 - 1) = "0", OFFSET($A$1, 239 - 1, 102 - 1) = "1" ), 3, 4 ) ) )</f>
        <v>1</v>
      </c>
    </row>
    <row r="240" spans="95:103" ht="13.8" x14ac:dyDescent="0.3">
      <c r="CQ240" s="24">
        <v>0.9998431871091048</v>
      </c>
      <c r="CR240" s="24" t="str">
        <f t="shared" si="17"/>
        <v>1</v>
      </c>
      <c r="CS240" t="str">
        <f ca="1">IF((OFFSET($A$1, 240 - 1, 95 - 1)) &gt;= (OFFSET($A$1, 54 - 1, 7 - 1)), "1","0")</f>
        <v>1</v>
      </c>
      <c r="CT240">
        <f ca="1" xml:space="preserve"> IF( AND( OFFSET($A$1, 240 - 1, 96 - 1) = "1", OFFSET($A$1, 240 - 1, 97 - 1) = "1" ), 1, IF( AND( OFFSET($A$1, 240 - 1, 96 - 1) = "1", OFFSET($A$1, 240 - 1, 97 - 1) = "0" ), 2, IF( AND( OFFSET($A$1, 240 - 1, 96 - 1) = "0", OFFSET($A$1, 240 - 1, 97 - 1) = "1" ), 3, 4 ) ) )</f>
        <v>1</v>
      </c>
      <c r="CV240" s="24">
        <v>0.99976208401132249</v>
      </c>
      <c r="CW240" s="24" t="str">
        <f t="shared" si="18"/>
        <v>1</v>
      </c>
      <c r="CX240" t="str">
        <f ca="1">IF((OFFSET($A$1, 240 - 1, 100 - 1)) &gt;= (OFFSET($A$1, 78 - 1, 7 - 1)), "1","0")</f>
        <v>1</v>
      </c>
      <c r="CY240">
        <f ca="1" xml:space="preserve"> IF( AND( OFFSET($A$1, 240 - 1, 101 - 1) = "1", OFFSET($A$1, 240 - 1, 102 - 1) = "1" ), 1, IF( AND( OFFSET($A$1, 240 - 1, 101 - 1) = "1", OFFSET($A$1, 240 - 1, 102 - 1) = "0" ), 2, IF( AND( OFFSET($A$1, 240 - 1, 101 - 1) = "0", OFFSET($A$1, 240 - 1, 102 - 1) = "1" ), 3, 4 ) ) )</f>
        <v>1</v>
      </c>
    </row>
    <row r="241" spans="95:103" ht="13.8" x14ac:dyDescent="0.3">
      <c r="CQ241" s="24">
        <v>3.9879874957069412E-2</v>
      </c>
      <c r="CR241" s="24" t="str">
        <f>"0"</f>
        <v>0</v>
      </c>
      <c r="CS241" t="str">
        <f ca="1">IF((OFFSET($A$1, 241 - 1, 95 - 1)) &gt;= (OFFSET($A$1, 54 - 1, 7 - 1)), "1","0")</f>
        <v>0</v>
      </c>
      <c r="CT241">
        <f ca="1" xml:space="preserve"> IF( AND( OFFSET($A$1, 241 - 1, 96 - 1) = "1", OFFSET($A$1, 241 - 1, 97 - 1) = "1" ), 1, IF( AND( OFFSET($A$1, 241 - 1, 96 - 1) = "1", OFFSET($A$1, 241 - 1, 97 - 1) = "0" ), 2, IF( AND( OFFSET($A$1, 241 - 1, 96 - 1) = "0", OFFSET($A$1, 241 - 1, 97 - 1) = "1" ), 3, 4 ) ) )</f>
        <v>4</v>
      </c>
      <c r="CV241" s="24">
        <v>0.99994486920454673</v>
      </c>
      <c r="CW241" s="24" t="str">
        <f t="shared" si="18"/>
        <v>1</v>
      </c>
      <c r="CX241" t="str">
        <f ca="1">IF((OFFSET($A$1, 241 - 1, 100 - 1)) &gt;= (OFFSET($A$1, 78 - 1, 7 - 1)), "1","0")</f>
        <v>1</v>
      </c>
      <c r="CY241">
        <f ca="1" xml:space="preserve"> IF( AND( OFFSET($A$1, 241 - 1, 101 - 1) = "1", OFFSET($A$1, 241 - 1, 102 - 1) = "1" ), 1, IF( AND( OFFSET($A$1, 241 - 1, 101 - 1) = "1", OFFSET($A$1, 241 - 1, 102 - 1) = "0" ), 2, IF( AND( OFFSET($A$1, 241 - 1, 101 - 1) = "0", OFFSET($A$1, 241 - 1, 102 - 1) = "1" ), 3, 4 ) ) )</f>
        <v>1</v>
      </c>
    </row>
    <row r="242" spans="95:103" ht="13.8" x14ac:dyDescent="0.3">
      <c r="CQ242" s="24">
        <v>0.94608590413681048</v>
      </c>
      <c r="CR242" s="24" t="str">
        <f t="shared" ref="CR242:CR247" si="19">"1"</f>
        <v>1</v>
      </c>
      <c r="CS242" t="str">
        <f ca="1">IF((OFFSET($A$1, 242 - 1, 95 - 1)) &gt;= (OFFSET($A$1, 54 - 1, 7 - 1)), "1","0")</f>
        <v>1</v>
      </c>
      <c r="CT242">
        <f ca="1" xml:space="preserve"> IF( AND( OFFSET($A$1, 242 - 1, 96 - 1) = "1", OFFSET($A$1, 242 - 1, 97 - 1) = "1" ), 1, IF( AND( OFFSET($A$1, 242 - 1, 96 - 1) = "1", OFFSET($A$1, 242 - 1, 97 - 1) = "0" ), 2, IF( AND( OFFSET($A$1, 242 - 1, 96 - 1) = "0", OFFSET($A$1, 242 - 1, 97 - 1) = "1" ), 3, 4 ) ) )</f>
        <v>1</v>
      </c>
      <c r="CV242" s="24">
        <v>0.99999794090938843</v>
      </c>
      <c r="CW242" s="24" t="str">
        <f t="shared" si="18"/>
        <v>1</v>
      </c>
      <c r="CX242" t="str">
        <f ca="1">IF((OFFSET($A$1, 242 - 1, 100 - 1)) &gt;= (OFFSET($A$1, 78 - 1, 7 - 1)), "1","0")</f>
        <v>1</v>
      </c>
      <c r="CY242">
        <f ca="1" xml:space="preserve"> IF( AND( OFFSET($A$1, 242 - 1, 101 - 1) = "1", OFFSET($A$1, 242 - 1, 102 - 1) = "1" ), 1, IF( AND( OFFSET($A$1, 242 - 1, 101 - 1) = "1", OFFSET($A$1, 242 - 1, 102 - 1) = "0" ), 2, IF( AND( OFFSET($A$1, 242 - 1, 101 - 1) = "0", OFFSET($A$1, 242 - 1, 102 - 1) = "1" ), 3, 4 ) ) )</f>
        <v>1</v>
      </c>
    </row>
    <row r="243" spans="95:103" ht="13.8" x14ac:dyDescent="0.3">
      <c r="CQ243" s="24">
        <v>0.93548433477649418</v>
      </c>
      <c r="CR243" s="24" t="str">
        <f t="shared" si="19"/>
        <v>1</v>
      </c>
      <c r="CS243" t="str">
        <f ca="1">IF((OFFSET($A$1, 243 - 1, 95 - 1)) &gt;= (OFFSET($A$1, 54 - 1, 7 - 1)), "1","0")</f>
        <v>1</v>
      </c>
      <c r="CT243">
        <f ca="1" xml:space="preserve"> IF( AND( OFFSET($A$1, 243 - 1, 96 - 1) = "1", OFFSET($A$1, 243 - 1, 97 - 1) = "1" ), 1, IF( AND( OFFSET($A$1, 243 - 1, 96 - 1) = "1", OFFSET($A$1, 243 - 1, 97 - 1) = "0" ), 2, IF( AND( OFFSET($A$1, 243 - 1, 96 - 1) = "0", OFFSET($A$1, 243 - 1, 97 - 1) = "1" ), 3, 4 ) ) )</f>
        <v>1</v>
      </c>
      <c r="CV243" s="24">
        <v>0.99032129900653465</v>
      </c>
      <c r="CW243" s="24" t="str">
        <f>"0"</f>
        <v>0</v>
      </c>
      <c r="CX243" t="str">
        <f ca="1">IF((OFFSET($A$1, 243 - 1, 100 - 1)) &gt;= (OFFSET($A$1, 78 - 1, 7 - 1)), "1","0")</f>
        <v>1</v>
      </c>
      <c r="CY243">
        <f ca="1" xml:space="preserve"> IF( AND( OFFSET($A$1, 243 - 1, 101 - 1) = "1", OFFSET($A$1, 243 - 1, 102 - 1) = "1" ), 1, IF( AND( OFFSET($A$1, 243 - 1, 101 - 1) = "1", OFFSET($A$1, 243 - 1, 102 - 1) = "0" ), 2, IF( AND( OFFSET($A$1, 243 - 1, 101 - 1) = "0", OFFSET($A$1, 243 - 1, 102 - 1) = "1" ), 3, 4 ) ) )</f>
        <v>3</v>
      </c>
    </row>
    <row r="244" spans="95:103" ht="13.8" x14ac:dyDescent="0.3">
      <c r="CQ244" s="24">
        <v>0.9996608953858801</v>
      </c>
      <c r="CR244" s="24" t="str">
        <f t="shared" si="19"/>
        <v>1</v>
      </c>
      <c r="CS244" t="str">
        <f ca="1">IF((OFFSET($A$1, 244 - 1, 95 - 1)) &gt;= (OFFSET($A$1, 54 - 1, 7 - 1)), "1","0")</f>
        <v>1</v>
      </c>
      <c r="CT244">
        <f ca="1" xml:space="preserve"> IF( AND( OFFSET($A$1, 244 - 1, 96 - 1) = "1", OFFSET($A$1, 244 - 1, 97 - 1) = "1" ), 1, IF( AND( OFFSET($A$1, 244 - 1, 96 - 1) = "1", OFFSET($A$1, 244 - 1, 97 - 1) = "0" ), 2, IF( AND( OFFSET($A$1, 244 - 1, 96 - 1) = "0", OFFSET($A$1, 244 - 1, 97 - 1) = "1" ), 3, 4 ) ) )</f>
        <v>1</v>
      </c>
      <c r="CV244" s="24">
        <v>8.0280439343911082E-3</v>
      </c>
      <c r="CW244" s="24" t="str">
        <f>"0"</f>
        <v>0</v>
      </c>
      <c r="CX244" t="str">
        <f ca="1">IF((OFFSET($A$1, 244 - 1, 100 - 1)) &gt;= (OFFSET($A$1, 78 - 1, 7 - 1)), "1","0")</f>
        <v>0</v>
      </c>
      <c r="CY244">
        <f ca="1" xml:space="preserve"> IF( AND( OFFSET($A$1, 244 - 1, 101 - 1) = "1", OFFSET($A$1, 244 - 1, 102 - 1) = "1" ), 1, IF( AND( OFFSET($A$1, 244 - 1, 101 - 1) = "1", OFFSET($A$1, 244 - 1, 102 - 1) = "0" ), 2, IF( AND( OFFSET($A$1, 244 - 1, 101 - 1) = "0", OFFSET($A$1, 244 - 1, 102 - 1) = "1" ), 3, 4 ) ) )</f>
        <v>4</v>
      </c>
    </row>
    <row r="245" spans="95:103" ht="13.8" x14ac:dyDescent="0.3">
      <c r="CQ245" s="24">
        <v>0.98628433642486701</v>
      </c>
      <c r="CR245" s="24" t="str">
        <f t="shared" si="19"/>
        <v>1</v>
      </c>
      <c r="CS245" t="str">
        <f ca="1">IF((OFFSET($A$1, 245 - 1, 95 - 1)) &gt;= (OFFSET($A$1, 54 - 1, 7 - 1)), "1","0")</f>
        <v>1</v>
      </c>
      <c r="CT245">
        <f ca="1" xml:space="preserve"> IF( AND( OFFSET($A$1, 245 - 1, 96 - 1) = "1", OFFSET($A$1, 245 - 1, 97 - 1) = "1" ), 1, IF( AND( OFFSET($A$1, 245 - 1, 96 - 1) = "1", OFFSET($A$1, 245 - 1, 97 - 1) = "0" ), 2, IF( AND( OFFSET($A$1, 245 - 1, 96 - 1) = "0", OFFSET($A$1, 245 - 1, 97 - 1) = "1" ), 3, 4 ) ) )</f>
        <v>1</v>
      </c>
      <c r="CV245" s="24">
        <v>0.14575623906906923</v>
      </c>
      <c r="CW245" s="24" t="str">
        <f>"1"</f>
        <v>1</v>
      </c>
      <c r="CX245" t="str">
        <f ca="1">IF((OFFSET($A$1, 245 - 1, 100 - 1)) &gt;= (OFFSET($A$1, 78 - 1, 7 - 1)), "1","0")</f>
        <v>0</v>
      </c>
      <c r="CY245">
        <f ca="1" xml:space="preserve"> IF( AND( OFFSET($A$1, 245 - 1, 101 - 1) = "1", OFFSET($A$1, 245 - 1, 102 - 1) = "1" ), 1, IF( AND( OFFSET($A$1, 245 - 1, 101 - 1) = "1", OFFSET($A$1, 245 - 1, 102 - 1) = "0" ), 2, IF( AND( OFFSET($A$1, 245 - 1, 101 - 1) = "0", OFFSET($A$1, 245 - 1, 102 - 1) = "1" ), 3, 4 ) ) )</f>
        <v>2</v>
      </c>
    </row>
    <row r="246" spans="95:103" ht="13.8" x14ac:dyDescent="0.3">
      <c r="CQ246" s="24">
        <v>0.89055486652020144</v>
      </c>
      <c r="CR246" s="24" t="str">
        <f t="shared" si="19"/>
        <v>1</v>
      </c>
      <c r="CS246" t="str">
        <f ca="1">IF((OFFSET($A$1, 246 - 1, 95 - 1)) &gt;= (OFFSET($A$1, 54 - 1, 7 - 1)), "1","0")</f>
        <v>1</v>
      </c>
      <c r="CT246">
        <f ca="1" xml:space="preserve"> IF( AND( OFFSET($A$1, 246 - 1, 96 - 1) = "1", OFFSET($A$1, 246 - 1, 97 - 1) = "1" ), 1, IF( AND( OFFSET($A$1, 246 - 1, 96 - 1) = "1", OFFSET($A$1, 246 - 1, 97 - 1) = "0" ), 2, IF( AND( OFFSET($A$1, 246 - 1, 96 - 1) = "0", OFFSET($A$1, 246 - 1, 97 - 1) = "1" ), 3, 4 ) ) )</f>
        <v>1</v>
      </c>
      <c r="CV246" s="24">
        <v>0.15580678884965235</v>
      </c>
      <c r="CW246" s="24" t="str">
        <f>"0"</f>
        <v>0</v>
      </c>
      <c r="CX246" t="str">
        <f ca="1">IF((OFFSET($A$1, 246 - 1, 100 - 1)) &gt;= (OFFSET($A$1, 78 - 1, 7 - 1)), "1","0")</f>
        <v>0</v>
      </c>
      <c r="CY246">
        <f ca="1" xml:space="preserve"> IF( AND( OFFSET($A$1, 246 - 1, 101 - 1) = "1", OFFSET($A$1, 246 - 1, 102 - 1) = "1" ), 1, IF( AND( OFFSET($A$1, 246 - 1, 101 - 1) = "1", OFFSET($A$1, 246 - 1, 102 - 1) = "0" ), 2, IF( AND( OFFSET($A$1, 246 - 1, 101 - 1) = "0", OFFSET($A$1, 246 - 1, 102 - 1) = "1" ), 3, 4 ) ) )</f>
        <v>4</v>
      </c>
    </row>
    <row r="247" spans="95:103" ht="13.8" x14ac:dyDescent="0.3">
      <c r="CQ247" s="24">
        <v>0.99696918543276336</v>
      </c>
      <c r="CR247" s="24" t="str">
        <f t="shared" si="19"/>
        <v>1</v>
      </c>
      <c r="CS247" t="str">
        <f ca="1">IF((OFFSET($A$1, 247 - 1, 95 - 1)) &gt;= (OFFSET($A$1, 54 - 1, 7 - 1)), "1","0")</f>
        <v>1</v>
      </c>
      <c r="CT247">
        <f ca="1" xml:space="preserve"> IF( AND( OFFSET($A$1, 247 - 1, 96 - 1) = "1", OFFSET($A$1, 247 - 1, 97 - 1) = "1" ), 1, IF( AND( OFFSET($A$1, 247 - 1, 96 - 1) = "1", OFFSET($A$1, 247 - 1, 97 - 1) = "0" ), 2, IF( AND( OFFSET($A$1, 247 - 1, 96 - 1) = "0", OFFSET($A$1, 247 - 1, 97 - 1) = "1" ), 3, 4 ) ) )</f>
        <v>1</v>
      </c>
      <c r="CV247" s="24">
        <v>0.45523860621945261</v>
      </c>
      <c r="CW247" s="24" t="str">
        <f t="shared" ref="CW247:CW258" si="20">"1"</f>
        <v>1</v>
      </c>
      <c r="CX247" t="str">
        <f ca="1">IF((OFFSET($A$1, 247 - 1, 100 - 1)) &gt;= (OFFSET($A$1, 78 - 1, 7 - 1)), "1","0")</f>
        <v>0</v>
      </c>
      <c r="CY247">
        <f ca="1" xml:space="preserve"> IF( AND( OFFSET($A$1, 247 - 1, 101 - 1) = "1", OFFSET($A$1, 247 - 1, 102 - 1) = "1" ), 1, IF( AND( OFFSET($A$1, 247 - 1, 101 - 1) = "1", OFFSET($A$1, 247 - 1, 102 - 1) = "0" ), 2, IF( AND( OFFSET($A$1, 247 - 1, 101 - 1) = "0", OFFSET($A$1, 247 - 1, 102 - 1) = "1" ), 3, 4 ) ) )</f>
        <v>2</v>
      </c>
    </row>
    <row r="248" spans="95:103" ht="13.8" x14ac:dyDescent="0.3">
      <c r="CQ248" s="24">
        <v>4.899450287295961E-2</v>
      </c>
      <c r="CR248" s="24" t="str">
        <f>"0"</f>
        <v>0</v>
      </c>
      <c r="CS248" t="str">
        <f ca="1">IF((OFFSET($A$1, 248 - 1, 95 - 1)) &gt;= (OFFSET($A$1, 54 - 1, 7 - 1)), "1","0")</f>
        <v>0</v>
      </c>
      <c r="CT248">
        <f ca="1" xml:space="preserve"> IF( AND( OFFSET($A$1, 248 - 1, 96 - 1) = "1", OFFSET($A$1, 248 - 1, 97 - 1) = "1" ), 1, IF( AND( OFFSET($A$1, 248 - 1, 96 - 1) = "1", OFFSET($A$1, 248 - 1, 97 - 1) = "0" ), 2, IF( AND( OFFSET($A$1, 248 - 1, 96 - 1) = "0", OFFSET($A$1, 248 - 1, 97 - 1) = "1" ), 3, 4 ) ) )</f>
        <v>4</v>
      </c>
      <c r="CV248" s="24">
        <v>0.99999935083194114</v>
      </c>
      <c r="CW248" s="24" t="str">
        <f t="shared" si="20"/>
        <v>1</v>
      </c>
      <c r="CX248" t="str">
        <f ca="1">IF((OFFSET($A$1, 248 - 1, 100 - 1)) &gt;= (OFFSET($A$1, 78 - 1, 7 - 1)), "1","0")</f>
        <v>1</v>
      </c>
      <c r="CY248">
        <f ca="1" xml:space="preserve"> IF( AND( OFFSET($A$1, 248 - 1, 101 - 1) = "1", OFFSET($A$1, 248 - 1, 102 - 1) = "1" ), 1, IF( AND( OFFSET($A$1, 248 - 1, 101 - 1) = "1", OFFSET($A$1, 248 - 1, 102 - 1) = "0" ), 2, IF( AND( OFFSET($A$1, 248 - 1, 101 - 1) = "0", OFFSET($A$1, 248 - 1, 102 - 1) = "1" ), 3, 4 ) ) )</f>
        <v>1</v>
      </c>
    </row>
    <row r="249" spans="95:103" ht="13.8" x14ac:dyDescent="0.3">
      <c r="CQ249" s="24">
        <v>0.99457179433871801</v>
      </c>
      <c r="CR249" s="24" t="str">
        <f t="shared" ref="CR249:CR258" si="21">"1"</f>
        <v>1</v>
      </c>
      <c r="CS249" t="str">
        <f ca="1">IF((OFFSET($A$1, 249 - 1, 95 - 1)) &gt;= (OFFSET($A$1, 54 - 1, 7 - 1)), "1","0")</f>
        <v>1</v>
      </c>
      <c r="CT249">
        <f ca="1" xml:space="preserve"> IF( AND( OFFSET($A$1, 249 - 1, 96 - 1) = "1", OFFSET($A$1, 249 - 1, 97 - 1) = "1" ), 1, IF( AND( OFFSET($A$1, 249 - 1, 96 - 1) = "1", OFFSET($A$1, 249 - 1, 97 - 1) = "0" ), 2, IF( AND( OFFSET($A$1, 249 - 1, 96 - 1) = "0", OFFSET($A$1, 249 - 1, 97 - 1) = "1" ), 3, 4 ) ) )</f>
        <v>1</v>
      </c>
      <c r="CV249" s="24">
        <v>0.8079973752601094</v>
      </c>
      <c r="CW249" s="24" t="str">
        <f t="shared" si="20"/>
        <v>1</v>
      </c>
      <c r="CX249" t="str">
        <f ca="1">IF((OFFSET($A$1, 249 - 1, 100 - 1)) &gt;= (OFFSET($A$1, 78 - 1, 7 - 1)), "1","0")</f>
        <v>1</v>
      </c>
      <c r="CY249">
        <f ca="1" xml:space="preserve"> IF( AND( OFFSET($A$1, 249 - 1, 101 - 1) = "1", OFFSET($A$1, 249 - 1, 102 - 1) = "1" ), 1, IF( AND( OFFSET($A$1, 249 - 1, 101 - 1) = "1", OFFSET($A$1, 249 - 1, 102 - 1) = "0" ), 2, IF( AND( OFFSET($A$1, 249 - 1, 101 - 1) = "0", OFFSET($A$1, 249 - 1, 102 - 1) = "1" ), 3, 4 ) ) )</f>
        <v>1</v>
      </c>
    </row>
    <row r="250" spans="95:103" ht="13.8" x14ac:dyDescent="0.3">
      <c r="CQ250" s="24">
        <v>0.97597510906268004</v>
      </c>
      <c r="CR250" s="24" t="str">
        <f t="shared" si="21"/>
        <v>1</v>
      </c>
      <c r="CS250" t="str">
        <f ca="1">IF((OFFSET($A$1, 250 - 1, 95 - 1)) &gt;= (OFFSET($A$1, 54 - 1, 7 - 1)), "1","0")</f>
        <v>1</v>
      </c>
      <c r="CT250">
        <f ca="1" xml:space="preserve"> IF( AND( OFFSET($A$1, 250 - 1, 96 - 1) = "1", OFFSET($A$1, 250 - 1, 97 - 1) = "1" ), 1, IF( AND( OFFSET($A$1, 250 - 1, 96 - 1) = "1", OFFSET($A$1, 250 - 1, 97 - 1) = "0" ), 2, IF( AND( OFFSET($A$1, 250 - 1, 96 - 1) = "0", OFFSET($A$1, 250 - 1, 97 - 1) = "1" ), 3, 4 ) ) )</f>
        <v>1</v>
      </c>
      <c r="CV250" s="24">
        <v>0.99988819500347448</v>
      </c>
      <c r="CW250" s="24" t="str">
        <f t="shared" si="20"/>
        <v>1</v>
      </c>
      <c r="CX250" t="str">
        <f ca="1">IF((OFFSET($A$1, 250 - 1, 100 - 1)) &gt;= (OFFSET($A$1, 78 - 1, 7 - 1)), "1","0")</f>
        <v>1</v>
      </c>
      <c r="CY250">
        <f ca="1" xml:space="preserve"> IF( AND( OFFSET($A$1, 250 - 1, 101 - 1) = "1", OFFSET($A$1, 250 - 1, 102 - 1) = "1" ), 1, IF( AND( OFFSET($A$1, 250 - 1, 101 - 1) = "1", OFFSET($A$1, 250 - 1, 102 - 1) = "0" ), 2, IF( AND( OFFSET($A$1, 250 - 1, 101 - 1) = "0", OFFSET($A$1, 250 - 1, 102 - 1) = "1" ), 3, 4 ) ) )</f>
        <v>1</v>
      </c>
    </row>
    <row r="251" spans="95:103" ht="13.8" x14ac:dyDescent="0.3">
      <c r="CQ251" s="24">
        <v>0.97016951511183402</v>
      </c>
      <c r="CR251" s="24" t="str">
        <f t="shared" si="21"/>
        <v>1</v>
      </c>
      <c r="CS251" t="str">
        <f ca="1">IF((OFFSET($A$1, 251 - 1, 95 - 1)) &gt;= (OFFSET($A$1, 54 - 1, 7 - 1)), "1","0")</f>
        <v>1</v>
      </c>
      <c r="CT251">
        <f ca="1" xml:space="preserve"> IF( AND( OFFSET($A$1, 251 - 1, 96 - 1) = "1", OFFSET($A$1, 251 - 1, 97 - 1) = "1" ), 1, IF( AND( OFFSET($A$1, 251 - 1, 96 - 1) = "1", OFFSET($A$1, 251 - 1, 97 - 1) = "0" ), 2, IF( AND( OFFSET($A$1, 251 - 1, 96 - 1) = "0", OFFSET($A$1, 251 - 1, 97 - 1) = "1" ), 3, 4 ) ) )</f>
        <v>1</v>
      </c>
      <c r="CV251" s="24">
        <v>0.95096603316400141</v>
      </c>
      <c r="CW251" s="24" t="str">
        <f t="shared" si="20"/>
        <v>1</v>
      </c>
      <c r="CX251" t="str">
        <f ca="1">IF((OFFSET($A$1, 251 - 1, 100 - 1)) &gt;= (OFFSET($A$1, 78 - 1, 7 - 1)), "1","0")</f>
        <v>1</v>
      </c>
      <c r="CY251">
        <f ca="1" xml:space="preserve"> IF( AND( OFFSET($A$1, 251 - 1, 101 - 1) = "1", OFFSET($A$1, 251 - 1, 102 - 1) = "1" ), 1, IF( AND( OFFSET($A$1, 251 - 1, 101 - 1) = "1", OFFSET($A$1, 251 - 1, 102 - 1) = "0" ), 2, IF( AND( OFFSET($A$1, 251 - 1, 101 - 1) = "0", OFFSET($A$1, 251 - 1, 102 - 1) = "1" ), 3, 4 ) ) )</f>
        <v>1</v>
      </c>
    </row>
    <row r="252" spans="95:103" ht="13.8" x14ac:dyDescent="0.3">
      <c r="CQ252" s="24">
        <v>0.99077963900330102</v>
      </c>
      <c r="CR252" s="24" t="str">
        <f t="shared" si="21"/>
        <v>1</v>
      </c>
      <c r="CS252" t="str">
        <f ca="1">IF((OFFSET($A$1, 252 - 1, 95 - 1)) &gt;= (OFFSET($A$1, 54 - 1, 7 - 1)), "1","0")</f>
        <v>1</v>
      </c>
      <c r="CT252">
        <f ca="1" xml:space="preserve"> IF( AND( OFFSET($A$1, 252 - 1, 96 - 1) = "1", OFFSET($A$1, 252 - 1, 97 - 1) = "1" ), 1, IF( AND( OFFSET($A$1, 252 - 1, 96 - 1) = "1", OFFSET($A$1, 252 - 1, 97 - 1) = "0" ), 2, IF( AND( OFFSET($A$1, 252 - 1, 96 - 1) = "0", OFFSET($A$1, 252 - 1, 97 - 1) = "1" ), 3, 4 ) ) )</f>
        <v>1</v>
      </c>
      <c r="CV252" s="24">
        <v>0.30897563501882275</v>
      </c>
      <c r="CW252" s="24" t="str">
        <f t="shared" si="20"/>
        <v>1</v>
      </c>
      <c r="CX252" t="str">
        <f ca="1">IF((OFFSET($A$1, 252 - 1, 100 - 1)) &gt;= (OFFSET($A$1, 78 - 1, 7 - 1)), "1","0")</f>
        <v>0</v>
      </c>
      <c r="CY252">
        <f ca="1" xml:space="preserve"> IF( AND( OFFSET($A$1, 252 - 1, 101 - 1) = "1", OFFSET($A$1, 252 - 1, 102 - 1) = "1" ), 1, IF( AND( OFFSET($A$1, 252 - 1, 101 - 1) = "1", OFFSET($A$1, 252 - 1, 102 - 1) = "0" ), 2, IF( AND( OFFSET($A$1, 252 - 1, 101 - 1) = "0", OFFSET($A$1, 252 - 1, 102 - 1) = "1" ), 3, 4 ) ) )</f>
        <v>2</v>
      </c>
    </row>
    <row r="253" spans="95:103" ht="13.8" x14ac:dyDescent="0.3">
      <c r="CQ253" s="24">
        <v>0.93657001232062942</v>
      </c>
      <c r="CR253" s="24" t="str">
        <f t="shared" si="21"/>
        <v>1</v>
      </c>
      <c r="CS253" t="str">
        <f ca="1">IF((OFFSET($A$1, 253 - 1, 95 - 1)) &gt;= (OFFSET($A$1, 54 - 1, 7 - 1)), "1","0")</f>
        <v>1</v>
      </c>
      <c r="CT253">
        <f ca="1" xml:space="preserve"> IF( AND( OFFSET($A$1, 253 - 1, 96 - 1) = "1", OFFSET($A$1, 253 - 1, 97 - 1) = "1" ), 1, IF( AND( OFFSET($A$1, 253 - 1, 96 - 1) = "1", OFFSET($A$1, 253 - 1, 97 - 1) = "0" ), 2, IF( AND( OFFSET($A$1, 253 - 1, 96 - 1) = "0", OFFSET($A$1, 253 - 1, 97 - 1) = "1" ), 3, 4 ) ) )</f>
        <v>1</v>
      </c>
      <c r="CV253" s="24">
        <v>0.87288504954294854</v>
      </c>
      <c r="CW253" s="24" t="str">
        <f t="shared" si="20"/>
        <v>1</v>
      </c>
      <c r="CX253" t="str">
        <f ca="1">IF((OFFSET($A$1, 253 - 1, 100 - 1)) &gt;= (OFFSET($A$1, 78 - 1, 7 - 1)), "1","0")</f>
        <v>1</v>
      </c>
      <c r="CY253">
        <f ca="1" xml:space="preserve"> IF( AND( OFFSET($A$1, 253 - 1, 101 - 1) = "1", OFFSET($A$1, 253 - 1, 102 - 1) = "1" ), 1, IF( AND( OFFSET($A$1, 253 - 1, 101 - 1) = "1", OFFSET($A$1, 253 - 1, 102 - 1) = "0" ), 2, IF( AND( OFFSET($A$1, 253 - 1, 101 - 1) = "0", OFFSET($A$1, 253 - 1, 102 - 1) = "1" ), 3, 4 ) ) )</f>
        <v>1</v>
      </c>
    </row>
    <row r="254" spans="95:103" ht="13.8" x14ac:dyDescent="0.3">
      <c r="CQ254" s="24">
        <v>0.99495948540132428</v>
      </c>
      <c r="CR254" s="24" t="str">
        <f t="shared" si="21"/>
        <v>1</v>
      </c>
      <c r="CS254" t="str">
        <f ca="1">IF((OFFSET($A$1, 254 - 1, 95 - 1)) &gt;= (OFFSET($A$1, 54 - 1, 7 - 1)), "1","0")</f>
        <v>1</v>
      </c>
      <c r="CT254">
        <f ca="1" xml:space="preserve"> IF( AND( OFFSET($A$1, 254 - 1, 96 - 1) = "1", OFFSET($A$1, 254 - 1, 97 - 1) = "1" ), 1, IF( AND( OFFSET($A$1, 254 - 1, 96 - 1) = "1", OFFSET($A$1, 254 - 1, 97 - 1) = "0" ), 2, IF( AND( OFFSET($A$1, 254 - 1, 96 - 1) = "0", OFFSET($A$1, 254 - 1, 97 - 1) = "1" ), 3, 4 ) ) )</f>
        <v>1</v>
      </c>
      <c r="CV254" s="24">
        <v>0.99890930632456043</v>
      </c>
      <c r="CW254" s="24" t="str">
        <f t="shared" si="20"/>
        <v>1</v>
      </c>
      <c r="CX254" t="str">
        <f ca="1">IF((OFFSET($A$1, 254 - 1, 100 - 1)) &gt;= (OFFSET($A$1, 78 - 1, 7 - 1)), "1","0")</f>
        <v>1</v>
      </c>
      <c r="CY254">
        <f ca="1" xml:space="preserve"> IF( AND( OFFSET($A$1, 254 - 1, 101 - 1) = "1", OFFSET($A$1, 254 - 1, 102 - 1) = "1" ), 1, IF( AND( OFFSET($A$1, 254 - 1, 101 - 1) = "1", OFFSET($A$1, 254 - 1, 102 - 1) = "0" ), 2, IF( AND( OFFSET($A$1, 254 - 1, 101 - 1) = "0", OFFSET($A$1, 254 - 1, 102 - 1) = "1" ), 3, 4 ) ) )</f>
        <v>1</v>
      </c>
    </row>
    <row r="255" spans="95:103" ht="13.8" x14ac:dyDescent="0.3">
      <c r="CQ255" s="24">
        <v>0.95636981099510343</v>
      </c>
      <c r="CR255" s="24" t="str">
        <f t="shared" si="21"/>
        <v>1</v>
      </c>
      <c r="CS255" t="str">
        <f ca="1">IF((OFFSET($A$1, 255 - 1, 95 - 1)) &gt;= (OFFSET($A$1, 54 - 1, 7 - 1)), "1","0")</f>
        <v>1</v>
      </c>
      <c r="CT255">
        <f ca="1" xml:space="preserve"> IF( AND( OFFSET($A$1, 255 - 1, 96 - 1) = "1", OFFSET($A$1, 255 - 1, 97 - 1) = "1" ), 1, IF( AND( OFFSET($A$1, 255 - 1, 96 - 1) = "1", OFFSET($A$1, 255 - 1, 97 - 1) = "0" ), 2, IF( AND( OFFSET($A$1, 255 - 1, 96 - 1) = "0", OFFSET($A$1, 255 - 1, 97 - 1) = "1" ), 3, 4 ) ) )</f>
        <v>1</v>
      </c>
      <c r="CV255" s="24">
        <v>0.99987979808029659</v>
      </c>
      <c r="CW255" s="24" t="str">
        <f t="shared" si="20"/>
        <v>1</v>
      </c>
      <c r="CX255" t="str">
        <f ca="1">IF((OFFSET($A$1, 255 - 1, 100 - 1)) &gt;= (OFFSET($A$1, 78 - 1, 7 - 1)), "1","0")</f>
        <v>1</v>
      </c>
      <c r="CY255">
        <f ca="1" xml:space="preserve"> IF( AND( OFFSET($A$1, 255 - 1, 101 - 1) = "1", OFFSET($A$1, 255 - 1, 102 - 1) = "1" ), 1, IF( AND( OFFSET($A$1, 255 - 1, 101 - 1) = "1", OFFSET($A$1, 255 - 1, 102 - 1) = "0" ), 2, IF( AND( OFFSET($A$1, 255 - 1, 101 - 1) = "0", OFFSET($A$1, 255 - 1, 102 - 1) = "1" ), 3, 4 ) ) )</f>
        <v>1</v>
      </c>
    </row>
    <row r="256" spans="95:103" ht="13.8" x14ac:dyDescent="0.3">
      <c r="CQ256" s="24">
        <v>0.99837690065324047</v>
      </c>
      <c r="CR256" s="24" t="str">
        <f t="shared" si="21"/>
        <v>1</v>
      </c>
      <c r="CS256" t="str">
        <f ca="1">IF((OFFSET($A$1, 256 - 1, 95 - 1)) &gt;= (OFFSET($A$1, 54 - 1, 7 - 1)), "1","0")</f>
        <v>1</v>
      </c>
      <c r="CT256">
        <f ca="1" xml:space="preserve"> IF( AND( OFFSET($A$1, 256 - 1, 96 - 1) = "1", OFFSET($A$1, 256 - 1, 97 - 1) = "1" ), 1, IF( AND( OFFSET($A$1, 256 - 1, 96 - 1) = "1", OFFSET($A$1, 256 - 1, 97 - 1) = "0" ), 2, IF( AND( OFFSET($A$1, 256 - 1, 96 - 1) = "0", OFFSET($A$1, 256 - 1, 97 - 1) = "1" ), 3, 4 ) ) )</f>
        <v>1</v>
      </c>
      <c r="CV256" s="24">
        <v>0.99999978811403389</v>
      </c>
      <c r="CW256" s="24" t="str">
        <f t="shared" si="20"/>
        <v>1</v>
      </c>
      <c r="CX256" t="str">
        <f ca="1">IF((OFFSET($A$1, 256 - 1, 100 - 1)) &gt;= (OFFSET($A$1, 78 - 1, 7 - 1)), "1","0")</f>
        <v>1</v>
      </c>
      <c r="CY256">
        <f ca="1" xml:space="preserve"> IF( AND( OFFSET($A$1, 256 - 1, 101 - 1) = "1", OFFSET($A$1, 256 - 1, 102 - 1) = "1" ), 1, IF( AND( OFFSET($A$1, 256 - 1, 101 - 1) = "1", OFFSET($A$1, 256 - 1, 102 - 1) = "0" ), 2, IF( AND( OFFSET($A$1, 256 - 1, 101 - 1) = "0", OFFSET($A$1, 256 - 1, 102 - 1) = "1" ), 3, 4 ) ) )</f>
        <v>1</v>
      </c>
    </row>
    <row r="257" spans="95:103" ht="13.8" x14ac:dyDescent="0.3">
      <c r="CQ257" s="24">
        <v>0.97864293198011465</v>
      </c>
      <c r="CR257" s="24" t="str">
        <f t="shared" si="21"/>
        <v>1</v>
      </c>
      <c r="CS257" t="str">
        <f ca="1">IF((OFFSET($A$1, 257 - 1, 95 - 1)) &gt;= (OFFSET($A$1, 54 - 1, 7 - 1)), "1","0")</f>
        <v>1</v>
      </c>
      <c r="CT257">
        <f ca="1" xml:space="preserve"> IF( AND( OFFSET($A$1, 257 - 1, 96 - 1) = "1", OFFSET($A$1, 257 - 1, 97 - 1) = "1" ), 1, IF( AND( OFFSET($A$1, 257 - 1, 96 - 1) = "1", OFFSET($A$1, 257 - 1, 97 - 1) = "0" ), 2, IF( AND( OFFSET($A$1, 257 - 1, 96 - 1) = "0", OFFSET($A$1, 257 - 1, 97 - 1) = "1" ), 3, 4 ) ) )</f>
        <v>1</v>
      </c>
      <c r="CV257" s="24">
        <v>0.99999373952510584</v>
      </c>
      <c r="CW257" s="24" t="str">
        <f t="shared" si="20"/>
        <v>1</v>
      </c>
      <c r="CX257" t="str">
        <f ca="1">IF((OFFSET($A$1, 257 - 1, 100 - 1)) &gt;= (OFFSET($A$1, 78 - 1, 7 - 1)), "1","0")</f>
        <v>1</v>
      </c>
      <c r="CY257">
        <f ca="1" xml:space="preserve"> IF( AND( OFFSET($A$1, 257 - 1, 101 - 1) = "1", OFFSET($A$1, 257 - 1, 102 - 1) = "1" ), 1, IF( AND( OFFSET($A$1, 257 - 1, 101 - 1) = "1", OFFSET($A$1, 257 - 1, 102 - 1) = "0" ), 2, IF( AND( OFFSET($A$1, 257 - 1, 101 - 1) = "0", OFFSET($A$1, 257 - 1, 102 - 1) = "1" ), 3, 4 ) ) )</f>
        <v>1</v>
      </c>
    </row>
    <row r="258" spans="95:103" ht="13.8" x14ac:dyDescent="0.3">
      <c r="CQ258" s="24">
        <v>0.99975727748080423</v>
      </c>
      <c r="CR258" s="24" t="str">
        <f t="shared" si="21"/>
        <v>1</v>
      </c>
      <c r="CS258" t="str">
        <f ca="1">IF((OFFSET($A$1, 258 - 1, 95 - 1)) &gt;= (OFFSET($A$1, 54 - 1, 7 - 1)), "1","0")</f>
        <v>1</v>
      </c>
      <c r="CT258">
        <f ca="1" xml:space="preserve"> IF( AND( OFFSET($A$1, 258 - 1, 96 - 1) = "1", OFFSET($A$1, 258 - 1, 97 - 1) = "1" ), 1, IF( AND( OFFSET($A$1, 258 - 1, 96 - 1) = "1", OFFSET($A$1, 258 - 1, 97 - 1) = "0" ), 2, IF( AND( OFFSET($A$1, 258 - 1, 96 - 1) = "0", OFFSET($A$1, 258 - 1, 97 - 1) = "1" ), 3, 4 ) ) )</f>
        <v>1</v>
      </c>
      <c r="CV258" s="24">
        <v>0.99999578642972076</v>
      </c>
      <c r="CW258" s="24" t="str">
        <f t="shared" si="20"/>
        <v>1</v>
      </c>
      <c r="CX258" t="str">
        <f ca="1">IF((OFFSET($A$1, 258 - 1, 100 - 1)) &gt;= (OFFSET($A$1, 78 - 1, 7 - 1)), "1","0")</f>
        <v>1</v>
      </c>
      <c r="CY258">
        <f ca="1" xml:space="preserve"> IF( AND( OFFSET($A$1, 258 - 1, 101 - 1) = "1", OFFSET($A$1, 258 - 1, 102 - 1) = "1" ), 1, IF( AND( OFFSET($A$1, 258 - 1, 101 - 1) = "1", OFFSET($A$1, 258 - 1, 102 - 1) = "0" ), 2, IF( AND( OFFSET($A$1, 258 - 1, 101 - 1) = "0", OFFSET($A$1, 258 - 1, 102 - 1) = "1" ), 3, 4 ) ) )</f>
        <v>1</v>
      </c>
    </row>
    <row r="259" spans="95:103" ht="13.8" x14ac:dyDescent="0.3">
      <c r="CQ259" s="24">
        <v>0.13447352097055074</v>
      </c>
      <c r="CR259" s="24" t="str">
        <f>"0"</f>
        <v>0</v>
      </c>
      <c r="CS259" t="str">
        <f ca="1">IF((OFFSET($A$1, 259 - 1, 95 - 1)) &gt;= (OFFSET($A$1, 54 - 1, 7 - 1)), "1","0")</f>
        <v>0</v>
      </c>
      <c r="CT259">
        <f ca="1" xml:space="preserve"> IF( AND( OFFSET($A$1, 259 - 1, 96 - 1) = "1", OFFSET($A$1, 259 - 1, 97 - 1) = "1" ), 1, IF( AND( OFFSET($A$1, 259 - 1, 96 - 1) = "1", OFFSET($A$1, 259 - 1, 97 - 1) = "0" ), 2, IF( AND( OFFSET($A$1, 259 - 1, 96 - 1) = "0", OFFSET($A$1, 259 - 1, 97 - 1) = "1" ), 3, 4 ) ) )</f>
        <v>4</v>
      </c>
      <c r="CV259" s="24">
        <v>0.86504811710149232</v>
      </c>
      <c r="CW259" s="24" t="str">
        <f>"0"</f>
        <v>0</v>
      </c>
      <c r="CX259" t="str">
        <f ca="1">IF((OFFSET($A$1, 259 - 1, 100 - 1)) &gt;= (OFFSET($A$1, 78 - 1, 7 - 1)), "1","0")</f>
        <v>1</v>
      </c>
      <c r="CY259">
        <f ca="1" xml:space="preserve"> IF( AND( OFFSET($A$1, 259 - 1, 101 - 1) = "1", OFFSET($A$1, 259 - 1, 102 - 1) = "1" ), 1, IF( AND( OFFSET($A$1, 259 - 1, 101 - 1) = "1", OFFSET($A$1, 259 - 1, 102 - 1) = "0" ), 2, IF( AND( OFFSET($A$1, 259 - 1, 101 - 1) = "0", OFFSET($A$1, 259 - 1, 102 - 1) = "1" ), 3, 4 ) ) )</f>
        <v>3</v>
      </c>
    </row>
    <row r="260" spans="95:103" ht="13.8" x14ac:dyDescent="0.3">
      <c r="CQ260" s="24">
        <v>0.99991101377000557</v>
      </c>
      <c r="CR260" s="24" t="str">
        <f>"1"</f>
        <v>1</v>
      </c>
      <c r="CS260" t="str">
        <f ca="1">IF((OFFSET($A$1, 260 - 1, 95 - 1)) &gt;= (OFFSET($A$1, 54 - 1, 7 - 1)), "1","0")</f>
        <v>1</v>
      </c>
      <c r="CT260">
        <f ca="1" xml:space="preserve"> IF( AND( OFFSET($A$1, 260 - 1, 96 - 1) = "1", OFFSET($A$1, 260 - 1, 97 - 1) = "1" ), 1, IF( AND( OFFSET($A$1, 260 - 1, 96 - 1) = "1", OFFSET($A$1, 260 - 1, 97 - 1) = "0" ), 2, IF( AND( OFFSET($A$1, 260 - 1, 96 - 1) = "0", OFFSET($A$1, 260 - 1, 97 - 1) = "1" ), 3, 4 ) ) )</f>
        <v>1</v>
      </c>
      <c r="CV260" s="24">
        <v>0.99501294663929396</v>
      </c>
      <c r="CW260" s="24" t="str">
        <f>"1"</f>
        <v>1</v>
      </c>
      <c r="CX260" t="str">
        <f ca="1">IF((OFFSET($A$1, 260 - 1, 100 - 1)) &gt;= (OFFSET($A$1, 78 - 1, 7 - 1)), "1","0")</f>
        <v>1</v>
      </c>
      <c r="CY260">
        <f ca="1" xml:space="preserve"> IF( AND( OFFSET($A$1, 260 - 1, 101 - 1) = "1", OFFSET($A$1, 260 - 1, 102 - 1) = "1" ), 1, IF( AND( OFFSET($A$1, 260 - 1, 101 - 1) = "1", OFFSET($A$1, 260 - 1, 102 - 1) = "0" ), 2, IF( AND( OFFSET($A$1, 260 - 1, 101 - 1) = "0", OFFSET($A$1, 260 - 1, 102 - 1) = "1" ), 3, 4 ) ) )</f>
        <v>1</v>
      </c>
    </row>
    <row r="261" spans="95:103" ht="13.8" x14ac:dyDescent="0.3">
      <c r="CQ261" s="24">
        <v>2.6514353851722173E-2</v>
      </c>
      <c r="CR261" s="24" t="str">
        <f>"0"</f>
        <v>0</v>
      </c>
      <c r="CS261" t="str">
        <f ca="1">IF((OFFSET($A$1, 261 - 1, 95 - 1)) &gt;= (OFFSET($A$1, 54 - 1, 7 - 1)), "1","0")</f>
        <v>0</v>
      </c>
      <c r="CT261">
        <f ca="1" xml:space="preserve"> IF( AND( OFFSET($A$1, 261 - 1, 96 - 1) = "1", OFFSET($A$1, 261 - 1, 97 - 1) = "1" ), 1, IF( AND( OFFSET($A$1, 261 - 1, 96 - 1) = "1", OFFSET($A$1, 261 - 1, 97 - 1) = "0" ), 2, IF( AND( OFFSET($A$1, 261 - 1, 96 - 1) = "0", OFFSET($A$1, 261 - 1, 97 - 1) = "1" ), 3, 4 ) ) )</f>
        <v>4</v>
      </c>
      <c r="CV261" s="24">
        <v>0.99997188982489693</v>
      </c>
      <c r="CW261" s="24" t="str">
        <f>"0"</f>
        <v>0</v>
      </c>
      <c r="CX261" t="str">
        <f ca="1">IF((OFFSET($A$1, 261 - 1, 100 - 1)) &gt;= (OFFSET($A$1, 78 - 1, 7 - 1)), "1","0")</f>
        <v>1</v>
      </c>
      <c r="CY261">
        <f ca="1" xml:space="preserve"> IF( AND( OFFSET($A$1, 261 - 1, 101 - 1) = "1", OFFSET($A$1, 261 - 1, 102 - 1) = "1" ), 1, IF( AND( OFFSET($A$1, 261 - 1, 101 - 1) = "1", OFFSET($A$1, 261 - 1, 102 - 1) = "0" ), 2, IF( AND( OFFSET($A$1, 261 - 1, 101 - 1) = "0", OFFSET($A$1, 261 - 1, 102 - 1) = "1" ), 3, 4 ) ) )</f>
        <v>3</v>
      </c>
    </row>
    <row r="262" spans="95:103" ht="13.8" x14ac:dyDescent="0.3">
      <c r="CQ262" s="24">
        <v>0.99061043296056484</v>
      </c>
      <c r="CR262" s="24" t="str">
        <f>"1"</f>
        <v>1</v>
      </c>
      <c r="CS262" t="str">
        <f ca="1">IF((OFFSET($A$1, 262 - 1, 95 - 1)) &gt;= (OFFSET($A$1, 54 - 1, 7 - 1)), "1","0")</f>
        <v>1</v>
      </c>
      <c r="CT262">
        <f ca="1" xml:space="preserve"> IF( AND( OFFSET($A$1, 262 - 1, 96 - 1) = "1", OFFSET($A$1, 262 - 1, 97 - 1) = "1" ), 1, IF( AND( OFFSET($A$1, 262 - 1, 96 - 1) = "1", OFFSET($A$1, 262 - 1, 97 - 1) = "0" ), 2, IF( AND( OFFSET($A$1, 262 - 1, 96 - 1) = "0", OFFSET($A$1, 262 - 1, 97 - 1) = "1" ), 3, 4 ) ) )</f>
        <v>1</v>
      </c>
      <c r="CV262" s="24">
        <v>0.5547013960920133</v>
      </c>
      <c r="CW262" s="24" t="str">
        <f>"0"</f>
        <v>0</v>
      </c>
      <c r="CX262" t="str">
        <f ca="1">IF((OFFSET($A$1, 262 - 1, 100 - 1)) &gt;= (OFFSET($A$1, 78 - 1, 7 - 1)), "1","0")</f>
        <v>1</v>
      </c>
      <c r="CY262">
        <f ca="1" xml:space="preserve"> IF( AND( OFFSET($A$1, 262 - 1, 101 - 1) = "1", OFFSET($A$1, 262 - 1, 102 - 1) = "1" ), 1, IF( AND( OFFSET($A$1, 262 - 1, 101 - 1) = "1", OFFSET($A$1, 262 - 1, 102 - 1) = "0" ), 2, IF( AND( OFFSET($A$1, 262 - 1, 101 - 1) = "0", OFFSET($A$1, 262 - 1, 102 - 1) = "1" ), 3, 4 ) ) )</f>
        <v>3</v>
      </c>
    </row>
    <row r="263" spans="95:103" ht="13.8" x14ac:dyDescent="0.3">
      <c r="CQ263" s="24">
        <v>2.7385747623971794E-3</v>
      </c>
      <c r="CR263" s="24" t="str">
        <f>"0"</f>
        <v>0</v>
      </c>
      <c r="CS263" t="str">
        <f ca="1">IF((OFFSET($A$1, 263 - 1, 95 - 1)) &gt;= (OFFSET($A$1, 54 - 1, 7 - 1)), "1","0")</f>
        <v>0</v>
      </c>
      <c r="CT263">
        <f ca="1" xml:space="preserve"> IF( AND( OFFSET($A$1, 263 - 1, 96 - 1) = "1", OFFSET($A$1, 263 - 1, 97 - 1) = "1" ), 1, IF( AND( OFFSET($A$1, 263 - 1, 96 - 1) = "1", OFFSET($A$1, 263 - 1, 97 - 1) = "0" ), 2, IF( AND( OFFSET($A$1, 263 - 1, 96 - 1) = "0", OFFSET($A$1, 263 - 1, 97 - 1) = "1" ), 3, 4 ) ) )</f>
        <v>4</v>
      </c>
      <c r="CV263" s="24">
        <v>0.88145362232304569</v>
      </c>
      <c r="CW263" s="24" t="str">
        <f>"0"</f>
        <v>0</v>
      </c>
      <c r="CX263" t="str">
        <f ca="1">IF((OFFSET($A$1, 263 - 1, 100 - 1)) &gt;= (OFFSET($A$1, 78 - 1, 7 - 1)), "1","0")</f>
        <v>1</v>
      </c>
      <c r="CY263">
        <f ca="1" xml:space="preserve"> IF( AND( OFFSET($A$1, 263 - 1, 101 - 1) = "1", OFFSET($A$1, 263 - 1, 102 - 1) = "1" ), 1, IF( AND( OFFSET($A$1, 263 - 1, 101 - 1) = "1", OFFSET($A$1, 263 - 1, 102 - 1) = "0" ), 2, IF( AND( OFFSET($A$1, 263 - 1, 101 - 1) = "0", OFFSET($A$1, 263 - 1, 102 - 1) = "1" ), 3, 4 ) ) )</f>
        <v>3</v>
      </c>
    </row>
    <row r="264" spans="95:103" ht="13.8" x14ac:dyDescent="0.3">
      <c r="CQ264" s="24">
        <v>0.99999604838361589</v>
      </c>
      <c r="CR264" s="24" t="str">
        <f>"0"</f>
        <v>0</v>
      </c>
      <c r="CS264" t="str">
        <f ca="1">IF((OFFSET($A$1, 264 - 1, 95 - 1)) &gt;= (OFFSET($A$1, 54 - 1, 7 - 1)), "1","0")</f>
        <v>1</v>
      </c>
      <c r="CT264">
        <f ca="1" xml:space="preserve"> IF( AND( OFFSET($A$1, 264 - 1, 96 - 1) = "1", OFFSET($A$1, 264 - 1, 97 - 1) = "1" ), 1, IF( AND( OFFSET($A$1, 264 - 1, 96 - 1) = "1", OFFSET($A$1, 264 - 1, 97 - 1) = "0" ), 2, IF( AND( OFFSET($A$1, 264 - 1, 96 - 1) = "0", OFFSET($A$1, 264 - 1, 97 - 1) = "1" ), 3, 4 ) ) )</f>
        <v>3</v>
      </c>
      <c r="CV264" s="24">
        <v>0.47773800876840644</v>
      </c>
      <c r="CW264" s="24" t="str">
        <f>"1"</f>
        <v>1</v>
      </c>
      <c r="CX264" t="str">
        <f ca="1">IF((OFFSET($A$1, 264 - 1, 100 - 1)) &gt;= (OFFSET($A$1, 78 - 1, 7 - 1)), "1","0")</f>
        <v>0</v>
      </c>
      <c r="CY264">
        <f ca="1" xml:space="preserve"> IF( AND( OFFSET($A$1, 264 - 1, 101 - 1) = "1", OFFSET($A$1, 264 - 1, 102 - 1) = "1" ), 1, IF( AND( OFFSET($A$1, 264 - 1, 101 - 1) = "1", OFFSET($A$1, 264 - 1, 102 - 1) = "0" ), 2, IF( AND( OFFSET($A$1, 264 - 1, 101 - 1) = "0", OFFSET($A$1, 264 - 1, 102 - 1) = "1" ), 3, 4 ) ) )</f>
        <v>2</v>
      </c>
    </row>
    <row r="265" spans="95:103" ht="13.8" x14ac:dyDescent="0.3">
      <c r="CQ265" s="24">
        <v>0.98884200020579271</v>
      </c>
      <c r="CR265" s="24" t="str">
        <f>"1"</f>
        <v>1</v>
      </c>
      <c r="CS265" t="str">
        <f ca="1">IF((OFFSET($A$1, 265 - 1, 95 - 1)) &gt;= (OFFSET($A$1, 54 - 1, 7 - 1)), "1","0")</f>
        <v>1</v>
      </c>
      <c r="CT265">
        <f ca="1" xml:space="preserve"> IF( AND( OFFSET($A$1, 265 - 1, 96 - 1) = "1", OFFSET($A$1, 265 - 1, 97 - 1) = "1" ), 1, IF( AND( OFFSET($A$1, 265 - 1, 96 - 1) = "1", OFFSET($A$1, 265 - 1, 97 - 1) = "0" ), 2, IF( AND( OFFSET($A$1, 265 - 1, 96 - 1) = "0", OFFSET($A$1, 265 - 1, 97 - 1) = "1" ), 3, 4 ) ) )</f>
        <v>1</v>
      </c>
      <c r="CV265" s="24">
        <v>0.99961454240050851</v>
      </c>
      <c r="CW265" s="24" t="str">
        <f>"1"</f>
        <v>1</v>
      </c>
      <c r="CX265" t="str">
        <f ca="1">IF((OFFSET($A$1, 265 - 1, 100 - 1)) &gt;= (OFFSET($A$1, 78 - 1, 7 - 1)), "1","0")</f>
        <v>1</v>
      </c>
      <c r="CY265">
        <f ca="1" xml:space="preserve"> IF( AND( OFFSET($A$1, 265 - 1, 101 - 1) = "1", OFFSET($A$1, 265 - 1, 102 - 1) = "1" ), 1, IF( AND( OFFSET($A$1, 265 - 1, 101 - 1) = "1", OFFSET($A$1, 265 - 1, 102 - 1) = "0" ), 2, IF( AND( OFFSET($A$1, 265 - 1, 101 - 1) = "0", OFFSET($A$1, 265 - 1, 102 - 1) = "1" ), 3, 4 ) ) )</f>
        <v>1</v>
      </c>
    </row>
    <row r="266" spans="95:103" ht="13.8" x14ac:dyDescent="0.3">
      <c r="CQ266" s="24">
        <v>2.7266264461320171E-2</v>
      </c>
      <c r="CR266" s="24" t="str">
        <f>"0"</f>
        <v>0</v>
      </c>
      <c r="CS266" t="str">
        <f ca="1">IF((OFFSET($A$1, 266 - 1, 95 - 1)) &gt;= (OFFSET($A$1, 54 - 1, 7 - 1)), "1","0")</f>
        <v>0</v>
      </c>
      <c r="CT266">
        <f ca="1" xml:space="preserve"> IF( AND( OFFSET($A$1, 266 - 1, 96 - 1) = "1", OFFSET($A$1, 266 - 1, 97 - 1) = "1" ), 1, IF( AND( OFFSET($A$1, 266 - 1, 96 - 1) = "1", OFFSET($A$1, 266 - 1, 97 - 1) = "0" ), 2, IF( AND( OFFSET($A$1, 266 - 1, 96 - 1) = "0", OFFSET($A$1, 266 - 1, 97 - 1) = "1" ), 3, 4 ) ) )</f>
        <v>4</v>
      </c>
      <c r="CV266" s="24">
        <v>0.99426336603169829</v>
      </c>
      <c r="CW266" s="24" t="str">
        <f>"1"</f>
        <v>1</v>
      </c>
      <c r="CX266" t="str">
        <f ca="1">IF((OFFSET($A$1, 266 - 1, 100 - 1)) &gt;= (OFFSET($A$1, 78 - 1, 7 - 1)), "1","0")</f>
        <v>1</v>
      </c>
      <c r="CY266">
        <f ca="1" xml:space="preserve"> IF( AND( OFFSET($A$1, 266 - 1, 101 - 1) = "1", OFFSET($A$1, 266 - 1, 102 - 1) = "1" ), 1, IF( AND( OFFSET($A$1, 266 - 1, 101 - 1) = "1", OFFSET($A$1, 266 - 1, 102 - 1) = "0" ), 2, IF( AND( OFFSET($A$1, 266 - 1, 101 - 1) = "0", OFFSET($A$1, 266 - 1, 102 - 1) = "1" ), 3, 4 ) ) )</f>
        <v>1</v>
      </c>
    </row>
    <row r="267" spans="95:103" ht="13.8" x14ac:dyDescent="0.3">
      <c r="CQ267" s="24">
        <v>0.99990004837860658</v>
      </c>
      <c r="CR267" s="24" t="str">
        <f>"1"</f>
        <v>1</v>
      </c>
      <c r="CS267" t="str">
        <f ca="1">IF((OFFSET($A$1, 267 - 1, 95 - 1)) &gt;= (OFFSET($A$1, 54 - 1, 7 - 1)), "1","0")</f>
        <v>1</v>
      </c>
      <c r="CT267">
        <f ca="1" xml:space="preserve"> IF( AND( OFFSET($A$1, 267 - 1, 96 - 1) = "1", OFFSET($A$1, 267 - 1, 97 - 1) = "1" ), 1, IF( AND( OFFSET($A$1, 267 - 1, 96 - 1) = "1", OFFSET($A$1, 267 - 1, 97 - 1) = "0" ), 2, IF( AND( OFFSET($A$1, 267 - 1, 96 - 1) = "0", OFFSET($A$1, 267 - 1, 97 - 1) = "1" ), 3, 4 ) ) )</f>
        <v>1</v>
      </c>
      <c r="CV267" s="24">
        <v>0.16665102855938627</v>
      </c>
      <c r="CW267" s="24" t="str">
        <f>"0"</f>
        <v>0</v>
      </c>
      <c r="CX267" t="str">
        <f ca="1">IF((OFFSET($A$1, 267 - 1, 100 - 1)) &gt;= (OFFSET($A$1, 78 - 1, 7 - 1)), "1","0")</f>
        <v>0</v>
      </c>
      <c r="CY267">
        <f ca="1" xml:space="preserve"> IF( AND( OFFSET($A$1, 267 - 1, 101 - 1) = "1", OFFSET($A$1, 267 - 1, 102 - 1) = "1" ), 1, IF( AND( OFFSET($A$1, 267 - 1, 101 - 1) = "1", OFFSET($A$1, 267 - 1, 102 - 1) = "0" ), 2, IF( AND( OFFSET($A$1, 267 - 1, 101 - 1) = "0", OFFSET($A$1, 267 - 1, 102 - 1) = "1" ), 3, 4 ) ) )</f>
        <v>4</v>
      </c>
    </row>
    <row r="268" spans="95:103" ht="13.8" x14ac:dyDescent="0.3">
      <c r="CQ268" s="24">
        <v>2.2940831802605043E-2</v>
      </c>
      <c r="CR268" s="24" t="str">
        <f>"0"</f>
        <v>0</v>
      </c>
      <c r="CS268" t="str">
        <f ca="1">IF((OFFSET($A$1, 268 - 1, 95 - 1)) &gt;= (OFFSET($A$1, 54 - 1, 7 - 1)), "1","0")</f>
        <v>0</v>
      </c>
      <c r="CT268">
        <f ca="1" xml:space="preserve"> IF( AND( OFFSET($A$1, 268 - 1, 96 - 1) = "1", OFFSET($A$1, 268 - 1, 97 - 1) = "1" ), 1, IF( AND( OFFSET($A$1, 268 - 1, 96 - 1) = "1", OFFSET($A$1, 268 - 1, 97 - 1) = "0" ), 2, IF( AND( OFFSET($A$1, 268 - 1, 96 - 1) = "0", OFFSET($A$1, 268 - 1, 97 - 1) = "1" ), 3, 4 ) ) )</f>
        <v>4</v>
      </c>
      <c r="CV268" s="24">
        <v>0.90670874618118558</v>
      </c>
      <c r="CW268" s="24" t="str">
        <f t="shared" ref="CW268:CW274" si="22">"1"</f>
        <v>1</v>
      </c>
      <c r="CX268" t="str">
        <f ca="1">IF((OFFSET($A$1, 268 - 1, 100 - 1)) &gt;= (OFFSET($A$1, 78 - 1, 7 - 1)), "1","0")</f>
        <v>1</v>
      </c>
      <c r="CY268">
        <f ca="1" xml:space="preserve"> IF( AND( OFFSET($A$1, 268 - 1, 101 - 1) = "1", OFFSET($A$1, 268 - 1, 102 - 1) = "1" ), 1, IF( AND( OFFSET($A$1, 268 - 1, 101 - 1) = "1", OFFSET($A$1, 268 - 1, 102 - 1) = "0" ), 2, IF( AND( OFFSET($A$1, 268 - 1, 101 - 1) = "0", OFFSET($A$1, 268 - 1, 102 - 1) = "1" ), 3, 4 ) ) )</f>
        <v>1</v>
      </c>
    </row>
    <row r="269" spans="95:103" ht="13.8" x14ac:dyDescent="0.3">
      <c r="CQ269" s="24">
        <v>0.94673275561402026</v>
      </c>
      <c r="CR269" s="24" t="str">
        <f>"1"</f>
        <v>1</v>
      </c>
      <c r="CS269" t="str">
        <f ca="1">IF((OFFSET($A$1, 269 - 1, 95 - 1)) &gt;= (OFFSET($A$1, 54 - 1, 7 - 1)), "1","0")</f>
        <v>1</v>
      </c>
      <c r="CT269">
        <f ca="1" xml:space="preserve"> IF( AND( OFFSET($A$1, 269 - 1, 96 - 1) = "1", OFFSET($A$1, 269 - 1, 97 - 1) = "1" ), 1, IF( AND( OFFSET($A$1, 269 - 1, 96 - 1) = "1", OFFSET($A$1, 269 - 1, 97 - 1) = "0" ), 2, IF( AND( OFFSET($A$1, 269 - 1, 96 - 1) = "0", OFFSET($A$1, 269 - 1, 97 - 1) = "1" ), 3, 4 ) ) )</f>
        <v>1</v>
      </c>
      <c r="CV269" s="24">
        <v>0.29969755109562579</v>
      </c>
      <c r="CW269" s="24" t="str">
        <f t="shared" si="22"/>
        <v>1</v>
      </c>
      <c r="CX269" t="str">
        <f ca="1">IF((OFFSET($A$1, 269 - 1, 100 - 1)) &gt;= (OFFSET($A$1, 78 - 1, 7 - 1)), "1","0")</f>
        <v>0</v>
      </c>
      <c r="CY269">
        <f ca="1" xml:space="preserve"> IF( AND( OFFSET($A$1, 269 - 1, 101 - 1) = "1", OFFSET($A$1, 269 - 1, 102 - 1) = "1" ), 1, IF( AND( OFFSET($A$1, 269 - 1, 101 - 1) = "1", OFFSET($A$1, 269 - 1, 102 - 1) = "0" ), 2, IF( AND( OFFSET($A$1, 269 - 1, 101 - 1) = "0", OFFSET($A$1, 269 - 1, 102 - 1) = "1" ), 3, 4 ) ) )</f>
        <v>2</v>
      </c>
    </row>
    <row r="270" spans="95:103" ht="13.8" x14ac:dyDescent="0.3">
      <c r="CQ270" s="24">
        <v>0.99899189937250288</v>
      </c>
      <c r="CR270" s="24" t="str">
        <f>"1"</f>
        <v>1</v>
      </c>
      <c r="CS270" t="str">
        <f ca="1">IF((OFFSET($A$1, 270 - 1, 95 - 1)) &gt;= (OFFSET($A$1, 54 - 1, 7 - 1)), "1","0")</f>
        <v>1</v>
      </c>
      <c r="CT270">
        <f ca="1" xml:space="preserve"> IF( AND( OFFSET($A$1, 270 - 1, 96 - 1) = "1", OFFSET($A$1, 270 - 1, 97 - 1) = "1" ), 1, IF( AND( OFFSET($A$1, 270 - 1, 96 - 1) = "1", OFFSET($A$1, 270 - 1, 97 - 1) = "0" ), 2, IF( AND( OFFSET($A$1, 270 - 1, 96 - 1) = "0", OFFSET($A$1, 270 - 1, 97 - 1) = "1" ), 3, 4 ) ) )</f>
        <v>1</v>
      </c>
      <c r="CV270" s="24">
        <v>0.97761539314229895</v>
      </c>
      <c r="CW270" s="24" t="str">
        <f t="shared" si="22"/>
        <v>1</v>
      </c>
      <c r="CX270" t="str">
        <f ca="1">IF((OFFSET($A$1, 270 - 1, 100 - 1)) &gt;= (OFFSET($A$1, 78 - 1, 7 - 1)), "1","0")</f>
        <v>1</v>
      </c>
      <c r="CY270">
        <f ca="1" xml:space="preserve"> IF( AND( OFFSET($A$1, 270 - 1, 101 - 1) = "1", OFFSET($A$1, 270 - 1, 102 - 1) = "1" ), 1, IF( AND( OFFSET($A$1, 270 - 1, 101 - 1) = "1", OFFSET($A$1, 270 - 1, 102 - 1) = "0" ), 2, IF( AND( OFFSET($A$1, 270 - 1, 101 - 1) = "0", OFFSET($A$1, 270 - 1, 102 - 1) = "1" ), 3, 4 ) ) )</f>
        <v>1</v>
      </c>
    </row>
    <row r="271" spans="95:103" ht="13.8" x14ac:dyDescent="0.3">
      <c r="CQ271" s="24">
        <v>3.2124725035306397E-2</v>
      </c>
      <c r="CR271" s="24" t="str">
        <f>"0"</f>
        <v>0</v>
      </c>
      <c r="CS271" t="str">
        <f ca="1">IF((OFFSET($A$1, 271 - 1, 95 - 1)) &gt;= (OFFSET($A$1, 54 - 1, 7 - 1)), "1","0")</f>
        <v>0</v>
      </c>
      <c r="CT271">
        <f ca="1" xml:space="preserve"> IF( AND( OFFSET($A$1, 271 - 1, 96 - 1) = "1", OFFSET($A$1, 271 - 1, 97 - 1) = "1" ), 1, IF( AND( OFFSET($A$1, 271 - 1, 96 - 1) = "1", OFFSET($A$1, 271 - 1, 97 - 1) = "0" ), 2, IF( AND( OFFSET($A$1, 271 - 1, 96 - 1) = "0", OFFSET($A$1, 271 - 1, 97 - 1) = "1" ), 3, 4 ) ) )</f>
        <v>4</v>
      </c>
      <c r="CV271" s="24">
        <v>0.92157896461131361</v>
      </c>
      <c r="CW271" s="24" t="str">
        <f t="shared" si="22"/>
        <v>1</v>
      </c>
      <c r="CX271" t="str">
        <f ca="1">IF((OFFSET($A$1, 271 - 1, 100 - 1)) &gt;= (OFFSET($A$1, 78 - 1, 7 - 1)), "1","0")</f>
        <v>1</v>
      </c>
      <c r="CY271">
        <f ca="1" xml:space="preserve"> IF( AND( OFFSET($A$1, 271 - 1, 101 - 1) = "1", OFFSET($A$1, 271 - 1, 102 - 1) = "1" ), 1, IF( AND( OFFSET($A$1, 271 - 1, 101 - 1) = "1", OFFSET($A$1, 271 - 1, 102 - 1) = "0" ), 2, IF( AND( OFFSET($A$1, 271 - 1, 101 - 1) = "0", OFFSET($A$1, 271 - 1, 102 - 1) = "1" ), 3, 4 ) ) )</f>
        <v>1</v>
      </c>
    </row>
    <row r="272" spans="95:103" ht="13.8" x14ac:dyDescent="0.3">
      <c r="CQ272" s="24">
        <v>0.99992690986355282</v>
      </c>
      <c r="CR272" s="24" t="str">
        <f t="shared" ref="CR272:CR282" si="23">"1"</f>
        <v>1</v>
      </c>
      <c r="CS272" t="str">
        <f ca="1">IF((OFFSET($A$1, 272 - 1, 95 - 1)) &gt;= (OFFSET($A$1, 54 - 1, 7 - 1)), "1","0")</f>
        <v>1</v>
      </c>
      <c r="CT272">
        <f ca="1" xml:space="preserve"> IF( AND( OFFSET($A$1, 272 - 1, 96 - 1) = "1", OFFSET($A$1, 272 - 1, 97 - 1) = "1" ), 1, IF( AND( OFFSET($A$1, 272 - 1, 96 - 1) = "1", OFFSET($A$1, 272 - 1, 97 - 1) = "0" ), 2, IF( AND( OFFSET($A$1, 272 - 1, 96 - 1) = "0", OFFSET($A$1, 272 - 1, 97 - 1) = "1" ), 3, 4 ) ) )</f>
        <v>1</v>
      </c>
      <c r="CV272" s="24">
        <v>0.93289935810396651</v>
      </c>
      <c r="CW272" s="24" t="str">
        <f t="shared" si="22"/>
        <v>1</v>
      </c>
      <c r="CX272" t="str">
        <f ca="1">IF((OFFSET($A$1, 272 - 1, 100 - 1)) &gt;= (OFFSET($A$1, 78 - 1, 7 - 1)), "1","0")</f>
        <v>1</v>
      </c>
      <c r="CY272">
        <f ca="1" xml:space="preserve"> IF( AND( OFFSET($A$1, 272 - 1, 101 - 1) = "1", OFFSET($A$1, 272 - 1, 102 - 1) = "1" ), 1, IF( AND( OFFSET($A$1, 272 - 1, 101 - 1) = "1", OFFSET($A$1, 272 - 1, 102 - 1) = "0" ), 2, IF( AND( OFFSET($A$1, 272 - 1, 101 - 1) = "0", OFFSET($A$1, 272 - 1, 102 - 1) = "1" ), 3, 4 ) ) )</f>
        <v>1</v>
      </c>
    </row>
    <row r="273" spans="95:103" ht="13.8" x14ac:dyDescent="0.3">
      <c r="CQ273" s="24">
        <v>0.98261317699137463</v>
      </c>
      <c r="CR273" s="24" t="str">
        <f t="shared" si="23"/>
        <v>1</v>
      </c>
      <c r="CS273" t="str">
        <f ca="1">IF((OFFSET($A$1, 273 - 1, 95 - 1)) &gt;= (OFFSET($A$1, 54 - 1, 7 - 1)), "1","0")</f>
        <v>1</v>
      </c>
      <c r="CT273">
        <f ca="1" xml:space="preserve"> IF( AND( OFFSET($A$1, 273 - 1, 96 - 1) = "1", OFFSET($A$1, 273 - 1, 97 - 1) = "1" ), 1, IF( AND( OFFSET($A$1, 273 - 1, 96 - 1) = "1", OFFSET($A$1, 273 - 1, 97 - 1) = "0" ), 2, IF( AND( OFFSET($A$1, 273 - 1, 96 - 1) = "0", OFFSET($A$1, 273 - 1, 97 - 1) = "1" ), 3, 4 ) ) )</f>
        <v>1</v>
      </c>
      <c r="CV273" s="24">
        <v>4.9717759605464443E-2</v>
      </c>
      <c r="CW273" s="24" t="str">
        <f t="shared" si="22"/>
        <v>1</v>
      </c>
      <c r="CX273" t="str">
        <f ca="1">IF((OFFSET($A$1, 273 - 1, 100 - 1)) &gt;= (OFFSET($A$1, 78 - 1, 7 - 1)), "1","0")</f>
        <v>0</v>
      </c>
      <c r="CY273">
        <f ca="1" xml:space="preserve"> IF( AND( OFFSET($A$1, 273 - 1, 101 - 1) = "1", OFFSET($A$1, 273 - 1, 102 - 1) = "1" ), 1, IF( AND( OFFSET($A$1, 273 - 1, 101 - 1) = "1", OFFSET($A$1, 273 - 1, 102 - 1) = "0" ), 2, IF( AND( OFFSET($A$1, 273 - 1, 101 - 1) = "0", OFFSET($A$1, 273 - 1, 102 - 1) = "1" ), 3, 4 ) ) )</f>
        <v>2</v>
      </c>
    </row>
    <row r="274" spans="95:103" ht="13.8" x14ac:dyDescent="0.3">
      <c r="CQ274" s="24">
        <v>0.936646811057669</v>
      </c>
      <c r="CR274" s="24" t="str">
        <f t="shared" si="23"/>
        <v>1</v>
      </c>
      <c r="CS274" t="str">
        <f ca="1">IF((OFFSET($A$1, 274 - 1, 95 - 1)) &gt;= (OFFSET($A$1, 54 - 1, 7 - 1)), "1","0")</f>
        <v>1</v>
      </c>
      <c r="CT274">
        <f ca="1" xml:space="preserve"> IF( AND( OFFSET($A$1, 274 - 1, 96 - 1) = "1", OFFSET($A$1, 274 - 1, 97 - 1) = "1" ), 1, IF( AND( OFFSET($A$1, 274 - 1, 96 - 1) = "1", OFFSET($A$1, 274 - 1, 97 - 1) = "0" ), 2, IF( AND( OFFSET($A$1, 274 - 1, 96 - 1) = "0", OFFSET($A$1, 274 - 1, 97 - 1) = "1" ), 3, 4 ) ) )</f>
        <v>1</v>
      </c>
      <c r="CV274" s="24">
        <v>0.9995057596065704</v>
      </c>
      <c r="CW274" s="24" t="str">
        <f t="shared" si="22"/>
        <v>1</v>
      </c>
      <c r="CX274" t="str">
        <f ca="1">IF((OFFSET($A$1, 274 - 1, 100 - 1)) &gt;= (OFFSET($A$1, 78 - 1, 7 - 1)), "1","0")</f>
        <v>1</v>
      </c>
      <c r="CY274">
        <f ca="1" xml:space="preserve"> IF( AND( OFFSET($A$1, 274 - 1, 101 - 1) = "1", OFFSET($A$1, 274 - 1, 102 - 1) = "1" ), 1, IF( AND( OFFSET($A$1, 274 - 1, 101 - 1) = "1", OFFSET($A$1, 274 - 1, 102 - 1) = "0" ), 2, IF( AND( OFFSET($A$1, 274 - 1, 101 - 1) = "0", OFFSET($A$1, 274 - 1, 102 - 1) = "1" ), 3, 4 ) ) )</f>
        <v>1</v>
      </c>
    </row>
    <row r="275" spans="95:103" ht="13.8" x14ac:dyDescent="0.3">
      <c r="CQ275" s="24">
        <v>0.90498063021220498</v>
      </c>
      <c r="CR275" s="24" t="str">
        <f t="shared" si="23"/>
        <v>1</v>
      </c>
      <c r="CS275" t="str">
        <f ca="1">IF((OFFSET($A$1, 275 - 1, 95 - 1)) &gt;= (OFFSET($A$1, 54 - 1, 7 - 1)), "1","0")</f>
        <v>1</v>
      </c>
      <c r="CT275">
        <f ca="1" xml:space="preserve"> IF( AND( OFFSET($A$1, 275 - 1, 96 - 1) = "1", OFFSET($A$1, 275 - 1, 97 - 1) = "1" ), 1, IF( AND( OFFSET($A$1, 275 - 1, 96 - 1) = "1", OFFSET($A$1, 275 - 1, 97 - 1) = "0" ), 2, IF( AND( OFFSET($A$1, 275 - 1, 96 - 1) = "0", OFFSET($A$1, 275 - 1, 97 - 1) = "1" ), 3, 4 ) ) )</f>
        <v>1</v>
      </c>
      <c r="CV275" s="24">
        <v>6.055802162957126E-2</v>
      </c>
      <c r="CW275" s="24" t="str">
        <f>"0"</f>
        <v>0</v>
      </c>
      <c r="CX275" t="str">
        <f ca="1">IF((OFFSET($A$1, 275 - 1, 100 - 1)) &gt;= (OFFSET($A$1, 78 - 1, 7 - 1)), "1","0")</f>
        <v>0</v>
      </c>
      <c r="CY275">
        <f ca="1" xml:space="preserve"> IF( AND( OFFSET($A$1, 275 - 1, 101 - 1) = "1", OFFSET($A$1, 275 - 1, 102 - 1) = "1" ), 1, IF( AND( OFFSET($A$1, 275 - 1, 101 - 1) = "1", OFFSET($A$1, 275 - 1, 102 - 1) = "0" ), 2, IF( AND( OFFSET($A$1, 275 - 1, 101 - 1) = "0", OFFSET($A$1, 275 - 1, 102 - 1) = "1" ), 3, 4 ) ) )</f>
        <v>4</v>
      </c>
    </row>
    <row r="276" spans="95:103" ht="13.8" x14ac:dyDescent="0.3">
      <c r="CQ276" s="24">
        <v>0.88630840425532709</v>
      </c>
      <c r="CR276" s="24" t="str">
        <f t="shared" si="23"/>
        <v>1</v>
      </c>
      <c r="CS276" t="str">
        <f ca="1">IF((OFFSET($A$1, 276 - 1, 95 - 1)) &gt;= (OFFSET($A$1, 54 - 1, 7 - 1)), "1","0")</f>
        <v>1</v>
      </c>
      <c r="CT276">
        <f ca="1" xml:space="preserve"> IF( AND( OFFSET($A$1, 276 - 1, 96 - 1) = "1", OFFSET($A$1, 276 - 1, 97 - 1) = "1" ), 1, IF( AND( OFFSET($A$1, 276 - 1, 96 - 1) = "1", OFFSET($A$1, 276 - 1, 97 - 1) = "0" ), 2, IF( AND( OFFSET($A$1, 276 - 1, 96 - 1) = "0", OFFSET($A$1, 276 - 1, 97 - 1) = "1" ), 3, 4 ) ) )</f>
        <v>1</v>
      </c>
      <c r="CV276" s="24">
        <v>0.99994729603675347</v>
      </c>
      <c r="CW276" s="24" t="str">
        <f>"0"</f>
        <v>0</v>
      </c>
      <c r="CX276" t="str">
        <f ca="1">IF((OFFSET($A$1, 276 - 1, 100 - 1)) &gt;= (OFFSET($A$1, 78 - 1, 7 - 1)), "1","0")</f>
        <v>1</v>
      </c>
      <c r="CY276">
        <f ca="1" xml:space="preserve"> IF( AND( OFFSET($A$1, 276 - 1, 101 - 1) = "1", OFFSET($A$1, 276 - 1, 102 - 1) = "1" ), 1, IF( AND( OFFSET($A$1, 276 - 1, 101 - 1) = "1", OFFSET($A$1, 276 - 1, 102 - 1) = "0" ), 2, IF( AND( OFFSET($A$1, 276 - 1, 101 - 1) = "0", OFFSET($A$1, 276 - 1, 102 - 1) = "1" ), 3, 4 ) ) )</f>
        <v>3</v>
      </c>
    </row>
    <row r="277" spans="95:103" ht="13.8" x14ac:dyDescent="0.3">
      <c r="CQ277" s="24">
        <v>0.98452170724801269</v>
      </c>
      <c r="CR277" s="24" t="str">
        <f t="shared" si="23"/>
        <v>1</v>
      </c>
      <c r="CS277" t="str">
        <f ca="1">IF((OFFSET($A$1, 277 - 1, 95 - 1)) &gt;= (OFFSET($A$1, 54 - 1, 7 - 1)), "1","0")</f>
        <v>1</v>
      </c>
      <c r="CT277">
        <f ca="1" xml:space="preserve"> IF( AND( OFFSET($A$1, 277 - 1, 96 - 1) = "1", OFFSET($A$1, 277 - 1, 97 - 1) = "1" ), 1, IF( AND( OFFSET($A$1, 277 - 1, 96 - 1) = "1", OFFSET($A$1, 277 - 1, 97 - 1) = "0" ), 2, IF( AND( OFFSET($A$1, 277 - 1, 96 - 1) = "0", OFFSET($A$1, 277 - 1, 97 - 1) = "1" ), 3, 4 ) ) )</f>
        <v>1</v>
      </c>
      <c r="CV277" s="24">
        <v>0.89132941637981544</v>
      </c>
      <c r="CW277" s="24" t="str">
        <f t="shared" ref="CW277:CW282" si="24">"1"</f>
        <v>1</v>
      </c>
      <c r="CX277" t="str">
        <f ca="1">IF((OFFSET($A$1, 277 - 1, 100 - 1)) &gt;= (OFFSET($A$1, 78 - 1, 7 - 1)), "1","0")</f>
        <v>1</v>
      </c>
      <c r="CY277">
        <f ca="1" xml:space="preserve"> IF( AND( OFFSET($A$1, 277 - 1, 101 - 1) = "1", OFFSET($A$1, 277 - 1, 102 - 1) = "1" ), 1, IF( AND( OFFSET($A$1, 277 - 1, 101 - 1) = "1", OFFSET($A$1, 277 - 1, 102 - 1) = "0" ), 2, IF( AND( OFFSET($A$1, 277 - 1, 101 - 1) = "0", OFFSET($A$1, 277 - 1, 102 - 1) = "1" ), 3, 4 ) ) )</f>
        <v>1</v>
      </c>
    </row>
    <row r="278" spans="95:103" ht="13.8" x14ac:dyDescent="0.3">
      <c r="CQ278" s="24">
        <v>0.9999774962595368</v>
      </c>
      <c r="CR278" s="24" t="str">
        <f t="shared" si="23"/>
        <v>1</v>
      </c>
      <c r="CS278" t="str">
        <f ca="1">IF((OFFSET($A$1, 278 - 1, 95 - 1)) &gt;= (OFFSET($A$1, 54 - 1, 7 - 1)), "1","0")</f>
        <v>1</v>
      </c>
      <c r="CT278">
        <f ca="1" xml:space="preserve"> IF( AND( OFFSET($A$1, 278 - 1, 96 - 1) = "1", OFFSET($A$1, 278 - 1, 97 - 1) = "1" ), 1, IF( AND( OFFSET($A$1, 278 - 1, 96 - 1) = "1", OFFSET($A$1, 278 - 1, 97 - 1) = "0" ), 2, IF( AND( OFFSET($A$1, 278 - 1, 96 - 1) = "0", OFFSET($A$1, 278 - 1, 97 - 1) = "1" ), 3, 4 ) ) )</f>
        <v>1</v>
      </c>
      <c r="CV278" s="24">
        <v>0.99072951308746315</v>
      </c>
      <c r="CW278" s="24" t="str">
        <f t="shared" si="24"/>
        <v>1</v>
      </c>
      <c r="CX278" t="str">
        <f ca="1">IF((OFFSET($A$1, 278 - 1, 100 - 1)) &gt;= (OFFSET($A$1, 78 - 1, 7 - 1)), "1","0")</f>
        <v>1</v>
      </c>
      <c r="CY278">
        <f ca="1" xml:space="preserve"> IF( AND( OFFSET($A$1, 278 - 1, 101 - 1) = "1", OFFSET($A$1, 278 - 1, 102 - 1) = "1" ), 1, IF( AND( OFFSET($A$1, 278 - 1, 101 - 1) = "1", OFFSET($A$1, 278 - 1, 102 - 1) = "0" ), 2, IF( AND( OFFSET($A$1, 278 - 1, 101 - 1) = "0", OFFSET($A$1, 278 - 1, 102 - 1) = "1" ), 3, 4 ) ) )</f>
        <v>1</v>
      </c>
    </row>
    <row r="279" spans="95:103" ht="13.8" x14ac:dyDescent="0.3">
      <c r="CQ279" s="24">
        <v>0.96240330673909114</v>
      </c>
      <c r="CR279" s="24" t="str">
        <f t="shared" si="23"/>
        <v>1</v>
      </c>
      <c r="CS279" t="str">
        <f ca="1">IF((OFFSET($A$1, 279 - 1, 95 - 1)) &gt;= (OFFSET($A$1, 54 - 1, 7 - 1)), "1","0")</f>
        <v>1</v>
      </c>
      <c r="CT279">
        <f ca="1" xml:space="preserve"> IF( AND( OFFSET($A$1, 279 - 1, 96 - 1) = "1", OFFSET($A$1, 279 - 1, 97 - 1) = "1" ), 1, IF( AND( OFFSET($A$1, 279 - 1, 96 - 1) = "1", OFFSET($A$1, 279 - 1, 97 - 1) = "0" ), 2, IF( AND( OFFSET($A$1, 279 - 1, 96 - 1) = "0", OFFSET($A$1, 279 - 1, 97 - 1) = "1" ), 3, 4 ) ) )</f>
        <v>1</v>
      </c>
      <c r="CV279" s="24">
        <v>4.1527787602984374E-2</v>
      </c>
      <c r="CW279" s="24" t="str">
        <f t="shared" si="24"/>
        <v>1</v>
      </c>
      <c r="CX279" t="str">
        <f ca="1">IF((OFFSET($A$1, 279 - 1, 100 - 1)) &gt;= (OFFSET($A$1, 78 - 1, 7 - 1)), "1","0")</f>
        <v>0</v>
      </c>
      <c r="CY279">
        <f ca="1" xml:space="preserve"> IF( AND( OFFSET($A$1, 279 - 1, 101 - 1) = "1", OFFSET($A$1, 279 - 1, 102 - 1) = "1" ), 1, IF( AND( OFFSET($A$1, 279 - 1, 101 - 1) = "1", OFFSET($A$1, 279 - 1, 102 - 1) = "0" ), 2, IF( AND( OFFSET($A$1, 279 - 1, 101 - 1) = "0", OFFSET($A$1, 279 - 1, 102 - 1) = "1" ), 3, 4 ) ) )</f>
        <v>2</v>
      </c>
    </row>
    <row r="280" spans="95:103" ht="13.8" x14ac:dyDescent="0.3">
      <c r="CQ280" s="24">
        <v>0.95922018340945159</v>
      </c>
      <c r="CR280" s="24" t="str">
        <f t="shared" si="23"/>
        <v>1</v>
      </c>
      <c r="CS280" t="str">
        <f ca="1">IF((OFFSET($A$1, 280 - 1, 95 - 1)) &gt;= (OFFSET($A$1, 54 - 1, 7 - 1)), "1","0")</f>
        <v>1</v>
      </c>
      <c r="CT280">
        <f ca="1" xml:space="preserve"> IF( AND( OFFSET($A$1, 280 - 1, 96 - 1) = "1", OFFSET($A$1, 280 - 1, 97 - 1) = "1" ), 1, IF( AND( OFFSET($A$1, 280 - 1, 96 - 1) = "1", OFFSET($A$1, 280 - 1, 97 - 1) = "0" ), 2, IF( AND( OFFSET($A$1, 280 - 1, 96 - 1) = "0", OFFSET($A$1, 280 - 1, 97 - 1) = "1" ), 3, 4 ) ) )</f>
        <v>1</v>
      </c>
      <c r="CV280" s="24">
        <v>0.811749386186155</v>
      </c>
      <c r="CW280" s="24" t="str">
        <f t="shared" si="24"/>
        <v>1</v>
      </c>
      <c r="CX280" t="str">
        <f ca="1">IF((OFFSET($A$1, 280 - 1, 100 - 1)) &gt;= (OFFSET($A$1, 78 - 1, 7 - 1)), "1","0")</f>
        <v>1</v>
      </c>
      <c r="CY280">
        <f ca="1" xml:space="preserve"> IF( AND( OFFSET($A$1, 280 - 1, 101 - 1) = "1", OFFSET($A$1, 280 - 1, 102 - 1) = "1" ), 1, IF( AND( OFFSET($A$1, 280 - 1, 101 - 1) = "1", OFFSET($A$1, 280 - 1, 102 - 1) = "0" ), 2, IF( AND( OFFSET($A$1, 280 - 1, 101 - 1) = "0", OFFSET($A$1, 280 - 1, 102 - 1) = "1" ), 3, 4 ) ) )</f>
        <v>1</v>
      </c>
    </row>
    <row r="281" spans="95:103" ht="13.8" x14ac:dyDescent="0.3">
      <c r="CQ281" s="24">
        <v>0.89485829189804478</v>
      </c>
      <c r="CR281" s="24" t="str">
        <f t="shared" si="23"/>
        <v>1</v>
      </c>
      <c r="CS281" t="str">
        <f ca="1">IF((OFFSET($A$1, 281 - 1, 95 - 1)) &gt;= (OFFSET($A$1, 54 - 1, 7 - 1)), "1","0")</f>
        <v>1</v>
      </c>
      <c r="CT281">
        <f ca="1" xml:space="preserve"> IF( AND( OFFSET($A$1, 281 - 1, 96 - 1) = "1", OFFSET($A$1, 281 - 1, 97 - 1) = "1" ), 1, IF( AND( OFFSET($A$1, 281 - 1, 96 - 1) = "1", OFFSET($A$1, 281 - 1, 97 - 1) = "0" ), 2, IF( AND( OFFSET($A$1, 281 - 1, 96 - 1) = "0", OFFSET($A$1, 281 - 1, 97 - 1) = "1" ), 3, 4 ) ) )</f>
        <v>1</v>
      </c>
      <c r="CV281" s="24">
        <v>0.95335326736915682</v>
      </c>
      <c r="CW281" s="24" t="str">
        <f t="shared" si="24"/>
        <v>1</v>
      </c>
      <c r="CX281" t="str">
        <f ca="1">IF((OFFSET($A$1, 281 - 1, 100 - 1)) &gt;= (OFFSET($A$1, 78 - 1, 7 - 1)), "1","0")</f>
        <v>1</v>
      </c>
      <c r="CY281">
        <f ca="1" xml:space="preserve"> IF( AND( OFFSET($A$1, 281 - 1, 101 - 1) = "1", OFFSET($A$1, 281 - 1, 102 - 1) = "1" ), 1, IF( AND( OFFSET($A$1, 281 - 1, 101 - 1) = "1", OFFSET($A$1, 281 - 1, 102 - 1) = "0" ), 2, IF( AND( OFFSET($A$1, 281 - 1, 101 - 1) = "0", OFFSET($A$1, 281 - 1, 102 - 1) = "1" ), 3, 4 ) ) )</f>
        <v>1</v>
      </c>
    </row>
    <row r="282" spans="95:103" ht="13.8" x14ac:dyDescent="0.3">
      <c r="CQ282" s="24">
        <v>0.99998489675314062</v>
      </c>
      <c r="CR282" s="24" t="str">
        <f t="shared" si="23"/>
        <v>1</v>
      </c>
      <c r="CS282" t="str">
        <f ca="1">IF((OFFSET($A$1, 282 - 1, 95 - 1)) &gt;= (OFFSET($A$1, 54 - 1, 7 - 1)), "1","0")</f>
        <v>1</v>
      </c>
      <c r="CT282">
        <f ca="1" xml:space="preserve"> IF( AND( OFFSET($A$1, 282 - 1, 96 - 1) = "1", OFFSET($A$1, 282 - 1, 97 - 1) = "1" ), 1, IF( AND( OFFSET($A$1, 282 - 1, 96 - 1) = "1", OFFSET($A$1, 282 - 1, 97 - 1) = "0" ), 2, IF( AND( OFFSET($A$1, 282 - 1, 96 - 1) = "0", OFFSET($A$1, 282 - 1, 97 - 1) = "1" ), 3, 4 ) ) )</f>
        <v>1</v>
      </c>
      <c r="CV282" s="24">
        <v>0.99977370258132803</v>
      </c>
      <c r="CW282" s="24" t="str">
        <f t="shared" si="24"/>
        <v>1</v>
      </c>
      <c r="CX282" t="str">
        <f ca="1">IF((OFFSET($A$1, 282 - 1, 100 - 1)) &gt;= (OFFSET($A$1, 78 - 1, 7 - 1)), "1","0")</f>
        <v>1</v>
      </c>
      <c r="CY282">
        <f ca="1" xml:space="preserve"> IF( AND( OFFSET($A$1, 282 - 1, 101 - 1) = "1", OFFSET($A$1, 282 - 1, 102 - 1) = "1" ), 1, IF( AND( OFFSET($A$1, 282 - 1, 101 - 1) = "1", OFFSET($A$1, 282 - 1, 102 - 1) = "0" ), 2, IF( AND( OFFSET($A$1, 282 - 1, 101 - 1) = "0", OFFSET($A$1, 282 - 1, 102 - 1) = "1" ), 3, 4 ) ) )</f>
        <v>1</v>
      </c>
    </row>
    <row r="283" spans="95:103" ht="13.8" x14ac:dyDescent="0.3">
      <c r="CQ283" s="24">
        <v>2.0614394074309783E-3</v>
      </c>
      <c r="CR283" s="24" t="str">
        <f>"0"</f>
        <v>0</v>
      </c>
      <c r="CS283" t="str">
        <f ca="1">IF((OFFSET($A$1, 283 - 1, 95 - 1)) &gt;= (OFFSET($A$1, 54 - 1, 7 - 1)), "1","0")</f>
        <v>0</v>
      </c>
      <c r="CT283">
        <f ca="1" xml:space="preserve"> IF( AND( OFFSET($A$1, 283 - 1, 96 - 1) = "1", OFFSET($A$1, 283 - 1, 97 - 1) = "1" ), 1, IF( AND( OFFSET($A$1, 283 - 1, 96 - 1) = "1", OFFSET($A$1, 283 - 1, 97 - 1) = "0" ), 2, IF( AND( OFFSET($A$1, 283 - 1, 96 - 1) = "0", OFFSET($A$1, 283 - 1, 97 - 1) = "1" ), 3, 4 ) ) )</f>
        <v>4</v>
      </c>
      <c r="CV283" s="24">
        <v>0.99830415705602782</v>
      </c>
      <c r="CW283" s="24" t="str">
        <f>"0"</f>
        <v>0</v>
      </c>
      <c r="CX283" t="str">
        <f ca="1">IF((OFFSET($A$1, 283 - 1, 100 - 1)) &gt;= (OFFSET($A$1, 78 - 1, 7 - 1)), "1","0")</f>
        <v>1</v>
      </c>
      <c r="CY283">
        <f ca="1" xml:space="preserve"> IF( AND( OFFSET($A$1, 283 - 1, 101 - 1) = "1", OFFSET($A$1, 283 - 1, 102 - 1) = "1" ), 1, IF( AND( OFFSET($A$1, 283 - 1, 101 - 1) = "1", OFFSET($A$1, 283 - 1, 102 - 1) = "0" ), 2, IF( AND( OFFSET($A$1, 283 - 1, 101 - 1) = "0", OFFSET($A$1, 283 - 1, 102 - 1) = "1" ), 3, 4 ) ) )</f>
        <v>3</v>
      </c>
    </row>
    <row r="284" spans="95:103" ht="13.8" x14ac:dyDescent="0.3">
      <c r="CQ284" s="24">
        <v>0.99858430161352729</v>
      </c>
      <c r="CR284" s="24" t="str">
        <f>"1"</f>
        <v>1</v>
      </c>
      <c r="CS284" t="str">
        <f ca="1">IF((OFFSET($A$1, 284 - 1, 95 - 1)) &gt;= (OFFSET($A$1, 54 - 1, 7 - 1)), "1","0")</f>
        <v>1</v>
      </c>
      <c r="CT284">
        <f ca="1" xml:space="preserve"> IF( AND( OFFSET($A$1, 284 - 1, 96 - 1) = "1", OFFSET($A$1, 284 - 1, 97 - 1) = "1" ), 1, IF( AND( OFFSET($A$1, 284 - 1, 96 - 1) = "1", OFFSET($A$1, 284 - 1, 97 - 1) = "0" ), 2, IF( AND( OFFSET($A$1, 284 - 1, 96 - 1) = "0", OFFSET($A$1, 284 - 1, 97 - 1) = "1" ), 3, 4 ) ) )</f>
        <v>1</v>
      </c>
      <c r="CV284" s="24">
        <v>0.98371836472622065</v>
      </c>
      <c r="CW284" s="24" t="str">
        <f>"0"</f>
        <v>0</v>
      </c>
      <c r="CX284" t="str">
        <f ca="1">IF((OFFSET($A$1, 284 - 1, 100 - 1)) &gt;= (OFFSET($A$1, 78 - 1, 7 - 1)), "1","0")</f>
        <v>1</v>
      </c>
      <c r="CY284">
        <f ca="1" xml:space="preserve"> IF( AND( OFFSET($A$1, 284 - 1, 101 - 1) = "1", OFFSET($A$1, 284 - 1, 102 - 1) = "1" ), 1, IF( AND( OFFSET($A$1, 284 - 1, 101 - 1) = "1", OFFSET($A$1, 284 - 1, 102 - 1) = "0" ), 2, IF( AND( OFFSET($A$1, 284 - 1, 101 - 1) = "0", OFFSET($A$1, 284 - 1, 102 - 1) = "1" ), 3, 4 ) ) )</f>
        <v>3</v>
      </c>
    </row>
    <row r="285" spans="95:103" ht="13.8" x14ac:dyDescent="0.3">
      <c r="CQ285" s="24">
        <v>2.9307998814808978E-3</v>
      </c>
      <c r="CR285" s="24" t="str">
        <f>"0"</f>
        <v>0</v>
      </c>
      <c r="CS285" t="str">
        <f ca="1">IF((OFFSET($A$1, 285 - 1, 95 - 1)) &gt;= (OFFSET($A$1, 54 - 1, 7 - 1)), "1","0")</f>
        <v>0</v>
      </c>
      <c r="CT285">
        <f ca="1" xml:space="preserve"> IF( AND( OFFSET($A$1, 285 - 1, 96 - 1) = "1", OFFSET($A$1, 285 - 1, 97 - 1) = "1" ), 1, IF( AND( OFFSET($A$1, 285 - 1, 96 - 1) = "1", OFFSET($A$1, 285 - 1, 97 - 1) = "0" ), 2, IF( AND( OFFSET($A$1, 285 - 1, 96 - 1) = "0", OFFSET($A$1, 285 - 1, 97 - 1) = "1" ), 3, 4 ) ) )</f>
        <v>4</v>
      </c>
      <c r="CV285" s="24">
        <v>0.48622499218151027</v>
      </c>
      <c r="CW285" s="24" t="str">
        <f>"1"</f>
        <v>1</v>
      </c>
      <c r="CX285" t="str">
        <f ca="1">IF((OFFSET($A$1, 285 - 1, 100 - 1)) &gt;= (OFFSET($A$1, 78 - 1, 7 - 1)), "1","0")</f>
        <v>0</v>
      </c>
      <c r="CY285">
        <f ca="1" xml:space="preserve"> IF( AND( OFFSET($A$1, 285 - 1, 101 - 1) = "1", OFFSET($A$1, 285 - 1, 102 - 1) = "1" ), 1, IF( AND( OFFSET($A$1, 285 - 1, 101 - 1) = "1", OFFSET($A$1, 285 - 1, 102 - 1) = "0" ), 2, IF( AND( OFFSET($A$1, 285 - 1, 101 - 1) = "0", OFFSET($A$1, 285 - 1, 102 - 1) = "1" ), 3, 4 ) ) )</f>
        <v>2</v>
      </c>
    </row>
    <row r="286" spans="95:103" ht="13.8" x14ac:dyDescent="0.3">
      <c r="CQ286" s="24">
        <v>0.99867810498751264</v>
      </c>
      <c r="CR286" s="24" t="str">
        <f>"1"</f>
        <v>1</v>
      </c>
      <c r="CS286" t="str">
        <f ca="1">IF((OFFSET($A$1, 286 - 1, 95 - 1)) &gt;= (OFFSET($A$1, 54 - 1, 7 - 1)), "1","0")</f>
        <v>1</v>
      </c>
      <c r="CT286">
        <f ca="1" xml:space="preserve"> IF( AND( OFFSET($A$1, 286 - 1, 96 - 1) = "1", OFFSET($A$1, 286 - 1, 97 - 1) = "1" ), 1, IF( AND( OFFSET($A$1, 286 - 1, 96 - 1) = "1", OFFSET($A$1, 286 - 1, 97 - 1) = "0" ), 2, IF( AND( OFFSET($A$1, 286 - 1, 96 - 1) = "0", OFFSET($A$1, 286 - 1, 97 - 1) = "1" ), 3, 4 ) ) )</f>
        <v>1</v>
      </c>
      <c r="CV286" s="24">
        <v>0.68476267756428011</v>
      </c>
      <c r="CW286" s="24" t="str">
        <f>"1"</f>
        <v>1</v>
      </c>
      <c r="CX286" t="str">
        <f ca="1">IF((OFFSET($A$1, 286 - 1, 100 - 1)) &gt;= (OFFSET($A$1, 78 - 1, 7 - 1)), "1","0")</f>
        <v>1</v>
      </c>
      <c r="CY286">
        <f ca="1" xml:space="preserve"> IF( AND( OFFSET($A$1, 286 - 1, 101 - 1) = "1", OFFSET($A$1, 286 - 1, 102 - 1) = "1" ), 1, IF( AND( OFFSET($A$1, 286 - 1, 101 - 1) = "1", OFFSET($A$1, 286 - 1, 102 - 1) = "0" ), 2, IF( AND( OFFSET($A$1, 286 - 1, 101 - 1) = "0", OFFSET($A$1, 286 - 1, 102 - 1) = "1" ), 3, 4 ) ) )</f>
        <v>1</v>
      </c>
    </row>
    <row r="287" spans="95:103" ht="13.8" x14ac:dyDescent="0.3">
      <c r="CQ287" s="24">
        <v>0.98848201222047061</v>
      </c>
      <c r="CR287" s="24" t="str">
        <f>"0"</f>
        <v>0</v>
      </c>
      <c r="CS287" t="str">
        <f ca="1">IF((OFFSET($A$1, 287 - 1, 95 - 1)) &gt;= (OFFSET($A$1, 54 - 1, 7 - 1)), "1","0")</f>
        <v>1</v>
      </c>
      <c r="CT287">
        <f ca="1" xml:space="preserve"> IF( AND( OFFSET($A$1, 287 - 1, 96 - 1) = "1", OFFSET($A$1, 287 - 1, 97 - 1) = "1" ), 1, IF( AND( OFFSET($A$1, 287 - 1, 96 - 1) = "1", OFFSET($A$1, 287 - 1, 97 - 1) = "0" ), 2, IF( AND( OFFSET($A$1, 287 - 1, 96 - 1) = "0", OFFSET($A$1, 287 - 1, 97 - 1) = "1" ), 3, 4 ) ) )</f>
        <v>3</v>
      </c>
      <c r="CV287" s="24">
        <v>0.93789399057610334</v>
      </c>
      <c r="CW287" s="24" t="str">
        <f>"1"</f>
        <v>1</v>
      </c>
      <c r="CX287" t="str">
        <f ca="1">IF((OFFSET($A$1, 287 - 1, 100 - 1)) &gt;= (OFFSET($A$1, 78 - 1, 7 - 1)), "1","0")</f>
        <v>1</v>
      </c>
      <c r="CY287">
        <f ca="1" xml:space="preserve"> IF( AND( OFFSET($A$1, 287 - 1, 101 - 1) = "1", OFFSET($A$1, 287 - 1, 102 - 1) = "1" ), 1, IF( AND( OFFSET($A$1, 287 - 1, 101 - 1) = "1", OFFSET($A$1, 287 - 1, 102 - 1) = "0" ), 2, IF( AND( OFFSET($A$1, 287 - 1, 101 - 1) = "0", OFFSET($A$1, 287 - 1, 102 - 1) = "1" ), 3, 4 ) ) )</f>
        <v>1</v>
      </c>
    </row>
    <row r="288" spans="95:103" ht="13.8" x14ac:dyDescent="0.3">
      <c r="CQ288" s="24">
        <v>0.99447730419934444</v>
      </c>
      <c r="CR288" s="24" t="str">
        <f>"1"</f>
        <v>1</v>
      </c>
      <c r="CS288" t="str">
        <f ca="1">IF((OFFSET($A$1, 288 - 1, 95 - 1)) &gt;= (OFFSET($A$1, 54 - 1, 7 - 1)), "1","0")</f>
        <v>1</v>
      </c>
      <c r="CT288">
        <f ca="1" xml:space="preserve"> IF( AND( OFFSET($A$1, 288 - 1, 96 - 1) = "1", OFFSET($A$1, 288 - 1, 97 - 1) = "1" ), 1, IF( AND( OFFSET($A$1, 288 - 1, 96 - 1) = "1", OFFSET($A$1, 288 - 1, 97 - 1) = "0" ), 2, IF( AND( OFFSET($A$1, 288 - 1, 96 - 1) = "0", OFFSET($A$1, 288 - 1, 97 - 1) = "1" ), 3, 4 ) ) )</f>
        <v>1</v>
      </c>
      <c r="CV288" s="24">
        <v>0.99999914475652307</v>
      </c>
      <c r="CW288" s="24" t="str">
        <f>"1"</f>
        <v>1</v>
      </c>
      <c r="CX288" t="str">
        <f ca="1">IF((OFFSET($A$1, 288 - 1, 100 - 1)) &gt;= (OFFSET($A$1, 78 - 1, 7 - 1)), "1","0")</f>
        <v>1</v>
      </c>
      <c r="CY288">
        <f ca="1" xml:space="preserve"> IF( AND( OFFSET($A$1, 288 - 1, 101 - 1) = "1", OFFSET($A$1, 288 - 1, 102 - 1) = "1" ), 1, IF( AND( OFFSET($A$1, 288 - 1, 101 - 1) = "1", OFFSET($A$1, 288 - 1, 102 - 1) = "0" ), 2, IF( AND( OFFSET($A$1, 288 - 1, 101 - 1) = "0", OFFSET($A$1, 288 - 1, 102 - 1) = "1" ), 3, 4 ) ) )</f>
        <v>1</v>
      </c>
    </row>
    <row r="289" spans="95:103" ht="13.8" x14ac:dyDescent="0.3">
      <c r="CQ289" s="24">
        <v>6.3778205610921956E-2</v>
      </c>
      <c r="CR289" s="24" t="str">
        <f>"0"</f>
        <v>0</v>
      </c>
      <c r="CS289" t="str">
        <f ca="1">IF((OFFSET($A$1, 289 - 1, 95 - 1)) &gt;= (OFFSET($A$1, 54 - 1, 7 - 1)), "1","0")</f>
        <v>0</v>
      </c>
      <c r="CT289">
        <f ca="1" xml:space="preserve"> IF( AND( OFFSET($A$1, 289 - 1, 96 - 1) = "1", OFFSET($A$1, 289 - 1, 97 - 1) = "1" ), 1, IF( AND( OFFSET($A$1, 289 - 1, 96 - 1) = "1", OFFSET($A$1, 289 - 1, 97 - 1) = "0" ), 2, IF( AND( OFFSET($A$1, 289 - 1, 96 - 1) = "0", OFFSET($A$1, 289 - 1, 97 - 1) = "1" ), 3, 4 ) ) )</f>
        <v>4</v>
      </c>
      <c r="CV289" s="24">
        <v>0.82568400945739961</v>
      </c>
      <c r="CW289" s="24" t="str">
        <f>"0"</f>
        <v>0</v>
      </c>
      <c r="CX289" t="str">
        <f ca="1">IF((OFFSET($A$1, 289 - 1, 100 - 1)) &gt;= (OFFSET($A$1, 78 - 1, 7 - 1)), "1","0")</f>
        <v>1</v>
      </c>
      <c r="CY289">
        <f ca="1" xml:space="preserve"> IF( AND( OFFSET($A$1, 289 - 1, 101 - 1) = "1", OFFSET($A$1, 289 - 1, 102 - 1) = "1" ), 1, IF( AND( OFFSET($A$1, 289 - 1, 101 - 1) = "1", OFFSET($A$1, 289 - 1, 102 - 1) = "0" ), 2, IF( AND( OFFSET($A$1, 289 - 1, 101 - 1) = "0", OFFSET($A$1, 289 - 1, 102 - 1) = "1" ), 3, 4 ) ) )</f>
        <v>3</v>
      </c>
    </row>
    <row r="290" spans="95:103" ht="13.8" x14ac:dyDescent="0.3">
      <c r="CQ290" s="24">
        <v>2.4099816421803387E-2</v>
      </c>
      <c r="CR290" s="24" t="str">
        <f>"0"</f>
        <v>0</v>
      </c>
      <c r="CS290" t="str">
        <f ca="1">IF((OFFSET($A$1, 290 - 1, 95 - 1)) &gt;= (OFFSET($A$1, 54 - 1, 7 - 1)), "1","0")</f>
        <v>0</v>
      </c>
      <c r="CT290">
        <f ca="1" xml:space="preserve"> IF( AND( OFFSET($A$1, 290 - 1, 96 - 1) = "1", OFFSET($A$1, 290 - 1, 97 - 1) = "1" ), 1, IF( AND( OFFSET($A$1, 290 - 1, 96 - 1) = "1", OFFSET($A$1, 290 - 1, 97 - 1) = "0" ), 2, IF( AND( OFFSET($A$1, 290 - 1, 96 - 1) = "0", OFFSET($A$1, 290 - 1, 97 - 1) = "1" ), 3, 4 ) ) )</f>
        <v>4</v>
      </c>
      <c r="CV290" s="24">
        <v>0.22517802017962654</v>
      </c>
      <c r="CW290" s="24" t="str">
        <f>"0"</f>
        <v>0</v>
      </c>
      <c r="CX290" t="str">
        <f ca="1">IF((OFFSET($A$1, 290 - 1, 100 - 1)) &gt;= (OFFSET($A$1, 78 - 1, 7 - 1)), "1","0")</f>
        <v>0</v>
      </c>
      <c r="CY290">
        <f ca="1" xml:space="preserve"> IF( AND( OFFSET($A$1, 290 - 1, 101 - 1) = "1", OFFSET($A$1, 290 - 1, 102 - 1) = "1" ), 1, IF( AND( OFFSET($A$1, 290 - 1, 101 - 1) = "1", OFFSET($A$1, 290 - 1, 102 - 1) = "0" ), 2, IF( AND( OFFSET($A$1, 290 - 1, 101 - 1) = "0", OFFSET($A$1, 290 - 1, 102 - 1) = "1" ), 3, 4 ) ) )</f>
        <v>4</v>
      </c>
    </row>
    <row r="291" spans="95:103" ht="13.8" x14ac:dyDescent="0.3">
      <c r="CQ291" s="24">
        <v>0.91295064147880622</v>
      </c>
      <c r="CR291" s="24" t="str">
        <f>"1"</f>
        <v>1</v>
      </c>
      <c r="CS291" t="str">
        <f ca="1">IF((OFFSET($A$1, 291 - 1, 95 - 1)) &gt;= (OFFSET($A$1, 54 - 1, 7 - 1)), "1","0")</f>
        <v>1</v>
      </c>
      <c r="CT291">
        <f ca="1" xml:space="preserve"> IF( AND( OFFSET($A$1, 291 - 1, 96 - 1) = "1", OFFSET($A$1, 291 - 1, 97 - 1) = "1" ), 1, IF( AND( OFFSET($A$1, 291 - 1, 96 - 1) = "1", OFFSET($A$1, 291 - 1, 97 - 1) = "0" ), 2, IF( AND( OFFSET($A$1, 291 - 1, 96 - 1) = "0", OFFSET($A$1, 291 - 1, 97 - 1) = "1" ), 3, 4 ) ) )</f>
        <v>1</v>
      </c>
      <c r="CV291" s="24">
        <v>5.0842273469914705E-2</v>
      </c>
      <c r="CW291" s="24" t="str">
        <f>"1"</f>
        <v>1</v>
      </c>
      <c r="CX291" t="str">
        <f ca="1">IF((OFFSET($A$1, 291 - 1, 100 - 1)) &gt;= (OFFSET($A$1, 78 - 1, 7 - 1)), "1","0")</f>
        <v>0</v>
      </c>
      <c r="CY291">
        <f ca="1" xml:space="preserve"> IF( AND( OFFSET($A$1, 291 - 1, 101 - 1) = "1", OFFSET($A$1, 291 - 1, 102 - 1) = "1" ), 1, IF( AND( OFFSET($A$1, 291 - 1, 101 - 1) = "1", OFFSET($A$1, 291 - 1, 102 - 1) = "0" ), 2, IF( AND( OFFSET($A$1, 291 - 1, 101 - 1) = "0", OFFSET($A$1, 291 - 1, 102 - 1) = "1" ), 3, 4 ) ) )</f>
        <v>2</v>
      </c>
    </row>
    <row r="292" spans="95:103" ht="13.8" x14ac:dyDescent="0.3">
      <c r="CQ292" s="24">
        <v>0.99600272573187254</v>
      </c>
      <c r="CR292" s="24" t="str">
        <f>"1"</f>
        <v>1</v>
      </c>
      <c r="CS292" t="str">
        <f ca="1">IF((OFFSET($A$1, 292 - 1, 95 - 1)) &gt;= (OFFSET($A$1, 54 - 1, 7 - 1)), "1","0")</f>
        <v>1</v>
      </c>
      <c r="CT292">
        <f ca="1" xml:space="preserve"> IF( AND( OFFSET($A$1, 292 - 1, 96 - 1) = "1", OFFSET($A$1, 292 - 1, 97 - 1) = "1" ), 1, IF( AND( OFFSET($A$1, 292 - 1, 96 - 1) = "1", OFFSET($A$1, 292 - 1, 97 - 1) = "0" ), 2, IF( AND( OFFSET($A$1, 292 - 1, 96 - 1) = "0", OFFSET($A$1, 292 - 1, 97 - 1) = "1" ), 3, 4 ) ) )</f>
        <v>1</v>
      </c>
      <c r="CV292" s="24">
        <v>0.99998952259069651</v>
      </c>
      <c r="CW292" s="24" t="str">
        <f>"1"</f>
        <v>1</v>
      </c>
      <c r="CX292" t="str">
        <f ca="1">IF((OFFSET($A$1, 292 - 1, 100 - 1)) &gt;= (OFFSET($A$1, 78 - 1, 7 - 1)), "1","0")</f>
        <v>1</v>
      </c>
      <c r="CY292">
        <f ca="1" xml:space="preserve"> IF( AND( OFFSET($A$1, 292 - 1, 101 - 1) = "1", OFFSET($A$1, 292 - 1, 102 - 1) = "1" ), 1, IF( AND( OFFSET($A$1, 292 - 1, 101 - 1) = "1", OFFSET($A$1, 292 - 1, 102 - 1) = "0" ), 2, IF( AND( OFFSET($A$1, 292 - 1, 101 - 1) = "0", OFFSET($A$1, 292 - 1, 102 - 1) = "1" ), 3, 4 ) ) )</f>
        <v>1</v>
      </c>
    </row>
    <row r="293" spans="95:103" ht="13.8" x14ac:dyDescent="0.3">
      <c r="CQ293" s="24">
        <v>4.7098405136949241E-3</v>
      </c>
      <c r="CR293" s="24" t="str">
        <f>"0"</f>
        <v>0</v>
      </c>
      <c r="CS293" t="str">
        <f ca="1">IF((OFFSET($A$1, 293 - 1, 95 - 1)) &gt;= (OFFSET($A$1, 54 - 1, 7 - 1)), "1","0")</f>
        <v>0</v>
      </c>
      <c r="CT293">
        <f ca="1" xml:space="preserve"> IF( AND( OFFSET($A$1, 293 - 1, 96 - 1) = "1", OFFSET($A$1, 293 - 1, 97 - 1) = "1" ), 1, IF( AND( OFFSET($A$1, 293 - 1, 96 - 1) = "1", OFFSET($A$1, 293 - 1, 97 - 1) = "0" ), 2, IF( AND( OFFSET($A$1, 293 - 1, 96 - 1) = "0", OFFSET($A$1, 293 - 1, 97 - 1) = "1" ), 3, 4 ) ) )</f>
        <v>4</v>
      </c>
      <c r="CV293" s="24">
        <v>0.96753729697783397</v>
      </c>
      <c r="CW293" s="24" t="str">
        <f>"1"</f>
        <v>1</v>
      </c>
      <c r="CX293" t="str">
        <f ca="1">IF((OFFSET($A$1, 293 - 1, 100 - 1)) &gt;= (OFFSET($A$1, 78 - 1, 7 - 1)), "1","0")</f>
        <v>1</v>
      </c>
      <c r="CY293">
        <f ca="1" xml:space="preserve"> IF( AND( OFFSET($A$1, 293 - 1, 101 - 1) = "1", OFFSET($A$1, 293 - 1, 102 - 1) = "1" ), 1, IF( AND( OFFSET($A$1, 293 - 1, 101 - 1) = "1", OFFSET($A$1, 293 - 1, 102 - 1) = "0" ), 2, IF( AND( OFFSET($A$1, 293 - 1, 101 - 1) = "0", OFFSET($A$1, 293 - 1, 102 - 1) = "1" ), 3, 4 ) ) )</f>
        <v>1</v>
      </c>
    </row>
    <row r="294" spans="95:103" ht="13.8" x14ac:dyDescent="0.3">
      <c r="CQ294" s="24">
        <v>0.99999939218842837</v>
      </c>
      <c r="CR294" s="24" t="str">
        <f>"1"</f>
        <v>1</v>
      </c>
      <c r="CS294" t="str">
        <f ca="1">IF((OFFSET($A$1, 294 - 1, 95 - 1)) &gt;= (OFFSET($A$1, 54 - 1, 7 - 1)), "1","0")</f>
        <v>1</v>
      </c>
      <c r="CT294">
        <f ca="1" xml:space="preserve"> IF( AND( OFFSET($A$1, 294 - 1, 96 - 1) = "1", OFFSET($A$1, 294 - 1, 97 - 1) = "1" ), 1, IF( AND( OFFSET($A$1, 294 - 1, 96 - 1) = "1", OFFSET($A$1, 294 - 1, 97 - 1) = "0" ), 2, IF( AND( OFFSET($A$1, 294 - 1, 96 - 1) = "0", OFFSET($A$1, 294 - 1, 97 - 1) = "1" ), 3, 4 ) ) )</f>
        <v>1</v>
      </c>
      <c r="CV294" s="24">
        <v>0.76518958056758846</v>
      </c>
      <c r="CW294" s="24" t="str">
        <f>"0"</f>
        <v>0</v>
      </c>
      <c r="CX294" t="str">
        <f ca="1">IF((OFFSET($A$1, 294 - 1, 100 - 1)) &gt;= (OFFSET($A$1, 78 - 1, 7 - 1)), "1","0")</f>
        <v>1</v>
      </c>
      <c r="CY294">
        <f ca="1" xml:space="preserve"> IF( AND( OFFSET($A$1, 294 - 1, 101 - 1) = "1", OFFSET($A$1, 294 - 1, 102 - 1) = "1" ), 1, IF( AND( OFFSET($A$1, 294 - 1, 101 - 1) = "1", OFFSET($A$1, 294 - 1, 102 - 1) = "0" ), 2, IF( AND( OFFSET($A$1, 294 - 1, 101 - 1) = "0", OFFSET($A$1, 294 - 1, 102 - 1) = "1" ), 3, 4 ) ) )</f>
        <v>3</v>
      </c>
    </row>
    <row r="295" spans="95:103" ht="13.8" x14ac:dyDescent="0.3">
      <c r="CQ295" s="24">
        <v>6.295740235531444E-2</v>
      </c>
      <c r="CR295" s="24" t="str">
        <f>"0"</f>
        <v>0</v>
      </c>
      <c r="CS295" t="str">
        <f ca="1">IF((OFFSET($A$1, 295 - 1, 95 - 1)) &gt;= (OFFSET($A$1, 54 - 1, 7 - 1)), "1","0")</f>
        <v>0</v>
      </c>
      <c r="CT295">
        <f ca="1" xml:space="preserve"> IF( AND( OFFSET($A$1, 295 - 1, 96 - 1) = "1", OFFSET($A$1, 295 - 1, 97 - 1) = "1" ), 1, IF( AND( OFFSET($A$1, 295 - 1, 96 - 1) = "1", OFFSET($A$1, 295 - 1, 97 - 1) = "0" ), 2, IF( AND( OFFSET($A$1, 295 - 1, 96 - 1) = "0", OFFSET($A$1, 295 - 1, 97 - 1) = "1" ), 3, 4 ) ) )</f>
        <v>4</v>
      </c>
      <c r="CV295" s="24">
        <v>0.87199091230100412</v>
      </c>
      <c r="CW295" s="24" t="str">
        <f>"0"</f>
        <v>0</v>
      </c>
      <c r="CX295" t="str">
        <f ca="1">IF((OFFSET($A$1, 295 - 1, 100 - 1)) &gt;= (OFFSET($A$1, 78 - 1, 7 - 1)), "1","0")</f>
        <v>1</v>
      </c>
      <c r="CY295">
        <f ca="1" xml:space="preserve"> IF( AND( OFFSET($A$1, 295 - 1, 101 - 1) = "1", OFFSET($A$1, 295 - 1, 102 - 1) = "1" ), 1, IF( AND( OFFSET($A$1, 295 - 1, 101 - 1) = "1", OFFSET($A$1, 295 - 1, 102 - 1) = "0" ), 2, IF( AND( OFFSET($A$1, 295 - 1, 101 - 1) = "0", OFFSET($A$1, 295 - 1, 102 - 1) = "1" ), 3, 4 ) ) )</f>
        <v>3</v>
      </c>
    </row>
    <row r="296" spans="95:103" ht="13.8" x14ac:dyDescent="0.3">
      <c r="CQ296" s="24">
        <v>0.98498410487561028</v>
      </c>
      <c r="CR296" s="24" t="str">
        <f>"1"</f>
        <v>1</v>
      </c>
      <c r="CS296" t="str">
        <f ca="1">IF((OFFSET($A$1, 296 - 1, 95 - 1)) &gt;= (OFFSET($A$1, 54 - 1, 7 - 1)), "1","0")</f>
        <v>1</v>
      </c>
      <c r="CT296">
        <f ca="1" xml:space="preserve"> IF( AND( OFFSET($A$1, 296 - 1, 96 - 1) = "1", OFFSET($A$1, 296 - 1, 97 - 1) = "1" ), 1, IF( AND( OFFSET($A$1, 296 - 1, 96 - 1) = "1", OFFSET($A$1, 296 - 1, 97 - 1) = "0" ), 2, IF( AND( OFFSET($A$1, 296 - 1, 96 - 1) = "0", OFFSET($A$1, 296 - 1, 97 - 1) = "1" ), 3, 4 ) ) )</f>
        <v>1</v>
      </c>
      <c r="CV296" s="24">
        <v>0.9999793392564128</v>
      </c>
      <c r="CW296" s="24" t="str">
        <f>"1"</f>
        <v>1</v>
      </c>
      <c r="CX296" t="str">
        <f ca="1">IF((OFFSET($A$1, 296 - 1, 100 - 1)) &gt;= (OFFSET($A$1, 78 - 1, 7 - 1)), "1","0")</f>
        <v>1</v>
      </c>
      <c r="CY296">
        <f ca="1" xml:space="preserve"> IF( AND( OFFSET($A$1, 296 - 1, 101 - 1) = "1", OFFSET($A$1, 296 - 1, 102 - 1) = "1" ), 1, IF( AND( OFFSET($A$1, 296 - 1, 101 - 1) = "1", OFFSET($A$1, 296 - 1, 102 - 1) = "0" ), 2, IF( AND( OFFSET($A$1, 296 - 1, 101 - 1) = "0", OFFSET($A$1, 296 - 1, 102 - 1) = "1" ), 3, 4 ) ) )</f>
        <v>1</v>
      </c>
    </row>
    <row r="297" spans="95:103" ht="13.8" x14ac:dyDescent="0.3">
      <c r="CQ297" s="24">
        <v>0.950072111706323</v>
      </c>
      <c r="CR297" s="24" t="str">
        <f>"1"</f>
        <v>1</v>
      </c>
      <c r="CS297" t="str">
        <f ca="1">IF((OFFSET($A$1, 297 - 1, 95 - 1)) &gt;= (OFFSET($A$1, 54 - 1, 7 - 1)), "1","0")</f>
        <v>1</v>
      </c>
      <c r="CT297">
        <f ca="1" xml:space="preserve"> IF( AND( OFFSET($A$1, 297 - 1, 96 - 1) = "1", OFFSET($A$1, 297 - 1, 97 - 1) = "1" ), 1, IF( AND( OFFSET($A$1, 297 - 1, 96 - 1) = "1", OFFSET($A$1, 297 - 1, 97 - 1) = "0" ), 2, IF( AND( OFFSET($A$1, 297 - 1, 96 - 1) = "0", OFFSET($A$1, 297 - 1, 97 - 1) = "1" ), 3, 4 ) ) )</f>
        <v>1</v>
      </c>
      <c r="CV297" s="24">
        <v>0.12831190712987803</v>
      </c>
      <c r="CW297" s="24" t="str">
        <f>"0"</f>
        <v>0</v>
      </c>
      <c r="CX297" t="str">
        <f ca="1">IF((OFFSET($A$1, 297 - 1, 100 - 1)) &gt;= (OFFSET($A$1, 78 - 1, 7 - 1)), "1","0")</f>
        <v>0</v>
      </c>
      <c r="CY297">
        <f ca="1" xml:space="preserve"> IF( AND( OFFSET($A$1, 297 - 1, 101 - 1) = "1", OFFSET($A$1, 297 - 1, 102 - 1) = "1" ), 1, IF( AND( OFFSET($A$1, 297 - 1, 101 - 1) = "1", OFFSET($A$1, 297 - 1, 102 - 1) = "0" ), 2, IF( AND( OFFSET($A$1, 297 - 1, 101 - 1) = "0", OFFSET($A$1, 297 - 1, 102 - 1) = "1" ), 3, 4 ) ) )</f>
        <v>4</v>
      </c>
    </row>
    <row r="298" spans="95:103" ht="13.8" x14ac:dyDescent="0.3">
      <c r="CQ298" s="24">
        <v>0.99756310347543975</v>
      </c>
      <c r="CR298" s="24" t="str">
        <f>"1"</f>
        <v>1</v>
      </c>
      <c r="CS298" t="str">
        <f ca="1">IF((OFFSET($A$1, 298 - 1, 95 - 1)) &gt;= (OFFSET($A$1, 54 - 1, 7 - 1)), "1","0")</f>
        <v>1</v>
      </c>
      <c r="CT298">
        <f ca="1" xml:space="preserve"> IF( AND( OFFSET($A$1, 298 - 1, 96 - 1) = "1", OFFSET($A$1, 298 - 1, 97 - 1) = "1" ), 1, IF( AND( OFFSET($A$1, 298 - 1, 96 - 1) = "1", OFFSET($A$1, 298 - 1, 97 - 1) = "0" ), 2, IF( AND( OFFSET($A$1, 298 - 1, 96 - 1) = "0", OFFSET($A$1, 298 - 1, 97 - 1) = "1" ), 3, 4 ) ) )</f>
        <v>1</v>
      </c>
      <c r="CV298" s="24">
        <v>0.19198709557518584</v>
      </c>
      <c r="CW298" s="24" t="str">
        <f>"0"</f>
        <v>0</v>
      </c>
      <c r="CX298" t="str">
        <f ca="1">IF((OFFSET($A$1, 298 - 1, 100 - 1)) &gt;= (OFFSET($A$1, 78 - 1, 7 - 1)), "1","0")</f>
        <v>0</v>
      </c>
      <c r="CY298">
        <f ca="1" xml:space="preserve"> IF( AND( OFFSET($A$1, 298 - 1, 101 - 1) = "1", OFFSET($A$1, 298 - 1, 102 - 1) = "1" ), 1, IF( AND( OFFSET($A$1, 298 - 1, 101 - 1) = "1", OFFSET($A$1, 298 - 1, 102 - 1) = "0" ), 2, IF( AND( OFFSET($A$1, 298 - 1, 101 - 1) = "0", OFFSET($A$1, 298 - 1, 102 - 1) = "1" ), 3, 4 ) ) )</f>
        <v>4</v>
      </c>
    </row>
    <row r="299" spans="95:103" ht="13.8" x14ac:dyDescent="0.3">
      <c r="CQ299" s="24">
        <v>0.9269536977908811</v>
      </c>
      <c r="CR299" s="24" t="str">
        <f>"1"</f>
        <v>1</v>
      </c>
      <c r="CS299" t="str">
        <f ca="1">IF((OFFSET($A$1, 299 - 1, 95 - 1)) &gt;= (OFFSET($A$1, 54 - 1, 7 - 1)), "1","0")</f>
        <v>1</v>
      </c>
      <c r="CT299">
        <f ca="1" xml:space="preserve"> IF( AND( OFFSET($A$1, 299 - 1, 96 - 1) = "1", OFFSET($A$1, 299 - 1, 97 - 1) = "1" ), 1, IF( AND( OFFSET($A$1, 299 - 1, 96 - 1) = "1", OFFSET($A$1, 299 - 1, 97 - 1) = "0" ), 2, IF( AND( OFFSET($A$1, 299 - 1, 96 - 1) = "0", OFFSET($A$1, 299 - 1, 97 - 1) = "1" ), 3, 4 ) ) )</f>
        <v>1</v>
      </c>
      <c r="CV299" s="24">
        <v>0.11175235005738786</v>
      </c>
      <c r="CW299" s="24" t="str">
        <f>"0"</f>
        <v>0</v>
      </c>
      <c r="CX299" t="str">
        <f ca="1">IF((OFFSET($A$1, 299 - 1, 100 - 1)) &gt;= (OFFSET($A$1, 78 - 1, 7 - 1)), "1","0")</f>
        <v>0</v>
      </c>
      <c r="CY299">
        <f ca="1" xml:space="preserve"> IF( AND( OFFSET($A$1, 299 - 1, 101 - 1) = "1", OFFSET($A$1, 299 - 1, 102 - 1) = "1" ), 1, IF( AND( OFFSET($A$1, 299 - 1, 101 - 1) = "1", OFFSET($A$1, 299 - 1, 102 - 1) = "0" ), 2, IF( AND( OFFSET($A$1, 299 - 1, 101 - 1) = "0", OFFSET($A$1, 299 - 1, 102 - 1) = "1" ), 3, 4 ) ) )</f>
        <v>4</v>
      </c>
    </row>
    <row r="300" spans="95:103" ht="13.8" x14ac:dyDescent="0.3">
      <c r="CQ300" s="24">
        <v>0.99933060356518788</v>
      </c>
      <c r="CR300" s="24" t="str">
        <f>"1"</f>
        <v>1</v>
      </c>
      <c r="CS300" t="str">
        <f ca="1">IF((OFFSET($A$1, 300 - 1, 95 - 1)) &gt;= (OFFSET($A$1, 54 - 1, 7 - 1)), "1","0")</f>
        <v>1</v>
      </c>
      <c r="CT300">
        <f ca="1" xml:space="preserve"> IF( AND( OFFSET($A$1, 300 - 1, 96 - 1) = "1", OFFSET($A$1, 300 - 1, 97 - 1) = "1" ), 1, IF( AND( OFFSET($A$1, 300 - 1, 96 - 1) = "1", OFFSET($A$1, 300 - 1, 97 - 1) = "0" ), 2, IF( AND( OFFSET($A$1, 300 - 1, 96 - 1) = "0", OFFSET($A$1, 300 - 1, 97 - 1) = "1" ), 3, 4 ) ) )</f>
        <v>1</v>
      </c>
      <c r="CV300" s="24">
        <v>0.7309677651084604</v>
      </c>
      <c r="CW300" s="24" t="str">
        <f>"1"</f>
        <v>1</v>
      </c>
      <c r="CX300" t="str">
        <f ca="1">IF((OFFSET($A$1, 300 - 1, 100 - 1)) &gt;= (OFFSET($A$1, 78 - 1, 7 - 1)), "1","0")</f>
        <v>1</v>
      </c>
      <c r="CY300">
        <f ca="1" xml:space="preserve"> IF( AND( OFFSET($A$1, 300 - 1, 101 - 1) = "1", OFFSET($A$1, 300 - 1, 102 - 1) = "1" ), 1, IF( AND( OFFSET($A$1, 300 - 1, 101 - 1) = "1", OFFSET($A$1, 300 - 1, 102 - 1) = "0" ), 2, IF( AND( OFFSET($A$1, 300 - 1, 101 - 1) = "0", OFFSET($A$1, 300 - 1, 102 - 1) = "1" ), 3, 4 ) ) )</f>
        <v>1</v>
      </c>
    </row>
    <row r="301" spans="95:103" ht="13.8" x14ac:dyDescent="0.3">
      <c r="CQ301" s="24">
        <v>2.6461433392552607E-3</v>
      </c>
      <c r="CR301" s="24" t="str">
        <f>"0"</f>
        <v>0</v>
      </c>
      <c r="CS301" t="str">
        <f ca="1">IF((OFFSET($A$1, 301 - 1, 95 - 1)) &gt;= (OFFSET($A$1, 54 - 1, 7 - 1)), "1","0")</f>
        <v>0</v>
      </c>
      <c r="CT301">
        <f ca="1" xml:space="preserve"> IF( AND( OFFSET($A$1, 301 - 1, 96 - 1) = "1", OFFSET($A$1, 301 - 1, 97 - 1) = "1" ), 1, IF( AND( OFFSET($A$1, 301 - 1, 96 - 1) = "1", OFFSET($A$1, 301 - 1, 97 - 1) = "0" ), 2, IF( AND( OFFSET($A$1, 301 - 1, 96 - 1) = "0", OFFSET($A$1, 301 - 1, 97 - 1) = "1" ), 3, 4 ) ) )</f>
        <v>4</v>
      </c>
      <c r="CV301" s="24">
        <v>9.5953285353921045E-2</v>
      </c>
      <c r="CW301" s="24" t="str">
        <f>"0"</f>
        <v>0</v>
      </c>
      <c r="CX301" t="str">
        <f ca="1">IF((OFFSET($A$1, 301 - 1, 100 - 1)) &gt;= (OFFSET($A$1, 78 - 1, 7 - 1)), "1","0")</f>
        <v>0</v>
      </c>
      <c r="CY301">
        <f ca="1" xml:space="preserve"> IF( AND( OFFSET($A$1, 301 - 1, 101 - 1) = "1", OFFSET($A$1, 301 - 1, 102 - 1) = "1" ), 1, IF( AND( OFFSET($A$1, 301 - 1, 101 - 1) = "1", OFFSET($A$1, 301 - 1, 102 - 1) = "0" ), 2, IF( AND( OFFSET($A$1, 301 - 1, 101 - 1) = "0", OFFSET($A$1, 301 - 1, 102 - 1) = "1" ), 3, 4 ) ) )</f>
        <v>4</v>
      </c>
    </row>
    <row r="302" spans="95:103" ht="13.8" x14ac:dyDescent="0.3">
      <c r="CQ302" s="24">
        <v>0.99598679112115462</v>
      </c>
      <c r="CR302" s="24" t="str">
        <f>"1"</f>
        <v>1</v>
      </c>
      <c r="CS302" t="str">
        <f ca="1">IF((OFFSET($A$1, 302 - 1, 95 - 1)) &gt;= (OFFSET($A$1, 54 - 1, 7 - 1)), "1","0")</f>
        <v>1</v>
      </c>
      <c r="CT302">
        <f ca="1" xml:space="preserve"> IF( AND( OFFSET($A$1, 302 - 1, 96 - 1) = "1", OFFSET($A$1, 302 - 1, 97 - 1) = "1" ), 1, IF( AND( OFFSET($A$1, 302 - 1, 96 - 1) = "1", OFFSET($A$1, 302 - 1, 97 - 1) = "0" ), 2, IF( AND( OFFSET($A$1, 302 - 1, 96 - 1) = "0", OFFSET($A$1, 302 - 1, 97 - 1) = "1" ), 3, 4 ) ) )</f>
        <v>1</v>
      </c>
      <c r="CV302" s="24">
        <v>0.97848382096316511</v>
      </c>
      <c r="CW302" s="24" t="str">
        <f>"0"</f>
        <v>0</v>
      </c>
      <c r="CX302" t="str">
        <f ca="1">IF((OFFSET($A$1, 302 - 1, 100 - 1)) &gt;= (OFFSET($A$1, 78 - 1, 7 - 1)), "1","0")</f>
        <v>1</v>
      </c>
      <c r="CY302">
        <f ca="1" xml:space="preserve"> IF( AND( OFFSET($A$1, 302 - 1, 101 - 1) = "1", OFFSET($A$1, 302 - 1, 102 - 1) = "1" ), 1, IF( AND( OFFSET($A$1, 302 - 1, 101 - 1) = "1", OFFSET($A$1, 302 - 1, 102 - 1) = "0" ), 2, IF( AND( OFFSET($A$1, 302 - 1, 101 - 1) = "0", OFFSET($A$1, 302 - 1, 102 - 1) = "1" ), 3, 4 ) ) )</f>
        <v>3</v>
      </c>
    </row>
    <row r="303" spans="95:103" ht="13.8" x14ac:dyDescent="0.3">
      <c r="CQ303" s="24">
        <v>6.9125979438458565E-2</v>
      </c>
      <c r="CR303" s="24" t="str">
        <f>"0"</f>
        <v>0</v>
      </c>
      <c r="CS303" t="str">
        <f ca="1">IF((OFFSET($A$1, 303 - 1, 95 - 1)) &gt;= (OFFSET($A$1, 54 - 1, 7 - 1)), "1","0")</f>
        <v>0</v>
      </c>
      <c r="CT303">
        <f ca="1" xml:space="preserve"> IF( AND( OFFSET($A$1, 303 - 1, 96 - 1) = "1", OFFSET($A$1, 303 - 1, 97 - 1) = "1" ), 1, IF( AND( OFFSET($A$1, 303 - 1, 96 - 1) = "1", OFFSET($A$1, 303 - 1, 97 - 1) = "0" ), 2, IF( AND( OFFSET($A$1, 303 - 1, 96 - 1) = "0", OFFSET($A$1, 303 - 1, 97 - 1) = "1" ), 3, 4 ) ) )</f>
        <v>4</v>
      </c>
      <c r="CV303" s="24">
        <v>0.9914531166420254</v>
      </c>
      <c r="CW303" s="24" t="str">
        <f>"0"</f>
        <v>0</v>
      </c>
      <c r="CX303" t="str">
        <f ca="1">IF((OFFSET($A$1, 303 - 1, 100 - 1)) &gt;= (OFFSET($A$1, 78 - 1, 7 - 1)), "1","0")</f>
        <v>1</v>
      </c>
      <c r="CY303">
        <f ca="1" xml:space="preserve"> IF( AND( OFFSET($A$1, 303 - 1, 101 - 1) = "1", OFFSET($A$1, 303 - 1, 102 - 1) = "1" ), 1, IF( AND( OFFSET($A$1, 303 - 1, 101 - 1) = "1", OFFSET($A$1, 303 - 1, 102 - 1) = "0" ), 2, IF( AND( OFFSET($A$1, 303 - 1, 101 - 1) = "0", OFFSET($A$1, 303 - 1, 102 - 1) = "1" ), 3, 4 ) ) )</f>
        <v>3</v>
      </c>
    </row>
    <row r="304" spans="95:103" ht="13.8" x14ac:dyDescent="0.3">
      <c r="CQ304" s="24">
        <v>0.9958788715388539</v>
      </c>
      <c r="CR304" s="24" t="str">
        <f>"1"</f>
        <v>1</v>
      </c>
      <c r="CS304" t="str">
        <f ca="1">IF((OFFSET($A$1, 304 - 1, 95 - 1)) &gt;= (OFFSET($A$1, 54 - 1, 7 - 1)), "1","0")</f>
        <v>1</v>
      </c>
      <c r="CT304">
        <f ca="1" xml:space="preserve"> IF( AND( OFFSET($A$1, 304 - 1, 96 - 1) = "1", OFFSET($A$1, 304 - 1, 97 - 1) = "1" ), 1, IF( AND( OFFSET($A$1, 304 - 1, 96 - 1) = "1", OFFSET($A$1, 304 - 1, 97 - 1) = "0" ), 2, IF( AND( OFFSET($A$1, 304 - 1, 96 - 1) = "0", OFFSET($A$1, 304 - 1, 97 - 1) = "1" ), 3, 4 ) ) )</f>
        <v>1</v>
      </c>
      <c r="CV304" s="24">
        <v>0.82875272077275308</v>
      </c>
      <c r="CW304" s="24" t="str">
        <f>"1"</f>
        <v>1</v>
      </c>
      <c r="CX304" t="str">
        <f ca="1">IF((OFFSET($A$1, 304 - 1, 100 - 1)) &gt;= (OFFSET($A$1, 78 - 1, 7 - 1)), "1","0")</f>
        <v>1</v>
      </c>
      <c r="CY304">
        <f ca="1" xml:space="preserve"> IF( AND( OFFSET($A$1, 304 - 1, 101 - 1) = "1", OFFSET($A$1, 304 - 1, 102 - 1) = "1" ), 1, IF( AND( OFFSET($A$1, 304 - 1, 101 - 1) = "1", OFFSET($A$1, 304 - 1, 102 - 1) = "0" ), 2, IF( AND( OFFSET($A$1, 304 - 1, 101 - 1) = "0", OFFSET($A$1, 304 - 1, 102 - 1) = "1" ), 3, 4 ) ) )</f>
        <v>1</v>
      </c>
    </row>
    <row r="305" spans="95:103" ht="13.8" x14ac:dyDescent="0.3">
      <c r="CQ305" s="24">
        <v>0.13447227927817965</v>
      </c>
      <c r="CR305" s="24" t="str">
        <f>"0"</f>
        <v>0</v>
      </c>
      <c r="CS305" t="str">
        <f ca="1">IF((OFFSET($A$1, 305 - 1, 95 - 1)) &gt;= (OFFSET($A$1, 54 - 1, 7 - 1)), "1","0")</f>
        <v>0</v>
      </c>
      <c r="CT305">
        <f ca="1" xml:space="preserve"> IF( AND( OFFSET($A$1, 305 - 1, 96 - 1) = "1", OFFSET($A$1, 305 - 1, 97 - 1) = "1" ), 1, IF( AND( OFFSET($A$1, 305 - 1, 96 - 1) = "1", OFFSET($A$1, 305 - 1, 97 - 1) = "0" ), 2, IF( AND( OFFSET($A$1, 305 - 1, 96 - 1) = "0", OFFSET($A$1, 305 - 1, 97 - 1) = "1" ), 3, 4 ) ) )</f>
        <v>4</v>
      </c>
      <c r="CV305" s="24">
        <v>0.99663252801490221</v>
      </c>
      <c r="CW305" s="24" t="str">
        <f>"1"</f>
        <v>1</v>
      </c>
      <c r="CX305" t="str">
        <f ca="1">IF((OFFSET($A$1, 305 - 1, 100 - 1)) &gt;= (OFFSET($A$1, 78 - 1, 7 - 1)), "1","0")</f>
        <v>1</v>
      </c>
      <c r="CY305">
        <f ca="1" xml:space="preserve"> IF( AND( OFFSET($A$1, 305 - 1, 101 - 1) = "1", OFFSET($A$1, 305 - 1, 102 - 1) = "1" ), 1, IF( AND( OFFSET($A$1, 305 - 1, 101 - 1) = "1", OFFSET($A$1, 305 - 1, 102 - 1) = "0" ), 2, IF( AND( OFFSET($A$1, 305 - 1, 101 - 1) = "0", OFFSET($A$1, 305 - 1, 102 - 1) = "1" ), 3, 4 ) ) )</f>
        <v>1</v>
      </c>
    </row>
    <row r="306" spans="95:103" ht="13.8" x14ac:dyDescent="0.3">
      <c r="CQ306" s="24">
        <v>0.91584753943128872</v>
      </c>
      <c r="CR306" s="24" t="str">
        <f>"1"</f>
        <v>1</v>
      </c>
      <c r="CS306" t="str">
        <f ca="1">IF((OFFSET($A$1, 306 - 1, 95 - 1)) &gt;= (OFFSET($A$1, 54 - 1, 7 - 1)), "1","0")</f>
        <v>1</v>
      </c>
      <c r="CT306">
        <f ca="1" xml:space="preserve"> IF( AND( OFFSET($A$1, 306 - 1, 96 - 1) = "1", OFFSET($A$1, 306 - 1, 97 - 1) = "1" ), 1, IF( AND( OFFSET($A$1, 306 - 1, 96 - 1) = "1", OFFSET($A$1, 306 - 1, 97 - 1) = "0" ), 2, IF( AND( OFFSET($A$1, 306 - 1, 96 - 1) = "0", OFFSET($A$1, 306 - 1, 97 - 1) = "1" ), 3, 4 ) ) )</f>
        <v>1</v>
      </c>
      <c r="CV306" s="24">
        <v>0.70930812704270207</v>
      </c>
      <c r="CW306" s="24" t="str">
        <f>"1"</f>
        <v>1</v>
      </c>
      <c r="CX306" t="str">
        <f ca="1">IF((OFFSET($A$1, 306 - 1, 100 - 1)) &gt;= (OFFSET($A$1, 78 - 1, 7 - 1)), "1","0")</f>
        <v>1</v>
      </c>
      <c r="CY306">
        <f ca="1" xml:space="preserve"> IF( AND( OFFSET($A$1, 306 - 1, 101 - 1) = "1", OFFSET($A$1, 306 - 1, 102 - 1) = "1" ), 1, IF( AND( OFFSET($A$1, 306 - 1, 101 - 1) = "1", OFFSET($A$1, 306 - 1, 102 - 1) = "0" ), 2, IF( AND( OFFSET($A$1, 306 - 1, 101 - 1) = "0", OFFSET($A$1, 306 - 1, 102 - 1) = "1" ), 3, 4 ) ) )</f>
        <v>1</v>
      </c>
    </row>
    <row r="307" spans="95:103" ht="13.8" x14ac:dyDescent="0.3">
      <c r="CQ307" s="24">
        <v>0.99990129496840729</v>
      </c>
      <c r="CR307" s="24" t="str">
        <f>"1"</f>
        <v>1</v>
      </c>
      <c r="CS307" t="str">
        <f ca="1">IF((OFFSET($A$1, 307 - 1, 95 - 1)) &gt;= (OFFSET($A$1, 54 - 1, 7 - 1)), "1","0")</f>
        <v>1</v>
      </c>
      <c r="CT307">
        <f ca="1" xml:space="preserve"> IF( AND( OFFSET($A$1, 307 - 1, 96 - 1) = "1", OFFSET($A$1, 307 - 1, 97 - 1) = "1" ), 1, IF( AND( OFFSET($A$1, 307 - 1, 96 - 1) = "1", OFFSET($A$1, 307 - 1, 97 - 1) = "0" ), 2, IF( AND( OFFSET($A$1, 307 - 1, 96 - 1) = "0", OFFSET($A$1, 307 - 1, 97 - 1) = "1" ), 3, 4 ) ) )</f>
        <v>1</v>
      </c>
      <c r="CV307" s="24">
        <v>0.73271323123203147</v>
      </c>
      <c r="CW307" s="24" t="str">
        <f>"0"</f>
        <v>0</v>
      </c>
      <c r="CX307" t="str">
        <f ca="1">IF((OFFSET($A$1, 307 - 1, 100 - 1)) &gt;= (OFFSET($A$1, 78 - 1, 7 - 1)), "1","0")</f>
        <v>1</v>
      </c>
      <c r="CY307">
        <f ca="1" xml:space="preserve"> IF( AND( OFFSET($A$1, 307 - 1, 101 - 1) = "1", OFFSET($A$1, 307 - 1, 102 - 1) = "1" ), 1, IF( AND( OFFSET($A$1, 307 - 1, 101 - 1) = "1", OFFSET($A$1, 307 - 1, 102 - 1) = "0" ), 2, IF( AND( OFFSET($A$1, 307 - 1, 101 - 1) = "0", OFFSET($A$1, 307 - 1, 102 - 1) = "1" ), 3, 4 ) ) )</f>
        <v>3</v>
      </c>
    </row>
    <row r="308" spans="95:103" ht="13.8" x14ac:dyDescent="0.3">
      <c r="CQ308" s="24">
        <v>6.560246453406339E-2</v>
      </c>
      <c r="CR308" s="24" t="str">
        <f>"0"</f>
        <v>0</v>
      </c>
      <c r="CS308" t="str">
        <f ca="1">IF((OFFSET($A$1, 308 - 1, 95 - 1)) &gt;= (OFFSET($A$1, 54 - 1, 7 - 1)), "1","0")</f>
        <v>0</v>
      </c>
      <c r="CT308">
        <f ca="1" xml:space="preserve"> IF( AND( OFFSET($A$1, 308 - 1, 96 - 1) = "1", OFFSET($A$1, 308 - 1, 97 - 1) = "1" ), 1, IF( AND( OFFSET($A$1, 308 - 1, 96 - 1) = "1", OFFSET($A$1, 308 - 1, 97 - 1) = "0" ), 2, IF( AND( OFFSET($A$1, 308 - 1, 96 - 1) = "0", OFFSET($A$1, 308 - 1, 97 - 1) = "1" ), 3, 4 ) ) )</f>
        <v>4</v>
      </c>
      <c r="CV308" s="24">
        <v>0.21813133811049451</v>
      </c>
      <c r="CW308" s="24" t="str">
        <f>"1"</f>
        <v>1</v>
      </c>
      <c r="CX308" t="str">
        <f ca="1">IF((OFFSET($A$1, 308 - 1, 100 - 1)) &gt;= (OFFSET($A$1, 78 - 1, 7 - 1)), "1","0")</f>
        <v>0</v>
      </c>
      <c r="CY308">
        <f ca="1" xml:space="preserve"> IF( AND( OFFSET($A$1, 308 - 1, 101 - 1) = "1", OFFSET($A$1, 308 - 1, 102 - 1) = "1" ), 1, IF( AND( OFFSET($A$1, 308 - 1, 101 - 1) = "1", OFFSET($A$1, 308 - 1, 102 - 1) = "0" ), 2, IF( AND( OFFSET($A$1, 308 - 1, 101 - 1) = "0", OFFSET($A$1, 308 - 1, 102 - 1) = "1" ), 3, 4 ) ) )</f>
        <v>2</v>
      </c>
    </row>
    <row r="309" spans="95:103" ht="13.8" x14ac:dyDescent="0.3">
      <c r="CQ309" s="24">
        <v>1.3117770832017425E-4</v>
      </c>
      <c r="CR309" s="24" t="str">
        <f>"0"</f>
        <v>0</v>
      </c>
      <c r="CS309" t="str">
        <f ca="1">IF((OFFSET($A$1, 309 - 1, 95 - 1)) &gt;= (OFFSET($A$1, 54 - 1, 7 - 1)), "1","0")</f>
        <v>0</v>
      </c>
      <c r="CT309">
        <f ca="1" xml:space="preserve"> IF( AND( OFFSET($A$1, 309 - 1, 96 - 1) = "1", OFFSET($A$1, 309 - 1, 97 - 1) = "1" ), 1, IF( AND( OFFSET($A$1, 309 - 1, 96 - 1) = "1", OFFSET($A$1, 309 - 1, 97 - 1) = "0" ), 2, IF( AND( OFFSET($A$1, 309 - 1, 96 - 1) = "0", OFFSET($A$1, 309 - 1, 97 - 1) = "1" ), 3, 4 ) ) )</f>
        <v>4</v>
      </c>
      <c r="CV309" s="24">
        <v>7.7401278564034698E-2</v>
      </c>
      <c r="CW309" s="24" t="str">
        <f>"0"</f>
        <v>0</v>
      </c>
      <c r="CX309" t="str">
        <f ca="1">IF((OFFSET($A$1, 309 - 1, 100 - 1)) &gt;= (OFFSET($A$1, 78 - 1, 7 - 1)), "1","0")</f>
        <v>0</v>
      </c>
      <c r="CY309">
        <f ca="1" xml:space="preserve"> IF( AND( OFFSET($A$1, 309 - 1, 101 - 1) = "1", OFFSET($A$1, 309 - 1, 102 - 1) = "1" ), 1, IF( AND( OFFSET($A$1, 309 - 1, 101 - 1) = "1", OFFSET($A$1, 309 - 1, 102 - 1) = "0" ), 2, IF( AND( OFFSET($A$1, 309 - 1, 101 - 1) = "0", OFFSET($A$1, 309 - 1, 102 - 1) = "1" ), 3, 4 ) ) )</f>
        <v>4</v>
      </c>
    </row>
    <row r="310" spans="95:103" ht="13.8" x14ac:dyDescent="0.3">
      <c r="CQ310" s="24">
        <v>2.5321449717385959E-2</v>
      </c>
      <c r="CR310" s="24" t="str">
        <f>"0"</f>
        <v>0</v>
      </c>
      <c r="CS310" t="str">
        <f ca="1">IF((OFFSET($A$1, 310 - 1, 95 - 1)) &gt;= (OFFSET($A$1, 54 - 1, 7 - 1)), "1","0")</f>
        <v>0</v>
      </c>
      <c r="CT310">
        <f ca="1" xml:space="preserve"> IF( AND( OFFSET($A$1, 310 - 1, 96 - 1) = "1", OFFSET($A$1, 310 - 1, 97 - 1) = "1" ), 1, IF( AND( OFFSET($A$1, 310 - 1, 96 - 1) = "1", OFFSET($A$1, 310 - 1, 97 - 1) = "0" ), 2, IF( AND( OFFSET($A$1, 310 - 1, 96 - 1) = "0", OFFSET($A$1, 310 - 1, 97 - 1) = "1" ), 3, 4 ) ) )</f>
        <v>4</v>
      </c>
      <c r="CV310" s="24">
        <v>0.22814747239479535</v>
      </c>
      <c r="CW310" s="24" t="str">
        <f>"0"</f>
        <v>0</v>
      </c>
      <c r="CX310" t="str">
        <f ca="1">IF((OFFSET($A$1, 310 - 1, 100 - 1)) &gt;= (OFFSET($A$1, 78 - 1, 7 - 1)), "1","0")</f>
        <v>0</v>
      </c>
      <c r="CY310">
        <f ca="1" xml:space="preserve"> IF( AND( OFFSET($A$1, 310 - 1, 101 - 1) = "1", OFFSET($A$1, 310 - 1, 102 - 1) = "1" ), 1, IF( AND( OFFSET($A$1, 310 - 1, 101 - 1) = "1", OFFSET($A$1, 310 - 1, 102 - 1) = "0" ), 2, IF( AND( OFFSET($A$1, 310 - 1, 101 - 1) = "0", OFFSET($A$1, 310 - 1, 102 - 1) = "1" ), 3, 4 ) ) )</f>
        <v>4</v>
      </c>
    </row>
    <row r="311" spans="95:103" ht="13.8" x14ac:dyDescent="0.3">
      <c r="CQ311" s="24">
        <v>0.97433421550112642</v>
      </c>
      <c r="CR311" s="24" t="str">
        <f>"1"</f>
        <v>1</v>
      </c>
      <c r="CS311" t="str">
        <f ca="1">IF((OFFSET($A$1, 311 - 1, 95 - 1)) &gt;= (OFFSET($A$1, 54 - 1, 7 - 1)), "1","0")</f>
        <v>1</v>
      </c>
      <c r="CT311">
        <f ca="1" xml:space="preserve"> IF( AND( OFFSET($A$1, 311 - 1, 96 - 1) = "1", OFFSET($A$1, 311 - 1, 97 - 1) = "1" ), 1, IF( AND( OFFSET($A$1, 311 - 1, 96 - 1) = "1", OFFSET($A$1, 311 - 1, 97 - 1) = "0" ), 2, IF( AND( OFFSET($A$1, 311 - 1, 96 - 1) = "0", OFFSET($A$1, 311 - 1, 97 - 1) = "1" ), 3, 4 ) ) )</f>
        <v>1</v>
      </c>
      <c r="CV311" s="24">
        <v>0.97502569636126413</v>
      </c>
      <c r="CW311" s="24" t="str">
        <f t="shared" ref="CW311:CW318" si="25">"1"</f>
        <v>1</v>
      </c>
      <c r="CX311" t="str">
        <f ca="1">IF((OFFSET($A$1, 311 - 1, 100 - 1)) &gt;= (OFFSET($A$1, 78 - 1, 7 - 1)), "1","0")</f>
        <v>1</v>
      </c>
      <c r="CY311">
        <f ca="1" xml:space="preserve"> IF( AND( OFFSET($A$1, 311 - 1, 101 - 1) = "1", OFFSET($A$1, 311 - 1, 102 - 1) = "1" ), 1, IF( AND( OFFSET($A$1, 311 - 1, 101 - 1) = "1", OFFSET($A$1, 311 - 1, 102 - 1) = "0" ), 2, IF( AND( OFFSET($A$1, 311 - 1, 101 - 1) = "0", OFFSET($A$1, 311 - 1, 102 - 1) = "1" ), 3, 4 ) ) )</f>
        <v>1</v>
      </c>
    </row>
    <row r="312" spans="95:103" ht="13.8" x14ac:dyDescent="0.3">
      <c r="CQ312" s="24">
        <v>0.99624538663338258</v>
      </c>
      <c r="CR312" s="24" t="str">
        <f>"1"</f>
        <v>1</v>
      </c>
      <c r="CS312" t="str">
        <f ca="1">IF((OFFSET($A$1, 312 - 1, 95 - 1)) &gt;= (OFFSET($A$1, 54 - 1, 7 - 1)), "1","0")</f>
        <v>1</v>
      </c>
      <c r="CT312">
        <f ca="1" xml:space="preserve"> IF( AND( OFFSET($A$1, 312 - 1, 96 - 1) = "1", OFFSET($A$1, 312 - 1, 97 - 1) = "1" ), 1, IF( AND( OFFSET($A$1, 312 - 1, 96 - 1) = "1", OFFSET($A$1, 312 - 1, 97 - 1) = "0" ), 2, IF( AND( OFFSET($A$1, 312 - 1, 96 - 1) = "0", OFFSET($A$1, 312 - 1, 97 - 1) = "1" ), 3, 4 ) ) )</f>
        <v>1</v>
      </c>
      <c r="CV312" s="24">
        <v>0.97484142537448482</v>
      </c>
      <c r="CW312" s="24" t="str">
        <f t="shared" si="25"/>
        <v>1</v>
      </c>
      <c r="CX312" t="str">
        <f ca="1">IF((OFFSET($A$1, 312 - 1, 100 - 1)) &gt;= (OFFSET($A$1, 78 - 1, 7 - 1)), "1","0")</f>
        <v>1</v>
      </c>
      <c r="CY312">
        <f ca="1" xml:space="preserve"> IF( AND( OFFSET($A$1, 312 - 1, 101 - 1) = "1", OFFSET($A$1, 312 - 1, 102 - 1) = "1" ), 1, IF( AND( OFFSET($A$1, 312 - 1, 101 - 1) = "1", OFFSET($A$1, 312 - 1, 102 - 1) = "0" ), 2, IF( AND( OFFSET($A$1, 312 - 1, 101 - 1) = "0", OFFSET($A$1, 312 - 1, 102 - 1) = "1" ), 3, 4 ) ) )</f>
        <v>1</v>
      </c>
    </row>
    <row r="313" spans="95:103" ht="13.8" x14ac:dyDescent="0.3">
      <c r="CQ313" s="24">
        <v>0.99991312521632048</v>
      </c>
      <c r="CR313" s="24" t="str">
        <f>"1"</f>
        <v>1</v>
      </c>
      <c r="CS313" t="str">
        <f ca="1">IF((OFFSET($A$1, 313 - 1, 95 - 1)) &gt;= (OFFSET($A$1, 54 - 1, 7 - 1)), "1","0")</f>
        <v>1</v>
      </c>
      <c r="CT313">
        <f ca="1" xml:space="preserve"> IF( AND( OFFSET($A$1, 313 - 1, 96 - 1) = "1", OFFSET($A$1, 313 - 1, 97 - 1) = "1" ), 1, IF( AND( OFFSET($A$1, 313 - 1, 96 - 1) = "1", OFFSET($A$1, 313 - 1, 97 - 1) = "0" ), 2, IF( AND( OFFSET($A$1, 313 - 1, 96 - 1) = "0", OFFSET($A$1, 313 - 1, 97 - 1) = "1" ), 3, 4 ) ) )</f>
        <v>1</v>
      </c>
      <c r="CV313" s="24">
        <v>0.99898275630070332</v>
      </c>
      <c r="CW313" s="24" t="str">
        <f t="shared" si="25"/>
        <v>1</v>
      </c>
      <c r="CX313" t="str">
        <f ca="1">IF((OFFSET($A$1, 313 - 1, 100 - 1)) &gt;= (OFFSET($A$1, 78 - 1, 7 - 1)), "1","0")</f>
        <v>1</v>
      </c>
      <c r="CY313">
        <f ca="1" xml:space="preserve"> IF( AND( OFFSET($A$1, 313 - 1, 101 - 1) = "1", OFFSET($A$1, 313 - 1, 102 - 1) = "1" ), 1, IF( AND( OFFSET($A$1, 313 - 1, 101 - 1) = "1", OFFSET($A$1, 313 - 1, 102 - 1) = "0" ), 2, IF( AND( OFFSET($A$1, 313 - 1, 101 - 1) = "0", OFFSET($A$1, 313 - 1, 102 - 1) = "1" ), 3, 4 ) ) )</f>
        <v>1</v>
      </c>
    </row>
    <row r="314" spans="95:103" ht="13.8" x14ac:dyDescent="0.3">
      <c r="CQ314" s="24">
        <v>0.99411364364520749</v>
      </c>
      <c r="CR314" s="24" t="str">
        <f>"1"</f>
        <v>1</v>
      </c>
      <c r="CS314" t="str">
        <f ca="1">IF((OFFSET($A$1, 314 - 1, 95 - 1)) &gt;= (OFFSET($A$1, 54 - 1, 7 - 1)), "1","0")</f>
        <v>1</v>
      </c>
      <c r="CT314">
        <f ca="1" xml:space="preserve"> IF( AND( OFFSET($A$1, 314 - 1, 96 - 1) = "1", OFFSET($A$1, 314 - 1, 97 - 1) = "1" ), 1, IF( AND( OFFSET($A$1, 314 - 1, 96 - 1) = "1", OFFSET($A$1, 314 - 1, 97 - 1) = "0" ), 2, IF( AND( OFFSET($A$1, 314 - 1, 96 - 1) = "0", OFFSET($A$1, 314 - 1, 97 - 1) = "1" ), 3, 4 ) ) )</f>
        <v>1</v>
      </c>
      <c r="CV314" s="24">
        <v>0.32642755910537202</v>
      </c>
      <c r="CW314" s="24" t="str">
        <f t="shared" si="25"/>
        <v>1</v>
      </c>
      <c r="CX314" t="str">
        <f ca="1">IF((OFFSET($A$1, 314 - 1, 100 - 1)) &gt;= (OFFSET($A$1, 78 - 1, 7 - 1)), "1","0")</f>
        <v>0</v>
      </c>
      <c r="CY314">
        <f ca="1" xml:space="preserve"> IF( AND( OFFSET($A$1, 314 - 1, 101 - 1) = "1", OFFSET($A$1, 314 - 1, 102 - 1) = "1" ), 1, IF( AND( OFFSET($A$1, 314 - 1, 101 - 1) = "1", OFFSET($A$1, 314 - 1, 102 - 1) = "0" ), 2, IF( AND( OFFSET($A$1, 314 - 1, 101 - 1) = "0", OFFSET($A$1, 314 - 1, 102 - 1) = "1" ), 3, 4 ) ) )</f>
        <v>2</v>
      </c>
    </row>
    <row r="315" spans="95:103" ht="13.8" x14ac:dyDescent="0.3">
      <c r="CQ315" s="24">
        <v>0.98907316438040749</v>
      </c>
      <c r="CR315" s="24" t="str">
        <f>"1"</f>
        <v>1</v>
      </c>
      <c r="CS315" t="str">
        <f ca="1">IF((OFFSET($A$1, 315 - 1, 95 - 1)) &gt;= (OFFSET($A$1, 54 - 1, 7 - 1)), "1","0")</f>
        <v>1</v>
      </c>
      <c r="CT315">
        <f ca="1" xml:space="preserve"> IF( AND( OFFSET($A$1, 315 - 1, 96 - 1) = "1", OFFSET($A$1, 315 - 1, 97 - 1) = "1" ), 1, IF( AND( OFFSET($A$1, 315 - 1, 96 - 1) = "1", OFFSET($A$1, 315 - 1, 97 - 1) = "0" ), 2, IF( AND( OFFSET($A$1, 315 - 1, 96 - 1) = "0", OFFSET($A$1, 315 - 1, 97 - 1) = "1" ), 3, 4 ) ) )</f>
        <v>1</v>
      </c>
      <c r="CV315" s="24">
        <v>0.83109374830875116</v>
      </c>
      <c r="CW315" s="24" t="str">
        <f t="shared" si="25"/>
        <v>1</v>
      </c>
      <c r="CX315" t="str">
        <f ca="1">IF((OFFSET($A$1, 315 - 1, 100 - 1)) &gt;= (OFFSET($A$1, 78 - 1, 7 - 1)), "1","0")</f>
        <v>1</v>
      </c>
      <c r="CY315">
        <f ca="1" xml:space="preserve"> IF( AND( OFFSET($A$1, 315 - 1, 101 - 1) = "1", OFFSET($A$1, 315 - 1, 102 - 1) = "1" ), 1, IF( AND( OFFSET($A$1, 315 - 1, 101 - 1) = "1", OFFSET($A$1, 315 - 1, 102 - 1) = "0" ), 2, IF( AND( OFFSET($A$1, 315 - 1, 101 - 1) = "0", OFFSET($A$1, 315 - 1, 102 - 1) = "1" ), 3, 4 ) ) )</f>
        <v>1</v>
      </c>
    </row>
    <row r="316" spans="95:103" ht="13.8" x14ac:dyDescent="0.3">
      <c r="CQ316" s="24">
        <v>2.6645592697250659E-2</v>
      </c>
      <c r="CR316" s="24" t="str">
        <f>"0"</f>
        <v>0</v>
      </c>
      <c r="CS316" t="str">
        <f ca="1">IF((OFFSET($A$1, 316 - 1, 95 - 1)) &gt;= (OFFSET($A$1, 54 - 1, 7 - 1)), "1","0")</f>
        <v>0</v>
      </c>
      <c r="CT316">
        <f ca="1" xml:space="preserve"> IF( AND( OFFSET($A$1, 316 - 1, 96 - 1) = "1", OFFSET($A$1, 316 - 1, 97 - 1) = "1" ), 1, IF( AND( OFFSET($A$1, 316 - 1, 96 - 1) = "1", OFFSET($A$1, 316 - 1, 97 - 1) = "0" ), 2, IF( AND( OFFSET($A$1, 316 - 1, 96 - 1) = "0", OFFSET($A$1, 316 - 1, 97 - 1) = "1" ), 3, 4 ) ) )</f>
        <v>4</v>
      </c>
      <c r="CV316" s="24">
        <v>0.99968923602812998</v>
      </c>
      <c r="CW316" s="24" t="str">
        <f t="shared" si="25"/>
        <v>1</v>
      </c>
      <c r="CX316" t="str">
        <f ca="1">IF((OFFSET($A$1, 316 - 1, 100 - 1)) &gt;= (OFFSET($A$1, 78 - 1, 7 - 1)), "1","0")</f>
        <v>1</v>
      </c>
      <c r="CY316">
        <f ca="1" xml:space="preserve"> IF( AND( OFFSET($A$1, 316 - 1, 101 - 1) = "1", OFFSET($A$1, 316 - 1, 102 - 1) = "1" ), 1, IF( AND( OFFSET($A$1, 316 - 1, 101 - 1) = "1", OFFSET($A$1, 316 - 1, 102 - 1) = "0" ), 2, IF( AND( OFFSET($A$1, 316 - 1, 101 - 1) = "0", OFFSET($A$1, 316 - 1, 102 - 1) = "1" ), 3, 4 ) ) )</f>
        <v>1</v>
      </c>
    </row>
    <row r="317" spans="95:103" ht="13.8" x14ac:dyDescent="0.3">
      <c r="CQ317" s="24">
        <v>0.96289529081752001</v>
      </c>
      <c r="CR317" s="24" t="str">
        <f>"1"</f>
        <v>1</v>
      </c>
      <c r="CS317" t="str">
        <f ca="1">IF((OFFSET($A$1, 317 - 1, 95 - 1)) &gt;= (OFFSET($A$1, 54 - 1, 7 - 1)), "1","0")</f>
        <v>1</v>
      </c>
      <c r="CT317">
        <f ca="1" xml:space="preserve"> IF( AND( OFFSET($A$1, 317 - 1, 96 - 1) = "1", OFFSET($A$1, 317 - 1, 97 - 1) = "1" ), 1, IF( AND( OFFSET($A$1, 317 - 1, 96 - 1) = "1", OFFSET($A$1, 317 - 1, 97 - 1) = "0" ), 2, IF( AND( OFFSET($A$1, 317 - 1, 96 - 1) = "0", OFFSET($A$1, 317 - 1, 97 - 1) = "1" ), 3, 4 ) ) )</f>
        <v>1</v>
      </c>
      <c r="CV317" s="24">
        <v>0.9982734756869075</v>
      </c>
      <c r="CW317" s="24" t="str">
        <f t="shared" si="25"/>
        <v>1</v>
      </c>
      <c r="CX317" t="str">
        <f ca="1">IF((OFFSET($A$1, 317 - 1, 100 - 1)) &gt;= (OFFSET($A$1, 78 - 1, 7 - 1)), "1","0")</f>
        <v>1</v>
      </c>
      <c r="CY317">
        <f ca="1" xml:space="preserve"> IF( AND( OFFSET($A$1, 317 - 1, 101 - 1) = "1", OFFSET($A$1, 317 - 1, 102 - 1) = "1" ), 1, IF( AND( OFFSET($A$1, 317 - 1, 101 - 1) = "1", OFFSET($A$1, 317 - 1, 102 - 1) = "0" ), 2, IF( AND( OFFSET($A$1, 317 - 1, 101 - 1) = "0", OFFSET($A$1, 317 - 1, 102 - 1) = "1" ), 3, 4 ) ) )</f>
        <v>1</v>
      </c>
    </row>
    <row r="318" spans="95:103" ht="13.8" x14ac:dyDescent="0.3">
      <c r="CQ318" s="24">
        <v>0.99852742169667863</v>
      </c>
      <c r="CR318" s="24" t="str">
        <f>"1"</f>
        <v>1</v>
      </c>
      <c r="CS318" t="str">
        <f ca="1">IF((OFFSET($A$1, 318 - 1, 95 - 1)) &gt;= (OFFSET($A$1, 54 - 1, 7 - 1)), "1","0")</f>
        <v>1</v>
      </c>
      <c r="CT318">
        <f ca="1" xml:space="preserve"> IF( AND( OFFSET($A$1, 318 - 1, 96 - 1) = "1", OFFSET($A$1, 318 - 1, 97 - 1) = "1" ), 1, IF( AND( OFFSET($A$1, 318 - 1, 96 - 1) = "1", OFFSET($A$1, 318 - 1, 97 - 1) = "0" ), 2, IF( AND( OFFSET($A$1, 318 - 1, 96 - 1) = "0", OFFSET($A$1, 318 - 1, 97 - 1) = "1" ), 3, 4 ) ) )</f>
        <v>1</v>
      </c>
      <c r="CV318" s="24">
        <v>0.98958879619109286</v>
      </c>
      <c r="CW318" s="24" t="str">
        <f t="shared" si="25"/>
        <v>1</v>
      </c>
      <c r="CX318" t="str">
        <f ca="1">IF((OFFSET($A$1, 318 - 1, 100 - 1)) &gt;= (OFFSET($A$1, 78 - 1, 7 - 1)), "1","0")</f>
        <v>1</v>
      </c>
      <c r="CY318">
        <f ca="1" xml:space="preserve"> IF( AND( OFFSET($A$1, 318 - 1, 101 - 1) = "1", OFFSET($A$1, 318 - 1, 102 - 1) = "1" ), 1, IF( AND( OFFSET($A$1, 318 - 1, 101 - 1) = "1", OFFSET($A$1, 318 - 1, 102 - 1) = "0" ), 2, IF( AND( OFFSET($A$1, 318 - 1, 101 - 1) = "0", OFFSET($A$1, 318 - 1, 102 - 1) = "1" ), 3, 4 ) ) )</f>
        <v>1</v>
      </c>
    </row>
    <row r="319" spans="95:103" ht="13.8" x14ac:dyDescent="0.3">
      <c r="CQ319" s="24">
        <v>6.4086331949615702E-2</v>
      </c>
      <c r="CR319" s="24" t="str">
        <f>"0"</f>
        <v>0</v>
      </c>
      <c r="CS319" t="str">
        <f ca="1">IF((OFFSET($A$1, 319 - 1, 95 - 1)) &gt;= (OFFSET($A$1, 54 - 1, 7 - 1)), "1","0")</f>
        <v>0</v>
      </c>
      <c r="CT319">
        <f ca="1" xml:space="preserve"> IF( AND( OFFSET($A$1, 319 - 1, 96 - 1) = "1", OFFSET($A$1, 319 - 1, 97 - 1) = "1" ), 1, IF( AND( OFFSET($A$1, 319 - 1, 96 - 1) = "1", OFFSET($A$1, 319 - 1, 97 - 1) = "0" ), 2, IF( AND( OFFSET($A$1, 319 - 1, 96 - 1) = "0", OFFSET($A$1, 319 - 1, 97 - 1) = "1" ), 3, 4 ) ) )</f>
        <v>4</v>
      </c>
      <c r="CV319" s="24">
        <v>0.99646443002919316</v>
      </c>
      <c r="CW319" s="24" t="str">
        <f>"0"</f>
        <v>0</v>
      </c>
      <c r="CX319" t="str">
        <f ca="1">IF((OFFSET($A$1, 319 - 1, 100 - 1)) &gt;= (OFFSET($A$1, 78 - 1, 7 - 1)), "1","0")</f>
        <v>1</v>
      </c>
      <c r="CY319">
        <f ca="1" xml:space="preserve"> IF( AND( OFFSET($A$1, 319 - 1, 101 - 1) = "1", OFFSET($A$1, 319 - 1, 102 - 1) = "1" ), 1, IF( AND( OFFSET($A$1, 319 - 1, 101 - 1) = "1", OFFSET($A$1, 319 - 1, 102 - 1) = "0" ), 2, IF( AND( OFFSET($A$1, 319 - 1, 101 - 1) = "0", OFFSET($A$1, 319 - 1, 102 - 1) = "1" ), 3, 4 ) ) )</f>
        <v>3</v>
      </c>
    </row>
    <row r="320" spans="95:103" ht="13.8" x14ac:dyDescent="0.3">
      <c r="CQ320" s="24">
        <v>0.99690311692838918</v>
      </c>
      <c r="CR320" s="24" t="str">
        <f>"1"</f>
        <v>1</v>
      </c>
      <c r="CS320" t="str">
        <f ca="1">IF((OFFSET($A$1, 320 - 1, 95 - 1)) &gt;= (OFFSET($A$1, 54 - 1, 7 - 1)), "1","0")</f>
        <v>1</v>
      </c>
      <c r="CT320">
        <f ca="1" xml:space="preserve"> IF( AND( OFFSET($A$1, 320 - 1, 96 - 1) = "1", OFFSET($A$1, 320 - 1, 97 - 1) = "1" ), 1, IF( AND( OFFSET($A$1, 320 - 1, 96 - 1) = "1", OFFSET($A$1, 320 - 1, 97 - 1) = "0" ), 2, IF( AND( OFFSET($A$1, 320 - 1, 96 - 1) = "0", OFFSET($A$1, 320 - 1, 97 - 1) = "1" ), 3, 4 ) ) )</f>
        <v>1</v>
      </c>
      <c r="CV320" s="24">
        <v>0.91731704939961545</v>
      </c>
      <c r="CW320" s="24" t="str">
        <f>"1"</f>
        <v>1</v>
      </c>
      <c r="CX320" t="str">
        <f ca="1">IF((OFFSET($A$1, 320 - 1, 100 - 1)) &gt;= (OFFSET($A$1, 78 - 1, 7 - 1)), "1","0")</f>
        <v>1</v>
      </c>
      <c r="CY320">
        <f ca="1" xml:space="preserve"> IF( AND( OFFSET($A$1, 320 - 1, 101 - 1) = "1", OFFSET($A$1, 320 - 1, 102 - 1) = "1" ), 1, IF( AND( OFFSET($A$1, 320 - 1, 101 - 1) = "1", OFFSET($A$1, 320 - 1, 102 - 1) = "0" ), 2, IF( AND( OFFSET($A$1, 320 - 1, 101 - 1) = "0", OFFSET($A$1, 320 - 1, 102 - 1) = "1" ), 3, 4 ) ) )</f>
        <v>1</v>
      </c>
    </row>
    <row r="321" spans="95:103" ht="13.8" x14ac:dyDescent="0.3">
      <c r="CQ321" s="24">
        <v>0.9460633641737497</v>
      </c>
      <c r="CR321" s="24" t="str">
        <f>"1"</f>
        <v>1</v>
      </c>
      <c r="CS321" t="str">
        <f ca="1">IF((OFFSET($A$1, 321 - 1, 95 - 1)) &gt;= (OFFSET($A$1, 54 - 1, 7 - 1)), "1","0")</f>
        <v>1</v>
      </c>
      <c r="CT321">
        <f ca="1" xml:space="preserve"> IF( AND( OFFSET($A$1, 321 - 1, 96 - 1) = "1", OFFSET($A$1, 321 - 1, 97 - 1) = "1" ), 1, IF( AND( OFFSET($A$1, 321 - 1, 96 - 1) = "1", OFFSET($A$1, 321 - 1, 97 - 1) = "0" ), 2, IF( AND( OFFSET($A$1, 321 - 1, 96 - 1) = "0", OFFSET($A$1, 321 - 1, 97 - 1) = "1" ), 3, 4 ) ) )</f>
        <v>1</v>
      </c>
      <c r="CV321" s="24">
        <v>0.15914328919915907</v>
      </c>
      <c r="CW321" s="24" t="str">
        <f>"1"</f>
        <v>1</v>
      </c>
      <c r="CX321" t="str">
        <f ca="1">IF((OFFSET($A$1, 321 - 1, 100 - 1)) &gt;= (OFFSET($A$1, 78 - 1, 7 - 1)), "1","0")</f>
        <v>0</v>
      </c>
      <c r="CY321">
        <f ca="1" xml:space="preserve"> IF( AND( OFFSET($A$1, 321 - 1, 101 - 1) = "1", OFFSET($A$1, 321 - 1, 102 - 1) = "1" ), 1, IF( AND( OFFSET($A$1, 321 - 1, 101 - 1) = "1", OFFSET($A$1, 321 - 1, 102 - 1) = "0" ), 2, IF( AND( OFFSET($A$1, 321 - 1, 101 - 1) = "0", OFFSET($A$1, 321 - 1, 102 - 1) = "1" ), 3, 4 ) ) )</f>
        <v>2</v>
      </c>
    </row>
    <row r="322" spans="95:103" ht="13.8" x14ac:dyDescent="0.3">
      <c r="CQ322" s="24">
        <v>4.4349556267747101E-2</v>
      </c>
      <c r="CR322" s="24" t="str">
        <f>"0"</f>
        <v>0</v>
      </c>
      <c r="CS322" t="str">
        <f ca="1">IF((OFFSET($A$1, 322 - 1, 95 - 1)) &gt;= (OFFSET($A$1, 54 - 1, 7 - 1)), "1","0")</f>
        <v>0</v>
      </c>
      <c r="CT322">
        <f ca="1" xml:space="preserve"> IF( AND( OFFSET($A$1, 322 - 1, 96 - 1) = "1", OFFSET($A$1, 322 - 1, 97 - 1) = "1" ), 1, IF( AND( OFFSET($A$1, 322 - 1, 96 - 1) = "1", OFFSET($A$1, 322 - 1, 97 - 1) = "0" ), 2, IF( AND( OFFSET($A$1, 322 - 1, 96 - 1) = "0", OFFSET($A$1, 322 - 1, 97 - 1) = "1" ), 3, 4 ) ) )</f>
        <v>4</v>
      </c>
      <c r="CV322" s="24">
        <v>0.822370460280065</v>
      </c>
      <c r="CW322" s="24" t="str">
        <f>"0"</f>
        <v>0</v>
      </c>
      <c r="CX322" t="str">
        <f ca="1">IF((OFFSET($A$1, 322 - 1, 100 - 1)) &gt;= (OFFSET($A$1, 78 - 1, 7 - 1)), "1","0")</f>
        <v>1</v>
      </c>
      <c r="CY322">
        <f ca="1" xml:space="preserve"> IF( AND( OFFSET($A$1, 322 - 1, 101 - 1) = "1", OFFSET($A$1, 322 - 1, 102 - 1) = "1" ), 1, IF( AND( OFFSET($A$1, 322 - 1, 101 - 1) = "1", OFFSET($A$1, 322 - 1, 102 - 1) = "0" ), 2, IF( AND( OFFSET($A$1, 322 - 1, 101 - 1) = "0", OFFSET($A$1, 322 - 1, 102 - 1) = "1" ), 3, 4 ) ) )</f>
        <v>3</v>
      </c>
    </row>
    <row r="323" spans="95:103" ht="13.8" x14ac:dyDescent="0.3">
      <c r="CQ323" s="24">
        <v>0.89148010590659521</v>
      </c>
      <c r="CR323" s="24" t="str">
        <f>"1"</f>
        <v>1</v>
      </c>
      <c r="CS323" t="str">
        <f ca="1">IF((OFFSET($A$1, 323 - 1, 95 - 1)) &gt;= (OFFSET($A$1, 54 - 1, 7 - 1)), "1","0")</f>
        <v>1</v>
      </c>
      <c r="CT323">
        <f ca="1" xml:space="preserve"> IF( AND( OFFSET($A$1, 323 - 1, 96 - 1) = "1", OFFSET($A$1, 323 - 1, 97 - 1) = "1" ), 1, IF( AND( OFFSET($A$1, 323 - 1, 96 - 1) = "1", OFFSET($A$1, 323 - 1, 97 - 1) = "0" ), 2, IF( AND( OFFSET($A$1, 323 - 1, 96 - 1) = "0", OFFSET($A$1, 323 - 1, 97 - 1) = "1" ), 3, 4 ) ) )</f>
        <v>1</v>
      </c>
      <c r="CV323" s="24">
        <v>0.77663004236990008</v>
      </c>
      <c r="CW323" s="24" t="str">
        <f>"0"</f>
        <v>0</v>
      </c>
      <c r="CX323" t="str">
        <f ca="1">IF((OFFSET($A$1, 323 - 1, 100 - 1)) &gt;= (OFFSET($A$1, 78 - 1, 7 - 1)), "1","0")</f>
        <v>1</v>
      </c>
      <c r="CY323">
        <f ca="1" xml:space="preserve"> IF( AND( OFFSET($A$1, 323 - 1, 101 - 1) = "1", OFFSET($A$1, 323 - 1, 102 - 1) = "1" ), 1, IF( AND( OFFSET($A$1, 323 - 1, 101 - 1) = "1", OFFSET($A$1, 323 - 1, 102 - 1) = "0" ), 2, IF( AND( OFFSET($A$1, 323 - 1, 101 - 1) = "0", OFFSET($A$1, 323 - 1, 102 - 1) = "1" ), 3, 4 ) ) )</f>
        <v>3</v>
      </c>
    </row>
    <row r="324" spans="95:103" ht="13.8" x14ac:dyDescent="0.3">
      <c r="CQ324" s="24">
        <v>0.99551919244459031</v>
      </c>
      <c r="CR324" s="24" t="str">
        <f>"1"</f>
        <v>1</v>
      </c>
      <c r="CS324" t="str">
        <f ca="1">IF((OFFSET($A$1, 324 - 1, 95 - 1)) &gt;= (OFFSET($A$1, 54 - 1, 7 - 1)), "1","0")</f>
        <v>1</v>
      </c>
      <c r="CT324">
        <f ca="1" xml:space="preserve"> IF( AND( OFFSET($A$1, 324 - 1, 96 - 1) = "1", OFFSET($A$1, 324 - 1, 97 - 1) = "1" ), 1, IF( AND( OFFSET($A$1, 324 - 1, 96 - 1) = "1", OFFSET($A$1, 324 - 1, 97 - 1) = "0" ), 2, IF( AND( OFFSET($A$1, 324 - 1, 96 - 1) = "0", OFFSET($A$1, 324 - 1, 97 - 1) = "1" ), 3, 4 ) ) )</f>
        <v>1</v>
      </c>
      <c r="CV324" s="24">
        <v>0.14387237949013265</v>
      </c>
      <c r="CW324" s="24" t="str">
        <f>"1"</f>
        <v>1</v>
      </c>
      <c r="CX324" t="str">
        <f ca="1">IF((OFFSET($A$1, 324 - 1, 100 - 1)) &gt;= (OFFSET($A$1, 78 - 1, 7 - 1)), "1","0")</f>
        <v>0</v>
      </c>
      <c r="CY324">
        <f ca="1" xml:space="preserve"> IF( AND( OFFSET($A$1, 324 - 1, 101 - 1) = "1", OFFSET($A$1, 324 - 1, 102 - 1) = "1" ), 1, IF( AND( OFFSET($A$1, 324 - 1, 101 - 1) = "1", OFFSET($A$1, 324 - 1, 102 - 1) = "0" ), 2, IF( AND( OFFSET($A$1, 324 - 1, 101 - 1) = "0", OFFSET($A$1, 324 - 1, 102 - 1) = "1" ), 3, 4 ) ) )</f>
        <v>2</v>
      </c>
    </row>
    <row r="325" spans="95:103" ht="13.8" x14ac:dyDescent="0.3">
      <c r="CQ325" s="24">
        <v>9.1009605867953092E-2</v>
      </c>
      <c r="CR325" s="24" t="str">
        <f>"0"</f>
        <v>0</v>
      </c>
      <c r="CS325" t="str">
        <f ca="1">IF((OFFSET($A$1, 325 - 1, 95 - 1)) &gt;= (OFFSET($A$1, 54 - 1, 7 - 1)), "1","0")</f>
        <v>0</v>
      </c>
      <c r="CT325">
        <f ca="1" xml:space="preserve"> IF( AND( OFFSET($A$1, 325 - 1, 96 - 1) = "1", OFFSET($A$1, 325 - 1, 97 - 1) = "1" ), 1, IF( AND( OFFSET($A$1, 325 - 1, 96 - 1) = "1", OFFSET($A$1, 325 - 1, 97 - 1) = "0" ), 2, IF( AND( OFFSET($A$1, 325 - 1, 96 - 1) = "0", OFFSET($A$1, 325 - 1, 97 - 1) = "1" ), 3, 4 ) ) )</f>
        <v>4</v>
      </c>
      <c r="CV325" s="24">
        <v>0.99964641716687708</v>
      </c>
      <c r="CW325" s="24" t="str">
        <f>"1"</f>
        <v>1</v>
      </c>
      <c r="CX325" t="str">
        <f ca="1">IF((OFFSET($A$1, 325 - 1, 100 - 1)) &gt;= (OFFSET($A$1, 78 - 1, 7 - 1)), "1","0")</f>
        <v>1</v>
      </c>
      <c r="CY325">
        <f ca="1" xml:space="preserve"> IF( AND( OFFSET($A$1, 325 - 1, 101 - 1) = "1", OFFSET($A$1, 325 - 1, 102 - 1) = "1" ), 1, IF( AND( OFFSET($A$1, 325 - 1, 101 - 1) = "1", OFFSET($A$1, 325 - 1, 102 - 1) = "0" ), 2, IF( AND( OFFSET($A$1, 325 - 1, 101 - 1) = "0", OFFSET($A$1, 325 - 1, 102 - 1) = "1" ), 3, 4 ) ) )</f>
        <v>1</v>
      </c>
    </row>
    <row r="326" spans="95:103" ht="13.8" x14ac:dyDescent="0.3">
      <c r="CQ326" s="24">
        <v>1.6303998205180404E-2</v>
      </c>
      <c r="CR326" s="24" t="str">
        <f>"0"</f>
        <v>0</v>
      </c>
      <c r="CS326" t="str">
        <f ca="1">IF((OFFSET($A$1, 326 - 1, 95 - 1)) &gt;= (OFFSET($A$1, 54 - 1, 7 - 1)), "1","0")</f>
        <v>0</v>
      </c>
      <c r="CT326">
        <f ca="1" xml:space="preserve"> IF( AND( OFFSET($A$1, 326 - 1, 96 - 1) = "1", OFFSET($A$1, 326 - 1, 97 - 1) = "1" ), 1, IF( AND( OFFSET($A$1, 326 - 1, 96 - 1) = "1", OFFSET($A$1, 326 - 1, 97 - 1) = "0" ), 2, IF( AND( OFFSET($A$1, 326 - 1, 96 - 1) = "0", OFFSET($A$1, 326 - 1, 97 - 1) = "1" ), 3, 4 ) ) )</f>
        <v>4</v>
      </c>
      <c r="CV326" s="24">
        <v>0.99986571504104749</v>
      </c>
      <c r="CW326" s="24" t="str">
        <f>"1"</f>
        <v>1</v>
      </c>
      <c r="CX326" t="str">
        <f ca="1">IF((OFFSET($A$1, 326 - 1, 100 - 1)) &gt;= (OFFSET($A$1, 78 - 1, 7 - 1)), "1","0")</f>
        <v>1</v>
      </c>
      <c r="CY326">
        <f ca="1" xml:space="preserve"> IF( AND( OFFSET($A$1, 326 - 1, 101 - 1) = "1", OFFSET($A$1, 326 - 1, 102 - 1) = "1" ), 1, IF( AND( OFFSET($A$1, 326 - 1, 101 - 1) = "1", OFFSET($A$1, 326 - 1, 102 - 1) = "0" ), 2, IF( AND( OFFSET($A$1, 326 - 1, 101 - 1) = "0", OFFSET($A$1, 326 - 1, 102 - 1) = "1" ), 3, 4 ) ) )</f>
        <v>1</v>
      </c>
    </row>
    <row r="327" spans="95:103" ht="13.8" x14ac:dyDescent="0.3">
      <c r="CQ327" s="24">
        <v>0.9317385744008887</v>
      </c>
      <c r="CR327" s="24" t="str">
        <f>"1"</f>
        <v>1</v>
      </c>
      <c r="CS327" t="str">
        <f ca="1">IF((OFFSET($A$1, 327 - 1, 95 - 1)) &gt;= (OFFSET($A$1, 54 - 1, 7 - 1)), "1","0")</f>
        <v>1</v>
      </c>
      <c r="CT327">
        <f ca="1" xml:space="preserve"> IF( AND( OFFSET($A$1, 327 - 1, 96 - 1) = "1", OFFSET($A$1, 327 - 1, 97 - 1) = "1" ), 1, IF( AND( OFFSET($A$1, 327 - 1, 96 - 1) = "1", OFFSET($A$1, 327 - 1, 97 - 1) = "0" ), 2, IF( AND( OFFSET($A$1, 327 - 1, 96 - 1) = "0", OFFSET($A$1, 327 - 1, 97 - 1) = "1" ), 3, 4 ) ) )</f>
        <v>1</v>
      </c>
      <c r="CV327" s="24">
        <v>0.98553221119936141</v>
      </c>
      <c r="CW327" s="24" t="str">
        <f>"0"</f>
        <v>0</v>
      </c>
      <c r="CX327" t="str">
        <f ca="1">IF((OFFSET($A$1, 327 - 1, 100 - 1)) &gt;= (OFFSET($A$1, 78 - 1, 7 - 1)), "1","0")</f>
        <v>1</v>
      </c>
      <c r="CY327">
        <f ca="1" xml:space="preserve"> IF( AND( OFFSET($A$1, 327 - 1, 101 - 1) = "1", OFFSET($A$1, 327 - 1, 102 - 1) = "1" ), 1, IF( AND( OFFSET($A$1, 327 - 1, 101 - 1) = "1", OFFSET($A$1, 327 - 1, 102 - 1) = "0" ), 2, IF( AND( OFFSET($A$1, 327 - 1, 101 - 1) = "0", OFFSET($A$1, 327 - 1, 102 - 1) = "1" ), 3, 4 ) ) )</f>
        <v>3</v>
      </c>
    </row>
    <row r="328" spans="95:103" ht="13.8" x14ac:dyDescent="0.3">
      <c r="CQ328" s="24">
        <v>1.7628195841373335E-2</v>
      </c>
      <c r="CR328" s="24" t="str">
        <f>"0"</f>
        <v>0</v>
      </c>
      <c r="CS328" t="str">
        <f ca="1">IF((OFFSET($A$1, 328 - 1, 95 - 1)) &gt;= (OFFSET($A$1, 54 - 1, 7 - 1)), "1","0")</f>
        <v>0</v>
      </c>
      <c r="CT328">
        <f ca="1" xml:space="preserve"> IF( AND( OFFSET($A$1, 328 - 1, 96 - 1) = "1", OFFSET($A$1, 328 - 1, 97 - 1) = "1" ), 1, IF( AND( OFFSET($A$1, 328 - 1, 96 - 1) = "1", OFFSET($A$1, 328 - 1, 97 - 1) = "0" ), 2, IF( AND( OFFSET($A$1, 328 - 1, 96 - 1) = "0", OFFSET($A$1, 328 - 1, 97 - 1) = "1" ), 3, 4 ) ) )</f>
        <v>4</v>
      </c>
      <c r="CV328" s="24">
        <v>4.3000786252095401E-3</v>
      </c>
      <c r="CW328" s="24" t="str">
        <f>"0"</f>
        <v>0</v>
      </c>
      <c r="CX328" t="str">
        <f ca="1">IF((OFFSET($A$1, 328 - 1, 100 - 1)) &gt;= (OFFSET($A$1, 78 - 1, 7 - 1)), "1","0")</f>
        <v>0</v>
      </c>
      <c r="CY328">
        <f ca="1" xml:space="preserve"> IF( AND( OFFSET($A$1, 328 - 1, 101 - 1) = "1", OFFSET($A$1, 328 - 1, 102 - 1) = "1" ), 1, IF( AND( OFFSET($A$1, 328 - 1, 101 - 1) = "1", OFFSET($A$1, 328 - 1, 102 - 1) = "0" ), 2, IF( AND( OFFSET($A$1, 328 - 1, 101 - 1) = "0", OFFSET($A$1, 328 - 1, 102 - 1) = "1" ), 3, 4 ) ) )</f>
        <v>4</v>
      </c>
    </row>
    <row r="329" spans="95:103" ht="13.8" x14ac:dyDescent="0.3">
      <c r="CQ329" s="24">
        <v>0.99997601899089361</v>
      </c>
      <c r="CR329" s="24" t="str">
        <f>"1"</f>
        <v>1</v>
      </c>
      <c r="CS329" t="str">
        <f ca="1">IF((OFFSET($A$1, 329 - 1, 95 - 1)) &gt;= (OFFSET($A$1, 54 - 1, 7 - 1)), "1","0")</f>
        <v>1</v>
      </c>
      <c r="CT329">
        <f ca="1" xml:space="preserve"> IF( AND( OFFSET($A$1, 329 - 1, 96 - 1) = "1", OFFSET($A$1, 329 - 1, 97 - 1) = "1" ), 1, IF( AND( OFFSET($A$1, 329 - 1, 96 - 1) = "1", OFFSET($A$1, 329 - 1, 97 - 1) = "0" ), 2, IF( AND( OFFSET($A$1, 329 - 1, 96 - 1) = "0", OFFSET($A$1, 329 - 1, 97 - 1) = "1" ), 3, 4 ) ) )</f>
        <v>1</v>
      </c>
      <c r="CV329" s="24">
        <v>0.99993166866817151</v>
      </c>
      <c r="CW329" s="24" t="str">
        <f>"1"</f>
        <v>1</v>
      </c>
      <c r="CX329" t="str">
        <f ca="1">IF((OFFSET($A$1, 329 - 1, 100 - 1)) &gt;= (OFFSET($A$1, 78 - 1, 7 - 1)), "1","0")</f>
        <v>1</v>
      </c>
      <c r="CY329">
        <f ca="1" xml:space="preserve"> IF( AND( OFFSET($A$1, 329 - 1, 101 - 1) = "1", OFFSET($A$1, 329 - 1, 102 - 1) = "1" ), 1, IF( AND( OFFSET($A$1, 329 - 1, 101 - 1) = "1", OFFSET($A$1, 329 - 1, 102 - 1) = "0" ), 2, IF( AND( OFFSET($A$1, 329 - 1, 101 - 1) = "0", OFFSET($A$1, 329 - 1, 102 - 1) = "1" ), 3, 4 ) ) )</f>
        <v>1</v>
      </c>
    </row>
    <row r="330" spans="95:103" ht="13.8" x14ac:dyDescent="0.3">
      <c r="CQ330" s="24">
        <v>0.9854729577447221</v>
      </c>
      <c r="CR330" s="24" t="str">
        <f>"1"</f>
        <v>1</v>
      </c>
      <c r="CS330" t="str">
        <f ca="1">IF((OFFSET($A$1, 330 - 1, 95 - 1)) &gt;= (OFFSET($A$1, 54 - 1, 7 - 1)), "1","0")</f>
        <v>1</v>
      </c>
      <c r="CT330">
        <f ca="1" xml:space="preserve"> IF( AND( OFFSET($A$1, 330 - 1, 96 - 1) = "1", OFFSET($A$1, 330 - 1, 97 - 1) = "1" ), 1, IF( AND( OFFSET($A$1, 330 - 1, 96 - 1) = "1", OFFSET($A$1, 330 - 1, 97 - 1) = "0" ), 2, IF( AND( OFFSET($A$1, 330 - 1, 96 - 1) = "0", OFFSET($A$1, 330 - 1, 97 - 1) = "1" ), 3, 4 ) ) )</f>
        <v>1</v>
      </c>
      <c r="CV330" s="24">
        <v>0.97766696504652817</v>
      </c>
      <c r="CW330" s="24" t="str">
        <f>"1"</f>
        <v>1</v>
      </c>
      <c r="CX330" t="str">
        <f ca="1">IF((OFFSET($A$1, 330 - 1, 100 - 1)) &gt;= (OFFSET($A$1, 78 - 1, 7 - 1)), "1","0")</f>
        <v>1</v>
      </c>
      <c r="CY330">
        <f ca="1" xml:space="preserve"> IF( AND( OFFSET($A$1, 330 - 1, 101 - 1) = "1", OFFSET($A$1, 330 - 1, 102 - 1) = "1" ), 1, IF( AND( OFFSET($A$1, 330 - 1, 101 - 1) = "1", OFFSET($A$1, 330 - 1, 102 - 1) = "0" ), 2, IF( AND( OFFSET($A$1, 330 - 1, 101 - 1) = "0", OFFSET($A$1, 330 - 1, 102 - 1) = "1" ), 3, 4 ) ) )</f>
        <v>1</v>
      </c>
    </row>
    <row r="331" spans="95:103" ht="13.8" x14ac:dyDescent="0.3">
      <c r="CQ331" s="24">
        <v>1.3979010312787137E-2</v>
      </c>
      <c r="CR331" s="24" t="str">
        <f>"0"</f>
        <v>0</v>
      </c>
      <c r="CS331" t="str">
        <f ca="1">IF((OFFSET($A$1, 331 - 1, 95 - 1)) &gt;= (OFFSET($A$1, 54 - 1, 7 - 1)), "1","0")</f>
        <v>0</v>
      </c>
      <c r="CT331">
        <f ca="1" xml:space="preserve"> IF( AND( OFFSET($A$1, 331 - 1, 96 - 1) = "1", OFFSET($A$1, 331 - 1, 97 - 1) = "1" ), 1, IF( AND( OFFSET($A$1, 331 - 1, 96 - 1) = "1", OFFSET($A$1, 331 - 1, 97 - 1) = "0" ), 2, IF( AND( OFFSET($A$1, 331 - 1, 96 - 1) = "0", OFFSET($A$1, 331 - 1, 97 - 1) = "1" ), 3, 4 ) ) )</f>
        <v>4</v>
      </c>
      <c r="CV331" s="24">
        <v>5.2809897635014938E-2</v>
      </c>
      <c r="CW331" s="24" t="str">
        <f>"0"</f>
        <v>0</v>
      </c>
      <c r="CX331" t="str">
        <f ca="1">IF((OFFSET($A$1, 331 - 1, 100 - 1)) &gt;= (OFFSET($A$1, 78 - 1, 7 - 1)), "1","0")</f>
        <v>0</v>
      </c>
      <c r="CY331">
        <f ca="1" xml:space="preserve"> IF( AND( OFFSET($A$1, 331 - 1, 101 - 1) = "1", OFFSET($A$1, 331 - 1, 102 - 1) = "1" ), 1, IF( AND( OFFSET($A$1, 331 - 1, 101 - 1) = "1", OFFSET($A$1, 331 - 1, 102 - 1) = "0" ), 2, IF( AND( OFFSET($A$1, 331 - 1, 101 - 1) = "0", OFFSET($A$1, 331 - 1, 102 - 1) = "1" ), 3, 4 ) ) )</f>
        <v>4</v>
      </c>
    </row>
    <row r="332" spans="95:103" ht="13.8" x14ac:dyDescent="0.3">
      <c r="CQ332" s="24">
        <v>0.96559884700458642</v>
      </c>
      <c r="CR332" s="24" t="str">
        <f>"1"</f>
        <v>1</v>
      </c>
      <c r="CS332" t="str">
        <f ca="1">IF((OFFSET($A$1, 332 - 1, 95 - 1)) &gt;= (OFFSET($A$1, 54 - 1, 7 - 1)), "1","0")</f>
        <v>1</v>
      </c>
      <c r="CT332">
        <f ca="1" xml:space="preserve"> IF( AND( OFFSET($A$1, 332 - 1, 96 - 1) = "1", OFFSET($A$1, 332 - 1, 97 - 1) = "1" ), 1, IF( AND( OFFSET($A$1, 332 - 1, 96 - 1) = "1", OFFSET($A$1, 332 - 1, 97 - 1) = "0" ), 2, IF( AND( OFFSET($A$1, 332 - 1, 96 - 1) = "0", OFFSET($A$1, 332 - 1, 97 - 1) = "1" ), 3, 4 ) ) )</f>
        <v>1</v>
      </c>
      <c r="CV332" s="24">
        <v>0.44145909445212506</v>
      </c>
      <c r="CW332" s="24" t="str">
        <f>"1"</f>
        <v>1</v>
      </c>
      <c r="CX332" t="str">
        <f ca="1">IF((OFFSET($A$1, 332 - 1, 100 - 1)) &gt;= (OFFSET($A$1, 78 - 1, 7 - 1)), "1","0")</f>
        <v>0</v>
      </c>
      <c r="CY332">
        <f ca="1" xml:space="preserve"> IF( AND( OFFSET($A$1, 332 - 1, 101 - 1) = "1", OFFSET($A$1, 332 - 1, 102 - 1) = "1" ), 1, IF( AND( OFFSET($A$1, 332 - 1, 101 - 1) = "1", OFFSET($A$1, 332 - 1, 102 - 1) = "0" ), 2, IF( AND( OFFSET($A$1, 332 - 1, 101 - 1) = "0", OFFSET($A$1, 332 - 1, 102 - 1) = "1" ), 3, 4 ) ) )</f>
        <v>2</v>
      </c>
    </row>
    <row r="333" spans="95:103" ht="13.8" x14ac:dyDescent="0.3">
      <c r="CQ333" s="24">
        <v>2.0245615864719204E-2</v>
      </c>
      <c r="CR333" s="24" t="str">
        <f>"0"</f>
        <v>0</v>
      </c>
      <c r="CS333" t="str">
        <f ca="1">IF((OFFSET($A$1, 333 - 1, 95 - 1)) &gt;= (OFFSET($A$1, 54 - 1, 7 - 1)), "1","0")</f>
        <v>0</v>
      </c>
      <c r="CT333">
        <f ca="1" xml:space="preserve"> IF( AND( OFFSET($A$1, 333 - 1, 96 - 1) = "1", OFFSET($A$1, 333 - 1, 97 - 1) = "1" ), 1, IF( AND( OFFSET($A$1, 333 - 1, 96 - 1) = "1", OFFSET($A$1, 333 - 1, 97 - 1) = "0" ), 2, IF( AND( OFFSET($A$1, 333 - 1, 96 - 1) = "0", OFFSET($A$1, 333 - 1, 97 - 1) = "1" ), 3, 4 ) ) )</f>
        <v>4</v>
      </c>
      <c r="CV333" s="24">
        <v>5.4869636355303023E-4</v>
      </c>
      <c r="CW333" s="24" t="str">
        <f>"1"</f>
        <v>1</v>
      </c>
      <c r="CX333" t="str">
        <f ca="1">IF((OFFSET($A$1, 333 - 1, 100 - 1)) &gt;= (OFFSET($A$1, 78 - 1, 7 - 1)), "1","0")</f>
        <v>0</v>
      </c>
      <c r="CY333">
        <f ca="1" xml:space="preserve"> IF( AND( OFFSET($A$1, 333 - 1, 101 - 1) = "1", OFFSET($A$1, 333 - 1, 102 - 1) = "1" ), 1, IF( AND( OFFSET($A$1, 333 - 1, 101 - 1) = "1", OFFSET($A$1, 333 - 1, 102 - 1) = "0" ), 2, IF( AND( OFFSET($A$1, 333 - 1, 101 - 1) = "0", OFFSET($A$1, 333 - 1, 102 - 1) = "1" ), 3, 4 ) ) )</f>
        <v>2</v>
      </c>
    </row>
    <row r="334" spans="95:103" ht="13.8" x14ac:dyDescent="0.3">
      <c r="CQ334" s="24">
        <v>0.99517516373943049</v>
      </c>
      <c r="CR334" s="24" t="str">
        <f>"1"</f>
        <v>1</v>
      </c>
      <c r="CS334" t="str">
        <f ca="1">IF((OFFSET($A$1, 334 - 1, 95 - 1)) &gt;= (OFFSET($A$1, 54 - 1, 7 - 1)), "1","0")</f>
        <v>1</v>
      </c>
      <c r="CT334">
        <f ca="1" xml:space="preserve"> IF( AND( OFFSET($A$1, 334 - 1, 96 - 1) = "1", OFFSET($A$1, 334 - 1, 97 - 1) = "1" ), 1, IF( AND( OFFSET($A$1, 334 - 1, 96 - 1) = "1", OFFSET($A$1, 334 - 1, 97 - 1) = "0" ), 2, IF( AND( OFFSET($A$1, 334 - 1, 96 - 1) = "0", OFFSET($A$1, 334 - 1, 97 - 1) = "1" ), 3, 4 ) ) )</f>
        <v>1</v>
      </c>
      <c r="CV334" s="24">
        <v>0.9648144014035277</v>
      </c>
      <c r="CW334" s="24" t="str">
        <f>"1"</f>
        <v>1</v>
      </c>
      <c r="CX334" t="str">
        <f ca="1">IF((OFFSET($A$1, 334 - 1, 100 - 1)) &gt;= (OFFSET($A$1, 78 - 1, 7 - 1)), "1","0")</f>
        <v>1</v>
      </c>
      <c r="CY334">
        <f ca="1" xml:space="preserve"> IF( AND( OFFSET($A$1, 334 - 1, 101 - 1) = "1", OFFSET($A$1, 334 - 1, 102 - 1) = "1" ), 1, IF( AND( OFFSET($A$1, 334 - 1, 101 - 1) = "1", OFFSET($A$1, 334 - 1, 102 - 1) = "0" ), 2, IF( AND( OFFSET($A$1, 334 - 1, 101 - 1) = "0", OFFSET($A$1, 334 - 1, 102 - 1) = "1" ), 3, 4 ) ) )</f>
        <v>1</v>
      </c>
    </row>
    <row r="335" spans="95:103" ht="13.8" x14ac:dyDescent="0.3">
      <c r="CQ335" s="24">
        <v>7.5203436097893095E-2</v>
      </c>
      <c r="CR335" s="24" t="str">
        <f>"0"</f>
        <v>0</v>
      </c>
      <c r="CS335" t="str">
        <f ca="1">IF((OFFSET($A$1, 335 - 1, 95 - 1)) &gt;= (OFFSET($A$1, 54 - 1, 7 - 1)), "1","0")</f>
        <v>0</v>
      </c>
      <c r="CT335">
        <f ca="1" xml:space="preserve"> IF( AND( OFFSET($A$1, 335 - 1, 96 - 1) = "1", OFFSET($A$1, 335 - 1, 97 - 1) = "1" ), 1, IF( AND( OFFSET($A$1, 335 - 1, 96 - 1) = "1", OFFSET($A$1, 335 - 1, 97 - 1) = "0" ), 2, IF( AND( OFFSET($A$1, 335 - 1, 96 - 1) = "0", OFFSET($A$1, 335 - 1, 97 - 1) = "1" ), 3, 4 ) ) )</f>
        <v>4</v>
      </c>
      <c r="CV335" s="24">
        <v>0.98052432167800496</v>
      </c>
      <c r="CW335" s="24" t="str">
        <f>"1"</f>
        <v>1</v>
      </c>
      <c r="CX335" t="str">
        <f ca="1">IF((OFFSET($A$1, 335 - 1, 100 - 1)) &gt;= (OFFSET($A$1, 78 - 1, 7 - 1)), "1","0")</f>
        <v>1</v>
      </c>
      <c r="CY335">
        <f ca="1" xml:space="preserve"> IF( AND( OFFSET($A$1, 335 - 1, 101 - 1) = "1", OFFSET($A$1, 335 - 1, 102 - 1) = "1" ), 1, IF( AND( OFFSET($A$1, 335 - 1, 101 - 1) = "1", OFFSET($A$1, 335 - 1, 102 - 1) = "0" ), 2, IF( AND( OFFSET($A$1, 335 - 1, 101 - 1) = "0", OFFSET($A$1, 335 - 1, 102 - 1) = "1" ), 3, 4 ) ) )</f>
        <v>1</v>
      </c>
    </row>
    <row r="336" spans="95:103" ht="13.8" x14ac:dyDescent="0.3">
      <c r="CQ336" s="24">
        <v>0.81975004141432739</v>
      </c>
      <c r="CR336" s="24" t="str">
        <f>"1"</f>
        <v>1</v>
      </c>
      <c r="CS336" t="str">
        <f ca="1">IF((OFFSET($A$1, 336 - 1, 95 - 1)) &gt;= (OFFSET($A$1, 54 - 1, 7 - 1)), "1","0")</f>
        <v>1</v>
      </c>
      <c r="CT336">
        <f ca="1" xml:space="preserve"> IF( AND( OFFSET($A$1, 336 - 1, 96 - 1) = "1", OFFSET($A$1, 336 - 1, 97 - 1) = "1" ), 1, IF( AND( OFFSET($A$1, 336 - 1, 96 - 1) = "1", OFFSET($A$1, 336 - 1, 97 - 1) = "0" ), 2, IF( AND( OFFSET($A$1, 336 - 1, 96 - 1) = "0", OFFSET($A$1, 336 - 1, 97 - 1) = "1" ), 3, 4 ) ) )</f>
        <v>1</v>
      </c>
      <c r="CV336" s="24">
        <v>0.18526463390917752</v>
      </c>
      <c r="CW336" s="24" t="str">
        <f>"0"</f>
        <v>0</v>
      </c>
      <c r="CX336" t="str">
        <f ca="1">IF((OFFSET($A$1, 336 - 1, 100 - 1)) &gt;= (OFFSET($A$1, 78 - 1, 7 - 1)), "1","0")</f>
        <v>0</v>
      </c>
      <c r="CY336">
        <f ca="1" xml:space="preserve"> IF( AND( OFFSET($A$1, 336 - 1, 101 - 1) = "1", OFFSET($A$1, 336 - 1, 102 - 1) = "1" ), 1, IF( AND( OFFSET($A$1, 336 - 1, 101 - 1) = "1", OFFSET($A$1, 336 - 1, 102 - 1) = "0" ), 2, IF( AND( OFFSET($A$1, 336 - 1, 101 - 1) = "0", OFFSET($A$1, 336 - 1, 102 - 1) = "1" ), 3, 4 ) ) )</f>
        <v>4</v>
      </c>
    </row>
    <row r="337" spans="95:103" ht="13.8" x14ac:dyDescent="0.3">
      <c r="CQ337" s="24">
        <v>0.93382867458280228</v>
      </c>
      <c r="CR337" s="24" t="str">
        <f>"1"</f>
        <v>1</v>
      </c>
      <c r="CS337" t="str">
        <f ca="1">IF((OFFSET($A$1, 337 - 1, 95 - 1)) &gt;= (OFFSET($A$1, 54 - 1, 7 - 1)), "1","0")</f>
        <v>1</v>
      </c>
      <c r="CT337">
        <f ca="1" xml:space="preserve"> IF( AND( OFFSET($A$1, 337 - 1, 96 - 1) = "1", OFFSET($A$1, 337 - 1, 97 - 1) = "1" ), 1, IF( AND( OFFSET($A$1, 337 - 1, 96 - 1) = "1", OFFSET($A$1, 337 - 1, 97 - 1) = "0" ), 2, IF( AND( OFFSET($A$1, 337 - 1, 96 - 1) = "0", OFFSET($A$1, 337 - 1, 97 - 1) = "1" ), 3, 4 ) ) )</f>
        <v>1</v>
      </c>
      <c r="CV337" s="24">
        <v>1.1299627938930639E-2</v>
      </c>
      <c r="CW337" s="24" t="str">
        <f>"0"</f>
        <v>0</v>
      </c>
      <c r="CX337" t="str">
        <f ca="1">IF((OFFSET($A$1, 337 - 1, 100 - 1)) &gt;= (OFFSET($A$1, 78 - 1, 7 - 1)), "1","0")</f>
        <v>0</v>
      </c>
      <c r="CY337">
        <f ca="1" xml:space="preserve"> IF( AND( OFFSET($A$1, 337 - 1, 101 - 1) = "1", OFFSET($A$1, 337 - 1, 102 - 1) = "1" ), 1, IF( AND( OFFSET($A$1, 337 - 1, 101 - 1) = "1", OFFSET($A$1, 337 - 1, 102 - 1) = "0" ), 2, IF( AND( OFFSET($A$1, 337 - 1, 101 - 1) = "0", OFFSET($A$1, 337 - 1, 102 - 1) = "1" ), 3, 4 ) ) )</f>
        <v>4</v>
      </c>
    </row>
    <row r="338" spans="95:103" ht="13.8" x14ac:dyDescent="0.3">
      <c r="CQ338" s="24">
        <v>0.95037479041536221</v>
      </c>
      <c r="CR338" s="24" t="str">
        <f>"1"</f>
        <v>1</v>
      </c>
      <c r="CS338" t="str">
        <f ca="1">IF((OFFSET($A$1, 338 - 1, 95 - 1)) &gt;= (OFFSET($A$1, 54 - 1, 7 - 1)), "1","0")</f>
        <v>1</v>
      </c>
      <c r="CT338">
        <f ca="1" xml:space="preserve"> IF( AND( OFFSET($A$1, 338 - 1, 96 - 1) = "1", OFFSET($A$1, 338 - 1, 97 - 1) = "1" ), 1, IF( AND( OFFSET($A$1, 338 - 1, 96 - 1) = "1", OFFSET($A$1, 338 - 1, 97 - 1) = "0" ), 2, IF( AND( OFFSET($A$1, 338 - 1, 96 - 1) = "0", OFFSET($A$1, 338 - 1, 97 - 1) = "1" ), 3, 4 ) ) )</f>
        <v>1</v>
      </c>
      <c r="CV338" s="24">
        <v>0.34526173969842289</v>
      </c>
      <c r="CW338" s="24" t="str">
        <f>"0"</f>
        <v>0</v>
      </c>
      <c r="CX338" t="str">
        <f ca="1">IF((OFFSET($A$1, 338 - 1, 100 - 1)) &gt;= (OFFSET($A$1, 78 - 1, 7 - 1)), "1","0")</f>
        <v>0</v>
      </c>
      <c r="CY338">
        <f ca="1" xml:space="preserve"> IF( AND( OFFSET($A$1, 338 - 1, 101 - 1) = "1", OFFSET($A$1, 338 - 1, 102 - 1) = "1" ), 1, IF( AND( OFFSET($A$1, 338 - 1, 101 - 1) = "1", OFFSET($A$1, 338 - 1, 102 - 1) = "0" ), 2, IF( AND( OFFSET($A$1, 338 - 1, 101 - 1) = "0", OFFSET($A$1, 338 - 1, 102 - 1) = "1" ), 3, 4 ) ) )</f>
        <v>4</v>
      </c>
    </row>
    <row r="339" spans="95:103" ht="13.8" x14ac:dyDescent="0.3">
      <c r="CQ339" s="24">
        <v>0.93496485353409964</v>
      </c>
      <c r="CR339" s="24" t="str">
        <f>"1"</f>
        <v>1</v>
      </c>
      <c r="CS339" t="str">
        <f ca="1">IF((OFFSET($A$1, 339 - 1, 95 - 1)) &gt;= (OFFSET($A$1, 54 - 1, 7 - 1)), "1","0")</f>
        <v>1</v>
      </c>
      <c r="CT339">
        <f ca="1" xml:space="preserve"> IF( AND( OFFSET($A$1, 339 - 1, 96 - 1) = "1", OFFSET($A$1, 339 - 1, 97 - 1) = "1" ), 1, IF( AND( OFFSET($A$1, 339 - 1, 96 - 1) = "1", OFFSET($A$1, 339 - 1, 97 - 1) = "0" ), 2, IF( AND( OFFSET($A$1, 339 - 1, 96 - 1) = "0", OFFSET($A$1, 339 - 1, 97 - 1) = "1" ), 3, 4 ) ) )</f>
        <v>1</v>
      </c>
      <c r="CV339" s="24">
        <v>0.99999871870632651</v>
      </c>
      <c r="CW339" s="24" t="str">
        <f>"1"</f>
        <v>1</v>
      </c>
      <c r="CX339" t="str">
        <f ca="1">IF((OFFSET($A$1, 339 - 1, 100 - 1)) &gt;= (OFFSET($A$1, 78 - 1, 7 - 1)), "1","0")</f>
        <v>1</v>
      </c>
      <c r="CY339">
        <f ca="1" xml:space="preserve"> IF( AND( OFFSET($A$1, 339 - 1, 101 - 1) = "1", OFFSET($A$1, 339 - 1, 102 - 1) = "1" ), 1, IF( AND( OFFSET($A$1, 339 - 1, 101 - 1) = "1", OFFSET($A$1, 339 - 1, 102 - 1) = "0" ), 2, IF( AND( OFFSET($A$1, 339 - 1, 101 - 1) = "0", OFFSET($A$1, 339 - 1, 102 - 1) = "1" ), 3, 4 ) ) )</f>
        <v>1</v>
      </c>
    </row>
    <row r="340" spans="95:103" ht="13.8" x14ac:dyDescent="0.3">
      <c r="CQ340" s="24">
        <v>3.7918725229462054E-2</v>
      </c>
      <c r="CR340" s="24" t="str">
        <f>"0"</f>
        <v>0</v>
      </c>
      <c r="CS340" t="str">
        <f ca="1">IF((OFFSET($A$1, 340 - 1, 95 - 1)) &gt;= (OFFSET($A$1, 54 - 1, 7 - 1)), "1","0")</f>
        <v>0</v>
      </c>
      <c r="CT340">
        <f ca="1" xml:space="preserve"> IF( AND( OFFSET($A$1, 340 - 1, 96 - 1) = "1", OFFSET($A$1, 340 - 1, 97 - 1) = "1" ), 1, IF( AND( OFFSET($A$1, 340 - 1, 96 - 1) = "1", OFFSET($A$1, 340 - 1, 97 - 1) = "0" ), 2, IF( AND( OFFSET($A$1, 340 - 1, 96 - 1) = "0", OFFSET($A$1, 340 - 1, 97 - 1) = "1" ), 3, 4 ) ) )</f>
        <v>4</v>
      </c>
      <c r="CV340" s="24">
        <v>0.99999549028639512</v>
      </c>
      <c r="CW340" s="24" t="str">
        <f>"1"</f>
        <v>1</v>
      </c>
      <c r="CX340" t="str">
        <f ca="1">IF((OFFSET($A$1, 340 - 1, 100 - 1)) &gt;= (OFFSET($A$1, 78 - 1, 7 - 1)), "1","0")</f>
        <v>1</v>
      </c>
      <c r="CY340">
        <f ca="1" xml:space="preserve"> IF( AND( OFFSET($A$1, 340 - 1, 101 - 1) = "1", OFFSET($A$1, 340 - 1, 102 - 1) = "1" ), 1, IF( AND( OFFSET($A$1, 340 - 1, 101 - 1) = "1", OFFSET($A$1, 340 - 1, 102 - 1) = "0" ), 2, IF( AND( OFFSET($A$1, 340 - 1, 101 - 1) = "0", OFFSET($A$1, 340 - 1, 102 - 1) = "1" ), 3, 4 ) ) )</f>
        <v>1</v>
      </c>
    </row>
    <row r="341" spans="95:103" ht="13.8" x14ac:dyDescent="0.3">
      <c r="CQ341" s="24">
        <v>0.99970321910442961</v>
      </c>
      <c r="CR341" s="24" t="str">
        <f>"1"</f>
        <v>1</v>
      </c>
      <c r="CS341" t="str">
        <f ca="1">IF((OFFSET($A$1, 341 - 1, 95 - 1)) &gt;= (OFFSET($A$1, 54 - 1, 7 - 1)), "1","0")</f>
        <v>1</v>
      </c>
      <c r="CT341">
        <f ca="1" xml:space="preserve"> IF( AND( OFFSET($A$1, 341 - 1, 96 - 1) = "1", OFFSET($A$1, 341 - 1, 97 - 1) = "1" ), 1, IF( AND( OFFSET($A$1, 341 - 1, 96 - 1) = "1", OFFSET($A$1, 341 - 1, 97 - 1) = "0" ), 2, IF( AND( OFFSET($A$1, 341 - 1, 96 - 1) = "0", OFFSET($A$1, 341 - 1, 97 - 1) = "1" ), 3, 4 ) ) )</f>
        <v>1</v>
      </c>
      <c r="CV341" s="24">
        <v>3.3563887413952855E-3</v>
      </c>
      <c r="CW341" s="24" t="str">
        <f>"0"</f>
        <v>0</v>
      </c>
      <c r="CX341" t="str">
        <f ca="1">IF((OFFSET($A$1, 341 - 1, 100 - 1)) &gt;= (OFFSET($A$1, 78 - 1, 7 - 1)), "1","0")</f>
        <v>0</v>
      </c>
      <c r="CY341">
        <f ca="1" xml:space="preserve"> IF( AND( OFFSET($A$1, 341 - 1, 101 - 1) = "1", OFFSET($A$1, 341 - 1, 102 - 1) = "1" ), 1, IF( AND( OFFSET($A$1, 341 - 1, 101 - 1) = "1", OFFSET($A$1, 341 - 1, 102 - 1) = "0" ), 2, IF( AND( OFFSET($A$1, 341 - 1, 101 - 1) = "0", OFFSET($A$1, 341 - 1, 102 - 1) = "1" ), 3, 4 ) ) )</f>
        <v>4</v>
      </c>
    </row>
    <row r="342" spans="95:103" ht="13.8" x14ac:dyDescent="0.3">
      <c r="CQ342" s="24">
        <v>9.3037983142822481E-2</v>
      </c>
      <c r="CR342" s="24" t="str">
        <f>"0"</f>
        <v>0</v>
      </c>
      <c r="CS342" t="str">
        <f ca="1">IF((OFFSET($A$1, 342 - 1, 95 - 1)) &gt;= (OFFSET($A$1, 54 - 1, 7 - 1)), "1","0")</f>
        <v>0</v>
      </c>
      <c r="CT342">
        <f ca="1" xml:space="preserve"> IF( AND( OFFSET($A$1, 342 - 1, 96 - 1) = "1", OFFSET($A$1, 342 - 1, 97 - 1) = "1" ), 1, IF( AND( OFFSET($A$1, 342 - 1, 96 - 1) = "1", OFFSET($A$1, 342 - 1, 97 - 1) = "0" ), 2, IF( AND( OFFSET($A$1, 342 - 1, 96 - 1) = "0", OFFSET($A$1, 342 - 1, 97 - 1) = "1" ), 3, 4 ) ) )</f>
        <v>4</v>
      </c>
      <c r="CV342" s="24">
        <v>0.99897728858884272</v>
      </c>
      <c r="CW342" s="24" t="str">
        <f>"1"</f>
        <v>1</v>
      </c>
      <c r="CX342" t="str">
        <f ca="1">IF((OFFSET($A$1, 342 - 1, 100 - 1)) &gt;= (OFFSET($A$1, 78 - 1, 7 - 1)), "1","0")</f>
        <v>1</v>
      </c>
      <c r="CY342">
        <f ca="1" xml:space="preserve"> IF( AND( OFFSET($A$1, 342 - 1, 101 - 1) = "1", OFFSET($A$1, 342 - 1, 102 - 1) = "1" ), 1, IF( AND( OFFSET($A$1, 342 - 1, 101 - 1) = "1", OFFSET($A$1, 342 - 1, 102 - 1) = "0" ), 2, IF( AND( OFFSET($A$1, 342 - 1, 101 - 1) = "0", OFFSET($A$1, 342 - 1, 102 - 1) = "1" ), 3, 4 ) ) )</f>
        <v>1</v>
      </c>
    </row>
    <row r="343" spans="95:103" ht="13.8" x14ac:dyDescent="0.3">
      <c r="CQ343" s="24">
        <v>0.98721255358287208</v>
      </c>
      <c r="CR343" s="24" t="str">
        <f>"1"</f>
        <v>1</v>
      </c>
      <c r="CS343" t="str">
        <f ca="1">IF((OFFSET($A$1, 343 - 1, 95 - 1)) &gt;= (OFFSET($A$1, 54 - 1, 7 - 1)), "1","0")</f>
        <v>1</v>
      </c>
      <c r="CT343">
        <f ca="1" xml:space="preserve"> IF( AND( OFFSET($A$1, 343 - 1, 96 - 1) = "1", OFFSET($A$1, 343 - 1, 97 - 1) = "1" ), 1, IF( AND( OFFSET($A$1, 343 - 1, 96 - 1) = "1", OFFSET($A$1, 343 - 1, 97 - 1) = "0" ), 2, IF( AND( OFFSET($A$1, 343 - 1, 96 - 1) = "0", OFFSET($A$1, 343 - 1, 97 - 1) = "1" ), 3, 4 ) ) )</f>
        <v>1</v>
      </c>
      <c r="CV343" s="24">
        <v>9.3173540341063246E-2</v>
      </c>
      <c r="CW343" s="24" t="str">
        <f>"0"</f>
        <v>0</v>
      </c>
      <c r="CX343" t="str">
        <f ca="1">IF((OFFSET($A$1, 343 - 1, 100 - 1)) &gt;= (OFFSET($A$1, 78 - 1, 7 - 1)), "1","0")</f>
        <v>0</v>
      </c>
      <c r="CY343">
        <f ca="1" xml:space="preserve"> IF( AND( OFFSET($A$1, 343 - 1, 101 - 1) = "1", OFFSET($A$1, 343 - 1, 102 - 1) = "1" ), 1, IF( AND( OFFSET($A$1, 343 - 1, 101 - 1) = "1", OFFSET($A$1, 343 - 1, 102 - 1) = "0" ), 2, IF( AND( OFFSET($A$1, 343 - 1, 101 - 1) = "0", OFFSET($A$1, 343 - 1, 102 - 1) = "1" ), 3, 4 ) ) )</f>
        <v>4</v>
      </c>
    </row>
    <row r="344" spans="95:103" ht="13.8" x14ac:dyDescent="0.3">
      <c r="CQ344" s="24">
        <v>0.999516277927888</v>
      </c>
      <c r="CR344" s="24" t="str">
        <f>"1"</f>
        <v>1</v>
      </c>
      <c r="CS344" t="str">
        <f ca="1">IF((OFFSET($A$1, 344 - 1, 95 - 1)) &gt;= (OFFSET($A$1, 54 - 1, 7 - 1)), "1","0")</f>
        <v>1</v>
      </c>
      <c r="CT344">
        <f ca="1" xml:space="preserve"> IF( AND( OFFSET($A$1, 344 - 1, 96 - 1) = "1", OFFSET($A$1, 344 - 1, 97 - 1) = "1" ), 1, IF( AND( OFFSET($A$1, 344 - 1, 96 - 1) = "1", OFFSET($A$1, 344 - 1, 97 - 1) = "0" ), 2, IF( AND( OFFSET($A$1, 344 - 1, 96 - 1) = "0", OFFSET($A$1, 344 - 1, 97 - 1) = "1" ), 3, 4 ) ) )</f>
        <v>1</v>
      </c>
      <c r="CV344" s="24">
        <v>0.99325719611846908</v>
      </c>
      <c r="CW344" s="24" t="str">
        <f>"1"</f>
        <v>1</v>
      </c>
      <c r="CX344" t="str">
        <f ca="1">IF((OFFSET($A$1, 344 - 1, 100 - 1)) &gt;= (OFFSET($A$1, 78 - 1, 7 - 1)), "1","0")</f>
        <v>1</v>
      </c>
      <c r="CY344">
        <f ca="1" xml:space="preserve"> IF( AND( OFFSET($A$1, 344 - 1, 101 - 1) = "1", OFFSET($A$1, 344 - 1, 102 - 1) = "1" ), 1, IF( AND( OFFSET($A$1, 344 - 1, 101 - 1) = "1", OFFSET($A$1, 344 - 1, 102 - 1) = "0" ), 2, IF( AND( OFFSET($A$1, 344 - 1, 101 - 1) = "0", OFFSET($A$1, 344 - 1, 102 - 1) = "1" ), 3, 4 ) ) )</f>
        <v>1</v>
      </c>
    </row>
    <row r="345" spans="95:103" ht="13.8" x14ac:dyDescent="0.3">
      <c r="CQ345" s="24">
        <v>7.4483852606748058E-2</v>
      </c>
      <c r="CR345" s="24" t="str">
        <f>"0"</f>
        <v>0</v>
      </c>
      <c r="CS345" t="str">
        <f ca="1">IF((OFFSET($A$1, 345 - 1, 95 - 1)) &gt;= (OFFSET($A$1, 54 - 1, 7 - 1)), "1","0")</f>
        <v>0</v>
      </c>
      <c r="CT345">
        <f ca="1" xml:space="preserve"> IF( AND( OFFSET($A$1, 345 - 1, 96 - 1) = "1", OFFSET($A$1, 345 - 1, 97 - 1) = "1" ), 1, IF( AND( OFFSET($A$1, 345 - 1, 96 - 1) = "1", OFFSET($A$1, 345 - 1, 97 - 1) = "0" ), 2, IF( AND( OFFSET($A$1, 345 - 1, 96 - 1) = "0", OFFSET($A$1, 345 - 1, 97 - 1) = "1" ), 3, 4 ) ) )</f>
        <v>4</v>
      </c>
      <c r="CV345" s="24">
        <v>0.95420625701020834</v>
      </c>
      <c r="CW345" s="24" t="str">
        <f>"1"</f>
        <v>1</v>
      </c>
      <c r="CX345" t="str">
        <f ca="1">IF((OFFSET($A$1, 345 - 1, 100 - 1)) &gt;= (OFFSET($A$1, 78 - 1, 7 - 1)), "1","0")</f>
        <v>1</v>
      </c>
      <c r="CY345">
        <f ca="1" xml:space="preserve"> IF( AND( OFFSET($A$1, 345 - 1, 101 - 1) = "1", OFFSET($A$1, 345 - 1, 102 - 1) = "1" ), 1, IF( AND( OFFSET($A$1, 345 - 1, 101 - 1) = "1", OFFSET($A$1, 345 - 1, 102 - 1) = "0" ), 2, IF( AND( OFFSET($A$1, 345 - 1, 101 - 1) = "0", OFFSET($A$1, 345 - 1, 102 - 1) = "1" ), 3, 4 ) ) )</f>
        <v>1</v>
      </c>
    </row>
    <row r="346" spans="95:103" ht="13.8" x14ac:dyDescent="0.3">
      <c r="CQ346" s="24">
        <v>0.99283214253965724</v>
      </c>
      <c r="CR346" s="24" t="str">
        <f>"1"</f>
        <v>1</v>
      </c>
      <c r="CS346" t="str">
        <f ca="1">IF((OFFSET($A$1, 346 - 1, 95 - 1)) &gt;= (OFFSET($A$1, 54 - 1, 7 - 1)), "1","0")</f>
        <v>1</v>
      </c>
      <c r="CT346">
        <f ca="1" xml:space="preserve"> IF( AND( OFFSET($A$1, 346 - 1, 96 - 1) = "1", OFFSET($A$1, 346 - 1, 97 - 1) = "1" ), 1, IF( AND( OFFSET($A$1, 346 - 1, 96 - 1) = "1", OFFSET($A$1, 346 - 1, 97 - 1) = "0" ), 2, IF( AND( OFFSET($A$1, 346 - 1, 96 - 1) = "0", OFFSET($A$1, 346 - 1, 97 - 1) = "1" ), 3, 4 ) ) )</f>
        <v>1</v>
      </c>
      <c r="CV346" s="24">
        <v>0.14514559657455695</v>
      </c>
      <c r="CW346" s="24" t="str">
        <f>"1"</f>
        <v>1</v>
      </c>
      <c r="CX346" t="str">
        <f ca="1">IF((OFFSET($A$1, 346 - 1, 100 - 1)) &gt;= (OFFSET($A$1, 78 - 1, 7 - 1)), "1","0")</f>
        <v>0</v>
      </c>
      <c r="CY346">
        <f ca="1" xml:space="preserve"> IF( AND( OFFSET($A$1, 346 - 1, 101 - 1) = "1", OFFSET($A$1, 346 - 1, 102 - 1) = "1" ), 1, IF( AND( OFFSET($A$1, 346 - 1, 101 - 1) = "1", OFFSET($A$1, 346 - 1, 102 - 1) = "0" ), 2, IF( AND( OFFSET($A$1, 346 - 1, 101 - 1) = "0", OFFSET($A$1, 346 - 1, 102 - 1) = "1" ), 3, 4 ) ) )</f>
        <v>2</v>
      </c>
    </row>
    <row r="347" spans="95:103" ht="13.8" x14ac:dyDescent="0.3">
      <c r="CQ347" s="24">
        <v>0.9999949607166293</v>
      </c>
      <c r="CR347" s="24" t="str">
        <f>"1"</f>
        <v>1</v>
      </c>
      <c r="CS347" t="str">
        <f ca="1">IF((OFFSET($A$1, 347 - 1, 95 - 1)) &gt;= (OFFSET($A$1, 54 - 1, 7 - 1)), "1","0")</f>
        <v>1</v>
      </c>
      <c r="CT347">
        <f ca="1" xml:space="preserve"> IF( AND( OFFSET($A$1, 347 - 1, 96 - 1) = "1", OFFSET($A$1, 347 - 1, 97 - 1) = "1" ), 1, IF( AND( OFFSET($A$1, 347 - 1, 96 - 1) = "1", OFFSET($A$1, 347 - 1, 97 - 1) = "0" ), 2, IF( AND( OFFSET($A$1, 347 - 1, 96 - 1) = "0", OFFSET($A$1, 347 - 1, 97 - 1) = "1" ), 3, 4 ) ) )</f>
        <v>1</v>
      </c>
      <c r="CV347" s="24">
        <v>0.99996016595993709</v>
      </c>
      <c r="CW347" s="24" t="str">
        <f>"1"</f>
        <v>1</v>
      </c>
      <c r="CX347" t="str">
        <f ca="1">IF((OFFSET($A$1, 347 - 1, 100 - 1)) &gt;= (OFFSET($A$1, 78 - 1, 7 - 1)), "1","0")</f>
        <v>1</v>
      </c>
      <c r="CY347">
        <f ca="1" xml:space="preserve"> IF( AND( OFFSET($A$1, 347 - 1, 101 - 1) = "1", OFFSET($A$1, 347 - 1, 102 - 1) = "1" ), 1, IF( AND( OFFSET($A$1, 347 - 1, 101 - 1) = "1", OFFSET($A$1, 347 - 1, 102 - 1) = "0" ), 2, IF( AND( OFFSET($A$1, 347 - 1, 101 - 1) = "0", OFFSET($A$1, 347 - 1, 102 - 1) = "1" ), 3, 4 ) ) )</f>
        <v>1</v>
      </c>
    </row>
    <row r="348" spans="95:103" ht="13.8" x14ac:dyDescent="0.3">
      <c r="CQ348" s="24">
        <v>6.3834826983489759E-2</v>
      </c>
      <c r="CR348" s="24" t="str">
        <f>"0"</f>
        <v>0</v>
      </c>
      <c r="CS348" t="str">
        <f ca="1">IF((OFFSET($A$1, 348 - 1, 95 - 1)) &gt;= (OFFSET($A$1, 54 - 1, 7 - 1)), "1","0")</f>
        <v>0</v>
      </c>
      <c r="CT348">
        <f ca="1" xml:space="preserve"> IF( AND( OFFSET($A$1, 348 - 1, 96 - 1) = "1", OFFSET($A$1, 348 - 1, 97 - 1) = "1" ), 1, IF( AND( OFFSET($A$1, 348 - 1, 96 - 1) = "1", OFFSET($A$1, 348 - 1, 97 - 1) = "0" ), 2, IF( AND( OFFSET($A$1, 348 - 1, 96 - 1) = "0", OFFSET($A$1, 348 - 1, 97 - 1) = "1" ), 3, 4 ) ) )</f>
        <v>4</v>
      </c>
      <c r="CV348" s="24">
        <v>0.92644666567536782</v>
      </c>
      <c r="CW348" s="24" t="str">
        <f>"0"</f>
        <v>0</v>
      </c>
      <c r="CX348" t="str">
        <f ca="1">IF((OFFSET($A$1, 348 - 1, 100 - 1)) &gt;= (OFFSET($A$1, 78 - 1, 7 - 1)), "1","0")</f>
        <v>1</v>
      </c>
      <c r="CY348">
        <f ca="1" xml:space="preserve"> IF( AND( OFFSET($A$1, 348 - 1, 101 - 1) = "1", OFFSET($A$1, 348 - 1, 102 - 1) = "1" ), 1, IF( AND( OFFSET($A$1, 348 - 1, 101 - 1) = "1", OFFSET($A$1, 348 - 1, 102 - 1) = "0" ), 2, IF( AND( OFFSET($A$1, 348 - 1, 101 - 1) = "0", OFFSET($A$1, 348 - 1, 102 - 1) = "1" ), 3, 4 ) ) )</f>
        <v>3</v>
      </c>
    </row>
    <row r="349" spans="95:103" ht="13.8" x14ac:dyDescent="0.3">
      <c r="CQ349" s="24">
        <v>0.9174389273994662</v>
      </c>
      <c r="CR349" s="24" t="str">
        <f t="shared" ref="CR349:CR358" si="26">"1"</f>
        <v>1</v>
      </c>
      <c r="CS349" t="str">
        <f ca="1">IF((OFFSET($A$1, 349 - 1, 95 - 1)) &gt;= (OFFSET($A$1, 54 - 1, 7 - 1)), "1","0")</f>
        <v>1</v>
      </c>
      <c r="CT349">
        <f ca="1" xml:space="preserve"> IF( AND( OFFSET($A$1, 349 - 1, 96 - 1) = "1", OFFSET($A$1, 349 - 1, 97 - 1) = "1" ), 1, IF( AND( OFFSET($A$1, 349 - 1, 96 - 1) = "1", OFFSET($A$1, 349 - 1, 97 - 1) = "0" ), 2, IF( AND( OFFSET($A$1, 349 - 1, 96 - 1) = "0", OFFSET($A$1, 349 - 1, 97 - 1) = "1" ), 3, 4 ) ) )</f>
        <v>1</v>
      </c>
      <c r="CV349" s="24">
        <v>0.99944654073078187</v>
      </c>
      <c r="CW349" s="24" t="str">
        <f t="shared" ref="CW349:CW355" si="27">"1"</f>
        <v>1</v>
      </c>
      <c r="CX349" t="str">
        <f ca="1">IF((OFFSET($A$1, 349 - 1, 100 - 1)) &gt;= (OFFSET($A$1, 78 - 1, 7 - 1)), "1","0")</f>
        <v>1</v>
      </c>
      <c r="CY349">
        <f ca="1" xml:space="preserve"> IF( AND( OFFSET($A$1, 349 - 1, 101 - 1) = "1", OFFSET($A$1, 349 - 1, 102 - 1) = "1" ), 1, IF( AND( OFFSET($A$1, 349 - 1, 101 - 1) = "1", OFFSET($A$1, 349 - 1, 102 - 1) = "0" ), 2, IF( AND( OFFSET($A$1, 349 - 1, 101 - 1) = "0", OFFSET($A$1, 349 - 1, 102 - 1) = "1" ), 3, 4 ) ) )</f>
        <v>1</v>
      </c>
    </row>
    <row r="350" spans="95:103" ht="13.8" x14ac:dyDescent="0.3">
      <c r="CQ350" s="24">
        <v>0.9364053769100581</v>
      </c>
      <c r="CR350" s="24" t="str">
        <f t="shared" si="26"/>
        <v>1</v>
      </c>
      <c r="CS350" t="str">
        <f ca="1">IF((OFFSET($A$1, 350 - 1, 95 - 1)) &gt;= (OFFSET($A$1, 54 - 1, 7 - 1)), "1","0")</f>
        <v>1</v>
      </c>
      <c r="CT350">
        <f ca="1" xml:space="preserve"> IF( AND( OFFSET($A$1, 350 - 1, 96 - 1) = "1", OFFSET($A$1, 350 - 1, 97 - 1) = "1" ), 1, IF( AND( OFFSET($A$1, 350 - 1, 96 - 1) = "1", OFFSET($A$1, 350 - 1, 97 - 1) = "0" ), 2, IF( AND( OFFSET($A$1, 350 - 1, 96 - 1) = "0", OFFSET($A$1, 350 - 1, 97 - 1) = "1" ), 3, 4 ) ) )</f>
        <v>1</v>
      </c>
      <c r="CV350" s="24">
        <v>0.11527825150578057</v>
      </c>
      <c r="CW350" s="24" t="str">
        <f t="shared" si="27"/>
        <v>1</v>
      </c>
      <c r="CX350" t="str">
        <f ca="1">IF((OFFSET($A$1, 350 - 1, 100 - 1)) &gt;= (OFFSET($A$1, 78 - 1, 7 - 1)), "1","0")</f>
        <v>0</v>
      </c>
      <c r="CY350">
        <f ca="1" xml:space="preserve"> IF( AND( OFFSET($A$1, 350 - 1, 101 - 1) = "1", OFFSET($A$1, 350 - 1, 102 - 1) = "1" ), 1, IF( AND( OFFSET($A$1, 350 - 1, 101 - 1) = "1", OFFSET($A$1, 350 - 1, 102 - 1) = "0" ), 2, IF( AND( OFFSET($A$1, 350 - 1, 101 - 1) = "0", OFFSET($A$1, 350 - 1, 102 - 1) = "1" ), 3, 4 ) ) )</f>
        <v>2</v>
      </c>
    </row>
    <row r="351" spans="95:103" ht="13.8" x14ac:dyDescent="0.3">
      <c r="CQ351" s="24">
        <v>0.92503314545737714</v>
      </c>
      <c r="CR351" s="24" t="str">
        <f t="shared" si="26"/>
        <v>1</v>
      </c>
      <c r="CS351" t="str">
        <f ca="1">IF((OFFSET($A$1, 351 - 1, 95 - 1)) &gt;= (OFFSET($A$1, 54 - 1, 7 - 1)), "1","0")</f>
        <v>1</v>
      </c>
      <c r="CT351">
        <f ca="1" xml:space="preserve"> IF( AND( OFFSET($A$1, 351 - 1, 96 - 1) = "1", OFFSET($A$1, 351 - 1, 97 - 1) = "1" ), 1, IF( AND( OFFSET($A$1, 351 - 1, 96 - 1) = "1", OFFSET($A$1, 351 - 1, 97 - 1) = "0" ), 2, IF( AND( OFFSET($A$1, 351 - 1, 96 - 1) = "0", OFFSET($A$1, 351 - 1, 97 - 1) = "1" ), 3, 4 ) ) )</f>
        <v>1</v>
      </c>
      <c r="CV351" s="24">
        <v>0.99937167322036535</v>
      </c>
      <c r="CW351" s="24" t="str">
        <f t="shared" si="27"/>
        <v>1</v>
      </c>
      <c r="CX351" t="str">
        <f ca="1">IF((OFFSET($A$1, 351 - 1, 100 - 1)) &gt;= (OFFSET($A$1, 78 - 1, 7 - 1)), "1","0")</f>
        <v>1</v>
      </c>
      <c r="CY351">
        <f ca="1" xml:space="preserve"> IF( AND( OFFSET($A$1, 351 - 1, 101 - 1) = "1", OFFSET($A$1, 351 - 1, 102 - 1) = "1" ), 1, IF( AND( OFFSET($A$1, 351 - 1, 101 - 1) = "1", OFFSET($A$1, 351 - 1, 102 - 1) = "0" ), 2, IF( AND( OFFSET($A$1, 351 - 1, 101 - 1) = "0", OFFSET($A$1, 351 - 1, 102 - 1) = "1" ), 3, 4 ) ) )</f>
        <v>1</v>
      </c>
    </row>
    <row r="352" spans="95:103" ht="13.8" x14ac:dyDescent="0.3">
      <c r="CQ352" s="24">
        <v>0.8788746893244288</v>
      </c>
      <c r="CR352" s="24" t="str">
        <f t="shared" si="26"/>
        <v>1</v>
      </c>
      <c r="CS352" t="str">
        <f ca="1">IF((OFFSET($A$1, 352 - 1, 95 - 1)) &gt;= (OFFSET($A$1, 54 - 1, 7 - 1)), "1","0")</f>
        <v>1</v>
      </c>
      <c r="CT352">
        <f ca="1" xml:space="preserve"> IF( AND( OFFSET($A$1, 352 - 1, 96 - 1) = "1", OFFSET($A$1, 352 - 1, 97 - 1) = "1" ), 1, IF( AND( OFFSET($A$1, 352 - 1, 96 - 1) = "1", OFFSET($A$1, 352 - 1, 97 - 1) = "0" ), 2, IF( AND( OFFSET($A$1, 352 - 1, 96 - 1) = "0", OFFSET($A$1, 352 - 1, 97 - 1) = "1" ), 3, 4 ) ) )</f>
        <v>1</v>
      </c>
      <c r="CV352" s="24">
        <v>0.99894917825735874</v>
      </c>
      <c r="CW352" s="24" t="str">
        <f t="shared" si="27"/>
        <v>1</v>
      </c>
      <c r="CX352" t="str">
        <f ca="1">IF((OFFSET($A$1, 352 - 1, 100 - 1)) &gt;= (OFFSET($A$1, 78 - 1, 7 - 1)), "1","0")</f>
        <v>1</v>
      </c>
      <c r="CY352">
        <f ca="1" xml:space="preserve"> IF( AND( OFFSET($A$1, 352 - 1, 101 - 1) = "1", OFFSET($A$1, 352 - 1, 102 - 1) = "1" ), 1, IF( AND( OFFSET($A$1, 352 - 1, 101 - 1) = "1", OFFSET($A$1, 352 - 1, 102 - 1) = "0" ), 2, IF( AND( OFFSET($A$1, 352 - 1, 101 - 1) = "0", OFFSET($A$1, 352 - 1, 102 - 1) = "1" ), 3, 4 ) ) )</f>
        <v>1</v>
      </c>
    </row>
    <row r="353" spans="95:103" ht="13.8" x14ac:dyDescent="0.3">
      <c r="CQ353" s="24">
        <v>0.95420190331803767</v>
      </c>
      <c r="CR353" s="24" t="str">
        <f t="shared" si="26"/>
        <v>1</v>
      </c>
      <c r="CS353" t="str">
        <f ca="1">IF((OFFSET($A$1, 353 - 1, 95 - 1)) &gt;= (OFFSET($A$1, 54 - 1, 7 - 1)), "1","0")</f>
        <v>1</v>
      </c>
      <c r="CT353">
        <f ca="1" xml:space="preserve"> IF( AND( OFFSET($A$1, 353 - 1, 96 - 1) = "1", OFFSET($A$1, 353 - 1, 97 - 1) = "1" ), 1, IF( AND( OFFSET($A$1, 353 - 1, 96 - 1) = "1", OFFSET($A$1, 353 - 1, 97 - 1) = "0" ), 2, IF( AND( OFFSET($A$1, 353 - 1, 96 - 1) = "0", OFFSET($A$1, 353 - 1, 97 - 1) = "1" ), 3, 4 ) ) )</f>
        <v>1</v>
      </c>
      <c r="CV353" s="24">
        <v>0.8047031035296881</v>
      </c>
      <c r="CW353" s="24" t="str">
        <f t="shared" si="27"/>
        <v>1</v>
      </c>
      <c r="CX353" t="str">
        <f ca="1">IF((OFFSET($A$1, 353 - 1, 100 - 1)) &gt;= (OFFSET($A$1, 78 - 1, 7 - 1)), "1","0")</f>
        <v>1</v>
      </c>
      <c r="CY353">
        <f ca="1" xml:space="preserve"> IF( AND( OFFSET($A$1, 353 - 1, 101 - 1) = "1", OFFSET($A$1, 353 - 1, 102 - 1) = "1" ), 1, IF( AND( OFFSET($A$1, 353 - 1, 101 - 1) = "1", OFFSET($A$1, 353 - 1, 102 - 1) = "0" ), 2, IF( AND( OFFSET($A$1, 353 - 1, 101 - 1) = "0", OFFSET($A$1, 353 - 1, 102 - 1) = "1" ), 3, 4 ) ) )</f>
        <v>1</v>
      </c>
    </row>
    <row r="354" spans="95:103" ht="13.8" x14ac:dyDescent="0.3">
      <c r="CQ354" s="24">
        <v>0.89666848233407415</v>
      </c>
      <c r="CR354" s="24" t="str">
        <f t="shared" si="26"/>
        <v>1</v>
      </c>
      <c r="CS354" t="str">
        <f ca="1">IF((OFFSET($A$1, 354 - 1, 95 - 1)) &gt;= (OFFSET($A$1, 54 - 1, 7 - 1)), "1","0")</f>
        <v>1</v>
      </c>
      <c r="CT354">
        <f ca="1" xml:space="preserve"> IF( AND( OFFSET($A$1, 354 - 1, 96 - 1) = "1", OFFSET($A$1, 354 - 1, 97 - 1) = "1" ), 1, IF( AND( OFFSET($A$1, 354 - 1, 96 - 1) = "1", OFFSET($A$1, 354 - 1, 97 - 1) = "0" ), 2, IF( AND( OFFSET($A$1, 354 - 1, 96 - 1) = "0", OFFSET($A$1, 354 - 1, 97 - 1) = "1" ), 3, 4 ) ) )</f>
        <v>1</v>
      </c>
      <c r="CV354" s="24">
        <v>0.99640207435659311</v>
      </c>
      <c r="CW354" s="24" t="str">
        <f t="shared" si="27"/>
        <v>1</v>
      </c>
      <c r="CX354" t="str">
        <f ca="1">IF((OFFSET($A$1, 354 - 1, 100 - 1)) &gt;= (OFFSET($A$1, 78 - 1, 7 - 1)), "1","0")</f>
        <v>1</v>
      </c>
      <c r="CY354">
        <f ca="1" xml:space="preserve"> IF( AND( OFFSET($A$1, 354 - 1, 101 - 1) = "1", OFFSET($A$1, 354 - 1, 102 - 1) = "1" ), 1, IF( AND( OFFSET($A$1, 354 - 1, 101 - 1) = "1", OFFSET($A$1, 354 - 1, 102 - 1) = "0" ), 2, IF( AND( OFFSET($A$1, 354 - 1, 101 - 1) = "0", OFFSET($A$1, 354 - 1, 102 - 1) = "1" ), 3, 4 ) ) )</f>
        <v>1</v>
      </c>
    </row>
    <row r="355" spans="95:103" ht="13.8" x14ac:dyDescent="0.3">
      <c r="CQ355" s="24">
        <v>0.87120276776123018</v>
      </c>
      <c r="CR355" s="24" t="str">
        <f t="shared" si="26"/>
        <v>1</v>
      </c>
      <c r="CS355" t="str">
        <f ca="1">IF((OFFSET($A$1, 355 - 1, 95 - 1)) &gt;= (OFFSET($A$1, 54 - 1, 7 - 1)), "1","0")</f>
        <v>1</v>
      </c>
      <c r="CT355">
        <f ca="1" xml:space="preserve"> IF( AND( OFFSET($A$1, 355 - 1, 96 - 1) = "1", OFFSET($A$1, 355 - 1, 97 - 1) = "1" ), 1, IF( AND( OFFSET($A$1, 355 - 1, 96 - 1) = "1", OFFSET($A$1, 355 - 1, 97 - 1) = "0" ), 2, IF( AND( OFFSET($A$1, 355 - 1, 96 - 1) = "0", OFFSET($A$1, 355 - 1, 97 - 1) = "1" ), 3, 4 ) ) )</f>
        <v>1</v>
      </c>
      <c r="CV355" s="24">
        <v>0.97712935134106282</v>
      </c>
      <c r="CW355" s="24" t="str">
        <f t="shared" si="27"/>
        <v>1</v>
      </c>
      <c r="CX355" t="str">
        <f ca="1">IF((OFFSET($A$1, 355 - 1, 100 - 1)) &gt;= (OFFSET($A$1, 78 - 1, 7 - 1)), "1","0")</f>
        <v>1</v>
      </c>
      <c r="CY355">
        <f ca="1" xml:space="preserve"> IF( AND( OFFSET($A$1, 355 - 1, 101 - 1) = "1", OFFSET($A$1, 355 - 1, 102 - 1) = "1" ), 1, IF( AND( OFFSET($A$1, 355 - 1, 101 - 1) = "1", OFFSET($A$1, 355 - 1, 102 - 1) = "0" ), 2, IF( AND( OFFSET($A$1, 355 - 1, 101 - 1) = "0", OFFSET($A$1, 355 - 1, 102 - 1) = "1" ), 3, 4 ) ) )</f>
        <v>1</v>
      </c>
    </row>
    <row r="356" spans="95:103" ht="13.8" x14ac:dyDescent="0.3">
      <c r="CQ356" s="24">
        <v>0.92453857587618915</v>
      </c>
      <c r="CR356" s="24" t="str">
        <f t="shared" si="26"/>
        <v>1</v>
      </c>
      <c r="CS356" t="str">
        <f ca="1">IF((OFFSET($A$1, 356 - 1, 95 - 1)) &gt;= (OFFSET($A$1, 54 - 1, 7 - 1)), "1","0")</f>
        <v>1</v>
      </c>
      <c r="CT356">
        <f ca="1" xml:space="preserve"> IF( AND( OFFSET($A$1, 356 - 1, 96 - 1) = "1", OFFSET($A$1, 356 - 1, 97 - 1) = "1" ), 1, IF( AND( OFFSET($A$1, 356 - 1, 96 - 1) = "1", OFFSET($A$1, 356 - 1, 97 - 1) = "0" ), 2, IF( AND( OFFSET($A$1, 356 - 1, 96 - 1) = "0", OFFSET($A$1, 356 - 1, 97 - 1) = "1" ), 3, 4 ) ) )</f>
        <v>1</v>
      </c>
      <c r="CV356" s="24">
        <v>0.99462842921506212</v>
      </c>
      <c r="CW356" s="24" t="str">
        <f>"0"</f>
        <v>0</v>
      </c>
      <c r="CX356" t="str">
        <f ca="1">IF((OFFSET($A$1, 356 - 1, 100 - 1)) &gt;= (OFFSET($A$1, 78 - 1, 7 - 1)), "1","0")</f>
        <v>1</v>
      </c>
      <c r="CY356">
        <f ca="1" xml:space="preserve"> IF( AND( OFFSET($A$1, 356 - 1, 101 - 1) = "1", OFFSET($A$1, 356 - 1, 102 - 1) = "1" ), 1, IF( AND( OFFSET($A$1, 356 - 1, 101 - 1) = "1", OFFSET($A$1, 356 - 1, 102 - 1) = "0" ), 2, IF( AND( OFFSET($A$1, 356 - 1, 101 - 1) = "0", OFFSET($A$1, 356 - 1, 102 - 1) = "1" ), 3, 4 ) ) )</f>
        <v>3</v>
      </c>
    </row>
    <row r="357" spans="95:103" ht="13.8" x14ac:dyDescent="0.3">
      <c r="CQ357" s="24">
        <v>0.84899718452874118</v>
      </c>
      <c r="CR357" s="24" t="str">
        <f t="shared" si="26"/>
        <v>1</v>
      </c>
      <c r="CS357" t="str">
        <f ca="1">IF((OFFSET($A$1, 357 - 1, 95 - 1)) &gt;= (OFFSET($A$1, 54 - 1, 7 - 1)), "1","0")</f>
        <v>1</v>
      </c>
      <c r="CT357">
        <f ca="1" xml:space="preserve"> IF( AND( OFFSET($A$1, 357 - 1, 96 - 1) = "1", OFFSET($A$1, 357 - 1, 97 - 1) = "1" ), 1, IF( AND( OFFSET($A$1, 357 - 1, 96 - 1) = "1", OFFSET($A$1, 357 - 1, 97 - 1) = "0" ), 2, IF( AND( OFFSET($A$1, 357 - 1, 96 - 1) = "0", OFFSET($A$1, 357 - 1, 97 - 1) = "1" ), 3, 4 ) ) )</f>
        <v>1</v>
      </c>
      <c r="CV357" s="24">
        <v>0.90992317042989512</v>
      </c>
      <c r="CW357" s="24" t="str">
        <f t="shared" ref="CW357:CW363" si="28">"1"</f>
        <v>1</v>
      </c>
      <c r="CX357" t="str">
        <f ca="1">IF((OFFSET($A$1, 357 - 1, 100 - 1)) &gt;= (OFFSET($A$1, 78 - 1, 7 - 1)), "1","0")</f>
        <v>1</v>
      </c>
      <c r="CY357">
        <f ca="1" xml:space="preserve"> IF( AND( OFFSET($A$1, 357 - 1, 101 - 1) = "1", OFFSET($A$1, 357 - 1, 102 - 1) = "1" ), 1, IF( AND( OFFSET($A$1, 357 - 1, 101 - 1) = "1", OFFSET($A$1, 357 - 1, 102 - 1) = "0" ), 2, IF( AND( OFFSET($A$1, 357 - 1, 101 - 1) = "0", OFFSET($A$1, 357 - 1, 102 - 1) = "1" ), 3, 4 ) ) )</f>
        <v>1</v>
      </c>
    </row>
    <row r="358" spans="95:103" ht="13.8" x14ac:dyDescent="0.3">
      <c r="CQ358" s="24">
        <v>0.92945364373140871</v>
      </c>
      <c r="CR358" s="24" t="str">
        <f t="shared" si="26"/>
        <v>1</v>
      </c>
      <c r="CS358" t="str">
        <f ca="1">IF((OFFSET($A$1, 358 - 1, 95 - 1)) &gt;= (OFFSET($A$1, 54 - 1, 7 - 1)), "1","0")</f>
        <v>1</v>
      </c>
      <c r="CT358">
        <f ca="1" xml:space="preserve"> IF( AND( OFFSET($A$1, 358 - 1, 96 - 1) = "1", OFFSET($A$1, 358 - 1, 97 - 1) = "1" ), 1, IF( AND( OFFSET($A$1, 358 - 1, 96 - 1) = "1", OFFSET($A$1, 358 - 1, 97 - 1) = "0" ), 2, IF( AND( OFFSET($A$1, 358 - 1, 96 - 1) = "0", OFFSET($A$1, 358 - 1, 97 - 1) = "1" ), 3, 4 ) ) )</f>
        <v>1</v>
      </c>
      <c r="CV358" s="24">
        <v>0.99361977969796322</v>
      </c>
      <c r="CW358" s="24" t="str">
        <f t="shared" si="28"/>
        <v>1</v>
      </c>
      <c r="CX358" t="str">
        <f ca="1">IF((OFFSET($A$1, 358 - 1, 100 - 1)) &gt;= (OFFSET($A$1, 78 - 1, 7 - 1)), "1","0")</f>
        <v>1</v>
      </c>
      <c r="CY358">
        <f ca="1" xml:space="preserve"> IF( AND( OFFSET($A$1, 358 - 1, 101 - 1) = "1", OFFSET($A$1, 358 - 1, 102 - 1) = "1" ), 1, IF( AND( OFFSET($A$1, 358 - 1, 101 - 1) = "1", OFFSET($A$1, 358 - 1, 102 - 1) = "0" ), 2, IF( AND( OFFSET($A$1, 358 - 1, 101 - 1) = "0", OFFSET($A$1, 358 - 1, 102 - 1) = "1" ), 3, 4 ) ) )</f>
        <v>1</v>
      </c>
    </row>
    <row r="359" spans="95:103" ht="13.8" x14ac:dyDescent="0.3">
      <c r="CQ359" s="24">
        <v>5.3558992251405001E-2</v>
      </c>
      <c r="CR359" s="24" t="str">
        <f>"0"</f>
        <v>0</v>
      </c>
      <c r="CS359" t="str">
        <f ca="1">IF((OFFSET($A$1, 359 - 1, 95 - 1)) &gt;= (OFFSET($A$1, 54 - 1, 7 - 1)), "1","0")</f>
        <v>0</v>
      </c>
      <c r="CT359">
        <f ca="1" xml:space="preserve"> IF( AND( OFFSET($A$1, 359 - 1, 96 - 1) = "1", OFFSET($A$1, 359 - 1, 97 - 1) = "1" ), 1, IF( AND( OFFSET($A$1, 359 - 1, 96 - 1) = "1", OFFSET($A$1, 359 - 1, 97 - 1) = "0" ), 2, IF( AND( OFFSET($A$1, 359 - 1, 96 - 1) = "0", OFFSET($A$1, 359 - 1, 97 - 1) = "1" ), 3, 4 ) ) )</f>
        <v>4</v>
      </c>
      <c r="CV359" s="24">
        <v>0.97507880573244876</v>
      </c>
      <c r="CW359" s="24" t="str">
        <f t="shared" si="28"/>
        <v>1</v>
      </c>
      <c r="CX359" t="str">
        <f ca="1">IF((OFFSET($A$1, 359 - 1, 100 - 1)) &gt;= (OFFSET($A$1, 78 - 1, 7 - 1)), "1","0")</f>
        <v>1</v>
      </c>
      <c r="CY359">
        <f ca="1" xml:space="preserve"> IF( AND( OFFSET($A$1, 359 - 1, 101 - 1) = "1", OFFSET($A$1, 359 - 1, 102 - 1) = "1" ), 1, IF( AND( OFFSET($A$1, 359 - 1, 101 - 1) = "1", OFFSET($A$1, 359 - 1, 102 - 1) = "0" ), 2, IF( AND( OFFSET($A$1, 359 - 1, 101 - 1) = "0", OFFSET($A$1, 359 - 1, 102 - 1) = "1" ), 3, 4 ) ) )</f>
        <v>1</v>
      </c>
    </row>
    <row r="360" spans="95:103" ht="13.8" x14ac:dyDescent="0.3">
      <c r="CQ360" s="24">
        <v>1.2195069687081408E-2</v>
      </c>
      <c r="CR360" s="24" t="str">
        <f>"0"</f>
        <v>0</v>
      </c>
      <c r="CS360" t="str">
        <f ca="1">IF((OFFSET($A$1, 360 - 1, 95 - 1)) &gt;= (OFFSET($A$1, 54 - 1, 7 - 1)), "1","0")</f>
        <v>0</v>
      </c>
      <c r="CT360">
        <f ca="1" xml:space="preserve"> IF( AND( OFFSET($A$1, 360 - 1, 96 - 1) = "1", OFFSET($A$1, 360 - 1, 97 - 1) = "1" ), 1, IF( AND( OFFSET($A$1, 360 - 1, 96 - 1) = "1", OFFSET($A$1, 360 - 1, 97 - 1) = "0" ), 2, IF( AND( OFFSET($A$1, 360 - 1, 96 - 1) = "0", OFFSET($A$1, 360 - 1, 97 - 1) = "1" ), 3, 4 ) ) )</f>
        <v>4</v>
      </c>
      <c r="CV360" s="24">
        <v>0.99999299216731385</v>
      </c>
      <c r="CW360" s="24" t="str">
        <f t="shared" si="28"/>
        <v>1</v>
      </c>
      <c r="CX360" t="str">
        <f ca="1">IF((OFFSET($A$1, 360 - 1, 100 - 1)) &gt;= (OFFSET($A$1, 78 - 1, 7 - 1)), "1","0")</f>
        <v>1</v>
      </c>
      <c r="CY360">
        <f ca="1" xml:space="preserve"> IF( AND( OFFSET($A$1, 360 - 1, 101 - 1) = "1", OFFSET($A$1, 360 - 1, 102 - 1) = "1" ), 1, IF( AND( OFFSET($A$1, 360 - 1, 101 - 1) = "1", OFFSET($A$1, 360 - 1, 102 - 1) = "0" ), 2, IF( AND( OFFSET($A$1, 360 - 1, 101 - 1) = "0", OFFSET($A$1, 360 - 1, 102 - 1) = "1" ), 3, 4 ) ) )</f>
        <v>1</v>
      </c>
    </row>
    <row r="361" spans="95:103" ht="13.8" x14ac:dyDescent="0.3">
      <c r="CQ361" s="24">
        <v>0.98827258277452712</v>
      </c>
      <c r="CR361" s="24" t="str">
        <f>"1"</f>
        <v>1</v>
      </c>
      <c r="CS361" t="str">
        <f ca="1">IF((OFFSET($A$1, 361 - 1, 95 - 1)) &gt;= (OFFSET($A$1, 54 - 1, 7 - 1)), "1","0")</f>
        <v>1</v>
      </c>
      <c r="CT361">
        <f ca="1" xml:space="preserve"> IF( AND( OFFSET($A$1, 361 - 1, 96 - 1) = "1", OFFSET($A$1, 361 - 1, 97 - 1) = "1" ), 1, IF( AND( OFFSET($A$1, 361 - 1, 96 - 1) = "1", OFFSET($A$1, 361 - 1, 97 - 1) = "0" ), 2, IF( AND( OFFSET($A$1, 361 - 1, 96 - 1) = "0", OFFSET($A$1, 361 - 1, 97 - 1) = "1" ), 3, 4 ) ) )</f>
        <v>1</v>
      </c>
      <c r="CV361" s="24">
        <v>0.98746047481274191</v>
      </c>
      <c r="CW361" s="24" t="str">
        <f t="shared" si="28"/>
        <v>1</v>
      </c>
      <c r="CX361" t="str">
        <f ca="1">IF((OFFSET($A$1, 361 - 1, 100 - 1)) &gt;= (OFFSET($A$1, 78 - 1, 7 - 1)), "1","0")</f>
        <v>1</v>
      </c>
      <c r="CY361">
        <f ca="1" xml:space="preserve"> IF( AND( OFFSET($A$1, 361 - 1, 101 - 1) = "1", OFFSET($A$1, 361 - 1, 102 - 1) = "1" ), 1, IF( AND( OFFSET($A$1, 361 - 1, 101 - 1) = "1", OFFSET($A$1, 361 - 1, 102 - 1) = "0" ), 2, IF( AND( OFFSET($A$1, 361 - 1, 101 - 1) = "0", OFFSET($A$1, 361 - 1, 102 - 1) = "1" ), 3, 4 ) ) )</f>
        <v>1</v>
      </c>
    </row>
    <row r="362" spans="95:103" ht="13.8" x14ac:dyDescent="0.3">
      <c r="CQ362" s="24">
        <v>0.99632256914035933</v>
      </c>
      <c r="CR362" s="24" t="str">
        <f>"1"</f>
        <v>1</v>
      </c>
      <c r="CS362" t="str">
        <f ca="1">IF((OFFSET($A$1, 362 - 1, 95 - 1)) &gt;= (OFFSET($A$1, 54 - 1, 7 - 1)), "1","0")</f>
        <v>1</v>
      </c>
      <c r="CT362">
        <f ca="1" xml:space="preserve"> IF( AND( OFFSET($A$1, 362 - 1, 96 - 1) = "1", OFFSET($A$1, 362 - 1, 97 - 1) = "1" ), 1, IF( AND( OFFSET($A$1, 362 - 1, 96 - 1) = "1", OFFSET($A$1, 362 - 1, 97 - 1) = "0" ), 2, IF( AND( OFFSET($A$1, 362 - 1, 96 - 1) = "0", OFFSET($A$1, 362 - 1, 97 - 1) = "1" ), 3, 4 ) ) )</f>
        <v>1</v>
      </c>
      <c r="CV362" s="24">
        <v>0.99627174693450138</v>
      </c>
      <c r="CW362" s="24" t="str">
        <f t="shared" si="28"/>
        <v>1</v>
      </c>
      <c r="CX362" t="str">
        <f ca="1">IF((OFFSET($A$1, 362 - 1, 100 - 1)) &gt;= (OFFSET($A$1, 78 - 1, 7 - 1)), "1","0")</f>
        <v>1</v>
      </c>
      <c r="CY362">
        <f ca="1" xml:space="preserve"> IF( AND( OFFSET($A$1, 362 - 1, 101 - 1) = "1", OFFSET($A$1, 362 - 1, 102 - 1) = "1" ), 1, IF( AND( OFFSET($A$1, 362 - 1, 101 - 1) = "1", OFFSET($A$1, 362 - 1, 102 - 1) = "0" ), 2, IF( AND( OFFSET($A$1, 362 - 1, 101 - 1) = "0", OFFSET($A$1, 362 - 1, 102 - 1) = "1" ), 3, 4 ) ) )</f>
        <v>1</v>
      </c>
    </row>
    <row r="363" spans="95:103" ht="13.8" x14ac:dyDescent="0.3">
      <c r="CQ363" s="24">
        <v>0.97023595699596066</v>
      </c>
      <c r="CR363" s="24" t="str">
        <f>"1"</f>
        <v>1</v>
      </c>
      <c r="CS363" t="str">
        <f ca="1">IF((OFFSET($A$1, 363 - 1, 95 - 1)) &gt;= (OFFSET($A$1, 54 - 1, 7 - 1)), "1","0")</f>
        <v>1</v>
      </c>
      <c r="CT363">
        <f ca="1" xml:space="preserve"> IF( AND( OFFSET($A$1, 363 - 1, 96 - 1) = "1", OFFSET($A$1, 363 - 1, 97 - 1) = "1" ), 1, IF( AND( OFFSET($A$1, 363 - 1, 96 - 1) = "1", OFFSET($A$1, 363 - 1, 97 - 1) = "0" ), 2, IF( AND( OFFSET($A$1, 363 - 1, 96 - 1) = "0", OFFSET($A$1, 363 - 1, 97 - 1) = "1" ), 3, 4 ) ) )</f>
        <v>1</v>
      </c>
      <c r="CV363" s="24">
        <v>0.99687507580997348</v>
      </c>
      <c r="CW363" s="24" t="str">
        <f t="shared" si="28"/>
        <v>1</v>
      </c>
      <c r="CX363" t="str">
        <f ca="1">IF((OFFSET($A$1, 363 - 1, 100 - 1)) &gt;= (OFFSET($A$1, 78 - 1, 7 - 1)), "1","0")</f>
        <v>1</v>
      </c>
      <c r="CY363">
        <f ca="1" xml:space="preserve"> IF( AND( OFFSET($A$1, 363 - 1, 101 - 1) = "1", OFFSET($A$1, 363 - 1, 102 - 1) = "1" ), 1, IF( AND( OFFSET($A$1, 363 - 1, 101 - 1) = "1", OFFSET($A$1, 363 - 1, 102 - 1) = "0" ), 2, IF( AND( OFFSET($A$1, 363 - 1, 101 - 1) = "0", OFFSET($A$1, 363 - 1, 102 - 1) = "1" ), 3, 4 ) ) )</f>
        <v>1</v>
      </c>
    </row>
    <row r="364" spans="95:103" ht="13.8" x14ac:dyDescent="0.3">
      <c r="CQ364" s="24">
        <v>7.7509553211863131E-3</v>
      </c>
      <c r="CR364" s="24" t="str">
        <f>"0"</f>
        <v>0</v>
      </c>
      <c r="CS364" t="str">
        <f ca="1">IF((OFFSET($A$1, 364 - 1, 95 - 1)) &gt;= (OFFSET($A$1, 54 - 1, 7 - 1)), "1","0")</f>
        <v>0</v>
      </c>
      <c r="CT364">
        <f ca="1" xml:space="preserve"> IF( AND( OFFSET($A$1, 364 - 1, 96 - 1) = "1", OFFSET($A$1, 364 - 1, 97 - 1) = "1" ), 1, IF( AND( OFFSET($A$1, 364 - 1, 96 - 1) = "1", OFFSET($A$1, 364 - 1, 97 - 1) = "0" ), 2, IF( AND( OFFSET($A$1, 364 - 1, 96 - 1) = "0", OFFSET($A$1, 364 - 1, 97 - 1) = "1" ), 3, 4 ) ) )</f>
        <v>4</v>
      </c>
      <c r="CV364" s="24">
        <v>0.31970038172347781</v>
      </c>
      <c r="CW364" s="24" t="str">
        <f>"0"</f>
        <v>0</v>
      </c>
      <c r="CX364" t="str">
        <f ca="1">IF((OFFSET($A$1, 364 - 1, 100 - 1)) &gt;= (OFFSET($A$1, 78 - 1, 7 - 1)), "1","0")</f>
        <v>0</v>
      </c>
      <c r="CY364">
        <f ca="1" xml:space="preserve"> IF( AND( OFFSET($A$1, 364 - 1, 101 - 1) = "1", OFFSET($A$1, 364 - 1, 102 - 1) = "1" ), 1, IF( AND( OFFSET($A$1, 364 - 1, 101 - 1) = "1", OFFSET($A$1, 364 - 1, 102 - 1) = "0" ), 2, IF( AND( OFFSET($A$1, 364 - 1, 101 - 1) = "0", OFFSET($A$1, 364 - 1, 102 - 1) = "1" ), 3, 4 ) ) )</f>
        <v>4</v>
      </c>
    </row>
    <row r="365" spans="95:103" ht="13.8" x14ac:dyDescent="0.3">
      <c r="CQ365" s="24">
        <v>0.99978776052282281</v>
      </c>
      <c r="CR365" s="24" t="str">
        <f>"1"</f>
        <v>1</v>
      </c>
      <c r="CS365" t="str">
        <f ca="1">IF((OFFSET($A$1, 365 - 1, 95 - 1)) &gt;= (OFFSET($A$1, 54 - 1, 7 - 1)), "1","0")</f>
        <v>1</v>
      </c>
      <c r="CT365">
        <f ca="1" xml:space="preserve"> IF( AND( OFFSET($A$1, 365 - 1, 96 - 1) = "1", OFFSET($A$1, 365 - 1, 97 - 1) = "1" ), 1, IF( AND( OFFSET($A$1, 365 - 1, 96 - 1) = "1", OFFSET($A$1, 365 - 1, 97 - 1) = "0" ), 2, IF( AND( OFFSET($A$1, 365 - 1, 96 - 1) = "0", OFFSET($A$1, 365 - 1, 97 - 1) = "1" ), 3, 4 ) ) )</f>
        <v>1</v>
      </c>
      <c r="CV365" s="24">
        <v>0.1115762471328262</v>
      </c>
      <c r="CW365" s="24" t="str">
        <f t="shared" ref="CW365:CW371" si="29">"1"</f>
        <v>1</v>
      </c>
      <c r="CX365" t="str">
        <f ca="1">IF((OFFSET($A$1, 365 - 1, 100 - 1)) &gt;= (OFFSET($A$1, 78 - 1, 7 - 1)), "1","0")</f>
        <v>0</v>
      </c>
      <c r="CY365">
        <f ca="1" xml:space="preserve"> IF( AND( OFFSET($A$1, 365 - 1, 101 - 1) = "1", OFFSET($A$1, 365 - 1, 102 - 1) = "1" ), 1, IF( AND( OFFSET($A$1, 365 - 1, 101 - 1) = "1", OFFSET($A$1, 365 - 1, 102 - 1) = "0" ), 2, IF( AND( OFFSET($A$1, 365 - 1, 101 - 1) = "0", OFFSET($A$1, 365 - 1, 102 - 1) = "1" ), 3, 4 ) ) )</f>
        <v>2</v>
      </c>
    </row>
    <row r="366" spans="95:103" ht="13.8" x14ac:dyDescent="0.3">
      <c r="CQ366" s="24">
        <v>6.821298487640344E-2</v>
      </c>
      <c r="CR366" s="24" t="str">
        <f>"0"</f>
        <v>0</v>
      </c>
      <c r="CS366" t="str">
        <f ca="1">IF((OFFSET($A$1, 366 - 1, 95 - 1)) &gt;= (OFFSET($A$1, 54 - 1, 7 - 1)), "1","0")</f>
        <v>0</v>
      </c>
      <c r="CT366">
        <f ca="1" xml:space="preserve"> IF( AND( OFFSET($A$1, 366 - 1, 96 - 1) = "1", OFFSET($A$1, 366 - 1, 97 - 1) = "1" ), 1, IF( AND( OFFSET($A$1, 366 - 1, 96 - 1) = "1", OFFSET($A$1, 366 - 1, 97 - 1) = "0" ), 2, IF( AND( OFFSET($A$1, 366 - 1, 96 - 1) = "0", OFFSET($A$1, 366 - 1, 97 - 1) = "1" ), 3, 4 ) ) )</f>
        <v>4</v>
      </c>
      <c r="CV366" s="24">
        <v>0.77437562909657254</v>
      </c>
      <c r="CW366" s="24" t="str">
        <f t="shared" si="29"/>
        <v>1</v>
      </c>
      <c r="CX366" t="str">
        <f ca="1">IF((OFFSET($A$1, 366 - 1, 100 - 1)) &gt;= (OFFSET($A$1, 78 - 1, 7 - 1)), "1","0")</f>
        <v>1</v>
      </c>
      <c r="CY366">
        <f ca="1" xml:space="preserve"> IF( AND( OFFSET($A$1, 366 - 1, 101 - 1) = "1", OFFSET($A$1, 366 - 1, 102 - 1) = "1" ), 1, IF( AND( OFFSET($A$1, 366 - 1, 101 - 1) = "1", OFFSET($A$1, 366 - 1, 102 - 1) = "0" ), 2, IF( AND( OFFSET($A$1, 366 - 1, 101 - 1) = "0", OFFSET($A$1, 366 - 1, 102 - 1) = "1" ), 3, 4 ) ) )</f>
        <v>1</v>
      </c>
    </row>
    <row r="367" spans="95:103" ht="13.8" x14ac:dyDescent="0.3">
      <c r="CQ367" s="24">
        <v>0.10442438126238103</v>
      </c>
      <c r="CR367" s="24" t="str">
        <f>"0"</f>
        <v>0</v>
      </c>
      <c r="CS367" t="str">
        <f ca="1">IF((OFFSET($A$1, 367 - 1, 95 - 1)) &gt;= (OFFSET($A$1, 54 - 1, 7 - 1)), "1","0")</f>
        <v>0</v>
      </c>
      <c r="CT367">
        <f ca="1" xml:space="preserve"> IF( AND( OFFSET($A$1, 367 - 1, 96 - 1) = "1", OFFSET($A$1, 367 - 1, 97 - 1) = "1" ), 1, IF( AND( OFFSET($A$1, 367 - 1, 96 - 1) = "1", OFFSET($A$1, 367 - 1, 97 - 1) = "0" ), 2, IF( AND( OFFSET($A$1, 367 - 1, 96 - 1) = "0", OFFSET($A$1, 367 - 1, 97 - 1) = "1" ), 3, 4 ) ) )</f>
        <v>4</v>
      </c>
      <c r="CV367" s="24">
        <v>0.96904210943404989</v>
      </c>
      <c r="CW367" s="24" t="str">
        <f t="shared" si="29"/>
        <v>1</v>
      </c>
      <c r="CX367" t="str">
        <f ca="1">IF((OFFSET($A$1, 367 - 1, 100 - 1)) &gt;= (OFFSET($A$1, 78 - 1, 7 - 1)), "1","0")</f>
        <v>1</v>
      </c>
      <c r="CY367">
        <f ca="1" xml:space="preserve"> IF( AND( OFFSET($A$1, 367 - 1, 101 - 1) = "1", OFFSET($A$1, 367 - 1, 102 - 1) = "1" ), 1, IF( AND( OFFSET($A$1, 367 - 1, 101 - 1) = "1", OFFSET($A$1, 367 - 1, 102 - 1) = "0" ), 2, IF( AND( OFFSET($A$1, 367 - 1, 101 - 1) = "0", OFFSET($A$1, 367 - 1, 102 - 1) = "1" ), 3, 4 ) ) )</f>
        <v>1</v>
      </c>
    </row>
    <row r="368" spans="95:103" ht="13.8" x14ac:dyDescent="0.3">
      <c r="CQ368" s="24">
        <v>2.9365158480572844E-2</v>
      </c>
      <c r="CR368" s="24" t="str">
        <f>"0"</f>
        <v>0</v>
      </c>
      <c r="CS368" t="str">
        <f ca="1">IF((OFFSET($A$1, 368 - 1, 95 - 1)) &gt;= (OFFSET($A$1, 54 - 1, 7 - 1)), "1","0")</f>
        <v>0</v>
      </c>
      <c r="CT368">
        <f ca="1" xml:space="preserve"> IF( AND( OFFSET($A$1, 368 - 1, 96 - 1) = "1", OFFSET($A$1, 368 - 1, 97 - 1) = "1" ), 1, IF( AND( OFFSET($A$1, 368 - 1, 96 - 1) = "1", OFFSET($A$1, 368 - 1, 97 - 1) = "0" ), 2, IF( AND( OFFSET($A$1, 368 - 1, 96 - 1) = "0", OFFSET($A$1, 368 - 1, 97 - 1) = "1" ), 3, 4 ) ) )</f>
        <v>4</v>
      </c>
      <c r="CV368" s="24">
        <v>0.99981380051147817</v>
      </c>
      <c r="CW368" s="24" t="str">
        <f t="shared" si="29"/>
        <v>1</v>
      </c>
      <c r="CX368" t="str">
        <f ca="1">IF((OFFSET($A$1, 368 - 1, 100 - 1)) &gt;= (OFFSET($A$1, 78 - 1, 7 - 1)), "1","0")</f>
        <v>1</v>
      </c>
      <c r="CY368">
        <f ca="1" xml:space="preserve"> IF( AND( OFFSET($A$1, 368 - 1, 101 - 1) = "1", OFFSET($A$1, 368 - 1, 102 - 1) = "1" ), 1, IF( AND( OFFSET($A$1, 368 - 1, 101 - 1) = "1", OFFSET($A$1, 368 - 1, 102 - 1) = "0" ), 2, IF( AND( OFFSET($A$1, 368 - 1, 101 - 1) = "0", OFFSET($A$1, 368 - 1, 102 - 1) = "1" ), 3, 4 ) ) )</f>
        <v>1</v>
      </c>
    </row>
    <row r="369" spans="95:103" ht="13.8" x14ac:dyDescent="0.3">
      <c r="CQ369" s="24">
        <v>0.9423860954046015</v>
      </c>
      <c r="CR369" s="24" t="str">
        <f t="shared" ref="CR369:CR376" si="30">"1"</f>
        <v>1</v>
      </c>
      <c r="CS369" t="str">
        <f ca="1">IF((OFFSET($A$1, 369 - 1, 95 - 1)) &gt;= (OFFSET($A$1, 54 - 1, 7 - 1)), "1","0")</f>
        <v>1</v>
      </c>
      <c r="CT369">
        <f ca="1" xml:space="preserve"> IF( AND( OFFSET($A$1, 369 - 1, 96 - 1) = "1", OFFSET($A$1, 369 - 1, 97 - 1) = "1" ), 1, IF( AND( OFFSET($A$1, 369 - 1, 96 - 1) = "1", OFFSET($A$1, 369 - 1, 97 - 1) = "0" ), 2, IF( AND( OFFSET($A$1, 369 - 1, 96 - 1) = "0", OFFSET($A$1, 369 - 1, 97 - 1) = "1" ), 3, 4 ) ) )</f>
        <v>1</v>
      </c>
      <c r="CV369" s="24">
        <v>0.99947160461036566</v>
      </c>
      <c r="CW369" s="24" t="str">
        <f t="shared" si="29"/>
        <v>1</v>
      </c>
      <c r="CX369" t="str">
        <f ca="1">IF((OFFSET($A$1, 369 - 1, 100 - 1)) &gt;= (OFFSET($A$1, 78 - 1, 7 - 1)), "1","0")</f>
        <v>1</v>
      </c>
      <c r="CY369">
        <f ca="1" xml:space="preserve"> IF( AND( OFFSET($A$1, 369 - 1, 101 - 1) = "1", OFFSET($A$1, 369 - 1, 102 - 1) = "1" ), 1, IF( AND( OFFSET($A$1, 369 - 1, 101 - 1) = "1", OFFSET($A$1, 369 - 1, 102 - 1) = "0" ), 2, IF( AND( OFFSET($A$1, 369 - 1, 101 - 1) = "0", OFFSET($A$1, 369 - 1, 102 - 1) = "1" ), 3, 4 ) ) )</f>
        <v>1</v>
      </c>
    </row>
    <row r="370" spans="95:103" ht="13.8" x14ac:dyDescent="0.3">
      <c r="CQ370" s="24">
        <v>0.81503502713823972</v>
      </c>
      <c r="CR370" s="24" t="str">
        <f t="shared" si="30"/>
        <v>1</v>
      </c>
      <c r="CS370" t="str">
        <f ca="1">IF((OFFSET($A$1, 370 - 1, 95 - 1)) &gt;= (OFFSET($A$1, 54 - 1, 7 - 1)), "1","0")</f>
        <v>1</v>
      </c>
      <c r="CT370">
        <f ca="1" xml:space="preserve"> IF( AND( OFFSET($A$1, 370 - 1, 96 - 1) = "1", OFFSET($A$1, 370 - 1, 97 - 1) = "1" ), 1, IF( AND( OFFSET($A$1, 370 - 1, 96 - 1) = "1", OFFSET($A$1, 370 - 1, 97 - 1) = "0" ), 2, IF( AND( OFFSET($A$1, 370 - 1, 96 - 1) = "0", OFFSET($A$1, 370 - 1, 97 - 1) = "1" ), 3, 4 ) ) )</f>
        <v>1</v>
      </c>
      <c r="CV370" s="24">
        <v>0.99999460330570333</v>
      </c>
      <c r="CW370" s="24" t="str">
        <f t="shared" si="29"/>
        <v>1</v>
      </c>
      <c r="CX370" t="str">
        <f ca="1">IF((OFFSET($A$1, 370 - 1, 100 - 1)) &gt;= (OFFSET($A$1, 78 - 1, 7 - 1)), "1","0")</f>
        <v>1</v>
      </c>
      <c r="CY370">
        <f ca="1" xml:space="preserve"> IF( AND( OFFSET($A$1, 370 - 1, 101 - 1) = "1", OFFSET($A$1, 370 - 1, 102 - 1) = "1" ), 1, IF( AND( OFFSET($A$1, 370 - 1, 101 - 1) = "1", OFFSET($A$1, 370 - 1, 102 - 1) = "0" ), 2, IF( AND( OFFSET($A$1, 370 - 1, 101 - 1) = "0", OFFSET($A$1, 370 - 1, 102 - 1) = "1" ), 3, 4 ) ) )</f>
        <v>1</v>
      </c>
    </row>
    <row r="371" spans="95:103" ht="13.8" x14ac:dyDescent="0.3">
      <c r="CQ371" s="24">
        <v>0.97926636218032337</v>
      </c>
      <c r="CR371" s="24" t="str">
        <f t="shared" si="30"/>
        <v>1</v>
      </c>
      <c r="CS371" t="str">
        <f ca="1">IF((OFFSET($A$1, 371 - 1, 95 - 1)) &gt;= (OFFSET($A$1, 54 - 1, 7 - 1)), "1","0")</f>
        <v>1</v>
      </c>
      <c r="CT371">
        <f ca="1" xml:space="preserve"> IF( AND( OFFSET($A$1, 371 - 1, 96 - 1) = "1", OFFSET($A$1, 371 - 1, 97 - 1) = "1" ), 1, IF( AND( OFFSET($A$1, 371 - 1, 96 - 1) = "1", OFFSET($A$1, 371 - 1, 97 - 1) = "0" ), 2, IF( AND( OFFSET($A$1, 371 - 1, 96 - 1) = "0", OFFSET($A$1, 371 - 1, 97 - 1) = "1" ), 3, 4 ) ) )</f>
        <v>1</v>
      </c>
      <c r="CV371" s="24">
        <v>0.9980027645978069</v>
      </c>
      <c r="CW371" s="24" t="str">
        <f t="shared" si="29"/>
        <v>1</v>
      </c>
      <c r="CX371" t="str">
        <f ca="1">IF((OFFSET($A$1, 371 - 1, 100 - 1)) &gt;= (OFFSET($A$1, 78 - 1, 7 - 1)), "1","0")</f>
        <v>1</v>
      </c>
      <c r="CY371">
        <f ca="1" xml:space="preserve"> IF( AND( OFFSET($A$1, 371 - 1, 101 - 1) = "1", OFFSET($A$1, 371 - 1, 102 - 1) = "1" ), 1, IF( AND( OFFSET($A$1, 371 - 1, 101 - 1) = "1", OFFSET($A$1, 371 - 1, 102 - 1) = "0" ), 2, IF( AND( OFFSET($A$1, 371 - 1, 101 - 1) = "0", OFFSET($A$1, 371 - 1, 102 - 1) = "1" ), 3, 4 ) ) )</f>
        <v>1</v>
      </c>
    </row>
    <row r="372" spans="95:103" ht="13.8" x14ac:dyDescent="0.3">
      <c r="CQ372" s="24">
        <v>0.99997207270708066</v>
      </c>
      <c r="CR372" s="24" t="str">
        <f t="shared" si="30"/>
        <v>1</v>
      </c>
      <c r="CS372" t="str">
        <f ca="1">IF((OFFSET($A$1, 372 - 1, 95 - 1)) &gt;= (OFFSET($A$1, 54 - 1, 7 - 1)), "1","0")</f>
        <v>1</v>
      </c>
      <c r="CT372">
        <f ca="1" xml:space="preserve"> IF( AND( OFFSET($A$1, 372 - 1, 96 - 1) = "1", OFFSET($A$1, 372 - 1, 97 - 1) = "1" ), 1, IF( AND( OFFSET($A$1, 372 - 1, 96 - 1) = "1", OFFSET($A$1, 372 - 1, 97 - 1) = "0" ), 2, IF( AND( OFFSET($A$1, 372 - 1, 96 - 1) = "0", OFFSET($A$1, 372 - 1, 97 - 1) = "1" ), 3, 4 ) ) )</f>
        <v>1</v>
      </c>
      <c r="CV372" s="24">
        <v>0.99404755427492852</v>
      </c>
      <c r="CW372" s="24" t="str">
        <f>"0"</f>
        <v>0</v>
      </c>
      <c r="CX372" t="str">
        <f ca="1">IF((OFFSET($A$1, 372 - 1, 100 - 1)) &gt;= (OFFSET($A$1, 78 - 1, 7 - 1)), "1","0")</f>
        <v>1</v>
      </c>
      <c r="CY372">
        <f ca="1" xml:space="preserve"> IF( AND( OFFSET($A$1, 372 - 1, 101 - 1) = "1", OFFSET($A$1, 372 - 1, 102 - 1) = "1" ), 1, IF( AND( OFFSET($A$1, 372 - 1, 101 - 1) = "1", OFFSET($A$1, 372 - 1, 102 - 1) = "0" ), 2, IF( AND( OFFSET($A$1, 372 - 1, 101 - 1) = "0", OFFSET($A$1, 372 - 1, 102 - 1) = "1" ), 3, 4 ) ) )</f>
        <v>3</v>
      </c>
    </row>
    <row r="373" spans="95:103" ht="13.8" x14ac:dyDescent="0.3">
      <c r="CQ373" s="24">
        <v>0.98373007848230309</v>
      </c>
      <c r="CR373" s="24" t="str">
        <f t="shared" si="30"/>
        <v>1</v>
      </c>
      <c r="CS373" t="str">
        <f ca="1">IF((OFFSET($A$1, 373 - 1, 95 - 1)) &gt;= (OFFSET($A$1, 54 - 1, 7 - 1)), "1","0")</f>
        <v>1</v>
      </c>
      <c r="CT373">
        <f ca="1" xml:space="preserve"> IF( AND( OFFSET($A$1, 373 - 1, 96 - 1) = "1", OFFSET($A$1, 373 - 1, 97 - 1) = "1" ), 1, IF( AND( OFFSET($A$1, 373 - 1, 96 - 1) = "1", OFFSET($A$1, 373 - 1, 97 - 1) = "0" ), 2, IF( AND( OFFSET($A$1, 373 - 1, 96 - 1) = "0", OFFSET($A$1, 373 - 1, 97 - 1) = "1" ), 3, 4 ) ) )</f>
        <v>1</v>
      </c>
      <c r="CV373" s="24">
        <v>0.93519781272153735</v>
      </c>
      <c r="CW373" s="24" t="str">
        <f>"0"</f>
        <v>0</v>
      </c>
      <c r="CX373" t="str">
        <f ca="1">IF((OFFSET($A$1, 373 - 1, 100 - 1)) &gt;= (OFFSET($A$1, 78 - 1, 7 - 1)), "1","0")</f>
        <v>1</v>
      </c>
      <c r="CY373">
        <f ca="1" xml:space="preserve"> IF( AND( OFFSET($A$1, 373 - 1, 101 - 1) = "1", OFFSET($A$1, 373 - 1, 102 - 1) = "1" ), 1, IF( AND( OFFSET($A$1, 373 - 1, 101 - 1) = "1", OFFSET($A$1, 373 - 1, 102 - 1) = "0" ), 2, IF( AND( OFFSET($A$1, 373 - 1, 101 - 1) = "0", OFFSET($A$1, 373 - 1, 102 - 1) = "1" ), 3, 4 ) ) )</f>
        <v>3</v>
      </c>
    </row>
    <row r="374" spans="95:103" ht="13.8" x14ac:dyDescent="0.3">
      <c r="CQ374" s="24">
        <v>0.96220404823135708</v>
      </c>
      <c r="CR374" s="24" t="str">
        <f t="shared" si="30"/>
        <v>1</v>
      </c>
      <c r="CS374" t="str">
        <f ca="1">IF((OFFSET($A$1, 374 - 1, 95 - 1)) &gt;= (OFFSET($A$1, 54 - 1, 7 - 1)), "1","0")</f>
        <v>1</v>
      </c>
      <c r="CT374">
        <f ca="1" xml:space="preserve"> IF( AND( OFFSET($A$1, 374 - 1, 96 - 1) = "1", OFFSET($A$1, 374 - 1, 97 - 1) = "1" ), 1, IF( AND( OFFSET($A$1, 374 - 1, 96 - 1) = "1", OFFSET($A$1, 374 - 1, 97 - 1) = "0" ), 2, IF( AND( OFFSET($A$1, 374 - 1, 96 - 1) = "0", OFFSET($A$1, 374 - 1, 97 - 1) = "1" ), 3, 4 ) ) )</f>
        <v>1</v>
      </c>
      <c r="CV374" s="24">
        <v>5.2991837553564274E-3</v>
      </c>
      <c r="CW374" s="24" t="str">
        <f>"0"</f>
        <v>0</v>
      </c>
      <c r="CX374" t="str">
        <f ca="1">IF((OFFSET($A$1, 374 - 1, 100 - 1)) &gt;= (OFFSET($A$1, 78 - 1, 7 - 1)), "1","0")</f>
        <v>0</v>
      </c>
      <c r="CY374">
        <f ca="1" xml:space="preserve"> IF( AND( OFFSET($A$1, 374 - 1, 101 - 1) = "1", OFFSET($A$1, 374 - 1, 102 - 1) = "1" ), 1, IF( AND( OFFSET($A$1, 374 - 1, 101 - 1) = "1", OFFSET($A$1, 374 - 1, 102 - 1) = "0" ), 2, IF( AND( OFFSET($A$1, 374 - 1, 101 - 1) = "0", OFFSET($A$1, 374 - 1, 102 - 1) = "1" ), 3, 4 ) ) )</f>
        <v>4</v>
      </c>
    </row>
    <row r="375" spans="95:103" ht="13.8" x14ac:dyDescent="0.3">
      <c r="CQ375" s="24">
        <v>0.9999453258414005</v>
      </c>
      <c r="CR375" s="24" t="str">
        <f t="shared" si="30"/>
        <v>1</v>
      </c>
      <c r="CS375" t="str">
        <f ca="1">IF((OFFSET($A$1, 375 - 1, 95 - 1)) &gt;= (OFFSET($A$1, 54 - 1, 7 - 1)), "1","0")</f>
        <v>1</v>
      </c>
      <c r="CT375">
        <f ca="1" xml:space="preserve"> IF( AND( OFFSET($A$1, 375 - 1, 96 - 1) = "1", OFFSET($A$1, 375 - 1, 97 - 1) = "1" ), 1, IF( AND( OFFSET($A$1, 375 - 1, 96 - 1) = "1", OFFSET($A$1, 375 - 1, 97 - 1) = "0" ), 2, IF( AND( OFFSET($A$1, 375 - 1, 96 - 1) = "0", OFFSET($A$1, 375 - 1, 97 - 1) = "1" ), 3, 4 ) ) )</f>
        <v>1</v>
      </c>
      <c r="CV375" s="24">
        <v>0.98078417424296349</v>
      </c>
      <c r="CW375" s="24" t="str">
        <f>"1"</f>
        <v>1</v>
      </c>
      <c r="CX375" t="str">
        <f ca="1">IF((OFFSET($A$1, 375 - 1, 100 - 1)) &gt;= (OFFSET($A$1, 78 - 1, 7 - 1)), "1","0")</f>
        <v>1</v>
      </c>
      <c r="CY375">
        <f ca="1" xml:space="preserve"> IF( AND( OFFSET($A$1, 375 - 1, 101 - 1) = "1", OFFSET($A$1, 375 - 1, 102 - 1) = "1" ), 1, IF( AND( OFFSET($A$1, 375 - 1, 101 - 1) = "1", OFFSET($A$1, 375 - 1, 102 - 1) = "0" ), 2, IF( AND( OFFSET($A$1, 375 - 1, 101 - 1) = "0", OFFSET($A$1, 375 - 1, 102 - 1) = "1" ), 3, 4 ) ) )</f>
        <v>1</v>
      </c>
    </row>
    <row r="376" spans="95:103" ht="13.8" x14ac:dyDescent="0.3">
      <c r="CQ376" s="24">
        <v>0.99989015734325559</v>
      </c>
      <c r="CR376" s="24" t="str">
        <f t="shared" si="30"/>
        <v>1</v>
      </c>
      <c r="CS376" t="str">
        <f ca="1">IF((OFFSET($A$1, 376 - 1, 95 - 1)) &gt;= (OFFSET($A$1, 54 - 1, 7 - 1)), "1","0")</f>
        <v>1</v>
      </c>
      <c r="CT376">
        <f ca="1" xml:space="preserve"> IF( AND( OFFSET($A$1, 376 - 1, 96 - 1) = "1", OFFSET($A$1, 376 - 1, 97 - 1) = "1" ), 1, IF( AND( OFFSET($A$1, 376 - 1, 96 - 1) = "1", OFFSET($A$1, 376 - 1, 97 - 1) = "0" ), 2, IF( AND( OFFSET($A$1, 376 - 1, 96 - 1) = "0", OFFSET($A$1, 376 - 1, 97 - 1) = "1" ), 3, 4 ) ) )</f>
        <v>1</v>
      </c>
      <c r="CV376" s="24">
        <v>0.95313702075582929</v>
      </c>
      <c r="CW376" s="24" t="str">
        <f>"0"</f>
        <v>0</v>
      </c>
      <c r="CX376" t="str">
        <f ca="1">IF((OFFSET($A$1, 376 - 1, 100 - 1)) &gt;= (OFFSET($A$1, 78 - 1, 7 - 1)), "1","0")</f>
        <v>1</v>
      </c>
      <c r="CY376">
        <f ca="1" xml:space="preserve"> IF( AND( OFFSET($A$1, 376 - 1, 101 - 1) = "1", OFFSET($A$1, 376 - 1, 102 - 1) = "1" ), 1, IF( AND( OFFSET($A$1, 376 - 1, 101 - 1) = "1", OFFSET($A$1, 376 - 1, 102 - 1) = "0" ), 2, IF( AND( OFFSET($A$1, 376 - 1, 101 - 1) = "0", OFFSET($A$1, 376 - 1, 102 - 1) = "1" ), 3, 4 ) ) )</f>
        <v>3</v>
      </c>
    </row>
    <row r="377" spans="95:103" ht="13.8" x14ac:dyDescent="0.3">
      <c r="CQ377" s="24">
        <v>1.2637965537116487E-4</v>
      </c>
      <c r="CR377" s="24" t="str">
        <f>"0"</f>
        <v>0</v>
      </c>
      <c r="CS377" t="str">
        <f ca="1">IF((OFFSET($A$1, 377 - 1, 95 - 1)) &gt;= (OFFSET($A$1, 54 - 1, 7 - 1)), "1","0")</f>
        <v>0</v>
      </c>
      <c r="CT377">
        <f ca="1" xml:space="preserve"> IF( AND( OFFSET($A$1, 377 - 1, 96 - 1) = "1", OFFSET($A$1, 377 - 1, 97 - 1) = "1" ), 1, IF( AND( OFFSET($A$1, 377 - 1, 96 - 1) = "1", OFFSET($A$1, 377 - 1, 97 - 1) = "0" ), 2, IF( AND( OFFSET($A$1, 377 - 1, 96 - 1) = "0", OFFSET($A$1, 377 - 1, 97 - 1) = "1" ), 3, 4 ) ) )</f>
        <v>4</v>
      </c>
      <c r="CV377" s="24">
        <v>0.99692429553457462</v>
      </c>
      <c r="CW377" s="24" t="str">
        <f t="shared" ref="CW377:CW387" si="31">"1"</f>
        <v>1</v>
      </c>
      <c r="CX377" t="str">
        <f ca="1">IF((OFFSET($A$1, 377 - 1, 100 - 1)) &gt;= (OFFSET($A$1, 78 - 1, 7 - 1)), "1","0")</f>
        <v>1</v>
      </c>
      <c r="CY377">
        <f ca="1" xml:space="preserve"> IF( AND( OFFSET($A$1, 377 - 1, 101 - 1) = "1", OFFSET($A$1, 377 - 1, 102 - 1) = "1" ), 1, IF( AND( OFFSET($A$1, 377 - 1, 101 - 1) = "1", OFFSET($A$1, 377 - 1, 102 - 1) = "0" ), 2, IF( AND( OFFSET($A$1, 377 - 1, 101 - 1) = "0", OFFSET($A$1, 377 - 1, 102 - 1) = "1" ), 3, 4 ) ) )</f>
        <v>1</v>
      </c>
    </row>
    <row r="378" spans="95:103" ht="13.8" x14ac:dyDescent="0.3">
      <c r="CQ378" s="24">
        <v>0.97727708422894111</v>
      </c>
      <c r="CR378" s="24" t="str">
        <f>"1"</f>
        <v>1</v>
      </c>
      <c r="CS378" t="str">
        <f ca="1">IF((OFFSET($A$1, 378 - 1, 95 - 1)) &gt;= (OFFSET($A$1, 54 - 1, 7 - 1)), "1","0")</f>
        <v>1</v>
      </c>
      <c r="CT378">
        <f ca="1" xml:space="preserve"> IF( AND( OFFSET($A$1, 378 - 1, 96 - 1) = "1", OFFSET($A$1, 378 - 1, 97 - 1) = "1" ), 1, IF( AND( OFFSET($A$1, 378 - 1, 96 - 1) = "1", OFFSET($A$1, 378 - 1, 97 - 1) = "0" ), 2, IF( AND( OFFSET($A$1, 378 - 1, 96 - 1) = "0", OFFSET($A$1, 378 - 1, 97 - 1) = "1" ), 3, 4 ) ) )</f>
        <v>1</v>
      </c>
      <c r="CV378" s="24">
        <v>5.0909916899420982E-2</v>
      </c>
      <c r="CW378" s="24" t="str">
        <f t="shared" si="31"/>
        <v>1</v>
      </c>
      <c r="CX378" t="str">
        <f ca="1">IF((OFFSET($A$1, 378 - 1, 100 - 1)) &gt;= (OFFSET($A$1, 78 - 1, 7 - 1)), "1","0")</f>
        <v>0</v>
      </c>
      <c r="CY378">
        <f ca="1" xml:space="preserve"> IF( AND( OFFSET($A$1, 378 - 1, 101 - 1) = "1", OFFSET($A$1, 378 - 1, 102 - 1) = "1" ), 1, IF( AND( OFFSET($A$1, 378 - 1, 101 - 1) = "1", OFFSET($A$1, 378 - 1, 102 - 1) = "0" ), 2, IF( AND( OFFSET($A$1, 378 - 1, 101 - 1) = "0", OFFSET($A$1, 378 - 1, 102 - 1) = "1" ), 3, 4 ) ) )</f>
        <v>2</v>
      </c>
    </row>
    <row r="379" spans="95:103" ht="13.8" x14ac:dyDescent="0.3">
      <c r="CQ379" s="24">
        <v>0.99985753024657098</v>
      </c>
      <c r="CR379" s="24" t="str">
        <f>"0"</f>
        <v>0</v>
      </c>
      <c r="CS379" t="str">
        <f ca="1">IF((OFFSET($A$1, 379 - 1, 95 - 1)) &gt;= (OFFSET($A$1, 54 - 1, 7 - 1)), "1","0")</f>
        <v>1</v>
      </c>
      <c r="CT379">
        <f ca="1" xml:space="preserve"> IF( AND( OFFSET($A$1, 379 - 1, 96 - 1) = "1", OFFSET($A$1, 379 - 1, 97 - 1) = "1" ), 1, IF( AND( OFFSET($A$1, 379 - 1, 96 - 1) = "1", OFFSET($A$1, 379 - 1, 97 - 1) = "0" ), 2, IF( AND( OFFSET($A$1, 379 - 1, 96 - 1) = "0", OFFSET($A$1, 379 - 1, 97 - 1) = "1" ), 3, 4 ) ) )</f>
        <v>3</v>
      </c>
      <c r="CV379" s="24">
        <v>0.94782879301651379</v>
      </c>
      <c r="CW379" s="24" t="str">
        <f t="shared" si="31"/>
        <v>1</v>
      </c>
      <c r="CX379" t="str">
        <f ca="1">IF((OFFSET($A$1, 379 - 1, 100 - 1)) &gt;= (OFFSET($A$1, 78 - 1, 7 - 1)), "1","0")</f>
        <v>1</v>
      </c>
      <c r="CY379">
        <f ca="1" xml:space="preserve"> IF( AND( OFFSET($A$1, 379 - 1, 101 - 1) = "1", OFFSET($A$1, 379 - 1, 102 - 1) = "1" ), 1, IF( AND( OFFSET($A$1, 379 - 1, 101 - 1) = "1", OFFSET($A$1, 379 - 1, 102 - 1) = "0" ), 2, IF( AND( OFFSET($A$1, 379 - 1, 101 - 1) = "0", OFFSET($A$1, 379 - 1, 102 - 1) = "1" ), 3, 4 ) ) )</f>
        <v>1</v>
      </c>
    </row>
    <row r="380" spans="95:103" ht="13.8" x14ac:dyDescent="0.3">
      <c r="CQ380" s="24">
        <v>9.7772638357576866E-2</v>
      </c>
      <c r="CR380" s="24" t="str">
        <f>"0"</f>
        <v>0</v>
      </c>
      <c r="CS380" t="str">
        <f ca="1">IF((OFFSET($A$1, 380 - 1, 95 - 1)) &gt;= (OFFSET($A$1, 54 - 1, 7 - 1)), "1","0")</f>
        <v>0</v>
      </c>
      <c r="CT380">
        <f ca="1" xml:space="preserve"> IF( AND( OFFSET($A$1, 380 - 1, 96 - 1) = "1", OFFSET($A$1, 380 - 1, 97 - 1) = "1" ), 1, IF( AND( OFFSET($A$1, 380 - 1, 96 - 1) = "1", OFFSET($A$1, 380 - 1, 97 - 1) = "0" ), 2, IF( AND( OFFSET($A$1, 380 - 1, 96 - 1) = "0", OFFSET($A$1, 380 - 1, 97 - 1) = "1" ), 3, 4 ) ) )</f>
        <v>4</v>
      </c>
      <c r="CV380" s="24">
        <v>4.8267758483185536E-3</v>
      </c>
      <c r="CW380" s="24" t="str">
        <f t="shared" si="31"/>
        <v>1</v>
      </c>
      <c r="CX380" t="str">
        <f ca="1">IF((OFFSET($A$1, 380 - 1, 100 - 1)) &gt;= (OFFSET($A$1, 78 - 1, 7 - 1)), "1","0")</f>
        <v>0</v>
      </c>
      <c r="CY380">
        <f ca="1" xml:space="preserve"> IF( AND( OFFSET($A$1, 380 - 1, 101 - 1) = "1", OFFSET($A$1, 380 - 1, 102 - 1) = "1" ), 1, IF( AND( OFFSET($A$1, 380 - 1, 101 - 1) = "1", OFFSET($A$1, 380 - 1, 102 - 1) = "0" ), 2, IF( AND( OFFSET($A$1, 380 - 1, 101 - 1) = "0", OFFSET($A$1, 380 - 1, 102 - 1) = "1" ), 3, 4 ) ) )</f>
        <v>2</v>
      </c>
    </row>
    <row r="381" spans="95:103" ht="13.8" x14ac:dyDescent="0.3">
      <c r="CQ381" s="24">
        <v>2.3006694980274994E-2</v>
      </c>
      <c r="CR381" s="24" t="str">
        <f>"0"</f>
        <v>0</v>
      </c>
      <c r="CS381" t="str">
        <f ca="1">IF((OFFSET($A$1, 381 - 1, 95 - 1)) &gt;= (OFFSET($A$1, 54 - 1, 7 - 1)), "1","0")</f>
        <v>0</v>
      </c>
      <c r="CT381">
        <f ca="1" xml:space="preserve"> IF( AND( OFFSET($A$1, 381 - 1, 96 - 1) = "1", OFFSET($A$1, 381 - 1, 97 - 1) = "1" ), 1, IF( AND( OFFSET($A$1, 381 - 1, 96 - 1) = "1", OFFSET($A$1, 381 - 1, 97 - 1) = "0" ), 2, IF( AND( OFFSET($A$1, 381 - 1, 96 - 1) = "0", OFFSET($A$1, 381 - 1, 97 - 1) = "1" ), 3, 4 ) ) )</f>
        <v>4</v>
      </c>
      <c r="CV381" s="24">
        <v>0.9998022561312091</v>
      </c>
      <c r="CW381" s="24" t="str">
        <f t="shared" si="31"/>
        <v>1</v>
      </c>
      <c r="CX381" t="str">
        <f ca="1">IF((OFFSET($A$1, 381 - 1, 100 - 1)) &gt;= (OFFSET($A$1, 78 - 1, 7 - 1)), "1","0")</f>
        <v>1</v>
      </c>
      <c r="CY381">
        <f ca="1" xml:space="preserve"> IF( AND( OFFSET($A$1, 381 - 1, 101 - 1) = "1", OFFSET($A$1, 381 - 1, 102 - 1) = "1" ), 1, IF( AND( OFFSET($A$1, 381 - 1, 101 - 1) = "1", OFFSET($A$1, 381 - 1, 102 - 1) = "0" ), 2, IF( AND( OFFSET($A$1, 381 - 1, 101 - 1) = "0", OFFSET($A$1, 381 - 1, 102 - 1) = "1" ), 3, 4 ) ) )</f>
        <v>1</v>
      </c>
    </row>
    <row r="382" spans="95:103" ht="13.8" x14ac:dyDescent="0.3">
      <c r="CQ382" s="24">
        <v>0.99908649523647586</v>
      </c>
      <c r="CR382" s="24" t="str">
        <f>"1"</f>
        <v>1</v>
      </c>
      <c r="CS382" t="str">
        <f ca="1">IF((OFFSET($A$1, 382 - 1, 95 - 1)) &gt;= (OFFSET($A$1, 54 - 1, 7 - 1)), "1","0")</f>
        <v>1</v>
      </c>
      <c r="CT382">
        <f ca="1" xml:space="preserve"> IF( AND( OFFSET($A$1, 382 - 1, 96 - 1) = "1", OFFSET($A$1, 382 - 1, 97 - 1) = "1" ), 1, IF( AND( OFFSET($A$1, 382 - 1, 96 - 1) = "1", OFFSET($A$1, 382 - 1, 97 - 1) = "0" ), 2, IF( AND( OFFSET($A$1, 382 - 1, 96 - 1) = "0", OFFSET($A$1, 382 - 1, 97 - 1) = "1" ), 3, 4 ) ) )</f>
        <v>1</v>
      </c>
      <c r="CV382" s="24">
        <v>0.69387620562706021</v>
      </c>
      <c r="CW382" s="24" t="str">
        <f t="shared" si="31"/>
        <v>1</v>
      </c>
      <c r="CX382" t="str">
        <f ca="1">IF((OFFSET($A$1, 382 - 1, 100 - 1)) &gt;= (OFFSET($A$1, 78 - 1, 7 - 1)), "1","0")</f>
        <v>1</v>
      </c>
      <c r="CY382">
        <f ca="1" xml:space="preserve"> IF( AND( OFFSET($A$1, 382 - 1, 101 - 1) = "1", OFFSET($A$1, 382 - 1, 102 - 1) = "1" ), 1, IF( AND( OFFSET($A$1, 382 - 1, 101 - 1) = "1", OFFSET($A$1, 382 - 1, 102 - 1) = "0" ), 2, IF( AND( OFFSET($A$1, 382 - 1, 101 - 1) = "0", OFFSET($A$1, 382 - 1, 102 - 1) = "1" ), 3, 4 ) ) )</f>
        <v>1</v>
      </c>
    </row>
    <row r="383" spans="95:103" ht="13.8" x14ac:dyDescent="0.3">
      <c r="CQ383" s="24">
        <v>1.4114115450255834E-2</v>
      </c>
      <c r="CR383" s="24" t="str">
        <f>"0"</f>
        <v>0</v>
      </c>
      <c r="CS383" t="str">
        <f ca="1">IF((OFFSET($A$1, 383 - 1, 95 - 1)) &gt;= (OFFSET($A$1, 54 - 1, 7 - 1)), "1","0")</f>
        <v>0</v>
      </c>
      <c r="CT383">
        <f ca="1" xml:space="preserve"> IF( AND( OFFSET($A$1, 383 - 1, 96 - 1) = "1", OFFSET($A$1, 383 - 1, 97 - 1) = "1" ), 1, IF( AND( OFFSET($A$1, 383 - 1, 96 - 1) = "1", OFFSET($A$1, 383 - 1, 97 - 1) = "0" ), 2, IF( AND( OFFSET($A$1, 383 - 1, 96 - 1) = "0", OFFSET($A$1, 383 - 1, 97 - 1) = "1" ), 3, 4 ) ) )</f>
        <v>4</v>
      </c>
      <c r="CV383" s="24">
        <v>0.99997974110074106</v>
      </c>
      <c r="CW383" s="24" t="str">
        <f t="shared" si="31"/>
        <v>1</v>
      </c>
      <c r="CX383" t="str">
        <f ca="1">IF((OFFSET($A$1, 383 - 1, 100 - 1)) &gt;= (OFFSET($A$1, 78 - 1, 7 - 1)), "1","0")</f>
        <v>1</v>
      </c>
      <c r="CY383">
        <f ca="1" xml:space="preserve"> IF( AND( OFFSET($A$1, 383 - 1, 101 - 1) = "1", OFFSET($A$1, 383 - 1, 102 - 1) = "1" ), 1, IF( AND( OFFSET($A$1, 383 - 1, 101 - 1) = "1", OFFSET($A$1, 383 - 1, 102 - 1) = "0" ), 2, IF( AND( OFFSET($A$1, 383 - 1, 101 - 1) = "0", OFFSET($A$1, 383 - 1, 102 - 1) = "1" ), 3, 4 ) ) )</f>
        <v>1</v>
      </c>
    </row>
    <row r="384" spans="95:103" ht="13.8" x14ac:dyDescent="0.3">
      <c r="CQ384" s="24">
        <v>0.99992897967155603</v>
      </c>
      <c r="CR384" s="24" t="str">
        <f>"1"</f>
        <v>1</v>
      </c>
      <c r="CS384" t="str">
        <f ca="1">IF((OFFSET($A$1, 384 - 1, 95 - 1)) &gt;= (OFFSET($A$1, 54 - 1, 7 - 1)), "1","0")</f>
        <v>1</v>
      </c>
      <c r="CT384">
        <f ca="1" xml:space="preserve"> IF( AND( OFFSET($A$1, 384 - 1, 96 - 1) = "1", OFFSET($A$1, 384 - 1, 97 - 1) = "1" ), 1, IF( AND( OFFSET($A$1, 384 - 1, 96 - 1) = "1", OFFSET($A$1, 384 - 1, 97 - 1) = "0" ), 2, IF( AND( OFFSET($A$1, 384 - 1, 96 - 1) = "0", OFFSET($A$1, 384 - 1, 97 - 1) = "1" ), 3, 4 ) ) )</f>
        <v>1</v>
      </c>
      <c r="CV384" s="24">
        <v>0.99899207361882714</v>
      </c>
      <c r="CW384" s="24" t="str">
        <f t="shared" si="31"/>
        <v>1</v>
      </c>
      <c r="CX384" t="str">
        <f ca="1">IF((OFFSET($A$1, 384 - 1, 100 - 1)) &gt;= (OFFSET($A$1, 78 - 1, 7 - 1)), "1","0")</f>
        <v>1</v>
      </c>
      <c r="CY384">
        <f ca="1" xml:space="preserve"> IF( AND( OFFSET($A$1, 384 - 1, 101 - 1) = "1", OFFSET($A$1, 384 - 1, 102 - 1) = "1" ), 1, IF( AND( OFFSET($A$1, 384 - 1, 101 - 1) = "1", OFFSET($A$1, 384 - 1, 102 - 1) = "0" ), 2, IF( AND( OFFSET($A$1, 384 - 1, 101 - 1) = "0", OFFSET($A$1, 384 - 1, 102 - 1) = "1" ), 3, 4 ) ) )</f>
        <v>1</v>
      </c>
    </row>
    <row r="385" spans="95:103" ht="13.8" x14ac:dyDescent="0.3">
      <c r="CQ385" s="24">
        <v>0.93199361421533777</v>
      </c>
      <c r="CR385" s="24" t="str">
        <f>"1"</f>
        <v>1</v>
      </c>
      <c r="CS385" t="str">
        <f ca="1">IF((OFFSET($A$1, 385 - 1, 95 - 1)) &gt;= (OFFSET($A$1, 54 - 1, 7 - 1)), "1","0")</f>
        <v>1</v>
      </c>
      <c r="CT385">
        <f ca="1" xml:space="preserve"> IF( AND( OFFSET($A$1, 385 - 1, 96 - 1) = "1", OFFSET($A$1, 385 - 1, 97 - 1) = "1" ), 1, IF( AND( OFFSET($A$1, 385 - 1, 96 - 1) = "1", OFFSET($A$1, 385 - 1, 97 - 1) = "0" ), 2, IF( AND( OFFSET($A$1, 385 - 1, 96 - 1) = "0", OFFSET($A$1, 385 - 1, 97 - 1) = "1" ), 3, 4 ) ) )</f>
        <v>1</v>
      </c>
      <c r="CV385" s="24">
        <v>0.97615536180826357</v>
      </c>
      <c r="CW385" s="24" t="str">
        <f t="shared" si="31"/>
        <v>1</v>
      </c>
      <c r="CX385" t="str">
        <f ca="1">IF((OFFSET($A$1, 385 - 1, 100 - 1)) &gt;= (OFFSET($A$1, 78 - 1, 7 - 1)), "1","0")</f>
        <v>1</v>
      </c>
      <c r="CY385">
        <f ca="1" xml:space="preserve"> IF( AND( OFFSET($A$1, 385 - 1, 101 - 1) = "1", OFFSET($A$1, 385 - 1, 102 - 1) = "1" ), 1, IF( AND( OFFSET($A$1, 385 - 1, 101 - 1) = "1", OFFSET($A$1, 385 - 1, 102 - 1) = "0" ), 2, IF( AND( OFFSET($A$1, 385 - 1, 101 - 1) = "0", OFFSET($A$1, 385 - 1, 102 - 1) = "1" ), 3, 4 ) ) )</f>
        <v>1</v>
      </c>
    </row>
    <row r="386" spans="95:103" ht="13.8" x14ac:dyDescent="0.3">
      <c r="CQ386" s="24">
        <v>9.7338322655702178E-2</v>
      </c>
      <c r="CR386" s="24" t="str">
        <f>"0"</f>
        <v>0</v>
      </c>
      <c r="CS386" t="str">
        <f ca="1">IF((OFFSET($A$1, 386 - 1, 95 - 1)) &gt;= (OFFSET($A$1, 54 - 1, 7 - 1)), "1","0")</f>
        <v>0</v>
      </c>
      <c r="CT386">
        <f ca="1" xml:space="preserve"> IF( AND( OFFSET($A$1, 386 - 1, 96 - 1) = "1", OFFSET($A$1, 386 - 1, 97 - 1) = "1" ), 1, IF( AND( OFFSET($A$1, 386 - 1, 96 - 1) = "1", OFFSET($A$1, 386 - 1, 97 - 1) = "0" ), 2, IF( AND( OFFSET($A$1, 386 - 1, 96 - 1) = "0", OFFSET($A$1, 386 - 1, 97 - 1) = "1" ), 3, 4 ) ) )</f>
        <v>4</v>
      </c>
      <c r="CV386" s="24">
        <v>0.99995341249488745</v>
      </c>
      <c r="CW386" s="24" t="str">
        <f t="shared" si="31"/>
        <v>1</v>
      </c>
      <c r="CX386" t="str">
        <f ca="1">IF((OFFSET($A$1, 386 - 1, 100 - 1)) &gt;= (OFFSET($A$1, 78 - 1, 7 - 1)), "1","0")</f>
        <v>1</v>
      </c>
      <c r="CY386">
        <f ca="1" xml:space="preserve"> IF( AND( OFFSET($A$1, 386 - 1, 101 - 1) = "1", OFFSET($A$1, 386 - 1, 102 - 1) = "1" ), 1, IF( AND( OFFSET($A$1, 386 - 1, 101 - 1) = "1", OFFSET($A$1, 386 - 1, 102 - 1) = "0" ), 2, IF( AND( OFFSET($A$1, 386 - 1, 101 - 1) = "0", OFFSET($A$1, 386 - 1, 102 - 1) = "1" ), 3, 4 ) ) )</f>
        <v>1</v>
      </c>
    </row>
    <row r="387" spans="95:103" ht="13.8" x14ac:dyDescent="0.3">
      <c r="CQ387" s="24">
        <v>0.99259280314443277</v>
      </c>
      <c r="CR387" s="24" t="str">
        <f t="shared" ref="CR387:CR392" si="32">"1"</f>
        <v>1</v>
      </c>
      <c r="CS387" t="str">
        <f ca="1">IF((OFFSET($A$1, 387 - 1, 95 - 1)) &gt;= (OFFSET($A$1, 54 - 1, 7 - 1)), "1","0")</f>
        <v>1</v>
      </c>
      <c r="CT387">
        <f ca="1" xml:space="preserve"> IF( AND( OFFSET($A$1, 387 - 1, 96 - 1) = "1", OFFSET($A$1, 387 - 1, 97 - 1) = "1" ), 1, IF( AND( OFFSET($A$1, 387 - 1, 96 - 1) = "1", OFFSET($A$1, 387 - 1, 97 - 1) = "0" ), 2, IF( AND( OFFSET($A$1, 387 - 1, 96 - 1) = "0", OFFSET($A$1, 387 - 1, 97 - 1) = "1" ), 3, 4 ) ) )</f>
        <v>1</v>
      </c>
      <c r="CV387" s="24">
        <v>0.99998944305633408</v>
      </c>
      <c r="CW387" s="24" t="str">
        <f t="shared" si="31"/>
        <v>1</v>
      </c>
      <c r="CX387" t="str">
        <f ca="1">IF((OFFSET($A$1, 387 - 1, 100 - 1)) &gt;= (OFFSET($A$1, 78 - 1, 7 - 1)), "1","0")</f>
        <v>1</v>
      </c>
      <c r="CY387">
        <f ca="1" xml:space="preserve"> IF( AND( OFFSET($A$1, 387 - 1, 101 - 1) = "1", OFFSET($A$1, 387 - 1, 102 - 1) = "1" ), 1, IF( AND( OFFSET($A$1, 387 - 1, 101 - 1) = "1", OFFSET($A$1, 387 - 1, 102 - 1) = "0" ), 2, IF( AND( OFFSET($A$1, 387 - 1, 101 - 1) = "0", OFFSET($A$1, 387 - 1, 102 - 1) = "1" ), 3, 4 ) ) )</f>
        <v>1</v>
      </c>
    </row>
    <row r="388" spans="95:103" ht="13.8" x14ac:dyDescent="0.3">
      <c r="CQ388" s="24">
        <v>0.99471946604475348</v>
      </c>
      <c r="CR388" s="24" t="str">
        <f t="shared" si="32"/>
        <v>1</v>
      </c>
      <c r="CS388" t="str">
        <f ca="1">IF((OFFSET($A$1, 388 - 1, 95 - 1)) &gt;= (OFFSET($A$1, 54 - 1, 7 - 1)), "1","0")</f>
        <v>1</v>
      </c>
      <c r="CT388">
        <f ca="1" xml:space="preserve"> IF( AND( OFFSET($A$1, 388 - 1, 96 - 1) = "1", OFFSET($A$1, 388 - 1, 97 - 1) = "1" ), 1, IF( AND( OFFSET($A$1, 388 - 1, 96 - 1) = "1", OFFSET($A$1, 388 - 1, 97 - 1) = "0" ), 2, IF( AND( OFFSET($A$1, 388 - 1, 96 - 1) = "0", OFFSET($A$1, 388 - 1, 97 - 1) = "1" ), 3, 4 ) ) )</f>
        <v>1</v>
      </c>
      <c r="CV388" s="24">
        <v>4.8891084222082177E-3</v>
      </c>
      <c r="CW388" s="24" t="str">
        <f>"0"</f>
        <v>0</v>
      </c>
      <c r="CX388" t="str">
        <f ca="1">IF((OFFSET($A$1, 388 - 1, 100 - 1)) &gt;= (OFFSET($A$1, 78 - 1, 7 - 1)), "1","0")</f>
        <v>0</v>
      </c>
      <c r="CY388">
        <f ca="1" xml:space="preserve"> IF( AND( OFFSET($A$1, 388 - 1, 101 - 1) = "1", OFFSET($A$1, 388 - 1, 102 - 1) = "1" ), 1, IF( AND( OFFSET($A$1, 388 - 1, 101 - 1) = "1", OFFSET($A$1, 388 - 1, 102 - 1) = "0" ), 2, IF( AND( OFFSET($A$1, 388 - 1, 101 - 1) = "0", OFFSET($A$1, 388 - 1, 102 - 1) = "1" ), 3, 4 ) ) )</f>
        <v>4</v>
      </c>
    </row>
    <row r="389" spans="95:103" ht="13.8" x14ac:dyDescent="0.3">
      <c r="CQ389" s="24">
        <v>0.96429237397648315</v>
      </c>
      <c r="CR389" s="24" t="str">
        <f t="shared" si="32"/>
        <v>1</v>
      </c>
      <c r="CS389" t="str">
        <f ca="1">IF((OFFSET($A$1, 389 - 1, 95 - 1)) &gt;= (OFFSET($A$1, 54 - 1, 7 - 1)), "1","0")</f>
        <v>1</v>
      </c>
      <c r="CT389">
        <f ca="1" xml:space="preserve"> IF( AND( OFFSET($A$1, 389 - 1, 96 - 1) = "1", OFFSET($A$1, 389 - 1, 97 - 1) = "1" ), 1, IF( AND( OFFSET($A$1, 389 - 1, 96 - 1) = "1", OFFSET($A$1, 389 - 1, 97 - 1) = "0" ), 2, IF( AND( OFFSET($A$1, 389 - 1, 96 - 1) = "0", OFFSET($A$1, 389 - 1, 97 - 1) = "1" ), 3, 4 ) ) )</f>
        <v>1</v>
      </c>
      <c r="CV389" s="24">
        <v>0.99999987697046744</v>
      </c>
      <c r="CW389" s="24" t="str">
        <f>"1"</f>
        <v>1</v>
      </c>
      <c r="CX389" t="str">
        <f ca="1">IF((OFFSET($A$1, 389 - 1, 100 - 1)) &gt;= (OFFSET($A$1, 78 - 1, 7 - 1)), "1","0")</f>
        <v>1</v>
      </c>
      <c r="CY389">
        <f ca="1" xml:space="preserve"> IF( AND( OFFSET($A$1, 389 - 1, 101 - 1) = "1", OFFSET($A$1, 389 - 1, 102 - 1) = "1" ), 1, IF( AND( OFFSET($A$1, 389 - 1, 101 - 1) = "1", OFFSET($A$1, 389 - 1, 102 - 1) = "0" ), 2, IF( AND( OFFSET($A$1, 389 - 1, 101 - 1) = "0", OFFSET($A$1, 389 - 1, 102 - 1) = "1" ), 3, 4 ) ) )</f>
        <v>1</v>
      </c>
    </row>
    <row r="390" spans="95:103" ht="13.8" x14ac:dyDescent="0.3">
      <c r="CQ390" s="24">
        <v>0.91744299193910328</v>
      </c>
      <c r="CR390" s="24" t="str">
        <f t="shared" si="32"/>
        <v>1</v>
      </c>
      <c r="CS390" t="str">
        <f ca="1">IF((OFFSET($A$1, 390 - 1, 95 - 1)) &gt;= (OFFSET($A$1, 54 - 1, 7 - 1)), "1","0")</f>
        <v>1</v>
      </c>
      <c r="CT390">
        <f ca="1" xml:space="preserve"> IF( AND( OFFSET($A$1, 390 - 1, 96 - 1) = "1", OFFSET($A$1, 390 - 1, 97 - 1) = "1" ), 1, IF( AND( OFFSET($A$1, 390 - 1, 96 - 1) = "1", OFFSET($A$1, 390 - 1, 97 - 1) = "0" ), 2, IF( AND( OFFSET($A$1, 390 - 1, 96 - 1) = "0", OFFSET($A$1, 390 - 1, 97 - 1) = "1" ), 3, 4 ) ) )</f>
        <v>1</v>
      </c>
      <c r="CV390" s="24">
        <v>7.2607793356478925E-3</v>
      </c>
      <c r="CW390" s="24" t="str">
        <f>"0"</f>
        <v>0</v>
      </c>
      <c r="CX390" t="str">
        <f ca="1">IF((OFFSET($A$1, 390 - 1, 100 - 1)) &gt;= (OFFSET($A$1, 78 - 1, 7 - 1)), "1","0")</f>
        <v>0</v>
      </c>
      <c r="CY390">
        <f ca="1" xml:space="preserve"> IF( AND( OFFSET($A$1, 390 - 1, 101 - 1) = "1", OFFSET($A$1, 390 - 1, 102 - 1) = "1" ), 1, IF( AND( OFFSET($A$1, 390 - 1, 101 - 1) = "1", OFFSET($A$1, 390 - 1, 102 - 1) = "0" ), 2, IF( AND( OFFSET($A$1, 390 - 1, 101 - 1) = "0", OFFSET($A$1, 390 - 1, 102 - 1) = "1" ), 3, 4 ) ) )</f>
        <v>4</v>
      </c>
    </row>
    <row r="391" spans="95:103" ht="13.8" x14ac:dyDescent="0.3">
      <c r="CQ391" s="24">
        <v>0.99991642123732538</v>
      </c>
      <c r="CR391" s="24" t="str">
        <f t="shared" si="32"/>
        <v>1</v>
      </c>
      <c r="CS391" t="str">
        <f ca="1">IF((OFFSET($A$1, 391 - 1, 95 - 1)) &gt;= (OFFSET($A$1, 54 - 1, 7 - 1)), "1","0")</f>
        <v>1</v>
      </c>
      <c r="CT391">
        <f ca="1" xml:space="preserve"> IF( AND( OFFSET($A$1, 391 - 1, 96 - 1) = "1", OFFSET($A$1, 391 - 1, 97 - 1) = "1" ), 1, IF( AND( OFFSET($A$1, 391 - 1, 96 - 1) = "1", OFFSET($A$1, 391 - 1, 97 - 1) = "0" ), 2, IF( AND( OFFSET($A$1, 391 - 1, 96 - 1) = "0", OFFSET($A$1, 391 - 1, 97 - 1) = "1" ), 3, 4 ) ) )</f>
        <v>1</v>
      </c>
      <c r="CV391" s="24">
        <v>0.20319405763290932</v>
      </c>
      <c r="CW391" s="24" t="str">
        <f>"1"</f>
        <v>1</v>
      </c>
      <c r="CX391" t="str">
        <f ca="1">IF((OFFSET($A$1, 391 - 1, 100 - 1)) &gt;= (OFFSET($A$1, 78 - 1, 7 - 1)), "1","0")</f>
        <v>0</v>
      </c>
      <c r="CY391">
        <f ca="1" xml:space="preserve"> IF( AND( OFFSET($A$1, 391 - 1, 101 - 1) = "1", OFFSET($A$1, 391 - 1, 102 - 1) = "1" ), 1, IF( AND( OFFSET($A$1, 391 - 1, 101 - 1) = "1", OFFSET($A$1, 391 - 1, 102 - 1) = "0" ), 2, IF( AND( OFFSET($A$1, 391 - 1, 101 - 1) = "0", OFFSET($A$1, 391 - 1, 102 - 1) = "1" ), 3, 4 ) ) )</f>
        <v>2</v>
      </c>
    </row>
    <row r="392" spans="95:103" ht="13.8" x14ac:dyDescent="0.3">
      <c r="CQ392" s="24">
        <v>0.99994220972888981</v>
      </c>
      <c r="CR392" s="24" t="str">
        <f t="shared" si="32"/>
        <v>1</v>
      </c>
      <c r="CS392" t="str">
        <f ca="1">IF((OFFSET($A$1, 392 - 1, 95 - 1)) &gt;= (OFFSET($A$1, 54 - 1, 7 - 1)), "1","0")</f>
        <v>1</v>
      </c>
      <c r="CT392">
        <f ca="1" xml:space="preserve"> IF( AND( OFFSET($A$1, 392 - 1, 96 - 1) = "1", OFFSET($A$1, 392 - 1, 97 - 1) = "1" ), 1, IF( AND( OFFSET($A$1, 392 - 1, 96 - 1) = "1", OFFSET($A$1, 392 - 1, 97 - 1) = "0" ), 2, IF( AND( OFFSET($A$1, 392 - 1, 96 - 1) = "0", OFFSET($A$1, 392 - 1, 97 - 1) = "1" ), 3, 4 ) ) )</f>
        <v>1</v>
      </c>
      <c r="CV392" s="24">
        <v>0.99999111840151</v>
      </c>
      <c r="CW392" s="24" t="str">
        <f>"1"</f>
        <v>1</v>
      </c>
      <c r="CX392" t="str">
        <f ca="1">IF((OFFSET($A$1, 392 - 1, 100 - 1)) &gt;= (OFFSET($A$1, 78 - 1, 7 - 1)), "1","0")</f>
        <v>1</v>
      </c>
      <c r="CY392">
        <f ca="1" xml:space="preserve"> IF( AND( OFFSET($A$1, 392 - 1, 101 - 1) = "1", OFFSET($A$1, 392 - 1, 102 - 1) = "1" ), 1, IF( AND( OFFSET($A$1, 392 - 1, 101 - 1) = "1", OFFSET($A$1, 392 - 1, 102 - 1) = "0" ), 2, IF( AND( OFFSET($A$1, 392 - 1, 101 - 1) = "0", OFFSET($A$1, 392 - 1, 102 - 1) = "1" ), 3, 4 ) ) )</f>
        <v>1</v>
      </c>
    </row>
    <row r="393" spans="95:103" ht="13.8" x14ac:dyDescent="0.3">
      <c r="CQ393" s="24">
        <v>8.5875251976894024E-2</v>
      </c>
      <c r="CR393" s="24" t="str">
        <f>"0"</f>
        <v>0</v>
      </c>
      <c r="CS393" t="str">
        <f ca="1">IF((OFFSET($A$1, 393 - 1, 95 - 1)) &gt;= (OFFSET($A$1, 54 - 1, 7 - 1)), "1","0")</f>
        <v>0</v>
      </c>
      <c r="CT393">
        <f ca="1" xml:space="preserve"> IF( AND( OFFSET($A$1, 393 - 1, 96 - 1) = "1", OFFSET($A$1, 393 - 1, 97 - 1) = "1" ), 1, IF( AND( OFFSET($A$1, 393 - 1, 96 - 1) = "1", OFFSET($A$1, 393 - 1, 97 - 1) = "0" ), 2, IF( AND( OFFSET($A$1, 393 - 1, 96 - 1) = "0", OFFSET($A$1, 393 - 1, 97 - 1) = "1" ), 3, 4 ) ) )</f>
        <v>4</v>
      </c>
      <c r="CV393" s="24">
        <v>0.99961388374100968</v>
      </c>
      <c r="CW393" s="24" t="str">
        <f>"0"</f>
        <v>0</v>
      </c>
      <c r="CX393" t="str">
        <f ca="1">IF((OFFSET($A$1, 393 - 1, 100 - 1)) &gt;= (OFFSET($A$1, 78 - 1, 7 - 1)), "1","0")</f>
        <v>1</v>
      </c>
      <c r="CY393">
        <f ca="1" xml:space="preserve"> IF( AND( OFFSET($A$1, 393 - 1, 101 - 1) = "1", OFFSET($A$1, 393 - 1, 102 - 1) = "1" ), 1, IF( AND( OFFSET($A$1, 393 - 1, 101 - 1) = "1", OFFSET($A$1, 393 - 1, 102 - 1) = "0" ), 2, IF( AND( OFFSET($A$1, 393 - 1, 101 - 1) = "0", OFFSET($A$1, 393 - 1, 102 - 1) = "1" ), 3, 4 ) ) )</f>
        <v>3</v>
      </c>
    </row>
    <row r="394" spans="95:103" ht="13.8" x14ac:dyDescent="0.3">
      <c r="CQ394" s="24">
        <v>0.99999808580115568</v>
      </c>
      <c r="CR394" s="24" t="str">
        <f>"1"</f>
        <v>1</v>
      </c>
      <c r="CS394" t="str">
        <f ca="1">IF((OFFSET($A$1, 394 - 1, 95 - 1)) &gt;= (OFFSET($A$1, 54 - 1, 7 - 1)), "1","0")</f>
        <v>1</v>
      </c>
      <c r="CT394">
        <f ca="1" xml:space="preserve"> IF( AND( OFFSET($A$1, 394 - 1, 96 - 1) = "1", OFFSET($A$1, 394 - 1, 97 - 1) = "1" ), 1, IF( AND( OFFSET($A$1, 394 - 1, 96 - 1) = "1", OFFSET($A$1, 394 - 1, 97 - 1) = "0" ), 2, IF( AND( OFFSET($A$1, 394 - 1, 96 - 1) = "0", OFFSET($A$1, 394 - 1, 97 - 1) = "1" ), 3, 4 ) ) )</f>
        <v>1</v>
      </c>
      <c r="CV394" s="24">
        <v>1.8296603192489342E-2</v>
      </c>
      <c r="CW394" s="24" t="str">
        <f>"1"</f>
        <v>1</v>
      </c>
      <c r="CX394" t="str">
        <f ca="1">IF((OFFSET($A$1, 394 - 1, 100 - 1)) &gt;= (OFFSET($A$1, 78 - 1, 7 - 1)), "1","0")</f>
        <v>0</v>
      </c>
      <c r="CY394">
        <f ca="1" xml:space="preserve"> IF( AND( OFFSET($A$1, 394 - 1, 101 - 1) = "1", OFFSET($A$1, 394 - 1, 102 - 1) = "1" ), 1, IF( AND( OFFSET($A$1, 394 - 1, 101 - 1) = "1", OFFSET($A$1, 394 - 1, 102 - 1) = "0" ), 2, IF( AND( OFFSET($A$1, 394 - 1, 101 - 1) = "0", OFFSET($A$1, 394 - 1, 102 - 1) = "1" ), 3, 4 ) ) )</f>
        <v>2</v>
      </c>
    </row>
    <row r="395" spans="95:103" ht="13.8" x14ac:dyDescent="0.3">
      <c r="CQ395" s="24">
        <v>0.9843681351083412</v>
      </c>
      <c r="CR395" s="24" t="str">
        <f>"1"</f>
        <v>1</v>
      </c>
      <c r="CS395" t="str">
        <f ca="1">IF((OFFSET($A$1, 395 - 1, 95 - 1)) &gt;= (OFFSET($A$1, 54 - 1, 7 - 1)), "1","0")</f>
        <v>1</v>
      </c>
      <c r="CT395">
        <f ca="1" xml:space="preserve"> IF( AND( OFFSET($A$1, 395 - 1, 96 - 1) = "1", OFFSET($A$1, 395 - 1, 97 - 1) = "1" ), 1, IF( AND( OFFSET($A$1, 395 - 1, 96 - 1) = "1", OFFSET($A$1, 395 - 1, 97 - 1) = "0" ), 2, IF( AND( OFFSET($A$1, 395 - 1, 96 - 1) = "0", OFFSET($A$1, 395 - 1, 97 - 1) = "1" ), 3, 4 ) ) )</f>
        <v>1</v>
      </c>
      <c r="CV395" s="24">
        <v>6.6913770539670778E-2</v>
      </c>
      <c r="CW395" s="24" t="str">
        <f>"0"</f>
        <v>0</v>
      </c>
      <c r="CX395" t="str">
        <f ca="1">IF((OFFSET($A$1, 395 - 1, 100 - 1)) &gt;= (OFFSET($A$1, 78 - 1, 7 - 1)), "1","0")</f>
        <v>0</v>
      </c>
      <c r="CY395">
        <f ca="1" xml:space="preserve"> IF( AND( OFFSET($A$1, 395 - 1, 101 - 1) = "1", OFFSET($A$1, 395 - 1, 102 - 1) = "1" ), 1, IF( AND( OFFSET($A$1, 395 - 1, 101 - 1) = "1", OFFSET($A$1, 395 - 1, 102 - 1) = "0" ), 2, IF( AND( OFFSET($A$1, 395 - 1, 101 - 1) = "0", OFFSET($A$1, 395 - 1, 102 - 1) = "1" ), 3, 4 ) ) )</f>
        <v>4</v>
      </c>
    </row>
    <row r="396" spans="95:103" ht="13.8" x14ac:dyDescent="0.3">
      <c r="CQ396" s="24">
        <v>0.16884535598271197</v>
      </c>
      <c r="CR396" s="24" t="str">
        <f>"0"</f>
        <v>0</v>
      </c>
      <c r="CS396" t="str">
        <f ca="1">IF((OFFSET($A$1, 396 - 1, 95 - 1)) &gt;= (OFFSET($A$1, 54 - 1, 7 - 1)), "1","0")</f>
        <v>0</v>
      </c>
      <c r="CT396">
        <f ca="1" xml:space="preserve"> IF( AND( OFFSET($A$1, 396 - 1, 96 - 1) = "1", OFFSET($A$1, 396 - 1, 97 - 1) = "1" ), 1, IF( AND( OFFSET($A$1, 396 - 1, 96 - 1) = "1", OFFSET($A$1, 396 - 1, 97 - 1) = "0" ), 2, IF( AND( OFFSET($A$1, 396 - 1, 96 - 1) = "0", OFFSET($A$1, 396 - 1, 97 - 1) = "1" ), 3, 4 ) ) )</f>
        <v>4</v>
      </c>
      <c r="CV396" s="24">
        <v>0.99945459312090312</v>
      </c>
      <c r="CW396" s="24" t="str">
        <f>"1"</f>
        <v>1</v>
      </c>
      <c r="CX396" t="str">
        <f ca="1">IF((OFFSET($A$1, 396 - 1, 100 - 1)) &gt;= (OFFSET($A$1, 78 - 1, 7 - 1)), "1","0")</f>
        <v>1</v>
      </c>
      <c r="CY396">
        <f ca="1" xml:space="preserve"> IF( AND( OFFSET($A$1, 396 - 1, 101 - 1) = "1", OFFSET($A$1, 396 - 1, 102 - 1) = "1" ), 1, IF( AND( OFFSET($A$1, 396 - 1, 101 - 1) = "1", OFFSET($A$1, 396 - 1, 102 - 1) = "0" ), 2, IF( AND( OFFSET($A$1, 396 - 1, 101 - 1) = "0", OFFSET($A$1, 396 - 1, 102 - 1) = "1" ), 3, 4 ) ) )</f>
        <v>1</v>
      </c>
    </row>
    <row r="397" spans="95:103" ht="13.8" x14ac:dyDescent="0.3">
      <c r="CQ397" s="24">
        <v>0.99999852924154409</v>
      </c>
      <c r="CR397" s="24" t="str">
        <f>"1"</f>
        <v>1</v>
      </c>
      <c r="CS397" t="str">
        <f ca="1">IF((OFFSET($A$1, 397 - 1, 95 - 1)) &gt;= (OFFSET($A$1, 54 - 1, 7 - 1)), "1","0")</f>
        <v>1</v>
      </c>
      <c r="CT397">
        <f ca="1" xml:space="preserve"> IF( AND( OFFSET($A$1, 397 - 1, 96 - 1) = "1", OFFSET($A$1, 397 - 1, 97 - 1) = "1" ), 1, IF( AND( OFFSET($A$1, 397 - 1, 96 - 1) = "1", OFFSET($A$1, 397 - 1, 97 - 1) = "0" ), 2, IF( AND( OFFSET($A$1, 397 - 1, 96 - 1) = "0", OFFSET($A$1, 397 - 1, 97 - 1) = "1" ), 3, 4 ) ) )</f>
        <v>1</v>
      </c>
      <c r="CV397" s="24">
        <v>0.92943944549924107</v>
      </c>
      <c r="CW397" s="24" t="str">
        <f>"1"</f>
        <v>1</v>
      </c>
      <c r="CX397" t="str">
        <f ca="1">IF((OFFSET($A$1, 397 - 1, 100 - 1)) &gt;= (OFFSET($A$1, 78 - 1, 7 - 1)), "1","0")</f>
        <v>1</v>
      </c>
      <c r="CY397">
        <f ca="1" xml:space="preserve"> IF( AND( OFFSET($A$1, 397 - 1, 101 - 1) = "1", OFFSET($A$1, 397 - 1, 102 - 1) = "1" ), 1, IF( AND( OFFSET($A$1, 397 - 1, 101 - 1) = "1", OFFSET($A$1, 397 - 1, 102 - 1) = "0" ), 2, IF( AND( OFFSET($A$1, 397 - 1, 101 - 1) = "0", OFFSET($A$1, 397 - 1, 102 - 1) = "1" ), 3, 4 ) ) )</f>
        <v>1</v>
      </c>
    </row>
    <row r="398" spans="95:103" ht="13.8" x14ac:dyDescent="0.3">
      <c r="CQ398" s="24">
        <v>1.5462202974302376E-3</v>
      </c>
      <c r="CR398" s="24" t="str">
        <f>"0"</f>
        <v>0</v>
      </c>
      <c r="CS398" t="str">
        <f ca="1">IF((OFFSET($A$1, 398 - 1, 95 - 1)) &gt;= (OFFSET($A$1, 54 - 1, 7 - 1)), "1","0")</f>
        <v>0</v>
      </c>
      <c r="CT398">
        <f ca="1" xml:space="preserve"> IF( AND( OFFSET($A$1, 398 - 1, 96 - 1) = "1", OFFSET($A$1, 398 - 1, 97 - 1) = "1" ), 1, IF( AND( OFFSET($A$1, 398 - 1, 96 - 1) = "1", OFFSET($A$1, 398 - 1, 97 - 1) = "0" ), 2, IF( AND( OFFSET($A$1, 398 - 1, 96 - 1) = "0", OFFSET($A$1, 398 - 1, 97 - 1) = "1" ), 3, 4 ) ) )</f>
        <v>4</v>
      </c>
      <c r="CV398" s="24">
        <v>0.99999997616339853</v>
      </c>
      <c r="CW398" s="24" t="str">
        <f>"1"</f>
        <v>1</v>
      </c>
      <c r="CX398" t="str">
        <f ca="1">IF((OFFSET($A$1, 398 - 1, 100 - 1)) &gt;= (OFFSET($A$1, 78 - 1, 7 - 1)), "1","0")</f>
        <v>1</v>
      </c>
      <c r="CY398">
        <f ca="1" xml:space="preserve"> IF( AND( OFFSET($A$1, 398 - 1, 101 - 1) = "1", OFFSET($A$1, 398 - 1, 102 - 1) = "1" ), 1, IF( AND( OFFSET($A$1, 398 - 1, 101 - 1) = "1", OFFSET($A$1, 398 - 1, 102 - 1) = "0" ), 2, IF( AND( OFFSET($A$1, 398 - 1, 101 - 1) = "0", OFFSET($A$1, 398 - 1, 102 - 1) = "1" ), 3, 4 ) ) )</f>
        <v>1</v>
      </c>
    </row>
    <row r="399" spans="95:103" ht="13.8" x14ac:dyDescent="0.3">
      <c r="CQ399" s="24">
        <v>2.1222685641724665E-2</v>
      </c>
      <c r="CR399" s="24" t="str">
        <f>"0"</f>
        <v>0</v>
      </c>
      <c r="CS399" t="str">
        <f ca="1">IF((OFFSET($A$1, 399 - 1, 95 - 1)) &gt;= (OFFSET($A$1, 54 - 1, 7 - 1)), "1","0")</f>
        <v>0</v>
      </c>
      <c r="CT399">
        <f ca="1" xml:space="preserve"> IF( AND( OFFSET($A$1, 399 - 1, 96 - 1) = "1", OFFSET($A$1, 399 - 1, 97 - 1) = "1" ), 1, IF( AND( OFFSET($A$1, 399 - 1, 96 - 1) = "1", OFFSET($A$1, 399 - 1, 97 - 1) = "0" ), 2, IF( AND( OFFSET($A$1, 399 - 1, 96 - 1) = "0", OFFSET($A$1, 399 - 1, 97 - 1) = "1" ), 3, 4 ) ) )</f>
        <v>4</v>
      </c>
      <c r="CV399" s="24">
        <v>0.97982081750893091</v>
      </c>
      <c r="CW399" s="24" t="str">
        <f>"0"</f>
        <v>0</v>
      </c>
      <c r="CX399" t="str">
        <f ca="1">IF((OFFSET($A$1, 399 - 1, 100 - 1)) &gt;= (OFFSET($A$1, 78 - 1, 7 - 1)), "1","0")</f>
        <v>1</v>
      </c>
      <c r="CY399">
        <f ca="1" xml:space="preserve"> IF( AND( OFFSET($A$1, 399 - 1, 101 - 1) = "1", OFFSET($A$1, 399 - 1, 102 - 1) = "1" ), 1, IF( AND( OFFSET($A$1, 399 - 1, 101 - 1) = "1", OFFSET($A$1, 399 - 1, 102 - 1) = "0" ), 2, IF( AND( OFFSET($A$1, 399 - 1, 101 - 1) = "0", OFFSET($A$1, 399 - 1, 102 - 1) = "1" ), 3, 4 ) ) )</f>
        <v>3</v>
      </c>
    </row>
    <row r="400" spans="95:103" ht="13.8" x14ac:dyDescent="0.3">
      <c r="CQ400" s="24">
        <v>7.9841764349830504E-3</v>
      </c>
      <c r="CR400" s="24" t="str">
        <f>"0"</f>
        <v>0</v>
      </c>
      <c r="CS400" t="str">
        <f ca="1">IF((OFFSET($A$1, 400 - 1, 95 - 1)) &gt;= (OFFSET($A$1, 54 - 1, 7 - 1)), "1","0")</f>
        <v>0</v>
      </c>
      <c r="CT400">
        <f ca="1" xml:space="preserve"> IF( AND( OFFSET($A$1, 400 - 1, 96 - 1) = "1", OFFSET($A$1, 400 - 1, 97 - 1) = "1" ), 1, IF( AND( OFFSET($A$1, 400 - 1, 96 - 1) = "1", OFFSET($A$1, 400 - 1, 97 - 1) = "0" ), 2, IF( AND( OFFSET($A$1, 400 - 1, 96 - 1) = "0", OFFSET($A$1, 400 - 1, 97 - 1) = "1" ), 3, 4 ) ) )</f>
        <v>4</v>
      </c>
      <c r="CV400" s="24">
        <v>0.95259669319797613</v>
      </c>
      <c r="CW400" s="24" t="str">
        <f>"1"</f>
        <v>1</v>
      </c>
      <c r="CX400" t="str">
        <f ca="1">IF((OFFSET($A$1, 400 - 1, 100 - 1)) &gt;= (OFFSET($A$1, 78 - 1, 7 - 1)), "1","0")</f>
        <v>1</v>
      </c>
      <c r="CY400">
        <f ca="1" xml:space="preserve"> IF( AND( OFFSET($A$1, 400 - 1, 101 - 1) = "1", OFFSET($A$1, 400 - 1, 102 - 1) = "1" ), 1, IF( AND( OFFSET($A$1, 400 - 1, 101 - 1) = "1", OFFSET($A$1, 400 - 1, 102 - 1) = "0" ), 2, IF( AND( OFFSET($A$1, 400 - 1, 101 - 1) = "0", OFFSET($A$1, 400 - 1, 102 - 1) = "1" ), 3, 4 ) ) )</f>
        <v>1</v>
      </c>
    </row>
    <row r="401" spans="95:98" ht="13.8" x14ac:dyDescent="0.3">
      <c r="CQ401" s="24">
        <v>0.87447293003300453</v>
      </c>
      <c r="CR401" s="24" t="str">
        <f>"1"</f>
        <v>1</v>
      </c>
      <c r="CS401" t="str">
        <f ca="1">IF((OFFSET($A$1, 401 - 1, 95 - 1)) &gt;= (OFFSET($A$1, 54 - 1, 7 - 1)), "1","0")</f>
        <v>1</v>
      </c>
      <c r="CT401">
        <f ca="1" xml:space="preserve"> IF( AND( OFFSET($A$1, 401 - 1, 96 - 1) = "1", OFFSET($A$1, 401 - 1, 97 - 1) = "1" ), 1, IF( AND( OFFSET($A$1, 401 - 1, 96 - 1) = "1", OFFSET($A$1, 401 - 1, 97 - 1) = "0" ), 2, IF( AND( OFFSET($A$1, 401 - 1, 96 - 1) = "0", OFFSET($A$1, 401 - 1, 97 - 1) = "1" ), 3, 4 ) ) )</f>
        <v>1</v>
      </c>
    </row>
    <row r="402" spans="95:98" ht="13.8" x14ac:dyDescent="0.3">
      <c r="CQ402" s="24">
        <v>0.99999445291637634</v>
      </c>
      <c r="CR402" s="24" t="str">
        <f>"1"</f>
        <v>1</v>
      </c>
      <c r="CS402" t="str">
        <f ca="1">IF((OFFSET($A$1, 402 - 1, 95 - 1)) &gt;= (OFFSET($A$1, 54 - 1, 7 - 1)), "1","0")</f>
        <v>1</v>
      </c>
      <c r="CT402">
        <f ca="1" xml:space="preserve"> IF( AND( OFFSET($A$1, 402 - 1, 96 - 1) = "1", OFFSET($A$1, 402 - 1, 97 - 1) = "1" ), 1, IF( AND( OFFSET($A$1, 402 - 1, 96 - 1) = "1", OFFSET($A$1, 402 - 1, 97 - 1) = "0" ), 2, IF( AND( OFFSET($A$1, 402 - 1, 96 - 1) = "0", OFFSET($A$1, 402 - 1, 97 - 1) = "1" ), 3, 4 ) ) )</f>
        <v>1</v>
      </c>
    </row>
    <row r="403" spans="95:98" ht="13.8" x14ac:dyDescent="0.3">
      <c r="CQ403" s="24">
        <v>0.9988375829854238</v>
      </c>
      <c r="CR403" s="24" t="str">
        <f>"1"</f>
        <v>1</v>
      </c>
      <c r="CS403" t="str">
        <f ca="1">IF((OFFSET($A$1, 403 - 1, 95 - 1)) &gt;= (OFFSET($A$1, 54 - 1, 7 - 1)), "1","0")</f>
        <v>1</v>
      </c>
      <c r="CT403">
        <f ca="1" xml:space="preserve"> IF( AND( OFFSET($A$1, 403 - 1, 96 - 1) = "1", OFFSET($A$1, 403 - 1, 97 - 1) = "1" ), 1, IF( AND( OFFSET($A$1, 403 - 1, 96 - 1) = "1", OFFSET($A$1, 403 - 1, 97 - 1) = "0" ), 2, IF( AND( OFFSET($A$1, 403 - 1, 96 - 1) = "0", OFFSET($A$1, 403 - 1, 97 - 1) = "1" ), 3, 4 ) ) )</f>
        <v>1</v>
      </c>
    </row>
    <row r="404" spans="95:98" ht="13.8" x14ac:dyDescent="0.3">
      <c r="CQ404" s="24">
        <v>5.6950699884103367E-3</v>
      </c>
      <c r="CR404" s="24" t="str">
        <f>"1"</f>
        <v>1</v>
      </c>
      <c r="CS404" t="str">
        <f ca="1">IF((OFFSET($A$1, 404 - 1, 95 - 1)) &gt;= (OFFSET($A$1, 54 - 1, 7 - 1)), "1","0")</f>
        <v>0</v>
      </c>
      <c r="CT404">
        <f ca="1" xml:space="preserve"> IF( AND( OFFSET($A$1, 404 - 1, 96 - 1) = "1", OFFSET($A$1, 404 - 1, 97 - 1) = "1" ), 1, IF( AND( OFFSET($A$1, 404 - 1, 96 - 1) = "1", OFFSET($A$1, 404 - 1, 97 - 1) = "0" ), 2, IF( AND( OFFSET($A$1, 404 - 1, 96 - 1) = "0", OFFSET($A$1, 404 - 1, 97 - 1) = "1" ), 3, 4 ) ) )</f>
        <v>2</v>
      </c>
    </row>
    <row r="405" spans="95:98" ht="13.8" x14ac:dyDescent="0.3">
      <c r="CQ405" s="24">
        <v>7.7615712264229295E-2</v>
      </c>
      <c r="CR405" s="24" t="str">
        <f>"0"</f>
        <v>0</v>
      </c>
      <c r="CS405" t="str">
        <f ca="1">IF((OFFSET($A$1, 405 - 1, 95 - 1)) &gt;= (OFFSET($A$1, 54 - 1, 7 - 1)), "1","0")</f>
        <v>0</v>
      </c>
      <c r="CT405">
        <f ca="1" xml:space="preserve"> IF( AND( OFFSET($A$1, 405 - 1, 96 - 1) = "1", OFFSET($A$1, 405 - 1, 97 - 1) = "1" ), 1, IF( AND( OFFSET($A$1, 405 - 1, 96 - 1) = "1", OFFSET($A$1, 405 - 1, 97 - 1) = "0" ), 2, IF( AND( OFFSET($A$1, 405 - 1, 96 - 1) = "0", OFFSET($A$1, 405 - 1, 97 - 1) = "1" ), 3, 4 ) ) )</f>
        <v>4</v>
      </c>
    </row>
    <row r="406" spans="95:98" ht="13.8" x14ac:dyDescent="0.3">
      <c r="CQ406" s="24">
        <v>0.99958051121280578</v>
      </c>
      <c r="CR406" s="24" t="str">
        <f>"1"</f>
        <v>1</v>
      </c>
      <c r="CS406" t="str">
        <f ca="1">IF((OFFSET($A$1, 406 - 1, 95 - 1)) &gt;= (OFFSET($A$1, 54 - 1, 7 - 1)), "1","0")</f>
        <v>1</v>
      </c>
      <c r="CT406">
        <f ca="1" xml:space="preserve"> IF( AND( OFFSET($A$1, 406 - 1, 96 - 1) = "1", OFFSET($A$1, 406 - 1, 97 - 1) = "1" ), 1, IF( AND( OFFSET($A$1, 406 - 1, 96 - 1) = "1", OFFSET($A$1, 406 - 1, 97 - 1) = "0" ), 2, IF( AND( OFFSET($A$1, 406 - 1, 96 - 1) = "0", OFFSET($A$1, 406 - 1, 97 - 1) = "1" ), 3, 4 ) ) )</f>
        <v>1</v>
      </c>
    </row>
    <row r="407" spans="95:98" ht="13.8" x14ac:dyDescent="0.3">
      <c r="CQ407" s="24">
        <v>5.3873190527611622E-2</v>
      </c>
      <c r="CR407" s="24" t="str">
        <f>"0"</f>
        <v>0</v>
      </c>
      <c r="CS407" t="str">
        <f ca="1">IF((OFFSET($A$1, 407 - 1, 95 - 1)) &gt;= (OFFSET($A$1, 54 - 1, 7 - 1)), "1","0")</f>
        <v>0</v>
      </c>
      <c r="CT407">
        <f ca="1" xml:space="preserve"> IF( AND( OFFSET($A$1, 407 - 1, 96 - 1) = "1", OFFSET($A$1, 407 - 1, 97 - 1) = "1" ), 1, IF( AND( OFFSET($A$1, 407 - 1, 96 - 1) = "1", OFFSET($A$1, 407 - 1, 97 - 1) = "0" ), 2, IF( AND( OFFSET($A$1, 407 - 1, 96 - 1) = "0", OFFSET($A$1, 407 - 1, 97 - 1) = "1" ), 3, 4 ) ) )</f>
        <v>4</v>
      </c>
    </row>
    <row r="408" spans="95:98" ht="13.8" x14ac:dyDescent="0.3">
      <c r="CQ408" s="24">
        <v>1.7628022405069915E-2</v>
      </c>
      <c r="CR408" s="24" t="str">
        <f>"0"</f>
        <v>0</v>
      </c>
      <c r="CS408" t="str">
        <f ca="1">IF((OFFSET($A$1, 408 - 1, 95 - 1)) &gt;= (OFFSET($A$1, 54 - 1, 7 - 1)), "1","0")</f>
        <v>0</v>
      </c>
      <c r="CT408">
        <f ca="1" xml:space="preserve"> IF( AND( OFFSET($A$1, 408 - 1, 96 - 1) = "1", OFFSET($A$1, 408 - 1, 97 - 1) = "1" ), 1, IF( AND( OFFSET($A$1, 408 - 1, 96 - 1) = "1", OFFSET($A$1, 408 - 1, 97 - 1) = "0" ), 2, IF( AND( OFFSET($A$1, 408 - 1, 96 - 1) = "0", OFFSET($A$1, 408 - 1, 97 - 1) = "1" ), 3, 4 ) ) )</f>
        <v>4</v>
      </c>
    </row>
    <row r="409" spans="95:98" ht="13.8" x14ac:dyDescent="0.3">
      <c r="CQ409" s="24">
        <v>0.99987617352147595</v>
      </c>
      <c r="CR409" s="24" t="str">
        <f>"1"</f>
        <v>1</v>
      </c>
      <c r="CS409" t="str">
        <f ca="1">IF((OFFSET($A$1, 409 - 1, 95 - 1)) &gt;= (OFFSET($A$1, 54 - 1, 7 - 1)), "1","0")</f>
        <v>1</v>
      </c>
      <c r="CT409">
        <f ca="1" xml:space="preserve"> IF( AND( OFFSET($A$1, 409 - 1, 96 - 1) = "1", OFFSET($A$1, 409 - 1, 97 - 1) = "1" ), 1, IF( AND( OFFSET($A$1, 409 - 1, 96 - 1) = "1", OFFSET($A$1, 409 - 1, 97 - 1) = "0" ), 2, IF( AND( OFFSET($A$1, 409 - 1, 96 - 1) = "0", OFFSET($A$1, 409 - 1, 97 - 1) = "1" ), 3, 4 ) ) )</f>
        <v>1</v>
      </c>
    </row>
    <row r="410" spans="95:98" ht="13.8" x14ac:dyDescent="0.3">
      <c r="CQ410" s="24">
        <v>2.2983214613369701E-2</v>
      </c>
      <c r="CR410" s="24" t="str">
        <f>"0"</f>
        <v>0</v>
      </c>
      <c r="CS410" t="str">
        <f ca="1">IF((OFFSET($A$1, 410 - 1, 95 - 1)) &gt;= (OFFSET($A$1, 54 - 1, 7 - 1)), "1","0")</f>
        <v>0</v>
      </c>
      <c r="CT410">
        <f ca="1" xml:space="preserve"> IF( AND( OFFSET($A$1, 410 - 1, 96 - 1) = "1", OFFSET($A$1, 410 - 1, 97 - 1) = "1" ), 1, IF( AND( OFFSET($A$1, 410 - 1, 96 - 1) = "1", OFFSET($A$1, 410 - 1, 97 - 1) = "0" ), 2, IF( AND( OFFSET($A$1, 410 - 1, 96 - 1) = "0", OFFSET($A$1, 410 - 1, 97 - 1) = "1" ), 3, 4 ) ) )</f>
        <v>4</v>
      </c>
    </row>
    <row r="411" spans="95:98" ht="13.8" x14ac:dyDescent="0.3">
      <c r="CQ411" s="24">
        <v>0.99993550900212713</v>
      </c>
      <c r="CR411" s="24" t="str">
        <f>"1"</f>
        <v>1</v>
      </c>
      <c r="CS411" t="str">
        <f ca="1">IF((OFFSET($A$1, 411 - 1, 95 - 1)) &gt;= (OFFSET($A$1, 54 - 1, 7 - 1)), "1","0")</f>
        <v>1</v>
      </c>
      <c r="CT411">
        <f ca="1" xml:space="preserve"> IF( AND( OFFSET($A$1, 411 - 1, 96 - 1) = "1", OFFSET($A$1, 411 - 1, 97 - 1) = "1" ), 1, IF( AND( OFFSET($A$1, 411 - 1, 96 - 1) = "1", OFFSET($A$1, 411 - 1, 97 - 1) = "0" ), 2, IF( AND( OFFSET($A$1, 411 - 1, 96 - 1) = "0", OFFSET($A$1, 411 - 1, 97 - 1) = "1" ), 3, 4 ) ) )</f>
        <v>1</v>
      </c>
    </row>
    <row r="412" spans="95:98" ht="13.8" x14ac:dyDescent="0.3">
      <c r="CQ412" s="24">
        <v>0.97901972668029014</v>
      </c>
      <c r="CR412" s="24" t="str">
        <f>"1"</f>
        <v>1</v>
      </c>
      <c r="CS412" t="str">
        <f ca="1">IF((OFFSET($A$1, 412 - 1, 95 - 1)) &gt;= (OFFSET($A$1, 54 - 1, 7 - 1)), "1","0")</f>
        <v>1</v>
      </c>
      <c r="CT412">
        <f ca="1" xml:space="preserve"> IF( AND( OFFSET($A$1, 412 - 1, 96 - 1) = "1", OFFSET($A$1, 412 - 1, 97 - 1) = "1" ), 1, IF( AND( OFFSET($A$1, 412 - 1, 96 - 1) = "1", OFFSET($A$1, 412 - 1, 97 - 1) = "0" ), 2, IF( AND( OFFSET($A$1, 412 - 1, 96 - 1) = "0", OFFSET($A$1, 412 - 1, 97 - 1) = "1" ), 3, 4 ) ) )</f>
        <v>1</v>
      </c>
    </row>
    <row r="413" spans="95:98" ht="13.8" x14ac:dyDescent="0.3">
      <c r="CQ413" s="24">
        <v>5.4802238540815791E-2</v>
      </c>
      <c r="CR413" s="24" t="str">
        <f>"0"</f>
        <v>0</v>
      </c>
      <c r="CS413" t="str">
        <f ca="1">IF((OFFSET($A$1, 413 - 1, 95 - 1)) &gt;= (OFFSET($A$1, 54 - 1, 7 - 1)), "1","0")</f>
        <v>0</v>
      </c>
      <c r="CT413">
        <f ca="1" xml:space="preserve"> IF( AND( OFFSET($A$1, 413 - 1, 96 - 1) = "1", OFFSET($A$1, 413 - 1, 97 - 1) = "1" ), 1, IF( AND( OFFSET($A$1, 413 - 1, 96 - 1) = "1", OFFSET($A$1, 413 - 1, 97 - 1) = "0" ), 2, IF( AND( OFFSET($A$1, 413 - 1, 96 - 1) = "0", OFFSET($A$1, 413 - 1, 97 - 1) = "1" ), 3, 4 ) ) )</f>
        <v>4</v>
      </c>
    </row>
    <row r="414" spans="95:98" ht="13.8" x14ac:dyDescent="0.3">
      <c r="CQ414" s="24">
        <v>0.98706382736297615</v>
      </c>
      <c r="CR414" s="24" t="str">
        <f>"1"</f>
        <v>1</v>
      </c>
      <c r="CS414" t="str">
        <f ca="1">IF((OFFSET($A$1, 414 - 1, 95 - 1)) &gt;= (OFFSET($A$1, 54 - 1, 7 - 1)), "1","0")</f>
        <v>1</v>
      </c>
      <c r="CT414">
        <f ca="1" xml:space="preserve"> IF( AND( OFFSET($A$1, 414 - 1, 96 - 1) = "1", OFFSET($A$1, 414 - 1, 97 - 1) = "1" ), 1, IF( AND( OFFSET($A$1, 414 - 1, 96 - 1) = "1", OFFSET($A$1, 414 - 1, 97 - 1) = "0" ), 2, IF( AND( OFFSET($A$1, 414 - 1, 96 - 1) = "0", OFFSET($A$1, 414 - 1, 97 - 1) = "1" ), 3, 4 ) ) )</f>
        <v>1</v>
      </c>
    </row>
    <row r="415" spans="95:98" ht="13.8" x14ac:dyDescent="0.3">
      <c r="CQ415" s="24">
        <v>0.13239422386159344</v>
      </c>
      <c r="CR415" s="24" t="str">
        <f>"0"</f>
        <v>0</v>
      </c>
      <c r="CS415" t="str">
        <f ca="1">IF((OFFSET($A$1, 415 - 1, 95 - 1)) &gt;= (OFFSET($A$1, 54 - 1, 7 - 1)), "1","0")</f>
        <v>0</v>
      </c>
      <c r="CT415">
        <f ca="1" xml:space="preserve"> IF( AND( OFFSET($A$1, 415 - 1, 96 - 1) = "1", OFFSET($A$1, 415 - 1, 97 - 1) = "1" ), 1, IF( AND( OFFSET($A$1, 415 - 1, 96 - 1) = "1", OFFSET($A$1, 415 - 1, 97 - 1) = "0" ), 2, IF( AND( OFFSET($A$1, 415 - 1, 96 - 1) = "0", OFFSET($A$1, 415 - 1, 97 - 1) = "1" ), 3, 4 ) ) )</f>
        <v>4</v>
      </c>
    </row>
    <row r="416" spans="95:98" ht="13.8" x14ac:dyDescent="0.3">
      <c r="CQ416" s="24">
        <v>0.90708454465399257</v>
      </c>
      <c r="CR416" s="24" t="str">
        <f>"1"</f>
        <v>1</v>
      </c>
      <c r="CS416" t="str">
        <f ca="1">IF((OFFSET($A$1, 416 - 1, 95 - 1)) &gt;= (OFFSET($A$1, 54 - 1, 7 - 1)), "1","0")</f>
        <v>1</v>
      </c>
      <c r="CT416">
        <f ca="1" xml:space="preserve"> IF( AND( OFFSET($A$1, 416 - 1, 96 - 1) = "1", OFFSET($A$1, 416 - 1, 97 - 1) = "1" ), 1, IF( AND( OFFSET($A$1, 416 - 1, 96 - 1) = "1", OFFSET($A$1, 416 - 1, 97 - 1) = "0" ), 2, IF( AND( OFFSET($A$1, 416 - 1, 96 - 1) = "0", OFFSET($A$1, 416 - 1, 97 - 1) = "1" ), 3, 4 ) ) )</f>
        <v>1</v>
      </c>
    </row>
    <row r="417" spans="95:98" ht="13.8" x14ac:dyDescent="0.3">
      <c r="CQ417" s="24">
        <v>0.99949439666038342</v>
      </c>
      <c r="CR417" s="24" t="str">
        <f>"1"</f>
        <v>1</v>
      </c>
      <c r="CS417" t="str">
        <f ca="1">IF((OFFSET($A$1, 417 - 1, 95 - 1)) &gt;= (OFFSET($A$1, 54 - 1, 7 - 1)), "1","0")</f>
        <v>1</v>
      </c>
      <c r="CT417">
        <f ca="1" xml:space="preserve"> IF( AND( OFFSET($A$1, 417 - 1, 96 - 1) = "1", OFFSET($A$1, 417 - 1, 97 - 1) = "1" ), 1, IF( AND( OFFSET($A$1, 417 - 1, 96 - 1) = "1", OFFSET($A$1, 417 - 1, 97 - 1) = "0" ), 2, IF( AND( OFFSET($A$1, 417 - 1, 96 - 1) = "0", OFFSET($A$1, 417 - 1, 97 - 1) = "1" ), 3, 4 ) ) )</f>
        <v>1</v>
      </c>
    </row>
    <row r="418" spans="95:98" ht="13.8" x14ac:dyDescent="0.3">
      <c r="CQ418" s="24">
        <v>0.97267940719071178</v>
      </c>
      <c r="CR418" s="24" t="str">
        <f>"1"</f>
        <v>1</v>
      </c>
      <c r="CS418" t="str">
        <f ca="1">IF((OFFSET($A$1, 418 - 1, 95 - 1)) &gt;= (OFFSET($A$1, 54 - 1, 7 - 1)), "1","0")</f>
        <v>1</v>
      </c>
      <c r="CT418">
        <f ca="1" xml:space="preserve"> IF( AND( OFFSET($A$1, 418 - 1, 96 - 1) = "1", OFFSET($A$1, 418 - 1, 97 - 1) = "1" ), 1, IF( AND( OFFSET($A$1, 418 - 1, 96 - 1) = "1", OFFSET($A$1, 418 - 1, 97 - 1) = "0" ), 2, IF( AND( OFFSET($A$1, 418 - 1, 96 - 1) = "0", OFFSET($A$1, 418 - 1, 97 - 1) = "1" ), 3, 4 ) ) )</f>
        <v>1</v>
      </c>
    </row>
    <row r="419" spans="95:98" ht="13.8" x14ac:dyDescent="0.3">
      <c r="CQ419" s="24">
        <v>0.99171536292291373</v>
      </c>
      <c r="CR419" s="24" t="str">
        <f>"1"</f>
        <v>1</v>
      </c>
      <c r="CS419" t="str">
        <f ca="1">IF((OFFSET($A$1, 419 - 1, 95 - 1)) &gt;= (OFFSET($A$1, 54 - 1, 7 - 1)), "1","0")</f>
        <v>1</v>
      </c>
      <c r="CT419">
        <f ca="1" xml:space="preserve"> IF( AND( OFFSET($A$1, 419 - 1, 96 - 1) = "1", OFFSET($A$1, 419 - 1, 97 - 1) = "1" ), 1, IF( AND( OFFSET($A$1, 419 - 1, 96 - 1) = "1", OFFSET($A$1, 419 - 1, 97 - 1) = "0" ), 2, IF( AND( OFFSET($A$1, 419 - 1, 96 - 1) = "0", OFFSET($A$1, 419 - 1, 97 - 1) = "1" ), 3, 4 ) ) )</f>
        <v>1</v>
      </c>
    </row>
    <row r="420" spans="95:98" ht="13.8" x14ac:dyDescent="0.3">
      <c r="CQ420" s="24">
        <v>1.172803247780661E-2</v>
      </c>
      <c r="CR420" s="24" t="str">
        <f>"0"</f>
        <v>0</v>
      </c>
      <c r="CS420" t="str">
        <f ca="1">IF((OFFSET($A$1, 420 - 1, 95 - 1)) &gt;= (OFFSET($A$1, 54 - 1, 7 - 1)), "1","0")</f>
        <v>0</v>
      </c>
      <c r="CT420">
        <f ca="1" xml:space="preserve"> IF( AND( OFFSET($A$1, 420 - 1, 96 - 1) = "1", OFFSET($A$1, 420 - 1, 97 - 1) = "1" ), 1, IF( AND( OFFSET($A$1, 420 - 1, 96 - 1) = "1", OFFSET($A$1, 420 - 1, 97 - 1) = "0" ), 2, IF( AND( OFFSET($A$1, 420 - 1, 96 - 1) = "0", OFFSET($A$1, 420 - 1, 97 - 1) = "1" ), 3, 4 ) ) )</f>
        <v>4</v>
      </c>
    </row>
    <row r="421" spans="95:98" ht="13.8" x14ac:dyDescent="0.3">
      <c r="CQ421" s="24">
        <v>1.8202970140118076E-3</v>
      </c>
      <c r="CR421" s="24" t="str">
        <f>"0"</f>
        <v>0</v>
      </c>
      <c r="CS421" t="str">
        <f ca="1">IF((OFFSET($A$1, 421 - 1, 95 - 1)) &gt;= (OFFSET($A$1, 54 - 1, 7 - 1)), "1","0")</f>
        <v>0</v>
      </c>
      <c r="CT421">
        <f ca="1" xml:space="preserve"> IF( AND( OFFSET($A$1, 421 - 1, 96 - 1) = "1", OFFSET($A$1, 421 - 1, 97 - 1) = "1" ), 1, IF( AND( OFFSET($A$1, 421 - 1, 96 - 1) = "1", OFFSET($A$1, 421 - 1, 97 - 1) = "0" ), 2, IF( AND( OFFSET($A$1, 421 - 1, 96 - 1) = "0", OFFSET($A$1, 421 - 1, 97 - 1) = "1" ), 3, 4 ) ) )</f>
        <v>4</v>
      </c>
    </row>
    <row r="422" spans="95:98" ht="13.8" x14ac:dyDescent="0.3">
      <c r="CQ422" s="24">
        <v>0.98354593491462627</v>
      </c>
      <c r="CR422" s="24" t="str">
        <f>"1"</f>
        <v>1</v>
      </c>
      <c r="CS422" t="str">
        <f ca="1">IF((OFFSET($A$1, 422 - 1, 95 - 1)) &gt;= (OFFSET($A$1, 54 - 1, 7 - 1)), "1","0")</f>
        <v>1</v>
      </c>
      <c r="CT422">
        <f ca="1" xml:space="preserve"> IF( AND( OFFSET($A$1, 422 - 1, 96 - 1) = "1", OFFSET($A$1, 422 - 1, 97 - 1) = "1" ), 1, IF( AND( OFFSET($A$1, 422 - 1, 96 - 1) = "1", OFFSET($A$1, 422 - 1, 97 - 1) = "0" ), 2, IF( AND( OFFSET($A$1, 422 - 1, 96 - 1) = "0", OFFSET($A$1, 422 - 1, 97 - 1) = "1" ), 3, 4 ) ) )</f>
        <v>1</v>
      </c>
    </row>
    <row r="423" spans="95:98" ht="13.8" x14ac:dyDescent="0.3">
      <c r="CQ423" s="24">
        <v>0.99999956732635653</v>
      </c>
      <c r="CR423" s="24" t="str">
        <f>"1"</f>
        <v>1</v>
      </c>
      <c r="CS423" t="str">
        <f ca="1">IF((OFFSET($A$1, 423 - 1, 95 - 1)) &gt;= (OFFSET($A$1, 54 - 1, 7 - 1)), "1","0")</f>
        <v>1</v>
      </c>
      <c r="CT423">
        <f ca="1" xml:space="preserve"> IF( AND( OFFSET($A$1, 423 - 1, 96 - 1) = "1", OFFSET($A$1, 423 - 1, 97 - 1) = "1" ), 1, IF( AND( OFFSET($A$1, 423 - 1, 96 - 1) = "1", OFFSET($A$1, 423 - 1, 97 - 1) = "0" ), 2, IF( AND( OFFSET($A$1, 423 - 1, 96 - 1) = "0", OFFSET($A$1, 423 - 1, 97 - 1) = "1" ), 3, 4 ) ) )</f>
        <v>1</v>
      </c>
    </row>
    <row r="424" spans="95:98" ht="13.8" x14ac:dyDescent="0.3">
      <c r="CQ424" s="24">
        <v>1.7827259821717692E-2</v>
      </c>
      <c r="CR424" s="24" t="str">
        <f>"0"</f>
        <v>0</v>
      </c>
      <c r="CS424" t="str">
        <f ca="1">IF((OFFSET($A$1, 424 - 1, 95 - 1)) &gt;= (OFFSET($A$1, 54 - 1, 7 - 1)), "1","0")</f>
        <v>0</v>
      </c>
      <c r="CT424">
        <f ca="1" xml:space="preserve"> IF( AND( OFFSET($A$1, 424 - 1, 96 - 1) = "1", OFFSET($A$1, 424 - 1, 97 - 1) = "1" ), 1, IF( AND( OFFSET($A$1, 424 - 1, 96 - 1) = "1", OFFSET($A$1, 424 - 1, 97 - 1) = "0" ), 2, IF( AND( OFFSET($A$1, 424 - 1, 96 - 1) = "0", OFFSET($A$1, 424 - 1, 97 - 1) = "1" ), 3, 4 ) ) )</f>
        <v>4</v>
      </c>
    </row>
    <row r="425" spans="95:98" ht="13.8" x14ac:dyDescent="0.3">
      <c r="CQ425" s="24">
        <v>0.99999677958579503</v>
      </c>
      <c r="CR425" s="24" t="str">
        <f>"1"</f>
        <v>1</v>
      </c>
      <c r="CS425" t="str">
        <f ca="1">IF((OFFSET($A$1, 425 - 1, 95 - 1)) &gt;= (OFFSET($A$1, 54 - 1, 7 - 1)), "1","0")</f>
        <v>1</v>
      </c>
      <c r="CT425">
        <f ca="1" xml:space="preserve"> IF( AND( OFFSET($A$1, 425 - 1, 96 - 1) = "1", OFFSET($A$1, 425 - 1, 97 - 1) = "1" ), 1, IF( AND( OFFSET($A$1, 425 - 1, 96 - 1) = "1", OFFSET($A$1, 425 - 1, 97 - 1) = "0" ), 2, IF( AND( OFFSET($A$1, 425 - 1, 96 - 1) = "0", OFFSET($A$1, 425 - 1, 97 - 1) = "1" ), 3, 4 ) ) )</f>
        <v>1</v>
      </c>
    </row>
    <row r="426" spans="95:98" ht="13.8" x14ac:dyDescent="0.3">
      <c r="CQ426" s="24">
        <v>0.99982271484728702</v>
      </c>
      <c r="CR426" s="24" t="str">
        <f>"1"</f>
        <v>1</v>
      </c>
      <c r="CS426" t="str">
        <f ca="1">IF((OFFSET($A$1, 426 - 1, 95 - 1)) &gt;= (OFFSET($A$1, 54 - 1, 7 - 1)), "1","0")</f>
        <v>1</v>
      </c>
      <c r="CT426">
        <f ca="1" xml:space="preserve"> IF( AND( OFFSET($A$1, 426 - 1, 96 - 1) = "1", OFFSET($A$1, 426 - 1, 97 - 1) = "1" ), 1, IF( AND( OFFSET($A$1, 426 - 1, 96 - 1) = "1", OFFSET($A$1, 426 - 1, 97 - 1) = "0" ), 2, IF( AND( OFFSET($A$1, 426 - 1, 96 - 1) = "0", OFFSET($A$1, 426 - 1, 97 - 1) = "1" ), 3, 4 ) ) )</f>
        <v>1</v>
      </c>
    </row>
    <row r="427" spans="95:98" ht="13.8" x14ac:dyDescent="0.3">
      <c r="CQ427" s="24">
        <v>4.1910989761174459E-2</v>
      </c>
      <c r="CR427" s="24" t="str">
        <f>"0"</f>
        <v>0</v>
      </c>
      <c r="CS427" t="str">
        <f ca="1">IF((OFFSET($A$1, 427 - 1, 95 - 1)) &gt;= (OFFSET($A$1, 54 - 1, 7 - 1)), "1","0")</f>
        <v>0</v>
      </c>
      <c r="CT427">
        <f ca="1" xml:space="preserve"> IF( AND( OFFSET($A$1, 427 - 1, 96 - 1) = "1", OFFSET($A$1, 427 - 1, 97 - 1) = "1" ), 1, IF( AND( OFFSET($A$1, 427 - 1, 96 - 1) = "1", OFFSET($A$1, 427 - 1, 97 - 1) = "0" ), 2, IF( AND( OFFSET($A$1, 427 - 1, 96 - 1) = "0", OFFSET($A$1, 427 - 1, 97 - 1) = "1" ), 3, 4 ) ) )</f>
        <v>4</v>
      </c>
    </row>
    <row r="428" spans="95:98" ht="13.8" x14ac:dyDescent="0.3">
      <c r="CQ428" s="24">
        <v>0.95429631573481599</v>
      </c>
      <c r="CR428" s="24" t="str">
        <f t="shared" ref="CR428:CR444" si="33">"1"</f>
        <v>1</v>
      </c>
      <c r="CS428" t="str">
        <f ca="1">IF((OFFSET($A$1, 428 - 1, 95 - 1)) &gt;= (OFFSET($A$1, 54 - 1, 7 - 1)), "1","0")</f>
        <v>1</v>
      </c>
      <c r="CT428">
        <f ca="1" xml:space="preserve"> IF( AND( OFFSET($A$1, 428 - 1, 96 - 1) = "1", OFFSET($A$1, 428 - 1, 97 - 1) = "1" ), 1, IF( AND( OFFSET($A$1, 428 - 1, 96 - 1) = "1", OFFSET($A$1, 428 - 1, 97 - 1) = "0" ), 2, IF( AND( OFFSET($A$1, 428 - 1, 96 - 1) = "0", OFFSET($A$1, 428 - 1, 97 - 1) = "1" ), 3, 4 ) ) )</f>
        <v>1</v>
      </c>
    </row>
    <row r="429" spans="95:98" ht="13.8" x14ac:dyDescent="0.3">
      <c r="CQ429" s="24">
        <v>0.98259128125603212</v>
      </c>
      <c r="CR429" s="24" t="str">
        <f t="shared" si="33"/>
        <v>1</v>
      </c>
      <c r="CS429" t="str">
        <f ca="1">IF((OFFSET($A$1, 429 - 1, 95 - 1)) &gt;= (OFFSET($A$1, 54 - 1, 7 - 1)), "1","0")</f>
        <v>1</v>
      </c>
      <c r="CT429">
        <f ca="1" xml:space="preserve"> IF( AND( OFFSET($A$1, 429 - 1, 96 - 1) = "1", OFFSET($A$1, 429 - 1, 97 - 1) = "1" ), 1, IF( AND( OFFSET($A$1, 429 - 1, 96 - 1) = "1", OFFSET($A$1, 429 - 1, 97 - 1) = "0" ), 2, IF( AND( OFFSET($A$1, 429 - 1, 96 - 1) = "0", OFFSET($A$1, 429 - 1, 97 - 1) = "1" ), 3, 4 ) ) )</f>
        <v>1</v>
      </c>
    </row>
    <row r="430" spans="95:98" ht="13.8" x14ac:dyDescent="0.3">
      <c r="CQ430" s="24">
        <v>0.99969209287289929</v>
      </c>
      <c r="CR430" s="24" t="str">
        <f t="shared" si="33"/>
        <v>1</v>
      </c>
      <c r="CS430" t="str">
        <f ca="1">IF((OFFSET($A$1, 430 - 1, 95 - 1)) &gt;= (OFFSET($A$1, 54 - 1, 7 - 1)), "1","0")</f>
        <v>1</v>
      </c>
      <c r="CT430">
        <f ca="1" xml:space="preserve"> IF( AND( OFFSET($A$1, 430 - 1, 96 - 1) = "1", OFFSET($A$1, 430 - 1, 97 - 1) = "1" ), 1, IF( AND( OFFSET($A$1, 430 - 1, 96 - 1) = "1", OFFSET($A$1, 430 - 1, 97 - 1) = "0" ), 2, IF( AND( OFFSET($A$1, 430 - 1, 96 - 1) = "0", OFFSET($A$1, 430 - 1, 97 - 1) = "1" ), 3, 4 ) ) )</f>
        <v>1</v>
      </c>
    </row>
    <row r="431" spans="95:98" ht="13.8" x14ac:dyDescent="0.3">
      <c r="CQ431" s="24">
        <v>0.93525507753251735</v>
      </c>
      <c r="CR431" s="24" t="str">
        <f t="shared" si="33"/>
        <v>1</v>
      </c>
      <c r="CS431" t="str">
        <f ca="1">IF((OFFSET($A$1, 431 - 1, 95 - 1)) &gt;= (OFFSET($A$1, 54 - 1, 7 - 1)), "1","0")</f>
        <v>1</v>
      </c>
      <c r="CT431">
        <f ca="1" xml:space="preserve"> IF( AND( OFFSET($A$1, 431 - 1, 96 - 1) = "1", OFFSET($A$1, 431 - 1, 97 - 1) = "1" ), 1, IF( AND( OFFSET($A$1, 431 - 1, 96 - 1) = "1", OFFSET($A$1, 431 - 1, 97 - 1) = "0" ), 2, IF( AND( OFFSET($A$1, 431 - 1, 96 - 1) = "0", OFFSET($A$1, 431 - 1, 97 - 1) = "1" ), 3, 4 ) ) )</f>
        <v>1</v>
      </c>
    </row>
    <row r="432" spans="95:98" ht="13.8" x14ac:dyDescent="0.3">
      <c r="CQ432" s="24">
        <v>0.9115476620453058</v>
      </c>
      <c r="CR432" s="24" t="str">
        <f t="shared" si="33"/>
        <v>1</v>
      </c>
      <c r="CS432" t="str">
        <f ca="1">IF((OFFSET($A$1, 432 - 1, 95 - 1)) &gt;= (OFFSET($A$1, 54 - 1, 7 - 1)), "1","0")</f>
        <v>1</v>
      </c>
      <c r="CT432">
        <f ca="1" xml:space="preserve"> IF( AND( OFFSET($A$1, 432 - 1, 96 - 1) = "1", OFFSET($A$1, 432 - 1, 97 - 1) = "1" ), 1, IF( AND( OFFSET($A$1, 432 - 1, 96 - 1) = "1", OFFSET($A$1, 432 - 1, 97 - 1) = "0" ), 2, IF( AND( OFFSET($A$1, 432 - 1, 96 - 1) = "0", OFFSET($A$1, 432 - 1, 97 - 1) = "1" ), 3, 4 ) ) )</f>
        <v>1</v>
      </c>
    </row>
    <row r="433" spans="95:98" ht="13.8" x14ac:dyDescent="0.3">
      <c r="CQ433" s="24">
        <v>0.99998267964157928</v>
      </c>
      <c r="CR433" s="24" t="str">
        <f t="shared" si="33"/>
        <v>1</v>
      </c>
      <c r="CS433" t="str">
        <f ca="1">IF((OFFSET($A$1, 433 - 1, 95 - 1)) &gt;= (OFFSET($A$1, 54 - 1, 7 - 1)), "1","0")</f>
        <v>1</v>
      </c>
      <c r="CT433">
        <f ca="1" xml:space="preserve"> IF( AND( OFFSET($A$1, 433 - 1, 96 - 1) = "1", OFFSET($A$1, 433 - 1, 97 - 1) = "1" ), 1, IF( AND( OFFSET($A$1, 433 - 1, 96 - 1) = "1", OFFSET($A$1, 433 - 1, 97 - 1) = "0" ), 2, IF( AND( OFFSET($A$1, 433 - 1, 96 - 1) = "0", OFFSET($A$1, 433 - 1, 97 - 1) = "1" ), 3, 4 ) ) )</f>
        <v>1</v>
      </c>
    </row>
    <row r="434" spans="95:98" ht="13.8" x14ac:dyDescent="0.3">
      <c r="CQ434" s="24">
        <v>0.99511362847120832</v>
      </c>
      <c r="CR434" s="24" t="str">
        <f t="shared" si="33"/>
        <v>1</v>
      </c>
      <c r="CS434" t="str">
        <f ca="1">IF((OFFSET($A$1, 434 - 1, 95 - 1)) &gt;= (OFFSET($A$1, 54 - 1, 7 - 1)), "1","0")</f>
        <v>1</v>
      </c>
      <c r="CT434">
        <f ca="1" xml:space="preserve"> IF( AND( OFFSET($A$1, 434 - 1, 96 - 1) = "1", OFFSET($A$1, 434 - 1, 97 - 1) = "1" ), 1, IF( AND( OFFSET($A$1, 434 - 1, 96 - 1) = "1", OFFSET($A$1, 434 - 1, 97 - 1) = "0" ), 2, IF( AND( OFFSET($A$1, 434 - 1, 96 - 1) = "0", OFFSET($A$1, 434 - 1, 97 - 1) = "1" ), 3, 4 ) ) )</f>
        <v>1</v>
      </c>
    </row>
    <row r="435" spans="95:98" ht="13.8" x14ac:dyDescent="0.3">
      <c r="CQ435" s="24">
        <v>0.99291123585258623</v>
      </c>
      <c r="CR435" s="24" t="str">
        <f t="shared" si="33"/>
        <v>1</v>
      </c>
      <c r="CS435" t="str">
        <f ca="1">IF((OFFSET($A$1, 435 - 1, 95 - 1)) &gt;= (OFFSET($A$1, 54 - 1, 7 - 1)), "1","0")</f>
        <v>1</v>
      </c>
      <c r="CT435">
        <f ca="1" xml:space="preserve"> IF( AND( OFFSET($A$1, 435 - 1, 96 - 1) = "1", OFFSET($A$1, 435 - 1, 97 - 1) = "1" ), 1, IF( AND( OFFSET($A$1, 435 - 1, 96 - 1) = "1", OFFSET($A$1, 435 - 1, 97 - 1) = "0" ), 2, IF( AND( OFFSET($A$1, 435 - 1, 96 - 1) = "0", OFFSET($A$1, 435 - 1, 97 - 1) = "1" ), 3, 4 ) ) )</f>
        <v>1</v>
      </c>
    </row>
    <row r="436" spans="95:98" ht="13.8" x14ac:dyDescent="0.3">
      <c r="CQ436" s="24">
        <v>0.98496396025055644</v>
      </c>
      <c r="CR436" s="24" t="str">
        <f t="shared" si="33"/>
        <v>1</v>
      </c>
      <c r="CS436" t="str">
        <f ca="1">IF((OFFSET($A$1, 436 - 1, 95 - 1)) &gt;= (OFFSET($A$1, 54 - 1, 7 - 1)), "1","0")</f>
        <v>1</v>
      </c>
      <c r="CT436">
        <f ca="1" xml:space="preserve"> IF( AND( OFFSET($A$1, 436 - 1, 96 - 1) = "1", OFFSET($A$1, 436 - 1, 97 - 1) = "1" ), 1, IF( AND( OFFSET($A$1, 436 - 1, 96 - 1) = "1", OFFSET($A$1, 436 - 1, 97 - 1) = "0" ), 2, IF( AND( OFFSET($A$1, 436 - 1, 96 - 1) = "0", OFFSET($A$1, 436 - 1, 97 - 1) = "1" ), 3, 4 ) ) )</f>
        <v>1</v>
      </c>
    </row>
    <row r="437" spans="95:98" ht="13.8" x14ac:dyDescent="0.3">
      <c r="CQ437" s="24">
        <v>0.99727952819125854</v>
      </c>
      <c r="CR437" s="24" t="str">
        <f t="shared" si="33"/>
        <v>1</v>
      </c>
      <c r="CS437" t="str">
        <f ca="1">IF((OFFSET($A$1, 437 - 1, 95 - 1)) &gt;= (OFFSET($A$1, 54 - 1, 7 - 1)), "1","0")</f>
        <v>1</v>
      </c>
      <c r="CT437">
        <f ca="1" xml:space="preserve"> IF( AND( OFFSET($A$1, 437 - 1, 96 - 1) = "1", OFFSET($A$1, 437 - 1, 97 - 1) = "1" ), 1, IF( AND( OFFSET($A$1, 437 - 1, 96 - 1) = "1", OFFSET($A$1, 437 - 1, 97 - 1) = "0" ), 2, IF( AND( OFFSET($A$1, 437 - 1, 96 - 1) = "0", OFFSET($A$1, 437 - 1, 97 - 1) = "1" ), 3, 4 ) ) )</f>
        <v>1</v>
      </c>
    </row>
    <row r="438" spans="95:98" ht="13.8" x14ac:dyDescent="0.3">
      <c r="CQ438" s="24">
        <v>0.99977831931039429</v>
      </c>
      <c r="CR438" s="24" t="str">
        <f t="shared" si="33"/>
        <v>1</v>
      </c>
      <c r="CS438" t="str">
        <f ca="1">IF((OFFSET($A$1, 438 - 1, 95 - 1)) &gt;= (OFFSET($A$1, 54 - 1, 7 - 1)), "1","0")</f>
        <v>1</v>
      </c>
      <c r="CT438">
        <f ca="1" xml:space="preserve"> IF( AND( OFFSET($A$1, 438 - 1, 96 - 1) = "1", OFFSET($A$1, 438 - 1, 97 - 1) = "1" ), 1, IF( AND( OFFSET($A$1, 438 - 1, 96 - 1) = "1", OFFSET($A$1, 438 - 1, 97 - 1) = "0" ), 2, IF( AND( OFFSET($A$1, 438 - 1, 96 - 1) = "0", OFFSET($A$1, 438 - 1, 97 - 1) = "1" ), 3, 4 ) ) )</f>
        <v>1</v>
      </c>
    </row>
    <row r="439" spans="95:98" ht="13.8" x14ac:dyDescent="0.3">
      <c r="CQ439" s="24">
        <v>0.99383689385599305</v>
      </c>
      <c r="CR439" s="24" t="str">
        <f t="shared" si="33"/>
        <v>1</v>
      </c>
      <c r="CS439" t="str">
        <f ca="1">IF((OFFSET($A$1, 439 - 1, 95 - 1)) &gt;= (OFFSET($A$1, 54 - 1, 7 - 1)), "1","0")</f>
        <v>1</v>
      </c>
      <c r="CT439">
        <f ca="1" xml:space="preserve"> IF( AND( OFFSET($A$1, 439 - 1, 96 - 1) = "1", OFFSET($A$1, 439 - 1, 97 - 1) = "1" ), 1, IF( AND( OFFSET($A$1, 439 - 1, 96 - 1) = "1", OFFSET($A$1, 439 - 1, 97 - 1) = "0" ), 2, IF( AND( OFFSET($A$1, 439 - 1, 96 - 1) = "0", OFFSET($A$1, 439 - 1, 97 - 1) = "1" ), 3, 4 ) ) )</f>
        <v>1</v>
      </c>
    </row>
    <row r="440" spans="95:98" ht="13.8" x14ac:dyDescent="0.3">
      <c r="CQ440" s="24">
        <v>0.99957273495849508</v>
      </c>
      <c r="CR440" s="24" t="str">
        <f t="shared" si="33"/>
        <v>1</v>
      </c>
      <c r="CS440" t="str">
        <f ca="1">IF((OFFSET($A$1, 440 - 1, 95 - 1)) &gt;= (OFFSET($A$1, 54 - 1, 7 - 1)), "1","0")</f>
        <v>1</v>
      </c>
      <c r="CT440">
        <f ca="1" xml:space="preserve"> IF( AND( OFFSET($A$1, 440 - 1, 96 - 1) = "1", OFFSET($A$1, 440 - 1, 97 - 1) = "1" ), 1, IF( AND( OFFSET($A$1, 440 - 1, 96 - 1) = "1", OFFSET($A$1, 440 - 1, 97 - 1) = "0" ), 2, IF( AND( OFFSET($A$1, 440 - 1, 96 - 1) = "0", OFFSET($A$1, 440 - 1, 97 - 1) = "1" ), 3, 4 ) ) )</f>
        <v>1</v>
      </c>
    </row>
    <row r="441" spans="95:98" ht="13.8" x14ac:dyDescent="0.3">
      <c r="CQ441" s="24">
        <v>0.96970211748463842</v>
      </c>
      <c r="CR441" s="24" t="str">
        <f t="shared" si="33"/>
        <v>1</v>
      </c>
      <c r="CS441" t="str">
        <f ca="1">IF((OFFSET($A$1, 441 - 1, 95 - 1)) &gt;= (OFFSET($A$1, 54 - 1, 7 - 1)), "1","0")</f>
        <v>1</v>
      </c>
      <c r="CT441">
        <f ca="1" xml:space="preserve"> IF( AND( OFFSET($A$1, 441 - 1, 96 - 1) = "1", OFFSET($A$1, 441 - 1, 97 - 1) = "1" ), 1, IF( AND( OFFSET($A$1, 441 - 1, 96 - 1) = "1", OFFSET($A$1, 441 - 1, 97 - 1) = "0" ), 2, IF( AND( OFFSET($A$1, 441 - 1, 96 - 1) = "0", OFFSET($A$1, 441 - 1, 97 - 1) = "1" ), 3, 4 ) ) )</f>
        <v>1</v>
      </c>
    </row>
    <row r="442" spans="95:98" ht="13.8" x14ac:dyDescent="0.3">
      <c r="CQ442" s="24">
        <v>0.99997757420395694</v>
      </c>
      <c r="CR442" s="24" t="str">
        <f t="shared" si="33"/>
        <v>1</v>
      </c>
      <c r="CS442" t="str">
        <f ca="1">IF((OFFSET($A$1, 442 - 1, 95 - 1)) &gt;= (OFFSET($A$1, 54 - 1, 7 - 1)), "1","0")</f>
        <v>1</v>
      </c>
      <c r="CT442">
        <f ca="1" xml:space="preserve"> IF( AND( OFFSET($A$1, 442 - 1, 96 - 1) = "1", OFFSET($A$1, 442 - 1, 97 - 1) = "1" ), 1, IF( AND( OFFSET($A$1, 442 - 1, 96 - 1) = "1", OFFSET($A$1, 442 - 1, 97 - 1) = "0" ), 2, IF( AND( OFFSET($A$1, 442 - 1, 96 - 1) = "0", OFFSET($A$1, 442 - 1, 97 - 1) = "1" ), 3, 4 ) ) )</f>
        <v>1</v>
      </c>
    </row>
    <row r="443" spans="95:98" ht="13.8" x14ac:dyDescent="0.3">
      <c r="CQ443" s="24">
        <v>0.91211113207368255</v>
      </c>
      <c r="CR443" s="24" t="str">
        <f t="shared" si="33"/>
        <v>1</v>
      </c>
      <c r="CS443" t="str">
        <f ca="1">IF((OFFSET($A$1, 443 - 1, 95 - 1)) &gt;= (OFFSET($A$1, 54 - 1, 7 - 1)), "1","0")</f>
        <v>1</v>
      </c>
      <c r="CT443">
        <f ca="1" xml:space="preserve"> IF( AND( OFFSET($A$1, 443 - 1, 96 - 1) = "1", OFFSET($A$1, 443 - 1, 97 - 1) = "1" ), 1, IF( AND( OFFSET($A$1, 443 - 1, 96 - 1) = "1", OFFSET($A$1, 443 - 1, 97 - 1) = "0" ), 2, IF( AND( OFFSET($A$1, 443 - 1, 96 - 1) = "0", OFFSET($A$1, 443 - 1, 97 - 1) = "1" ), 3, 4 ) ) )</f>
        <v>1</v>
      </c>
    </row>
    <row r="444" spans="95:98" ht="13.8" x14ac:dyDescent="0.3">
      <c r="CQ444" s="24">
        <v>0.95901983144233194</v>
      </c>
      <c r="CR444" s="24" t="str">
        <f t="shared" si="33"/>
        <v>1</v>
      </c>
      <c r="CS444" t="str">
        <f ca="1">IF((OFFSET($A$1, 444 - 1, 95 - 1)) &gt;= (OFFSET($A$1, 54 - 1, 7 - 1)), "1","0")</f>
        <v>1</v>
      </c>
      <c r="CT444">
        <f ca="1" xml:space="preserve"> IF( AND( OFFSET($A$1, 444 - 1, 96 - 1) = "1", OFFSET($A$1, 444 - 1, 97 - 1) = "1" ), 1, IF( AND( OFFSET($A$1, 444 - 1, 96 - 1) = "1", OFFSET($A$1, 444 - 1, 97 - 1) = "0" ), 2, IF( AND( OFFSET($A$1, 444 - 1, 96 - 1) = "0", OFFSET($A$1, 444 - 1, 97 - 1) = "1" ), 3, 4 ) ) )</f>
        <v>1</v>
      </c>
    </row>
    <row r="445" spans="95:98" ht="13.8" x14ac:dyDescent="0.3">
      <c r="CQ445" s="24">
        <v>3.4628450894218982E-2</v>
      </c>
      <c r="CR445" s="24" t="str">
        <f>"0"</f>
        <v>0</v>
      </c>
      <c r="CS445" t="str">
        <f ca="1">IF((OFFSET($A$1, 445 - 1, 95 - 1)) &gt;= (OFFSET($A$1, 54 - 1, 7 - 1)), "1","0")</f>
        <v>0</v>
      </c>
      <c r="CT445">
        <f ca="1" xml:space="preserve"> IF( AND( OFFSET($A$1, 445 - 1, 96 - 1) = "1", OFFSET($A$1, 445 - 1, 97 - 1) = "1" ), 1, IF( AND( OFFSET($A$1, 445 - 1, 96 - 1) = "1", OFFSET($A$1, 445 - 1, 97 - 1) = "0" ), 2, IF( AND( OFFSET($A$1, 445 - 1, 96 - 1) = "0", OFFSET($A$1, 445 - 1, 97 - 1) = "1" ), 3, 4 ) ) )</f>
        <v>4</v>
      </c>
    </row>
    <row r="446" spans="95:98" ht="13.8" x14ac:dyDescent="0.3">
      <c r="CQ446" s="24">
        <v>0.99703669789145799</v>
      </c>
      <c r="CR446" s="24" t="str">
        <f>"1"</f>
        <v>1</v>
      </c>
      <c r="CS446" t="str">
        <f ca="1">IF((OFFSET($A$1, 446 - 1, 95 - 1)) &gt;= (OFFSET($A$1, 54 - 1, 7 - 1)), "1","0")</f>
        <v>1</v>
      </c>
      <c r="CT446">
        <f ca="1" xml:space="preserve"> IF( AND( OFFSET($A$1, 446 - 1, 96 - 1) = "1", OFFSET($A$1, 446 - 1, 97 - 1) = "1" ), 1, IF( AND( OFFSET($A$1, 446 - 1, 96 - 1) = "1", OFFSET($A$1, 446 - 1, 97 - 1) = "0" ), 2, IF( AND( OFFSET($A$1, 446 - 1, 96 - 1) = "0", OFFSET($A$1, 446 - 1, 97 - 1) = "1" ), 3, 4 ) ) )</f>
        <v>1</v>
      </c>
    </row>
    <row r="447" spans="95:98" ht="13.8" x14ac:dyDescent="0.3">
      <c r="CQ447" s="24">
        <v>0.98541146023648585</v>
      </c>
      <c r="CR447" s="24" t="str">
        <f>"1"</f>
        <v>1</v>
      </c>
      <c r="CS447" t="str">
        <f ca="1">IF((OFFSET($A$1, 447 - 1, 95 - 1)) &gt;= (OFFSET($A$1, 54 - 1, 7 - 1)), "1","0")</f>
        <v>1</v>
      </c>
      <c r="CT447">
        <f ca="1" xml:space="preserve"> IF( AND( OFFSET($A$1, 447 - 1, 96 - 1) = "1", OFFSET($A$1, 447 - 1, 97 - 1) = "1" ), 1, IF( AND( OFFSET($A$1, 447 - 1, 96 - 1) = "1", OFFSET($A$1, 447 - 1, 97 - 1) = "0" ), 2, IF( AND( OFFSET($A$1, 447 - 1, 96 - 1) = "0", OFFSET($A$1, 447 - 1, 97 - 1) = "1" ), 3, 4 ) ) )</f>
        <v>1</v>
      </c>
    </row>
    <row r="448" spans="95:98" ht="13.8" x14ac:dyDescent="0.3">
      <c r="CQ448" s="24">
        <v>0.99131916486142058</v>
      </c>
      <c r="CR448" s="24" t="str">
        <f>"1"</f>
        <v>1</v>
      </c>
      <c r="CS448" t="str">
        <f ca="1">IF((OFFSET($A$1, 448 - 1, 95 - 1)) &gt;= (OFFSET($A$1, 54 - 1, 7 - 1)), "1","0")</f>
        <v>1</v>
      </c>
      <c r="CT448">
        <f ca="1" xml:space="preserve"> IF( AND( OFFSET($A$1, 448 - 1, 96 - 1) = "1", OFFSET($A$1, 448 - 1, 97 - 1) = "1" ), 1, IF( AND( OFFSET($A$1, 448 - 1, 96 - 1) = "1", OFFSET($A$1, 448 - 1, 97 - 1) = "0" ), 2, IF( AND( OFFSET($A$1, 448 - 1, 96 - 1) = "0", OFFSET($A$1, 448 - 1, 97 - 1) = "1" ), 3, 4 ) ) )</f>
        <v>1</v>
      </c>
    </row>
    <row r="449" spans="95:98" ht="13.8" x14ac:dyDescent="0.3">
      <c r="CQ449" s="24">
        <v>0.93220118765318172</v>
      </c>
      <c r="CR449" s="24" t="str">
        <f>"1"</f>
        <v>1</v>
      </c>
      <c r="CS449" t="str">
        <f ca="1">IF((OFFSET($A$1, 449 - 1, 95 - 1)) &gt;= (OFFSET($A$1, 54 - 1, 7 - 1)), "1","0")</f>
        <v>1</v>
      </c>
      <c r="CT449">
        <f ca="1" xml:space="preserve"> IF( AND( OFFSET($A$1, 449 - 1, 96 - 1) = "1", OFFSET($A$1, 449 - 1, 97 - 1) = "1" ), 1, IF( AND( OFFSET($A$1, 449 - 1, 96 - 1) = "1", OFFSET($A$1, 449 - 1, 97 - 1) = "0" ), 2, IF( AND( OFFSET($A$1, 449 - 1, 96 - 1) = "0", OFFSET($A$1, 449 - 1, 97 - 1) = "1" ), 3, 4 ) ) )</f>
        <v>1</v>
      </c>
    </row>
    <row r="450" spans="95:98" ht="13.8" x14ac:dyDescent="0.3">
      <c r="CQ450" s="24">
        <v>7.360956142499879E-2</v>
      </c>
      <c r="CR450" s="24" t="str">
        <f>"0"</f>
        <v>0</v>
      </c>
      <c r="CS450" t="str">
        <f ca="1">IF((OFFSET($A$1, 450 - 1, 95 - 1)) &gt;= (OFFSET($A$1, 54 - 1, 7 - 1)), "1","0")</f>
        <v>0</v>
      </c>
      <c r="CT450">
        <f ca="1" xml:space="preserve"> IF( AND( OFFSET($A$1, 450 - 1, 96 - 1) = "1", OFFSET($A$1, 450 - 1, 97 - 1) = "1" ), 1, IF( AND( OFFSET($A$1, 450 - 1, 96 - 1) = "1", OFFSET($A$1, 450 - 1, 97 - 1) = "0" ), 2, IF( AND( OFFSET($A$1, 450 - 1, 96 - 1) = "0", OFFSET($A$1, 450 - 1, 97 - 1) = "1" ), 3, 4 ) ) )</f>
        <v>4</v>
      </c>
    </row>
    <row r="451" spans="95:98" ht="13.8" x14ac:dyDescent="0.3">
      <c r="CQ451" s="24">
        <v>4.5387052419876457E-2</v>
      </c>
      <c r="CR451" s="24" t="str">
        <f>"0"</f>
        <v>0</v>
      </c>
      <c r="CS451" t="str">
        <f ca="1">IF((OFFSET($A$1, 451 - 1, 95 - 1)) &gt;= (OFFSET($A$1, 54 - 1, 7 - 1)), "1","0")</f>
        <v>0</v>
      </c>
      <c r="CT451">
        <f ca="1" xml:space="preserve"> IF( AND( OFFSET($A$1, 451 - 1, 96 - 1) = "1", OFFSET($A$1, 451 - 1, 97 - 1) = "1" ), 1, IF( AND( OFFSET($A$1, 451 - 1, 96 - 1) = "1", OFFSET($A$1, 451 - 1, 97 - 1) = "0" ), 2, IF( AND( OFFSET($A$1, 451 - 1, 96 - 1) = "0", OFFSET($A$1, 451 - 1, 97 - 1) = "1" ), 3, 4 ) ) )</f>
        <v>4</v>
      </c>
    </row>
    <row r="452" spans="95:98" ht="13.8" x14ac:dyDescent="0.3">
      <c r="CQ452" s="24">
        <v>0.9860161119811387</v>
      </c>
      <c r="CR452" s="24" t="str">
        <f>"1"</f>
        <v>1</v>
      </c>
      <c r="CS452" t="str">
        <f ca="1">IF((OFFSET($A$1, 452 - 1, 95 - 1)) &gt;= (OFFSET($A$1, 54 - 1, 7 - 1)), "1","0")</f>
        <v>1</v>
      </c>
      <c r="CT452">
        <f ca="1" xml:space="preserve"> IF( AND( OFFSET($A$1, 452 - 1, 96 - 1) = "1", OFFSET($A$1, 452 - 1, 97 - 1) = "1" ), 1, IF( AND( OFFSET($A$1, 452 - 1, 96 - 1) = "1", OFFSET($A$1, 452 - 1, 97 - 1) = "0" ), 2, IF( AND( OFFSET($A$1, 452 - 1, 96 - 1) = "0", OFFSET($A$1, 452 - 1, 97 - 1) = "1" ), 3, 4 ) ) )</f>
        <v>1</v>
      </c>
    </row>
    <row r="453" spans="95:98" ht="13.8" x14ac:dyDescent="0.3">
      <c r="CQ453" s="24">
        <v>0.1576593698304426</v>
      </c>
      <c r="CR453" s="24" t="str">
        <f>"0"</f>
        <v>0</v>
      </c>
      <c r="CS453" t="str">
        <f ca="1">IF((OFFSET($A$1, 453 - 1, 95 - 1)) &gt;= (OFFSET($A$1, 54 - 1, 7 - 1)), "1","0")</f>
        <v>0</v>
      </c>
      <c r="CT453">
        <f ca="1" xml:space="preserve"> IF( AND( OFFSET($A$1, 453 - 1, 96 - 1) = "1", OFFSET($A$1, 453 - 1, 97 - 1) = "1" ), 1, IF( AND( OFFSET($A$1, 453 - 1, 96 - 1) = "1", OFFSET($A$1, 453 - 1, 97 - 1) = "0" ), 2, IF( AND( OFFSET($A$1, 453 - 1, 96 - 1) = "0", OFFSET($A$1, 453 - 1, 97 - 1) = "1" ), 3, 4 ) ) )</f>
        <v>4</v>
      </c>
    </row>
    <row r="454" spans="95:98" ht="13.8" x14ac:dyDescent="0.3">
      <c r="CQ454" s="24">
        <v>9.8108841857248563E-3</v>
      </c>
      <c r="CR454" s="24" t="str">
        <f>"0"</f>
        <v>0</v>
      </c>
      <c r="CS454" t="str">
        <f ca="1">IF((OFFSET($A$1, 454 - 1, 95 - 1)) &gt;= (OFFSET($A$1, 54 - 1, 7 - 1)), "1","0")</f>
        <v>0</v>
      </c>
      <c r="CT454">
        <f ca="1" xml:space="preserve"> IF( AND( OFFSET($A$1, 454 - 1, 96 - 1) = "1", OFFSET($A$1, 454 - 1, 97 - 1) = "1" ), 1, IF( AND( OFFSET($A$1, 454 - 1, 96 - 1) = "1", OFFSET($A$1, 454 - 1, 97 - 1) = "0" ), 2, IF( AND( OFFSET($A$1, 454 - 1, 96 - 1) = "0", OFFSET($A$1, 454 - 1, 97 - 1) = "1" ), 3, 4 ) ) )</f>
        <v>4</v>
      </c>
    </row>
    <row r="455" spans="95:98" ht="13.8" x14ac:dyDescent="0.3">
      <c r="CQ455" s="24">
        <v>0.12127196949612987</v>
      </c>
      <c r="CR455" s="24" t="str">
        <f>"0"</f>
        <v>0</v>
      </c>
      <c r="CS455" t="str">
        <f ca="1">IF((OFFSET($A$1, 455 - 1, 95 - 1)) &gt;= (OFFSET($A$1, 54 - 1, 7 - 1)), "1","0")</f>
        <v>0</v>
      </c>
      <c r="CT455">
        <f ca="1" xml:space="preserve"> IF( AND( OFFSET($A$1, 455 - 1, 96 - 1) = "1", OFFSET($A$1, 455 - 1, 97 - 1) = "1" ), 1, IF( AND( OFFSET($A$1, 455 - 1, 96 - 1) = "1", OFFSET($A$1, 455 - 1, 97 - 1) = "0" ), 2, IF( AND( OFFSET($A$1, 455 - 1, 96 - 1) = "0", OFFSET($A$1, 455 - 1, 97 - 1) = "1" ), 3, 4 ) ) )</f>
        <v>4</v>
      </c>
    </row>
    <row r="456" spans="95:98" ht="13.8" x14ac:dyDescent="0.3">
      <c r="CQ456" s="24">
        <v>0.98413697750559359</v>
      </c>
      <c r="CR456" s="24" t="str">
        <f>"1"</f>
        <v>1</v>
      </c>
      <c r="CS456" t="str">
        <f ca="1">IF((OFFSET($A$1, 456 - 1, 95 - 1)) &gt;= (OFFSET($A$1, 54 - 1, 7 - 1)), "1","0")</f>
        <v>1</v>
      </c>
      <c r="CT456">
        <f ca="1" xml:space="preserve"> IF( AND( OFFSET($A$1, 456 - 1, 96 - 1) = "1", OFFSET($A$1, 456 - 1, 97 - 1) = "1" ), 1, IF( AND( OFFSET($A$1, 456 - 1, 96 - 1) = "1", OFFSET($A$1, 456 - 1, 97 - 1) = "0" ), 2, IF( AND( OFFSET($A$1, 456 - 1, 96 - 1) = "0", OFFSET($A$1, 456 - 1, 97 - 1) = "1" ), 3, 4 ) ) )</f>
        <v>1</v>
      </c>
    </row>
    <row r="457" spans="95:98" ht="13.8" x14ac:dyDescent="0.3">
      <c r="CQ457" s="24">
        <v>0.1177586931387672</v>
      </c>
      <c r="CR457" s="24" t="str">
        <f>"0"</f>
        <v>0</v>
      </c>
      <c r="CS457" t="str">
        <f ca="1">IF((OFFSET($A$1, 457 - 1, 95 - 1)) &gt;= (OFFSET($A$1, 54 - 1, 7 - 1)), "1","0")</f>
        <v>0</v>
      </c>
      <c r="CT457">
        <f ca="1" xml:space="preserve"> IF( AND( OFFSET($A$1, 457 - 1, 96 - 1) = "1", OFFSET($A$1, 457 - 1, 97 - 1) = "1" ), 1, IF( AND( OFFSET($A$1, 457 - 1, 96 - 1) = "1", OFFSET($A$1, 457 - 1, 97 - 1) = "0" ), 2, IF( AND( OFFSET($A$1, 457 - 1, 96 - 1) = "0", OFFSET($A$1, 457 - 1, 97 - 1) = "1" ), 3, 4 ) ) )</f>
        <v>4</v>
      </c>
    </row>
    <row r="458" spans="95:98" ht="13.8" x14ac:dyDescent="0.3">
      <c r="CQ458" s="24">
        <v>5.7523475588487439E-3</v>
      </c>
      <c r="CR458" s="24" t="str">
        <f>"0"</f>
        <v>0</v>
      </c>
      <c r="CS458" t="str">
        <f ca="1">IF((OFFSET($A$1, 458 - 1, 95 - 1)) &gt;= (OFFSET($A$1, 54 - 1, 7 - 1)), "1","0")</f>
        <v>0</v>
      </c>
      <c r="CT458">
        <f ca="1" xml:space="preserve"> IF( AND( OFFSET($A$1, 458 - 1, 96 - 1) = "1", OFFSET($A$1, 458 - 1, 97 - 1) = "1" ), 1, IF( AND( OFFSET($A$1, 458 - 1, 96 - 1) = "1", OFFSET($A$1, 458 - 1, 97 - 1) = "0" ), 2, IF( AND( OFFSET($A$1, 458 - 1, 96 - 1) = "0", OFFSET($A$1, 458 - 1, 97 - 1) = "1" ), 3, 4 ) ) )</f>
        <v>4</v>
      </c>
    </row>
    <row r="459" spans="95:98" ht="13.8" x14ac:dyDescent="0.3">
      <c r="CQ459" s="24">
        <v>0.99772348267245414</v>
      </c>
      <c r="CR459" s="24" t="str">
        <f>"1"</f>
        <v>1</v>
      </c>
      <c r="CS459" t="str">
        <f ca="1">IF((OFFSET($A$1, 459 - 1, 95 - 1)) &gt;= (OFFSET($A$1, 54 - 1, 7 - 1)), "1","0")</f>
        <v>1</v>
      </c>
      <c r="CT459">
        <f ca="1" xml:space="preserve"> IF( AND( OFFSET($A$1, 459 - 1, 96 - 1) = "1", OFFSET($A$1, 459 - 1, 97 - 1) = "1" ), 1, IF( AND( OFFSET($A$1, 459 - 1, 96 - 1) = "1", OFFSET($A$1, 459 - 1, 97 - 1) = "0" ), 2, IF( AND( OFFSET($A$1, 459 - 1, 96 - 1) = "0", OFFSET($A$1, 459 - 1, 97 - 1) = "1" ), 3, 4 ) ) )</f>
        <v>1</v>
      </c>
    </row>
    <row r="460" spans="95:98" ht="13.8" x14ac:dyDescent="0.3">
      <c r="CQ460" s="24">
        <v>0.99515225616541458</v>
      </c>
      <c r="CR460" s="24" t="str">
        <f>"1"</f>
        <v>1</v>
      </c>
      <c r="CS460" t="str">
        <f ca="1">IF((OFFSET($A$1, 460 - 1, 95 - 1)) &gt;= (OFFSET($A$1, 54 - 1, 7 - 1)), "1","0")</f>
        <v>1</v>
      </c>
      <c r="CT460">
        <f ca="1" xml:space="preserve"> IF( AND( OFFSET($A$1, 460 - 1, 96 - 1) = "1", OFFSET($A$1, 460 - 1, 97 - 1) = "1" ), 1, IF( AND( OFFSET($A$1, 460 - 1, 96 - 1) = "1", OFFSET($A$1, 460 - 1, 97 - 1) = "0" ), 2, IF( AND( OFFSET($A$1, 460 - 1, 96 - 1) = "0", OFFSET($A$1, 460 - 1, 97 - 1) = "1" ), 3, 4 ) ) )</f>
        <v>1</v>
      </c>
    </row>
    <row r="461" spans="95:98" ht="13.8" x14ac:dyDescent="0.3">
      <c r="CQ461" s="24">
        <v>0.99992241897833023</v>
      </c>
      <c r="CR461" s="24" t="str">
        <f>"1"</f>
        <v>1</v>
      </c>
      <c r="CS461" t="str">
        <f ca="1">IF((OFFSET($A$1, 461 - 1, 95 - 1)) &gt;= (OFFSET($A$1, 54 - 1, 7 - 1)), "1","0")</f>
        <v>1</v>
      </c>
      <c r="CT461">
        <f ca="1" xml:space="preserve"> IF( AND( OFFSET($A$1, 461 - 1, 96 - 1) = "1", OFFSET($A$1, 461 - 1, 97 - 1) = "1" ), 1, IF( AND( OFFSET($A$1, 461 - 1, 96 - 1) = "1", OFFSET($A$1, 461 - 1, 97 - 1) = "0" ), 2, IF( AND( OFFSET($A$1, 461 - 1, 96 - 1) = "0", OFFSET($A$1, 461 - 1, 97 - 1) = "1" ), 3, 4 ) ) )</f>
        <v>1</v>
      </c>
    </row>
    <row r="462" spans="95:98" ht="13.8" x14ac:dyDescent="0.3">
      <c r="CQ462" s="24">
        <v>0.94147620483786565</v>
      </c>
      <c r="CR462" s="24" t="str">
        <f>"1"</f>
        <v>1</v>
      </c>
      <c r="CS462" t="str">
        <f ca="1">IF((OFFSET($A$1, 462 - 1, 95 - 1)) &gt;= (OFFSET($A$1, 54 - 1, 7 - 1)), "1","0")</f>
        <v>1</v>
      </c>
      <c r="CT462">
        <f ca="1" xml:space="preserve"> IF( AND( OFFSET($A$1, 462 - 1, 96 - 1) = "1", OFFSET($A$1, 462 - 1, 97 - 1) = "1" ), 1, IF( AND( OFFSET($A$1, 462 - 1, 96 - 1) = "1", OFFSET($A$1, 462 - 1, 97 - 1) = "0" ), 2, IF( AND( OFFSET($A$1, 462 - 1, 96 - 1) = "0", OFFSET($A$1, 462 - 1, 97 - 1) = "1" ), 3, 4 ) ) )</f>
        <v>1</v>
      </c>
    </row>
    <row r="463" spans="95:98" ht="13.8" x14ac:dyDescent="0.3">
      <c r="CQ463" s="24">
        <v>3.045829119333003E-3</v>
      </c>
      <c r="CR463" s="24" t="str">
        <f>"0"</f>
        <v>0</v>
      </c>
      <c r="CS463" t="str">
        <f ca="1">IF((OFFSET($A$1, 463 - 1, 95 - 1)) &gt;= (OFFSET($A$1, 54 - 1, 7 - 1)), "1","0")</f>
        <v>0</v>
      </c>
      <c r="CT463">
        <f ca="1" xml:space="preserve"> IF( AND( OFFSET($A$1, 463 - 1, 96 - 1) = "1", OFFSET($A$1, 463 - 1, 97 - 1) = "1" ), 1, IF( AND( OFFSET($A$1, 463 - 1, 96 - 1) = "1", OFFSET($A$1, 463 - 1, 97 - 1) = "0" ), 2, IF( AND( OFFSET($A$1, 463 - 1, 96 - 1) = "0", OFFSET($A$1, 463 - 1, 97 - 1) = "1" ), 3, 4 ) ) )</f>
        <v>4</v>
      </c>
    </row>
    <row r="464" spans="95:98" ht="13.8" x14ac:dyDescent="0.3">
      <c r="CQ464" s="24">
        <v>4.803390931265538E-2</v>
      </c>
      <c r="CR464" s="24" t="str">
        <f>"0"</f>
        <v>0</v>
      </c>
      <c r="CS464" t="str">
        <f ca="1">IF((OFFSET($A$1, 464 - 1, 95 - 1)) &gt;= (OFFSET($A$1, 54 - 1, 7 - 1)), "1","0")</f>
        <v>0</v>
      </c>
      <c r="CT464">
        <f ca="1" xml:space="preserve"> IF( AND( OFFSET($A$1, 464 - 1, 96 - 1) = "1", OFFSET($A$1, 464 - 1, 97 - 1) = "1" ), 1, IF( AND( OFFSET($A$1, 464 - 1, 96 - 1) = "1", OFFSET($A$1, 464 - 1, 97 - 1) = "0" ), 2, IF( AND( OFFSET($A$1, 464 - 1, 96 - 1) = "0", OFFSET($A$1, 464 - 1, 97 - 1) = "1" ), 3, 4 ) ) )</f>
        <v>4</v>
      </c>
    </row>
    <row r="465" spans="95:98" ht="13.8" x14ac:dyDescent="0.3">
      <c r="CQ465" s="24">
        <v>0.96508567128152678</v>
      </c>
      <c r="CR465" s="24" t="str">
        <f>"1"</f>
        <v>1</v>
      </c>
      <c r="CS465" t="str">
        <f ca="1">IF((OFFSET($A$1, 465 - 1, 95 - 1)) &gt;= (OFFSET($A$1, 54 - 1, 7 - 1)), "1","0")</f>
        <v>1</v>
      </c>
      <c r="CT465">
        <f ca="1" xml:space="preserve"> IF( AND( OFFSET($A$1, 465 - 1, 96 - 1) = "1", OFFSET($A$1, 465 - 1, 97 - 1) = "1" ), 1, IF( AND( OFFSET($A$1, 465 - 1, 96 - 1) = "1", OFFSET($A$1, 465 - 1, 97 - 1) = "0" ), 2, IF( AND( OFFSET($A$1, 465 - 1, 96 - 1) = "0", OFFSET($A$1, 465 - 1, 97 - 1) = "1" ), 3, 4 ) ) )</f>
        <v>1</v>
      </c>
    </row>
    <row r="466" spans="95:98" ht="13.8" x14ac:dyDescent="0.3">
      <c r="CQ466" s="24">
        <v>8.2793677956698772E-2</v>
      </c>
      <c r="CR466" s="24" t="str">
        <f>"0"</f>
        <v>0</v>
      </c>
      <c r="CS466" t="str">
        <f ca="1">IF((OFFSET($A$1, 466 - 1, 95 - 1)) &gt;= (OFFSET($A$1, 54 - 1, 7 - 1)), "1","0")</f>
        <v>0</v>
      </c>
      <c r="CT466">
        <f ca="1" xml:space="preserve"> IF( AND( OFFSET($A$1, 466 - 1, 96 - 1) = "1", OFFSET($A$1, 466 - 1, 97 - 1) = "1" ), 1, IF( AND( OFFSET($A$1, 466 - 1, 96 - 1) = "1", OFFSET($A$1, 466 - 1, 97 - 1) = "0" ), 2, IF( AND( OFFSET($A$1, 466 - 1, 96 - 1) = "0", OFFSET($A$1, 466 - 1, 97 - 1) = "1" ), 3, 4 ) ) )</f>
        <v>4</v>
      </c>
    </row>
    <row r="467" spans="95:98" ht="13.8" x14ac:dyDescent="0.3">
      <c r="CQ467" s="24">
        <v>0.99981620635030921</v>
      </c>
      <c r="CR467" s="24" t="str">
        <f>"1"</f>
        <v>1</v>
      </c>
      <c r="CS467" t="str">
        <f ca="1">IF((OFFSET($A$1, 467 - 1, 95 - 1)) &gt;= (OFFSET($A$1, 54 - 1, 7 - 1)), "1","0")</f>
        <v>1</v>
      </c>
      <c r="CT467">
        <f ca="1" xml:space="preserve"> IF( AND( OFFSET($A$1, 467 - 1, 96 - 1) = "1", OFFSET($A$1, 467 - 1, 97 - 1) = "1" ), 1, IF( AND( OFFSET($A$1, 467 - 1, 96 - 1) = "1", OFFSET($A$1, 467 - 1, 97 - 1) = "0" ), 2, IF( AND( OFFSET($A$1, 467 - 1, 96 - 1) = "0", OFFSET($A$1, 467 - 1, 97 - 1) = "1" ), 3, 4 ) ) )</f>
        <v>1</v>
      </c>
    </row>
    <row r="468" spans="95:98" ht="13.8" x14ac:dyDescent="0.3">
      <c r="CQ468" s="24">
        <v>0.99202734838918549</v>
      </c>
      <c r="CR468" s="24" t="str">
        <f>"1"</f>
        <v>1</v>
      </c>
      <c r="CS468" t="str">
        <f ca="1">IF((OFFSET($A$1, 468 - 1, 95 - 1)) &gt;= (OFFSET($A$1, 54 - 1, 7 - 1)), "1","0")</f>
        <v>1</v>
      </c>
      <c r="CT468">
        <f ca="1" xml:space="preserve"> IF( AND( OFFSET($A$1, 468 - 1, 96 - 1) = "1", OFFSET($A$1, 468 - 1, 97 - 1) = "1" ), 1, IF( AND( OFFSET($A$1, 468 - 1, 96 - 1) = "1", OFFSET($A$1, 468 - 1, 97 - 1) = "0" ), 2, IF( AND( OFFSET($A$1, 468 - 1, 96 - 1) = "0", OFFSET($A$1, 468 - 1, 97 - 1) = "1" ), 3, 4 ) ) )</f>
        <v>1</v>
      </c>
    </row>
    <row r="469" spans="95:98" ht="13.8" x14ac:dyDescent="0.3">
      <c r="CQ469" s="24">
        <v>5.9109655070280999E-3</v>
      </c>
      <c r="CR469" s="24" t="str">
        <f>"0"</f>
        <v>0</v>
      </c>
      <c r="CS469" t="str">
        <f ca="1">IF((OFFSET($A$1, 469 - 1, 95 - 1)) &gt;= (OFFSET($A$1, 54 - 1, 7 - 1)), "1","0")</f>
        <v>0</v>
      </c>
      <c r="CT469">
        <f ca="1" xml:space="preserve"> IF( AND( OFFSET($A$1, 469 - 1, 96 - 1) = "1", OFFSET($A$1, 469 - 1, 97 - 1) = "1" ), 1, IF( AND( OFFSET($A$1, 469 - 1, 96 - 1) = "1", OFFSET($A$1, 469 - 1, 97 - 1) = "0" ), 2, IF( AND( OFFSET($A$1, 469 - 1, 96 - 1) = "0", OFFSET($A$1, 469 - 1, 97 - 1) = "1" ), 3, 4 ) ) )</f>
        <v>4</v>
      </c>
    </row>
    <row r="470" spans="95:98" ht="13.8" x14ac:dyDescent="0.3">
      <c r="CQ470" s="24">
        <v>0.10504275946141105</v>
      </c>
      <c r="CR470" s="24" t="str">
        <f>"0"</f>
        <v>0</v>
      </c>
      <c r="CS470" t="str">
        <f ca="1">IF((OFFSET($A$1, 470 - 1, 95 - 1)) &gt;= (OFFSET($A$1, 54 - 1, 7 - 1)), "1","0")</f>
        <v>0</v>
      </c>
      <c r="CT470">
        <f ca="1" xml:space="preserve"> IF( AND( OFFSET($A$1, 470 - 1, 96 - 1) = "1", OFFSET($A$1, 470 - 1, 97 - 1) = "1" ), 1, IF( AND( OFFSET($A$1, 470 - 1, 96 - 1) = "1", OFFSET($A$1, 470 - 1, 97 - 1) = "0" ), 2, IF( AND( OFFSET($A$1, 470 - 1, 96 - 1) = "0", OFFSET($A$1, 470 - 1, 97 - 1) = "1" ), 3, 4 ) ) )</f>
        <v>4</v>
      </c>
    </row>
    <row r="471" spans="95:98" ht="13.8" x14ac:dyDescent="0.3">
      <c r="CQ471" s="24">
        <v>0.51637643021085822</v>
      </c>
      <c r="CR471" s="24" t="str">
        <f>"0"</f>
        <v>0</v>
      </c>
      <c r="CS471" t="str">
        <f ca="1">IF((OFFSET($A$1, 471 - 1, 95 - 1)) &gt;= (OFFSET($A$1, 54 - 1, 7 - 1)), "1","0")</f>
        <v>1</v>
      </c>
      <c r="CT471">
        <f ca="1" xml:space="preserve"> IF( AND( OFFSET($A$1, 471 - 1, 96 - 1) = "1", OFFSET($A$1, 471 - 1, 97 - 1) = "1" ), 1, IF( AND( OFFSET($A$1, 471 - 1, 96 - 1) = "1", OFFSET($A$1, 471 - 1, 97 - 1) = "0" ), 2, IF( AND( OFFSET($A$1, 471 - 1, 96 - 1) = "0", OFFSET($A$1, 471 - 1, 97 - 1) = "1" ), 3, 4 ) ) )</f>
        <v>3</v>
      </c>
    </row>
    <row r="472" spans="95:98" ht="13.8" x14ac:dyDescent="0.3">
      <c r="CQ472" s="24">
        <v>0.993560859021271</v>
      </c>
      <c r="CR472" s="24" t="str">
        <f>"1"</f>
        <v>1</v>
      </c>
      <c r="CS472" t="str">
        <f ca="1">IF((OFFSET($A$1, 472 - 1, 95 - 1)) &gt;= (OFFSET($A$1, 54 - 1, 7 - 1)), "1","0")</f>
        <v>1</v>
      </c>
      <c r="CT472">
        <f ca="1" xml:space="preserve"> IF( AND( OFFSET($A$1, 472 - 1, 96 - 1) = "1", OFFSET($A$1, 472 - 1, 97 - 1) = "1" ), 1, IF( AND( OFFSET($A$1, 472 - 1, 96 - 1) = "1", OFFSET($A$1, 472 - 1, 97 - 1) = "0" ), 2, IF( AND( OFFSET($A$1, 472 - 1, 96 - 1) = "0", OFFSET($A$1, 472 - 1, 97 - 1) = "1" ), 3, 4 ) ) )</f>
        <v>1</v>
      </c>
    </row>
    <row r="473" spans="95:98" ht="13.8" x14ac:dyDescent="0.3">
      <c r="CQ473" s="24">
        <v>2.3613226638789384E-2</v>
      </c>
      <c r="CR473" s="24" t="str">
        <f>"0"</f>
        <v>0</v>
      </c>
      <c r="CS473" t="str">
        <f ca="1">IF((OFFSET($A$1, 473 - 1, 95 - 1)) &gt;= (OFFSET($A$1, 54 - 1, 7 - 1)), "1","0")</f>
        <v>0</v>
      </c>
      <c r="CT473">
        <f ca="1" xml:space="preserve"> IF( AND( OFFSET($A$1, 473 - 1, 96 - 1) = "1", OFFSET($A$1, 473 - 1, 97 - 1) = "1" ), 1, IF( AND( OFFSET($A$1, 473 - 1, 96 - 1) = "1", OFFSET($A$1, 473 - 1, 97 - 1) = "0" ), 2, IF( AND( OFFSET($A$1, 473 - 1, 96 - 1) = "0", OFFSET($A$1, 473 - 1, 97 - 1) = "1" ), 3, 4 ) ) )</f>
        <v>4</v>
      </c>
    </row>
    <row r="474" spans="95:98" ht="13.8" x14ac:dyDescent="0.3">
      <c r="CQ474" s="24">
        <v>3.2301364278167148E-2</v>
      </c>
      <c r="CR474" s="24" t="str">
        <f>"0"</f>
        <v>0</v>
      </c>
      <c r="CS474" t="str">
        <f ca="1">IF((OFFSET($A$1, 474 - 1, 95 - 1)) &gt;= (OFFSET($A$1, 54 - 1, 7 - 1)), "1","0")</f>
        <v>0</v>
      </c>
      <c r="CT474">
        <f ca="1" xml:space="preserve"> IF( AND( OFFSET($A$1, 474 - 1, 96 - 1) = "1", OFFSET($A$1, 474 - 1, 97 - 1) = "1" ), 1, IF( AND( OFFSET($A$1, 474 - 1, 96 - 1) = "1", OFFSET($A$1, 474 - 1, 97 - 1) = "0" ), 2, IF( AND( OFFSET($A$1, 474 - 1, 96 - 1) = "0", OFFSET($A$1, 474 - 1, 97 - 1) = "1" ), 3, 4 ) ) )</f>
        <v>4</v>
      </c>
    </row>
    <row r="475" spans="95:98" ht="13.8" x14ac:dyDescent="0.3">
      <c r="CQ475" s="24">
        <v>0.93822516520160548</v>
      </c>
      <c r="CR475" s="24" t="str">
        <f>"1"</f>
        <v>1</v>
      </c>
      <c r="CS475" t="str">
        <f ca="1">IF((OFFSET($A$1, 475 - 1, 95 - 1)) &gt;= (OFFSET($A$1, 54 - 1, 7 - 1)), "1","0")</f>
        <v>1</v>
      </c>
      <c r="CT475">
        <f ca="1" xml:space="preserve"> IF( AND( OFFSET($A$1, 475 - 1, 96 - 1) = "1", OFFSET($A$1, 475 - 1, 97 - 1) = "1" ), 1, IF( AND( OFFSET($A$1, 475 - 1, 96 - 1) = "1", OFFSET($A$1, 475 - 1, 97 - 1) = "0" ), 2, IF( AND( OFFSET($A$1, 475 - 1, 96 - 1) = "0", OFFSET($A$1, 475 - 1, 97 - 1) = "1" ), 3, 4 ) ) )</f>
        <v>1</v>
      </c>
    </row>
    <row r="476" spans="95:98" ht="13.8" x14ac:dyDescent="0.3">
      <c r="CQ476" s="24">
        <v>0.99357301934306597</v>
      </c>
      <c r="CR476" s="24" t="str">
        <f>"1"</f>
        <v>1</v>
      </c>
      <c r="CS476" t="str">
        <f ca="1">IF((OFFSET($A$1, 476 - 1, 95 - 1)) &gt;= (OFFSET($A$1, 54 - 1, 7 - 1)), "1","0")</f>
        <v>1</v>
      </c>
      <c r="CT476">
        <f ca="1" xml:space="preserve"> IF( AND( OFFSET($A$1, 476 - 1, 96 - 1) = "1", OFFSET($A$1, 476 - 1, 97 - 1) = "1" ), 1, IF( AND( OFFSET($A$1, 476 - 1, 96 - 1) = "1", OFFSET($A$1, 476 - 1, 97 - 1) = "0" ), 2, IF( AND( OFFSET($A$1, 476 - 1, 96 - 1) = "0", OFFSET($A$1, 476 - 1, 97 - 1) = "1" ), 3, 4 ) ) )</f>
        <v>1</v>
      </c>
    </row>
    <row r="477" spans="95:98" ht="13.8" x14ac:dyDescent="0.3">
      <c r="CQ477" s="24">
        <v>0.1037024457338316</v>
      </c>
      <c r="CR477" s="24" t="str">
        <f>"0"</f>
        <v>0</v>
      </c>
      <c r="CS477" t="str">
        <f ca="1">IF((OFFSET($A$1, 477 - 1, 95 - 1)) &gt;= (OFFSET($A$1, 54 - 1, 7 - 1)), "1","0")</f>
        <v>0</v>
      </c>
      <c r="CT477">
        <f ca="1" xml:space="preserve"> IF( AND( OFFSET($A$1, 477 - 1, 96 - 1) = "1", OFFSET($A$1, 477 - 1, 97 - 1) = "1" ), 1, IF( AND( OFFSET($A$1, 477 - 1, 96 - 1) = "1", OFFSET($A$1, 477 - 1, 97 - 1) = "0" ), 2, IF( AND( OFFSET($A$1, 477 - 1, 96 - 1) = "0", OFFSET($A$1, 477 - 1, 97 - 1) = "1" ), 3, 4 ) ) )</f>
        <v>4</v>
      </c>
    </row>
    <row r="478" spans="95:98" ht="13.8" x14ac:dyDescent="0.3">
      <c r="CQ478" s="24">
        <v>0.99641165834598822</v>
      </c>
      <c r="CR478" s="24" t="str">
        <f>"1"</f>
        <v>1</v>
      </c>
      <c r="CS478" t="str">
        <f ca="1">IF((OFFSET($A$1, 478 - 1, 95 - 1)) &gt;= (OFFSET($A$1, 54 - 1, 7 - 1)), "1","0")</f>
        <v>1</v>
      </c>
      <c r="CT478">
        <f ca="1" xml:space="preserve"> IF( AND( OFFSET($A$1, 478 - 1, 96 - 1) = "1", OFFSET($A$1, 478 - 1, 97 - 1) = "1" ), 1, IF( AND( OFFSET($A$1, 478 - 1, 96 - 1) = "1", OFFSET($A$1, 478 - 1, 97 - 1) = "0" ), 2, IF( AND( OFFSET($A$1, 478 - 1, 96 - 1) = "0", OFFSET($A$1, 478 - 1, 97 - 1) = "1" ), 3, 4 ) ) )</f>
        <v>1</v>
      </c>
    </row>
    <row r="479" spans="95:98" ht="13.8" x14ac:dyDescent="0.3">
      <c r="CQ479" s="24">
        <v>0.95021157217126351</v>
      </c>
      <c r="CR479" s="24" t="str">
        <f>"1"</f>
        <v>1</v>
      </c>
      <c r="CS479" t="str">
        <f ca="1">IF((OFFSET($A$1, 479 - 1, 95 - 1)) &gt;= (OFFSET($A$1, 54 - 1, 7 - 1)), "1","0")</f>
        <v>1</v>
      </c>
      <c r="CT479">
        <f ca="1" xml:space="preserve"> IF( AND( OFFSET($A$1, 479 - 1, 96 - 1) = "1", OFFSET($A$1, 479 - 1, 97 - 1) = "1" ), 1, IF( AND( OFFSET($A$1, 479 - 1, 96 - 1) = "1", OFFSET($A$1, 479 - 1, 97 - 1) = "0" ), 2, IF( AND( OFFSET($A$1, 479 - 1, 96 - 1) = "0", OFFSET($A$1, 479 - 1, 97 - 1) = "1" ), 3, 4 ) ) )</f>
        <v>1</v>
      </c>
    </row>
    <row r="480" spans="95:98" ht="13.8" x14ac:dyDescent="0.3">
      <c r="CQ480" s="24">
        <v>4.3278828082562081E-2</v>
      </c>
      <c r="CR480" s="24" t="str">
        <f>"0"</f>
        <v>0</v>
      </c>
      <c r="CS480" t="str">
        <f ca="1">IF((OFFSET($A$1, 480 - 1, 95 - 1)) &gt;= (OFFSET($A$1, 54 - 1, 7 - 1)), "1","0")</f>
        <v>0</v>
      </c>
      <c r="CT480">
        <f ca="1" xml:space="preserve"> IF( AND( OFFSET($A$1, 480 - 1, 96 - 1) = "1", OFFSET($A$1, 480 - 1, 97 - 1) = "1" ), 1, IF( AND( OFFSET($A$1, 480 - 1, 96 - 1) = "1", OFFSET($A$1, 480 - 1, 97 - 1) = "0" ), 2, IF( AND( OFFSET($A$1, 480 - 1, 96 - 1) = "0", OFFSET($A$1, 480 - 1, 97 - 1) = "1" ), 3, 4 ) ) )</f>
        <v>4</v>
      </c>
    </row>
    <row r="481" spans="95:98" ht="13.8" x14ac:dyDescent="0.3">
      <c r="CQ481" s="24">
        <v>0.98662641343703206</v>
      </c>
      <c r="CR481" s="24" t="str">
        <f>"1"</f>
        <v>1</v>
      </c>
      <c r="CS481" t="str">
        <f ca="1">IF((OFFSET($A$1, 481 - 1, 95 - 1)) &gt;= (OFFSET($A$1, 54 - 1, 7 - 1)), "1","0")</f>
        <v>1</v>
      </c>
      <c r="CT481">
        <f ca="1" xml:space="preserve"> IF( AND( OFFSET($A$1, 481 - 1, 96 - 1) = "1", OFFSET($A$1, 481 - 1, 97 - 1) = "1" ), 1, IF( AND( OFFSET($A$1, 481 - 1, 96 - 1) = "1", OFFSET($A$1, 481 - 1, 97 - 1) = "0" ), 2, IF( AND( OFFSET($A$1, 481 - 1, 96 - 1) = "0", OFFSET($A$1, 481 - 1, 97 - 1) = "1" ), 3, 4 ) ) )</f>
        <v>1</v>
      </c>
    </row>
    <row r="482" spans="95:98" ht="13.8" x14ac:dyDescent="0.3">
      <c r="CQ482" s="24">
        <v>0.995043315766313</v>
      </c>
      <c r="CR482" s="24" t="str">
        <f>"1"</f>
        <v>1</v>
      </c>
      <c r="CS482" t="str">
        <f ca="1">IF((OFFSET($A$1, 482 - 1, 95 - 1)) &gt;= (OFFSET($A$1, 54 - 1, 7 - 1)), "1","0")</f>
        <v>1</v>
      </c>
      <c r="CT482">
        <f ca="1" xml:space="preserve"> IF( AND( OFFSET($A$1, 482 - 1, 96 - 1) = "1", OFFSET($A$1, 482 - 1, 97 - 1) = "1" ), 1, IF( AND( OFFSET($A$1, 482 - 1, 96 - 1) = "1", OFFSET($A$1, 482 - 1, 97 - 1) = "0" ), 2, IF( AND( OFFSET($A$1, 482 - 1, 96 - 1) = "0", OFFSET($A$1, 482 - 1, 97 - 1) = "1" ), 3, 4 ) ) )</f>
        <v>1</v>
      </c>
    </row>
    <row r="483" spans="95:98" ht="13.8" x14ac:dyDescent="0.3">
      <c r="CQ483" s="24">
        <v>0.98605984626417653</v>
      </c>
      <c r="CR483" s="24" t="str">
        <f>"1"</f>
        <v>1</v>
      </c>
      <c r="CS483" t="str">
        <f ca="1">IF((OFFSET($A$1, 483 - 1, 95 - 1)) &gt;= (OFFSET($A$1, 54 - 1, 7 - 1)), "1","0")</f>
        <v>1</v>
      </c>
      <c r="CT483">
        <f ca="1" xml:space="preserve"> IF( AND( OFFSET($A$1, 483 - 1, 96 - 1) = "1", OFFSET($A$1, 483 - 1, 97 - 1) = "1" ), 1, IF( AND( OFFSET($A$1, 483 - 1, 96 - 1) = "1", OFFSET($A$1, 483 - 1, 97 - 1) = "0" ), 2, IF( AND( OFFSET($A$1, 483 - 1, 96 - 1) = "0", OFFSET($A$1, 483 - 1, 97 - 1) = "1" ), 3, 4 ) ) )</f>
        <v>1</v>
      </c>
    </row>
    <row r="484" spans="95:98" ht="13.8" x14ac:dyDescent="0.3">
      <c r="CQ484" s="24">
        <v>0.97358361464918275</v>
      </c>
      <c r="CR484" s="24" t="str">
        <f>"1"</f>
        <v>1</v>
      </c>
      <c r="CS484" t="str">
        <f ca="1">IF((OFFSET($A$1, 484 - 1, 95 - 1)) &gt;= (OFFSET($A$1, 54 - 1, 7 - 1)), "1","0")</f>
        <v>1</v>
      </c>
      <c r="CT484">
        <f ca="1" xml:space="preserve"> IF( AND( OFFSET($A$1, 484 - 1, 96 - 1) = "1", OFFSET($A$1, 484 - 1, 97 - 1) = "1" ), 1, IF( AND( OFFSET($A$1, 484 - 1, 96 - 1) = "1", OFFSET($A$1, 484 - 1, 97 - 1) = "0" ), 2, IF( AND( OFFSET($A$1, 484 - 1, 96 - 1) = "0", OFFSET($A$1, 484 - 1, 97 - 1) = "1" ), 3, 4 ) ) )</f>
        <v>1</v>
      </c>
    </row>
    <row r="485" spans="95:98" ht="13.8" x14ac:dyDescent="0.3">
      <c r="CQ485" s="24">
        <v>1.32864403532509E-3</v>
      </c>
      <c r="CR485" s="24" t="str">
        <f>"0"</f>
        <v>0</v>
      </c>
      <c r="CS485" t="str">
        <f ca="1">IF((OFFSET($A$1, 485 - 1, 95 - 1)) &gt;= (OFFSET($A$1, 54 - 1, 7 - 1)), "1","0")</f>
        <v>0</v>
      </c>
      <c r="CT485">
        <f ca="1" xml:space="preserve"> IF( AND( OFFSET($A$1, 485 - 1, 96 - 1) = "1", OFFSET($A$1, 485 - 1, 97 - 1) = "1" ), 1, IF( AND( OFFSET($A$1, 485 - 1, 96 - 1) = "1", OFFSET($A$1, 485 - 1, 97 - 1) = "0" ), 2, IF( AND( OFFSET($A$1, 485 - 1, 96 - 1) = "0", OFFSET($A$1, 485 - 1, 97 - 1) = "1" ), 3, 4 ) ) )</f>
        <v>4</v>
      </c>
    </row>
    <row r="486" spans="95:98" ht="13.8" x14ac:dyDescent="0.3">
      <c r="CQ486" s="24">
        <v>0.95892769427954494</v>
      </c>
      <c r="CR486" s="24" t="str">
        <f>"1"</f>
        <v>1</v>
      </c>
      <c r="CS486" t="str">
        <f ca="1">IF((OFFSET($A$1, 486 - 1, 95 - 1)) &gt;= (OFFSET($A$1, 54 - 1, 7 - 1)), "1","0")</f>
        <v>1</v>
      </c>
      <c r="CT486">
        <f ca="1" xml:space="preserve"> IF( AND( OFFSET($A$1, 486 - 1, 96 - 1) = "1", OFFSET($A$1, 486 - 1, 97 - 1) = "1" ), 1, IF( AND( OFFSET($A$1, 486 - 1, 96 - 1) = "1", OFFSET($A$1, 486 - 1, 97 - 1) = "0" ), 2, IF( AND( OFFSET($A$1, 486 - 1, 96 - 1) = "0", OFFSET($A$1, 486 - 1, 97 - 1) = "1" ), 3, 4 ) ) )</f>
        <v>1</v>
      </c>
    </row>
    <row r="487" spans="95:98" ht="13.8" x14ac:dyDescent="0.3">
      <c r="CQ487" s="24">
        <v>0.99677766957678782</v>
      </c>
      <c r="CR487" s="24" t="str">
        <f>"1"</f>
        <v>1</v>
      </c>
      <c r="CS487" t="str">
        <f ca="1">IF((OFFSET($A$1, 487 - 1, 95 - 1)) &gt;= (OFFSET($A$1, 54 - 1, 7 - 1)), "1","0")</f>
        <v>1</v>
      </c>
      <c r="CT487">
        <f ca="1" xml:space="preserve"> IF( AND( OFFSET($A$1, 487 - 1, 96 - 1) = "1", OFFSET($A$1, 487 - 1, 97 - 1) = "1" ), 1, IF( AND( OFFSET($A$1, 487 - 1, 96 - 1) = "1", OFFSET($A$1, 487 - 1, 97 - 1) = "0" ), 2, IF( AND( OFFSET($A$1, 487 - 1, 96 - 1) = "0", OFFSET($A$1, 487 - 1, 97 - 1) = "1" ), 3, 4 ) ) )</f>
        <v>1</v>
      </c>
    </row>
    <row r="488" spans="95:98" ht="13.8" x14ac:dyDescent="0.3">
      <c r="CQ488" s="24">
        <v>0.11318260132128412</v>
      </c>
      <c r="CR488" s="24" t="str">
        <f>"0"</f>
        <v>0</v>
      </c>
      <c r="CS488" t="str">
        <f ca="1">IF((OFFSET($A$1, 488 - 1, 95 - 1)) &gt;= (OFFSET($A$1, 54 - 1, 7 - 1)), "1","0")</f>
        <v>0</v>
      </c>
      <c r="CT488">
        <f ca="1" xml:space="preserve"> IF( AND( OFFSET($A$1, 488 - 1, 96 - 1) = "1", OFFSET($A$1, 488 - 1, 97 - 1) = "1" ), 1, IF( AND( OFFSET($A$1, 488 - 1, 96 - 1) = "1", OFFSET($A$1, 488 - 1, 97 - 1) = "0" ), 2, IF( AND( OFFSET($A$1, 488 - 1, 96 - 1) = "0", OFFSET($A$1, 488 - 1, 97 - 1) = "1" ), 3, 4 ) ) )</f>
        <v>4</v>
      </c>
    </row>
    <row r="489" spans="95:98" ht="13.8" x14ac:dyDescent="0.3">
      <c r="CQ489" s="24">
        <v>0.99408653280129744</v>
      </c>
      <c r="CR489" s="24" t="str">
        <f>"1"</f>
        <v>1</v>
      </c>
      <c r="CS489" t="str">
        <f ca="1">IF((OFFSET($A$1, 489 - 1, 95 - 1)) &gt;= (OFFSET($A$1, 54 - 1, 7 - 1)), "1","0")</f>
        <v>1</v>
      </c>
      <c r="CT489">
        <f ca="1" xml:space="preserve"> IF( AND( OFFSET($A$1, 489 - 1, 96 - 1) = "1", OFFSET($A$1, 489 - 1, 97 - 1) = "1" ), 1, IF( AND( OFFSET($A$1, 489 - 1, 96 - 1) = "1", OFFSET($A$1, 489 - 1, 97 - 1) = "0" ), 2, IF( AND( OFFSET($A$1, 489 - 1, 96 - 1) = "0", OFFSET($A$1, 489 - 1, 97 - 1) = "1" ), 3, 4 ) ) )</f>
        <v>1</v>
      </c>
    </row>
    <row r="490" spans="95:98" ht="13.8" x14ac:dyDescent="0.3">
      <c r="CQ490" s="24">
        <v>3.9919868711485881E-2</v>
      </c>
      <c r="CR490" s="24" t="str">
        <f>"0"</f>
        <v>0</v>
      </c>
      <c r="CS490" t="str">
        <f ca="1">IF((OFFSET($A$1, 490 - 1, 95 - 1)) &gt;= (OFFSET($A$1, 54 - 1, 7 - 1)), "1","0")</f>
        <v>0</v>
      </c>
      <c r="CT490">
        <f ca="1" xml:space="preserve"> IF( AND( OFFSET($A$1, 490 - 1, 96 - 1) = "1", OFFSET($A$1, 490 - 1, 97 - 1) = "1" ), 1, IF( AND( OFFSET($A$1, 490 - 1, 96 - 1) = "1", OFFSET($A$1, 490 - 1, 97 - 1) = "0" ), 2, IF( AND( OFFSET($A$1, 490 - 1, 96 - 1) = "0", OFFSET($A$1, 490 - 1, 97 - 1) = "1" ), 3, 4 ) ) )</f>
        <v>4</v>
      </c>
    </row>
    <row r="491" spans="95:98" ht="13.8" x14ac:dyDescent="0.3">
      <c r="CQ491" s="24">
        <v>0.99989866715511877</v>
      </c>
      <c r="CR491" s="24" t="str">
        <f t="shared" ref="CR491:CR502" si="34">"1"</f>
        <v>1</v>
      </c>
      <c r="CS491" t="str">
        <f ca="1">IF((OFFSET($A$1, 491 - 1, 95 - 1)) &gt;= (OFFSET($A$1, 54 - 1, 7 - 1)), "1","0")</f>
        <v>1</v>
      </c>
      <c r="CT491">
        <f ca="1" xml:space="preserve"> IF( AND( OFFSET($A$1, 491 - 1, 96 - 1) = "1", OFFSET($A$1, 491 - 1, 97 - 1) = "1" ), 1, IF( AND( OFFSET($A$1, 491 - 1, 96 - 1) = "1", OFFSET($A$1, 491 - 1, 97 - 1) = "0" ), 2, IF( AND( OFFSET($A$1, 491 - 1, 96 - 1) = "0", OFFSET($A$1, 491 - 1, 97 - 1) = "1" ), 3, 4 ) ) )</f>
        <v>1</v>
      </c>
    </row>
    <row r="492" spans="95:98" ht="13.8" x14ac:dyDescent="0.3">
      <c r="CQ492" s="24">
        <v>0.98504376945414296</v>
      </c>
      <c r="CR492" s="24" t="str">
        <f t="shared" si="34"/>
        <v>1</v>
      </c>
      <c r="CS492" t="str">
        <f ca="1">IF((OFFSET($A$1, 492 - 1, 95 - 1)) &gt;= (OFFSET($A$1, 54 - 1, 7 - 1)), "1","0")</f>
        <v>1</v>
      </c>
      <c r="CT492">
        <f ca="1" xml:space="preserve"> IF( AND( OFFSET($A$1, 492 - 1, 96 - 1) = "1", OFFSET($A$1, 492 - 1, 97 - 1) = "1" ), 1, IF( AND( OFFSET($A$1, 492 - 1, 96 - 1) = "1", OFFSET($A$1, 492 - 1, 97 - 1) = "0" ), 2, IF( AND( OFFSET($A$1, 492 - 1, 96 - 1) = "0", OFFSET($A$1, 492 - 1, 97 - 1) = "1" ), 3, 4 ) ) )</f>
        <v>1</v>
      </c>
    </row>
    <row r="493" spans="95:98" ht="13.8" x14ac:dyDescent="0.3">
      <c r="CQ493" s="24">
        <v>0.99807664681058905</v>
      </c>
      <c r="CR493" s="24" t="str">
        <f t="shared" si="34"/>
        <v>1</v>
      </c>
      <c r="CS493" t="str">
        <f ca="1">IF((OFFSET($A$1, 493 - 1, 95 - 1)) &gt;= (OFFSET($A$1, 54 - 1, 7 - 1)), "1","0")</f>
        <v>1</v>
      </c>
      <c r="CT493">
        <f ca="1" xml:space="preserve"> IF( AND( OFFSET($A$1, 493 - 1, 96 - 1) = "1", OFFSET($A$1, 493 - 1, 97 - 1) = "1" ), 1, IF( AND( OFFSET($A$1, 493 - 1, 96 - 1) = "1", OFFSET($A$1, 493 - 1, 97 - 1) = "0" ), 2, IF( AND( OFFSET($A$1, 493 - 1, 96 - 1) = "0", OFFSET($A$1, 493 - 1, 97 - 1) = "1" ), 3, 4 ) ) )</f>
        <v>1</v>
      </c>
    </row>
    <row r="494" spans="95:98" ht="13.8" x14ac:dyDescent="0.3">
      <c r="CQ494" s="24">
        <v>0.91044730244313965</v>
      </c>
      <c r="CR494" s="24" t="str">
        <f t="shared" si="34"/>
        <v>1</v>
      </c>
      <c r="CS494" t="str">
        <f ca="1">IF((OFFSET($A$1, 494 - 1, 95 - 1)) &gt;= (OFFSET($A$1, 54 - 1, 7 - 1)), "1","0")</f>
        <v>1</v>
      </c>
      <c r="CT494">
        <f ca="1" xml:space="preserve"> IF( AND( OFFSET($A$1, 494 - 1, 96 - 1) = "1", OFFSET($A$1, 494 - 1, 97 - 1) = "1" ), 1, IF( AND( OFFSET($A$1, 494 - 1, 96 - 1) = "1", OFFSET($A$1, 494 - 1, 97 - 1) = "0" ), 2, IF( AND( OFFSET($A$1, 494 - 1, 96 - 1) = "0", OFFSET($A$1, 494 - 1, 97 - 1) = "1" ), 3, 4 ) ) )</f>
        <v>1</v>
      </c>
    </row>
    <row r="495" spans="95:98" ht="13.8" x14ac:dyDescent="0.3">
      <c r="CQ495" s="24">
        <v>0.96210965801215742</v>
      </c>
      <c r="CR495" s="24" t="str">
        <f t="shared" si="34"/>
        <v>1</v>
      </c>
      <c r="CS495" t="str">
        <f ca="1">IF((OFFSET($A$1, 495 - 1, 95 - 1)) &gt;= (OFFSET($A$1, 54 - 1, 7 - 1)), "1","0")</f>
        <v>1</v>
      </c>
      <c r="CT495">
        <f ca="1" xml:space="preserve"> IF( AND( OFFSET($A$1, 495 - 1, 96 - 1) = "1", OFFSET($A$1, 495 - 1, 97 - 1) = "1" ), 1, IF( AND( OFFSET($A$1, 495 - 1, 96 - 1) = "1", OFFSET($A$1, 495 - 1, 97 - 1) = "0" ), 2, IF( AND( OFFSET($A$1, 495 - 1, 96 - 1) = "0", OFFSET($A$1, 495 - 1, 97 - 1) = "1" ), 3, 4 ) ) )</f>
        <v>1</v>
      </c>
    </row>
    <row r="496" spans="95:98" ht="13.8" x14ac:dyDescent="0.3">
      <c r="CQ496" s="24">
        <v>0.98548319374547122</v>
      </c>
      <c r="CR496" s="24" t="str">
        <f t="shared" si="34"/>
        <v>1</v>
      </c>
      <c r="CS496" t="str">
        <f ca="1">IF((OFFSET($A$1, 496 - 1, 95 - 1)) &gt;= (OFFSET($A$1, 54 - 1, 7 - 1)), "1","0")</f>
        <v>1</v>
      </c>
      <c r="CT496">
        <f ca="1" xml:space="preserve"> IF( AND( OFFSET($A$1, 496 - 1, 96 - 1) = "1", OFFSET($A$1, 496 - 1, 97 - 1) = "1" ), 1, IF( AND( OFFSET($A$1, 496 - 1, 96 - 1) = "1", OFFSET($A$1, 496 - 1, 97 - 1) = "0" ), 2, IF( AND( OFFSET($A$1, 496 - 1, 96 - 1) = "0", OFFSET($A$1, 496 - 1, 97 - 1) = "1" ), 3, 4 ) ) )</f>
        <v>1</v>
      </c>
    </row>
    <row r="497" spans="95:98" ht="13.8" x14ac:dyDescent="0.3">
      <c r="CQ497" s="24">
        <v>0.99666183477826975</v>
      </c>
      <c r="CR497" s="24" t="str">
        <f t="shared" si="34"/>
        <v>1</v>
      </c>
      <c r="CS497" t="str">
        <f ca="1">IF((OFFSET($A$1, 497 - 1, 95 - 1)) &gt;= (OFFSET($A$1, 54 - 1, 7 - 1)), "1","0")</f>
        <v>1</v>
      </c>
      <c r="CT497">
        <f ca="1" xml:space="preserve"> IF( AND( OFFSET($A$1, 497 - 1, 96 - 1) = "1", OFFSET($A$1, 497 - 1, 97 - 1) = "1" ), 1, IF( AND( OFFSET($A$1, 497 - 1, 96 - 1) = "1", OFFSET($A$1, 497 - 1, 97 - 1) = "0" ), 2, IF( AND( OFFSET($A$1, 497 - 1, 96 - 1) = "0", OFFSET($A$1, 497 - 1, 97 - 1) = "1" ), 3, 4 ) ) )</f>
        <v>1</v>
      </c>
    </row>
    <row r="498" spans="95:98" ht="13.8" x14ac:dyDescent="0.3">
      <c r="CQ498" s="24">
        <v>0.91787468976211251</v>
      </c>
      <c r="CR498" s="24" t="str">
        <f t="shared" si="34"/>
        <v>1</v>
      </c>
      <c r="CS498" t="str">
        <f ca="1">IF((OFFSET($A$1, 498 - 1, 95 - 1)) &gt;= (OFFSET($A$1, 54 - 1, 7 - 1)), "1","0")</f>
        <v>1</v>
      </c>
      <c r="CT498">
        <f ca="1" xml:space="preserve"> IF( AND( OFFSET($A$1, 498 - 1, 96 - 1) = "1", OFFSET($A$1, 498 - 1, 97 - 1) = "1" ), 1, IF( AND( OFFSET($A$1, 498 - 1, 96 - 1) = "1", OFFSET($A$1, 498 - 1, 97 - 1) = "0" ), 2, IF( AND( OFFSET($A$1, 498 - 1, 96 - 1) = "0", OFFSET($A$1, 498 - 1, 97 - 1) = "1" ), 3, 4 ) ) )</f>
        <v>1</v>
      </c>
    </row>
    <row r="499" spans="95:98" ht="13.8" x14ac:dyDescent="0.3">
      <c r="CQ499" s="24">
        <v>0.99467577478861524</v>
      </c>
      <c r="CR499" s="24" t="str">
        <f t="shared" si="34"/>
        <v>1</v>
      </c>
      <c r="CS499" t="str">
        <f ca="1">IF((OFFSET($A$1, 499 - 1, 95 - 1)) &gt;= (OFFSET($A$1, 54 - 1, 7 - 1)), "1","0")</f>
        <v>1</v>
      </c>
      <c r="CT499">
        <f ca="1" xml:space="preserve"> IF( AND( OFFSET($A$1, 499 - 1, 96 - 1) = "1", OFFSET($A$1, 499 - 1, 97 - 1) = "1" ), 1, IF( AND( OFFSET($A$1, 499 - 1, 96 - 1) = "1", OFFSET($A$1, 499 - 1, 97 - 1) = "0" ), 2, IF( AND( OFFSET($A$1, 499 - 1, 96 - 1) = "0", OFFSET($A$1, 499 - 1, 97 - 1) = "1" ), 3, 4 ) ) )</f>
        <v>1</v>
      </c>
    </row>
    <row r="500" spans="95:98" ht="13.8" x14ac:dyDescent="0.3">
      <c r="CQ500" s="24">
        <v>0.99994036754320392</v>
      </c>
      <c r="CR500" s="24" t="str">
        <f t="shared" si="34"/>
        <v>1</v>
      </c>
      <c r="CS500" t="str">
        <f ca="1">IF((OFFSET($A$1, 500 - 1, 95 - 1)) &gt;= (OFFSET($A$1, 54 - 1, 7 - 1)), "1","0")</f>
        <v>1</v>
      </c>
      <c r="CT500">
        <f ca="1" xml:space="preserve"> IF( AND( OFFSET($A$1, 500 - 1, 96 - 1) = "1", OFFSET($A$1, 500 - 1, 97 - 1) = "1" ), 1, IF( AND( OFFSET($A$1, 500 - 1, 96 - 1) = "1", OFFSET($A$1, 500 - 1, 97 - 1) = "0" ), 2, IF( AND( OFFSET($A$1, 500 - 1, 96 - 1) = "0", OFFSET($A$1, 500 - 1, 97 - 1) = "1" ), 3, 4 ) ) )</f>
        <v>1</v>
      </c>
    </row>
    <row r="501" spans="95:98" ht="13.8" x14ac:dyDescent="0.3">
      <c r="CQ501" s="24">
        <v>0.99973952818795786</v>
      </c>
      <c r="CR501" s="24" t="str">
        <f t="shared" si="34"/>
        <v>1</v>
      </c>
      <c r="CS501" t="str">
        <f ca="1">IF((OFFSET($A$1, 501 - 1, 95 - 1)) &gt;= (OFFSET($A$1, 54 - 1, 7 - 1)), "1","0")</f>
        <v>1</v>
      </c>
      <c r="CT501">
        <f ca="1" xml:space="preserve"> IF( AND( OFFSET($A$1, 501 - 1, 96 - 1) = "1", OFFSET($A$1, 501 - 1, 97 - 1) = "1" ), 1, IF( AND( OFFSET($A$1, 501 - 1, 96 - 1) = "1", OFFSET($A$1, 501 - 1, 97 - 1) = "0" ), 2, IF( AND( OFFSET($A$1, 501 - 1, 96 - 1) = "0", OFFSET($A$1, 501 - 1, 97 - 1) = "1" ), 3, 4 ) ) )</f>
        <v>1</v>
      </c>
    </row>
    <row r="502" spans="95:98" ht="13.8" x14ac:dyDescent="0.3">
      <c r="CQ502" s="24">
        <v>0.99203123921848224</v>
      </c>
      <c r="CR502" s="24" t="str">
        <f t="shared" si="34"/>
        <v>1</v>
      </c>
      <c r="CS502" t="str">
        <f ca="1">IF((OFFSET($A$1, 502 - 1, 95 - 1)) &gt;= (OFFSET($A$1, 54 - 1, 7 - 1)), "1","0")</f>
        <v>1</v>
      </c>
      <c r="CT502">
        <f ca="1" xml:space="preserve"> IF( AND( OFFSET($A$1, 502 - 1, 96 - 1) = "1", OFFSET($A$1, 502 - 1, 97 - 1) = "1" ), 1, IF( AND( OFFSET($A$1, 502 - 1, 96 - 1) = "1", OFFSET($A$1, 502 - 1, 97 - 1) = "0" ), 2, IF( AND( OFFSET($A$1, 502 - 1, 96 - 1) = "0", OFFSET($A$1, 502 - 1, 97 - 1) = "1" ), 3, 4 ) ) )</f>
        <v>1</v>
      </c>
    </row>
    <row r="503" spans="95:98" ht="13.8" x14ac:dyDescent="0.3">
      <c r="CQ503" s="24">
        <v>5.0891626565586011E-2</v>
      </c>
      <c r="CR503" s="24" t="str">
        <f>"0"</f>
        <v>0</v>
      </c>
      <c r="CS503" t="str">
        <f ca="1">IF((OFFSET($A$1, 503 - 1, 95 - 1)) &gt;= (OFFSET($A$1, 54 - 1, 7 - 1)), "1","0")</f>
        <v>0</v>
      </c>
      <c r="CT503">
        <f ca="1" xml:space="preserve"> IF( AND( OFFSET($A$1, 503 - 1, 96 - 1) = "1", OFFSET($A$1, 503 - 1, 97 - 1) = "1" ), 1, IF( AND( OFFSET($A$1, 503 - 1, 96 - 1) = "1", OFFSET($A$1, 503 - 1, 97 - 1) = "0" ), 2, IF( AND( OFFSET($A$1, 503 - 1, 96 - 1) = "0", OFFSET($A$1, 503 - 1, 97 - 1) = "1" ), 3, 4 ) ) )</f>
        <v>4</v>
      </c>
    </row>
    <row r="504" spans="95:98" ht="13.8" x14ac:dyDescent="0.3">
      <c r="CQ504" s="24">
        <v>0.99138084360148948</v>
      </c>
      <c r="CR504" s="24" t="str">
        <f>"1"</f>
        <v>1</v>
      </c>
      <c r="CS504" t="str">
        <f ca="1">IF((OFFSET($A$1, 504 - 1, 95 - 1)) &gt;= (OFFSET($A$1, 54 - 1, 7 - 1)), "1","0")</f>
        <v>1</v>
      </c>
      <c r="CT504">
        <f ca="1" xml:space="preserve"> IF( AND( OFFSET($A$1, 504 - 1, 96 - 1) = "1", OFFSET($A$1, 504 - 1, 97 - 1) = "1" ), 1, IF( AND( OFFSET($A$1, 504 - 1, 96 - 1) = "1", OFFSET($A$1, 504 - 1, 97 - 1) = "0" ), 2, IF( AND( OFFSET($A$1, 504 - 1, 96 - 1) = "0", OFFSET($A$1, 504 - 1, 97 - 1) = "1" ), 3, 4 ) ) )</f>
        <v>1</v>
      </c>
    </row>
    <row r="505" spans="95:98" ht="13.8" x14ac:dyDescent="0.3">
      <c r="CQ505" s="24">
        <v>0.99992470317891713</v>
      </c>
      <c r="CR505" s="24" t="str">
        <f>"1"</f>
        <v>1</v>
      </c>
      <c r="CS505" t="str">
        <f ca="1">IF((OFFSET($A$1, 505 - 1, 95 - 1)) &gt;= (OFFSET($A$1, 54 - 1, 7 - 1)), "1","0")</f>
        <v>1</v>
      </c>
      <c r="CT505">
        <f ca="1" xml:space="preserve"> IF( AND( OFFSET($A$1, 505 - 1, 96 - 1) = "1", OFFSET($A$1, 505 - 1, 97 - 1) = "1" ), 1, IF( AND( OFFSET($A$1, 505 - 1, 96 - 1) = "1", OFFSET($A$1, 505 - 1, 97 - 1) = "0" ), 2, IF( AND( OFFSET($A$1, 505 - 1, 96 - 1) = "0", OFFSET($A$1, 505 - 1, 97 - 1) = "1" ), 3, 4 ) ) )</f>
        <v>1</v>
      </c>
    </row>
    <row r="506" spans="95:98" ht="13.8" x14ac:dyDescent="0.3">
      <c r="CQ506" s="24">
        <v>0.9757178169789078</v>
      </c>
      <c r="CR506" s="24" t="str">
        <f>"1"</f>
        <v>1</v>
      </c>
      <c r="CS506" t="str">
        <f ca="1">IF((OFFSET($A$1, 506 - 1, 95 - 1)) &gt;= (OFFSET($A$1, 54 - 1, 7 - 1)), "1","0")</f>
        <v>1</v>
      </c>
      <c r="CT506">
        <f ca="1" xml:space="preserve"> IF( AND( OFFSET($A$1, 506 - 1, 96 - 1) = "1", OFFSET($A$1, 506 - 1, 97 - 1) = "1" ), 1, IF( AND( OFFSET($A$1, 506 - 1, 96 - 1) = "1", OFFSET($A$1, 506 - 1, 97 - 1) = "0" ), 2, IF( AND( OFFSET($A$1, 506 - 1, 96 - 1) = "0", OFFSET($A$1, 506 - 1, 97 - 1) = "1" ), 3, 4 ) ) )</f>
        <v>1</v>
      </c>
    </row>
    <row r="507" spans="95:98" ht="13.8" x14ac:dyDescent="0.3">
      <c r="CQ507" s="24">
        <v>1.1294182974446905E-2</v>
      </c>
      <c r="CR507" s="24" t="str">
        <f>"0"</f>
        <v>0</v>
      </c>
      <c r="CS507" t="str">
        <f ca="1">IF((OFFSET($A$1, 507 - 1, 95 - 1)) &gt;= (OFFSET($A$1, 54 - 1, 7 - 1)), "1","0")</f>
        <v>0</v>
      </c>
      <c r="CT507">
        <f ca="1" xml:space="preserve"> IF( AND( OFFSET($A$1, 507 - 1, 96 - 1) = "1", OFFSET($A$1, 507 - 1, 97 - 1) = "1" ), 1, IF( AND( OFFSET($A$1, 507 - 1, 96 - 1) = "1", OFFSET($A$1, 507 - 1, 97 - 1) = "0" ), 2, IF( AND( OFFSET($A$1, 507 - 1, 96 - 1) = "0", OFFSET($A$1, 507 - 1, 97 - 1) = "1" ), 3, 4 ) ) )</f>
        <v>4</v>
      </c>
    </row>
    <row r="508" spans="95:98" ht="13.8" x14ac:dyDescent="0.3">
      <c r="CQ508" s="24">
        <v>7.7970730216016249E-2</v>
      </c>
      <c r="CR508" s="24" t="str">
        <f>"0"</f>
        <v>0</v>
      </c>
      <c r="CS508" t="str">
        <f ca="1">IF((OFFSET($A$1, 508 - 1, 95 - 1)) &gt;= (OFFSET($A$1, 54 - 1, 7 - 1)), "1","0")</f>
        <v>0</v>
      </c>
      <c r="CT508">
        <f ca="1" xml:space="preserve"> IF( AND( OFFSET($A$1, 508 - 1, 96 - 1) = "1", OFFSET($A$1, 508 - 1, 97 - 1) = "1" ), 1, IF( AND( OFFSET($A$1, 508 - 1, 96 - 1) = "1", OFFSET($A$1, 508 - 1, 97 - 1) = "0" ), 2, IF( AND( OFFSET($A$1, 508 - 1, 96 - 1) = "0", OFFSET($A$1, 508 - 1, 97 - 1) = "1" ), 3, 4 ) ) )</f>
        <v>4</v>
      </c>
    </row>
    <row r="509" spans="95:98" ht="13.8" x14ac:dyDescent="0.3">
      <c r="CQ509" s="24">
        <v>0.10877454665755654</v>
      </c>
      <c r="CR509" s="24" t="str">
        <f>"0"</f>
        <v>0</v>
      </c>
      <c r="CS509" t="str">
        <f ca="1">IF((OFFSET($A$1, 509 - 1, 95 - 1)) &gt;= (OFFSET($A$1, 54 - 1, 7 - 1)), "1","0")</f>
        <v>0</v>
      </c>
      <c r="CT509">
        <f ca="1" xml:space="preserve"> IF( AND( OFFSET($A$1, 509 - 1, 96 - 1) = "1", OFFSET($A$1, 509 - 1, 97 - 1) = "1" ), 1, IF( AND( OFFSET($A$1, 509 - 1, 96 - 1) = "1", OFFSET($A$1, 509 - 1, 97 - 1) = "0" ), 2, IF( AND( OFFSET($A$1, 509 - 1, 96 - 1) = "0", OFFSET($A$1, 509 - 1, 97 - 1) = "1" ), 3, 4 ) ) )</f>
        <v>4</v>
      </c>
    </row>
    <row r="510" spans="95:98" ht="13.8" x14ac:dyDescent="0.3">
      <c r="CQ510" s="24">
        <v>0.99591145373194334</v>
      </c>
      <c r="CR510" s="24" t="str">
        <f>"1"</f>
        <v>1</v>
      </c>
      <c r="CS510" t="str">
        <f ca="1">IF((OFFSET($A$1, 510 - 1, 95 - 1)) &gt;= (OFFSET($A$1, 54 - 1, 7 - 1)), "1","0")</f>
        <v>1</v>
      </c>
      <c r="CT510">
        <f ca="1" xml:space="preserve"> IF( AND( OFFSET($A$1, 510 - 1, 96 - 1) = "1", OFFSET($A$1, 510 - 1, 97 - 1) = "1" ), 1, IF( AND( OFFSET($A$1, 510 - 1, 96 - 1) = "1", OFFSET($A$1, 510 - 1, 97 - 1) = "0" ), 2, IF( AND( OFFSET($A$1, 510 - 1, 96 - 1) = "0", OFFSET($A$1, 510 - 1, 97 - 1) = "1" ), 3, 4 ) ) )</f>
        <v>1</v>
      </c>
    </row>
    <row r="511" spans="95:98" ht="13.8" x14ac:dyDescent="0.3">
      <c r="CQ511" s="24">
        <v>0.95093644757054763</v>
      </c>
      <c r="CR511" s="24" t="str">
        <f>"1"</f>
        <v>1</v>
      </c>
      <c r="CS511" t="str">
        <f ca="1">IF((OFFSET($A$1, 511 - 1, 95 - 1)) &gt;= (OFFSET($A$1, 54 - 1, 7 - 1)), "1","0")</f>
        <v>1</v>
      </c>
      <c r="CT511">
        <f ca="1" xml:space="preserve"> IF( AND( OFFSET($A$1, 511 - 1, 96 - 1) = "1", OFFSET($A$1, 511 - 1, 97 - 1) = "1" ), 1, IF( AND( OFFSET($A$1, 511 - 1, 96 - 1) = "1", OFFSET($A$1, 511 - 1, 97 - 1) = "0" ), 2, IF( AND( OFFSET($A$1, 511 - 1, 96 - 1) = "0", OFFSET($A$1, 511 - 1, 97 - 1) = "1" ), 3, 4 ) ) )</f>
        <v>1</v>
      </c>
    </row>
    <row r="512" spans="95:98" ht="13.8" x14ac:dyDescent="0.3">
      <c r="CQ512" s="24">
        <v>0.92178639870184953</v>
      </c>
      <c r="CR512" s="24" t="str">
        <f>"1"</f>
        <v>1</v>
      </c>
      <c r="CS512" t="str">
        <f ca="1">IF((OFFSET($A$1, 512 - 1, 95 - 1)) &gt;= (OFFSET($A$1, 54 - 1, 7 - 1)), "1","0")</f>
        <v>1</v>
      </c>
      <c r="CT512">
        <f ca="1" xml:space="preserve"> IF( AND( OFFSET($A$1, 512 - 1, 96 - 1) = "1", OFFSET($A$1, 512 - 1, 97 - 1) = "1" ), 1, IF( AND( OFFSET($A$1, 512 - 1, 96 - 1) = "1", OFFSET($A$1, 512 - 1, 97 - 1) = "0" ), 2, IF( AND( OFFSET($A$1, 512 - 1, 96 - 1) = "0", OFFSET($A$1, 512 - 1, 97 - 1) = "1" ), 3, 4 ) ) )</f>
        <v>1</v>
      </c>
    </row>
    <row r="513" spans="95:98" ht="13.8" x14ac:dyDescent="0.3">
      <c r="CQ513" s="24">
        <v>4.9211052773266688E-3</v>
      </c>
      <c r="CR513" s="24" t="str">
        <f>"0"</f>
        <v>0</v>
      </c>
      <c r="CS513" t="str">
        <f ca="1">IF((OFFSET($A$1, 513 - 1, 95 - 1)) &gt;= (OFFSET($A$1, 54 - 1, 7 - 1)), "1","0")</f>
        <v>0</v>
      </c>
      <c r="CT513">
        <f ca="1" xml:space="preserve"> IF( AND( OFFSET($A$1, 513 - 1, 96 - 1) = "1", OFFSET($A$1, 513 - 1, 97 - 1) = "1" ), 1, IF( AND( OFFSET($A$1, 513 - 1, 96 - 1) = "1", OFFSET($A$1, 513 - 1, 97 - 1) = "0" ), 2, IF( AND( OFFSET($A$1, 513 - 1, 96 - 1) = "0", OFFSET($A$1, 513 - 1, 97 - 1) = "1" ), 3, 4 ) ) )</f>
        <v>4</v>
      </c>
    </row>
    <row r="514" spans="95:98" ht="13.8" x14ac:dyDescent="0.3">
      <c r="CQ514" s="24">
        <v>0.9245011041095369</v>
      </c>
      <c r="CR514" s="24" t="str">
        <f>"1"</f>
        <v>1</v>
      </c>
      <c r="CS514" t="str">
        <f ca="1">IF((OFFSET($A$1, 514 - 1, 95 - 1)) &gt;= (OFFSET($A$1, 54 - 1, 7 - 1)), "1","0")</f>
        <v>1</v>
      </c>
      <c r="CT514">
        <f ca="1" xml:space="preserve"> IF( AND( OFFSET($A$1, 514 - 1, 96 - 1) = "1", OFFSET($A$1, 514 - 1, 97 - 1) = "1" ), 1, IF( AND( OFFSET($A$1, 514 - 1, 96 - 1) = "1", OFFSET($A$1, 514 - 1, 97 - 1) = "0" ), 2, IF( AND( OFFSET($A$1, 514 - 1, 96 - 1) = "0", OFFSET($A$1, 514 - 1, 97 - 1) = "1" ), 3, 4 ) ) )</f>
        <v>1</v>
      </c>
    </row>
    <row r="515" spans="95:98" ht="13.8" x14ac:dyDescent="0.3">
      <c r="CQ515" s="24">
        <v>0.99444850674876539</v>
      </c>
      <c r="CR515" s="24" t="str">
        <f>"1"</f>
        <v>1</v>
      </c>
      <c r="CS515" t="str">
        <f ca="1">IF((OFFSET($A$1, 515 - 1, 95 - 1)) &gt;= (OFFSET($A$1, 54 - 1, 7 - 1)), "1","0")</f>
        <v>1</v>
      </c>
      <c r="CT515">
        <f ca="1" xml:space="preserve"> IF( AND( OFFSET($A$1, 515 - 1, 96 - 1) = "1", OFFSET($A$1, 515 - 1, 97 - 1) = "1" ), 1, IF( AND( OFFSET($A$1, 515 - 1, 96 - 1) = "1", OFFSET($A$1, 515 - 1, 97 - 1) = "0" ), 2, IF( AND( OFFSET($A$1, 515 - 1, 96 - 1) = "0", OFFSET($A$1, 515 - 1, 97 - 1) = "1" ), 3, 4 ) ) )</f>
        <v>1</v>
      </c>
    </row>
    <row r="516" spans="95:98" ht="13.8" x14ac:dyDescent="0.3">
      <c r="CQ516" s="24">
        <v>0.99969286991272599</v>
      </c>
      <c r="CR516" s="24" t="str">
        <f>"1"</f>
        <v>1</v>
      </c>
      <c r="CS516" t="str">
        <f ca="1">IF((OFFSET($A$1, 516 - 1, 95 - 1)) &gt;= (OFFSET($A$1, 54 - 1, 7 - 1)), "1","0")</f>
        <v>1</v>
      </c>
      <c r="CT516">
        <f ca="1" xml:space="preserve"> IF( AND( OFFSET($A$1, 516 - 1, 96 - 1) = "1", OFFSET($A$1, 516 - 1, 97 - 1) = "1" ), 1, IF( AND( OFFSET($A$1, 516 - 1, 96 - 1) = "1", OFFSET($A$1, 516 - 1, 97 - 1) = "0" ), 2, IF( AND( OFFSET($A$1, 516 - 1, 96 - 1) = "0", OFFSET($A$1, 516 - 1, 97 - 1) = "1" ), 3, 4 ) ) )</f>
        <v>1</v>
      </c>
    </row>
    <row r="517" spans="95:98" ht="13.8" x14ac:dyDescent="0.3">
      <c r="CQ517" s="24">
        <v>0.94981656315159935</v>
      </c>
      <c r="CR517" s="24" t="str">
        <f>"1"</f>
        <v>1</v>
      </c>
      <c r="CS517" t="str">
        <f ca="1">IF((OFFSET($A$1, 517 - 1, 95 - 1)) &gt;= (OFFSET($A$1, 54 - 1, 7 - 1)), "1","0")</f>
        <v>1</v>
      </c>
      <c r="CT517">
        <f ca="1" xml:space="preserve"> IF( AND( OFFSET($A$1, 517 - 1, 96 - 1) = "1", OFFSET($A$1, 517 - 1, 97 - 1) = "1" ), 1, IF( AND( OFFSET($A$1, 517 - 1, 96 - 1) = "1", OFFSET($A$1, 517 - 1, 97 - 1) = "0" ), 2, IF( AND( OFFSET($A$1, 517 - 1, 96 - 1) = "0", OFFSET($A$1, 517 - 1, 97 - 1) = "1" ), 3, 4 ) ) )</f>
        <v>1</v>
      </c>
    </row>
    <row r="518" spans="95:98" ht="13.8" x14ac:dyDescent="0.3">
      <c r="CQ518" s="24">
        <v>0.99916470432886784</v>
      </c>
      <c r="CR518" s="24" t="str">
        <f>"1"</f>
        <v>1</v>
      </c>
      <c r="CS518" t="str">
        <f ca="1">IF((OFFSET($A$1, 518 - 1, 95 - 1)) &gt;= (OFFSET($A$1, 54 - 1, 7 - 1)), "1","0")</f>
        <v>1</v>
      </c>
      <c r="CT518">
        <f ca="1" xml:space="preserve"> IF( AND( OFFSET($A$1, 518 - 1, 96 - 1) = "1", OFFSET($A$1, 518 - 1, 97 - 1) = "1" ), 1, IF( AND( OFFSET($A$1, 518 - 1, 96 - 1) = "1", OFFSET($A$1, 518 - 1, 97 - 1) = "0" ), 2, IF( AND( OFFSET($A$1, 518 - 1, 96 - 1) = "0", OFFSET($A$1, 518 - 1, 97 - 1) = "1" ), 3, 4 ) ) )</f>
        <v>1</v>
      </c>
    </row>
    <row r="519" spans="95:98" ht="13.8" x14ac:dyDescent="0.3">
      <c r="CQ519" s="24">
        <v>5.2856187760178509E-2</v>
      </c>
      <c r="CR519" s="24" t="str">
        <f>"0"</f>
        <v>0</v>
      </c>
      <c r="CS519" t="str">
        <f ca="1">IF((OFFSET($A$1, 519 - 1, 95 - 1)) &gt;= (OFFSET($A$1, 54 - 1, 7 - 1)), "1","0")</f>
        <v>0</v>
      </c>
      <c r="CT519">
        <f ca="1" xml:space="preserve"> IF( AND( OFFSET($A$1, 519 - 1, 96 - 1) = "1", OFFSET($A$1, 519 - 1, 97 - 1) = "1" ), 1, IF( AND( OFFSET($A$1, 519 - 1, 96 - 1) = "1", OFFSET($A$1, 519 - 1, 97 - 1) = "0" ), 2, IF( AND( OFFSET($A$1, 519 - 1, 96 - 1) = "0", OFFSET($A$1, 519 - 1, 97 - 1) = "1" ), 3, 4 ) ) )</f>
        <v>4</v>
      </c>
    </row>
    <row r="520" spans="95:98" ht="13.8" x14ac:dyDescent="0.3">
      <c r="CQ520" s="24">
        <v>4.6288529068623935E-2</v>
      </c>
      <c r="CR520" s="24" t="str">
        <f>"0"</f>
        <v>0</v>
      </c>
      <c r="CS520" t="str">
        <f ca="1">IF((OFFSET($A$1, 520 - 1, 95 - 1)) &gt;= (OFFSET($A$1, 54 - 1, 7 - 1)), "1","0")</f>
        <v>0</v>
      </c>
      <c r="CT520">
        <f ca="1" xml:space="preserve"> IF( AND( OFFSET($A$1, 520 - 1, 96 - 1) = "1", OFFSET($A$1, 520 - 1, 97 - 1) = "1" ), 1, IF( AND( OFFSET($A$1, 520 - 1, 96 - 1) = "1", OFFSET($A$1, 520 - 1, 97 - 1) = "0" ), 2, IF( AND( OFFSET($A$1, 520 - 1, 96 - 1) = "0", OFFSET($A$1, 520 - 1, 97 - 1) = "1" ), 3, 4 ) ) )</f>
        <v>4</v>
      </c>
    </row>
    <row r="521" spans="95:98" ht="13.8" x14ac:dyDescent="0.3">
      <c r="CQ521" s="24">
        <v>0.99938649118765155</v>
      </c>
      <c r="CR521" s="24" t="str">
        <f>"1"</f>
        <v>1</v>
      </c>
      <c r="CS521" t="str">
        <f ca="1">IF((OFFSET($A$1, 521 - 1, 95 - 1)) &gt;= (OFFSET($A$1, 54 - 1, 7 - 1)), "1","0")</f>
        <v>1</v>
      </c>
      <c r="CT521">
        <f ca="1" xml:space="preserve"> IF( AND( OFFSET($A$1, 521 - 1, 96 - 1) = "1", OFFSET($A$1, 521 - 1, 97 - 1) = "1" ), 1, IF( AND( OFFSET($A$1, 521 - 1, 96 - 1) = "1", OFFSET($A$1, 521 - 1, 97 - 1) = "0" ), 2, IF( AND( OFFSET($A$1, 521 - 1, 96 - 1) = "0", OFFSET($A$1, 521 - 1, 97 - 1) = "1" ), 3, 4 ) ) )</f>
        <v>1</v>
      </c>
    </row>
    <row r="522" spans="95:98" ht="13.8" x14ac:dyDescent="0.3">
      <c r="CQ522" s="24">
        <v>0.95679900126358086</v>
      </c>
      <c r="CR522" s="24" t="str">
        <f>"1"</f>
        <v>1</v>
      </c>
      <c r="CS522" t="str">
        <f ca="1">IF((OFFSET($A$1, 522 - 1, 95 - 1)) &gt;= (OFFSET($A$1, 54 - 1, 7 - 1)), "1","0")</f>
        <v>1</v>
      </c>
      <c r="CT522">
        <f ca="1" xml:space="preserve"> IF( AND( OFFSET($A$1, 522 - 1, 96 - 1) = "1", OFFSET($A$1, 522 - 1, 97 - 1) = "1" ), 1, IF( AND( OFFSET($A$1, 522 - 1, 96 - 1) = "1", OFFSET($A$1, 522 - 1, 97 - 1) = "0" ), 2, IF( AND( OFFSET($A$1, 522 - 1, 96 - 1) = "0", OFFSET($A$1, 522 - 1, 97 - 1) = "1" ), 3, 4 ) ) )</f>
        <v>1</v>
      </c>
    </row>
    <row r="523" spans="95:98" ht="13.8" x14ac:dyDescent="0.3">
      <c r="CQ523" s="24">
        <v>0.99985315447596934</v>
      </c>
      <c r="CR523" s="24" t="str">
        <f>"1"</f>
        <v>1</v>
      </c>
      <c r="CS523" t="str">
        <f ca="1">IF((OFFSET($A$1, 523 - 1, 95 - 1)) &gt;= (OFFSET($A$1, 54 - 1, 7 - 1)), "1","0")</f>
        <v>1</v>
      </c>
      <c r="CT523">
        <f ca="1" xml:space="preserve"> IF( AND( OFFSET($A$1, 523 - 1, 96 - 1) = "1", OFFSET($A$1, 523 - 1, 97 - 1) = "1" ), 1, IF( AND( OFFSET($A$1, 523 - 1, 96 - 1) = "1", OFFSET($A$1, 523 - 1, 97 - 1) = "0" ), 2, IF( AND( OFFSET($A$1, 523 - 1, 96 - 1) = "0", OFFSET($A$1, 523 - 1, 97 - 1) = "1" ), 3, 4 ) ) )</f>
        <v>1</v>
      </c>
    </row>
    <row r="524" spans="95:98" ht="13.8" x14ac:dyDescent="0.3">
      <c r="CQ524" s="24">
        <v>1.7608793090047235E-2</v>
      </c>
      <c r="CR524" s="24" t="str">
        <f>"0"</f>
        <v>0</v>
      </c>
      <c r="CS524" t="str">
        <f ca="1">IF((OFFSET($A$1, 524 - 1, 95 - 1)) &gt;= (OFFSET($A$1, 54 - 1, 7 - 1)), "1","0")</f>
        <v>0</v>
      </c>
      <c r="CT524">
        <f ca="1" xml:space="preserve"> IF( AND( OFFSET($A$1, 524 - 1, 96 - 1) = "1", OFFSET($A$1, 524 - 1, 97 - 1) = "1" ), 1, IF( AND( OFFSET($A$1, 524 - 1, 96 - 1) = "1", OFFSET($A$1, 524 - 1, 97 - 1) = "0" ), 2, IF( AND( OFFSET($A$1, 524 - 1, 96 - 1) = "0", OFFSET($A$1, 524 - 1, 97 - 1) = "1" ), 3, 4 ) ) )</f>
        <v>4</v>
      </c>
    </row>
    <row r="525" spans="95:98" ht="13.8" x14ac:dyDescent="0.3">
      <c r="CQ525" s="24">
        <v>5.512006081559586E-2</v>
      </c>
      <c r="CR525" s="24" t="str">
        <f>"0"</f>
        <v>0</v>
      </c>
      <c r="CS525" t="str">
        <f ca="1">IF((OFFSET($A$1, 525 - 1, 95 - 1)) &gt;= (OFFSET($A$1, 54 - 1, 7 - 1)), "1","0")</f>
        <v>0</v>
      </c>
      <c r="CT525">
        <f ca="1" xml:space="preserve"> IF( AND( OFFSET($A$1, 525 - 1, 96 - 1) = "1", OFFSET($A$1, 525 - 1, 97 - 1) = "1" ), 1, IF( AND( OFFSET($A$1, 525 - 1, 96 - 1) = "1", OFFSET($A$1, 525 - 1, 97 - 1) = "0" ), 2, IF( AND( OFFSET($A$1, 525 - 1, 96 - 1) = "0", OFFSET($A$1, 525 - 1, 97 - 1) = "1" ), 3, 4 ) ) )</f>
        <v>4</v>
      </c>
    </row>
    <row r="526" spans="95:98" ht="13.8" x14ac:dyDescent="0.3">
      <c r="CQ526" s="24">
        <v>0.98542881584877406</v>
      </c>
      <c r="CR526" s="24" t="str">
        <f>"1"</f>
        <v>1</v>
      </c>
      <c r="CS526" t="str">
        <f ca="1">IF((OFFSET($A$1, 526 - 1, 95 - 1)) &gt;= (OFFSET($A$1, 54 - 1, 7 - 1)), "1","0")</f>
        <v>1</v>
      </c>
      <c r="CT526">
        <f ca="1" xml:space="preserve"> IF( AND( OFFSET($A$1, 526 - 1, 96 - 1) = "1", OFFSET($A$1, 526 - 1, 97 - 1) = "1" ), 1, IF( AND( OFFSET($A$1, 526 - 1, 96 - 1) = "1", OFFSET($A$1, 526 - 1, 97 - 1) = "0" ), 2, IF( AND( OFFSET($A$1, 526 - 1, 96 - 1) = "0", OFFSET($A$1, 526 - 1, 97 - 1) = "1" ), 3, 4 ) ) )</f>
        <v>1</v>
      </c>
    </row>
    <row r="527" spans="95:98" ht="13.8" x14ac:dyDescent="0.3">
      <c r="CQ527" s="24">
        <v>0.99042937818934518</v>
      </c>
      <c r="CR527" s="24" t="str">
        <f>"1"</f>
        <v>1</v>
      </c>
      <c r="CS527" t="str">
        <f ca="1">IF((OFFSET($A$1, 527 - 1, 95 - 1)) &gt;= (OFFSET($A$1, 54 - 1, 7 - 1)), "1","0")</f>
        <v>1</v>
      </c>
      <c r="CT527">
        <f ca="1" xml:space="preserve"> IF( AND( OFFSET($A$1, 527 - 1, 96 - 1) = "1", OFFSET($A$1, 527 - 1, 97 - 1) = "1" ), 1, IF( AND( OFFSET($A$1, 527 - 1, 96 - 1) = "1", OFFSET($A$1, 527 - 1, 97 - 1) = "0" ), 2, IF( AND( OFFSET($A$1, 527 - 1, 96 - 1) = "0", OFFSET($A$1, 527 - 1, 97 - 1) = "1" ), 3, 4 ) ) )</f>
        <v>1</v>
      </c>
    </row>
    <row r="528" spans="95:98" ht="13.8" x14ac:dyDescent="0.3">
      <c r="CQ528" s="24">
        <v>0.9882147416774848</v>
      </c>
      <c r="CR528" s="24" t="str">
        <f>"1"</f>
        <v>1</v>
      </c>
      <c r="CS528" t="str">
        <f ca="1">IF((OFFSET($A$1, 528 - 1, 95 - 1)) &gt;= (OFFSET($A$1, 54 - 1, 7 - 1)), "1","0")</f>
        <v>1</v>
      </c>
      <c r="CT528">
        <f ca="1" xml:space="preserve"> IF( AND( OFFSET($A$1, 528 - 1, 96 - 1) = "1", OFFSET($A$1, 528 - 1, 97 - 1) = "1" ), 1, IF( AND( OFFSET($A$1, 528 - 1, 96 - 1) = "1", OFFSET($A$1, 528 - 1, 97 - 1) = "0" ), 2, IF( AND( OFFSET($A$1, 528 - 1, 96 - 1) = "0", OFFSET($A$1, 528 - 1, 97 - 1) = "1" ), 3, 4 ) ) )</f>
        <v>1</v>
      </c>
    </row>
    <row r="529" spans="95:98" ht="13.8" x14ac:dyDescent="0.3">
      <c r="CQ529" s="24">
        <v>1.6770190628840845E-2</v>
      </c>
      <c r="CR529" s="24" t="str">
        <f>"0"</f>
        <v>0</v>
      </c>
      <c r="CS529" t="str">
        <f ca="1">IF((OFFSET($A$1, 529 - 1, 95 - 1)) &gt;= (OFFSET($A$1, 54 - 1, 7 - 1)), "1","0")</f>
        <v>0</v>
      </c>
      <c r="CT529">
        <f ca="1" xml:space="preserve"> IF( AND( OFFSET($A$1, 529 - 1, 96 - 1) = "1", OFFSET($A$1, 529 - 1, 97 - 1) = "1" ), 1, IF( AND( OFFSET($A$1, 529 - 1, 96 - 1) = "1", OFFSET($A$1, 529 - 1, 97 - 1) = "0" ), 2, IF( AND( OFFSET($A$1, 529 - 1, 96 - 1) = "0", OFFSET($A$1, 529 - 1, 97 - 1) = "1" ), 3, 4 ) ) )</f>
        <v>4</v>
      </c>
    </row>
    <row r="530" spans="95:98" ht="13.8" x14ac:dyDescent="0.3">
      <c r="CQ530" s="24">
        <v>6.3403744835347636E-2</v>
      </c>
      <c r="CR530" s="24" t="str">
        <f>"0"</f>
        <v>0</v>
      </c>
      <c r="CS530" t="str">
        <f ca="1">IF((OFFSET($A$1, 530 - 1, 95 - 1)) &gt;= (OFFSET($A$1, 54 - 1, 7 - 1)), "1","0")</f>
        <v>0</v>
      </c>
      <c r="CT530">
        <f ca="1" xml:space="preserve"> IF( AND( OFFSET($A$1, 530 - 1, 96 - 1) = "1", OFFSET($A$1, 530 - 1, 97 - 1) = "1" ), 1, IF( AND( OFFSET($A$1, 530 - 1, 96 - 1) = "1", OFFSET($A$1, 530 - 1, 97 - 1) = "0" ), 2, IF( AND( OFFSET($A$1, 530 - 1, 96 - 1) = "0", OFFSET($A$1, 530 - 1, 97 - 1) = "1" ), 3, 4 ) ) )</f>
        <v>4</v>
      </c>
    </row>
    <row r="531" spans="95:98" ht="13.8" x14ac:dyDescent="0.3">
      <c r="CQ531" s="24">
        <v>0.87201426031694662</v>
      </c>
      <c r="CR531" s="24" t="str">
        <f t="shared" ref="CR531:CR539" si="35">"1"</f>
        <v>1</v>
      </c>
      <c r="CS531" t="str">
        <f ca="1">IF((OFFSET($A$1, 531 - 1, 95 - 1)) &gt;= (OFFSET($A$1, 54 - 1, 7 - 1)), "1","0")</f>
        <v>1</v>
      </c>
      <c r="CT531">
        <f ca="1" xml:space="preserve"> IF( AND( OFFSET($A$1, 531 - 1, 96 - 1) = "1", OFFSET($A$1, 531 - 1, 97 - 1) = "1" ), 1, IF( AND( OFFSET($A$1, 531 - 1, 96 - 1) = "1", OFFSET($A$1, 531 - 1, 97 - 1) = "0" ), 2, IF( AND( OFFSET($A$1, 531 - 1, 96 - 1) = "0", OFFSET($A$1, 531 - 1, 97 - 1) = "1" ), 3, 4 ) ) )</f>
        <v>1</v>
      </c>
    </row>
    <row r="532" spans="95:98" ht="13.8" x14ac:dyDescent="0.3">
      <c r="CQ532" s="24">
        <v>0.98153242073885194</v>
      </c>
      <c r="CR532" s="24" t="str">
        <f t="shared" si="35"/>
        <v>1</v>
      </c>
      <c r="CS532" t="str">
        <f ca="1">IF((OFFSET($A$1, 532 - 1, 95 - 1)) &gt;= (OFFSET($A$1, 54 - 1, 7 - 1)), "1","0")</f>
        <v>1</v>
      </c>
      <c r="CT532">
        <f ca="1" xml:space="preserve"> IF( AND( OFFSET($A$1, 532 - 1, 96 - 1) = "1", OFFSET($A$1, 532 - 1, 97 - 1) = "1" ), 1, IF( AND( OFFSET($A$1, 532 - 1, 96 - 1) = "1", OFFSET($A$1, 532 - 1, 97 - 1) = "0" ), 2, IF( AND( OFFSET($A$1, 532 - 1, 96 - 1) = "0", OFFSET($A$1, 532 - 1, 97 - 1) = "1" ), 3, 4 ) ) )</f>
        <v>1</v>
      </c>
    </row>
    <row r="533" spans="95:98" ht="13.8" x14ac:dyDescent="0.3">
      <c r="CQ533" s="24">
        <v>0.99501317847321469</v>
      </c>
      <c r="CR533" s="24" t="str">
        <f t="shared" si="35"/>
        <v>1</v>
      </c>
      <c r="CS533" t="str">
        <f ca="1">IF((OFFSET($A$1, 533 - 1, 95 - 1)) &gt;= (OFFSET($A$1, 54 - 1, 7 - 1)), "1","0")</f>
        <v>1</v>
      </c>
      <c r="CT533">
        <f ca="1" xml:space="preserve"> IF( AND( OFFSET($A$1, 533 - 1, 96 - 1) = "1", OFFSET($A$1, 533 - 1, 97 - 1) = "1" ), 1, IF( AND( OFFSET($A$1, 533 - 1, 96 - 1) = "1", OFFSET($A$1, 533 - 1, 97 - 1) = "0" ), 2, IF( AND( OFFSET($A$1, 533 - 1, 96 - 1) = "0", OFFSET($A$1, 533 - 1, 97 - 1) = "1" ), 3, 4 ) ) )</f>
        <v>1</v>
      </c>
    </row>
    <row r="534" spans="95:98" ht="13.8" x14ac:dyDescent="0.3">
      <c r="CQ534" s="24">
        <v>0.99129416873780418</v>
      </c>
      <c r="CR534" s="24" t="str">
        <f t="shared" si="35"/>
        <v>1</v>
      </c>
      <c r="CS534" t="str">
        <f ca="1">IF((OFFSET($A$1, 534 - 1, 95 - 1)) &gt;= (OFFSET($A$1, 54 - 1, 7 - 1)), "1","0")</f>
        <v>1</v>
      </c>
      <c r="CT534">
        <f ca="1" xml:space="preserve"> IF( AND( OFFSET($A$1, 534 - 1, 96 - 1) = "1", OFFSET($A$1, 534 - 1, 97 - 1) = "1" ), 1, IF( AND( OFFSET($A$1, 534 - 1, 96 - 1) = "1", OFFSET($A$1, 534 - 1, 97 - 1) = "0" ), 2, IF( AND( OFFSET($A$1, 534 - 1, 96 - 1) = "0", OFFSET($A$1, 534 - 1, 97 - 1) = "1" ), 3, 4 ) ) )</f>
        <v>1</v>
      </c>
    </row>
    <row r="535" spans="95:98" ht="13.8" x14ac:dyDescent="0.3">
      <c r="CQ535" s="24">
        <v>0.99997858249184279</v>
      </c>
      <c r="CR535" s="24" t="str">
        <f t="shared" si="35"/>
        <v>1</v>
      </c>
      <c r="CS535" t="str">
        <f ca="1">IF((OFFSET($A$1, 535 - 1, 95 - 1)) &gt;= (OFFSET($A$1, 54 - 1, 7 - 1)), "1","0")</f>
        <v>1</v>
      </c>
      <c r="CT535">
        <f ca="1" xml:space="preserve"> IF( AND( OFFSET($A$1, 535 - 1, 96 - 1) = "1", OFFSET($A$1, 535 - 1, 97 - 1) = "1" ), 1, IF( AND( OFFSET($A$1, 535 - 1, 96 - 1) = "1", OFFSET($A$1, 535 - 1, 97 - 1) = "0" ), 2, IF( AND( OFFSET($A$1, 535 - 1, 96 - 1) = "0", OFFSET($A$1, 535 - 1, 97 - 1) = "1" ), 3, 4 ) ) )</f>
        <v>1</v>
      </c>
    </row>
    <row r="536" spans="95:98" ht="13.8" x14ac:dyDescent="0.3">
      <c r="CQ536" s="24">
        <v>0.97624685513714438</v>
      </c>
      <c r="CR536" s="24" t="str">
        <f t="shared" si="35"/>
        <v>1</v>
      </c>
      <c r="CS536" t="str">
        <f ca="1">IF((OFFSET($A$1, 536 - 1, 95 - 1)) &gt;= (OFFSET($A$1, 54 - 1, 7 - 1)), "1","0")</f>
        <v>1</v>
      </c>
      <c r="CT536">
        <f ca="1" xml:space="preserve"> IF( AND( OFFSET($A$1, 536 - 1, 96 - 1) = "1", OFFSET($A$1, 536 - 1, 97 - 1) = "1" ), 1, IF( AND( OFFSET($A$1, 536 - 1, 96 - 1) = "1", OFFSET($A$1, 536 - 1, 97 - 1) = "0" ), 2, IF( AND( OFFSET($A$1, 536 - 1, 96 - 1) = "0", OFFSET($A$1, 536 - 1, 97 - 1) = "1" ), 3, 4 ) ) )</f>
        <v>1</v>
      </c>
    </row>
    <row r="537" spans="95:98" ht="13.8" x14ac:dyDescent="0.3">
      <c r="CQ537" s="24">
        <v>0.99999176883719243</v>
      </c>
      <c r="CR537" s="24" t="str">
        <f t="shared" si="35"/>
        <v>1</v>
      </c>
      <c r="CS537" t="str">
        <f ca="1">IF((OFFSET($A$1, 537 - 1, 95 - 1)) &gt;= (OFFSET($A$1, 54 - 1, 7 - 1)), "1","0")</f>
        <v>1</v>
      </c>
      <c r="CT537">
        <f ca="1" xml:space="preserve"> IF( AND( OFFSET($A$1, 537 - 1, 96 - 1) = "1", OFFSET($A$1, 537 - 1, 97 - 1) = "1" ), 1, IF( AND( OFFSET($A$1, 537 - 1, 96 - 1) = "1", OFFSET($A$1, 537 - 1, 97 - 1) = "0" ), 2, IF( AND( OFFSET($A$1, 537 - 1, 96 - 1) = "0", OFFSET($A$1, 537 - 1, 97 - 1) = "1" ), 3, 4 ) ) )</f>
        <v>1</v>
      </c>
    </row>
    <row r="538" spans="95:98" ht="13.8" x14ac:dyDescent="0.3">
      <c r="CQ538" s="24">
        <v>0.99970606169615051</v>
      </c>
      <c r="CR538" s="24" t="str">
        <f t="shared" si="35"/>
        <v>1</v>
      </c>
      <c r="CS538" t="str">
        <f ca="1">IF((OFFSET($A$1, 538 - 1, 95 - 1)) &gt;= (OFFSET($A$1, 54 - 1, 7 - 1)), "1","0")</f>
        <v>1</v>
      </c>
      <c r="CT538">
        <f ca="1" xml:space="preserve"> IF( AND( OFFSET($A$1, 538 - 1, 96 - 1) = "1", OFFSET($A$1, 538 - 1, 97 - 1) = "1" ), 1, IF( AND( OFFSET($A$1, 538 - 1, 96 - 1) = "1", OFFSET($A$1, 538 - 1, 97 - 1) = "0" ), 2, IF( AND( OFFSET($A$1, 538 - 1, 96 - 1) = "0", OFFSET($A$1, 538 - 1, 97 - 1) = "1" ), 3, 4 ) ) )</f>
        <v>1</v>
      </c>
    </row>
    <row r="539" spans="95:98" ht="13.8" x14ac:dyDescent="0.3">
      <c r="CQ539" s="24">
        <v>0.90515352180944042</v>
      </c>
      <c r="CR539" s="24" t="str">
        <f t="shared" si="35"/>
        <v>1</v>
      </c>
      <c r="CS539" t="str">
        <f ca="1">IF((OFFSET($A$1, 539 - 1, 95 - 1)) &gt;= (OFFSET($A$1, 54 - 1, 7 - 1)), "1","0")</f>
        <v>1</v>
      </c>
      <c r="CT539">
        <f ca="1" xml:space="preserve"> IF( AND( OFFSET($A$1, 539 - 1, 96 - 1) = "1", OFFSET($A$1, 539 - 1, 97 - 1) = "1" ), 1, IF( AND( OFFSET($A$1, 539 - 1, 96 - 1) = "1", OFFSET($A$1, 539 - 1, 97 - 1) = "0" ), 2, IF( AND( OFFSET($A$1, 539 - 1, 96 - 1) = "0", OFFSET($A$1, 539 - 1, 97 - 1) = "1" ), 3, 4 ) ) )</f>
        <v>1</v>
      </c>
    </row>
    <row r="540" spans="95:98" ht="13.8" x14ac:dyDescent="0.3">
      <c r="CQ540" s="24">
        <v>0.11849431066013685</v>
      </c>
      <c r="CR540" s="24" t="str">
        <f>"0"</f>
        <v>0</v>
      </c>
      <c r="CS540" t="str">
        <f ca="1">IF((OFFSET($A$1, 540 - 1, 95 - 1)) &gt;= (OFFSET($A$1, 54 - 1, 7 - 1)), "1","0")</f>
        <v>0</v>
      </c>
      <c r="CT540">
        <f ca="1" xml:space="preserve"> IF( AND( OFFSET($A$1, 540 - 1, 96 - 1) = "1", OFFSET($A$1, 540 - 1, 97 - 1) = "1" ), 1, IF( AND( OFFSET($A$1, 540 - 1, 96 - 1) = "1", OFFSET($A$1, 540 - 1, 97 - 1) = "0" ), 2, IF( AND( OFFSET($A$1, 540 - 1, 96 - 1) = "0", OFFSET($A$1, 540 - 1, 97 - 1) = "1" ), 3, 4 ) ) )</f>
        <v>4</v>
      </c>
    </row>
    <row r="541" spans="95:98" ht="13.8" x14ac:dyDescent="0.3">
      <c r="CQ541" s="24">
        <v>0.98342036855612813</v>
      </c>
      <c r="CR541" s="24" t="str">
        <f>"1"</f>
        <v>1</v>
      </c>
      <c r="CS541" t="str">
        <f ca="1">IF((OFFSET($A$1, 541 - 1, 95 - 1)) &gt;= (OFFSET($A$1, 54 - 1, 7 - 1)), "1","0")</f>
        <v>1</v>
      </c>
      <c r="CT541">
        <f ca="1" xml:space="preserve"> IF( AND( OFFSET($A$1, 541 - 1, 96 - 1) = "1", OFFSET($A$1, 541 - 1, 97 - 1) = "1" ), 1, IF( AND( OFFSET($A$1, 541 - 1, 96 - 1) = "1", OFFSET($A$1, 541 - 1, 97 - 1) = "0" ), 2, IF( AND( OFFSET($A$1, 541 - 1, 96 - 1) = "0", OFFSET($A$1, 541 - 1, 97 - 1) = "1" ), 3, 4 ) ) )</f>
        <v>1</v>
      </c>
    </row>
    <row r="542" spans="95:98" ht="13.8" x14ac:dyDescent="0.3">
      <c r="CQ542" s="24">
        <v>0.97408872415635284</v>
      </c>
      <c r="CR542" s="24" t="str">
        <f>"1"</f>
        <v>1</v>
      </c>
      <c r="CS542" t="str">
        <f ca="1">IF((OFFSET($A$1, 542 - 1, 95 - 1)) &gt;= (OFFSET($A$1, 54 - 1, 7 - 1)), "1","0")</f>
        <v>1</v>
      </c>
      <c r="CT542">
        <f ca="1" xml:space="preserve"> IF( AND( OFFSET($A$1, 542 - 1, 96 - 1) = "1", OFFSET($A$1, 542 - 1, 97 - 1) = "1" ), 1, IF( AND( OFFSET($A$1, 542 - 1, 96 - 1) = "1", OFFSET($A$1, 542 - 1, 97 - 1) = "0" ), 2, IF( AND( OFFSET($A$1, 542 - 1, 96 - 1) = "0", OFFSET($A$1, 542 - 1, 97 - 1) = "1" ), 3, 4 ) ) )</f>
        <v>1</v>
      </c>
    </row>
    <row r="543" spans="95:98" ht="13.8" x14ac:dyDescent="0.3">
      <c r="CQ543" s="24">
        <v>0.99999523976986626</v>
      </c>
      <c r="CR543" s="24" t="str">
        <f>"1"</f>
        <v>1</v>
      </c>
      <c r="CS543" t="str">
        <f ca="1">IF((OFFSET($A$1, 543 - 1, 95 - 1)) &gt;= (OFFSET($A$1, 54 - 1, 7 - 1)), "1","0")</f>
        <v>1</v>
      </c>
      <c r="CT543">
        <f ca="1" xml:space="preserve"> IF( AND( OFFSET($A$1, 543 - 1, 96 - 1) = "1", OFFSET($A$1, 543 - 1, 97 - 1) = "1" ), 1, IF( AND( OFFSET($A$1, 543 - 1, 96 - 1) = "1", OFFSET($A$1, 543 - 1, 97 - 1) = "0" ), 2, IF( AND( OFFSET($A$1, 543 - 1, 96 - 1) = "0", OFFSET($A$1, 543 - 1, 97 - 1) = "1" ), 3, 4 ) ) )</f>
        <v>1</v>
      </c>
    </row>
    <row r="544" spans="95:98" ht="13.8" x14ac:dyDescent="0.3">
      <c r="CQ544" s="24">
        <v>0.92378006189138673</v>
      </c>
      <c r="CR544" s="24" t="str">
        <f>"1"</f>
        <v>1</v>
      </c>
      <c r="CS544" t="str">
        <f ca="1">IF((OFFSET($A$1, 544 - 1, 95 - 1)) &gt;= (OFFSET($A$1, 54 - 1, 7 - 1)), "1","0")</f>
        <v>1</v>
      </c>
      <c r="CT544">
        <f ca="1" xml:space="preserve"> IF( AND( OFFSET($A$1, 544 - 1, 96 - 1) = "1", OFFSET($A$1, 544 - 1, 97 - 1) = "1" ), 1, IF( AND( OFFSET($A$1, 544 - 1, 96 - 1) = "1", OFFSET($A$1, 544 - 1, 97 - 1) = "0" ), 2, IF( AND( OFFSET($A$1, 544 - 1, 96 - 1) = "0", OFFSET($A$1, 544 - 1, 97 - 1) = "1" ), 3, 4 ) ) )</f>
        <v>1</v>
      </c>
    </row>
    <row r="545" spans="95:98" ht="13.8" x14ac:dyDescent="0.3">
      <c r="CQ545" s="24">
        <v>1.4903754220946662E-2</v>
      </c>
      <c r="CR545" s="24" t="str">
        <f>"0"</f>
        <v>0</v>
      </c>
      <c r="CS545" t="str">
        <f ca="1">IF((OFFSET($A$1, 545 - 1, 95 - 1)) &gt;= (OFFSET($A$1, 54 - 1, 7 - 1)), "1","0")</f>
        <v>0</v>
      </c>
      <c r="CT545">
        <f ca="1" xml:space="preserve"> IF( AND( OFFSET($A$1, 545 - 1, 96 - 1) = "1", OFFSET($A$1, 545 - 1, 97 - 1) = "1" ), 1, IF( AND( OFFSET($A$1, 545 - 1, 96 - 1) = "1", OFFSET($A$1, 545 - 1, 97 - 1) = "0" ), 2, IF( AND( OFFSET($A$1, 545 - 1, 96 - 1) = "0", OFFSET($A$1, 545 - 1, 97 - 1) = "1" ), 3, 4 ) ) )</f>
        <v>4</v>
      </c>
    </row>
    <row r="546" spans="95:98" ht="13.8" x14ac:dyDescent="0.3">
      <c r="CQ546" s="24">
        <v>0.82652077380525679</v>
      </c>
      <c r="CR546" s="24" t="str">
        <f t="shared" ref="CR546:CR553" si="36">"1"</f>
        <v>1</v>
      </c>
      <c r="CS546" t="str">
        <f ca="1">IF((OFFSET($A$1, 546 - 1, 95 - 1)) &gt;= (OFFSET($A$1, 54 - 1, 7 - 1)), "1","0")</f>
        <v>1</v>
      </c>
      <c r="CT546">
        <f ca="1" xml:space="preserve"> IF( AND( OFFSET($A$1, 546 - 1, 96 - 1) = "1", OFFSET($A$1, 546 - 1, 97 - 1) = "1" ), 1, IF( AND( OFFSET($A$1, 546 - 1, 96 - 1) = "1", OFFSET($A$1, 546 - 1, 97 - 1) = "0" ), 2, IF( AND( OFFSET($A$1, 546 - 1, 96 - 1) = "0", OFFSET($A$1, 546 - 1, 97 - 1) = "1" ), 3, 4 ) ) )</f>
        <v>1</v>
      </c>
    </row>
    <row r="547" spans="95:98" ht="13.8" x14ac:dyDescent="0.3">
      <c r="CQ547" s="24">
        <v>0.99982113010353568</v>
      </c>
      <c r="CR547" s="24" t="str">
        <f t="shared" si="36"/>
        <v>1</v>
      </c>
      <c r="CS547" t="str">
        <f ca="1">IF((OFFSET($A$1, 547 - 1, 95 - 1)) &gt;= (OFFSET($A$1, 54 - 1, 7 - 1)), "1","0")</f>
        <v>1</v>
      </c>
      <c r="CT547">
        <f ca="1" xml:space="preserve"> IF( AND( OFFSET($A$1, 547 - 1, 96 - 1) = "1", OFFSET($A$1, 547 - 1, 97 - 1) = "1" ), 1, IF( AND( OFFSET($A$1, 547 - 1, 96 - 1) = "1", OFFSET($A$1, 547 - 1, 97 - 1) = "0" ), 2, IF( AND( OFFSET($A$1, 547 - 1, 96 - 1) = "0", OFFSET($A$1, 547 - 1, 97 - 1) = "1" ), 3, 4 ) ) )</f>
        <v>1</v>
      </c>
    </row>
    <row r="548" spans="95:98" ht="13.8" x14ac:dyDescent="0.3">
      <c r="CQ548" s="24">
        <v>0.96844451804118781</v>
      </c>
      <c r="CR548" s="24" t="str">
        <f t="shared" si="36"/>
        <v>1</v>
      </c>
      <c r="CS548" t="str">
        <f ca="1">IF((OFFSET($A$1, 548 - 1, 95 - 1)) &gt;= (OFFSET($A$1, 54 - 1, 7 - 1)), "1","0")</f>
        <v>1</v>
      </c>
      <c r="CT548">
        <f ca="1" xml:space="preserve"> IF( AND( OFFSET($A$1, 548 - 1, 96 - 1) = "1", OFFSET($A$1, 548 - 1, 97 - 1) = "1" ), 1, IF( AND( OFFSET($A$1, 548 - 1, 96 - 1) = "1", OFFSET($A$1, 548 - 1, 97 - 1) = "0" ), 2, IF( AND( OFFSET($A$1, 548 - 1, 96 - 1) = "0", OFFSET($A$1, 548 - 1, 97 - 1) = "1" ), 3, 4 ) ) )</f>
        <v>1</v>
      </c>
    </row>
    <row r="549" spans="95:98" ht="13.8" x14ac:dyDescent="0.3">
      <c r="CQ549" s="24">
        <v>0.99960483715096882</v>
      </c>
      <c r="CR549" s="24" t="str">
        <f t="shared" si="36"/>
        <v>1</v>
      </c>
      <c r="CS549" t="str">
        <f ca="1">IF((OFFSET($A$1, 549 - 1, 95 - 1)) &gt;= (OFFSET($A$1, 54 - 1, 7 - 1)), "1","0")</f>
        <v>1</v>
      </c>
      <c r="CT549">
        <f ca="1" xml:space="preserve"> IF( AND( OFFSET($A$1, 549 - 1, 96 - 1) = "1", OFFSET($A$1, 549 - 1, 97 - 1) = "1" ), 1, IF( AND( OFFSET($A$1, 549 - 1, 96 - 1) = "1", OFFSET($A$1, 549 - 1, 97 - 1) = "0" ), 2, IF( AND( OFFSET($A$1, 549 - 1, 96 - 1) = "0", OFFSET($A$1, 549 - 1, 97 - 1) = "1" ), 3, 4 ) ) )</f>
        <v>1</v>
      </c>
    </row>
    <row r="550" spans="95:98" ht="13.8" x14ac:dyDescent="0.3">
      <c r="CQ550" s="24">
        <v>0.99493852064352739</v>
      </c>
      <c r="CR550" s="24" t="str">
        <f t="shared" si="36"/>
        <v>1</v>
      </c>
      <c r="CS550" t="str">
        <f ca="1">IF((OFFSET($A$1, 550 - 1, 95 - 1)) &gt;= (OFFSET($A$1, 54 - 1, 7 - 1)), "1","0")</f>
        <v>1</v>
      </c>
      <c r="CT550">
        <f ca="1" xml:space="preserve"> IF( AND( OFFSET($A$1, 550 - 1, 96 - 1) = "1", OFFSET($A$1, 550 - 1, 97 - 1) = "1" ), 1, IF( AND( OFFSET($A$1, 550 - 1, 96 - 1) = "1", OFFSET($A$1, 550 - 1, 97 - 1) = "0" ), 2, IF( AND( OFFSET($A$1, 550 - 1, 96 - 1) = "0", OFFSET($A$1, 550 - 1, 97 - 1) = "1" ), 3, 4 ) ) )</f>
        <v>1</v>
      </c>
    </row>
    <row r="551" spans="95:98" ht="13.8" x14ac:dyDescent="0.3">
      <c r="CQ551" s="24">
        <v>0.97031445500343205</v>
      </c>
      <c r="CR551" s="24" t="str">
        <f t="shared" si="36"/>
        <v>1</v>
      </c>
      <c r="CS551" t="str">
        <f ca="1">IF((OFFSET($A$1, 551 - 1, 95 - 1)) &gt;= (OFFSET($A$1, 54 - 1, 7 - 1)), "1","0")</f>
        <v>1</v>
      </c>
      <c r="CT551">
        <f ca="1" xml:space="preserve"> IF( AND( OFFSET($A$1, 551 - 1, 96 - 1) = "1", OFFSET($A$1, 551 - 1, 97 - 1) = "1" ), 1, IF( AND( OFFSET($A$1, 551 - 1, 96 - 1) = "1", OFFSET($A$1, 551 - 1, 97 - 1) = "0" ), 2, IF( AND( OFFSET($A$1, 551 - 1, 96 - 1) = "0", OFFSET($A$1, 551 - 1, 97 - 1) = "1" ), 3, 4 ) ) )</f>
        <v>1</v>
      </c>
    </row>
    <row r="552" spans="95:98" ht="13.8" x14ac:dyDescent="0.3">
      <c r="CQ552" s="24">
        <v>0.9999692652318698</v>
      </c>
      <c r="CR552" s="24" t="str">
        <f t="shared" si="36"/>
        <v>1</v>
      </c>
      <c r="CS552" t="str">
        <f ca="1">IF((OFFSET($A$1, 552 - 1, 95 - 1)) &gt;= (OFFSET($A$1, 54 - 1, 7 - 1)), "1","0")</f>
        <v>1</v>
      </c>
      <c r="CT552">
        <f ca="1" xml:space="preserve"> IF( AND( OFFSET($A$1, 552 - 1, 96 - 1) = "1", OFFSET($A$1, 552 - 1, 97 - 1) = "1" ), 1, IF( AND( OFFSET($A$1, 552 - 1, 96 - 1) = "1", OFFSET($A$1, 552 - 1, 97 - 1) = "0" ), 2, IF( AND( OFFSET($A$1, 552 - 1, 96 - 1) = "0", OFFSET($A$1, 552 - 1, 97 - 1) = "1" ), 3, 4 ) ) )</f>
        <v>1</v>
      </c>
    </row>
    <row r="553" spans="95:98" ht="13.8" x14ac:dyDescent="0.3">
      <c r="CQ553" s="24">
        <v>0.7748715929720813</v>
      </c>
      <c r="CR553" s="24" t="str">
        <f t="shared" si="36"/>
        <v>1</v>
      </c>
      <c r="CS553" t="str">
        <f ca="1">IF((OFFSET($A$1, 553 - 1, 95 - 1)) &gt;= (OFFSET($A$1, 54 - 1, 7 - 1)), "1","0")</f>
        <v>1</v>
      </c>
      <c r="CT553">
        <f ca="1" xml:space="preserve"> IF( AND( OFFSET($A$1, 553 - 1, 96 - 1) = "1", OFFSET($A$1, 553 - 1, 97 - 1) = "1" ), 1, IF( AND( OFFSET($A$1, 553 - 1, 96 - 1) = "1", OFFSET($A$1, 553 - 1, 97 - 1) = "0" ), 2, IF( AND( OFFSET($A$1, 553 - 1, 96 - 1) = "0", OFFSET($A$1, 553 - 1, 97 - 1) = "1" ), 3, 4 ) ) )</f>
        <v>1</v>
      </c>
    </row>
    <row r="554" spans="95:98" ht="13.8" x14ac:dyDescent="0.3">
      <c r="CQ554" s="24">
        <v>1.8260595636947509E-3</v>
      </c>
      <c r="CR554" s="24" t="str">
        <f>"0"</f>
        <v>0</v>
      </c>
      <c r="CS554" t="str">
        <f ca="1">IF((OFFSET($A$1, 554 - 1, 95 - 1)) &gt;= (OFFSET($A$1, 54 - 1, 7 - 1)), "1","0")</f>
        <v>0</v>
      </c>
      <c r="CT554">
        <f ca="1" xml:space="preserve"> IF( AND( OFFSET($A$1, 554 - 1, 96 - 1) = "1", OFFSET($A$1, 554 - 1, 97 - 1) = "1" ), 1, IF( AND( OFFSET($A$1, 554 - 1, 96 - 1) = "1", OFFSET($A$1, 554 - 1, 97 - 1) = "0" ), 2, IF( AND( OFFSET($A$1, 554 - 1, 96 - 1) = "0", OFFSET($A$1, 554 - 1, 97 - 1) = "1" ), 3, 4 ) ) )</f>
        <v>4</v>
      </c>
    </row>
    <row r="555" spans="95:98" ht="13.8" x14ac:dyDescent="0.3">
      <c r="CQ555" s="24">
        <v>3.485773995527994E-3</v>
      </c>
      <c r="CR555" s="24" t="str">
        <f>"0"</f>
        <v>0</v>
      </c>
      <c r="CS555" t="str">
        <f ca="1">IF((OFFSET($A$1, 555 - 1, 95 - 1)) &gt;= (OFFSET($A$1, 54 - 1, 7 - 1)), "1","0")</f>
        <v>0</v>
      </c>
      <c r="CT555">
        <f ca="1" xml:space="preserve"> IF( AND( OFFSET($A$1, 555 - 1, 96 - 1) = "1", OFFSET($A$1, 555 - 1, 97 - 1) = "1" ), 1, IF( AND( OFFSET($A$1, 555 - 1, 96 - 1) = "1", OFFSET($A$1, 555 - 1, 97 - 1) = "0" ), 2, IF( AND( OFFSET($A$1, 555 - 1, 96 - 1) = "0", OFFSET($A$1, 555 - 1, 97 - 1) = "1" ), 3, 4 ) ) )</f>
        <v>4</v>
      </c>
    </row>
    <row r="556" spans="95:98" ht="13.8" x14ac:dyDescent="0.3">
      <c r="CQ556" s="24">
        <v>0.98617825241022028</v>
      </c>
      <c r="CR556" s="24" t="str">
        <f>"1"</f>
        <v>1</v>
      </c>
      <c r="CS556" t="str">
        <f ca="1">IF((OFFSET($A$1, 556 - 1, 95 - 1)) &gt;= (OFFSET($A$1, 54 - 1, 7 - 1)), "1","0")</f>
        <v>1</v>
      </c>
      <c r="CT556">
        <f ca="1" xml:space="preserve"> IF( AND( OFFSET($A$1, 556 - 1, 96 - 1) = "1", OFFSET($A$1, 556 - 1, 97 - 1) = "1" ), 1, IF( AND( OFFSET($A$1, 556 - 1, 96 - 1) = "1", OFFSET($A$1, 556 - 1, 97 - 1) = "0" ), 2, IF( AND( OFFSET($A$1, 556 - 1, 96 - 1) = "0", OFFSET($A$1, 556 - 1, 97 - 1) = "1" ), 3, 4 ) ) )</f>
        <v>1</v>
      </c>
    </row>
    <row r="557" spans="95:98" ht="13.8" x14ac:dyDescent="0.3">
      <c r="CQ557" s="24">
        <v>1.1565562892763592E-2</v>
      </c>
      <c r="CR557" s="24" t="str">
        <f>"0"</f>
        <v>0</v>
      </c>
      <c r="CS557" t="str">
        <f ca="1">IF((OFFSET($A$1, 557 - 1, 95 - 1)) &gt;= (OFFSET($A$1, 54 - 1, 7 - 1)), "1","0")</f>
        <v>0</v>
      </c>
      <c r="CT557">
        <f ca="1" xml:space="preserve"> IF( AND( OFFSET($A$1, 557 - 1, 96 - 1) = "1", OFFSET($A$1, 557 - 1, 97 - 1) = "1" ), 1, IF( AND( OFFSET($A$1, 557 - 1, 96 - 1) = "1", OFFSET($A$1, 557 - 1, 97 - 1) = "0" ), 2, IF( AND( OFFSET($A$1, 557 - 1, 96 - 1) = "0", OFFSET($A$1, 557 - 1, 97 - 1) = "1" ), 3, 4 ) ) )</f>
        <v>4</v>
      </c>
    </row>
    <row r="558" spans="95:98" ht="13.8" x14ac:dyDescent="0.3">
      <c r="CQ558" s="24">
        <v>0.94107918682301372</v>
      </c>
      <c r="CR558" s="24" t="str">
        <f>"1"</f>
        <v>1</v>
      </c>
      <c r="CS558" t="str">
        <f ca="1">IF((OFFSET($A$1, 558 - 1, 95 - 1)) &gt;= (OFFSET($A$1, 54 - 1, 7 - 1)), "1","0")</f>
        <v>1</v>
      </c>
      <c r="CT558">
        <f ca="1" xml:space="preserve"> IF( AND( OFFSET($A$1, 558 - 1, 96 - 1) = "1", OFFSET($A$1, 558 - 1, 97 - 1) = "1" ), 1, IF( AND( OFFSET($A$1, 558 - 1, 96 - 1) = "1", OFFSET($A$1, 558 - 1, 97 - 1) = "0" ), 2, IF( AND( OFFSET($A$1, 558 - 1, 96 - 1) = "0", OFFSET($A$1, 558 - 1, 97 - 1) = "1" ), 3, 4 ) ) )</f>
        <v>1</v>
      </c>
    </row>
    <row r="559" spans="95:98" ht="13.8" x14ac:dyDescent="0.3">
      <c r="CQ559" s="24">
        <v>0.99775477528259504</v>
      </c>
      <c r="CR559" s="24" t="str">
        <f>"1"</f>
        <v>1</v>
      </c>
      <c r="CS559" t="str">
        <f ca="1">IF((OFFSET($A$1, 559 - 1, 95 - 1)) &gt;= (OFFSET($A$1, 54 - 1, 7 - 1)), "1","0")</f>
        <v>1</v>
      </c>
      <c r="CT559">
        <f ca="1" xml:space="preserve"> IF( AND( OFFSET($A$1, 559 - 1, 96 - 1) = "1", OFFSET($A$1, 559 - 1, 97 - 1) = "1" ), 1, IF( AND( OFFSET($A$1, 559 - 1, 96 - 1) = "1", OFFSET($A$1, 559 - 1, 97 - 1) = "0" ), 2, IF( AND( OFFSET($A$1, 559 - 1, 96 - 1) = "0", OFFSET($A$1, 559 - 1, 97 - 1) = "1" ), 3, 4 ) ) )</f>
        <v>1</v>
      </c>
    </row>
    <row r="560" spans="95:98" ht="13.8" x14ac:dyDescent="0.3">
      <c r="CQ560" s="24">
        <v>0.99458944467330923</v>
      </c>
      <c r="CR560" s="24" t="str">
        <f>"1"</f>
        <v>1</v>
      </c>
      <c r="CS560" t="str">
        <f ca="1">IF((OFFSET($A$1, 560 - 1, 95 - 1)) &gt;= (OFFSET($A$1, 54 - 1, 7 - 1)), "1","0")</f>
        <v>1</v>
      </c>
      <c r="CT560">
        <f ca="1" xml:space="preserve"> IF( AND( OFFSET($A$1, 560 - 1, 96 - 1) = "1", OFFSET($A$1, 560 - 1, 97 - 1) = "1" ), 1, IF( AND( OFFSET($A$1, 560 - 1, 96 - 1) = "1", OFFSET($A$1, 560 - 1, 97 - 1) = "0" ), 2, IF( AND( OFFSET($A$1, 560 - 1, 96 - 1) = "0", OFFSET($A$1, 560 - 1, 97 - 1) = "1" ), 3, 4 ) ) )</f>
        <v>1</v>
      </c>
    </row>
    <row r="561" spans="95:98" ht="13.8" x14ac:dyDescent="0.3">
      <c r="CQ561" s="24">
        <v>1.7887726334653159E-2</v>
      </c>
      <c r="CR561" s="24" t="str">
        <f>"0"</f>
        <v>0</v>
      </c>
      <c r="CS561" t="str">
        <f ca="1">IF((OFFSET($A$1, 561 - 1, 95 - 1)) &gt;= (OFFSET($A$1, 54 - 1, 7 - 1)), "1","0")</f>
        <v>0</v>
      </c>
      <c r="CT561">
        <f ca="1" xml:space="preserve"> IF( AND( OFFSET($A$1, 561 - 1, 96 - 1) = "1", OFFSET($A$1, 561 - 1, 97 - 1) = "1" ), 1, IF( AND( OFFSET($A$1, 561 - 1, 96 - 1) = "1", OFFSET($A$1, 561 - 1, 97 - 1) = "0" ), 2, IF( AND( OFFSET($A$1, 561 - 1, 96 - 1) = "0", OFFSET($A$1, 561 - 1, 97 - 1) = "1" ), 3, 4 ) ) )</f>
        <v>4</v>
      </c>
    </row>
    <row r="562" spans="95:98" ht="13.8" x14ac:dyDescent="0.3">
      <c r="CQ562" s="24">
        <v>0.99999928384377146</v>
      </c>
      <c r="CR562" s="24" t="str">
        <f>"1"</f>
        <v>1</v>
      </c>
      <c r="CS562" t="str">
        <f ca="1">IF((OFFSET($A$1, 562 - 1, 95 - 1)) &gt;= (OFFSET($A$1, 54 - 1, 7 - 1)), "1","0")</f>
        <v>1</v>
      </c>
      <c r="CT562">
        <f ca="1" xml:space="preserve"> IF( AND( OFFSET($A$1, 562 - 1, 96 - 1) = "1", OFFSET($A$1, 562 - 1, 97 - 1) = "1" ), 1, IF( AND( OFFSET($A$1, 562 - 1, 96 - 1) = "1", OFFSET($A$1, 562 - 1, 97 - 1) = "0" ), 2, IF( AND( OFFSET($A$1, 562 - 1, 96 - 1) = "0", OFFSET($A$1, 562 - 1, 97 - 1) = "1" ), 3, 4 ) ) )</f>
        <v>1</v>
      </c>
    </row>
    <row r="563" spans="95:98" ht="13.8" x14ac:dyDescent="0.3">
      <c r="CQ563" s="24">
        <v>0.99947199206901927</v>
      </c>
      <c r="CR563" s="24" t="str">
        <f>"1"</f>
        <v>1</v>
      </c>
      <c r="CS563" t="str">
        <f ca="1">IF((OFFSET($A$1, 563 - 1, 95 - 1)) &gt;= (OFFSET($A$1, 54 - 1, 7 - 1)), "1","0")</f>
        <v>1</v>
      </c>
      <c r="CT563">
        <f ca="1" xml:space="preserve"> IF( AND( OFFSET($A$1, 563 - 1, 96 - 1) = "1", OFFSET($A$1, 563 - 1, 97 - 1) = "1" ), 1, IF( AND( OFFSET($A$1, 563 - 1, 96 - 1) = "1", OFFSET($A$1, 563 - 1, 97 - 1) = "0" ), 2, IF( AND( OFFSET($A$1, 563 - 1, 96 - 1) = "0", OFFSET($A$1, 563 - 1, 97 - 1) = "1" ), 3, 4 ) ) )</f>
        <v>1</v>
      </c>
    </row>
    <row r="564" spans="95:98" ht="13.8" x14ac:dyDescent="0.3">
      <c r="CQ564" s="24">
        <v>0.99446164263894965</v>
      </c>
      <c r="CR564" s="24" t="str">
        <f>"1"</f>
        <v>1</v>
      </c>
      <c r="CS564" t="str">
        <f ca="1">IF((OFFSET($A$1, 564 - 1, 95 - 1)) &gt;= (OFFSET($A$1, 54 - 1, 7 - 1)), "1","0")</f>
        <v>1</v>
      </c>
      <c r="CT564">
        <f ca="1" xml:space="preserve"> IF( AND( OFFSET($A$1, 564 - 1, 96 - 1) = "1", OFFSET($A$1, 564 - 1, 97 - 1) = "1" ), 1, IF( AND( OFFSET($A$1, 564 - 1, 96 - 1) = "1", OFFSET($A$1, 564 - 1, 97 - 1) = "0" ), 2, IF( AND( OFFSET($A$1, 564 - 1, 96 - 1) = "0", OFFSET($A$1, 564 - 1, 97 - 1) = "1" ), 3, 4 ) ) )</f>
        <v>1</v>
      </c>
    </row>
    <row r="565" spans="95:98" ht="13.8" x14ac:dyDescent="0.3">
      <c r="CQ565" s="24">
        <v>0.11433330975735551</v>
      </c>
      <c r="CR565" s="24" t="str">
        <f>"0"</f>
        <v>0</v>
      </c>
      <c r="CS565" t="str">
        <f ca="1">IF((OFFSET($A$1, 565 - 1, 95 - 1)) &gt;= (OFFSET($A$1, 54 - 1, 7 - 1)), "1","0")</f>
        <v>0</v>
      </c>
      <c r="CT565">
        <f ca="1" xml:space="preserve"> IF( AND( OFFSET($A$1, 565 - 1, 96 - 1) = "1", OFFSET($A$1, 565 - 1, 97 - 1) = "1" ), 1, IF( AND( OFFSET($A$1, 565 - 1, 96 - 1) = "1", OFFSET($A$1, 565 - 1, 97 - 1) = "0" ), 2, IF( AND( OFFSET($A$1, 565 - 1, 96 - 1) = "0", OFFSET($A$1, 565 - 1, 97 - 1) = "1" ), 3, 4 ) ) )</f>
        <v>4</v>
      </c>
    </row>
    <row r="566" spans="95:98" ht="13.8" x14ac:dyDescent="0.3">
      <c r="CQ566" s="24">
        <v>0.99951683350844123</v>
      </c>
      <c r="CR566" s="24" t="str">
        <f>"1"</f>
        <v>1</v>
      </c>
      <c r="CS566" t="str">
        <f ca="1">IF((OFFSET($A$1, 566 - 1, 95 - 1)) &gt;= (OFFSET($A$1, 54 - 1, 7 - 1)), "1","0")</f>
        <v>1</v>
      </c>
      <c r="CT566">
        <f ca="1" xml:space="preserve"> IF( AND( OFFSET($A$1, 566 - 1, 96 - 1) = "1", OFFSET($A$1, 566 - 1, 97 - 1) = "1" ), 1, IF( AND( OFFSET($A$1, 566 - 1, 96 - 1) = "1", OFFSET($A$1, 566 - 1, 97 - 1) = "0" ), 2, IF( AND( OFFSET($A$1, 566 - 1, 96 - 1) = "0", OFFSET($A$1, 566 - 1, 97 - 1) = "1" ), 3, 4 ) ) )</f>
        <v>1</v>
      </c>
    </row>
    <row r="567" spans="95:98" ht="13.8" x14ac:dyDescent="0.3">
      <c r="CQ567" s="24">
        <v>0.89808221475594785</v>
      </c>
      <c r="CR567" s="24" t="str">
        <f>"1"</f>
        <v>1</v>
      </c>
      <c r="CS567" t="str">
        <f ca="1">IF((OFFSET($A$1, 567 - 1, 95 - 1)) &gt;= (OFFSET($A$1, 54 - 1, 7 - 1)), "1","0")</f>
        <v>1</v>
      </c>
      <c r="CT567">
        <f ca="1" xml:space="preserve"> IF( AND( OFFSET($A$1, 567 - 1, 96 - 1) = "1", OFFSET($A$1, 567 - 1, 97 - 1) = "1" ), 1, IF( AND( OFFSET($A$1, 567 - 1, 96 - 1) = "1", OFFSET($A$1, 567 - 1, 97 - 1) = "0" ), 2, IF( AND( OFFSET($A$1, 567 - 1, 96 - 1) = "0", OFFSET($A$1, 567 - 1, 97 - 1) = "1" ), 3, 4 ) ) )</f>
        <v>1</v>
      </c>
    </row>
    <row r="568" spans="95:98" ht="13.8" x14ac:dyDescent="0.3">
      <c r="CQ568" s="24">
        <v>6.316119027572463E-2</v>
      </c>
      <c r="CR568" s="24" t="str">
        <f>"0"</f>
        <v>0</v>
      </c>
      <c r="CS568" t="str">
        <f ca="1">IF((OFFSET($A$1, 568 - 1, 95 - 1)) &gt;= (OFFSET($A$1, 54 - 1, 7 - 1)), "1","0")</f>
        <v>0</v>
      </c>
      <c r="CT568">
        <f ca="1" xml:space="preserve"> IF( AND( OFFSET($A$1, 568 - 1, 96 - 1) = "1", OFFSET($A$1, 568 - 1, 97 - 1) = "1" ), 1, IF( AND( OFFSET($A$1, 568 - 1, 96 - 1) = "1", OFFSET($A$1, 568 - 1, 97 - 1) = "0" ), 2, IF( AND( OFFSET($A$1, 568 - 1, 96 - 1) = "0", OFFSET($A$1, 568 - 1, 97 - 1) = "1" ), 3, 4 ) ) )</f>
        <v>4</v>
      </c>
    </row>
    <row r="569" spans="95:98" ht="13.8" x14ac:dyDescent="0.3">
      <c r="CQ569" s="24">
        <v>0.99964924592187931</v>
      </c>
      <c r="CR569" s="24" t="str">
        <f>"1"</f>
        <v>1</v>
      </c>
      <c r="CS569" t="str">
        <f ca="1">IF((OFFSET($A$1, 569 - 1, 95 - 1)) &gt;= (OFFSET($A$1, 54 - 1, 7 - 1)), "1","0")</f>
        <v>1</v>
      </c>
      <c r="CT569">
        <f ca="1" xml:space="preserve"> IF( AND( OFFSET($A$1, 569 - 1, 96 - 1) = "1", OFFSET($A$1, 569 - 1, 97 - 1) = "1" ), 1, IF( AND( OFFSET($A$1, 569 - 1, 96 - 1) = "1", OFFSET($A$1, 569 - 1, 97 - 1) = "0" ), 2, IF( AND( OFFSET($A$1, 569 - 1, 96 - 1) = "0", OFFSET($A$1, 569 - 1, 97 - 1) = "1" ), 3, 4 ) ) )</f>
        <v>1</v>
      </c>
    </row>
    <row r="570" spans="95:98" ht="13.8" x14ac:dyDescent="0.3">
      <c r="CQ570" s="24">
        <v>0.99630772597215422</v>
      </c>
      <c r="CR570" s="24" t="str">
        <f>"1"</f>
        <v>1</v>
      </c>
      <c r="CS570" t="str">
        <f ca="1">IF((OFFSET($A$1, 570 - 1, 95 - 1)) &gt;= (OFFSET($A$1, 54 - 1, 7 - 1)), "1","0")</f>
        <v>1</v>
      </c>
      <c r="CT570">
        <f ca="1" xml:space="preserve"> IF( AND( OFFSET($A$1, 570 - 1, 96 - 1) = "1", OFFSET($A$1, 570 - 1, 97 - 1) = "1" ), 1, IF( AND( OFFSET($A$1, 570 - 1, 96 - 1) = "1", OFFSET($A$1, 570 - 1, 97 - 1) = "0" ), 2, IF( AND( OFFSET($A$1, 570 - 1, 96 - 1) = "0", OFFSET($A$1, 570 - 1, 97 - 1) = "1" ), 3, 4 ) ) )</f>
        <v>1</v>
      </c>
    </row>
    <row r="571" spans="95:98" ht="13.8" x14ac:dyDescent="0.3">
      <c r="CQ571" s="24">
        <v>2.1593263108610995E-3</v>
      </c>
      <c r="CR571" s="24" t="str">
        <f>"0"</f>
        <v>0</v>
      </c>
      <c r="CS571" t="str">
        <f ca="1">IF((OFFSET($A$1, 571 - 1, 95 - 1)) &gt;= (OFFSET($A$1, 54 - 1, 7 - 1)), "1","0")</f>
        <v>0</v>
      </c>
      <c r="CT571">
        <f ca="1" xml:space="preserve"> IF( AND( OFFSET($A$1, 571 - 1, 96 - 1) = "1", OFFSET($A$1, 571 - 1, 97 - 1) = "1" ), 1, IF( AND( OFFSET($A$1, 571 - 1, 96 - 1) = "1", OFFSET($A$1, 571 - 1, 97 - 1) = "0" ), 2, IF( AND( OFFSET($A$1, 571 - 1, 96 - 1) = "0", OFFSET($A$1, 571 - 1, 97 - 1) = "1" ), 3, 4 ) ) )</f>
        <v>4</v>
      </c>
    </row>
    <row r="572" spans="95:98" ht="13.8" x14ac:dyDescent="0.3">
      <c r="CQ572" s="24">
        <v>0.93226754962446523</v>
      </c>
      <c r="CR572" s="24" t="str">
        <f>"1"</f>
        <v>1</v>
      </c>
      <c r="CS572" t="str">
        <f ca="1">IF((OFFSET($A$1, 572 - 1, 95 - 1)) &gt;= (OFFSET($A$1, 54 - 1, 7 - 1)), "1","0")</f>
        <v>1</v>
      </c>
      <c r="CT572">
        <f ca="1" xml:space="preserve"> IF( AND( OFFSET($A$1, 572 - 1, 96 - 1) = "1", OFFSET($A$1, 572 - 1, 97 - 1) = "1" ), 1, IF( AND( OFFSET($A$1, 572 - 1, 96 - 1) = "1", OFFSET($A$1, 572 - 1, 97 - 1) = "0" ), 2, IF( AND( OFFSET($A$1, 572 - 1, 96 - 1) = "0", OFFSET($A$1, 572 - 1, 97 - 1) = "1" ), 3, 4 ) ) )</f>
        <v>1</v>
      </c>
    </row>
    <row r="573" spans="95:98" ht="13.8" x14ac:dyDescent="0.3">
      <c r="CQ573" s="24">
        <v>8.9685599005721692E-2</v>
      </c>
      <c r="CR573" s="24" t="str">
        <f>"0"</f>
        <v>0</v>
      </c>
      <c r="CS573" t="str">
        <f ca="1">IF((OFFSET($A$1, 573 - 1, 95 - 1)) &gt;= (OFFSET($A$1, 54 - 1, 7 - 1)), "1","0")</f>
        <v>0</v>
      </c>
      <c r="CT573">
        <f ca="1" xml:space="preserve"> IF( AND( OFFSET($A$1, 573 - 1, 96 - 1) = "1", OFFSET($A$1, 573 - 1, 97 - 1) = "1" ), 1, IF( AND( OFFSET($A$1, 573 - 1, 96 - 1) = "1", OFFSET($A$1, 573 - 1, 97 - 1) = "0" ), 2, IF( AND( OFFSET($A$1, 573 - 1, 96 - 1) = "0", OFFSET($A$1, 573 - 1, 97 - 1) = "1" ), 3, 4 ) ) )</f>
        <v>4</v>
      </c>
    </row>
    <row r="574" spans="95:98" ht="13.8" x14ac:dyDescent="0.3">
      <c r="CQ574" s="24">
        <v>0.88273051655609946</v>
      </c>
      <c r="CR574" s="24" t="str">
        <f>"1"</f>
        <v>1</v>
      </c>
      <c r="CS574" t="str">
        <f ca="1">IF((OFFSET($A$1, 574 - 1, 95 - 1)) &gt;= (OFFSET($A$1, 54 - 1, 7 - 1)), "1","0")</f>
        <v>1</v>
      </c>
      <c r="CT574">
        <f ca="1" xml:space="preserve"> IF( AND( OFFSET($A$1, 574 - 1, 96 - 1) = "1", OFFSET($A$1, 574 - 1, 97 - 1) = "1" ), 1, IF( AND( OFFSET($A$1, 574 - 1, 96 - 1) = "1", OFFSET($A$1, 574 - 1, 97 - 1) = "0" ), 2, IF( AND( OFFSET($A$1, 574 - 1, 96 - 1) = "0", OFFSET($A$1, 574 - 1, 97 - 1) = "1" ), 3, 4 ) ) )</f>
        <v>1</v>
      </c>
    </row>
    <row r="575" spans="95:98" ht="13.8" x14ac:dyDescent="0.3">
      <c r="CQ575" s="24">
        <v>0.99950494034456727</v>
      </c>
      <c r="CR575" s="24" t="str">
        <f>"1"</f>
        <v>1</v>
      </c>
      <c r="CS575" t="str">
        <f ca="1">IF((OFFSET($A$1, 575 - 1, 95 - 1)) &gt;= (OFFSET($A$1, 54 - 1, 7 - 1)), "1","0")</f>
        <v>1</v>
      </c>
      <c r="CT575">
        <f ca="1" xml:space="preserve"> IF( AND( OFFSET($A$1, 575 - 1, 96 - 1) = "1", OFFSET($A$1, 575 - 1, 97 - 1) = "1" ), 1, IF( AND( OFFSET($A$1, 575 - 1, 96 - 1) = "1", OFFSET($A$1, 575 - 1, 97 - 1) = "0" ), 2, IF( AND( OFFSET($A$1, 575 - 1, 96 - 1) = "0", OFFSET($A$1, 575 - 1, 97 - 1) = "1" ), 3, 4 ) ) )</f>
        <v>1</v>
      </c>
    </row>
    <row r="576" spans="95:98" ht="13.8" x14ac:dyDescent="0.3">
      <c r="CQ576" s="24">
        <v>0.99915580257903536</v>
      </c>
      <c r="CR576" s="24" t="str">
        <f>"1"</f>
        <v>1</v>
      </c>
      <c r="CS576" t="str">
        <f ca="1">IF((OFFSET($A$1, 576 - 1, 95 - 1)) &gt;= (OFFSET($A$1, 54 - 1, 7 - 1)), "1","0")</f>
        <v>1</v>
      </c>
      <c r="CT576">
        <f ca="1" xml:space="preserve"> IF( AND( OFFSET($A$1, 576 - 1, 96 - 1) = "1", OFFSET($A$1, 576 - 1, 97 - 1) = "1" ), 1, IF( AND( OFFSET($A$1, 576 - 1, 96 - 1) = "1", OFFSET($A$1, 576 - 1, 97 - 1) = "0" ), 2, IF( AND( OFFSET($A$1, 576 - 1, 96 - 1) = "0", OFFSET($A$1, 576 - 1, 97 - 1) = "1" ), 3, 4 ) ) )</f>
        <v>1</v>
      </c>
    </row>
    <row r="577" spans="95:98" ht="13.8" x14ac:dyDescent="0.3">
      <c r="CQ577" s="24">
        <v>0.82843560160700302</v>
      </c>
      <c r="CR577" s="24" t="str">
        <f>"1"</f>
        <v>1</v>
      </c>
      <c r="CS577" t="str">
        <f ca="1">IF((OFFSET($A$1, 577 - 1, 95 - 1)) &gt;= (OFFSET($A$1, 54 - 1, 7 - 1)), "1","0")</f>
        <v>1</v>
      </c>
      <c r="CT577">
        <f ca="1" xml:space="preserve"> IF( AND( OFFSET($A$1, 577 - 1, 96 - 1) = "1", OFFSET($A$1, 577 - 1, 97 - 1) = "1" ), 1, IF( AND( OFFSET($A$1, 577 - 1, 96 - 1) = "1", OFFSET($A$1, 577 - 1, 97 - 1) = "0" ), 2, IF( AND( OFFSET($A$1, 577 - 1, 96 - 1) = "0", OFFSET($A$1, 577 - 1, 97 - 1) = "1" ), 3, 4 ) ) )</f>
        <v>1</v>
      </c>
    </row>
    <row r="578" spans="95:98" ht="13.8" x14ac:dyDescent="0.3">
      <c r="CQ578" s="24">
        <v>8.4131532106664325E-2</v>
      </c>
      <c r="CR578" s="24" t="str">
        <f>"0"</f>
        <v>0</v>
      </c>
      <c r="CS578" t="str">
        <f ca="1">IF((OFFSET($A$1, 578 - 1, 95 - 1)) &gt;= (OFFSET($A$1, 54 - 1, 7 - 1)), "1","0")</f>
        <v>0</v>
      </c>
      <c r="CT578">
        <f ca="1" xml:space="preserve"> IF( AND( OFFSET($A$1, 578 - 1, 96 - 1) = "1", OFFSET($A$1, 578 - 1, 97 - 1) = "1" ), 1, IF( AND( OFFSET($A$1, 578 - 1, 96 - 1) = "1", OFFSET($A$1, 578 - 1, 97 - 1) = "0" ), 2, IF( AND( OFFSET($A$1, 578 - 1, 96 - 1) = "0", OFFSET($A$1, 578 - 1, 97 - 1) = "1" ), 3, 4 ) ) )</f>
        <v>4</v>
      </c>
    </row>
    <row r="579" spans="95:98" ht="13.8" x14ac:dyDescent="0.3">
      <c r="CQ579" s="24">
        <v>6.3654149273550231E-2</v>
      </c>
      <c r="CR579" s="24" t="str">
        <f>"0"</f>
        <v>0</v>
      </c>
      <c r="CS579" t="str">
        <f ca="1">IF((OFFSET($A$1, 579 - 1, 95 - 1)) &gt;= (OFFSET($A$1, 54 - 1, 7 - 1)), "1","0")</f>
        <v>0</v>
      </c>
      <c r="CT579">
        <f ca="1" xml:space="preserve"> IF( AND( OFFSET($A$1, 579 - 1, 96 - 1) = "1", OFFSET($A$1, 579 - 1, 97 - 1) = "1" ), 1, IF( AND( OFFSET($A$1, 579 - 1, 96 - 1) = "1", OFFSET($A$1, 579 - 1, 97 - 1) = "0" ), 2, IF( AND( OFFSET($A$1, 579 - 1, 96 - 1) = "0", OFFSET($A$1, 579 - 1, 97 - 1) = "1" ), 3, 4 ) ) )</f>
        <v>4</v>
      </c>
    </row>
    <row r="580" spans="95:98" ht="13.8" x14ac:dyDescent="0.3">
      <c r="CQ580" s="24">
        <v>0.99767750615724649</v>
      </c>
      <c r="CR580" s="24" t="str">
        <f t="shared" ref="CR580:CR587" si="37">"1"</f>
        <v>1</v>
      </c>
      <c r="CS580" t="str">
        <f ca="1">IF((OFFSET($A$1, 580 - 1, 95 - 1)) &gt;= (OFFSET($A$1, 54 - 1, 7 - 1)), "1","0")</f>
        <v>1</v>
      </c>
      <c r="CT580">
        <f ca="1" xml:space="preserve"> IF( AND( OFFSET($A$1, 580 - 1, 96 - 1) = "1", OFFSET($A$1, 580 - 1, 97 - 1) = "1" ), 1, IF( AND( OFFSET($A$1, 580 - 1, 96 - 1) = "1", OFFSET($A$1, 580 - 1, 97 - 1) = "0" ), 2, IF( AND( OFFSET($A$1, 580 - 1, 96 - 1) = "0", OFFSET($A$1, 580 - 1, 97 - 1) = "1" ), 3, 4 ) ) )</f>
        <v>1</v>
      </c>
    </row>
    <row r="581" spans="95:98" ht="13.8" x14ac:dyDescent="0.3">
      <c r="CQ581" s="24">
        <v>0.88737233619797995</v>
      </c>
      <c r="CR581" s="24" t="str">
        <f t="shared" si="37"/>
        <v>1</v>
      </c>
      <c r="CS581" t="str">
        <f ca="1">IF((OFFSET($A$1, 581 - 1, 95 - 1)) &gt;= (OFFSET($A$1, 54 - 1, 7 - 1)), "1","0")</f>
        <v>1</v>
      </c>
      <c r="CT581">
        <f ca="1" xml:space="preserve"> IF( AND( OFFSET($A$1, 581 - 1, 96 - 1) = "1", OFFSET($A$1, 581 - 1, 97 - 1) = "1" ), 1, IF( AND( OFFSET($A$1, 581 - 1, 96 - 1) = "1", OFFSET($A$1, 581 - 1, 97 - 1) = "0" ), 2, IF( AND( OFFSET($A$1, 581 - 1, 96 - 1) = "0", OFFSET($A$1, 581 - 1, 97 - 1) = "1" ), 3, 4 ) ) )</f>
        <v>1</v>
      </c>
    </row>
    <row r="582" spans="95:98" ht="13.8" x14ac:dyDescent="0.3">
      <c r="CQ582" s="24">
        <v>0.99868455170070614</v>
      </c>
      <c r="CR582" s="24" t="str">
        <f t="shared" si="37"/>
        <v>1</v>
      </c>
      <c r="CS582" t="str">
        <f ca="1">IF((OFFSET($A$1, 582 - 1, 95 - 1)) &gt;= (OFFSET($A$1, 54 - 1, 7 - 1)), "1","0")</f>
        <v>1</v>
      </c>
      <c r="CT582">
        <f ca="1" xml:space="preserve"> IF( AND( OFFSET($A$1, 582 - 1, 96 - 1) = "1", OFFSET($A$1, 582 - 1, 97 - 1) = "1" ), 1, IF( AND( OFFSET($A$1, 582 - 1, 96 - 1) = "1", OFFSET($A$1, 582 - 1, 97 - 1) = "0" ), 2, IF( AND( OFFSET($A$1, 582 - 1, 96 - 1) = "0", OFFSET($A$1, 582 - 1, 97 - 1) = "1" ), 3, 4 ) ) )</f>
        <v>1</v>
      </c>
    </row>
    <row r="583" spans="95:98" ht="13.8" x14ac:dyDescent="0.3">
      <c r="CQ583" s="24">
        <v>0.84569612685888051</v>
      </c>
      <c r="CR583" s="24" t="str">
        <f t="shared" si="37"/>
        <v>1</v>
      </c>
      <c r="CS583" t="str">
        <f ca="1">IF((OFFSET($A$1, 583 - 1, 95 - 1)) &gt;= (OFFSET($A$1, 54 - 1, 7 - 1)), "1","0")</f>
        <v>1</v>
      </c>
      <c r="CT583">
        <f ca="1" xml:space="preserve"> IF( AND( OFFSET($A$1, 583 - 1, 96 - 1) = "1", OFFSET($A$1, 583 - 1, 97 - 1) = "1" ), 1, IF( AND( OFFSET($A$1, 583 - 1, 96 - 1) = "1", OFFSET($A$1, 583 - 1, 97 - 1) = "0" ), 2, IF( AND( OFFSET($A$1, 583 - 1, 96 - 1) = "0", OFFSET($A$1, 583 - 1, 97 - 1) = "1" ), 3, 4 ) ) )</f>
        <v>1</v>
      </c>
    </row>
    <row r="584" spans="95:98" ht="13.8" x14ac:dyDescent="0.3">
      <c r="CQ584" s="24">
        <v>0.96550356260841652</v>
      </c>
      <c r="CR584" s="24" t="str">
        <f t="shared" si="37"/>
        <v>1</v>
      </c>
      <c r="CS584" t="str">
        <f ca="1">IF((OFFSET($A$1, 584 - 1, 95 - 1)) &gt;= (OFFSET($A$1, 54 - 1, 7 - 1)), "1","0")</f>
        <v>1</v>
      </c>
      <c r="CT584">
        <f ca="1" xml:space="preserve"> IF( AND( OFFSET($A$1, 584 - 1, 96 - 1) = "1", OFFSET($A$1, 584 - 1, 97 - 1) = "1" ), 1, IF( AND( OFFSET($A$1, 584 - 1, 96 - 1) = "1", OFFSET($A$1, 584 - 1, 97 - 1) = "0" ), 2, IF( AND( OFFSET($A$1, 584 - 1, 96 - 1) = "0", OFFSET($A$1, 584 - 1, 97 - 1) = "1" ), 3, 4 ) ) )</f>
        <v>1</v>
      </c>
    </row>
    <row r="585" spans="95:98" ht="13.8" x14ac:dyDescent="0.3">
      <c r="CQ585" s="24">
        <v>0.99998612340615978</v>
      </c>
      <c r="CR585" s="24" t="str">
        <f t="shared" si="37"/>
        <v>1</v>
      </c>
      <c r="CS585" t="str">
        <f ca="1">IF((OFFSET($A$1, 585 - 1, 95 - 1)) &gt;= (OFFSET($A$1, 54 - 1, 7 - 1)), "1","0")</f>
        <v>1</v>
      </c>
      <c r="CT585">
        <f ca="1" xml:space="preserve"> IF( AND( OFFSET($A$1, 585 - 1, 96 - 1) = "1", OFFSET($A$1, 585 - 1, 97 - 1) = "1" ), 1, IF( AND( OFFSET($A$1, 585 - 1, 96 - 1) = "1", OFFSET($A$1, 585 - 1, 97 - 1) = "0" ), 2, IF( AND( OFFSET($A$1, 585 - 1, 96 - 1) = "0", OFFSET($A$1, 585 - 1, 97 - 1) = "1" ), 3, 4 ) ) )</f>
        <v>1</v>
      </c>
    </row>
    <row r="586" spans="95:98" ht="13.8" x14ac:dyDescent="0.3">
      <c r="CQ586" s="24">
        <v>0.98164249474613552</v>
      </c>
      <c r="CR586" s="24" t="str">
        <f t="shared" si="37"/>
        <v>1</v>
      </c>
      <c r="CS586" t="str">
        <f ca="1">IF((OFFSET($A$1, 586 - 1, 95 - 1)) &gt;= (OFFSET($A$1, 54 - 1, 7 - 1)), "1","0")</f>
        <v>1</v>
      </c>
      <c r="CT586">
        <f ca="1" xml:space="preserve"> IF( AND( OFFSET($A$1, 586 - 1, 96 - 1) = "1", OFFSET($A$1, 586 - 1, 97 - 1) = "1" ), 1, IF( AND( OFFSET($A$1, 586 - 1, 96 - 1) = "1", OFFSET($A$1, 586 - 1, 97 - 1) = "0" ), 2, IF( AND( OFFSET($A$1, 586 - 1, 96 - 1) = "0", OFFSET($A$1, 586 - 1, 97 - 1) = "1" ), 3, 4 ) ) )</f>
        <v>1</v>
      </c>
    </row>
    <row r="587" spans="95:98" ht="13.8" x14ac:dyDescent="0.3">
      <c r="CQ587" s="24">
        <v>0.99988164007477176</v>
      </c>
      <c r="CR587" s="24" t="str">
        <f t="shared" si="37"/>
        <v>1</v>
      </c>
      <c r="CS587" t="str">
        <f ca="1">IF((OFFSET($A$1, 587 - 1, 95 - 1)) &gt;= (OFFSET($A$1, 54 - 1, 7 - 1)), "1","0")</f>
        <v>1</v>
      </c>
      <c r="CT587">
        <f ca="1" xml:space="preserve"> IF( AND( OFFSET($A$1, 587 - 1, 96 - 1) = "1", OFFSET($A$1, 587 - 1, 97 - 1) = "1" ), 1, IF( AND( OFFSET($A$1, 587 - 1, 96 - 1) = "1", OFFSET($A$1, 587 - 1, 97 - 1) = "0" ), 2, IF( AND( OFFSET($A$1, 587 - 1, 96 - 1) = "0", OFFSET($A$1, 587 - 1, 97 - 1) = "1" ), 3, 4 ) ) )</f>
        <v>1</v>
      </c>
    </row>
    <row r="588" spans="95:98" ht="13.8" x14ac:dyDescent="0.3">
      <c r="CQ588" s="24">
        <v>4.8246337576860816E-2</v>
      </c>
      <c r="CR588" s="24" t="str">
        <f>"0"</f>
        <v>0</v>
      </c>
      <c r="CS588" t="str">
        <f ca="1">IF((OFFSET($A$1, 588 - 1, 95 - 1)) &gt;= (OFFSET($A$1, 54 - 1, 7 - 1)), "1","0")</f>
        <v>0</v>
      </c>
      <c r="CT588">
        <f ca="1" xml:space="preserve"> IF( AND( OFFSET($A$1, 588 - 1, 96 - 1) = "1", OFFSET($A$1, 588 - 1, 97 - 1) = "1" ), 1, IF( AND( OFFSET($A$1, 588 - 1, 96 - 1) = "1", OFFSET($A$1, 588 - 1, 97 - 1) = "0" ), 2, IF( AND( OFFSET($A$1, 588 - 1, 96 - 1) = "0", OFFSET($A$1, 588 - 1, 97 - 1) = "1" ), 3, 4 ) ) )</f>
        <v>4</v>
      </c>
    </row>
    <row r="589" spans="95:98" ht="13.8" x14ac:dyDescent="0.3">
      <c r="CQ589" s="24">
        <v>1.8588353579194222E-4</v>
      </c>
      <c r="CR589" s="24" t="str">
        <f>"0"</f>
        <v>0</v>
      </c>
      <c r="CS589" t="str">
        <f ca="1">IF((OFFSET($A$1, 589 - 1, 95 - 1)) &gt;= (OFFSET($A$1, 54 - 1, 7 - 1)), "1","0")</f>
        <v>0</v>
      </c>
      <c r="CT589">
        <f ca="1" xml:space="preserve"> IF( AND( OFFSET($A$1, 589 - 1, 96 - 1) = "1", OFFSET($A$1, 589 - 1, 97 - 1) = "1" ), 1, IF( AND( OFFSET($A$1, 589 - 1, 96 - 1) = "1", OFFSET($A$1, 589 - 1, 97 - 1) = "0" ), 2, IF( AND( OFFSET($A$1, 589 - 1, 96 - 1) = "0", OFFSET($A$1, 589 - 1, 97 - 1) = "1" ), 3, 4 ) ) )</f>
        <v>4</v>
      </c>
    </row>
    <row r="590" spans="95:98" ht="13.8" x14ac:dyDescent="0.3">
      <c r="CQ590" s="24">
        <v>0.99897396887555856</v>
      </c>
      <c r="CR590" s="24" t="str">
        <f>"1"</f>
        <v>1</v>
      </c>
      <c r="CS590" t="str">
        <f ca="1">IF((OFFSET($A$1, 590 - 1, 95 - 1)) &gt;= (OFFSET($A$1, 54 - 1, 7 - 1)), "1","0")</f>
        <v>1</v>
      </c>
      <c r="CT590">
        <f ca="1" xml:space="preserve"> IF( AND( OFFSET($A$1, 590 - 1, 96 - 1) = "1", OFFSET($A$1, 590 - 1, 97 - 1) = "1" ), 1, IF( AND( OFFSET($A$1, 590 - 1, 96 - 1) = "1", OFFSET($A$1, 590 - 1, 97 - 1) = "0" ), 2, IF( AND( OFFSET($A$1, 590 - 1, 96 - 1) = "0", OFFSET($A$1, 590 - 1, 97 - 1) = "1" ), 3, 4 ) ) )</f>
        <v>1</v>
      </c>
    </row>
    <row r="591" spans="95:98" ht="13.8" x14ac:dyDescent="0.3">
      <c r="CQ591" s="24">
        <v>0.99999999704721376</v>
      </c>
      <c r="CR591" s="24" t="str">
        <f>"1"</f>
        <v>1</v>
      </c>
      <c r="CS591" t="str">
        <f ca="1">IF((OFFSET($A$1, 591 - 1, 95 - 1)) &gt;= (OFFSET($A$1, 54 - 1, 7 - 1)), "1","0")</f>
        <v>1</v>
      </c>
      <c r="CT591">
        <f ca="1" xml:space="preserve"> IF( AND( OFFSET($A$1, 591 - 1, 96 - 1) = "1", OFFSET($A$1, 591 - 1, 97 - 1) = "1" ), 1, IF( AND( OFFSET($A$1, 591 - 1, 96 - 1) = "1", OFFSET($A$1, 591 - 1, 97 - 1) = "0" ), 2, IF( AND( OFFSET($A$1, 591 - 1, 96 - 1) = "0", OFFSET($A$1, 591 - 1, 97 - 1) = "1" ), 3, 4 ) ) )</f>
        <v>1</v>
      </c>
    </row>
    <row r="592" spans="95:98" ht="13.8" x14ac:dyDescent="0.3">
      <c r="CQ592" s="24">
        <v>7.8849369512161066E-2</v>
      </c>
      <c r="CR592" s="24" t="str">
        <f>"0"</f>
        <v>0</v>
      </c>
      <c r="CS592" t="str">
        <f ca="1">IF((OFFSET($A$1, 592 - 1, 95 - 1)) &gt;= (OFFSET($A$1, 54 - 1, 7 - 1)), "1","0")</f>
        <v>0</v>
      </c>
      <c r="CT592">
        <f ca="1" xml:space="preserve"> IF( AND( OFFSET($A$1, 592 - 1, 96 - 1) = "1", OFFSET($A$1, 592 - 1, 97 - 1) = "1" ), 1, IF( AND( OFFSET($A$1, 592 - 1, 96 - 1) = "1", OFFSET($A$1, 592 - 1, 97 - 1) = "0" ), 2, IF( AND( OFFSET($A$1, 592 - 1, 96 - 1) = "0", OFFSET($A$1, 592 - 1, 97 - 1) = "1" ), 3, 4 ) ) )</f>
        <v>4</v>
      </c>
    </row>
    <row r="593" spans="95:98" ht="13.8" x14ac:dyDescent="0.3">
      <c r="CQ593" s="24">
        <v>0.16676433982649871</v>
      </c>
      <c r="CR593" s="24" t="str">
        <f>"0"</f>
        <v>0</v>
      </c>
      <c r="CS593" t="str">
        <f ca="1">IF((OFFSET($A$1, 593 - 1, 95 - 1)) &gt;= (OFFSET($A$1, 54 - 1, 7 - 1)), "1","0")</f>
        <v>0</v>
      </c>
      <c r="CT593">
        <f ca="1" xml:space="preserve"> IF( AND( OFFSET($A$1, 593 - 1, 96 - 1) = "1", OFFSET($A$1, 593 - 1, 97 - 1) = "1" ), 1, IF( AND( OFFSET($A$1, 593 - 1, 96 - 1) = "1", OFFSET($A$1, 593 - 1, 97 - 1) = "0" ), 2, IF( AND( OFFSET($A$1, 593 - 1, 96 - 1) = "0", OFFSET($A$1, 593 - 1, 97 - 1) = "1" ), 3, 4 ) ) )</f>
        <v>4</v>
      </c>
    </row>
    <row r="594" spans="95:98" ht="13.8" x14ac:dyDescent="0.3">
      <c r="CQ594" s="24">
        <v>0.96874243366972834</v>
      </c>
      <c r="CR594" s="24" t="str">
        <f>"1"</f>
        <v>1</v>
      </c>
      <c r="CS594" t="str">
        <f ca="1">IF((OFFSET($A$1, 594 - 1, 95 - 1)) &gt;= (OFFSET($A$1, 54 - 1, 7 - 1)), "1","0")</f>
        <v>1</v>
      </c>
      <c r="CT594">
        <f ca="1" xml:space="preserve"> IF( AND( OFFSET($A$1, 594 - 1, 96 - 1) = "1", OFFSET($A$1, 594 - 1, 97 - 1) = "1" ), 1, IF( AND( OFFSET($A$1, 594 - 1, 96 - 1) = "1", OFFSET($A$1, 594 - 1, 97 - 1) = "0" ), 2, IF( AND( OFFSET($A$1, 594 - 1, 96 - 1) = "0", OFFSET($A$1, 594 - 1, 97 - 1) = "1" ), 3, 4 ) ) )</f>
        <v>1</v>
      </c>
    </row>
    <row r="595" spans="95:98" ht="13.8" x14ac:dyDescent="0.3">
      <c r="CQ595" s="24">
        <v>1.8386378362857652E-2</v>
      </c>
      <c r="CR595" s="24" t="str">
        <f>"0"</f>
        <v>0</v>
      </c>
      <c r="CS595" t="str">
        <f ca="1">IF((OFFSET($A$1, 595 - 1, 95 - 1)) &gt;= (OFFSET($A$1, 54 - 1, 7 - 1)), "1","0")</f>
        <v>0</v>
      </c>
      <c r="CT595">
        <f ca="1" xml:space="preserve"> IF( AND( OFFSET($A$1, 595 - 1, 96 - 1) = "1", OFFSET($A$1, 595 - 1, 97 - 1) = "1" ), 1, IF( AND( OFFSET($A$1, 595 - 1, 96 - 1) = "1", OFFSET($A$1, 595 - 1, 97 - 1) = "0" ), 2, IF( AND( OFFSET($A$1, 595 - 1, 96 - 1) = "0", OFFSET($A$1, 595 - 1, 97 - 1) = "1" ), 3, 4 ) ) )</f>
        <v>4</v>
      </c>
    </row>
    <row r="596" spans="95:98" ht="13.8" x14ac:dyDescent="0.3">
      <c r="CQ596" s="24">
        <v>0.97841887551705031</v>
      </c>
      <c r="CR596" s="24" t="str">
        <f>"1"</f>
        <v>1</v>
      </c>
      <c r="CS596" t="str">
        <f ca="1">IF((OFFSET($A$1, 596 - 1, 95 - 1)) &gt;= (OFFSET($A$1, 54 - 1, 7 - 1)), "1","0")</f>
        <v>1</v>
      </c>
      <c r="CT596">
        <f ca="1" xml:space="preserve"> IF( AND( OFFSET($A$1, 596 - 1, 96 - 1) = "1", OFFSET($A$1, 596 - 1, 97 - 1) = "1" ), 1, IF( AND( OFFSET($A$1, 596 - 1, 96 - 1) = "1", OFFSET($A$1, 596 - 1, 97 - 1) = "0" ), 2, IF( AND( OFFSET($A$1, 596 - 1, 96 - 1) = "0", OFFSET($A$1, 596 - 1, 97 - 1) = "1" ), 3, 4 ) ) )</f>
        <v>1</v>
      </c>
    </row>
    <row r="597" spans="95:98" ht="13.8" x14ac:dyDescent="0.3">
      <c r="CQ597" s="24">
        <v>0.99944870779815698</v>
      </c>
      <c r="CR597" s="24" t="str">
        <f>"1"</f>
        <v>1</v>
      </c>
      <c r="CS597" t="str">
        <f ca="1">IF((OFFSET($A$1, 597 - 1, 95 - 1)) &gt;= (OFFSET($A$1, 54 - 1, 7 - 1)), "1","0")</f>
        <v>1</v>
      </c>
      <c r="CT597">
        <f ca="1" xml:space="preserve"> IF( AND( OFFSET($A$1, 597 - 1, 96 - 1) = "1", OFFSET($A$1, 597 - 1, 97 - 1) = "1" ), 1, IF( AND( OFFSET($A$1, 597 - 1, 96 - 1) = "1", OFFSET($A$1, 597 - 1, 97 - 1) = "0" ), 2, IF( AND( OFFSET($A$1, 597 - 1, 96 - 1) = "0", OFFSET($A$1, 597 - 1, 97 - 1) = "1" ), 3, 4 ) ) )</f>
        <v>1</v>
      </c>
    </row>
    <row r="598" spans="95:98" ht="13.8" x14ac:dyDescent="0.3">
      <c r="CQ598" s="24">
        <v>1.5851896284843153E-2</v>
      </c>
      <c r="CR598" s="24" t="str">
        <f>"0"</f>
        <v>0</v>
      </c>
      <c r="CS598" t="str">
        <f ca="1">IF((OFFSET($A$1, 598 - 1, 95 - 1)) &gt;= (OFFSET($A$1, 54 - 1, 7 - 1)), "1","0")</f>
        <v>0</v>
      </c>
      <c r="CT598">
        <f ca="1" xml:space="preserve"> IF( AND( OFFSET($A$1, 598 - 1, 96 - 1) = "1", OFFSET($A$1, 598 - 1, 97 - 1) = "1" ), 1, IF( AND( OFFSET($A$1, 598 - 1, 96 - 1) = "1", OFFSET($A$1, 598 - 1, 97 - 1) = "0" ), 2, IF( AND( OFFSET($A$1, 598 - 1, 96 - 1) = "0", OFFSET($A$1, 598 - 1, 97 - 1) = "1" ), 3, 4 ) ) )</f>
        <v>4</v>
      </c>
    </row>
    <row r="599" spans="95:98" ht="13.8" x14ac:dyDescent="0.3">
      <c r="CQ599" s="24">
        <v>0.99908243738727187</v>
      </c>
      <c r="CR599" s="24" t="str">
        <f>"1"</f>
        <v>1</v>
      </c>
      <c r="CS599" t="str">
        <f ca="1">IF((OFFSET($A$1, 599 - 1, 95 - 1)) &gt;= (OFFSET($A$1, 54 - 1, 7 - 1)), "1","0")</f>
        <v>1</v>
      </c>
      <c r="CT599">
        <f ca="1" xml:space="preserve"> IF( AND( OFFSET($A$1, 599 - 1, 96 - 1) = "1", OFFSET($A$1, 599 - 1, 97 - 1) = "1" ), 1, IF( AND( OFFSET($A$1, 599 - 1, 96 - 1) = "1", OFFSET($A$1, 599 - 1, 97 - 1) = "0" ), 2, IF( AND( OFFSET($A$1, 599 - 1, 96 - 1) = "0", OFFSET($A$1, 599 - 1, 97 - 1) = "1" ), 3, 4 ) ) )</f>
        <v>1</v>
      </c>
    </row>
    <row r="600" spans="95:98" ht="13.8" x14ac:dyDescent="0.3">
      <c r="CQ600" s="24">
        <v>9.2840013454936685E-2</v>
      </c>
      <c r="CR600" s="24" t="str">
        <f>"0"</f>
        <v>0</v>
      </c>
      <c r="CS600" t="str">
        <f ca="1">IF((OFFSET($A$1, 600 - 1, 95 - 1)) &gt;= (OFFSET($A$1, 54 - 1, 7 - 1)), "1","0")</f>
        <v>0</v>
      </c>
      <c r="CT600">
        <f ca="1" xml:space="preserve"> IF( AND( OFFSET($A$1, 600 - 1, 96 - 1) = "1", OFFSET($A$1, 600 - 1, 97 - 1) = "1" ), 1, IF( AND( OFFSET($A$1, 600 - 1, 96 - 1) = "1", OFFSET($A$1, 600 - 1, 97 - 1) = "0" ), 2, IF( AND( OFFSET($A$1, 600 - 1, 96 - 1) = "0", OFFSET($A$1, 600 - 1, 97 - 1) = "1" ), 3, 4 ) ) )</f>
        <v>4</v>
      </c>
    </row>
  </sheetData>
  <mergeCells count="78">
    <mergeCell ref="B3:M3"/>
    <mergeCell ref="P3:S3"/>
    <mergeCell ref="C97:D97"/>
    <mergeCell ref="D102:AW102"/>
    <mergeCell ref="D119:Q119"/>
    <mergeCell ref="B4:C4"/>
    <mergeCell ref="D4:E4"/>
    <mergeCell ref="F4:G4"/>
    <mergeCell ref="H4:I4"/>
    <mergeCell ref="J4:K4"/>
    <mergeCell ref="L4:M4"/>
    <mergeCell ref="C86:F86"/>
    <mergeCell ref="C92:E92"/>
    <mergeCell ref="C93:D93"/>
    <mergeCell ref="C94:D94"/>
    <mergeCell ref="D57:E57"/>
    <mergeCell ref="C62:F62"/>
    <mergeCell ref="C68:E68"/>
    <mergeCell ref="C69:D69"/>
    <mergeCell ref="C96:D96"/>
    <mergeCell ref="C72:D72"/>
    <mergeCell ref="C73:D73"/>
    <mergeCell ref="C78:F78"/>
    <mergeCell ref="H78:M78"/>
    <mergeCell ref="C80:E80"/>
    <mergeCell ref="D81:E81"/>
    <mergeCell ref="C95:D95"/>
    <mergeCell ref="C70:D70"/>
    <mergeCell ref="C71:D71"/>
    <mergeCell ref="C39:G39"/>
    <mergeCell ref="C40:G40"/>
    <mergeCell ref="C45:G45"/>
    <mergeCell ref="C54:F54"/>
    <mergeCell ref="C56:E56"/>
    <mergeCell ref="G32:J32"/>
    <mergeCell ref="G33:J33"/>
    <mergeCell ref="G34:J34"/>
    <mergeCell ref="G35:J35"/>
    <mergeCell ref="G36:J36"/>
    <mergeCell ref="C38:G38"/>
    <mergeCell ref="C35:F35"/>
    <mergeCell ref="C36:F36"/>
    <mergeCell ref="G26:J26"/>
    <mergeCell ref="G27:J27"/>
    <mergeCell ref="G28:J28"/>
    <mergeCell ref="G29:J29"/>
    <mergeCell ref="H54:M54"/>
    <mergeCell ref="C33:F33"/>
    <mergeCell ref="C34:F34"/>
    <mergeCell ref="C23:J23"/>
    <mergeCell ref="C24:F24"/>
    <mergeCell ref="C25:F25"/>
    <mergeCell ref="C26:F26"/>
    <mergeCell ref="C27:F27"/>
    <mergeCell ref="C28:F28"/>
    <mergeCell ref="G30:J30"/>
    <mergeCell ref="G31:J31"/>
    <mergeCell ref="C29:F29"/>
    <mergeCell ref="C30:F30"/>
    <mergeCell ref="C31:F31"/>
    <mergeCell ref="C32:F32"/>
    <mergeCell ref="G24:J24"/>
    <mergeCell ref="G25:J25"/>
    <mergeCell ref="C18:AW18"/>
    <mergeCell ref="C19:D19"/>
    <mergeCell ref="C20:D20"/>
    <mergeCell ref="C21:D21"/>
    <mergeCell ref="E19:AW19"/>
    <mergeCell ref="E21:AW21"/>
    <mergeCell ref="C12:K12"/>
    <mergeCell ref="C13:F13"/>
    <mergeCell ref="C14:F14"/>
    <mergeCell ref="C15:F15"/>
    <mergeCell ref="C16:F16"/>
    <mergeCell ref="G13:K13"/>
    <mergeCell ref="G14:K14"/>
    <mergeCell ref="G15:K15"/>
    <mergeCell ref="G16:K16"/>
  </mergeCells>
  <hyperlinks>
    <hyperlink ref="B4" location="'NNC_Output4'!$B$10:$B$10" display="Inputs"/>
    <hyperlink ref="D4" location="'NNC_Output4'!$B$43:$B$43" display="Prior Class Prob."/>
    <hyperlink ref="F4" location="'NNC_Output4'!$B$52:$B$52" display="Train. Score - Summary"/>
    <hyperlink ref="H4" location="'NNC_Output4'!$B$76:$B$76" display="Valid. Score - Summary"/>
    <hyperlink ref="J4" location="'NNC_Output4'!$B$100:$B$100" display="Weights"/>
    <hyperlink ref="L4" location="'NNC_TrainLog4'!$B$10:$B$10" display="Training Log"/>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52"/>
  <sheetViews>
    <sheetView showGridLines="0" workbookViewId="0"/>
  </sheetViews>
  <sheetFormatPr defaultRowHeight="13.2" x14ac:dyDescent="0.25"/>
  <cols>
    <col min="16" max="16" width="13.5546875" bestFit="1" customWidth="1"/>
  </cols>
  <sheetData>
    <row r="1" spans="2:19" ht="18" x14ac:dyDescent="0.35">
      <c r="B1" s="23" t="s">
        <v>691</v>
      </c>
      <c r="N1" t="s">
        <v>758</v>
      </c>
    </row>
    <row r="3" spans="2:19" ht="15.6" x14ac:dyDescent="0.3">
      <c r="B3" s="59" t="s">
        <v>136</v>
      </c>
      <c r="C3" s="60"/>
      <c r="D3" s="60"/>
      <c r="E3" s="60"/>
      <c r="F3" s="60"/>
      <c r="G3" s="60"/>
      <c r="H3" s="60"/>
      <c r="I3" s="60"/>
      <c r="J3" s="60"/>
      <c r="K3" s="60"/>
      <c r="L3" s="60"/>
      <c r="M3" s="61"/>
      <c r="P3" s="59" t="s">
        <v>137</v>
      </c>
      <c r="Q3" s="60"/>
      <c r="R3" s="60"/>
      <c r="S3" s="61"/>
    </row>
    <row r="4" spans="2:19" ht="13.8" x14ac:dyDescent="0.3">
      <c r="B4" s="65" t="s">
        <v>141</v>
      </c>
      <c r="C4" s="66"/>
      <c r="D4" s="65" t="s">
        <v>683</v>
      </c>
      <c r="E4" s="66"/>
      <c r="F4" s="65" t="s">
        <v>684</v>
      </c>
      <c r="G4" s="66"/>
      <c r="H4" s="65" t="s">
        <v>685</v>
      </c>
      <c r="I4" s="66"/>
      <c r="J4" s="65" t="s">
        <v>686</v>
      </c>
      <c r="K4" s="66"/>
      <c r="L4" s="65" t="s">
        <v>687</v>
      </c>
      <c r="M4" s="66"/>
      <c r="P4" s="26" t="s">
        <v>182</v>
      </c>
      <c r="Q4" s="26" t="s">
        <v>183</v>
      </c>
      <c r="R4" s="26" t="s">
        <v>139</v>
      </c>
      <c r="S4" s="26" t="s">
        <v>140</v>
      </c>
    </row>
    <row r="5" spans="2:19" ht="13.8" x14ac:dyDescent="0.3">
      <c r="P5" s="24">
        <v>47</v>
      </c>
      <c r="Q5" s="24">
        <v>218</v>
      </c>
      <c r="R5" s="24">
        <v>109</v>
      </c>
      <c r="S5" s="24">
        <v>374</v>
      </c>
    </row>
    <row r="10" spans="2:19" ht="13.8" x14ac:dyDescent="0.3">
      <c r="B10" s="21" t="s">
        <v>687</v>
      </c>
    </row>
    <row r="12" spans="2:19" ht="13.8" x14ac:dyDescent="0.3">
      <c r="C12" s="26" t="s">
        <v>692</v>
      </c>
      <c r="D12" s="26" t="s">
        <v>693</v>
      </c>
      <c r="E12" s="26" t="s">
        <v>694</v>
      </c>
    </row>
    <row r="13" spans="2:19" ht="13.8" x14ac:dyDescent="0.3">
      <c r="C13" s="24">
        <v>1</v>
      </c>
      <c r="D13" s="24">
        <v>110.98808851446917</v>
      </c>
      <c r="E13" s="24">
        <v>28.666666666666668</v>
      </c>
    </row>
    <row r="14" spans="2:19" ht="13.8" x14ac:dyDescent="0.3">
      <c r="C14" s="24">
        <v>2</v>
      </c>
      <c r="D14" s="24">
        <v>95.985690034158623</v>
      </c>
      <c r="E14" s="24">
        <v>26.166666666666668</v>
      </c>
    </row>
    <row r="15" spans="2:19" ht="13.8" x14ac:dyDescent="0.3">
      <c r="C15" s="24">
        <v>3</v>
      </c>
      <c r="D15" s="24">
        <v>89.734423915475517</v>
      </c>
      <c r="E15" s="24">
        <v>22.833333333333332</v>
      </c>
    </row>
    <row r="16" spans="2:19" ht="13.8" x14ac:dyDescent="0.3">
      <c r="C16" s="24">
        <v>4</v>
      </c>
      <c r="D16" s="24">
        <v>85.140293307839215</v>
      </c>
      <c r="E16" s="24">
        <v>21.166666666666668</v>
      </c>
    </row>
    <row r="17" spans="3:5" ht="13.8" x14ac:dyDescent="0.3">
      <c r="C17" s="24">
        <v>5</v>
      </c>
      <c r="D17" s="24">
        <v>78.491687535469509</v>
      </c>
      <c r="E17" s="24">
        <v>19.333333333333332</v>
      </c>
    </row>
    <row r="18" spans="3:5" ht="13.8" x14ac:dyDescent="0.3">
      <c r="C18" s="24">
        <v>6</v>
      </c>
      <c r="D18" s="24">
        <v>71.870729335344691</v>
      </c>
      <c r="E18" s="24">
        <v>16.833333333333332</v>
      </c>
    </row>
    <row r="19" spans="3:5" ht="13.8" x14ac:dyDescent="0.3">
      <c r="C19" s="24">
        <v>7</v>
      </c>
      <c r="D19" s="24">
        <v>68.182757497582486</v>
      </c>
      <c r="E19" s="24">
        <v>16</v>
      </c>
    </row>
    <row r="20" spans="3:5" ht="13.8" x14ac:dyDescent="0.3">
      <c r="C20" s="24">
        <v>8</v>
      </c>
      <c r="D20" s="24">
        <v>64.589516472927627</v>
      </c>
      <c r="E20" s="24">
        <v>15</v>
      </c>
    </row>
    <row r="21" spans="3:5" ht="13.8" x14ac:dyDescent="0.3">
      <c r="C21" s="24">
        <v>9</v>
      </c>
      <c r="D21" s="24">
        <v>58.839418344523949</v>
      </c>
      <c r="E21" s="24">
        <v>13.166666666666666</v>
      </c>
    </row>
    <row r="22" spans="3:5" ht="13.8" x14ac:dyDescent="0.3">
      <c r="C22" s="24">
        <v>10</v>
      </c>
      <c r="D22" s="24">
        <v>54.577480050170081</v>
      </c>
      <c r="E22" s="24">
        <v>12</v>
      </c>
    </row>
    <row r="23" spans="3:5" ht="13.8" x14ac:dyDescent="0.3">
      <c r="C23" s="24">
        <v>11</v>
      </c>
      <c r="D23" s="24">
        <v>50.667599233118693</v>
      </c>
      <c r="E23" s="24">
        <v>10.333333333333334</v>
      </c>
    </row>
    <row r="24" spans="3:5" ht="13.8" x14ac:dyDescent="0.3">
      <c r="C24" s="24">
        <v>12</v>
      </c>
      <c r="D24" s="24">
        <v>44.302238007318934</v>
      </c>
      <c r="E24" s="24">
        <v>8.5</v>
      </c>
    </row>
    <row r="25" spans="3:5" ht="13.8" x14ac:dyDescent="0.3">
      <c r="C25" s="24">
        <v>13</v>
      </c>
      <c r="D25" s="24">
        <v>40.282955841591097</v>
      </c>
      <c r="E25" s="24">
        <v>7.833333333333333</v>
      </c>
    </row>
    <row r="26" spans="3:5" ht="13.8" x14ac:dyDescent="0.3">
      <c r="C26" s="24">
        <v>14</v>
      </c>
      <c r="D26" s="24">
        <v>36.469992243535458</v>
      </c>
      <c r="E26" s="24">
        <v>6.5</v>
      </c>
    </row>
    <row r="27" spans="3:5" ht="13.8" x14ac:dyDescent="0.3">
      <c r="C27" s="24">
        <v>15</v>
      </c>
      <c r="D27" s="24">
        <v>34.312466666698391</v>
      </c>
      <c r="E27" s="24">
        <v>6.666666666666667</v>
      </c>
    </row>
    <row r="28" spans="3:5" ht="13.8" x14ac:dyDescent="0.3">
      <c r="C28" s="24">
        <v>16</v>
      </c>
      <c r="D28" s="24">
        <v>34.020754008414684</v>
      </c>
      <c r="E28" s="24">
        <v>6.166666666666667</v>
      </c>
    </row>
    <row r="29" spans="3:5" ht="13.8" x14ac:dyDescent="0.3">
      <c r="C29" s="24">
        <v>17</v>
      </c>
      <c r="D29" s="24">
        <v>30.609501548617565</v>
      </c>
      <c r="E29" s="24">
        <v>6</v>
      </c>
    </row>
    <row r="30" spans="3:5" ht="13.8" x14ac:dyDescent="0.3">
      <c r="C30" s="24">
        <v>18</v>
      </c>
      <c r="D30" s="24">
        <v>29.256455512913316</v>
      </c>
      <c r="E30" s="24">
        <v>4.833333333333333</v>
      </c>
    </row>
    <row r="31" spans="3:5" ht="13.8" x14ac:dyDescent="0.3">
      <c r="C31" s="24">
        <v>19</v>
      </c>
      <c r="D31" s="24">
        <v>28.942597350902506</v>
      </c>
      <c r="E31" s="24">
        <v>6</v>
      </c>
    </row>
    <row r="32" spans="3:5" ht="13.8" x14ac:dyDescent="0.3">
      <c r="C32" s="24">
        <v>20</v>
      </c>
      <c r="D32" s="24">
        <v>25.544880747720988</v>
      </c>
      <c r="E32" s="24">
        <v>4.333333333333333</v>
      </c>
    </row>
    <row r="33" spans="3:5" ht="13.8" x14ac:dyDescent="0.3">
      <c r="C33" s="24">
        <v>21</v>
      </c>
      <c r="D33" s="24">
        <v>25.490220268045039</v>
      </c>
      <c r="E33" s="24">
        <v>4.166666666666667</v>
      </c>
    </row>
    <row r="34" spans="3:5" ht="13.8" x14ac:dyDescent="0.3">
      <c r="C34" s="24">
        <v>22</v>
      </c>
      <c r="D34" s="24">
        <v>19.539199898491578</v>
      </c>
      <c r="E34" s="24">
        <v>3.1666666666666665</v>
      </c>
    </row>
    <row r="35" spans="3:5" ht="13.8" x14ac:dyDescent="0.3">
      <c r="C35" s="24">
        <v>23</v>
      </c>
      <c r="D35" s="24">
        <v>19.0421115391005</v>
      </c>
      <c r="E35" s="24">
        <v>3.1666666666666665</v>
      </c>
    </row>
    <row r="36" spans="3:5" ht="13.8" x14ac:dyDescent="0.3">
      <c r="C36" s="24">
        <v>24</v>
      </c>
      <c r="D36" s="24">
        <v>16.372127395886007</v>
      </c>
      <c r="E36" s="24">
        <v>2.5</v>
      </c>
    </row>
    <row r="37" spans="3:5" ht="13.8" x14ac:dyDescent="0.3">
      <c r="C37" s="24">
        <v>25</v>
      </c>
      <c r="D37" s="24">
        <v>14.509756966127318</v>
      </c>
      <c r="E37" s="24">
        <v>2.1666666666666665</v>
      </c>
    </row>
    <row r="38" spans="3:5" ht="13.8" x14ac:dyDescent="0.3">
      <c r="C38" s="24">
        <v>26</v>
      </c>
      <c r="D38" s="24">
        <v>13.876867331033511</v>
      </c>
      <c r="E38" s="24">
        <v>2.1666666666666665</v>
      </c>
    </row>
    <row r="39" spans="3:5" ht="13.8" x14ac:dyDescent="0.3">
      <c r="C39" s="24">
        <v>27</v>
      </c>
      <c r="D39" s="24">
        <v>13.466112683725656</v>
      </c>
      <c r="E39" s="24">
        <v>2.1666666666666665</v>
      </c>
    </row>
    <row r="40" spans="3:5" ht="13.8" x14ac:dyDescent="0.3">
      <c r="C40" s="24">
        <v>28</v>
      </c>
      <c r="D40" s="24">
        <v>12.884271850484426</v>
      </c>
      <c r="E40" s="24">
        <v>2</v>
      </c>
    </row>
    <row r="41" spans="3:5" ht="13.8" x14ac:dyDescent="0.3">
      <c r="C41" s="24">
        <v>29</v>
      </c>
      <c r="D41" s="24">
        <v>11.969843091006313</v>
      </c>
      <c r="E41" s="24">
        <v>1.8333333333333333</v>
      </c>
    </row>
    <row r="42" spans="3:5" ht="13.8" x14ac:dyDescent="0.3">
      <c r="C42" s="24">
        <v>30</v>
      </c>
      <c r="D42" s="24">
        <v>11.397043389751044</v>
      </c>
      <c r="E42" s="24">
        <v>1.6666666666666667</v>
      </c>
    </row>
    <row r="43" spans="3:5" ht="13.8" x14ac:dyDescent="0.3">
      <c r="C43" s="24">
        <v>31</v>
      </c>
      <c r="D43" s="24">
        <v>11.015946067477232</v>
      </c>
      <c r="E43" s="24">
        <v>1.5</v>
      </c>
    </row>
    <row r="44" spans="3:5" ht="13.8" x14ac:dyDescent="0.3">
      <c r="C44" s="24">
        <v>32</v>
      </c>
      <c r="D44" s="24">
        <v>10.734813129947783</v>
      </c>
      <c r="E44" s="24">
        <v>1.5</v>
      </c>
    </row>
    <row r="45" spans="3:5" ht="13.8" x14ac:dyDescent="0.3">
      <c r="C45" s="24">
        <v>33</v>
      </c>
      <c r="D45" s="24">
        <v>10.74432135747141</v>
      </c>
      <c r="E45" s="24">
        <v>1.5</v>
      </c>
    </row>
    <row r="46" spans="3:5" ht="13.8" x14ac:dyDescent="0.3">
      <c r="C46" s="24">
        <v>34</v>
      </c>
      <c r="D46" s="24">
        <v>11.334216552366584</v>
      </c>
      <c r="E46" s="24">
        <v>1.5</v>
      </c>
    </row>
    <row r="47" spans="3:5" ht="13.8" x14ac:dyDescent="0.3">
      <c r="C47" s="24">
        <v>35</v>
      </c>
      <c r="D47" s="24">
        <v>11.445625609581446</v>
      </c>
      <c r="E47" s="24">
        <v>1.5</v>
      </c>
    </row>
    <row r="48" spans="3:5" ht="13.8" x14ac:dyDescent="0.3">
      <c r="C48" s="24">
        <v>36</v>
      </c>
      <c r="D48" s="24">
        <v>12.118970809842299</v>
      </c>
      <c r="E48" s="24">
        <v>1.6666666666666667</v>
      </c>
    </row>
    <row r="49" spans="3:5" ht="13.8" x14ac:dyDescent="0.3">
      <c r="C49" s="24">
        <v>37</v>
      </c>
      <c r="D49" s="24">
        <v>11.938745345202312</v>
      </c>
      <c r="E49" s="24">
        <v>1.6666666666666667</v>
      </c>
    </row>
    <row r="50" spans="3:5" ht="13.8" x14ac:dyDescent="0.3">
      <c r="C50" s="24">
        <v>38</v>
      </c>
      <c r="D50" s="24">
        <v>8.7104660172748343</v>
      </c>
      <c r="E50" s="24">
        <v>1.1666666666666667</v>
      </c>
    </row>
    <row r="51" spans="3:5" ht="13.8" x14ac:dyDescent="0.3">
      <c r="C51" s="24">
        <v>39</v>
      </c>
      <c r="D51" s="24">
        <v>8.0483137757541048</v>
      </c>
      <c r="E51" s="24">
        <v>1.1666666666666667</v>
      </c>
    </row>
    <row r="52" spans="3:5" ht="13.8" x14ac:dyDescent="0.3">
      <c r="C52" s="24">
        <v>40</v>
      </c>
      <c r="D52" s="24">
        <v>7.6433836330371996</v>
      </c>
      <c r="E52" s="24">
        <v>1.1666666666666667</v>
      </c>
    </row>
  </sheetData>
  <mergeCells count="8">
    <mergeCell ref="B3:M3"/>
    <mergeCell ref="P3:S3"/>
    <mergeCell ref="B4:C4"/>
    <mergeCell ref="D4:E4"/>
    <mergeCell ref="F4:G4"/>
    <mergeCell ref="H4:I4"/>
    <mergeCell ref="J4:K4"/>
    <mergeCell ref="L4:M4"/>
  </mergeCells>
  <hyperlinks>
    <hyperlink ref="B4" location="'NNC_Output4'!$B$10:$B$10" display="Inputs"/>
    <hyperlink ref="D4" location="'NNC_Output4'!$B$43:$B$43" display="Prior Class Prob."/>
    <hyperlink ref="F4" location="'NNC_Output4'!$B$52:$B$52" display="Train. Score - Summary"/>
    <hyperlink ref="H4" location="'NNC_Output4'!$B$76:$B$76" display="Valid. Score - Summary"/>
    <hyperlink ref="J4" location="'NNC_Output4'!$B$100:$B$100" display="Weights"/>
    <hyperlink ref="L4" location="'NNC_TrainLog4'!$B$10:$B$10" display="Training Log"/>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1"/>
  <sheetViews>
    <sheetView showGridLines="0" workbookViewId="0"/>
  </sheetViews>
  <sheetFormatPr defaultRowHeight="13.2" x14ac:dyDescent="0.25"/>
  <cols>
    <col min="1" max="1" width="26.77734375" bestFit="1" customWidth="1"/>
    <col min="2" max="2" width="26.88671875" bestFit="1" customWidth="1"/>
  </cols>
  <sheetData>
    <row r="1" spans="1:49" x14ac:dyDescent="0.25">
      <c r="M1" t="s">
        <v>757</v>
      </c>
    </row>
    <row r="2" spans="1:49" ht="13.8" x14ac:dyDescent="0.3">
      <c r="A2" s="25" t="s">
        <v>637</v>
      </c>
      <c r="B2" s="24" t="s">
        <v>638</v>
      </c>
    </row>
    <row r="3" spans="1:49" ht="13.8" x14ac:dyDescent="0.3">
      <c r="A3" s="25" t="s">
        <v>639</v>
      </c>
      <c r="B3" s="24">
        <v>45</v>
      </c>
    </row>
    <row r="4" spans="1:49" ht="13.8" x14ac:dyDescent="0.3">
      <c r="A4" s="25" t="s">
        <v>151</v>
      </c>
      <c r="B4" s="24" t="s">
        <v>640</v>
      </c>
      <c r="D4" s="24" t="s">
        <v>0</v>
      </c>
      <c r="E4" s="24" t="s">
        <v>68</v>
      </c>
      <c r="F4" s="24" t="s">
        <v>69</v>
      </c>
      <c r="G4" s="24" t="s">
        <v>70</v>
      </c>
      <c r="H4" s="24" t="s">
        <v>71</v>
      </c>
      <c r="I4" s="24" t="s">
        <v>81</v>
      </c>
      <c r="J4" s="24" t="s">
        <v>72</v>
      </c>
      <c r="K4" s="24" t="s">
        <v>2</v>
      </c>
      <c r="L4" s="24" t="s">
        <v>6</v>
      </c>
      <c r="M4" s="24" t="s">
        <v>74</v>
      </c>
      <c r="N4" s="24" t="s">
        <v>75</v>
      </c>
      <c r="O4" s="24" t="s">
        <v>76</v>
      </c>
      <c r="P4" s="24" t="s">
        <v>73</v>
      </c>
      <c r="Q4" s="24" t="s">
        <v>77</v>
      </c>
      <c r="R4" s="24" t="s">
        <v>78</v>
      </c>
      <c r="S4" s="24" t="s">
        <v>82</v>
      </c>
      <c r="T4" s="24" t="s">
        <v>8</v>
      </c>
      <c r="U4" s="24" t="s">
        <v>79</v>
      </c>
      <c r="V4" s="24" t="s">
        <v>80</v>
      </c>
      <c r="W4" s="24" t="s">
        <v>83</v>
      </c>
      <c r="X4" s="24" t="s">
        <v>9</v>
      </c>
      <c r="Y4" s="24" t="s">
        <v>11</v>
      </c>
      <c r="Z4" s="24" t="s">
        <v>12</v>
      </c>
      <c r="AA4" s="24" t="s">
        <v>13</v>
      </c>
      <c r="AB4" s="24" t="s">
        <v>152</v>
      </c>
      <c r="AC4" s="24" t="s">
        <v>153</v>
      </c>
      <c r="AD4" s="24" t="s">
        <v>154</v>
      </c>
      <c r="AE4" s="24" t="s">
        <v>156</v>
      </c>
      <c r="AF4" s="24" t="s">
        <v>157</v>
      </c>
      <c r="AG4" s="24" t="s">
        <v>158</v>
      </c>
      <c r="AH4" s="24" t="s">
        <v>159</v>
      </c>
      <c r="AI4" s="24" t="s">
        <v>161</v>
      </c>
      <c r="AJ4" s="24" t="s">
        <v>162</v>
      </c>
      <c r="AK4" s="24" t="s">
        <v>163</v>
      </c>
      <c r="AL4" s="24" t="s">
        <v>164</v>
      </c>
      <c r="AM4" s="24" t="s">
        <v>166</v>
      </c>
      <c r="AN4" s="24" t="s">
        <v>167</v>
      </c>
      <c r="AO4" s="24" t="s">
        <v>168</v>
      </c>
      <c r="AP4" s="24" t="s">
        <v>169</v>
      </c>
      <c r="AQ4" s="24" t="s">
        <v>171</v>
      </c>
      <c r="AR4" s="24" t="s">
        <v>172</v>
      </c>
      <c r="AS4" s="24" t="s">
        <v>173</v>
      </c>
      <c r="AT4" s="24" t="s">
        <v>176</v>
      </c>
      <c r="AU4" s="24" t="s">
        <v>177</v>
      </c>
      <c r="AV4" s="24" t="s">
        <v>178</v>
      </c>
      <c r="AW4" s="24" t="s">
        <v>14</v>
      </c>
    </row>
    <row r="5" spans="1:49" ht="13.8" x14ac:dyDescent="0.3">
      <c r="A5" s="25" t="s">
        <v>641</v>
      </c>
      <c r="B5" s="24" t="s">
        <v>642</v>
      </c>
      <c r="D5" s="24">
        <v>1</v>
      </c>
      <c r="E5" s="24">
        <v>2</v>
      </c>
      <c r="F5" s="24">
        <v>3</v>
      </c>
      <c r="G5" s="24">
        <v>4</v>
      </c>
      <c r="H5" s="24">
        <v>5</v>
      </c>
      <c r="I5" s="24">
        <v>6</v>
      </c>
      <c r="J5" s="24">
        <v>7</v>
      </c>
      <c r="K5" s="24">
        <v>8</v>
      </c>
      <c r="L5" s="24">
        <v>9</v>
      </c>
      <c r="M5" s="24">
        <v>10</v>
      </c>
      <c r="N5" s="24">
        <v>11</v>
      </c>
      <c r="O5" s="24">
        <v>12</v>
      </c>
      <c r="P5" s="24">
        <v>13</v>
      </c>
      <c r="Q5" s="24">
        <v>14</v>
      </c>
      <c r="R5" s="24">
        <v>15</v>
      </c>
      <c r="S5" s="24">
        <v>16</v>
      </c>
      <c r="T5" s="24">
        <v>17</v>
      </c>
      <c r="U5" s="24">
        <v>18</v>
      </c>
      <c r="V5" s="24">
        <v>19</v>
      </c>
      <c r="W5" s="24">
        <v>20</v>
      </c>
      <c r="X5" s="24">
        <v>21</v>
      </c>
      <c r="Y5" s="24">
        <v>22</v>
      </c>
      <c r="Z5" s="24">
        <v>23</v>
      </c>
      <c r="AA5" s="24">
        <v>24</v>
      </c>
      <c r="AB5" s="24">
        <v>26</v>
      </c>
      <c r="AC5" s="24">
        <v>27</v>
      </c>
      <c r="AD5" s="24">
        <v>28</v>
      </c>
      <c r="AE5" s="24">
        <v>30</v>
      </c>
      <c r="AF5" s="24">
        <v>31</v>
      </c>
      <c r="AG5" s="24">
        <v>32</v>
      </c>
      <c r="AH5" s="24">
        <v>33</v>
      </c>
      <c r="AI5" s="24">
        <v>35</v>
      </c>
      <c r="AJ5" s="24">
        <v>36</v>
      </c>
      <c r="AK5" s="24">
        <v>37</v>
      </c>
      <c r="AL5" s="24">
        <v>38</v>
      </c>
      <c r="AM5" s="24">
        <v>40</v>
      </c>
      <c r="AN5" s="24">
        <v>41</v>
      </c>
      <c r="AO5" s="24">
        <v>42</v>
      </c>
      <c r="AP5" s="24">
        <v>43</v>
      </c>
      <c r="AQ5" s="24">
        <v>45</v>
      </c>
      <c r="AR5" s="24">
        <v>46</v>
      </c>
      <c r="AS5" s="24">
        <v>47</v>
      </c>
      <c r="AT5" s="24">
        <v>49</v>
      </c>
      <c r="AU5" s="24">
        <v>50</v>
      </c>
      <c r="AV5" s="24">
        <v>51</v>
      </c>
      <c r="AW5" s="24">
        <v>25</v>
      </c>
    </row>
    <row r="6" spans="1:49" ht="13.8" x14ac:dyDescent="0.3">
      <c r="A6" s="25" t="s">
        <v>643</v>
      </c>
      <c r="B6" s="24" t="s">
        <v>644</v>
      </c>
      <c r="D6" s="24" t="s">
        <v>645</v>
      </c>
      <c r="E6" s="24" t="s">
        <v>645</v>
      </c>
      <c r="F6" s="24" t="s">
        <v>645</v>
      </c>
      <c r="G6" s="24" t="s">
        <v>645</v>
      </c>
      <c r="H6" s="24" t="s">
        <v>645</v>
      </c>
      <c r="I6" s="24" t="s">
        <v>645</v>
      </c>
      <c r="J6" s="24" t="s">
        <v>645</v>
      </c>
      <c r="K6" s="24" t="s">
        <v>645</v>
      </c>
      <c r="L6" s="24" t="s">
        <v>645</v>
      </c>
      <c r="M6" s="24" t="s">
        <v>645</v>
      </c>
      <c r="N6" s="24" t="s">
        <v>645</v>
      </c>
      <c r="O6" s="24" t="s">
        <v>645</v>
      </c>
      <c r="P6" s="24" t="s">
        <v>645</v>
      </c>
      <c r="Q6" s="24" t="s">
        <v>645</v>
      </c>
      <c r="R6" s="24" t="s">
        <v>645</v>
      </c>
      <c r="S6" s="24" t="s">
        <v>645</v>
      </c>
      <c r="T6" s="24" t="s">
        <v>645</v>
      </c>
      <c r="U6" s="24" t="s">
        <v>645</v>
      </c>
      <c r="V6" s="24" t="s">
        <v>645</v>
      </c>
      <c r="W6" s="24" t="s">
        <v>645</v>
      </c>
      <c r="X6" s="24" t="s">
        <v>645</v>
      </c>
      <c r="Y6" s="24" t="s">
        <v>645</v>
      </c>
      <c r="Z6" s="24" t="s">
        <v>645</v>
      </c>
      <c r="AA6" s="24" t="s">
        <v>645</v>
      </c>
      <c r="AB6" s="24" t="s">
        <v>645</v>
      </c>
      <c r="AC6" s="24" t="s">
        <v>645</v>
      </c>
      <c r="AD6" s="24" t="s">
        <v>645</v>
      </c>
      <c r="AE6" s="24" t="s">
        <v>645</v>
      </c>
      <c r="AF6" s="24" t="s">
        <v>645</v>
      </c>
      <c r="AG6" s="24" t="s">
        <v>645</v>
      </c>
      <c r="AH6" s="24" t="s">
        <v>645</v>
      </c>
      <c r="AI6" s="24" t="s">
        <v>645</v>
      </c>
      <c r="AJ6" s="24" t="s">
        <v>645</v>
      </c>
      <c r="AK6" s="24" t="s">
        <v>645</v>
      </c>
      <c r="AL6" s="24" t="s">
        <v>645</v>
      </c>
      <c r="AM6" s="24" t="s">
        <v>645</v>
      </c>
      <c r="AN6" s="24" t="s">
        <v>645</v>
      </c>
      <c r="AO6" s="24" t="s">
        <v>645</v>
      </c>
      <c r="AP6" s="24" t="s">
        <v>645</v>
      </c>
      <c r="AQ6" s="24" t="s">
        <v>645</v>
      </c>
      <c r="AR6" s="24" t="s">
        <v>645</v>
      </c>
      <c r="AS6" s="24" t="s">
        <v>645</v>
      </c>
      <c r="AT6" s="24" t="s">
        <v>645</v>
      </c>
      <c r="AU6" s="24" t="s">
        <v>645</v>
      </c>
      <c r="AV6" s="24" t="s">
        <v>645</v>
      </c>
      <c r="AW6" s="24" t="s">
        <v>666</v>
      </c>
    </row>
    <row r="7" spans="1:49" ht="13.8" x14ac:dyDescent="0.3">
      <c r="A7" s="25" t="s">
        <v>17</v>
      </c>
      <c r="B7" s="24" t="s">
        <v>646</v>
      </c>
      <c r="D7" s="24" t="s">
        <v>647</v>
      </c>
      <c r="E7" s="24" t="s">
        <v>647</v>
      </c>
      <c r="F7" s="24" t="s">
        <v>647</v>
      </c>
      <c r="G7" s="24" t="s">
        <v>647</v>
      </c>
      <c r="H7" s="24" t="s">
        <v>647</v>
      </c>
      <c r="I7" s="24" t="s">
        <v>647</v>
      </c>
      <c r="J7" s="24" t="s">
        <v>647</v>
      </c>
      <c r="K7" s="24" t="s">
        <v>647</v>
      </c>
      <c r="L7" s="24" t="s">
        <v>647</v>
      </c>
      <c r="M7" s="24" t="s">
        <v>647</v>
      </c>
      <c r="N7" s="24" t="s">
        <v>647</v>
      </c>
      <c r="O7" s="24" t="s">
        <v>647</v>
      </c>
      <c r="P7" s="24" t="s">
        <v>647</v>
      </c>
      <c r="Q7" s="24" t="s">
        <v>647</v>
      </c>
      <c r="R7" s="24" t="s">
        <v>647</v>
      </c>
      <c r="S7" s="24" t="s">
        <v>647</v>
      </c>
      <c r="T7" s="24" t="s">
        <v>647</v>
      </c>
      <c r="U7" s="24" t="s">
        <v>647</v>
      </c>
      <c r="V7" s="24" t="s">
        <v>647</v>
      </c>
      <c r="W7" s="24" t="s">
        <v>647</v>
      </c>
      <c r="X7" s="24" t="s">
        <v>647</v>
      </c>
      <c r="Y7" s="24" t="s">
        <v>647</v>
      </c>
      <c r="Z7" s="24" t="s">
        <v>647</v>
      </c>
      <c r="AA7" s="24" t="s">
        <v>647</v>
      </c>
      <c r="AB7" s="24" t="s">
        <v>647</v>
      </c>
      <c r="AC7" s="24" t="s">
        <v>647</v>
      </c>
      <c r="AD7" s="24" t="s">
        <v>647</v>
      </c>
      <c r="AE7" s="24" t="s">
        <v>647</v>
      </c>
      <c r="AF7" s="24" t="s">
        <v>647</v>
      </c>
      <c r="AG7" s="24" t="s">
        <v>647</v>
      </c>
      <c r="AH7" s="24" t="s">
        <v>647</v>
      </c>
      <c r="AI7" s="24" t="s">
        <v>647</v>
      </c>
      <c r="AJ7" s="24" t="s">
        <v>647</v>
      </c>
      <c r="AK7" s="24" t="s">
        <v>647</v>
      </c>
      <c r="AL7" s="24" t="s">
        <v>647</v>
      </c>
      <c r="AM7" s="24" t="s">
        <v>647</v>
      </c>
      <c r="AN7" s="24" t="s">
        <v>647</v>
      </c>
      <c r="AO7" s="24" t="s">
        <v>647</v>
      </c>
      <c r="AP7" s="24" t="s">
        <v>647</v>
      </c>
      <c r="AQ7" s="24" t="s">
        <v>647</v>
      </c>
      <c r="AR7" s="24" t="s">
        <v>647</v>
      </c>
      <c r="AS7" s="24" t="s">
        <v>647</v>
      </c>
      <c r="AT7" s="24" t="s">
        <v>647</v>
      </c>
      <c r="AU7" s="24" t="s">
        <v>647</v>
      </c>
      <c r="AV7" s="24" t="s">
        <v>647</v>
      </c>
      <c r="AW7" s="24"/>
    </row>
    <row r="8" spans="1:49" ht="13.8" x14ac:dyDescent="0.3">
      <c r="A8" s="25" t="s">
        <v>648</v>
      </c>
      <c r="B8" s="24" t="s">
        <v>649</v>
      </c>
      <c r="D8" s="24">
        <v>0</v>
      </c>
      <c r="E8" s="24">
        <v>1</v>
      </c>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row>
    <row r="9" spans="1:49" ht="13.8" x14ac:dyDescent="0.3">
      <c r="A9" s="25" t="s">
        <v>650</v>
      </c>
      <c r="B9" s="24">
        <v>1</v>
      </c>
      <c r="D9">
        <v>13</v>
      </c>
    </row>
    <row r="10" spans="1:49" ht="13.8" x14ac:dyDescent="0.3">
      <c r="A10" s="25" t="s">
        <v>651</v>
      </c>
      <c r="B10" s="24">
        <v>0.5</v>
      </c>
      <c r="D10" s="24">
        <v>20.905000000000001</v>
      </c>
      <c r="E10" s="24">
        <v>0.23</v>
      </c>
      <c r="F10" s="24">
        <v>9.1666666666666674E-2</v>
      </c>
      <c r="G10" s="24">
        <v>0.18500000000000003</v>
      </c>
      <c r="H10" s="24">
        <v>0.28500000000000003</v>
      </c>
      <c r="I10" s="24">
        <v>5.8333333333333334E-2</v>
      </c>
      <c r="J10" s="24">
        <v>8.666666666666667E-2</v>
      </c>
      <c r="K10" s="24">
        <v>3212.7466666666669</v>
      </c>
      <c r="L10" s="24">
        <v>2.996666666666667</v>
      </c>
      <c r="M10" s="24">
        <v>0.05</v>
      </c>
      <c r="N10" s="24">
        <v>0.53333333333333333</v>
      </c>
      <c r="O10" s="24">
        <v>9.1666666666666674E-2</v>
      </c>
      <c r="P10" s="24">
        <v>4.1666666666666671E-2</v>
      </c>
      <c r="Q10" s="24">
        <v>0.05</v>
      </c>
      <c r="R10" s="24">
        <v>0.28166666666666668</v>
      </c>
      <c r="S10" s="24">
        <v>0.13</v>
      </c>
      <c r="T10" s="24">
        <v>35.375</v>
      </c>
      <c r="U10" s="24">
        <v>0.19333333333333336</v>
      </c>
      <c r="V10" s="24">
        <v>0.18000000000000002</v>
      </c>
      <c r="W10" s="24">
        <v>0.72833333333333339</v>
      </c>
      <c r="X10" s="24">
        <v>1.385</v>
      </c>
      <c r="Y10" s="24">
        <v>1.1500000000000001</v>
      </c>
      <c r="Z10" s="24">
        <v>0.40166666666666667</v>
      </c>
      <c r="AA10" s="24">
        <v>3.8333333333333337E-2</v>
      </c>
      <c r="AB10" s="24">
        <v>0.30333333333333334</v>
      </c>
      <c r="AC10" s="24">
        <v>0.24833333333333335</v>
      </c>
      <c r="AD10" s="24">
        <v>6.1666666666666668E-2</v>
      </c>
      <c r="AE10" s="24">
        <v>2.6666666666666668E-2</v>
      </c>
      <c r="AF10" s="24">
        <v>0.05</v>
      </c>
      <c r="AG10" s="24">
        <v>0.54833333333333334</v>
      </c>
      <c r="AH10" s="24">
        <v>7.8333333333333338E-2</v>
      </c>
      <c r="AI10" s="24">
        <v>0.61166666666666669</v>
      </c>
      <c r="AJ10" s="24">
        <v>9.6666666666666679E-2</v>
      </c>
      <c r="AK10" s="24">
        <v>6.8333333333333343E-2</v>
      </c>
      <c r="AL10" s="24">
        <v>0.04</v>
      </c>
      <c r="AM10" s="24">
        <v>6.1666666666666668E-2</v>
      </c>
      <c r="AN10" s="24">
        <v>0.17166666666666669</v>
      </c>
      <c r="AO10" s="24">
        <v>0.33833333333333337</v>
      </c>
      <c r="AP10" s="24">
        <v>0.17166666666666669</v>
      </c>
      <c r="AQ10" s="24">
        <v>0.13</v>
      </c>
      <c r="AR10" s="24">
        <v>0.3116666666666667</v>
      </c>
      <c r="AS10" s="24">
        <v>0.15000000000000002</v>
      </c>
      <c r="AT10" s="24">
        <v>0.02</v>
      </c>
      <c r="AU10" s="24">
        <v>0.19833333333333333</v>
      </c>
      <c r="AV10" s="24">
        <v>0.62833333333333341</v>
      </c>
    </row>
    <row r="11" spans="1:49" ht="13.8" x14ac:dyDescent="0.3">
      <c r="A11" s="25" t="s">
        <v>652</v>
      </c>
      <c r="B11" s="24">
        <v>1</v>
      </c>
      <c r="D11" s="24">
        <v>11.899382357955998</v>
      </c>
      <c r="E11" s="24">
        <v>0.42118364098381827</v>
      </c>
      <c r="F11" s="24">
        <v>0.28879559157255369</v>
      </c>
      <c r="G11" s="24">
        <v>0.38862155265156118</v>
      </c>
      <c r="H11" s="24">
        <v>0.45179109330158984</v>
      </c>
      <c r="I11" s="24">
        <v>0.23456824022252351</v>
      </c>
      <c r="J11" s="24">
        <v>0.28158071973254489</v>
      </c>
      <c r="K11" s="24">
        <v>2738.2396656611136</v>
      </c>
      <c r="L11" s="24">
        <v>1.1054526666570852</v>
      </c>
      <c r="M11" s="24">
        <v>0.21812679530810955</v>
      </c>
      <c r="N11" s="24">
        <v>0.49930391167696198</v>
      </c>
      <c r="O11" s="24">
        <v>0.28879559157255347</v>
      </c>
      <c r="P11" s="24">
        <v>0.19999304384118813</v>
      </c>
      <c r="Q11" s="24">
        <v>0.21812679530811013</v>
      </c>
      <c r="R11" s="24">
        <v>0.4501870012736377</v>
      </c>
      <c r="S11" s="24">
        <v>0.33658403808135673</v>
      </c>
      <c r="T11" s="24">
        <v>11.564050058533144</v>
      </c>
      <c r="U11" s="24">
        <v>0.39524159120034369</v>
      </c>
      <c r="V11" s="24">
        <v>0.38450801120974598</v>
      </c>
      <c r="W11" s="24">
        <v>0.44519008589198761</v>
      </c>
      <c r="X11" s="24">
        <v>0.56032574594540885</v>
      </c>
      <c r="Y11" s="24">
        <v>0.35736935341174569</v>
      </c>
      <c r="Z11" s="24">
        <v>0.49064424502979515</v>
      </c>
      <c r="AA11" s="24">
        <v>0.19215991068468552</v>
      </c>
      <c r="AB11" s="24">
        <v>0.46008152963586263</v>
      </c>
      <c r="AC11" s="24">
        <v>0.43240665437386838</v>
      </c>
      <c r="AD11" s="24">
        <v>0.24074984881628569</v>
      </c>
      <c r="AE11" s="24">
        <v>0.16124170376780711</v>
      </c>
      <c r="AF11" s="24">
        <v>0.21812679530810983</v>
      </c>
      <c r="AG11" s="24">
        <v>0.49807364027901496</v>
      </c>
      <c r="AH11" s="24">
        <v>0.26891960101221679</v>
      </c>
      <c r="AI11" s="24">
        <v>0.48777771650971358</v>
      </c>
      <c r="AJ11" s="24">
        <v>0.29574989809961394</v>
      </c>
      <c r="AK11" s="24">
        <v>0.25252756782129554</v>
      </c>
      <c r="AL11" s="24">
        <v>0.19612268314690448</v>
      </c>
      <c r="AM11" s="24">
        <v>0.24074984881628569</v>
      </c>
      <c r="AN11" s="24">
        <v>0.37740510495261731</v>
      </c>
      <c r="AO11" s="24">
        <v>0.47353734620686555</v>
      </c>
      <c r="AP11" s="24">
        <v>0.37740510495261731</v>
      </c>
      <c r="AQ11" s="24">
        <v>0.33658403808135678</v>
      </c>
      <c r="AR11" s="24">
        <v>0.46356089502302389</v>
      </c>
      <c r="AS11" s="24">
        <v>0.35736935341174525</v>
      </c>
      <c r="AT11" s="24">
        <v>0.14011681270284301</v>
      </c>
      <c r="AU11" s="24">
        <v>0.39907726067626459</v>
      </c>
      <c r="AV11" s="24">
        <v>0.48365320522777661</v>
      </c>
    </row>
    <row r="12" spans="1:49" ht="13.8" x14ac:dyDescent="0.3">
      <c r="A12" s="25" t="s">
        <v>653</v>
      </c>
      <c r="B12" s="24" t="s">
        <v>654</v>
      </c>
    </row>
    <row r="13" spans="1:49" ht="13.8" x14ac:dyDescent="0.3">
      <c r="A13" s="25" t="s">
        <v>655</v>
      </c>
      <c r="B13" s="24" t="s">
        <v>656</v>
      </c>
    </row>
    <row r="14" spans="1:49" ht="13.8" x14ac:dyDescent="0.3">
      <c r="A14" s="25" t="s">
        <v>657</v>
      </c>
      <c r="B14" s="24" t="s">
        <v>656</v>
      </c>
    </row>
    <row r="15" spans="1:49" ht="13.8" x14ac:dyDescent="0.3">
      <c r="A15" s="25" t="s">
        <v>658</v>
      </c>
      <c r="B15" s="24" t="s">
        <v>659</v>
      </c>
      <c r="D15" s="24">
        <v>-0.35891764287090888</v>
      </c>
      <c r="E15" s="24">
        <v>2.2245079428402037</v>
      </c>
      <c r="F15" s="24">
        <v>0.78045476569944228</v>
      </c>
      <c r="G15" s="24">
        <v>-0.15912064480885485</v>
      </c>
      <c r="H15" s="24">
        <v>-1.2198218071529856</v>
      </c>
      <c r="I15" s="24">
        <v>8.7216991941077765E-2</v>
      </c>
      <c r="J15" s="24">
        <v>-0.36409978200192583</v>
      </c>
      <c r="K15" s="24">
        <v>-1.3819709855414384</v>
      </c>
      <c r="L15" s="24">
        <v>2.0562871403130147</v>
      </c>
      <c r="M15" s="24">
        <v>-1.004186774358153</v>
      </c>
      <c r="N15" s="24">
        <v>-0.39571580872993473</v>
      </c>
      <c r="O15" s="24">
        <v>-0.74720307380820083</v>
      </c>
      <c r="P15" s="24">
        <v>-0.62485899779987863</v>
      </c>
      <c r="Q15" s="24">
        <v>-0.19550300972396156</v>
      </c>
      <c r="R15" s="24">
        <v>0.53164817083283644</v>
      </c>
      <c r="S15" s="24">
        <v>-0.38318769529490265</v>
      </c>
      <c r="T15" s="24">
        <v>-0.58547168629174018</v>
      </c>
      <c r="U15" s="24">
        <v>-1.4200317308965491</v>
      </c>
      <c r="V15" s="24">
        <v>1.8537687370736178</v>
      </c>
      <c r="W15" s="24">
        <v>-0.1768536279074637</v>
      </c>
      <c r="X15" s="24">
        <v>-0.46502356760723679</v>
      </c>
      <c r="Y15" s="24">
        <v>-0.16487105040027017</v>
      </c>
      <c r="Z15" s="24">
        <v>-0.50787269218577247</v>
      </c>
      <c r="AA15" s="24">
        <v>1.1396357326696234</v>
      </c>
      <c r="AB15" s="24">
        <v>-2.142470798769518</v>
      </c>
      <c r="AC15" s="24">
        <v>0.26568895671872816</v>
      </c>
      <c r="AD15" s="24">
        <v>-1.118494956521203</v>
      </c>
      <c r="AE15" s="24">
        <v>-1.7410876687538617</v>
      </c>
      <c r="AF15" s="24">
        <v>1.7292507293553525</v>
      </c>
      <c r="AG15" s="24">
        <v>-0.84714289127885545</v>
      </c>
      <c r="AH15" s="24">
        <v>0.90837926566107929</v>
      </c>
      <c r="AI15" s="24">
        <v>-2.6069770496389175</v>
      </c>
      <c r="AJ15" s="24">
        <v>0.32974145702610996</v>
      </c>
      <c r="AK15" s="24">
        <v>2.4519116696770329</v>
      </c>
      <c r="AL15" s="24">
        <v>0.66066498063170909</v>
      </c>
      <c r="AM15" s="24">
        <v>-1.5695489538473755</v>
      </c>
      <c r="AN15" s="24">
        <v>0.90165839245477919</v>
      </c>
      <c r="AO15" s="24">
        <v>0.78042726650169203</v>
      </c>
      <c r="AP15" s="24">
        <v>-0.44453933193415118</v>
      </c>
      <c r="AQ15" s="24">
        <v>-0.73966210395924659</v>
      </c>
      <c r="AR15" s="24">
        <v>0.55561256527595082</v>
      </c>
      <c r="AS15" s="24">
        <v>1.4634970984399107</v>
      </c>
      <c r="AT15" s="24">
        <v>0.22144720081205171</v>
      </c>
      <c r="AU15" s="24">
        <v>9.6821727641749821E-4</v>
      </c>
      <c r="AV15" s="24">
        <v>1.7228029690387121</v>
      </c>
      <c r="AW15" s="24">
        <v>-2.6859706918648945</v>
      </c>
    </row>
    <row r="16" spans="1:49" ht="13.8" x14ac:dyDescent="0.3">
      <c r="A16" s="25"/>
      <c r="B16" s="24" t="s">
        <v>660</v>
      </c>
      <c r="D16" s="24">
        <v>0.30148917558466526</v>
      </c>
      <c r="E16" s="24">
        <v>0.34458681772140926</v>
      </c>
      <c r="F16" s="24">
        <v>0.75254995129142144</v>
      </c>
      <c r="G16" s="24">
        <v>-1.3800090000547307</v>
      </c>
      <c r="H16" s="24">
        <v>6.5804422209766192E-2</v>
      </c>
      <c r="I16" s="24">
        <v>-1.8376693853808845</v>
      </c>
      <c r="J16" s="24">
        <v>1.4040665493423896</v>
      </c>
      <c r="K16" s="24">
        <v>-1.745862430252894</v>
      </c>
      <c r="L16" s="24">
        <v>1.7580136194608518</v>
      </c>
      <c r="M16" s="24">
        <v>3.1988448623860632E-2</v>
      </c>
      <c r="N16" s="24">
        <v>-0.4587998466624375</v>
      </c>
      <c r="O16" s="24">
        <v>-1.0311265954062407</v>
      </c>
      <c r="P16" s="24">
        <v>-9.1595982622629704E-2</v>
      </c>
      <c r="Q16" s="24">
        <v>0.34183932527753458</v>
      </c>
      <c r="R16" s="24">
        <v>0.85792815578019521</v>
      </c>
      <c r="S16" s="24">
        <v>-1.4794473636612873</v>
      </c>
      <c r="T16" s="24">
        <v>1.6770730926107629</v>
      </c>
      <c r="U16" s="24">
        <v>0.89742978786004868</v>
      </c>
      <c r="V16" s="24">
        <v>-0.81494751389786968</v>
      </c>
      <c r="W16" s="24">
        <v>1.0886260594536084</v>
      </c>
      <c r="X16" s="24">
        <v>-0.3078793127442172</v>
      </c>
      <c r="Y16" s="24">
        <v>-1.1716990112830714</v>
      </c>
      <c r="Z16" s="24">
        <v>1.9347128654268129</v>
      </c>
      <c r="AA16" s="24">
        <v>0.45353255832321326</v>
      </c>
      <c r="AB16" s="24">
        <v>-0.60623507746929117</v>
      </c>
      <c r="AC16" s="24">
        <v>-0.69204988180876192</v>
      </c>
      <c r="AD16" s="24">
        <v>2.0296945093734915</v>
      </c>
      <c r="AE16" s="24">
        <v>-1.1979895502971536</v>
      </c>
      <c r="AF16" s="24">
        <v>1.4506306088170058</v>
      </c>
      <c r="AG16" s="24">
        <v>-0.26612321252136412</v>
      </c>
      <c r="AH16" s="24">
        <v>-1.1587992824383717</v>
      </c>
      <c r="AI16" s="24">
        <v>0.11770611560181615</v>
      </c>
      <c r="AJ16" s="24">
        <v>0.64044520564483087</v>
      </c>
      <c r="AK16" s="24">
        <v>0.51483763279990769</v>
      </c>
      <c r="AL16" s="24">
        <v>0.67755231476714473</v>
      </c>
      <c r="AM16" s="24">
        <v>0.19916689410005714</v>
      </c>
      <c r="AN16" s="24">
        <v>0.97256661372293873</v>
      </c>
      <c r="AO16" s="24">
        <v>-0.94309600860721743</v>
      </c>
      <c r="AP16" s="24">
        <v>-0.20440330379493596</v>
      </c>
      <c r="AQ16" s="24">
        <v>0.57081283507744007</v>
      </c>
      <c r="AR16" s="24">
        <v>-0.15325875833604016</v>
      </c>
      <c r="AS16" s="24">
        <v>-0.70296413311489714</v>
      </c>
      <c r="AT16" s="24">
        <v>7.6711934717863195E-2</v>
      </c>
      <c r="AU16" s="24">
        <v>0.89504081764900933</v>
      </c>
      <c r="AV16" s="24">
        <v>-1.6346916051404989</v>
      </c>
      <c r="AW16" s="24">
        <v>-1.2752328599287457</v>
      </c>
    </row>
    <row r="17" spans="1:49" ht="13.8" x14ac:dyDescent="0.3">
      <c r="A17" s="25" t="s">
        <v>661</v>
      </c>
      <c r="B17" s="24" t="b">
        <v>1</v>
      </c>
      <c r="D17" s="24">
        <v>0.48528619970263553</v>
      </c>
      <c r="E17" s="24">
        <v>0.35965731613645019</v>
      </c>
      <c r="F17" s="24">
        <v>1.8425443220689726</v>
      </c>
      <c r="G17" s="24">
        <v>0.91482428223678613</v>
      </c>
      <c r="H17" s="24">
        <v>-1.2712557059763574</v>
      </c>
      <c r="I17" s="24">
        <v>-1.0008434908695822</v>
      </c>
      <c r="J17" s="24">
        <v>6.9669542813672783E-2</v>
      </c>
      <c r="K17" s="24">
        <v>-0.51498040488157526</v>
      </c>
      <c r="L17" s="24">
        <v>-0.95107643937357622</v>
      </c>
      <c r="M17" s="24">
        <v>1.1233848122860741</v>
      </c>
      <c r="N17" s="24">
        <v>1.8607172816626261</v>
      </c>
      <c r="O17" s="24">
        <v>1.3853206796110369</v>
      </c>
      <c r="P17" s="24">
        <v>0.45588966101177281</v>
      </c>
      <c r="Q17" s="24">
        <v>1.0834189021058067</v>
      </c>
      <c r="R17" s="24">
        <v>1.4617978757758163</v>
      </c>
      <c r="S17" s="24">
        <v>-1.0243597518003011</v>
      </c>
      <c r="T17" s="24">
        <v>1.3013560375898758</v>
      </c>
      <c r="U17" s="24">
        <v>0.53843045925401545</v>
      </c>
      <c r="V17" s="24">
        <v>1.3787083837282417</v>
      </c>
      <c r="W17" s="24">
        <v>0.23776005773252545</v>
      </c>
      <c r="X17" s="24">
        <v>-0.65855111061587324</v>
      </c>
      <c r="Y17" s="24">
        <v>-0.53863464671901262</v>
      </c>
      <c r="Z17" s="24">
        <v>-1.349861476828089</v>
      </c>
      <c r="AA17" s="24">
        <v>0.348549722523123</v>
      </c>
      <c r="AB17" s="24">
        <v>-2.9513551115068517</v>
      </c>
      <c r="AC17" s="24">
        <v>0.67642840454295117</v>
      </c>
      <c r="AD17" s="24">
        <v>-0.81823998831257805</v>
      </c>
      <c r="AE17" s="24">
        <v>8.2007429495422599E-2</v>
      </c>
      <c r="AF17" s="24">
        <v>-0.2136361600697036</v>
      </c>
      <c r="AG17" s="24">
        <v>-0.15565200579941482</v>
      </c>
      <c r="AH17" s="24">
        <v>0.99530147988205575</v>
      </c>
      <c r="AI17" s="24">
        <v>-2.4502027642058084</v>
      </c>
      <c r="AJ17" s="24">
        <v>0.3892437157797104</v>
      </c>
      <c r="AK17" s="24">
        <v>1.9065097899681511</v>
      </c>
      <c r="AL17" s="24">
        <v>0.51802383423292386</v>
      </c>
      <c r="AM17" s="24">
        <v>0.31642888696195692</v>
      </c>
      <c r="AN17" s="24">
        <v>-1.3733309434208663</v>
      </c>
      <c r="AO17" s="24">
        <v>0.83679091094813862</v>
      </c>
      <c r="AP17" s="24">
        <v>2.2592849744742423</v>
      </c>
      <c r="AQ17" s="24">
        <v>-1.5567843249185391</v>
      </c>
      <c r="AR17" s="24">
        <v>1.827641174678057</v>
      </c>
      <c r="AS17" s="24">
        <v>1.6617380270310078</v>
      </c>
      <c r="AT17" s="24">
        <v>1.0680515704431586</v>
      </c>
      <c r="AU17" s="24">
        <v>3.7596043181308216</v>
      </c>
      <c r="AV17" s="24">
        <v>0.62200009737564854</v>
      </c>
      <c r="AW17" s="24">
        <v>-2.9924676397798153</v>
      </c>
    </row>
    <row r="18" spans="1:49" ht="13.8" x14ac:dyDescent="0.3">
      <c r="A18" s="25" t="s">
        <v>662</v>
      </c>
      <c r="B18" s="24" t="s">
        <v>663</v>
      </c>
      <c r="D18" s="24">
        <v>0.16960725594806242</v>
      </c>
      <c r="E18" s="24">
        <v>-1.8400438400469661</v>
      </c>
      <c r="F18" s="24">
        <v>-0.36549127069889936</v>
      </c>
      <c r="G18" s="24">
        <v>1.9474292504187816</v>
      </c>
      <c r="H18" s="24">
        <v>0.28450960581142598</v>
      </c>
      <c r="I18" s="24">
        <v>1.4963296442810963</v>
      </c>
      <c r="J18" s="24">
        <v>1.6883134446631556</v>
      </c>
      <c r="K18" s="24">
        <v>-1.7115112030715298</v>
      </c>
      <c r="L18" s="24">
        <v>1.6899202913181397</v>
      </c>
      <c r="M18" s="24">
        <v>-0.51322104587207229</v>
      </c>
      <c r="N18" s="24">
        <v>0.12063159624938791</v>
      </c>
      <c r="O18" s="24">
        <v>-1.4982904544257003</v>
      </c>
      <c r="P18" s="24">
        <v>-0.5635006086427361</v>
      </c>
      <c r="Q18" s="24">
        <v>0.8644387407156231</v>
      </c>
      <c r="R18" s="24">
        <v>-2.7002231236867353</v>
      </c>
      <c r="S18" s="24">
        <v>0.83356909090935094</v>
      </c>
      <c r="T18" s="24">
        <v>-0.71325227933766022</v>
      </c>
      <c r="U18" s="24">
        <v>0.3890327248321937</v>
      </c>
      <c r="V18" s="24">
        <v>-0.87975393808915248</v>
      </c>
      <c r="W18" s="24">
        <v>1.5248295380596846</v>
      </c>
      <c r="X18" s="24">
        <v>-0.68308312597840426</v>
      </c>
      <c r="Y18" s="24">
        <v>0.9706852000848839</v>
      </c>
      <c r="Z18" s="24">
        <v>2.7997827773415107</v>
      </c>
      <c r="AA18" s="24">
        <v>0.170627360565063</v>
      </c>
      <c r="AB18" s="24">
        <v>-1.9480265902674785</v>
      </c>
      <c r="AC18" s="24">
        <v>-0.29361145250306686</v>
      </c>
      <c r="AD18" s="24">
        <v>-0.75324814768518211</v>
      </c>
      <c r="AE18" s="24">
        <v>-0.6734748606270593</v>
      </c>
      <c r="AF18" s="24">
        <v>-2.0485837765224146</v>
      </c>
      <c r="AG18" s="24">
        <v>2.2222323526687884</v>
      </c>
      <c r="AH18" s="24">
        <v>-1.7796088132500922</v>
      </c>
      <c r="AI18" s="24">
        <v>0.23428224971793091</v>
      </c>
      <c r="AJ18" s="24">
        <v>-1.4839057109241092</v>
      </c>
      <c r="AK18" s="24">
        <v>-1.5028271289105795</v>
      </c>
      <c r="AL18" s="24">
        <v>0.76597068310867267</v>
      </c>
      <c r="AM18" s="24">
        <v>0.33930918178160197</v>
      </c>
      <c r="AN18" s="24">
        <v>-1.336184473237362</v>
      </c>
      <c r="AO18" s="24">
        <v>-0.99177661485140878</v>
      </c>
      <c r="AP18" s="24">
        <v>0.32237626207970871</v>
      </c>
      <c r="AQ18" s="24">
        <v>-1.2648427758982328</v>
      </c>
      <c r="AR18" s="24">
        <v>2.3272011992194068</v>
      </c>
      <c r="AS18" s="24">
        <v>-0.16956781317352926</v>
      </c>
      <c r="AT18" s="24">
        <v>-0.75530888363311799</v>
      </c>
      <c r="AU18" s="24">
        <v>-1.875146329663935</v>
      </c>
      <c r="AV18" s="24">
        <v>-1.2500680265781001</v>
      </c>
      <c r="AW18" s="24">
        <v>-2.5903405019416161</v>
      </c>
    </row>
    <row r="19" spans="1:49" ht="13.8" x14ac:dyDescent="0.3">
      <c r="A19" s="25" t="s">
        <v>664</v>
      </c>
      <c r="B19" s="24" t="s">
        <v>665</v>
      </c>
      <c r="D19" s="24">
        <v>-0.20289854354746753</v>
      </c>
      <c r="E19" s="24">
        <v>1.7694780392103895</v>
      </c>
      <c r="F19" s="24">
        <v>7.6714199296004967E-2</v>
      </c>
      <c r="G19" s="24">
        <v>0.36806567291182707</v>
      </c>
      <c r="H19" s="24">
        <v>-0.27089854424710452</v>
      </c>
      <c r="I19" s="24">
        <v>1.1402118424444896</v>
      </c>
      <c r="J19" s="24">
        <v>-3.3751770546748627</v>
      </c>
      <c r="K19" s="24">
        <v>0.67711678762068328</v>
      </c>
      <c r="L19" s="24">
        <v>-2.3819936588588191</v>
      </c>
      <c r="M19" s="24">
        <v>-2.1630092054810137</v>
      </c>
      <c r="N19" s="24">
        <v>2.8932439261969307</v>
      </c>
      <c r="O19" s="24">
        <v>0.25179186684628441</v>
      </c>
      <c r="P19" s="24">
        <v>-1.734567272305664</v>
      </c>
      <c r="Q19" s="24">
        <v>-0.6829379176265169</v>
      </c>
      <c r="R19" s="24">
        <v>2.8725681640119327</v>
      </c>
      <c r="S19" s="24">
        <v>-1.3523488438318782E-2</v>
      </c>
      <c r="T19" s="24">
        <v>1.5583627194239622</v>
      </c>
      <c r="U19" s="24">
        <v>-3.0308608945154205</v>
      </c>
      <c r="V19" s="24">
        <v>-2.0963523261830614</v>
      </c>
      <c r="W19" s="24">
        <v>-0.92699053442041368</v>
      </c>
      <c r="X19" s="24">
        <v>-0.50721472051770933</v>
      </c>
      <c r="Y19" s="24">
        <v>0.89082282693512582</v>
      </c>
      <c r="Z19" s="24">
        <v>2.3201535626422949</v>
      </c>
      <c r="AA19" s="24">
        <v>2.6970921491176643E-2</v>
      </c>
      <c r="AB19" s="24">
        <v>-3.7498406703700953</v>
      </c>
      <c r="AC19" s="24">
        <v>-1.8131358437254417</v>
      </c>
      <c r="AD19" s="24">
        <v>2.3688127528661682</v>
      </c>
      <c r="AE19" s="24">
        <v>-0.93729068529117165</v>
      </c>
      <c r="AF19" s="24">
        <v>-3.6307932959935885</v>
      </c>
      <c r="AG19" s="24">
        <v>0.69156793891428825</v>
      </c>
      <c r="AH19" s="24">
        <v>1.6484047155918886</v>
      </c>
      <c r="AI19" s="24">
        <v>-2.2321040998888884</v>
      </c>
      <c r="AJ19" s="24">
        <v>1.7018656708876712</v>
      </c>
      <c r="AK19" s="24">
        <v>2.8672103026254128E-2</v>
      </c>
      <c r="AL19" s="24">
        <v>0.92456914801019441</v>
      </c>
      <c r="AM19" s="24">
        <v>1.7478253573050271</v>
      </c>
      <c r="AN19" s="24">
        <v>-0.13267930936185837</v>
      </c>
      <c r="AO19" s="24">
        <v>0.8397251191783679</v>
      </c>
      <c r="AP19" s="24">
        <v>0.87161192134682119</v>
      </c>
      <c r="AQ19" s="24">
        <v>1.0897556719938801</v>
      </c>
      <c r="AR19" s="24">
        <v>3.4127559426930777E-2</v>
      </c>
      <c r="AS19" s="24">
        <v>-2.3318280821643306E-2</v>
      </c>
      <c r="AT19" s="24">
        <v>0.5972982707640565</v>
      </c>
      <c r="AU19" s="24">
        <v>-0.59843751385989075</v>
      </c>
      <c r="AV19" s="24">
        <v>0.45175919612339333</v>
      </c>
      <c r="AW19" s="24">
        <v>-0.98967727386169579</v>
      </c>
    </row>
    <row r="20" spans="1:49" ht="13.8" x14ac:dyDescent="0.3">
      <c r="D20" s="24">
        <v>2.7059673659339869</v>
      </c>
      <c r="E20" s="24">
        <v>2.0309518416796974</v>
      </c>
      <c r="F20" s="24">
        <v>-0.62935623726235557</v>
      </c>
      <c r="G20" s="24">
        <v>1.6102543359296784E-2</v>
      </c>
      <c r="H20" s="24">
        <v>-2.9987426620827984</v>
      </c>
      <c r="I20" s="24">
        <v>2.036560048168059</v>
      </c>
      <c r="J20" s="24">
        <v>0.84674587951389957</v>
      </c>
      <c r="K20" s="24">
        <v>2.1872824478053179</v>
      </c>
      <c r="L20" s="24">
        <v>0.36363921201480781</v>
      </c>
      <c r="M20" s="24">
        <v>0.62282199309730879</v>
      </c>
      <c r="N20" s="24">
        <v>0.79875329326834632</v>
      </c>
      <c r="O20" s="24">
        <v>-1.6204525079625167</v>
      </c>
      <c r="P20" s="24">
        <v>-1.9244874339660178</v>
      </c>
      <c r="Q20" s="24">
        <v>0.21844801347145892</v>
      </c>
      <c r="R20" s="24">
        <v>-1.8419365836878054</v>
      </c>
      <c r="S20" s="24">
        <v>-1.751234382848712</v>
      </c>
      <c r="T20" s="24">
        <v>1.2276110007778536</v>
      </c>
      <c r="U20" s="24">
        <v>6.797094800887854E-2</v>
      </c>
      <c r="V20" s="24">
        <v>0.32238483304047344</v>
      </c>
      <c r="W20" s="24">
        <v>3.495511318877504E-2</v>
      </c>
      <c r="X20" s="24">
        <v>0.81431861116695403</v>
      </c>
      <c r="Y20" s="24">
        <v>1.4613065737729032</v>
      </c>
      <c r="Z20" s="24">
        <v>-0.39086566372430126</v>
      </c>
      <c r="AA20" s="24">
        <v>-0.13423249090859851</v>
      </c>
      <c r="AB20" s="24">
        <v>1.3462186414365949</v>
      </c>
      <c r="AC20" s="24">
        <v>3.3080021144336178</v>
      </c>
      <c r="AD20" s="24">
        <v>-0.68936440426890144</v>
      </c>
      <c r="AE20" s="24">
        <v>-0.95459060507418669</v>
      </c>
      <c r="AF20" s="24">
        <v>0.40173363060227624</v>
      </c>
      <c r="AG20" s="24">
        <v>0.38325427635025971</v>
      </c>
      <c r="AH20" s="24">
        <v>-2.2884356136018462E-2</v>
      </c>
      <c r="AI20" s="24">
        <v>-0.80609077959875819</v>
      </c>
      <c r="AJ20" s="24">
        <v>0.36080846660695814</v>
      </c>
      <c r="AK20" s="24">
        <v>1.0922332230430962</v>
      </c>
      <c r="AL20" s="24">
        <v>7.441116381231784E-2</v>
      </c>
      <c r="AM20" s="24">
        <v>0.30593820515757275</v>
      </c>
      <c r="AN20" s="24">
        <v>0.8354589313880797</v>
      </c>
      <c r="AO20" s="24">
        <v>-1.098323182683197</v>
      </c>
      <c r="AP20" s="24">
        <v>0.23949594266485083</v>
      </c>
      <c r="AQ20" s="24">
        <v>-0.58059548644729853</v>
      </c>
      <c r="AR20" s="24">
        <v>2.726539140143561</v>
      </c>
      <c r="AS20" s="24">
        <v>2.0836379608084767</v>
      </c>
      <c r="AT20" s="24">
        <v>-0.93810958006983869</v>
      </c>
      <c r="AU20" s="24">
        <v>-0.69688175919561313</v>
      </c>
      <c r="AV20" s="24">
        <v>0.15883684107748966</v>
      </c>
      <c r="AW20" s="24">
        <v>-2.0904277639152924</v>
      </c>
    </row>
    <row r="21" spans="1:49" ht="13.8" x14ac:dyDescent="0.3">
      <c r="D21" s="24">
        <v>0.69328601631455589</v>
      </c>
      <c r="E21" s="24">
        <v>0.45732431952958896</v>
      </c>
      <c r="F21" s="24">
        <v>-0.36240429430081228</v>
      </c>
      <c r="G21" s="24">
        <v>0.61940669673737314</v>
      </c>
      <c r="H21" s="24">
        <v>-0.54788440969441032</v>
      </c>
      <c r="I21" s="24">
        <v>0.9863501491056148</v>
      </c>
      <c r="J21" s="24">
        <v>5.4204440197574089E-2</v>
      </c>
      <c r="K21" s="24">
        <v>-2.2439415063049952</v>
      </c>
      <c r="L21" s="24">
        <v>1.3501850777308568</v>
      </c>
      <c r="M21" s="24">
        <v>-0.44428974176779024</v>
      </c>
      <c r="N21" s="24">
        <v>0.40849667454655331</v>
      </c>
      <c r="O21" s="24">
        <v>-0.32836105977517249</v>
      </c>
      <c r="P21" s="24">
        <v>-0.49370577111549635</v>
      </c>
      <c r="Q21" s="24">
        <v>0.73892060265907722</v>
      </c>
      <c r="R21" s="24">
        <v>0.45724715099406005</v>
      </c>
      <c r="S21" s="24">
        <v>-0.18459641187343126</v>
      </c>
      <c r="T21" s="24">
        <v>-0.27100679936998162</v>
      </c>
      <c r="U21" s="24">
        <v>0.3363272463759503</v>
      </c>
      <c r="V21" s="24">
        <v>-0.69478352420280043</v>
      </c>
      <c r="W21" s="24">
        <v>1.2854192702876543</v>
      </c>
      <c r="X21" s="24">
        <v>-0.69709286280953897</v>
      </c>
      <c r="Y21" s="24">
        <v>0.56733724098552019</v>
      </c>
      <c r="Z21" s="24">
        <v>-0.15751306366518655</v>
      </c>
      <c r="AA21" s="24">
        <v>-0.35567130803821179</v>
      </c>
      <c r="AB21" s="24">
        <v>-1.7825173095960936</v>
      </c>
      <c r="AC21" s="24">
        <v>1.680383749919393</v>
      </c>
      <c r="AD21" s="24">
        <v>0.62452601746894898</v>
      </c>
      <c r="AE21" s="24">
        <v>0.32490041129711317</v>
      </c>
      <c r="AF21" s="24">
        <v>0.63570610127582972</v>
      </c>
      <c r="AG21" s="24">
        <v>0.57572514438839573</v>
      </c>
      <c r="AH21" s="24">
        <v>-0.26796117196921121</v>
      </c>
      <c r="AI21" s="24">
        <v>1.0159141048125016</v>
      </c>
      <c r="AJ21" s="24">
        <v>0.18281024895515094</v>
      </c>
      <c r="AK21" s="24">
        <v>-0.58947362241608658</v>
      </c>
      <c r="AL21" s="24">
        <v>0.11195832527464677</v>
      </c>
      <c r="AM21" s="24">
        <v>9.3891435709595836E-2</v>
      </c>
      <c r="AN21" s="24">
        <v>0.85953972065744177</v>
      </c>
      <c r="AO21" s="24">
        <v>-0.50720522056618833</v>
      </c>
      <c r="AP21" s="24">
        <v>0.30303225333533007</v>
      </c>
      <c r="AQ21" s="24">
        <v>-0.78443767829061073</v>
      </c>
      <c r="AR21" s="24">
        <v>1.2375123894047109</v>
      </c>
      <c r="AS21" s="24">
        <v>-1.1138172664551531</v>
      </c>
      <c r="AT21" s="24">
        <v>1.38817574553883E-2</v>
      </c>
      <c r="AU21" s="24">
        <v>1.1737675746911886</v>
      </c>
      <c r="AV21" s="24">
        <v>-0.88607139139477742</v>
      </c>
      <c r="AW21" s="24">
        <v>-2.7673298884473478</v>
      </c>
    </row>
    <row r="22" spans="1:49" ht="13.8" x14ac:dyDescent="0.3">
      <c r="D22" s="24">
        <v>-0.69708117252296542</v>
      </c>
      <c r="E22" s="24">
        <v>-0.31820346534076605</v>
      </c>
      <c r="F22" s="24">
        <v>0.69774341889747027</v>
      </c>
      <c r="G22" s="24">
        <v>0.51625926646576603</v>
      </c>
      <c r="H22" s="24">
        <v>-0.75205323221568032</v>
      </c>
      <c r="I22" s="24">
        <v>0.27103609641463655</v>
      </c>
      <c r="J22" s="24">
        <v>1.3400270089128707</v>
      </c>
      <c r="K22" s="24">
        <v>-1.4490058731666275</v>
      </c>
      <c r="L22" s="24">
        <v>0.18418498928813007</v>
      </c>
      <c r="M22" s="24">
        <v>-1.5155630193802891</v>
      </c>
      <c r="N22" s="24">
        <v>7.8322321994183111E-2</v>
      </c>
      <c r="O22" s="24">
        <v>-5.7643212049986348E-2</v>
      </c>
      <c r="P22" s="24">
        <v>-1.4294636658186763</v>
      </c>
      <c r="Q22" s="24">
        <v>1.5917483629271236</v>
      </c>
      <c r="R22" s="24">
        <v>-0.67347629025245337</v>
      </c>
      <c r="S22" s="24">
        <v>-0.53700802803980763</v>
      </c>
      <c r="T22" s="24">
        <v>0.34531157708098759</v>
      </c>
      <c r="U22" s="24">
        <v>-1.8302870405506906</v>
      </c>
      <c r="V22" s="24">
        <v>-0.80323311333424008</v>
      </c>
      <c r="W22" s="24">
        <v>1.2506757023214463</v>
      </c>
      <c r="X22" s="24">
        <v>3.0020264318881567</v>
      </c>
      <c r="Y22" s="24">
        <v>-4.5261454809560057E-2</v>
      </c>
      <c r="Z22" s="24">
        <v>-0.54766975109292626</v>
      </c>
      <c r="AA22" s="24">
        <v>2.2450861146134273</v>
      </c>
      <c r="AB22" s="24">
        <v>-1.2868656387143107</v>
      </c>
      <c r="AC22" s="24">
        <v>0.27849153732006288</v>
      </c>
      <c r="AD22" s="24">
        <v>-1.5704743613804664</v>
      </c>
      <c r="AE22" s="24">
        <v>-1.1699733625229838</v>
      </c>
      <c r="AF22" s="24">
        <v>-1.6220150946736989</v>
      </c>
      <c r="AG22" s="24">
        <v>-1.3785125925840345</v>
      </c>
      <c r="AH22" s="24">
        <v>-1.5686359574519053</v>
      </c>
      <c r="AI22" s="24">
        <v>1.1700533769168155</v>
      </c>
      <c r="AJ22" s="24">
        <v>-1.4168767584450874</v>
      </c>
      <c r="AK22" s="24">
        <v>-0.93669302580437575</v>
      </c>
      <c r="AL22" s="24">
        <v>0.85458160281269346</v>
      </c>
      <c r="AM22" s="24">
        <v>-3.3958542268015173E-4</v>
      </c>
      <c r="AN22" s="24">
        <v>-0.86716748637937646</v>
      </c>
      <c r="AO22" s="24">
        <v>-1.1552787534161357</v>
      </c>
      <c r="AP22" s="24">
        <v>0.40888624386163724</v>
      </c>
      <c r="AQ22" s="24">
        <v>1.1398443239802232</v>
      </c>
      <c r="AR22" s="24">
        <v>-1.1030548157074382</v>
      </c>
      <c r="AS22" s="24">
        <v>2.6009024244964425</v>
      </c>
      <c r="AT22" s="24">
        <v>-0.71252445047943613</v>
      </c>
      <c r="AU22" s="24">
        <v>-7.0069262165413509E-2</v>
      </c>
      <c r="AV22" s="24">
        <v>-8.0851961036574715E-2</v>
      </c>
      <c r="AW22" s="24">
        <v>-3.2509582530870604</v>
      </c>
    </row>
    <row r="23" spans="1:49" ht="13.8" x14ac:dyDescent="0.3">
      <c r="D23" s="24">
        <v>2.2567801299897827E-2</v>
      </c>
      <c r="E23" s="24">
        <v>-1.2762048724264654</v>
      </c>
      <c r="F23" s="24">
        <v>0.53118691466302426</v>
      </c>
      <c r="G23" s="24">
        <v>0.558256455439608</v>
      </c>
      <c r="H23" s="24">
        <v>0.56697834588863727</v>
      </c>
      <c r="I23" s="24">
        <v>-1.560319591059957</v>
      </c>
      <c r="J23" s="24">
        <v>1.3254977287595489</v>
      </c>
      <c r="K23" s="24">
        <v>-0.26582508997527959</v>
      </c>
      <c r="L23" s="24">
        <v>0.93220514201605142</v>
      </c>
      <c r="M23" s="24">
        <v>-1.7287053778491785</v>
      </c>
      <c r="N23" s="24">
        <v>-0.30251951519555526</v>
      </c>
      <c r="O23" s="24">
        <v>0.63080295680248377</v>
      </c>
      <c r="P23" s="24">
        <v>0.25232856776532497</v>
      </c>
      <c r="Q23" s="24">
        <v>0.6027149369665763</v>
      </c>
      <c r="R23" s="24">
        <v>0.13601420986750562</v>
      </c>
      <c r="S23" s="24">
        <v>-0.14006766819462366</v>
      </c>
      <c r="T23" s="24">
        <v>0.25654089578998163</v>
      </c>
      <c r="U23" s="24">
        <v>-9.321646916156176E-2</v>
      </c>
      <c r="V23" s="24">
        <v>-0.67195759017897605</v>
      </c>
      <c r="W23" s="24">
        <v>0.59563048026881105</v>
      </c>
      <c r="X23" s="24">
        <v>1.1179820182430811</v>
      </c>
      <c r="Y23" s="24">
        <v>-1.7954154564127325</v>
      </c>
      <c r="Z23" s="24">
        <v>8.1480600309187107E-2</v>
      </c>
      <c r="AA23" s="24">
        <v>-0.67032383660275319</v>
      </c>
      <c r="AB23" s="24">
        <v>-0.92082394808090828</v>
      </c>
      <c r="AC23" s="24">
        <v>-1.0997006907699685</v>
      </c>
      <c r="AD23" s="24">
        <v>-1.0467718853503576E-2</v>
      </c>
      <c r="AE23" s="24">
        <v>-1.1846330022908127</v>
      </c>
      <c r="AF23" s="24">
        <v>-2.4796518448656277</v>
      </c>
      <c r="AG23" s="24">
        <v>1.2194394185712945</v>
      </c>
      <c r="AH23" s="24">
        <v>-0.13573371006203871</v>
      </c>
      <c r="AI23" s="24">
        <v>-3.0504273306916119</v>
      </c>
      <c r="AJ23" s="24">
        <v>-0.22843511636512542</v>
      </c>
      <c r="AK23" s="24">
        <v>0.99907144872755127</v>
      </c>
      <c r="AL23" s="24">
        <v>0.73991130602191812</v>
      </c>
      <c r="AM23" s="24">
        <v>-0.3777102588294512</v>
      </c>
      <c r="AN23" s="24">
        <v>-7.9634036614075254E-2</v>
      </c>
      <c r="AO23" s="24">
        <v>8.9673639387823745E-2</v>
      </c>
      <c r="AP23" s="24">
        <v>1.5974543140015873</v>
      </c>
      <c r="AQ23" s="24">
        <v>-0.17346018808465558</v>
      </c>
      <c r="AR23" s="24">
        <v>0.50306146862108325</v>
      </c>
      <c r="AS23" s="24">
        <v>-0.4734341628298544</v>
      </c>
      <c r="AT23" s="24">
        <v>-0.48479334564833537</v>
      </c>
      <c r="AU23" s="24">
        <v>1.8608487078764349</v>
      </c>
      <c r="AV23" s="24">
        <v>-0.55127400488157008</v>
      </c>
      <c r="AW23" s="24">
        <v>-2.0692427564339337</v>
      </c>
    </row>
    <row r="24" spans="1:49" ht="13.8" x14ac:dyDescent="0.3">
      <c r="D24" s="24">
        <v>0.43393864077128808</v>
      </c>
      <c r="E24" s="24">
        <v>1.0844634069657884</v>
      </c>
      <c r="F24" s="24">
        <v>-1.3644140239781337</v>
      </c>
      <c r="G24" s="24">
        <v>-1.5333809273441479</v>
      </c>
      <c r="H24" s="24">
        <v>0.19349671473006172</v>
      </c>
      <c r="I24" s="24">
        <v>-0.88243194617302212</v>
      </c>
      <c r="J24" s="24">
        <v>1.3854583387434556</v>
      </c>
      <c r="K24" s="24">
        <v>-1.0301497047193782</v>
      </c>
      <c r="L24" s="24">
        <v>0.94994201585824178</v>
      </c>
      <c r="M24" s="24">
        <v>-1.7507153281134586</v>
      </c>
      <c r="N24" s="24">
        <v>-1.9105000593018084</v>
      </c>
      <c r="O24" s="24">
        <v>-2.7169085792300454</v>
      </c>
      <c r="P24" s="24">
        <v>-1.113010848620545</v>
      </c>
      <c r="Q24" s="24">
        <v>-0.86917246573373153</v>
      </c>
      <c r="R24" s="24">
        <v>-0.12261479962582822</v>
      </c>
      <c r="S24" s="24">
        <v>0.70905962346246487</v>
      </c>
      <c r="T24" s="24">
        <v>-0.9687474254422126</v>
      </c>
      <c r="U24" s="24">
        <v>-1.0311277915724091</v>
      </c>
      <c r="V24" s="24">
        <v>-1.922960471462146</v>
      </c>
      <c r="W24" s="24">
        <v>0.8665259027689608</v>
      </c>
      <c r="X24" s="24">
        <v>-1.0003049686630456</v>
      </c>
      <c r="Y24" s="24">
        <v>-0.19834286781933549</v>
      </c>
      <c r="Z24" s="24">
        <v>-0.24822056323620958</v>
      </c>
      <c r="AA24" s="24">
        <v>-0.58411780629643317</v>
      </c>
      <c r="AB24" s="24">
        <v>-1.2769798506033363</v>
      </c>
      <c r="AC24" s="24">
        <v>2.7884296802745521</v>
      </c>
      <c r="AD24" s="24">
        <v>0.56424920662859512</v>
      </c>
      <c r="AE24" s="24">
        <v>-0.94269973451736788</v>
      </c>
      <c r="AF24" s="24">
        <v>1.9063041627062207</v>
      </c>
      <c r="AG24" s="24">
        <v>-2.0127612986310432</v>
      </c>
      <c r="AH24" s="24">
        <v>1.3167059432954578</v>
      </c>
      <c r="AI24" s="24">
        <v>-2.8565152826004301</v>
      </c>
      <c r="AJ24" s="24">
        <v>3.1698356063900213</v>
      </c>
      <c r="AK24" s="24">
        <v>-0.34734978030241642</v>
      </c>
      <c r="AL24" s="24">
        <v>-0.64313002117656581</v>
      </c>
      <c r="AM24" s="24">
        <v>0.15864471689045703</v>
      </c>
      <c r="AN24" s="24">
        <v>0.43578002630547552</v>
      </c>
      <c r="AO24" s="24">
        <v>2.5205579774561881E-3</v>
      </c>
      <c r="AP24" s="24">
        <v>0.39340374950813245</v>
      </c>
      <c r="AQ24" s="24">
        <v>0.30439111061945573</v>
      </c>
      <c r="AR24" s="24">
        <v>1.443959949269255</v>
      </c>
      <c r="AS24" s="24">
        <v>1.4763245440392996</v>
      </c>
      <c r="AT24" s="24">
        <v>1.1339977169458357</v>
      </c>
      <c r="AU24" s="24">
        <v>1.0757251579434909E-2</v>
      </c>
      <c r="AV24" s="24">
        <v>0.88817996101770103</v>
      </c>
      <c r="AW24" s="24">
        <v>0.8904238438275649</v>
      </c>
    </row>
    <row r="25" spans="1:49" ht="13.8" x14ac:dyDescent="0.3">
      <c r="D25" s="24">
        <v>-1.1378688551328342</v>
      </c>
      <c r="E25" s="24">
        <v>-2.8057789041163987</v>
      </c>
      <c r="F25" s="24">
        <v>-1.0592264635802398</v>
      </c>
      <c r="G25" s="24">
        <v>1.1030852125826536</v>
      </c>
      <c r="H25" s="24">
        <v>2.3127394321938537</v>
      </c>
      <c r="I25" s="24">
        <v>-6.0677719062175513E-2</v>
      </c>
      <c r="J25" s="24">
        <v>1.9972056412296428</v>
      </c>
      <c r="K25" s="24">
        <v>-0.13544474517793459</v>
      </c>
      <c r="L25" s="24">
        <v>-1.9497872927965449</v>
      </c>
      <c r="M25" s="24">
        <v>-2.1056018318614376</v>
      </c>
      <c r="N25" s="24">
        <v>-0.26276529169986962</v>
      </c>
      <c r="O25" s="24">
        <v>1.3643241674123223</v>
      </c>
      <c r="P25" s="24">
        <v>1.2670798480322605</v>
      </c>
      <c r="Q25" s="24">
        <v>0.28131781048135779</v>
      </c>
      <c r="R25" s="24">
        <v>-2.7631440397701397</v>
      </c>
      <c r="S25" s="24">
        <v>0.2111511503054844</v>
      </c>
      <c r="T25" s="24">
        <v>-0.89725541113970764</v>
      </c>
      <c r="U25" s="24">
        <v>0.57850027731168996</v>
      </c>
      <c r="V25" s="24">
        <v>-1.0930570651218339</v>
      </c>
      <c r="W25" s="24">
        <v>1.4274722834598355</v>
      </c>
      <c r="X25" s="24">
        <v>0.18883857548810698</v>
      </c>
      <c r="Y25" s="24">
        <v>-1.2462957494210536</v>
      </c>
      <c r="Z25" s="24">
        <v>-1.2808052139305504</v>
      </c>
      <c r="AA25" s="24">
        <v>1.0691216875485714</v>
      </c>
      <c r="AB25" s="24">
        <v>-2.2974444088602799</v>
      </c>
      <c r="AC25" s="24">
        <v>-0.85414142942733084</v>
      </c>
      <c r="AD25" s="24">
        <v>-0.9027215533664108</v>
      </c>
      <c r="AE25" s="24">
        <v>-0.32531003157215721</v>
      </c>
      <c r="AF25" s="24">
        <v>-0.54739243713154628</v>
      </c>
      <c r="AG25" s="24">
        <v>-5.238904616624885E-2</v>
      </c>
      <c r="AH25" s="24">
        <v>1.6394712241216256</v>
      </c>
      <c r="AI25" s="24">
        <v>-1.9393496736641733</v>
      </c>
      <c r="AJ25" s="24">
        <v>-1.5677041981688717</v>
      </c>
      <c r="AK25" s="24">
        <v>-2.3435914589007707</v>
      </c>
      <c r="AL25" s="24">
        <v>0.88934926174059203</v>
      </c>
      <c r="AM25" s="24">
        <v>-2.5768612675192175</v>
      </c>
      <c r="AN25" s="24">
        <v>-1.4245380539435857</v>
      </c>
      <c r="AO25" s="24">
        <v>-1.594266576043984</v>
      </c>
      <c r="AP25" s="24">
        <v>1.837994649614088</v>
      </c>
      <c r="AQ25" s="24">
        <v>3.8344760030992497</v>
      </c>
      <c r="AR25" s="24">
        <v>0.18249169443538088</v>
      </c>
      <c r="AS25" s="24">
        <v>-2.1002807894071562</v>
      </c>
      <c r="AT25" s="24">
        <v>-0.1742458352674863</v>
      </c>
      <c r="AU25" s="24">
        <v>-0.16667684083477852</v>
      </c>
      <c r="AV25" s="24">
        <v>1.2916194877906668</v>
      </c>
      <c r="AW25" s="24">
        <v>-1.7118994097748979</v>
      </c>
    </row>
    <row r="26" spans="1:49" ht="13.8" x14ac:dyDescent="0.3">
      <c r="D26" s="24">
        <v>0.10198610586217467</v>
      </c>
      <c r="E26" s="24">
        <v>2.0693529815616657E-3</v>
      </c>
      <c r="F26" s="24">
        <v>0.17098231433542496</v>
      </c>
      <c r="G26" s="24">
        <v>1.5925259350236826E-2</v>
      </c>
      <c r="H26" s="24">
        <v>-0.56262142868148246</v>
      </c>
      <c r="I26" s="24">
        <v>1.3694109647950421</v>
      </c>
      <c r="J26" s="24">
        <v>-0.17112436660189151</v>
      </c>
      <c r="K26" s="24">
        <v>-0.74535658909371838</v>
      </c>
      <c r="L26" s="24">
        <v>1.1662499289439467</v>
      </c>
      <c r="M26" s="24">
        <v>-1.0681907571091329</v>
      </c>
      <c r="N26" s="24">
        <v>-0.1222430819156389</v>
      </c>
      <c r="O26" s="24">
        <v>-1.0718064589555785</v>
      </c>
      <c r="P26" s="24">
        <v>-2.6446377536770878E-2</v>
      </c>
      <c r="Q26" s="24">
        <v>-0.54295511378111716</v>
      </c>
      <c r="R26" s="24">
        <v>6.7690196640032091E-2</v>
      </c>
      <c r="S26" s="24">
        <v>-1.381973385121102</v>
      </c>
      <c r="T26" s="24">
        <v>-1.3117344133733795</v>
      </c>
      <c r="U26" s="24">
        <v>3.5916162590348508E-2</v>
      </c>
      <c r="V26" s="24">
        <v>1.0414070339454107</v>
      </c>
      <c r="W26" s="24">
        <v>-0.32142478610355663</v>
      </c>
      <c r="X26" s="24">
        <v>-0.23626924847398173</v>
      </c>
      <c r="Y26" s="24">
        <v>0.80660998498236325</v>
      </c>
      <c r="Z26" s="24">
        <v>-0.92370046427811126</v>
      </c>
      <c r="AA26" s="24">
        <v>-0.26848467032302969</v>
      </c>
      <c r="AB26" s="24">
        <v>8.6895458543528481E-2</v>
      </c>
      <c r="AC26" s="24">
        <v>1.2502391884507755</v>
      </c>
      <c r="AD26" s="24">
        <v>1.5107767962250371</v>
      </c>
      <c r="AE26" s="24">
        <v>-0.19994593913929432</v>
      </c>
      <c r="AF26" s="24">
        <v>1.176280392990867</v>
      </c>
      <c r="AG26" s="24">
        <v>-1.3378807406448012</v>
      </c>
      <c r="AH26" s="24">
        <v>1.0310807594032276</v>
      </c>
      <c r="AI26" s="24">
        <v>0.49794329939791687</v>
      </c>
      <c r="AJ26" s="24">
        <v>0.64483583767472785</v>
      </c>
      <c r="AK26" s="24">
        <v>0.98669733364073953</v>
      </c>
      <c r="AL26" s="24">
        <v>-0.12822947990153072</v>
      </c>
      <c r="AM26" s="24">
        <v>0.14316747715660136</v>
      </c>
      <c r="AN26" s="24">
        <v>0.26427658718041913</v>
      </c>
      <c r="AO26" s="24">
        <v>-0.18983180845576703</v>
      </c>
      <c r="AP26" s="24">
        <v>-0.16490484280827639</v>
      </c>
      <c r="AQ26" s="24">
        <v>-2.2021101116389779</v>
      </c>
      <c r="AR26" s="24">
        <v>0.67362460545054481</v>
      </c>
      <c r="AS26" s="24">
        <v>-5.9429098165075606E-2</v>
      </c>
      <c r="AT26" s="24">
        <v>0.31213098452593085</v>
      </c>
      <c r="AU26" s="24">
        <v>-8.4332254216731864E-2</v>
      </c>
      <c r="AV26" s="24">
        <v>0.58968583306171263</v>
      </c>
      <c r="AW26" s="24">
        <v>-1.0302480186272804</v>
      </c>
    </row>
    <row r="27" spans="1:49" ht="13.8" x14ac:dyDescent="0.3">
      <c r="D27" s="24">
        <v>-2.1459673034507958</v>
      </c>
      <c r="E27" s="24">
        <v>-0.58198442388608818</v>
      </c>
      <c r="F27" s="24">
        <v>0.94269718310627926</v>
      </c>
      <c r="G27" s="24">
        <v>0.42167414993305535</v>
      </c>
      <c r="H27" s="24">
        <v>0.42139890687416054</v>
      </c>
      <c r="I27" s="24">
        <v>-2.2746607709541355</v>
      </c>
      <c r="J27" s="24">
        <v>1.4900326709888352</v>
      </c>
      <c r="K27" s="24">
        <v>0.39411909239574028</v>
      </c>
      <c r="L27" s="24">
        <v>-1.2161528145557715E-2</v>
      </c>
      <c r="M27" s="24">
        <v>7.6425349280898128E-2</v>
      </c>
      <c r="N27" s="24">
        <v>0.55081497426499726</v>
      </c>
      <c r="O27" s="24">
        <v>-0.4998956960011835</v>
      </c>
      <c r="P27" s="24">
        <v>-1.167618579062714</v>
      </c>
      <c r="Q27" s="24">
        <v>1.1639202637264021</v>
      </c>
      <c r="R27" s="24">
        <v>6.1826344142983145E-2</v>
      </c>
      <c r="S27" s="24">
        <v>-1.966427254677763</v>
      </c>
      <c r="T27" s="24">
        <v>0.10993315498161209</v>
      </c>
      <c r="U27" s="24">
        <v>-1.4348069653533684</v>
      </c>
      <c r="V27" s="24">
        <v>-0.66635185255364748</v>
      </c>
      <c r="W27" s="24">
        <v>1.599008637700275</v>
      </c>
      <c r="X27" s="24">
        <v>2.2523641195952742</v>
      </c>
      <c r="Y27" s="24">
        <v>0.15341585813110317</v>
      </c>
      <c r="Z27" s="24">
        <v>-0.51531290462577795</v>
      </c>
      <c r="AA27" s="24">
        <v>0.40249962125018801</v>
      </c>
      <c r="AB27" s="24">
        <v>-3.0201793485094477</v>
      </c>
      <c r="AC27" s="24">
        <v>0.2246715426021785</v>
      </c>
      <c r="AD27" s="24">
        <v>2.8287067151335155</v>
      </c>
      <c r="AE27" s="24">
        <v>0.17098928596756383</v>
      </c>
      <c r="AF27" s="24">
        <v>-0.13862612854695436</v>
      </c>
      <c r="AG27" s="24">
        <v>-1.5060486586056185</v>
      </c>
      <c r="AH27" s="24">
        <v>-1.315638753161311</v>
      </c>
      <c r="AI27" s="24">
        <v>-1.5991235524271628</v>
      </c>
      <c r="AJ27" s="24">
        <v>0.51721284525292599</v>
      </c>
      <c r="AK27" s="24">
        <v>-0.46025995692148441</v>
      </c>
      <c r="AL27" s="24">
        <v>1.0125267050316478</v>
      </c>
      <c r="AM27" s="24">
        <v>-0.27944681058609855</v>
      </c>
      <c r="AN27" s="24">
        <v>9.1636306590410319E-2</v>
      </c>
      <c r="AO27" s="24">
        <v>-0.98951488976629554</v>
      </c>
      <c r="AP27" s="24">
        <v>0.11788295196029436</v>
      </c>
      <c r="AQ27" s="24">
        <v>-0.47223705487500273</v>
      </c>
      <c r="AR27" s="24">
        <v>-0.37849030918113163</v>
      </c>
      <c r="AS27" s="24">
        <v>-1.3138101844468839</v>
      </c>
      <c r="AT27" s="24">
        <v>-0.16252812961424687</v>
      </c>
      <c r="AU27" s="24">
        <v>1.3635136168128994</v>
      </c>
      <c r="AV27" s="24">
        <v>-1.5455204576014567</v>
      </c>
      <c r="AW27" s="24">
        <v>-2.6387097773555643</v>
      </c>
    </row>
    <row r="30" spans="1:49" ht="13.8" x14ac:dyDescent="0.3">
      <c r="D30" s="24">
        <v>-4.4896620359461332</v>
      </c>
      <c r="E30" s="24">
        <v>-3.0159932297435526</v>
      </c>
      <c r="F30" s="24">
        <v>-4.145853294183949</v>
      </c>
      <c r="G30" s="24">
        <v>-3.8624032874736867</v>
      </c>
      <c r="H30" s="24">
        <v>-3.483933545274744</v>
      </c>
      <c r="I30" s="24">
        <v>3.3215939690802347</v>
      </c>
      <c r="J30" s="24">
        <v>2.6016897454604764</v>
      </c>
      <c r="K30" s="24">
        <v>-3.0048234298770939</v>
      </c>
      <c r="L30" s="24">
        <v>3.9063375802977487</v>
      </c>
      <c r="M30" s="24">
        <v>3.9967207485269856</v>
      </c>
      <c r="N30" s="24">
        <v>-3.7043499160622773</v>
      </c>
      <c r="O30" s="24">
        <v>0.91158221533671135</v>
      </c>
      <c r="P30" s="24">
        <v>-2.3644729078009563</v>
      </c>
      <c r="Q30" s="24">
        <v>1.8601542231708552</v>
      </c>
    </row>
    <row r="31" spans="1:49" ht="13.8" x14ac:dyDescent="0.3">
      <c r="D31" s="24">
        <v>4.4912628321619374</v>
      </c>
      <c r="E31" s="24">
        <v>3.0151707051663195</v>
      </c>
      <c r="F31" s="24">
        <v>4.1458528634823804</v>
      </c>
      <c r="G31" s="24">
        <v>3.8627036950316032</v>
      </c>
      <c r="H31" s="24">
        <v>3.483834349001024</v>
      </c>
      <c r="I31" s="24">
        <v>-3.321575462839462</v>
      </c>
      <c r="J31" s="24">
        <v>-2.6020123170940006</v>
      </c>
      <c r="K31" s="24">
        <v>3.0038010172912788</v>
      </c>
      <c r="L31" s="24">
        <v>-3.907426076687365</v>
      </c>
      <c r="M31" s="24">
        <v>-3.9968744204678597</v>
      </c>
      <c r="N31" s="24">
        <v>3.7044833580589445</v>
      </c>
      <c r="O31" s="24">
        <v>-0.91336007783738982</v>
      </c>
      <c r="P31" s="24">
        <v>2.3673242414077289</v>
      </c>
      <c r="Q31" s="24">
        <v>-1.8596314188350922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Y600"/>
  <sheetViews>
    <sheetView showGridLines="0" topLeftCell="A72" workbookViewId="0">
      <selection activeCell="D83" sqref="D83:E84"/>
    </sheetView>
  </sheetViews>
  <sheetFormatPr defaultRowHeight="13.2" x14ac:dyDescent="0.25"/>
  <cols>
    <col min="3" max="3" width="14.21875" bestFit="1" customWidth="1"/>
    <col min="16" max="16" width="13.5546875" bestFit="1" customWidth="1"/>
  </cols>
  <sheetData>
    <row r="1" spans="2:103" ht="18" x14ac:dyDescent="0.35">
      <c r="B1" s="23" t="s">
        <v>180</v>
      </c>
      <c r="N1" t="s">
        <v>756</v>
      </c>
      <c r="CQ1" s="24">
        <v>0.99930278300365361</v>
      </c>
      <c r="CR1" s="24" t="str">
        <f>"1"</f>
        <v>1</v>
      </c>
      <c r="CS1" t="str">
        <f ca="1">IF((OFFSET($A$1, 1 - 1, 95 - 1)) &gt;= (OFFSET($A$1, 54 - 1, 7 - 1)), "1","0")</f>
        <v>1</v>
      </c>
      <c r="CT1">
        <f ca="1" xml:space="preserve"> IF( AND( OFFSET($A$1, 1 - 1, 96 - 1) = "1", OFFSET($A$1, 1 - 1, 97 - 1) = "1" ), 1, IF( AND( OFFSET($A$1, 1 - 1, 96 - 1) = "1", OFFSET($A$1, 1 - 1, 97 - 1) = "0" ), 2, IF( AND( OFFSET($A$1, 1 - 1, 96 - 1) = "0", OFFSET($A$1, 1 - 1, 97 - 1) = "1" ), 3, 4 ) ) )</f>
        <v>1</v>
      </c>
      <c r="CV1" s="24">
        <v>0.99194496414990374</v>
      </c>
      <c r="CW1" s="24" t="str">
        <f t="shared" ref="CW1:CW10" si="0">"1"</f>
        <v>1</v>
      </c>
      <c r="CX1" t="str">
        <f ca="1">IF((OFFSET($A$1, 1 - 1, 100 - 1)) &gt;= (OFFSET($A$1, 78 - 1, 7 - 1)), "1","0")</f>
        <v>1</v>
      </c>
      <c r="CY1">
        <f ca="1" xml:space="preserve"> IF( AND( OFFSET($A$1, 1 - 1, 101 - 1) = "1", OFFSET($A$1, 1 - 1, 102 - 1) = "1" ), 1, IF( AND( OFFSET($A$1, 1 - 1, 101 - 1) = "1", OFFSET($A$1, 1 - 1, 102 - 1) = "0" ), 2, IF( AND( OFFSET($A$1, 1 - 1, 101 - 1) = "0", OFFSET($A$1, 1 - 1, 102 - 1) = "1" ), 3, 4 ) ) )</f>
        <v>1</v>
      </c>
    </row>
    <row r="2" spans="2:103" ht="13.8" x14ac:dyDescent="0.3">
      <c r="CQ2" s="24">
        <v>4.6581923586156121E-2</v>
      </c>
      <c r="CR2" s="24" t="str">
        <f>"0"</f>
        <v>0</v>
      </c>
      <c r="CS2" t="str">
        <f ca="1">IF((OFFSET($A$1, 2 - 1, 95 - 1)) &gt;= (OFFSET($A$1, 54 - 1, 7 - 1)), "1","0")</f>
        <v>0</v>
      </c>
      <c r="CT2">
        <f ca="1" xml:space="preserve"> IF( AND( OFFSET($A$1, 2 - 1, 96 - 1) = "1", OFFSET($A$1, 2 - 1, 97 - 1) = "1" ), 1, IF( AND( OFFSET($A$1, 2 - 1, 96 - 1) = "1", OFFSET($A$1, 2 - 1, 97 - 1) = "0" ), 2, IF( AND( OFFSET($A$1, 2 - 1, 96 - 1) = "0", OFFSET($A$1, 2 - 1, 97 - 1) = "1" ), 3, 4 ) ) )</f>
        <v>4</v>
      </c>
      <c r="CV2" s="24">
        <v>0.99863679816208895</v>
      </c>
      <c r="CW2" s="24" t="str">
        <f t="shared" si="0"/>
        <v>1</v>
      </c>
      <c r="CX2" t="str">
        <f ca="1">IF((OFFSET($A$1, 2 - 1, 100 - 1)) &gt;= (OFFSET($A$1, 78 - 1, 7 - 1)), "1","0")</f>
        <v>1</v>
      </c>
      <c r="CY2">
        <f ca="1" xml:space="preserve"> IF( AND( OFFSET($A$1, 2 - 1, 101 - 1) = "1", OFFSET($A$1, 2 - 1, 102 - 1) = "1" ), 1, IF( AND( OFFSET($A$1, 2 - 1, 101 - 1) = "1", OFFSET($A$1, 2 - 1, 102 - 1) = "0" ), 2, IF( AND( OFFSET($A$1, 2 - 1, 101 - 1) = "0", OFFSET($A$1, 2 - 1, 102 - 1) = "1" ), 3, 4 ) ) )</f>
        <v>1</v>
      </c>
    </row>
    <row r="3" spans="2:103" ht="15.6" x14ac:dyDescent="0.3">
      <c r="B3" s="59" t="s">
        <v>136</v>
      </c>
      <c r="C3" s="60"/>
      <c r="D3" s="60"/>
      <c r="E3" s="60"/>
      <c r="F3" s="60"/>
      <c r="G3" s="60"/>
      <c r="H3" s="60"/>
      <c r="I3" s="60"/>
      <c r="J3" s="60"/>
      <c r="K3" s="60"/>
      <c r="L3" s="60"/>
      <c r="M3" s="61"/>
      <c r="P3" s="59" t="s">
        <v>137</v>
      </c>
      <c r="Q3" s="60"/>
      <c r="R3" s="60"/>
      <c r="S3" s="61"/>
      <c r="CQ3" s="24">
        <v>0.99330161083336854</v>
      </c>
      <c r="CR3" s="24" t="str">
        <f>"1"</f>
        <v>1</v>
      </c>
      <c r="CS3" t="str">
        <f ca="1">IF((OFFSET($A$1, 3 - 1, 95 - 1)) &gt;= (OFFSET($A$1, 54 - 1, 7 - 1)), "1","0")</f>
        <v>1</v>
      </c>
      <c r="CT3">
        <f ca="1" xml:space="preserve"> IF( AND( OFFSET($A$1, 3 - 1, 96 - 1) = "1", OFFSET($A$1, 3 - 1, 97 - 1) = "1" ), 1, IF( AND( OFFSET($A$1, 3 - 1, 96 - 1) = "1", OFFSET($A$1, 3 - 1, 97 - 1) = "0" ), 2, IF( AND( OFFSET($A$1, 3 - 1, 96 - 1) = "0", OFFSET($A$1, 3 - 1, 97 - 1) = "1" ), 3, 4 ) ) )</f>
        <v>1</v>
      </c>
      <c r="CV3" s="24">
        <v>0.99374015365663415</v>
      </c>
      <c r="CW3" s="24" t="str">
        <f t="shared" si="0"/>
        <v>1</v>
      </c>
      <c r="CX3" t="str">
        <f ca="1">IF((OFFSET($A$1, 3 - 1, 100 - 1)) &gt;= (OFFSET($A$1, 78 - 1, 7 - 1)), "1","0")</f>
        <v>1</v>
      </c>
      <c r="CY3">
        <f ca="1" xml:space="preserve"> IF( AND( OFFSET($A$1, 3 - 1, 101 - 1) = "1", OFFSET($A$1, 3 - 1, 102 - 1) = "1" ), 1, IF( AND( OFFSET($A$1, 3 - 1, 101 - 1) = "1", OFFSET($A$1, 3 - 1, 102 - 1) = "0" ), 2, IF( AND( OFFSET($A$1, 3 - 1, 101 - 1) = "0", OFFSET($A$1, 3 - 1, 102 - 1) = "1" ), 3, 4 ) ) )</f>
        <v>1</v>
      </c>
    </row>
    <row r="4" spans="2:103" ht="13.8" x14ac:dyDescent="0.3">
      <c r="B4" s="65" t="s">
        <v>141</v>
      </c>
      <c r="C4" s="66"/>
      <c r="D4" s="65" t="s">
        <v>683</v>
      </c>
      <c r="E4" s="66"/>
      <c r="F4" s="65" t="s">
        <v>684</v>
      </c>
      <c r="G4" s="66"/>
      <c r="H4" s="65" t="s">
        <v>685</v>
      </c>
      <c r="I4" s="66"/>
      <c r="J4" s="65" t="s">
        <v>686</v>
      </c>
      <c r="K4" s="66"/>
      <c r="L4" s="65" t="s">
        <v>687</v>
      </c>
      <c r="M4" s="66"/>
      <c r="P4" s="26" t="s">
        <v>182</v>
      </c>
      <c r="Q4" s="26" t="s">
        <v>183</v>
      </c>
      <c r="R4" s="26" t="s">
        <v>139</v>
      </c>
      <c r="S4" s="26" t="s">
        <v>140</v>
      </c>
      <c r="CQ4" s="24">
        <v>9.0583110621969085E-3</v>
      </c>
      <c r="CR4" s="24" t="str">
        <f>"0"</f>
        <v>0</v>
      </c>
      <c r="CS4" t="str">
        <f ca="1">IF((OFFSET($A$1, 4 - 1, 95 - 1)) &gt;= (OFFSET($A$1, 54 - 1, 7 - 1)), "1","0")</f>
        <v>0</v>
      </c>
      <c r="CT4">
        <f ca="1" xml:space="preserve"> IF( AND( OFFSET($A$1, 4 - 1, 96 - 1) = "1", OFFSET($A$1, 4 - 1, 97 - 1) = "1" ), 1, IF( AND( OFFSET($A$1, 4 - 1, 96 - 1) = "1", OFFSET($A$1, 4 - 1, 97 - 1) = "0" ), 2, IF( AND( OFFSET($A$1, 4 - 1, 96 - 1) = "0", OFFSET($A$1, 4 - 1, 97 - 1) = "1" ), 3, 4 ) ) )</f>
        <v>4</v>
      </c>
      <c r="CV4" s="24">
        <v>0.99977912374670008</v>
      </c>
      <c r="CW4" s="24" t="str">
        <f t="shared" si="0"/>
        <v>1</v>
      </c>
      <c r="CX4" t="str">
        <f ca="1">IF((OFFSET($A$1, 4 - 1, 100 - 1)) &gt;= (OFFSET($A$1, 78 - 1, 7 - 1)), "1","0")</f>
        <v>1</v>
      </c>
      <c r="CY4">
        <f ca="1" xml:space="preserve"> IF( AND( OFFSET($A$1, 4 - 1, 101 - 1) = "1", OFFSET($A$1, 4 - 1, 102 - 1) = "1" ), 1, IF( AND( OFFSET($A$1, 4 - 1, 101 - 1) = "1", OFFSET($A$1, 4 - 1, 102 - 1) = "0" ), 2, IF( AND( OFFSET($A$1, 4 - 1, 101 - 1) = "0", OFFSET($A$1, 4 - 1, 102 - 1) = "1" ), 3, 4 ) ) )</f>
        <v>1</v>
      </c>
    </row>
    <row r="5" spans="2:103" ht="13.8" x14ac:dyDescent="0.3">
      <c r="P5" s="24">
        <v>47</v>
      </c>
      <c r="Q5" s="24">
        <v>172</v>
      </c>
      <c r="R5" s="24">
        <v>141</v>
      </c>
      <c r="S5" s="24">
        <v>360</v>
      </c>
      <c r="CQ5" s="24">
        <v>2.9576563060971536E-3</v>
      </c>
      <c r="CR5" s="24" t="str">
        <f>"0"</f>
        <v>0</v>
      </c>
      <c r="CS5" t="str">
        <f ca="1">IF((OFFSET($A$1, 5 - 1, 95 - 1)) &gt;= (OFFSET($A$1, 54 - 1, 7 - 1)), "1","0")</f>
        <v>0</v>
      </c>
      <c r="CT5">
        <f ca="1" xml:space="preserve"> IF( AND( OFFSET($A$1, 5 - 1, 96 - 1) = "1", OFFSET($A$1, 5 - 1, 97 - 1) = "1" ), 1, IF( AND( OFFSET($A$1, 5 - 1, 96 - 1) = "1", OFFSET($A$1, 5 - 1, 97 - 1) = "0" ), 2, IF( AND( OFFSET($A$1, 5 - 1, 96 - 1) = "0", OFFSET($A$1, 5 - 1, 97 - 1) = "1" ), 3, 4 ) ) )</f>
        <v>4</v>
      </c>
      <c r="CV5" s="24">
        <v>0.97796986738234937</v>
      </c>
      <c r="CW5" s="24" t="str">
        <f t="shared" si="0"/>
        <v>1</v>
      </c>
      <c r="CX5" t="str">
        <f ca="1">IF((OFFSET($A$1, 5 - 1, 100 - 1)) &gt;= (OFFSET($A$1, 78 - 1, 7 - 1)), "1","0")</f>
        <v>1</v>
      </c>
      <c r="CY5">
        <f ca="1" xml:space="preserve"> IF( AND( OFFSET($A$1, 5 - 1, 101 - 1) = "1", OFFSET($A$1, 5 - 1, 102 - 1) = "1" ), 1, IF( AND( OFFSET($A$1, 5 - 1, 101 - 1) = "1", OFFSET($A$1, 5 - 1, 102 - 1) = "0" ), 2, IF( AND( OFFSET($A$1, 5 - 1, 101 - 1) = "0", OFFSET($A$1, 5 - 1, 102 - 1) = "1" ), 3, 4 ) ) )</f>
        <v>1</v>
      </c>
    </row>
    <row r="6" spans="2:103" ht="13.8" x14ac:dyDescent="0.3">
      <c r="CQ6" s="24">
        <v>0.70775704694474151</v>
      </c>
      <c r="CR6" s="24" t="str">
        <f>"1"</f>
        <v>1</v>
      </c>
      <c r="CS6" t="str">
        <f ca="1">IF((OFFSET($A$1, 6 - 1, 95 - 1)) &gt;= (OFFSET($A$1, 54 - 1, 7 - 1)), "1","0")</f>
        <v>1</v>
      </c>
      <c r="CT6">
        <f ca="1" xml:space="preserve"> IF( AND( OFFSET($A$1, 6 - 1, 96 - 1) = "1", OFFSET($A$1, 6 - 1, 97 - 1) = "1" ), 1, IF( AND( OFFSET($A$1, 6 - 1, 96 - 1) = "1", OFFSET($A$1, 6 - 1, 97 - 1) = "0" ), 2, IF( AND( OFFSET($A$1, 6 - 1, 96 - 1) = "0", OFFSET($A$1, 6 - 1, 97 - 1) = "1" ), 3, 4 ) ) )</f>
        <v>1</v>
      </c>
      <c r="CV6" s="24">
        <v>0.99988027041382399</v>
      </c>
      <c r="CW6" s="24" t="str">
        <f t="shared" si="0"/>
        <v>1</v>
      </c>
      <c r="CX6" t="str">
        <f ca="1">IF((OFFSET($A$1, 6 - 1, 100 - 1)) &gt;= (OFFSET($A$1, 78 - 1, 7 - 1)), "1","0")</f>
        <v>1</v>
      </c>
      <c r="CY6">
        <f ca="1" xml:space="preserve"> IF( AND( OFFSET($A$1, 6 - 1, 101 - 1) = "1", OFFSET($A$1, 6 - 1, 102 - 1) = "1" ), 1, IF( AND( OFFSET($A$1, 6 - 1, 101 - 1) = "1", OFFSET($A$1, 6 - 1, 102 - 1) = "0" ), 2, IF( AND( OFFSET($A$1, 6 - 1, 101 - 1) = "0", OFFSET($A$1, 6 - 1, 102 - 1) = "1" ), 3, 4 ) ) )</f>
        <v>1</v>
      </c>
    </row>
    <row r="7" spans="2:103" ht="13.8" x14ac:dyDescent="0.3">
      <c r="CQ7" s="24">
        <v>6.3158756096946718E-3</v>
      </c>
      <c r="CR7" s="24" t="str">
        <f>"0"</f>
        <v>0</v>
      </c>
      <c r="CS7" t="str">
        <f ca="1">IF((OFFSET($A$1, 7 - 1, 95 - 1)) &gt;= (OFFSET($A$1, 54 - 1, 7 - 1)), "1","0")</f>
        <v>0</v>
      </c>
      <c r="CT7">
        <f ca="1" xml:space="preserve"> IF( AND( OFFSET($A$1, 7 - 1, 96 - 1) = "1", OFFSET($A$1, 7 - 1, 97 - 1) = "1" ), 1, IF( AND( OFFSET($A$1, 7 - 1, 96 - 1) = "1", OFFSET($A$1, 7 - 1, 97 - 1) = "0" ), 2, IF( AND( OFFSET($A$1, 7 - 1, 96 - 1) = "0", OFFSET($A$1, 7 - 1, 97 - 1) = "1" ), 3, 4 ) ) )</f>
        <v>4</v>
      </c>
      <c r="CV7" s="24">
        <v>0.81403216332614847</v>
      </c>
      <c r="CW7" s="24" t="str">
        <f t="shared" si="0"/>
        <v>1</v>
      </c>
      <c r="CX7" t="str">
        <f ca="1">IF((OFFSET($A$1, 7 - 1, 100 - 1)) &gt;= (OFFSET($A$1, 78 - 1, 7 - 1)), "1","0")</f>
        <v>1</v>
      </c>
      <c r="CY7">
        <f ca="1" xml:space="preserve"> IF( AND( OFFSET($A$1, 7 - 1, 101 - 1) = "1", OFFSET($A$1, 7 - 1, 102 - 1) = "1" ), 1, IF( AND( OFFSET($A$1, 7 - 1, 101 - 1) = "1", OFFSET($A$1, 7 - 1, 102 - 1) = "0" ), 2, IF( AND( OFFSET($A$1, 7 - 1, 101 - 1) = "0", OFFSET($A$1, 7 - 1, 102 - 1) = "1" ), 3, 4 ) ) )</f>
        <v>1</v>
      </c>
    </row>
    <row r="8" spans="2:103" ht="13.8" x14ac:dyDescent="0.3">
      <c r="CQ8" s="24">
        <v>0.94040373399731592</v>
      </c>
      <c r="CR8" s="24" t="str">
        <f t="shared" ref="CR8:CR24" si="1">"1"</f>
        <v>1</v>
      </c>
      <c r="CS8" t="str">
        <f ca="1">IF((OFFSET($A$1, 8 - 1, 95 - 1)) &gt;= (OFFSET($A$1, 54 - 1, 7 - 1)), "1","0")</f>
        <v>1</v>
      </c>
      <c r="CT8">
        <f ca="1" xml:space="preserve"> IF( AND( OFFSET($A$1, 8 - 1, 96 - 1) = "1", OFFSET($A$1, 8 - 1, 97 - 1) = "1" ), 1, IF( AND( OFFSET($A$1, 8 - 1, 96 - 1) = "1", OFFSET($A$1, 8 - 1, 97 - 1) = "0" ), 2, IF( AND( OFFSET($A$1, 8 - 1, 96 - 1) = "0", OFFSET($A$1, 8 - 1, 97 - 1) = "1" ), 3, 4 ) ) )</f>
        <v>1</v>
      </c>
      <c r="CV8" s="24">
        <v>0.99983635632130086</v>
      </c>
      <c r="CW8" s="24" t="str">
        <f t="shared" si="0"/>
        <v>1</v>
      </c>
      <c r="CX8" t="str">
        <f ca="1">IF((OFFSET($A$1, 8 - 1, 100 - 1)) &gt;= (OFFSET($A$1, 78 - 1, 7 - 1)), "1","0")</f>
        <v>1</v>
      </c>
      <c r="CY8">
        <f ca="1" xml:space="preserve"> IF( AND( OFFSET($A$1, 8 - 1, 101 - 1) = "1", OFFSET($A$1, 8 - 1, 102 - 1) = "1" ), 1, IF( AND( OFFSET($A$1, 8 - 1, 101 - 1) = "1", OFFSET($A$1, 8 - 1, 102 - 1) = "0" ), 2, IF( AND( OFFSET($A$1, 8 - 1, 101 - 1) = "0", OFFSET($A$1, 8 - 1, 102 - 1) = "1" ), 3, 4 ) ) )</f>
        <v>1</v>
      </c>
    </row>
    <row r="9" spans="2:103" ht="13.8" x14ac:dyDescent="0.3">
      <c r="CQ9" s="24">
        <v>0.98502432394013439</v>
      </c>
      <c r="CR9" s="24" t="str">
        <f t="shared" si="1"/>
        <v>1</v>
      </c>
      <c r="CS9" t="str">
        <f ca="1">IF((OFFSET($A$1, 9 - 1, 95 - 1)) &gt;= (OFFSET($A$1, 54 - 1, 7 - 1)), "1","0")</f>
        <v>1</v>
      </c>
      <c r="CT9">
        <f ca="1" xml:space="preserve"> IF( AND( OFFSET($A$1, 9 - 1, 96 - 1) = "1", OFFSET($A$1, 9 - 1, 97 - 1) = "1" ), 1, IF( AND( OFFSET($A$1, 9 - 1, 96 - 1) = "1", OFFSET($A$1, 9 - 1, 97 - 1) = "0" ), 2, IF( AND( OFFSET($A$1, 9 - 1, 96 - 1) = "0", OFFSET($A$1, 9 - 1, 97 - 1) = "1" ), 3, 4 ) ) )</f>
        <v>1</v>
      </c>
      <c r="CV9" s="24">
        <v>0.99951839118017072</v>
      </c>
      <c r="CW9" s="24" t="str">
        <f t="shared" si="0"/>
        <v>1</v>
      </c>
      <c r="CX9" t="str">
        <f ca="1">IF((OFFSET($A$1, 9 - 1, 100 - 1)) &gt;= (OFFSET($A$1, 78 - 1, 7 - 1)), "1","0")</f>
        <v>1</v>
      </c>
      <c r="CY9">
        <f ca="1" xml:space="preserve"> IF( AND( OFFSET($A$1, 9 - 1, 101 - 1) = "1", OFFSET($A$1, 9 - 1, 102 - 1) = "1" ), 1, IF( AND( OFFSET($A$1, 9 - 1, 101 - 1) = "1", OFFSET($A$1, 9 - 1, 102 - 1) = "0" ), 2, IF( AND( OFFSET($A$1, 9 - 1, 101 - 1) = "0", OFFSET($A$1, 9 - 1, 102 - 1) = "1" ), 3, 4 ) ) )</f>
        <v>1</v>
      </c>
    </row>
    <row r="10" spans="2:103" ht="18" x14ac:dyDescent="0.35">
      <c r="B10" s="22" t="s">
        <v>141</v>
      </c>
      <c r="CQ10" s="24">
        <v>0.99999474918272868</v>
      </c>
      <c r="CR10" s="24" t="str">
        <f t="shared" si="1"/>
        <v>1</v>
      </c>
      <c r="CS10" t="str">
        <f ca="1">IF((OFFSET($A$1, 10 - 1, 95 - 1)) &gt;= (OFFSET($A$1, 54 - 1, 7 - 1)), "1","0")</f>
        <v>1</v>
      </c>
      <c r="CT10">
        <f ca="1" xml:space="preserve"> IF( AND( OFFSET($A$1, 10 - 1, 96 - 1) = "1", OFFSET($A$1, 10 - 1, 97 - 1) = "1" ), 1, IF( AND( OFFSET($A$1, 10 - 1, 96 - 1) = "1", OFFSET($A$1, 10 - 1, 97 - 1) = "0" ), 2, IF( AND( OFFSET($A$1, 10 - 1, 96 - 1) = "0", OFFSET($A$1, 10 - 1, 97 - 1) = "1" ), 3, 4 ) ) )</f>
        <v>1</v>
      </c>
      <c r="CV10" s="24">
        <v>0.99860006003262669</v>
      </c>
      <c r="CW10" s="24" t="str">
        <f t="shared" si="0"/>
        <v>1</v>
      </c>
      <c r="CX10" t="str">
        <f ca="1">IF((OFFSET($A$1, 10 - 1, 100 - 1)) &gt;= (OFFSET($A$1, 78 - 1, 7 - 1)), "1","0")</f>
        <v>1</v>
      </c>
      <c r="CY10">
        <f ca="1" xml:space="preserve"> IF( AND( OFFSET($A$1, 10 - 1, 101 - 1) = "1", OFFSET($A$1, 10 - 1, 102 - 1) = "1" ), 1, IF( AND( OFFSET($A$1, 10 - 1, 101 - 1) = "1", OFFSET($A$1, 10 - 1, 102 - 1) = "0" ), 2, IF( AND( OFFSET($A$1, 10 - 1, 101 - 1) = "0", OFFSET($A$1, 10 - 1, 102 - 1) = "1" ), 3, 4 ) ) )</f>
        <v>1</v>
      </c>
    </row>
    <row r="11" spans="2:103" ht="13.8" x14ac:dyDescent="0.3">
      <c r="CQ11" s="24">
        <v>0.99814051260617143</v>
      </c>
      <c r="CR11" s="24" t="str">
        <f t="shared" si="1"/>
        <v>1</v>
      </c>
      <c r="CS11" t="str">
        <f ca="1">IF((OFFSET($A$1, 11 - 1, 95 - 1)) &gt;= (OFFSET($A$1, 54 - 1, 7 - 1)), "1","0")</f>
        <v>1</v>
      </c>
      <c r="CT11">
        <f ca="1" xml:space="preserve"> IF( AND( OFFSET($A$1, 11 - 1, 96 - 1) = "1", OFFSET($A$1, 11 - 1, 97 - 1) = "1" ), 1, IF( AND( OFFSET($A$1, 11 - 1, 96 - 1) = "1", OFFSET($A$1, 11 - 1, 97 - 1) = "0" ), 2, IF( AND( OFFSET($A$1, 11 - 1, 96 - 1) = "0", OFFSET($A$1, 11 - 1, 97 - 1) = "1" ), 3, 4 ) ) )</f>
        <v>1</v>
      </c>
      <c r="CV11" s="24">
        <v>0.77801607420291918</v>
      </c>
      <c r="CW11" s="24" t="str">
        <f>"0"</f>
        <v>0</v>
      </c>
      <c r="CX11" t="str">
        <f ca="1">IF((OFFSET($A$1, 11 - 1, 100 - 1)) &gt;= (OFFSET($A$1, 78 - 1, 7 - 1)), "1","0")</f>
        <v>1</v>
      </c>
      <c r="CY11">
        <f ca="1" xml:space="preserve"> IF( AND( OFFSET($A$1, 11 - 1, 101 - 1) = "1", OFFSET($A$1, 11 - 1, 102 - 1) = "1" ), 1, IF( AND( OFFSET($A$1, 11 - 1, 101 - 1) = "1", OFFSET($A$1, 11 - 1, 102 - 1) = "0" ), 2, IF( AND( OFFSET($A$1, 11 - 1, 101 - 1) = "0", OFFSET($A$1, 11 - 1, 102 - 1) = "1" ), 3, 4 ) ) )</f>
        <v>3</v>
      </c>
    </row>
    <row r="12" spans="2:103" ht="15.6" x14ac:dyDescent="0.3">
      <c r="C12" s="59" t="s">
        <v>142</v>
      </c>
      <c r="D12" s="60"/>
      <c r="E12" s="60"/>
      <c r="F12" s="60"/>
      <c r="G12" s="60"/>
      <c r="H12" s="60"/>
      <c r="I12" s="60"/>
      <c r="J12" s="60"/>
      <c r="K12" s="61"/>
      <c r="CQ12" s="24">
        <v>0.99986803472114016</v>
      </c>
      <c r="CR12" s="24" t="str">
        <f t="shared" si="1"/>
        <v>1</v>
      </c>
      <c r="CS12" t="str">
        <f ca="1">IF((OFFSET($A$1, 12 - 1, 95 - 1)) &gt;= (OFFSET($A$1, 54 - 1, 7 - 1)), "1","0")</f>
        <v>1</v>
      </c>
      <c r="CT12">
        <f ca="1" xml:space="preserve"> IF( AND( OFFSET($A$1, 12 - 1, 96 - 1) = "1", OFFSET($A$1, 12 - 1, 97 - 1) = "1" ), 1, IF( AND( OFFSET($A$1, 12 - 1, 96 - 1) = "1", OFFSET($A$1, 12 - 1, 97 - 1) = "0" ), 2, IF( AND( OFFSET($A$1, 12 - 1, 96 - 1) = "0", OFFSET($A$1, 12 - 1, 97 - 1) = "1" ), 3, 4 ) ) )</f>
        <v>1</v>
      </c>
      <c r="CV12" s="24">
        <v>0.99998762576931532</v>
      </c>
      <c r="CW12" s="24" t="str">
        <f>"1"</f>
        <v>1</v>
      </c>
      <c r="CX12" t="str">
        <f ca="1">IF((OFFSET($A$1, 12 - 1, 100 - 1)) &gt;= (OFFSET($A$1, 78 - 1, 7 - 1)), "1","0")</f>
        <v>1</v>
      </c>
      <c r="CY12">
        <f ca="1" xml:space="preserve"> IF( AND( OFFSET($A$1, 12 - 1, 101 - 1) = "1", OFFSET($A$1, 12 - 1, 102 - 1) = "1" ), 1, IF( AND( OFFSET($A$1, 12 - 1, 101 - 1) = "1", OFFSET($A$1, 12 - 1, 102 - 1) = "0" ), 2, IF( AND( OFFSET($A$1, 12 - 1, 101 - 1) = "0", OFFSET($A$1, 12 - 1, 102 - 1) = "1" ), 3, 4 ) ) )</f>
        <v>1</v>
      </c>
    </row>
    <row r="13" spans="2:103" ht="13.8" x14ac:dyDescent="0.3">
      <c r="C13" s="62" t="s">
        <v>143</v>
      </c>
      <c r="D13" s="63"/>
      <c r="E13" s="63"/>
      <c r="F13" s="64"/>
      <c r="G13" s="69" t="s">
        <v>144</v>
      </c>
      <c r="H13" s="70"/>
      <c r="I13" s="70"/>
      <c r="J13" s="70"/>
      <c r="K13" s="71"/>
      <c r="CQ13" s="24">
        <v>0.97263141320843693</v>
      </c>
      <c r="CR13" s="24" t="str">
        <f t="shared" si="1"/>
        <v>1</v>
      </c>
      <c r="CS13" t="str">
        <f ca="1">IF((OFFSET($A$1, 13 - 1, 95 - 1)) &gt;= (OFFSET($A$1, 54 - 1, 7 - 1)), "1","0")</f>
        <v>1</v>
      </c>
      <c r="CT13">
        <f ca="1" xml:space="preserve"> IF( AND( OFFSET($A$1, 13 - 1, 96 - 1) = "1", OFFSET($A$1, 13 - 1, 97 - 1) = "1" ), 1, IF( AND( OFFSET($A$1, 13 - 1, 96 - 1) = "1", OFFSET($A$1, 13 - 1, 97 - 1) = "0" ), 2, IF( AND( OFFSET($A$1, 13 - 1, 96 - 1) = "0", OFFSET($A$1, 13 - 1, 97 - 1) = "1" ), 3, 4 ) ) )</f>
        <v>1</v>
      </c>
      <c r="CV13" s="24">
        <v>0.99994028637023824</v>
      </c>
      <c r="CW13" s="24" t="str">
        <f>"1"</f>
        <v>1</v>
      </c>
      <c r="CX13" t="str">
        <f ca="1">IF((OFFSET($A$1, 13 - 1, 100 - 1)) &gt;= (OFFSET($A$1, 78 - 1, 7 - 1)), "1","0")</f>
        <v>1</v>
      </c>
      <c r="CY13">
        <f ca="1" xml:space="preserve"> IF( AND( OFFSET($A$1, 13 - 1, 101 - 1) = "1", OFFSET($A$1, 13 - 1, 102 - 1) = "1" ), 1, IF( AND( OFFSET($A$1, 13 - 1, 101 - 1) = "1", OFFSET($A$1, 13 - 1, 102 - 1) = "0" ), 2, IF( AND( OFFSET($A$1, 13 - 1, 101 - 1) = "0", OFFSET($A$1, 13 - 1, 102 - 1) = "1" ), 3, 4 ) ) )</f>
        <v>1</v>
      </c>
    </row>
    <row r="14" spans="2:103" ht="13.8" x14ac:dyDescent="0.3">
      <c r="C14" s="62" t="s">
        <v>145</v>
      </c>
      <c r="D14" s="63"/>
      <c r="E14" s="63"/>
      <c r="F14" s="64"/>
      <c r="G14" s="69" t="s">
        <v>184</v>
      </c>
      <c r="H14" s="70"/>
      <c r="I14" s="70"/>
      <c r="J14" s="70"/>
      <c r="K14" s="71"/>
      <c r="CQ14" s="24">
        <v>0.99998318435429312</v>
      </c>
      <c r="CR14" s="24" t="str">
        <f t="shared" si="1"/>
        <v>1</v>
      </c>
      <c r="CS14" t="str">
        <f ca="1">IF((OFFSET($A$1, 14 - 1, 95 - 1)) &gt;= (OFFSET($A$1, 54 - 1, 7 - 1)), "1","0")</f>
        <v>1</v>
      </c>
      <c r="CT14">
        <f ca="1" xml:space="preserve"> IF( AND( OFFSET($A$1, 14 - 1, 96 - 1) = "1", OFFSET($A$1, 14 - 1, 97 - 1) = "1" ), 1, IF( AND( OFFSET($A$1, 14 - 1, 96 - 1) = "1", OFFSET($A$1, 14 - 1, 97 - 1) = "0" ), 2, IF( AND( OFFSET($A$1, 14 - 1, 96 - 1) = "0", OFFSET($A$1, 14 - 1, 97 - 1) = "1" ), 3, 4 ) ) )</f>
        <v>1</v>
      </c>
      <c r="CV14" s="24">
        <v>0.9949934515026293</v>
      </c>
      <c r="CW14" s="24" t="str">
        <f>"0"</f>
        <v>0</v>
      </c>
      <c r="CX14" t="str">
        <f ca="1">IF((OFFSET($A$1, 14 - 1, 100 - 1)) &gt;= (OFFSET($A$1, 78 - 1, 7 - 1)), "1","0")</f>
        <v>1</v>
      </c>
      <c r="CY14">
        <f ca="1" xml:space="preserve"> IF( AND( OFFSET($A$1, 14 - 1, 101 - 1) = "1", OFFSET($A$1, 14 - 1, 102 - 1) = "1" ), 1, IF( AND( OFFSET($A$1, 14 - 1, 101 - 1) = "1", OFFSET($A$1, 14 - 1, 102 - 1) = "0" ), 2, IF( AND( OFFSET($A$1, 14 - 1, 101 - 1) = "0", OFFSET($A$1, 14 - 1, 102 - 1) = "1" ), 3, 4 ) ) )</f>
        <v>3</v>
      </c>
    </row>
    <row r="15" spans="2:103" ht="13.8" x14ac:dyDescent="0.3">
      <c r="C15" s="62" t="s">
        <v>185</v>
      </c>
      <c r="D15" s="63"/>
      <c r="E15" s="63"/>
      <c r="F15" s="64"/>
      <c r="G15" s="69">
        <v>600</v>
      </c>
      <c r="H15" s="70"/>
      <c r="I15" s="70"/>
      <c r="J15" s="70"/>
      <c r="K15" s="71"/>
      <c r="CQ15" s="24">
        <v>0.9943629615515277</v>
      </c>
      <c r="CR15" s="24" t="str">
        <f t="shared" si="1"/>
        <v>1</v>
      </c>
      <c r="CS15" t="str">
        <f ca="1">IF((OFFSET($A$1, 15 - 1, 95 - 1)) &gt;= (OFFSET($A$1, 54 - 1, 7 - 1)), "1","0")</f>
        <v>1</v>
      </c>
      <c r="CT15">
        <f ca="1" xml:space="preserve"> IF( AND( OFFSET($A$1, 15 - 1, 96 - 1) = "1", OFFSET($A$1, 15 - 1, 97 - 1) = "1" ), 1, IF( AND( OFFSET($A$1, 15 - 1, 96 - 1) = "1", OFFSET($A$1, 15 - 1, 97 - 1) = "0" ), 2, IF( AND( OFFSET($A$1, 15 - 1, 96 - 1) = "0", OFFSET($A$1, 15 - 1, 97 - 1) = "1" ), 3, 4 ) ) )</f>
        <v>1</v>
      </c>
      <c r="CV15" s="24">
        <v>0.91590421601648853</v>
      </c>
      <c r="CW15" s="24" t="str">
        <f>"1"</f>
        <v>1</v>
      </c>
      <c r="CX15" t="str">
        <f ca="1">IF((OFFSET($A$1, 15 - 1, 100 - 1)) &gt;= (OFFSET($A$1, 78 - 1, 7 - 1)), "1","0")</f>
        <v>1</v>
      </c>
      <c r="CY15">
        <f ca="1" xml:space="preserve"> IF( AND( OFFSET($A$1, 15 - 1, 101 - 1) = "1", OFFSET($A$1, 15 - 1, 102 - 1) = "1" ), 1, IF( AND( OFFSET($A$1, 15 - 1, 101 - 1) = "1", OFFSET($A$1, 15 - 1, 102 - 1) = "0" ), 2, IF( AND( OFFSET($A$1, 15 - 1, 101 - 1) = "0", OFFSET($A$1, 15 - 1, 102 - 1) = "1" ), 3, 4 ) ) )</f>
        <v>1</v>
      </c>
    </row>
    <row r="16" spans="2:103" ht="13.8" x14ac:dyDescent="0.3">
      <c r="C16" s="62" t="s">
        <v>186</v>
      </c>
      <c r="D16" s="63"/>
      <c r="E16" s="63"/>
      <c r="F16" s="64"/>
      <c r="G16" s="69">
        <v>400</v>
      </c>
      <c r="H16" s="70"/>
      <c r="I16" s="70"/>
      <c r="J16" s="70"/>
      <c r="K16" s="71"/>
      <c r="CQ16" s="24">
        <v>0.99973128579964299</v>
      </c>
      <c r="CR16" s="24" t="str">
        <f t="shared" si="1"/>
        <v>1</v>
      </c>
      <c r="CS16" t="str">
        <f ca="1">IF((OFFSET($A$1, 16 - 1, 95 - 1)) &gt;= (OFFSET($A$1, 54 - 1, 7 - 1)), "1","0")</f>
        <v>1</v>
      </c>
      <c r="CT16">
        <f ca="1" xml:space="preserve"> IF( AND( OFFSET($A$1, 16 - 1, 96 - 1) = "1", OFFSET($A$1, 16 - 1, 97 - 1) = "1" ), 1, IF( AND( OFFSET($A$1, 16 - 1, 96 - 1) = "1", OFFSET($A$1, 16 - 1, 97 - 1) = "0" ), 2, IF( AND( OFFSET($A$1, 16 - 1, 96 - 1) = "0", OFFSET($A$1, 16 - 1, 97 - 1) = "1" ), 3, 4 ) ) )</f>
        <v>1</v>
      </c>
      <c r="CV16" s="24">
        <v>0.99989283884975255</v>
      </c>
      <c r="CW16" s="24" t="str">
        <f>"1"</f>
        <v>1</v>
      </c>
      <c r="CX16" t="str">
        <f ca="1">IF((OFFSET($A$1, 16 - 1, 100 - 1)) &gt;= (OFFSET($A$1, 78 - 1, 7 - 1)), "1","0")</f>
        <v>1</v>
      </c>
      <c r="CY16">
        <f ca="1" xml:space="preserve"> IF( AND( OFFSET($A$1, 16 - 1, 101 - 1) = "1", OFFSET($A$1, 16 - 1, 102 - 1) = "1" ), 1, IF( AND( OFFSET($A$1, 16 - 1, 101 - 1) = "1", OFFSET($A$1, 16 - 1, 102 - 1) = "0" ), 2, IF( AND( OFFSET($A$1, 16 - 1, 101 - 1) = "0", OFFSET($A$1, 16 - 1, 102 - 1) = "1" ), 3, 4 ) ) )</f>
        <v>1</v>
      </c>
    </row>
    <row r="17" spans="3:103" ht="13.8" x14ac:dyDescent="0.3">
      <c r="CQ17" s="24">
        <v>0.99963796667152227</v>
      </c>
      <c r="CR17" s="24" t="str">
        <f t="shared" si="1"/>
        <v>1</v>
      </c>
      <c r="CS17" t="str">
        <f ca="1">IF((OFFSET($A$1, 17 - 1, 95 - 1)) &gt;= (OFFSET($A$1, 54 - 1, 7 - 1)), "1","0")</f>
        <v>1</v>
      </c>
      <c r="CT17">
        <f ca="1" xml:space="preserve"> IF( AND( OFFSET($A$1, 17 - 1, 96 - 1) = "1", OFFSET($A$1, 17 - 1, 97 - 1) = "1" ), 1, IF( AND( OFFSET($A$1, 17 - 1, 96 - 1) = "1", OFFSET($A$1, 17 - 1, 97 - 1) = "0" ), 2, IF( AND( OFFSET($A$1, 17 - 1, 96 - 1) = "0", OFFSET($A$1, 17 - 1, 97 - 1) = "1" ), 3, 4 ) ) )</f>
        <v>1</v>
      </c>
      <c r="CV17" s="24">
        <v>0.99423116285766366</v>
      </c>
      <c r="CW17" s="24" t="str">
        <f>"1"</f>
        <v>1</v>
      </c>
      <c r="CX17" t="str">
        <f ca="1">IF((OFFSET($A$1, 17 - 1, 100 - 1)) &gt;= (OFFSET($A$1, 78 - 1, 7 - 1)), "1","0")</f>
        <v>1</v>
      </c>
      <c r="CY17">
        <f ca="1" xml:space="preserve"> IF( AND( OFFSET($A$1, 17 - 1, 101 - 1) = "1", OFFSET($A$1, 17 - 1, 102 - 1) = "1" ), 1, IF( AND( OFFSET($A$1, 17 - 1, 101 - 1) = "1", OFFSET($A$1, 17 - 1, 102 - 1) = "0" ), 2, IF( AND( OFFSET($A$1, 17 - 1, 101 - 1) = "0", OFFSET($A$1, 17 - 1, 102 - 1) = "1" ), 3, 4 ) ) )</f>
        <v>1</v>
      </c>
    </row>
    <row r="18" spans="3:103" ht="15.6" x14ac:dyDescent="0.3">
      <c r="C18" s="59" t="s">
        <v>187</v>
      </c>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1"/>
      <c r="CQ18" s="24">
        <v>0.91322713538362621</v>
      </c>
      <c r="CR18" s="24" t="str">
        <f t="shared" si="1"/>
        <v>1</v>
      </c>
      <c r="CS18" t="str">
        <f ca="1">IF((OFFSET($A$1, 18 - 1, 95 - 1)) &gt;= (OFFSET($A$1, 54 - 1, 7 - 1)), "1","0")</f>
        <v>1</v>
      </c>
      <c r="CT18">
        <f ca="1" xml:space="preserve"> IF( AND( OFFSET($A$1, 18 - 1, 96 - 1) = "1", OFFSET($A$1, 18 - 1, 97 - 1) = "1" ), 1, IF( AND( OFFSET($A$1, 18 - 1, 96 - 1) = "1", OFFSET($A$1, 18 - 1, 97 - 1) = "0" ), 2, IF( AND( OFFSET($A$1, 18 - 1, 96 - 1) = "0", OFFSET($A$1, 18 - 1, 97 - 1) = "1" ), 3, 4 ) ) )</f>
        <v>1</v>
      </c>
      <c r="CV18" s="24">
        <v>0.99995764803758902</v>
      </c>
      <c r="CW18" s="24" t="str">
        <f>"0"</f>
        <v>0</v>
      </c>
      <c r="CX18" t="str">
        <f ca="1">IF((OFFSET($A$1, 18 - 1, 100 - 1)) &gt;= (OFFSET($A$1, 78 - 1, 7 - 1)), "1","0")</f>
        <v>1</v>
      </c>
      <c r="CY18">
        <f ca="1" xml:space="preserve"> IF( AND( OFFSET($A$1, 18 - 1, 101 - 1) = "1", OFFSET($A$1, 18 - 1, 102 - 1) = "1" ), 1, IF( AND( OFFSET($A$1, 18 - 1, 101 - 1) = "1", OFFSET($A$1, 18 - 1, 102 - 1) = "0" ), 2, IF( AND( OFFSET($A$1, 18 - 1, 101 - 1) = "0", OFFSET($A$1, 18 - 1, 102 - 1) = "1" ), 3, 4 ) ) )</f>
        <v>3</v>
      </c>
    </row>
    <row r="19" spans="3:103" ht="13.8" x14ac:dyDescent="0.3">
      <c r="C19" s="62" t="s">
        <v>188</v>
      </c>
      <c r="D19" s="64"/>
      <c r="E19" s="69">
        <v>45</v>
      </c>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1"/>
      <c r="CQ19" s="24">
        <v>0.95182805841358376</v>
      </c>
      <c r="CR19" s="24" t="str">
        <f t="shared" si="1"/>
        <v>1</v>
      </c>
      <c r="CS19" t="str">
        <f ca="1">IF((OFFSET($A$1, 19 - 1, 95 - 1)) &gt;= (OFFSET($A$1, 54 - 1, 7 - 1)), "1","0")</f>
        <v>1</v>
      </c>
      <c r="CT19">
        <f ca="1" xml:space="preserve"> IF( AND( OFFSET($A$1, 19 - 1, 96 - 1) = "1", OFFSET($A$1, 19 - 1, 97 - 1) = "1" ), 1, IF( AND( OFFSET($A$1, 19 - 1, 96 - 1) = "1", OFFSET($A$1, 19 - 1, 97 - 1) = "0" ), 2, IF( AND( OFFSET($A$1, 19 - 1, 96 - 1) = "0", OFFSET($A$1, 19 - 1, 97 - 1) = "1" ), 3, 4 ) ) )</f>
        <v>1</v>
      </c>
      <c r="CV19" s="24">
        <v>0.88719519251623047</v>
      </c>
      <c r="CW19" s="24" t="str">
        <f t="shared" ref="CW19:CW24" si="2">"1"</f>
        <v>1</v>
      </c>
      <c r="CX19" t="str">
        <f ca="1">IF((OFFSET($A$1, 19 - 1, 100 - 1)) &gt;= (OFFSET($A$1, 78 - 1, 7 - 1)), "1","0")</f>
        <v>1</v>
      </c>
      <c r="CY19">
        <f ca="1" xml:space="preserve"> IF( AND( OFFSET($A$1, 19 - 1, 101 - 1) = "1", OFFSET($A$1, 19 - 1, 102 - 1) = "1" ), 1, IF( AND( OFFSET($A$1, 19 - 1, 101 - 1) = "1", OFFSET($A$1, 19 - 1, 102 - 1) = "0" ), 2, IF( AND( OFFSET($A$1, 19 - 1, 101 - 1) = "0", OFFSET($A$1, 19 - 1, 102 - 1) = "1" ), 3, 4 ) ) )</f>
        <v>1</v>
      </c>
    </row>
    <row r="20" spans="3:103" ht="13.8" x14ac:dyDescent="0.3">
      <c r="C20" s="62" t="s">
        <v>189</v>
      </c>
      <c r="D20" s="64"/>
      <c r="E20" s="24" t="s">
        <v>0</v>
      </c>
      <c r="F20" s="24" t="s">
        <v>68</v>
      </c>
      <c r="G20" s="24" t="s">
        <v>69</v>
      </c>
      <c r="H20" s="24" t="s">
        <v>70</v>
      </c>
      <c r="I20" s="24" t="s">
        <v>71</v>
      </c>
      <c r="J20" s="24" t="s">
        <v>81</v>
      </c>
      <c r="K20" s="24" t="s">
        <v>72</v>
      </c>
      <c r="L20" s="24" t="s">
        <v>2</v>
      </c>
      <c r="M20" s="24" t="s">
        <v>6</v>
      </c>
      <c r="N20" s="24" t="s">
        <v>74</v>
      </c>
      <c r="O20" s="24" t="s">
        <v>75</v>
      </c>
      <c r="P20" s="24" t="s">
        <v>76</v>
      </c>
      <c r="Q20" s="24" t="s">
        <v>73</v>
      </c>
      <c r="R20" s="24" t="s">
        <v>77</v>
      </c>
      <c r="S20" s="24" t="s">
        <v>78</v>
      </c>
      <c r="T20" s="24" t="s">
        <v>82</v>
      </c>
      <c r="U20" s="24" t="s">
        <v>8</v>
      </c>
      <c r="V20" s="24" t="s">
        <v>79</v>
      </c>
      <c r="W20" s="24" t="s">
        <v>80</v>
      </c>
      <c r="X20" s="24" t="s">
        <v>83</v>
      </c>
      <c r="Y20" s="24" t="s">
        <v>9</v>
      </c>
      <c r="Z20" s="24" t="s">
        <v>11</v>
      </c>
      <c r="AA20" s="24" t="s">
        <v>12</v>
      </c>
      <c r="AB20" s="24" t="s">
        <v>13</v>
      </c>
      <c r="AC20" s="24" t="s">
        <v>152</v>
      </c>
      <c r="AD20" s="24" t="s">
        <v>153</v>
      </c>
      <c r="AE20" s="24" t="s">
        <v>154</v>
      </c>
      <c r="AF20" s="24" t="s">
        <v>156</v>
      </c>
      <c r="AG20" s="24" t="s">
        <v>157</v>
      </c>
      <c r="AH20" s="24" t="s">
        <v>158</v>
      </c>
      <c r="AI20" s="24" t="s">
        <v>159</v>
      </c>
      <c r="AJ20" s="24" t="s">
        <v>161</v>
      </c>
      <c r="AK20" s="24" t="s">
        <v>162</v>
      </c>
      <c r="AL20" s="24" t="s">
        <v>163</v>
      </c>
      <c r="AM20" s="24" t="s">
        <v>164</v>
      </c>
      <c r="AN20" s="24" t="s">
        <v>166</v>
      </c>
      <c r="AO20" s="24" t="s">
        <v>167</v>
      </c>
      <c r="AP20" s="24" t="s">
        <v>168</v>
      </c>
      <c r="AQ20" s="24" t="s">
        <v>169</v>
      </c>
      <c r="AR20" s="24" t="s">
        <v>171</v>
      </c>
      <c r="AS20" s="24" t="s">
        <v>172</v>
      </c>
      <c r="AT20" s="24" t="s">
        <v>173</v>
      </c>
      <c r="AU20" s="24" t="s">
        <v>176</v>
      </c>
      <c r="AV20" s="24" t="s">
        <v>177</v>
      </c>
      <c r="AW20" s="24" t="s">
        <v>178</v>
      </c>
      <c r="CQ20" s="24">
        <v>0.99987235092981142</v>
      </c>
      <c r="CR20" s="24" t="str">
        <f t="shared" si="1"/>
        <v>1</v>
      </c>
      <c r="CS20" t="str">
        <f ca="1">IF((OFFSET($A$1, 20 - 1, 95 - 1)) &gt;= (OFFSET($A$1, 54 - 1, 7 - 1)), "1","0")</f>
        <v>1</v>
      </c>
      <c r="CT20">
        <f ca="1" xml:space="preserve"> IF( AND( OFFSET($A$1, 20 - 1, 96 - 1) = "1", OFFSET($A$1, 20 - 1, 97 - 1) = "1" ), 1, IF( AND( OFFSET($A$1, 20 - 1, 96 - 1) = "1", OFFSET($A$1, 20 - 1, 97 - 1) = "0" ), 2, IF( AND( OFFSET($A$1, 20 - 1, 96 - 1) = "0", OFFSET($A$1, 20 - 1, 97 - 1) = "1" ), 3, 4 ) ) )</f>
        <v>1</v>
      </c>
      <c r="CV20" s="24">
        <v>0.99815127953877836</v>
      </c>
      <c r="CW20" s="24" t="str">
        <f t="shared" si="2"/>
        <v>1</v>
      </c>
      <c r="CX20" t="str">
        <f ca="1">IF((OFFSET($A$1, 20 - 1, 100 - 1)) &gt;= (OFFSET($A$1, 78 - 1, 7 - 1)), "1","0")</f>
        <v>1</v>
      </c>
      <c r="CY20">
        <f ca="1" xml:space="preserve"> IF( AND( OFFSET($A$1, 20 - 1, 101 - 1) = "1", OFFSET($A$1, 20 - 1, 102 - 1) = "1" ), 1, IF( AND( OFFSET($A$1, 20 - 1, 101 - 1) = "1", OFFSET($A$1, 20 - 1, 102 - 1) = "0" ), 2, IF( AND( OFFSET($A$1, 20 - 1, 101 - 1) = "0", OFFSET($A$1, 20 - 1, 102 - 1) = "1" ), 3, 4 ) ) )</f>
        <v>1</v>
      </c>
    </row>
    <row r="21" spans="3:103" ht="13.8" x14ac:dyDescent="0.3">
      <c r="C21" s="62" t="s">
        <v>190</v>
      </c>
      <c r="D21" s="64"/>
      <c r="E21" s="67" t="s">
        <v>14</v>
      </c>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6"/>
      <c r="CQ21" s="24">
        <v>0.8867036541240203</v>
      </c>
      <c r="CR21" s="24" t="str">
        <f t="shared" si="1"/>
        <v>1</v>
      </c>
      <c r="CS21" t="str">
        <f ca="1">IF((OFFSET($A$1, 21 - 1, 95 - 1)) &gt;= (OFFSET($A$1, 54 - 1, 7 - 1)), "1","0")</f>
        <v>1</v>
      </c>
      <c r="CT21">
        <f ca="1" xml:space="preserve"> IF( AND( OFFSET($A$1, 21 - 1, 96 - 1) = "1", OFFSET($A$1, 21 - 1, 97 - 1) = "1" ), 1, IF( AND( OFFSET($A$1, 21 - 1, 96 - 1) = "1", OFFSET($A$1, 21 - 1, 97 - 1) = "0" ), 2, IF( AND( OFFSET($A$1, 21 - 1, 96 - 1) = "0", OFFSET($A$1, 21 - 1, 97 - 1) = "1" ), 3, 4 ) ) )</f>
        <v>1</v>
      </c>
      <c r="CV21" s="24">
        <v>0.8540864194450678</v>
      </c>
      <c r="CW21" s="24" t="str">
        <f t="shared" si="2"/>
        <v>1</v>
      </c>
      <c r="CX21" t="str">
        <f ca="1">IF((OFFSET($A$1, 21 - 1, 100 - 1)) &gt;= (OFFSET($A$1, 78 - 1, 7 - 1)), "1","0")</f>
        <v>1</v>
      </c>
      <c r="CY21">
        <f ca="1" xml:space="preserve"> IF( AND( OFFSET($A$1, 21 - 1, 101 - 1) = "1", OFFSET($A$1, 21 - 1, 102 - 1) = "1" ), 1, IF( AND( OFFSET($A$1, 21 - 1, 101 - 1) = "1", OFFSET($A$1, 21 - 1, 102 - 1) = "0" ), 2, IF( AND( OFFSET($A$1, 21 - 1, 101 - 1) = "0", OFFSET($A$1, 21 - 1, 102 - 1) = "1" ), 3, 4 ) ) )</f>
        <v>1</v>
      </c>
    </row>
    <row r="22" spans="3:103" ht="13.8" x14ac:dyDescent="0.3">
      <c r="CQ22" s="24">
        <v>0.96526104569328808</v>
      </c>
      <c r="CR22" s="24" t="str">
        <f t="shared" si="1"/>
        <v>1</v>
      </c>
      <c r="CS22" t="str">
        <f ca="1">IF((OFFSET($A$1, 22 - 1, 95 - 1)) &gt;= (OFFSET($A$1, 54 - 1, 7 - 1)), "1","0")</f>
        <v>1</v>
      </c>
      <c r="CT22">
        <f ca="1" xml:space="preserve"> IF( AND( OFFSET($A$1, 22 - 1, 96 - 1) = "1", OFFSET($A$1, 22 - 1, 97 - 1) = "1" ), 1, IF( AND( OFFSET($A$1, 22 - 1, 96 - 1) = "1", OFFSET($A$1, 22 - 1, 97 - 1) = "0" ), 2, IF( AND( OFFSET($A$1, 22 - 1, 96 - 1) = "0", OFFSET($A$1, 22 - 1, 97 - 1) = "1" ), 3, 4 ) ) )</f>
        <v>1</v>
      </c>
      <c r="CV22" s="24">
        <v>1.5448808390132993E-2</v>
      </c>
      <c r="CW22" s="24" t="str">
        <f t="shared" si="2"/>
        <v>1</v>
      </c>
      <c r="CX22" t="str">
        <f ca="1">IF((OFFSET($A$1, 22 - 1, 100 - 1)) &gt;= (OFFSET($A$1, 78 - 1, 7 - 1)), "1","0")</f>
        <v>0</v>
      </c>
      <c r="CY22">
        <f ca="1" xml:space="preserve"> IF( AND( OFFSET($A$1, 22 - 1, 101 - 1) = "1", OFFSET($A$1, 22 - 1, 102 - 1) = "1" ), 1, IF( AND( OFFSET($A$1, 22 - 1, 101 - 1) = "1", OFFSET($A$1, 22 - 1, 102 - 1) = "0" ), 2, IF( AND( OFFSET($A$1, 22 - 1, 101 - 1) = "0", OFFSET($A$1, 22 - 1, 102 - 1) = "1" ), 3, 4 ) ) )</f>
        <v>2</v>
      </c>
    </row>
    <row r="23" spans="3:103" ht="15.6" x14ac:dyDescent="0.3">
      <c r="C23" s="59" t="s">
        <v>191</v>
      </c>
      <c r="D23" s="60"/>
      <c r="E23" s="60"/>
      <c r="F23" s="60"/>
      <c r="G23" s="60"/>
      <c r="H23" s="60"/>
      <c r="I23" s="60"/>
      <c r="J23" s="61"/>
      <c r="CQ23" s="24">
        <v>0.92809864343686133</v>
      </c>
      <c r="CR23" s="24" t="str">
        <f t="shared" si="1"/>
        <v>1</v>
      </c>
      <c r="CS23" t="str">
        <f ca="1">IF((OFFSET($A$1, 23 - 1, 95 - 1)) &gt;= (OFFSET($A$1, 54 - 1, 7 - 1)), "1","0")</f>
        <v>1</v>
      </c>
      <c r="CT23">
        <f ca="1" xml:space="preserve"> IF( AND( OFFSET($A$1, 23 - 1, 96 - 1) = "1", OFFSET($A$1, 23 - 1, 97 - 1) = "1" ), 1, IF( AND( OFFSET($A$1, 23 - 1, 96 - 1) = "1", OFFSET($A$1, 23 - 1, 97 - 1) = "0" ), 2, IF( AND( OFFSET($A$1, 23 - 1, 96 - 1) = "0", OFFSET($A$1, 23 - 1, 97 - 1) = "1" ), 3, 4 ) ) )</f>
        <v>1</v>
      </c>
      <c r="CV23" s="24">
        <v>0.99016386049386274</v>
      </c>
      <c r="CW23" s="24" t="str">
        <f t="shared" si="2"/>
        <v>1</v>
      </c>
      <c r="CX23" t="str">
        <f ca="1">IF((OFFSET($A$1, 23 - 1, 100 - 1)) &gt;= (OFFSET($A$1, 78 - 1, 7 - 1)), "1","0")</f>
        <v>1</v>
      </c>
      <c r="CY23">
        <f ca="1" xml:space="preserve"> IF( AND( OFFSET($A$1, 23 - 1, 101 - 1) = "1", OFFSET($A$1, 23 - 1, 102 - 1) = "1" ), 1, IF( AND( OFFSET($A$1, 23 - 1, 101 - 1) = "1", OFFSET($A$1, 23 - 1, 102 - 1) = "0" ), 2, IF( AND( OFFSET($A$1, 23 - 1, 101 - 1) = "0", OFFSET($A$1, 23 - 1, 102 - 1) = "1" ), 3, 4 ) ) )</f>
        <v>1</v>
      </c>
    </row>
    <row r="24" spans="3:103" ht="13.8" x14ac:dyDescent="0.3">
      <c r="C24" s="62" t="s">
        <v>192</v>
      </c>
      <c r="D24" s="63"/>
      <c r="E24" s="63"/>
      <c r="F24" s="64"/>
      <c r="G24" s="69" t="s">
        <v>193</v>
      </c>
      <c r="H24" s="70"/>
      <c r="I24" s="70"/>
      <c r="J24" s="71"/>
      <c r="CQ24" s="24">
        <v>0.98468636681737876</v>
      </c>
      <c r="CR24" s="24" t="str">
        <f t="shared" si="1"/>
        <v>1</v>
      </c>
      <c r="CS24" t="str">
        <f ca="1">IF((OFFSET($A$1, 24 - 1, 95 - 1)) &gt;= (OFFSET($A$1, 54 - 1, 7 - 1)), "1","0")</f>
        <v>1</v>
      </c>
      <c r="CT24">
        <f ca="1" xml:space="preserve"> IF( AND( OFFSET($A$1, 24 - 1, 96 - 1) = "1", OFFSET($A$1, 24 - 1, 97 - 1) = "1" ), 1, IF( AND( OFFSET($A$1, 24 - 1, 96 - 1) = "1", OFFSET($A$1, 24 - 1, 97 - 1) = "0" ), 2, IF( AND( OFFSET($A$1, 24 - 1, 96 - 1) = "0", OFFSET($A$1, 24 - 1, 97 - 1) = "1" ), 3, 4 ) ) )</f>
        <v>1</v>
      </c>
      <c r="CV24" s="24">
        <v>0.22436331663292422</v>
      </c>
      <c r="CW24" s="24" t="str">
        <f t="shared" si="2"/>
        <v>1</v>
      </c>
      <c r="CX24" t="str">
        <f ca="1">IF((OFFSET($A$1, 24 - 1, 100 - 1)) &gt;= (OFFSET($A$1, 78 - 1, 7 - 1)), "1","0")</f>
        <v>0</v>
      </c>
      <c r="CY24">
        <f ca="1" xml:space="preserve"> IF( AND( OFFSET($A$1, 24 - 1, 101 - 1) = "1", OFFSET($A$1, 24 - 1, 102 - 1) = "1" ), 1, IF( AND( OFFSET($A$1, 24 - 1, 101 - 1) = "1", OFFSET($A$1, 24 - 1, 102 - 1) = "0" ), 2, IF( AND( OFFSET($A$1, 24 - 1, 101 - 1) = "0", OFFSET($A$1, 24 - 1, 102 - 1) = "1" ), 3, 4 ) ) )</f>
        <v>2</v>
      </c>
    </row>
    <row r="25" spans="3:103" ht="13.8" x14ac:dyDescent="0.3">
      <c r="C25" s="62" t="s">
        <v>194</v>
      </c>
      <c r="D25" s="63"/>
      <c r="E25" s="63"/>
      <c r="F25" s="64"/>
      <c r="G25" s="69" t="s">
        <v>695</v>
      </c>
      <c r="H25" s="70"/>
      <c r="I25" s="70"/>
      <c r="J25" s="71"/>
      <c r="CQ25" s="24">
        <v>8.0599117222774061E-2</v>
      </c>
      <c r="CR25" s="24" t="str">
        <f>"0"</f>
        <v>0</v>
      </c>
      <c r="CS25" t="str">
        <f ca="1">IF((OFFSET($A$1, 25 - 1, 95 - 1)) &gt;= (OFFSET($A$1, 54 - 1, 7 - 1)), "1","0")</f>
        <v>0</v>
      </c>
      <c r="CT25">
        <f ca="1" xml:space="preserve"> IF( AND( OFFSET($A$1, 25 - 1, 96 - 1) = "1", OFFSET($A$1, 25 - 1, 97 - 1) = "1" ), 1, IF( AND( OFFSET($A$1, 25 - 1, 96 - 1) = "1", OFFSET($A$1, 25 - 1, 97 - 1) = "0" ), 2, IF( AND( OFFSET($A$1, 25 - 1, 96 - 1) = "0", OFFSET($A$1, 25 - 1, 97 - 1) = "1" ), 3, 4 ) ) )</f>
        <v>4</v>
      </c>
      <c r="CV25" s="24">
        <v>0.2648506539953846</v>
      </c>
      <c r="CW25" s="24" t="str">
        <f>"0"</f>
        <v>0</v>
      </c>
      <c r="CX25" t="str">
        <f ca="1">IF((OFFSET($A$1, 25 - 1, 100 - 1)) &gt;= (OFFSET($A$1, 78 - 1, 7 - 1)), "1","0")</f>
        <v>0</v>
      </c>
      <c r="CY25">
        <f ca="1" xml:space="preserve"> IF( AND( OFFSET($A$1, 25 - 1, 101 - 1) = "1", OFFSET($A$1, 25 - 1, 102 - 1) = "1" ), 1, IF( AND( OFFSET($A$1, 25 - 1, 101 - 1) = "1", OFFSET($A$1, 25 - 1, 102 - 1) = "0" ), 2, IF( AND( OFFSET($A$1, 25 - 1, 101 - 1) = "0", OFFSET($A$1, 25 - 1, 102 - 1) = "1" ), 3, 4 ) ) )</f>
        <v>4</v>
      </c>
    </row>
    <row r="26" spans="3:103" ht="13.8" x14ac:dyDescent="0.3">
      <c r="C26" s="62" t="s">
        <v>196</v>
      </c>
      <c r="D26" s="63"/>
      <c r="E26" s="63"/>
      <c r="F26" s="64"/>
      <c r="G26" s="69">
        <v>12345</v>
      </c>
      <c r="H26" s="70"/>
      <c r="I26" s="70"/>
      <c r="J26" s="71"/>
      <c r="CQ26" s="24">
        <v>0.99902859223006191</v>
      </c>
      <c r="CR26" s="24" t="str">
        <f>"1"</f>
        <v>1</v>
      </c>
      <c r="CS26" t="str">
        <f ca="1">IF((OFFSET($A$1, 26 - 1, 95 - 1)) &gt;= (OFFSET($A$1, 54 - 1, 7 - 1)), "1","0")</f>
        <v>1</v>
      </c>
      <c r="CT26">
        <f ca="1" xml:space="preserve"> IF( AND( OFFSET($A$1, 26 - 1, 96 - 1) = "1", OFFSET($A$1, 26 - 1, 97 - 1) = "1" ), 1, IF( AND( OFFSET($A$1, 26 - 1, 96 - 1) = "1", OFFSET($A$1, 26 - 1, 97 - 1) = "0" ), 2, IF( AND( OFFSET($A$1, 26 - 1, 96 - 1) = "0", OFFSET($A$1, 26 - 1, 97 - 1) = "1" ), 3, 4 ) ) )</f>
        <v>1</v>
      </c>
      <c r="CV26" s="24">
        <v>0.98954715611860455</v>
      </c>
      <c r="CW26" s="24" t="str">
        <f>"0"</f>
        <v>0</v>
      </c>
      <c r="CX26" t="str">
        <f ca="1">IF((OFFSET($A$1, 26 - 1, 100 - 1)) &gt;= (OFFSET($A$1, 78 - 1, 7 - 1)), "1","0")</f>
        <v>1</v>
      </c>
      <c r="CY26">
        <f ca="1" xml:space="preserve"> IF( AND( OFFSET($A$1, 26 - 1, 101 - 1) = "1", OFFSET($A$1, 26 - 1, 102 - 1) = "1" ), 1, IF( AND( OFFSET($A$1, 26 - 1, 101 - 1) = "1", OFFSET($A$1, 26 - 1, 102 - 1) = "0" ), 2, IF( AND( OFFSET($A$1, 26 - 1, 101 - 1) = "0", OFFSET($A$1, 26 - 1, 102 - 1) = "1" ), 3, 4 ) ) )</f>
        <v>3</v>
      </c>
    </row>
    <row r="27" spans="3:103" ht="13.8" x14ac:dyDescent="0.3">
      <c r="C27" s="62" t="s">
        <v>652</v>
      </c>
      <c r="D27" s="63"/>
      <c r="E27" s="63"/>
      <c r="F27" s="64"/>
      <c r="G27" s="69">
        <v>1</v>
      </c>
      <c r="H27" s="70"/>
      <c r="I27" s="70"/>
      <c r="J27" s="71"/>
      <c r="CQ27" s="24">
        <v>0.99920966458733507</v>
      </c>
      <c r="CR27" s="24" t="str">
        <f>"1"</f>
        <v>1</v>
      </c>
      <c r="CS27" t="str">
        <f ca="1">IF((OFFSET($A$1, 27 - 1, 95 - 1)) &gt;= (OFFSET($A$1, 54 - 1, 7 - 1)), "1","0")</f>
        <v>1</v>
      </c>
      <c r="CT27">
        <f ca="1" xml:space="preserve"> IF( AND( OFFSET($A$1, 27 - 1, 96 - 1) = "1", OFFSET($A$1, 27 - 1, 97 - 1) = "1" ), 1, IF( AND( OFFSET($A$1, 27 - 1, 96 - 1) = "1", OFFSET($A$1, 27 - 1, 97 - 1) = "0" ), 2, IF( AND( OFFSET($A$1, 27 - 1, 96 - 1) = "0", OFFSET($A$1, 27 - 1, 97 - 1) = "1" ), 3, 4 ) ) )</f>
        <v>1</v>
      </c>
      <c r="CV27" s="24">
        <v>0.90489694373899421</v>
      </c>
      <c r="CW27" s="24" t="str">
        <f>"1"</f>
        <v>1</v>
      </c>
      <c r="CX27" t="str">
        <f ca="1">IF((OFFSET($A$1, 27 - 1, 100 - 1)) &gt;= (OFFSET($A$1, 78 - 1, 7 - 1)), "1","0")</f>
        <v>1</v>
      </c>
      <c r="CY27">
        <f ca="1" xml:space="preserve"> IF( AND( OFFSET($A$1, 27 - 1, 101 - 1) = "1", OFFSET($A$1, 27 - 1, 102 - 1) = "1" ), 1, IF( AND( OFFSET($A$1, 27 - 1, 101 - 1) = "1", OFFSET($A$1, 27 - 1, 102 - 1) = "0" ), 2, IF( AND( OFFSET($A$1, 27 - 1, 101 - 1) = "0", OFFSET($A$1, 27 - 1, 102 - 1) = "1" ), 3, 4 ) ) )</f>
        <v>1</v>
      </c>
    </row>
    <row r="28" spans="3:103" ht="13.8" x14ac:dyDescent="0.3">
      <c r="C28" s="62" t="s">
        <v>696</v>
      </c>
      <c r="D28" s="63"/>
      <c r="E28" s="63"/>
      <c r="F28" s="64"/>
      <c r="G28" s="69">
        <v>13</v>
      </c>
      <c r="H28" s="70"/>
      <c r="I28" s="70"/>
      <c r="J28" s="71"/>
      <c r="CQ28" s="24">
        <v>0.99994749219786716</v>
      </c>
      <c r="CR28" s="24" t="str">
        <f>"1"</f>
        <v>1</v>
      </c>
      <c r="CS28" t="str">
        <f ca="1">IF((OFFSET($A$1, 28 - 1, 95 - 1)) &gt;= (OFFSET($A$1, 54 - 1, 7 - 1)), "1","0")</f>
        <v>1</v>
      </c>
      <c r="CT28">
        <f ca="1" xml:space="preserve"> IF( AND( OFFSET($A$1, 28 - 1, 96 - 1) = "1", OFFSET($A$1, 28 - 1, 97 - 1) = "1" ), 1, IF( AND( OFFSET($A$1, 28 - 1, 96 - 1) = "1", OFFSET($A$1, 28 - 1, 97 - 1) = "0" ), 2, IF( AND( OFFSET($A$1, 28 - 1, 96 - 1) = "0", OFFSET($A$1, 28 - 1, 97 - 1) = "1" ), 3, 4 ) ) )</f>
        <v>1</v>
      </c>
      <c r="CV28" s="24">
        <v>0.13453006071588469</v>
      </c>
      <c r="CW28" s="24" t="str">
        <f>"0"</f>
        <v>0</v>
      </c>
      <c r="CX28" t="str">
        <f ca="1">IF((OFFSET($A$1, 28 - 1, 100 - 1)) &gt;= (OFFSET($A$1, 78 - 1, 7 - 1)), "1","0")</f>
        <v>0</v>
      </c>
      <c r="CY28">
        <f ca="1" xml:space="preserve"> IF( AND( OFFSET($A$1, 28 - 1, 101 - 1) = "1", OFFSET($A$1, 28 - 1, 102 - 1) = "1" ), 1, IF( AND( OFFSET($A$1, 28 - 1, 101 - 1) = "1", OFFSET($A$1, 28 - 1, 102 - 1) = "0" ), 2, IF( AND( OFFSET($A$1, 28 - 1, 101 - 1) = "0", OFFSET($A$1, 28 - 1, 102 - 1) = "1" ), 3, 4 ) ) )</f>
        <v>4</v>
      </c>
    </row>
    <row r="29" spans="3:103" ht="13.8" x14ac:dyDescent="0.3">
      <c r="C29" s="62" t="s">
        <v>200</v>
      </c>
      <c r="D29" s="63"/>
      <c r="E29" s="63"/>
      <c r="F29" s="64"/>
      <c r="G29" s="69">
        <v>30</v>
      </c>
      <c r="H29" s="70"/>
      <c r="I29" s="70"/>
      <c r="J29" s="71"/>
      <c r="CQ29" s="24">
        <v>0.9999989330546708</v>
      </c>
      <c r="CR29" s="24" t="str">
        <f>"1"</f>
        <v>1</v>
      </c>
      <c r="CS29" t="str">
        <f ca="1">IF((OFFSET($A$1, 29 - 1, 95 - 1)) &gt;= (OFFSET($A$1, 54 - 1, 7 - 1)), "1","0")</f>
        <v>1</v>
      </c>
      <c r="CT29">
        <f ca="1" xml:space="preserve"> IF( AND( OFFSET($A$1, 29 - 1, 96 - 1) = "1", OFFSET($A$1, 29 - 1, 97 - 1) = "1" ), 1, IF( AND( OFFSET($A$1, 29 - 1, 96 - 1) = "1", OFFSET($A$1, 29 - 1, 97 - 1) = "0" ), 2, IF( AND( OFFSET($A$1, 29 - 1, 96 - 1) = "0", OFFSET($A$1, 29 - 1, 97 - 1) = "1" ), 3, 4 ) ) )</f>
        <v>1</v>
      </c>
      <c r="CV29" s="24">
        <v>0.99995644262769989</v>
      </c>
      <c r="CW29" s="24" t="str">
        <f>"1"</f>
        <v>1</v>
      </c>
      <c r="CX29" t="str">
        <f ca="1">IF((OFFSET($A$1, 29 - 1, 100 - 1)) &gt;= (OFFSET($A$1, 78 - 1, 7 - 1)), "1","0")</f>
        <v>1</v>
      </c>
      <c r="CY29">
        <f ca="1" xml:space="preserve"> IF( AND( OFFSET($A$1, 29 - 1, 101 - 1) = "1", OFFSET($A$1, 29 - 1, 102 - 1) = "1" ), 1, IF( AND( OFFSET($A$1, 29 - 1, 101 - 1) = "1", OFFSET($A$1, 29 - 1, 102 - 1) = "0" ), 2, IF( AND( OFFSET($A$1, 29 - 1, 101 - 1) = "0", OFFSET($A$1, 29 - 1, 102 - 1) = "1" ), 3, 4 ) ) )</f>
        <v>1</v>
      </c>
    </row>
    <row r="30" spans="3:103" ht="13.8" x14ac:dyDescent="0.3">
      <c r="C30" s="62" t="s">
        <v>201</v>
      </c>
      <c r="D30" s="63"/>
      <c r="E30" s="63"/>
      <c r="F30" s="64"/>
      <c r="G30" s="69">
        <v>0.3</v>
      </c>
      <c r="H30" s="70"/>
      <c r="I30" s="70"/>
      <c r="J30" s="71"/>
      <c r="CQ30" s="24">
        <v>0.93877674026508817</v>
      </c>
      <c r="CR30" s="24" t="str">
        <f>"1"</f>
        <v>1</v>
      </c>
      <c r="CS30" t="str">
        <f ca="1">IF((OFFSET($A$1, 30 - 1, 95 - 1)) &gt;= (OFFSET($A$1, 54 - 1, 7 - 1)), "1","0")</f>
        <v>1</v>
      </c>
      <c r="CT30">
        <f ca="1" xml:space="preserve"> IF( AND( OFFSET($A$1, 30 - 1, 96 - 1) = "1", OFFSET($A$1, 30 - 1, 97 - 1) = "1" ), 1, IF( AND( OFFSET($A$1, 30 - 1, 96 - 1) = "1", OFFSET($A$1, 30 - 1, 97 - 1) = "0" ), 2, IF( AND( OFFSET($A$1, 30 - 1, 96 - 1) = "0", OFFSET($A$1, 30 - 1, 97 - 1) = "1" ), 3, 4 ) ) )</f>
        <v>1</v>
      </c>
      <c r="CV30" s="24">
        <v>0.99441230762426713</v>
      </c>
      <c r="CW30" s="24" t="str">
        <f>"1"</f>
        <v>1</v>
      </c>
      <c r="CX30" t="str">
        <f ca="1">IF((OFFSET($A$1, 30 - 1, 100 - 1)) &gt;= (OFFSET($A$1, 78 - 1, 7 - 1)), "1","0")</f>
        <v>1</v>
      </c>
      <c r="CY30">
        <f ca="1" xml:space="preserve"> IF( AND( OFFSET($A$1, 30 - 1, 101 - 1) = "1", OFFSET($A$1, 30 - 1, 102 - 1) = "1" ), 1, IF( AND( OFFSET($A$1, 30 - 1, 101 - 1) = "1", OFFSET($A$1, 30 - 1, 102 - 1) = "0" ), 2, IF( AND( OFFSET($A$1, 30 - 1, 101 - 1) = "0", OFFSET($A$1, 30 - 1, 102 - 1) = "1" ), 3, 4 ) ) )</f>
        <v>1</v>
      </c>
    </row>
    <row r="31" spans="3:103" ht="13.8" x14ac:dyDescent="0.3">
      <c r="C31" s="62" t="s">
        <v>202</v>
      </c>
      <c r="D31" s="63"/>
      <c r="E31" s="63"/>
      <c r="F31" s="64"/>
      <c r="G31" s="69">
        <v>0.6</v>
      </c>
      <c r="H31" s="70"/>
      <c r="I31" s="70"/>
      <c r="J31" s="71"/>
      <c r="CQ31" s="24">
        <v>0.99972413977323837</v>
      </c>
      <c r="CR31" s="24" t="str">
        <f>"0"</f>
        <v>0</v>
      </c>
      <c r="CS31" t="str">
        <f ca="1">IF((OFFSET($A$1, 31 - 1, 95 - 1)) &gt;= (OFFSET($A$1, 54 - 1, 7 - 1)), "1","0")</f>
        <v>1</v>
      </c>
      <c r="CT31">
        <f ca="1" xml:space="preserve"> IF( AND( OFFSET($A$1, 31 - 1, 96 - 1) = "1", OFFSET($A$1, 31 - 1, 97 - 1) = "1" ), 1, IF( AND( OFFSET($A$1, 31 - 1, 96 - 1) = "1", OFFSET($A$1, 31 - 1, 97 - 1) = "0" ), 2, IF( AND( OFFSET($A$1, 31 - 1, 96 - 1) = "0", OFFSET($A$1, 31 - 1, 97 - 1) = "1" ), 3, 4 ) ) )</f>
        <v>3</v>
      </c>
      <c r="CV31" s="24">
        <v>0.23914771096769841</v>
      </c>
      <c r="CW31" s="24" t="str">
        <f>"0"</f>
        <v>0</v>
      </c>
      <c r="CX31" t="str">
        <f ca="1">IF((OFFSET($A$1, 31 - 1, 100 - 1)) &gt;= (OFFSET($A$1, 78 - 1, 7 - 1)), "1","0")</f>
        <v>0</v>
      </c>
      <c r="CY31">
        <f ca="1" xml:space="preserve"> IF( AND( OFFSET($A$1, 31 - 1, 101 - 1) = "1", OFFSET($A$1, 31 - 1, 102 - 1) = "1" ), 1, IF( AND( OFFSET($A$1, 31 - 1, 101 - 1) = "1", OFFSET($A$1, 31 - 1, 102 - 1) = "0" ), 2, IF( AND( OFFSET($A$1, 31 - 1, 101 - 1) = "0", OFFSET($A$1, 31 - 1, 102 - 1) = "1" ), 3, 4 ) ) )</f>
        <v>4</v>
      </c>
    </row>
    <row r="32" spans="3:103" ht="13.8" x14ac:dyDescent="0.3">
      <c r="C32" s="62" t="s">
        <v>203</v>
      </c>
      <c r="D32" s="63"/>
      <c r="E32" s="63"/>
      <c r="F32" s="64"/>
      <c r="G32" s="69">
        <v>0.01</v>
      </c>
      <c r="H32" s="70"/>
      <c r="I32" s="70"/>
      <c r="J32" s="71"/>
      <c r="CQ32" s="24">
        <v>0.91573086578979812</v>
      </c>
      <c r="CR32" s="24" t="str">
        <f>"1"</f>
        <v>1</v>
      </c>
      <c r="CS32" t="str">
        <f ca="1">IF((OFFSET($A$1, 32 - 1, 95 - 1)) &gt;= (OFFSET($A$1, 54 - 1, 7 - 1)), "1","0")</f>
        <v>1</v>
      </c>
      <c r="CT32">
        <f ca="1" xml:space="preserve"> IF( AND( OFFSET($A$1, 32 - 1, 96 - 1) = "1", OFFSET($A$1, 32 - 1, 97 - 1) = "1" ), 1, IF( AND( OFFSET($A$1, 32 - 1, 96 - 1) = "1", OFFSET($A$1, 32 - 1, 97 - 1) = "0" ), 2, IF( AND( OFFSET($A$1, 32 - 1, 96 - 1) = "0", OFFSET($A$1, 32 - 1, 97 - 1) = "1" ), 3, 4 ) ) )</f>
        <v>1</v>
      </c>
      <c r="CV32" s="24">
        <v>0.99999013182510532</v>
      </c>
      <c r="CW32" s="24" t="str">
        <f>"1"</f>
        <v>1</v>
      </c>
      <c r="CX32" t="str">
        <f ca="1">IF((OFFSET($A$1, 32 - 1, 100 - 1)) &gt;= (OFFSET($A$1, 78 - 1, 7 - 1)), "1","0")</f>
        <v>1</v>
      </c>
      <c r="CY32">
        <f ca="1" xml:space="preserve"> IF( AND( OFFSET($A$1, 32 - 1, 101 - 1) = "1", OFFSET($A$1, 32 - 1, 102 - 1) = "1" ), 1, IF( AND( OFFSET($A$1, 32 - 1, 101 - 1) = "1", OFFSET($A$1, 32 - 1, 102 - 1) = "0" ), 2, IF( AND( OFFSET($A$1, 32 - 1, 101 - 1) = "0", OFFSET($A$1, 32 - 1, 102 - 1) = "1" ), 3, 4 ) ) )</f>
        <v>1</v>
      </c>
    </row>
    <row r="33" spans="2:103" ht="13.8" x14ac:dyDescent="0.3">
      <c r="C33" s="62" t="s">
        <v>204</v>
      </c>
      <c r="D33" s="63"/>
      <c r="E33" s="63"/>
      <c r="F33" s="64"/>
      <c r="G33" s="69">
        <v>0</v>
      </c>
      <c r="H33" s="70"/>
      <c r="I33" s="70"/>
      <c r="J33" s="71"/>
      <c r="CQ33" s="24">
        <v>8.5947874580809741E-2</v>
      </c>
      <c r="CR33" s="24" t="str">
        <f>"0"</f>
        <v>0</v>
      </c>
      <c r="CS33" t="str">
        <f ca="1">IF((OFFSET($A$1, 33 - 1, 95 - 1)) &gt;= (OFFSET($A$1, 54 - 1, 7 - 1)), "1","0")</f>
        <v>0</v>
      </c>
      <c r="CT33">
        <f ca="1" xml:space="preserve"> IF( AND( OFFSET($A$1, 33 - 1, 96 - 1) = "1", OFFSET($A$1, 33 - 1, 97 - 1) = "1" ), 1, IF( AND( OFFSET($A$1, 33 - 1, 96 - 1) = "1", OFFSET($A$1, 33 - 1, 97 - 1) = "0" ), 2, IF( AND( OFFSET($A$1, 33 - 1, 96 - 1) = "0", OFFSET($A$1, 33 - 1, 97 - 1) = "1" ), 3, 4 ) ) )</f>
        <v>4</v>
      </c>
      <c r="CV33" s="24">
        <v>0.75667463431395976</v>
      </c>
      <c r="CW33" s="24" t="str">
        <f>"0"</f>
        <v>0</v>
      </c>
      <c r="CX33" t="str">
        <f ca="1">IF((OFFSET($A$1, 33 - 1, 100 - 1)) &gt;= (OFFSET($A$1, 78 - 1, 7 - 1)), "1","0")</f>
        <v>1</v>
      </c>
      <c r="CY33">
        <f ca="1" xml:space="preserve"> IF( AND( OFFSET($A$1, 33 - 1, 101 - 1) = "1", OFFSET($A$1, 33 - 1, 102 - 1) = "1" ), 1, IF( AND( OFFSET($A$1, 33 - 1, 101 - 1) = "1", OFFSET($A$1, 33 - 1, 102 - 1) = "0" ), 2, IF( AND( OFFSET($A$1, 33 - 1, 101 - 1) = "0", OFFSET($A$1, 33 - 1, 102 - 1) = "1" ), 3, 4 ) ) )</f>
        <v>3</v>
      </c>
    </row>
    <row r="34" spans="2:103" ht="13.8" x14ac:dyDescent="0.3">
      <c r="C34" s="62" t="s">
        <v>205</v>
      </c>
      <c r="D34" s="63"/>
      <c r="E34" s="63"/>
      <c r="F34" s="64"/>
      <c r="G34" s="69" t="s">
        <v>206</v>
      </c>
      <c r="H34" s="70"/>
      <c r="I34" s="70"/>
      <c r="J34" s="71"/>
      <c r="CQ34" s="24">
        <v>0.97235326454148874</v>
      </c>
      <c r="CR34" s="24" t="str">
        <f t="shared" ref="CR34:CR43" si="3">"1"</f>
        <v>1</v>
      </c>
      <c r="CS34" t="str">
        <f ca="1">IF((OFFSET($A$1, 34 - 1, 95 - 1)) &gt;= (OFFSET($A$1, 54 - 1, 7 - 1)), "1","0")</f>
        <v>1</v>
      </c>
      <c r="CT34">
        <f ca="1" xml:space="preserve"> IF( AND( OFFSET($A$1, 34 - 1, 96 - 1) = "1", OFFSET($A$1, 34 - 1, 97 - 1) = "1" ), 1, IF( AND( OFFSET($A$1, 34 - 1, 96 - 1) = "1", OFFSET($A$1, 34 - 1, 97 - 1) = "0" ), 2, IF( AND( OFFSET($A$1, 34 - 1, 96 - 1) = "0", OFFSET($A$1, 34 - 1, 97 - 1) = "1" ), 3, 4 ) ) )</f>
        <v>1</v>
      </c>
      <c r="CV34" s="24">
        <v>0.99999560099452112</v>
      </c>
      <c r="CW34" s="24" t="str">
        <f>"1"</f>
        <v>1</v>
      </c>
      <c r="CX34" t="str">
        <f ca="1">IF((OFFSET($A$1, 34 - 1, 100 - 1)) &gt;= (OFFSET($A$1, 78 - 1, 7 - 1)), "1","0")</f>
        <v>1</v>
      </c>
      <c r="CY34">
        <f ca="1" xml:space="preserve"> IF( AND( OFFSET($A$1, 34 - 1, 101 - 1) = "1", OFFSET($A$1, 34 - 1, 102 - 1) = "1" ), 1, IF( AND( OFFSET($A$1, 34 - 1, 101 - 1) = "1", OFFSET($A$1, 34 - 1, 102 - 1) = "0" ), 2, IF( AND( OFFSET($A$1, 34 - 1, 101 - 1) = "0", OFFSET($A$1, 34 - 1, 102 - 1) = "1" ), 3, 4 ) ) )</f>
        <v>1</v>
      </c>
    </row>
    <row r="35" spans="2:103" ht="13.8" x14ac:dyDescent="0.3">
      <c r="C35" s="62" t="s">
        <v>207</v>
      </c>
      <c r="D35" s="63"/>
      <c r="E35" s="63"/>
      <c r="F35" s="64"/>
      <c r="G35" s="69" t="s">
        <v>208</v>
      </c>
      <c r="H35" s="70"/>
      <c r="I35" s="70"/>
      <c r="J35" s="71"/>
      <c r="CQ35" s="24">
        <v>0.99999823885460004</v>
      </c>
      <c r="CR35" s="24" t="str">
        <f t="shared" si="3"/>
        <v>1</v>
      </c>
      <c r="CS35" t="str">
        <f ca="1">IF((OFFSET($A$1, 35 - 1, 95 - 1)) &gt;= (OFFSET($A$1, 54 - 1, 7 - 1)), "1","0")</f>
        <v>1</v>
      </c>
      <c r="CT35">
        <f ca="1" xml:space="preserve"> IF( AND( OFFSET($A$1, 35 - 1, 96 - 1) = "1", OFFSET($A$1, 35 - 1, 97 - 1) = "1" ), 1, IF( AND( OFFSET($A$1, 35 - 1, 96 - 1) = "1", OFFSET($A$1, 35 - 1, 97 - 1) = "0" ), 2, IF( AND( OFFSET($A$1, 35 - 1, 96 - 1) = "0", OFFSET($A$1, 35 - 1, 97 - 1) = "1" ), 3, 4 ) ) )</f>
        <v>1</v>
      </c>
      <c r="CV35" s="24">
        <v>0.73126006499122209</v>
      </c>
      <c r="CW35" s="24" t="str">
        <f>"1"</f>
        <v>1</v>
      </c>
      <c r="CX35" t="str">
        <f ca="1">IF((OFFSET($A$1, 35 - 1, 100 - 1)) &gt;= (OFFSET($A$1, 78 - 1, 7 - 1)), "1","0")</f>
        <v>1</v>
      </c>
      <c r="CY35">
        <f ca="1" xml:space="preserve"> IF( AND( OFFSET($A$1, 35 - 1, 101 - 1) = "1", OFFSET($A$1, 35 - 1, 102 - 1) = "1" ), 1, IF( AND( OFFSET($A$1, 35 - 1, 101 - 1) = "1", OFFSET($A$1, 35 - 1, 102 - 1) = "0" ), 2, IF( AND( OFFSET($A$1, 35 - 1, 101 - 1) = "0", OFFSET($A$1, 35 - 1, 102 - 1) = "1" ), 3, 4 ) ) )</f>
        <v>1</v>
      </c>
    </row>
    <row r="36" spans="2:103" ht="13.8" x14ac:dyDescent="0.3">
      <c r="C36" s="62" t="s">
        <v>209</v>
      </c>
      <c r="D36" s="63"/>
      <c r="E36" s="63"/>
      <c r="F36" s="64"/>
      <c r="G36" s="69" t="s">
        <v>208</v>
      </c>
      <c r="H36" s="70"/>
      <c r="I36" s="70"/>
      <c r="J36" s="71"/>
      <c r="CQ36" s="24">
        <v>0.94909280190625911</v>
      </c>
      <c r="CR36" s="24" t="str">
        <f t="shared" si="3"/>
        <v>1</v>
      </c>
      <c r="CS36" t="str">
        <f ca="1">IF((OFFSET($A$1, 36 - 1, 95 - 1)) &gt;= (OFFSET($A$1, 54 - 1, 7 - 1)), "1","0")</f>
        <v>1</v>
      </c>
      <c r="CT36">
        <f ca="1" xml:space="preserve"> IF( AND( OFFSET($A$1, 36 - 1, 96 - 1) = "1", OFFSET($A$1, 36 - 1, 97 - 1) = "1" ), 1, IF( AND( OFFSET($A$1, 36 - 1, 96 - 1) = "1", OFFSET($A$1, 36 - 1, 97 - 1) = "0" ), 2, IF( AND( OFFSET($A$1, 36 - 1, 96 - 1) = "0", OFFSET($A$1, 36 - 1, 97 - 1) = "1" ), 3, 4 ) ) )</f>
        <v>1</v>
      </c>
      <c r="CV36" s="24">
        <v>0.9959079761720302</v>
      </c>
      <c r="CW36" s="24" t="str">
        <f>"1"</f>
        <v>1</v>
      </c>
      <c r="CX36" t="str">
        <f ca="1">IF((OFFSET($A$1, 36 - 1, 100 - 1)) &gt;= (OFFSET($A$1, 78 - 1, 7 - 1)), "1","0")</f>
        <v>1</v>
      </c>
      <c r="CY36">
        <f ca="1" xml:space="preserve"> IF( AND( OFFSET($A$1, 36 - 1, 101 - 1) = "1", OFFSET($A$1, 36 - 1, 102 - 1) = "1" ), 1, IF( AND( OFFSET($A$1, 36 - 1, 101 - 1) = "1", OFFSET($A$1, 36 - 1, 102 - 1) = "0" ), 2, IF( AND( OFFSET($A$1, 36 - 1, 101 - 1) = "0", OFFSET($A$1, 36 - 1, 102 - 1) = "1" ), 3, 4 ) ) )</f>
        <v>1</v>
      </c>
    </row>
    <row r="37" spans="2:103" ht="13.8" x14ac:dyDescent="0.3">
      <c r="CQ37" s="24">
        <v>0.99997892885319162</v>
      </c>
      <c r="CR37" s="24" t="str">
        <f t="shared" si="3"/>
        <v>1</v>
      </c>
      <c r="CS37" t="str">
        <f ca="1">IF((OFFSET($A$1, 37 - 1, 95 - 1)) &gt;= (OFFSET($A$1, 54 - 1, 7 - 1)), "1","0")</f>
        <v>1</v>
      </c>
      <c r="CT37">
        <f ca="1" xml:space="preserve"> IF( AND( OFFSET($A$1, 37 - 1, 96 - 1) = "1", OFFSET($A$1, 37 - 1, 97 - 1) = "1" ), 1, IF( AND( OFFSET($A$1, 37 - 1, 96 - 1) = "1", OFFSET($A$1, 37 - 1, 97 - 1) = "0" ), 2, IF( AND( OFFSET($A$1, 37 - 1, 96 - 1) = "0", OFFSET($A$1, 37 - 1, 97 - 1) = "1" ), 3, 4 ) ) )</f>
        <v>1</v>
      </c>
      <c r="CV37" s="24">
        <v>0.74389430559428626</v>
      </c>
      <c r="CW37" s="24" t="str">
        <f>"1"</f>
        <v>1</v>
      </c>
      <c r="CX37" t="str">
        <f ca="1">IF((OFFSET($A$1, 37 - 1, 100 - 1)) &gt;= (OFFSET($A$1, 78 - 1, 7 - 1)), "1","0")</f>
        <v>1</v>
      </c>
      <c r="CY37">
        <f ca="1" xml:space="preserve"> IF( AND( OFFSET($A$1, 37 - 1, 101 - 1) = "1", OFFSET($A$1, 37 - 1, 102 - 1) = "1" ), 1, IF( AND( OFFSET($A$1, 37 - 1, 101 - 1) = "1", OFFSET($A$1, 37 - 1, 102 - 1) = "0" ), 2, IF( AND( OFFSET($A$1, 37 - 1, 101 - 1) = "0", OFFSET($A$1, 37 - 1, 102 - 1) = "1" ), 3, 4 ) ) )</f>
        <v>1</v>
      </c>
    </row>
    <row r="38" spans="2:103" ht="15.6" x14ac:dyDescent="0.3">
      <c r="C38" s="59" t="s">
        <v>697</v>
      </c>
      <c r="D38" s="60"/>
      <c r="E38" s="60"/>
      <c r="F38" s="60"/>
      <c r="G38" s="61"/>
      <c r="CQ38" s="24">
        <v>0.99993666928785707</v>
      </c>
      <c r="CR38" s="24" t="str">
        <f t="shared" si="3"/>
        <v>1</v>
      </c>
      <c r="CS38" t="str">
        <f ca="1">IF((OFFSET($A$1, 38 - 1, 95 - 1)) &gt;= (OFFSET($A$1, 54 - 1, 7 - 1)), "1","0")</f>
        <v>1</v>
      </c>
      <c r="CT38">
        <f ca="1" xml:space="preserve"> IF( AND( OFFSET($A$1, 38 - 1, 96 - 1) = "1", OFFSET($A$1, 38 - 1, 97 - 1) = "1" ), 1, IF( AND( OFFSET($A$1, 38 - 1, 96 - 1) = "1", OFFSET($A$1, 38 - 1, 97 - 1) = "0" ), 2, IF( AND( OFFSET($A$1, 38 - 1, 96 - 1) = "0", OFFSET($A$1, 38 - 1, 97 - 1) = "1" ), 3, 4 ) ) )</f>
        <v>1</v>
      </c>
      <c r="CV38" s="24">
        <v>5.1994218345189962E-2</v>
      </c>
      <c r="CW38" s="24" t="str">
        <f>"0"</f>
        <v>0</v>
      </c>
      <c r="CX38" t="str">
        <f ca="1">IF((OFFSET($A$1, 38 - 1, 100 - 1)) &gt;= (OFFSET($A$1, 78 - 1, 7 - 1)), "1","0")</f>
        <v>0</v>
      </c>
      <c r="CY38">
        <f ca="1" xml:space="preserve"> IF( AND( OFFSET($A$1, 38 - 1, 101 - 1) = "1", OFFSET($A$1, 38 - 1, 102 - 1) = "1" ), 1, IF( AND( OFFSET($A$1, 38 - 1, 101 - 1) = "1", OFFSET($A$1, 38 - 1, 102 - 1) = "0" ), 2, IF( AND( OFFSET($A$1, 38 - 1, 101 - 1) = "0", OFFSET($A$1, 38 - 1, 102 - 1) = "1" ), 3, 4 ) ) )</f>
        <v>4</v>
      </c>
    </row>
    <row r="39" spans="2:103" ht="13.8" x14ac:dyDescent="0.3">
      <c r="C39" s="67" t="s">
        <v>698</v>
      </c>
      <c r="D39" s="68"/>
      <c r="E39" s="68"/>
      <c r="F39" s="68"/>
      <c r="G39" s="66"/>
      <c r="CQ39" s="24">
        <v>0.9741018961903295</v>
      </c>
      <c r="CR39" s="24" t="str">
        <f t="shared" si="3"/>
        <v>1</v>
      </c>
      <c r="CS39" t="str">
        <f ca="1">IF((OFFSET($A$1, 39 - 1, 95 - 1)) &gt;= (OFFSET($A$1, 54 - 1, 7 - 1)), "1","0")</f>
        <v>1</v>
      </c>
      <c r="CT39">
        <f ca="1" xml:space="preserve"> IF( AND( OFFSET($A$1, 39 - 1, 96 - 1) = "1", OFFSET($A$1, 39 - 1, 97 - 1) = "1" ), 1, IF( AND( OFFSET($A$1, 39 - 1, 96 - 1) = "1", OFFSET($A$1, 39 - 1, 97 - 1) = "0" ), 2, IF( AND( OFFSET($A$1, 39 - 1, 96 - 1) = "0", OFFSET($A$1, 39 - 1, 97 - 1) = "1" ), 3, 4 ) ) )</f>
        <v>1</v>
      </c>
      <c r="CV39" s="24">
        <v>0.99936464658036095</v>
      </c>
      <c r="CW39" s="24" t="str">
        <f>"1"</f>
        <v>1</v>
      </c>
      <c r="CX39" t="str">
        <f ca="1">IF((OFFSET($A$1, 39 - 1, 100 - 1)) &gt;= (OFFSET($A$1, 78 - 1, 7 - 1)), "1","0")</f>
        <v>1</v>
      </c>
      <c r="CY39">
        <f ca="1" xml:space="preserve"> IF( AND( OFFSET($A$1, 39 - 1, 101 - 1) = "1", OFFSET($A$1, 39 - 1, 102 - 1) = "1" ), 1, IF( AND( OFFSET($A$1, 39 - 1, 101 - 1) = "1", OFFSET($A$1, 39 - 1, 102 - 1) = "0" ), 2, IF( AND( OFFSET($A$1, 39 - 1, 101 - 1) = "0", OFFSET($A$1, 39 - 1, 102 - 1) = "1" ), 3, 4 ) ) )</f>
        <v>1</v>
      </c>
    </row>
    <row r="40" spans="2:103" ht="13.8" x14ac:dyDescent="0.3">
      <c r="C40" s="67" t="s">
        <v>700</v>
      </c>
      <c r="D40" s="68"/>
      <c r="E40" s="68"/>
      <c r="F40" s="68"/>
      <c r="G40" s="66"/>
      <c r="CQ40" s="24">
        <v>0.98238742673549162</v>
      </c>
      <c r="CR40" s="24" t="str">
        <f t="shared" si="3"/>
        <v>1</v>
      </c>
      <c r="CS40" t="str">
        <f ca="1">IF((OFFSET($A$1, 40 - 1, 95 - 1)) &gt;= (OFFSET($A$1, 54 - 1, 7 - 1)), "1","0")</f>
        <v>1</v>
      </c>
      <c r="CT40">
        <f ca="1" xml:space="preserve"> IF( AND( OFFSET($A$1, 40 - 1, 96 - 1) = "1", OFFSET($A$1, 40 - 1, 97 - 1) = "1" ), 1, IF( AND( OFFSET($A$1, 40 - 1, 96 - 1) = "1", OFFSET($A$1, 40 - 1, 97 - 1) = "0" ), 2, IF( AND( OFFSET($A$1, 40 - 1, 96 - 1) = "0", OFFSET($A$1, 40 - 1, 97 - 1) = "1" ), 3, 4 ) ) )</f>
        <v>1</v>
      </c>
      <c r="CV40" s="24">
        <v>4.8616239551174521E-2</v>
      </c>
      <c r="CW40" s="24" t="str">
        <f>"1"</f>
        <v>1</v>
      </c>
      <c r="CX40" t="str">
        <f ca="1">IF((OFFSET($A$1, 40 - 1, 100 - 1)) &gt;= (OFFSET($A$1, 78 - 1, 7 - 1)), "1","0")</f>
        <v>0</v>
      </c>
      <c r="CY40">
        <f ca="1" xml:space="preserve"> IF( AND( OFFSET($A$1, 40 - 1, 101 - 1) = "1", OFFSET($A$1, 40 - 1, 102 - 1) = "1" ), 1, IF( AND( OFFSET($A$1, 40 - 1, 101 - 1) = "1", OFFSET($A$1, 40 - 1, 102 - 1) = "0" ), 2, IF( AND( OFFSET($A$1, 40 - 1, 101 - 1) = "0", OFFSET($A$1, 40 - 1, 102 - 1) = "1" ), 3, 4 ) ) )</f>
        <v>2</v>
      </c>
    </row>
    <row r="41" spans="2:103" ht="13.8" x14ac:dyDescent="0.3">
      <c r="CQ41" s="24">
        <v>0.88897684925369114</v>
      </c>
      <c r="CR41" s="24" t="str">
        <f t="shared" si="3"/>
        <v>1</v>
      </c>
      <c r="CS41" t="str">
        <f ca="1">IF((OFFSET($A$1, 41 - 1, 95 - 1)) &gt;= (OFFSET($A$1, 54 - 1, 7 - 1)), "1","0")</f>
        <v>1</v>
      </c>
      <c r="CT41">
        <f ca="1" xml:space="preserve"> IF( AND( OFFSET($A$1, 41 - 1, 96 - 1) = "1", OFFSET($A$1, 41 - 1, 97 - 1) = "1" ), 1, IF( AND( OFFSET($A$1, 41 - 1, 96 - 1) = "1", OFFSET($A$1, 41 - 1, 97 - 1) = "0" ), 2, IF( AND( OFFSET($A$1, 41 - 1, 96 - 1) = "0", OFFSET($A$1, 41 - 1, 97 - 1) = "1" ), 3, 4 ) ) )</f>
        <v>1</v>
      </c>
      <c r="CV41" s="24">
        <v>0.45557974122814199</v>
      </c>
      <c r="CW41" s="24" t="str">
        <f>"1"</f>
        <v>1</v>
      </c>
      <c r="CX41" t="str">
        <f ca="1">IF((OFFSET($A$1, 41 - 1, 100 - 1)) &gt;= (OFFSET($A$1, 78 - 1, 7 - 1)), "1","0")</f>
        <v>0</v>
      </c>
      <c r="CY41">
        <f ca="1" xml:space="preserve"> IF( AND( OFFSET($A$1, 41 - 1, 101 - 1) = "1", OFFSET($A$1, 41 - 1, 102 - 1) = "1" ), 1, IF( AND( OFFSET($A$1, 41 - 1, 101 - 1) = "1", OFFSET($A$1, 41 - 1, 102 - 1) = "0" ), 2, IF( AND( OFFSET($A$1, 41 - 1, 101 - 1) = "0", OFFSET($A$1, 41 - 1, 102 - 1) = "1" ), 3, 4 ) ) )</f>
        <v>2</v>
      </c>
    </row>
    <row r="42" spans="2:103" ht="13.8" x14ac:dyDescent="0.3">
      <c r="CQ42" s="24">
        <v>0.97903588921284912</v>
      </c>
      <c r="CR42" s="24" t="str">
        <f t="shared" si="3"/>
        <v>1</v>
      </c>
      <c r="CS42" t="str">
        <f ca="1">IF((OFFSET($A$1, 42 - 1, 95 - 1)) &gt;= (OFFSET($A$1, 54 - 1, 7 - 1)), "1","0")</f>
        <v>1</v>
      </c>
      <c r="CT42">
        <f ca="1" xml:space="preserve"> IF( AND( OFFSET($A$1, 42 - 1, 96 - 1) = "1", OFFSET($A$1, 42 - 1, 97 - 1) = "1" ), 1, IF( AND( OFFSET($A$1, 42 - 1, 96 - 1) = "1", OFFSET($A$1, 42 - 1, 97 - 1) = "0" ), 2, IF( AND( OFFSET($A$1, 42 - 1, 96 - 1) = "0", OFFSET($A$1, 42 - 1, 97 - 1) = "1" ), 3, 4 ) ) )</f>
        <v>1</v>
      </c>
      <c r="CV42" s="24">
        <v>0.99901147304041582</v>
      </c>
      <c r="CW42" s="24" t="str">
        <f>"1"</f>
        <v>1</v>
      </c>
      <c r="CX42" t="str">
        <f ca="1">IF((OFFSET($A$1, 42 - 1, 100 - 1)) &gt;= (OFFSET($A$1, 78 - 1, 7 - 1)), "1","0")</f>
        <v>1</v>
      </c>
      <c r="CY42">
        <f ca="1" xml:space="preserve"> IF( AND( OFFSET($A$1, 42 - 1, 101 - 1) = "1", OFFSET($A$1, 42 - 1, 102 - 1) = "1" ), 1, IF( AND( OFFSET($A$1, 42 - 1, 101 - 1) = "1", OFFSET($A$1, 42 - 1, 102 - 1) = "0" ), 2, IF( AND( OFFSET($A$1, 42 - 1, 101 - 1) = "0", OFFSET($A$1, 42 - 1, 102 - 1) = "1" ), 3, 4 ) ) )</f>
        <v>1</v>
      </c>
    </row>
    <row r="43" spans="2:103" ht="18" x14ac:dyDescent="0.35">
      <c r="B43" s="22" t="s">
        <v>702</v>
      </c>
      <c r="CQ43" s="24">
        <v>0.89316002912283676</v>
      </c>
      <c r="CR43" s="24" t="str">
        <f t="shared" si="3"/>
        <v>1</v>
      </c>
      <c r="CS43" t="str">
        <f ca="1">IF((OFFSET($A$1, 43 - 1, 95 - 1)) &gt;= (OFFSET($A$1, 54 - 1, 7 - 1)), "1","0")</f>
        <v>1</v>
      </c>
      <c r="CT43">
        <f ca="1" xml:space="preserve"> IF( AND( OFFSET($A$1, 43 - 1, 96 - 1) = "1", OFFSET($A$1, 43 - 1, 97 - 1) = "1" ), 1, IF( AND( OFFSET($A$1, 43 - 1, 96 - 1) = "1", OFFSET($A$1, 43 - 1, 97 - 1) = "0" ), 2, IF( AND( OFFSET($A$1, 43 - 1, 96 - 1) = "0", OFFSET($A$1, 43 - 1, 97 - 1) = "1" ), 3, 4 ) ) )</f>
        <v>1</v>
      </c>
      <c r="CV43" s="24">
        <v>0.12226885236086231</v>
      </c>
      <c r="CW43" s="24" t="str">
        <f>"0"</f>
        <v>0</v>
      </c>
      <c r="CX43" t="str">
        <f ca="1">IF((OFFSET($A$1, 43 - 1, 100 - 1)) &gt;= (OFFSET($A$1, 78 - 1, 7 - 1)), "1","0")</f>
        <v>0</v>
      </c>
      <c r="CY43">
        <f ca="1" xml:space="preserve"> IF( AND( OFFSET($A$1, 43 - 1, 101 - 1) = "1", OFFSET($A$1, 43 - 1, 102 - 1) = "1" ), 1, IF( AND( OFFSET($A$1, 43 - 1, 101 - 1) = "1", OFFSET($A$1, 43 - 1, 102 - 1) = "0" ), 2, IF( AND( OFFSET($A$1, 43 - 1, 101 - 1) = "0", OFFSET($A$1, 43 - 1, 102 - 1) = "1" ), 3, 4 ) ) )</f>
        <v>4</v>
      </c>
    </row>
    <row r="44" spans="2:103" ht="13.8" x14ac:dyDescent="0.3">
      <c r="CQ44" s="24">
        <v>0.9998031770316167</v>
      </c>
      <c r="CR44" s="24" t="str">
        <f>"0"</f>
        <v>0</v>
      </c>
      <c r="CS44" t="str">
        <f ca="1">IF((OFFSET($A$1, 44 - 1, 95 - 1)) &gt;= (OFFSET($A$1, 54 - 1, 7 - 1)), "1","0")</f>
        <v>1</v>
      </c>
      <c r="CT44">
        <f ca="1" xml:space="preserve"> IF( AND( OFFSET($A$1, 44 - 1, 96 - 1) = "1", OFFSET($A$1, 44 - 1, 97 - 1) = "1" ), 1, IF( AND( OFFSET($A$1, 44 - 1, 96 - 1) = "1", OFFSET($A$1, 44 - 1, 97 - 1) = "0" ), 2, IF( AND( OFFSET($A$1, 44 - 1, 96 - 1) = "0", OFFSET($A$1, 44 - 1, 97 - 1) = "1" ), 3, 4 ) ) )</f>
        <v>3</v>
      </c>
      <c r="CV44" s="24">
        <v>0.46852914205461615</v>
      </c>
      <c r="CW44" s="24" t="str">
        <f>"1"</f>
        <v>1</v>
      </c>
      <c r="CX44" t="str">
        <f ca="1">IF((OFFSET($A$1, 44 - 1, 100 - 1)) &gt;= (OFFSET($A$1, 78 - 1, 7 - 1)), "1","0")</f>
        <v>0</v>
      </c>
      <c r="CY44">
        <f ca="1" xml:space="preserve"> IF( AND( OFFSET($A$1, 44 - 1, 101 - 1) = "1", OFFSET($A$1, 44 - 1, 102 - 1) = "1" ), 1, IF( AND( OFFSET($A$1, 44 - 1, 101 - 1) = "1", OFFSET($A$1, 44 - 1, 102 - 1) = "0" ), 2, IF( AND( OFFSET($A$1, 44 - 1, 101 - 1) = "0", OFFSET($A$1, 44 - 1, 102 - 1) = "1" ), 3, 4 ) ) )</f>
        <v>2</v>
      </c>
    </row>
    <row r="45" spans="2:103" ht="13.8" x14ac:dyDescent="0.3">
      <c r="C45" s="67" t="s">
        <v>703</v>
      </c>
      <c r="D45" s="68"/>
      <c r="E45" s="68"/>
      <c r="F45" s="68"/>
      <c r="G45" s="66"/>
      <c r="CQ45" s="24">
        <v>0.99944384655084317</v>
      </c>
      <c r="CR45" s="24" t="str">
        <f>"1"</f>
        <v>1</v>
      </c>
      <c r="CS45" t="str">
        <f ca="1">IF((OFFSET($A$1, 45 - 1, 95 - 1)) &gt;= (OFFSET($A$1, 54 - 1, 7 - 1)), "1","0")</f>
        <v>1</v>
      </c>
      <c r="CT45">
        <f ca="1" xml:space="preserve"> IF( AND( OFFSET($A$1, 45 - 1, 96 - 1) = "1", OFFSET($A$1, 45 - 1, 97 - 1) = "1" ), 1, IF( AND( OFFSET($A$1, 45 - 1, 96 - 1) = "1", OFFSET($A$1, 45 - 1, 97 - 1) = "0" ), 2, IF( AND( OFFSET($A$1, 45 - 1, 96 - 1) = "0", OFFSET($A$1, 45 - 1, 97 - 1) = "1" ), 3, 4 ) ) )</f>
        <v>1</v>
      </c>
      <c r="CV45" s="24">
        <v>0.99652817721527087</v>
      </c>
      <c r="CW45" s="24" t="str">
        <f>"1"</f>
        <v>1</v>
      </c>
      <c r="CX45" t="str">
        <f ca="1">IF((OFFSET($A$1, 45 - 1, 100 - 1)) &gt;= (OFFSET($A$1, 78 - 1, 7 - 1)), "1","0")</f>
        <v>1</v>
      </c>
      <c r="CY45">
        <f ca="1" xml:space="preserve"> IF( AND( OFFSET($A$1, 45 - 1, 101 - 1) = "1", OFFSET($A$1, 45 - 1, 102 - 1) = "1" ), 1, IF( AND( OFFSET($A$1, 45 - 1, 101 - 1) = "1", OFFSET($A$1, 45 - 1, 102 - 1) = "0" ), 2, IF( AND( OFFSET($A$1, 45 - 1, 101 - 1) = "0", OFFSET($A$1, 45 - 1, 102 - 1) = "1" ), 3, 4 ) ) )</f>
        <v>1</v>
      </c>
    </row>
    <row r="46" spans="2:103" ht="13.8" x14ac:dyDescent="0.3">
      <c r="CQ46" s="24">
        <v>0.96871083760359178</v>
      </c>
      <c r="CR46" s="24" t="str">
        <f>"1"</f>
        <v>1</v>
      </c>
      <c r="CS46" t="str">
        <f ca="1">IF((OFFSET($A$1, 46 - 1, 95 - 1)) &gt;= (OFFSET($A$1, 54 - 1, 7 - 1)), "1","0")</f>
        <v>1</v>
      </c>
      <c r="CT46">
        <f ca="1" xml:space="preserve"> IF( AND( OFFSET($A$1, 46 - 1, 96 - 1) = "1", OFFSET($A$1, 46 - 1, 97 - 1) = "1" ), 1, IF( AND( OFFSET($A$1, 46 - 1, 96 - 1) = "1", OFFSET($A$1, 46 - 1, 97 - 1) = "0" ), 2, IF( AND( OFFSET($A$1, 46 - 1, 96 - 1) = "0", OFFSET($A$1, 46 - 1, 97 - 1) = "1" ), 3, 4 ) ) )</f>
        <v>1</v>
      </c>
      <c r="CV46" s="24">
        <v>0.81282765262431822</v>
      </c>
      <c r="CW46" s="24" t="str">
        <f>"0"</f>
        <v>0</v>
      </c>
      <c r="CX46" t="str">
        <f ca="1">IF((OFFSET($A$1, 46 - 1, 100 - 1)) &gt;= (OFFSET($A$1, 78 - 1, 7 - 1)), "1","0")</f>
        <v>1</v>
      </c>
      <c r="CY46">
        <f ca="1" xml:space="preserve"> IF( AND( OFFSET($A$1, 46 - 1, 101 - 1) = "1", OFFSET($A$1, 46 - 1, 102 - 1) = "1" ), 1, IF( AND( OFFSET($A$1, 46 - 1, 101 - 1) = "1", OFFSET($A$1, 46 - 1, 102 - 1) = "0" ), 2, IF( AND( OFFSET($A$1, 46 - 1, 101 - 1) = "0", OFFSET($A$1, 46 - 1, 102 - 1) = "1" ), 3, 4 ) ) )</f>
        <v>3</v>
      </c>
    </row>
    <row r="47" spans="2:103" ht="13.8" x14ac:dyDescent="0.3">
      <c r="C47" s="26" t="s">
        <v>332</v>
      </c>
      <c r="D47" s="26" t="s">
        <v>704</v>
      </c>
      <c r="CQ47" s="24">
        <v>0.95430047267399298</v>
      </c>
      <c r="CR47" s="24" t="str">
        <f>"1"</f>
        <v>1</v>
      </c>
      <c r="CS47" t="str">
        <f ca="1">IF((OFFSET($A$1, 47 - 1, 95 - 1)) &gt;= (OFFSET($A$1, 54 - 1, 7 - 1)), "1","0")</f>
        <v>1</v>
      </c>
      <c r="CT47">
        <f ca="1" xml:space="preserve"> IF( AND( OFFSET($A$1, 47 - 1, 96 - 1) = "1", OFFSET($A$1, 47 - 1, 97 - 1) = "1" ), 1, IF( AND( OFFSET($A$1, 47 - 1, 96 - 1) = "1", OFFSET($A$1, 47 - 1, 97 - 1) = "0" ), 2, IF( AND( OFFSET($A$1, 47 - 1, 96 - 1) = "0", OFFSET($A$1, 47 - 1, 97 - 1) = "1" ), 3, 4 ) ) )</f>
        <v>1</v>
      </c>
      <c r="CV47" s="24">
        <v>9.0352708883171873E-2</v>
      </c>
      <c r="CW47" s="24" t="str">
        <f>"0"</f>
        <v>0</v>
      </c>
      <c r="CX47" t="str">
        <f ca="1">IF((OFFSET($A$1, 47 - 1, 100 - 1)) &gt;= (OFFSET($A$1, 78 - 1, 7 - 1)), "1","0")</f>
        <v>0</v>
      </c>
      <c r="CY47">
        <f ca="1" xml:space="preserve"> IF( AND( OFFSET($A$1, 47 - 1, 101 - 1) = "1", OFFSET($A$1, 47 - 1, 102 - 1) = "1" ), 1, IF( AND( OFFSET($A$1, 47 - 1, 101 - 1) = "1", OFFSET($A$1, 47 - 1, 102 - 1) = "0" ), 2, IF( AND( OFFSET($A$1, 47 - 1, 101 - 1) = "0", OFFSET($A$1, 47 - 1, 102 - 1) = "1" ), 3, 4 ) ) )</f>
        <v>4</v>
      </c>
    </row>
    <row r="48" spans="2:103" ht="13.8" x14ac:dyDescent="0.3">
      <c r="C48" s="25">
        <v>0</v>
      </c>
      <c r="D48" s="24">
        <v>0.28500000000000003</v>
      </c>
      <c r="CQ48" s="24">
        <v>1.0031759950528931E-2</v>
      </c>
      <c r="CR48" s="24" t="str">
        <f>"0"</f>
        <v>0</v>
      </c>
      <c r="CS48" t="str">
        <f ca="1">IF((OFFSET($A$1, 48 - 1, 95 - 1)) &gt;= (OFFSET($A$1, 54 - 1, 7 - 1)), "1","0")</f>
        <v>0</v>
      </c>
      <c r="CT48">
        <f ca="1" xml:space="preserve"> IF( AND( OFFSET($A$1, 48 - 1, 96 - 1) = "1", OFFSET($A$1, 48 - 1, 97 - 1) = "1" ), 1, IF( AND( OFFSET($A$1, 48 - 1, 96 - 1) = "1", OFFSET($A$1, 48 - 1, 97 - 1) = "0" ), 2, IF( AND( OFFSET($A$1, 48 - 1, 96 - 1) = "0", OFFSET($A$1, 48 - 1, 97 - 1) = "1" ), 3, 4 ) ) )</f>
        <v>4</v>
      </c>
      <c r="CV48" s="24">
        <v>0.16167125663277296</v>
      </c>
      <c r="CW48" s="24" t="str">
        <f>"1"</f>
        <v>1</v>
      </c>
      <c r="CX48" t="str">
        <f ca="1">IF((OFFSET($A$1, 48 - 1, 100 - 1)) &gt;= (OFFSET($A$1, 78 - 1, 7 - 1)), "1","0")</f>
        <v>0</v>
      </c>
      <c r="CY48">
        <f ca="1" xml:space="preserve"> IF( AND( OFFSET($A$1, 48 - 1, 101 - 1) = "1", OFFSET($A$1, 48 - 1, 102 - 1) = "1" ), 1, IF( AND( OFFSET($A$1, 48 - 1, 101 - 1) = "1", OFFSET($A$1, 48 - 1, 102 - 1) = "0" ), 2, IF( AND( OFFSET($A$1, 48 - 1, 101 - 1) = "0", OFFSET($A$1, 48 - 1, 102 - 1) = "1" ), 3, 4 ) ) )</f>
        <v>2</v>
      </c>
    </row>
    <row r="49" spans="2:103" ht="13.8" x14ac:dyDescent="0.3">
      <c r="C49" s="25">
        <v>1</v>
      </c>
      <c r="D49" s="24">
        <v>0.71500000000000008</v>
      </c>
      <c r="CQ49" s="24">
        <v>0.97914483248579498</v>
      </c>
      <c r="CR49" s="24" t="str">
        <f t="shared" ref="CR49:CR55" si="4">"1"</f>
        <v>1</v>
      </c>
      <c r="CS49" t="str">
        <f ca="1">IF((OFFSET($A$1, 49 - 1, 95 - 1)) &gt;= (OFFSET($A$1, 54 - 1, 7 - 1)), "1","0")</f>
        <v>1</v>
      </c>
      <c r="CT49">
        <f ca="1" xml:space="preserve"> IF( AND( OFFSET($A$1, 49 - 1, 96 - 1) = "1", OFFSET($A$1, 49 - 1, 97 - 1) = "1" ), 1, IF( AND( OFFSET($A$1, 49 - 1, 96 - 1) = "1", OFFSET($A$1, 49 - 1, 97 - 1) = "0" ), 2, IF( AND( OFFSET($A$1, 49 - 1, 96 - 1) = "0", OFFSET($A$1, 49 - 1, 97 - 1) = "1" ), 3, 4 ) ) )</f>
        <v>1</v>
      </c>
      <c r="CV49" s="24">
        <v>0.99999769272719574</v>
      </c>
      <c r="CW49" s="24" t="str">
        <f>"1"</f>
        <v>1</v>
      </c>
      <c r="CX49" t="str">
        <f ca="1">IF((OFFSET($A$1, 49 - 1, 100 - 1)) &gt;= (OFFSET($A$1, 78 - 1, 7 - 1)), "1","0")</f>
        <v>1</v>
      </c>
      <c r="CY49">
        <f ca="1" xml:space="preserve"> IF( AND( OFFSET($A$1, 49 - 1, 101 - 1) = "1", OFFSET($A$1, 49 - 1, 102 - 1) = "1" ), 1, IF( AND( OFFSET($A$1, 49 - 1, 101 - 1) = "1", OFFSET($A$1, 49 - 1, 102 - 1) = "0" ), 2, IF( AND( OFFSET($A$1, 49 - 1, 101 - 1) = "0", OFFSET($A$1, 49 - 1, 102 - 1) = "1" ), 3, 4 ) ) )</f>
        <v>1</v>
      </c>
    </row>
    <row r="50" spans="2:103" ht="13.8" x14ac:dyDescent="0.3">
      <c r="CQ50" s="24">
        <v>0.99994192406135229</v>
      </c>
      <c r="CR50" s="24" t="str">
        <f t="shared" si="4"/>
        <v>1</v>
      </c>
      <c r="CS50" t="str">
        <f ca="1">IF((OFFSET($A$1, 50 - 1, 95 - 1)) &gt;= (OFFSET($A$1, 54 - 1, 7 - 1)), "1","0")</f>
        <v>1</v>
      </c>
      <c r="CT50">
        <f ca="1" xml:space="preserve"> IF( AND( OFFSET($A$1, 50 - 1, 96 - 1) = "1", OFFSET($A$1, 50 - 1, 97 - 1) = "1" ), 1, IF( AND( OFFSET($A$1, 50 - 1, 96 - 1) = "1", OFFSET($A$1, 50 - 1, 97 - 1) = "0" ), 2, IF( AND( OFFSET($A$1, 50 - 1, 96 - 1) = "0", OFFSET($A$1, 50 - 1, 97 - 1) = "1" ), 3, 4 ) ) )</f>
        <v>1</v>
      </c>
      <c r="CV50" s="24">
        <v>0.42299396788603011</v>
      </c>
      <c r="CW50" s="24" t="str">
        <f>"0"</f>
        <v>0</v>
      </c>
      <c r="CX50" t="str">
        <f ca="1">IF((OFFSET($A$1, 50 - 1, 100 - 1)) &gt;= (OFFSET($A$1, 78 - 1, 7 - 1)), "1","0")</f>
        <v>0</v>
      </c>
      <c r="CY50">
        <f ca="1" xml:space="preserve"> IF( AND( OFFSET($A$1, 50 - 1, 101 - 1) = "1", OFFSET($A$1, 50 - 1, 102 - 1) = "1" ), 1, IF( AND( OFFSET($A$1, 50 - 1, 101 - 1) = "1", OFFSET($A$1, 50 - 1, 102 - 1) = "0" ), 2, IF( AND( OFFSET($A$1, 50 - 1, 101 - 1) = "0", OFFSET($A$1, 50 - 1, 102 - 1) = "1" ), 3, 4 ) ) )</f>
        <v>4</v>
      </c>
    </row>
    <row r="51" spans="2:103" ht="13.8" x14ac:dyDescent="0.3">
      <c r="CQ51" s="24">
        <v>0.99996298025035957</v>
      </c>
      <c r="CR51" s="24" t="str">
        <f t="shared" si="4"/>
        <v>1</v>
      </c>
      <c r="CS51" t="str">
        <f ca="1">IF((OFFSET($A$1, 51 - 1, 95 - 1)) &gt;= (OFFSET($A$1, 54 - 1, 7 - 1)), "1","0")</f>
        <v>1</v>
      </c>
      <c r="CT51">
        <f ca="1" xml:space="preserve"> IF( AND( OFFSET($A$1, 51 - 1, 96 - 1) = "1", OFFSET($A$1, 51 - 1, 97 - 1) = "1" ), 1, IF( AND( OFFSET($A$1, 51 - 1, 96 - 1) = "1", OFFSET($A$1, 51 - 1, 97 - 1) = "0" ), 2, IF( AND( OFFSET($A$1, 51 - 1, 96 - 1) = "0", OFFSET($A$1, 51 - 1, 97 - 1) = "1" ), 3, 4 ) ) )</f>
        <v>1</v>
      </c>
      <c r="CV51" s="24">
        <v>4.4107994375761468E-2</v>
      </c>
      <c r="CW51" s="24" t="str">
        <f>"1"</f>
        <v>1</v>
      </c>
      <c r="CX51" t="str">
        <f ca="1">IF((OFFSET($A$1, 51 - 1, 100 - 1)) &gt;= (OFFSET($A$1, 78 - 1, 7 - 1)), "1","0")</f>
        <v>0</v>
      </c>
      <c r="CY51">
        <f ca="1" xml:space="preserve"> IF( AND( OFFSET($A$1, 51 - 1, 101 - 1) = "1", OFFSET($A$1, 51 - 1, 102 - 1) = "1" ), 1, IF( AND( OFFSET($A$1, 51 - 1, 101 - 1) = "1", OFFSET($A$1, 51 - 1, 102 - 1) = "0" ), 2, IF( AND( OFFSET($A$1, 51 - 1, 101 - 1) = "0", OFFSET($A$1, 51 - 1, 102 - 1) = "1" ), 3, 4 ) ) )</f>
        <v>2</v>
      </c>
    </row>
    <row r="52" spans="2:103" ht="18" x14ac:dyDescent="0.35">
      <c r="B52" s="22" t="s">
        <v>705</v>
      </c>
      <c r="CQ52" s="24">
        <v>0.9991875496939725</v>
      </c>
      <c r="CR52" s="24" t="str">
        <f t="shared" si="4"/>
        <v>1</v>
      </c>
      <c r="CS52" t="str">
        <f ca="1">IF((OFFSET($A$1, 52 - 1, 95 - 1)) &gt;= (OFFSET($A$1, 54 - 1, 7 - 1)), "1","0")</f>
        <v>1</v>
      </c>
      <c r="CT52">
        <f ca="1" xml:space="preserve"> IF( AND( OFFSET($A$1, 52 - 1, 96 - 1) = "1", OFFSET($A$1, 52 - 1, 97 - 1) = "1" ), 1, IF( AND( OFFSET($A$1, 52 - 1, 96 - 1) = "1", OFFSET($A$1, 52 - 1, 97 - 1) = "0" ), 2, IF( AND( OFFSET($A$1, 52 - 1, 96 - 1) = "0", OFFSET($A$1, 52 - 1, 97 - 1) = "1" ), 3, 4 ) ) )</f>
        <v>1</v>
      </c>
      <c r="CV52" s="24">
        <v>0.94417891699462542</v>
      </c>
      <c r="CW52" s="24" t="str">
        <f>"0"</f>
        <v>0</v>
      </c>
      <c r="CX52" t="str">
        <f ca="1">IF((OFFSET($A$1, 52 - 1, 100 - 1)) &gt;= (OFFSET($A$1, 78 - 1, 7 - 1)), "1","0")</f>
        <v>1</v>
      </c>
      <c r="CY52">
        <f ca="1" xml:space="preserve"> IF( AND( OFFSET($A$1, 52 - 1, 101 - 1) = "1", OFFSET($A$1, 52 - 1, 102 - 1) = "1" ), 1, IF( AND( OFFSET($A$1, 52 - 1, 101 - 1) = "1", OFFSET($A$1, 52 - 1, 102 - 1) = "0" ), 2, IF( AND( OFFSET($A$1, 52 - 1, 101 - 1) = "0", OFFSET($A$1, 52 - 1, 102 - 1) = "1" ), 3, 4 ) ) )</f>
        <v>3</v>
      </c>
    </row>
    <row r="53" spans="2:103" ht="13.8" x14ac:dyDescent="0.3">
      <c r="CQ53" s="24">
        <v>0.99509429737630883</v>
      </c>
      <c r="CR53" s="24" t="str">
        <f t="shared" si="4"/>
        <v>1</v>
      </c>
      <c r="CS53" t="str">
        <f ca="1">IF((OFFSET($A$1, 53 - 1, 95 - 1)) &gt;= (OFFSET($A$1, 54 - 1, 7 - 1)), "1","0")</f>
        <v>1</v>
      </c>
      <c r="CT53">
        <f ca="1" xml:space="preserve"> IF( AND( OFFSET($A$1, 53 - 1, 96 - 1) = "1", OFFSET($A$1, 53 - 1, 97 - 1) = "1" ), 1, IF( AND( OFFSET($A$1, 53 - 1, 96 - 1) = "1", OFFSET($A$1, 53 - 1, 97 - 1) = "0" ), 2, IF( AND( OFFSET($A$1, 53 - 1, 96 - 1) = "0", OFFSET($A$1, 53 - 1, 97 - 1) = "1" ), 3, 4 ) ) )</f>
        <v>1</v>
      </c>
      <c r="CV53" s="24">
        <v>0.97759051622605853</v>
      </c>
      <c r="CW53" s="24" t="str">
        <f>"0"</f>
        <v>0</v>
      </c>
      <c r="CX53" t="str">
        <f ca="1">IF((OFFSET($A$1, 53 - 1, 100 - 1)) &gt;= (OFFSET($A$1, 78 - 1, 7 - 1)), "1","0")</f>
        <v>1</v>
      </c>
      <c r="CY53">
        <f ca="1" xml:space="preserve"> IF( AND( OFFSET($A$1, 53 - 1, 101 - 1) = "1", OFFSET($A$1, 53 - 1, 102 - 1) = "1" ), 1, IF( AND( OFFSET($A$1, 53 - 1, 101 - 1) = "1", OFFSET($A$1, 53 - 1, 102 - 1) = "0" ), 2, IF( AND( OFFSET($A$1, 53 - 1, 101 - 1) = "0", OFFSET($A$1, 53 - 1, 102 - 1) = "1" ), 3, 4 ) ) )</f>
        <v>3</v>
      </c>
    </row>
    <row r="54" spans="2:103" ht="13.8" x14ac:dyDescent="0.3">
      <c r="C54" s="72" t="s">
        <v>706</v>
      </c>
      <c r="D54" s="73"/>
      <c r="E54" s="73"/>
      <c r="F54" s="74"/>
      <c r="G54" s="35">
        <v>0.5</v>
      </c>
      <c r="H54" s="72" t="s">
        <v>707</v>
      </c>
      <c r="I54" s="73"/>
      <c r="J54" s="73"/>
      <c r="K54" s="73"/>
      <c r="L54" s="73"/>
      <c r="M54" s="74"/>
      <c r="CQ54" s="24">
        <v>0.96364665691733919</v>
      </c>
      <c r="CR54" s="24" t="str">
        <f t="shared" si="4"/>
        <v>1</v>
      </c>
      <c r="CS54" t="str">
        <f ca="1">IF((OFFSET($A$1, 54 - 1, 95 - 1)) &gt;= (OFFSET($A$1, 54 - 1, 7 - 1)), "1","0")</f>
        <v>1</v>
      </c>
      <c r="CT54">
        <f ca="1" xml:space="preserve"> IF( AND( OFFSET($A$1, 54 - 1, 96 - 1) = "1", OFFSET($A$1, 54 - 1, 97 - 1) = "1" ), 1, IF( AND( OFFSET($A$1, 54 - 1, 96 - 1) = "1", OFFSET($A$1, 54 - 1, 97 - 1) = "0" ), 2, IF( AND( OFFSET($A$1, 54 - 1, 96 - 1) = "0", OFFSET($A$1, 54 - 1, 97 - 1) = "1" ), 3, 4 ) ) )</f>
        <v>1</v>
      </c>
      <c r="CV54" s="24">
        <v>0.99737358827573952</v>
      </c>
      <c r="CW54" s="24" t="str">
        <f>"1"</f>
        <v>1</v>
      </c>
      <c r="CX54" t="str">
        <f ca="1">IF((OFFSET($A$1, 54 - 1, 100 - 1)) &gt;= (OFFSET($A$1, 78 - 1, 7 - 1)), "1","0")</f>
        <v>1</v>
      </c>
      <c r="CY54">
        <f ca="1" xml:space="preserve"> IF( AND( OFFSET($A$1, 54 - 1, 101 - 1) = "1", OFFSET($A$1, 54 - 1, 102 - 1) = "1" ), 1, IF( AND( OFFSET($A$1, 54 - 1, 101 - 1) = "1", OFFSET($A$1, 54 - 1, 102 - 1) = "0" ), 2, IF( AND( OFFSET($A$1, 54 - 1, 101 - 1) = "0", OFFSET($A$1, 54 - 1, 102 - 1) = "1" ), 3, 4 ) ) )</f>
        <v>1</v>
      </c>
    </row>
    <row r="55" spans="2:103" ht="13.8" x14ac:dyDescent="0.3">
      <c r="CQ55" s="24">
        <v>0.99921278474227271</v>
      </c>
      <c r="CR55" s="24" t="str">
        <f t="shared" si="4"/>
        <v>1</v>
      </c>
      <c r="CS55" t="str">
        <f ca="1">IF((OFFSET($A$1, 55 - 1, 95 - 1)) &gt;= (OFFSET($A$1, 54 - 1, 7 - 1)), "1","0")</f>
        <v>1</v>
      </c>
      <c r="CT55">
        <f ca="1" xml:space="preserve"> IF( AND( OFFSET($A$1, 55 - 1, 96 - 1) = "1", OFFSET($A$1, 55 - 1, 97 - 1) = "1" ), 1, IF( AND( OFFSET($A$1, 55 - 1, 96 - 1) = "1", OFFSET($A$1, 55 - 1, 97 - 1) = "0" ), 2, IF( AND( OFFSET($A$1, 55 - 1, 96 - 1) = "0", OFFSET($A$1, 55 - 1, 97 - 1) = "1" ), 3, 4 ) ) )</f>
        <v>1</v>
      </c>
      <c r="CV55" s="24">
        <v>0.50250787831809074</v>
      </c>
      <c r="CW55" s="24" t="str">
        <f>"0"</f>
        <v>0</v>
      </c>
      <c r="CX55" t="str">
        <f ca="1">IF((OFFSET($A$1, 55 - 1, 100 - 1)) &gt;= (OFFSET($A$1, 78 - 1, 7 - 1)), "1","0")</f>
        <v>1</v>
      </c>
      <c r="CY55">
        <f ca="1" xml:space="preserve"> IF( AND( OFFSET($A$1, 55 - 1, 101 - 1) = "1", OFFSET($A$1, 55 - 1, 102 - 1) = "1" ), 1, IF( AND( OFFSET($A$1, 55 - 1, 101 - 1) = "1", OFFSET($A$1, 55 - 1, 102 - 1) = "0" ), 2, IF( AND( OFFSET($A$1, 55 - 1, 101 - 1) = "0", OFFSET($A$1, 55 - 1, 102 - 1) = "1" ), 3, 4 ) ) )</f>
        <v>3</v>
      </c>
    </row>
    <row r="56" spans="2:103" ht="15.6" x14ac:dyDescent="0.3">
      <c r="C56" s="59" t="s">
        <v>329</v>
      </c>
      <c r="D56" s="60"/>
      <c r="E56" s="61"/>
      <c r="CQ56" s="24">
        <v>8.2428351089221946E-2</v>
      </c>
      <c r="CR56" s="24" t="str">
        <f>"0"</f>
        <v>0</v>
      </c>
      <c r="CS56" t="str">
        <f ca="1">IF((OFFSET($A$1, 56 - 1, 95 - 1)) &gt;= (OFFSET($A$1, 54 - 1, 7 - 1)), "1","0")</f>
        <v>0</v>
      </c>
      <c r="CT56">
        <f ca="1" xml:space="preserve"> IF( AND( OFFSET($A$1, 56 - 1, 96 - 1) = "1", OFFSET($A$1, 56 - 1, 97 - 1) = "1" ), 1, IF( AND( OFFSET($A$1, 56 - 1, 96 - 1) = "1", OFFSET($A$1, 56 - 1, 97 - 1) = "0" ), 2, IF( AND( OFFSET($A$1, 56 - 1, 96 - 1) = "0", OFFSET($A$1, 56 - 1, 97 - 1) = "1" ), 3, 4 ) ) )</f>
        <v>4</v>
      </c>
      <c r="CV56" s="24">
        <v>0.95728800256984725</v>
      </c>
      <c r="CW56" s="24" t="str">
        <f>"0"</f>
        <v>0</v>
      </c>
      <c r="CX56" t="str">
        <f ca="1">IF((OFFSET($A$1, 56 - 1, 100 - 1)) &gt;= (OFFSET($A$1, 78 - 1, 7 - 1)), "1","0")</f>
        <v>1</v>
      </c>
      <c r="CY56">
        <f ca="1" xml:space="preserve"> IF( AND( OFFSET($A$1, 56 - 1, 101 - 1) = "1", OFFSET($A$1, 56 - 1, 102 - 1) = "1" ), 1, IF( AND( OFFSET($A$1, 56 - 1, 101 - 1) = "1", OFFSET($A$1, 56 - 1, 102 - 1) = "0" ), 2, IF( AND( OFFSET($A$1, 56 - 1, 101 - 1) = "0", OFFSET($A$1, 56 - 1, 102 - 1) = "1" ), 3, 4 ) ) )</f>
        <v>3</v>
      </c>
    </row>
    <row r="57" spans="2:103" ht="13.8" x14ac:dyDescent="0.3">
      <c r="C57" s="26"/>
      <c r="D57" s="75" t="s">
        <v>330</v>
      </c>
      <c r="E57" s="76"/>
      <c r="CQ57" s="24">
        <v>3.0104036720333717E-3</v>
      </c>
      <c r="CR57" s="24" t="str">
        <f>"0"</f>
        <v>0</v>
      </c>
      <c r="CS57" t="str">
        <f ca="1">IF((OFFSET($A$1, 57 - 1, 95 - 1)) &gt;= (OFFSET($A$1, 54 - 1, 7 - 1)), "1","0")</f>
        <v>0</v>
      </c>
      <c r="CT57">
        <f ca="1" xml:space="preserve"> IF( AND( OFFSET($A$1, 57 - 1, 96 - 1) = "1", OFFSET($A$1, 57 - 1, 97 - 1) = "1" ), 1, IF( AND( OFFSET($A$1, 57 - 1, 96 - 1) = "1", OFFSET($A$1, 57 - 1, 97 - 1) = "0" ), 2, IF( AND( OFFSET($A$1, 57 - 1, 96 - 1) = "0", OFFSET($A$1, 57 - 1, 97 - 1) = "1" ), 3, 4 ) ) )</f>
        <v>4</v>
      </c>
      <c r="CV57" s="24">
        <v>0.97183232226374017</v>
      </c>
      <c r="CW57" s="24" t="str">
        <f>"0"</f>
        <v>0</v>
      </c>
      <c r="CX57" t="str">
        <f ca="1">IF((OFFSET($A$1, 57 - 1, 100 - 1)) &gt;= (OFFSET($A$1, 78 - 1, 7 - 1)), "1","0")</f>
        <v>1</v>
      </c>
      <c r="CY57">
        <f ca="1" xml:space="preserve"> IF( AND( OFFSET($A$1, 57 - 1, 101 - 1) = "1", OFFSET($A$1, 57 - 1, 102 - 1) = "1" ), 1, IF( AND( OFFSET($A$1, 57 - 1, 101 - 1) = "1", OFFSET($A$1, 57 - 1, 102 - 1) = "0" ), 2, IF( AND( OFFSET($A$1, 57 - 1, 101 - 1) = "0", OFFSET($A$1, 57 - 1, 102 - 1) = "1" ), 3, 4 ) ) )</f>
        <v>3</v>
      </c>
    </row>
    <row r="58" spans="2:103" ht="13.8" x14ac:dyDescent="0.3">
      <c r="C58" s="25" t="s">
        <v>331</v>
      </c>
      <c r="D58" s="26">
        <v>1</v>
      </c>
      <c r="E58" s="26">
        <v>0</v>
      </c>
      <c r="CQ58" s="24">
        <v>0.90849019438167034</v>
      </c>
      <c r="CR58" s="24" t="str">
        <f>"1"</f>
        <v>1</v>
      </c>
      <c r="CS58" t="str">
        <f ca="1">IF((OFFSET($A$1, 58 - 1, 95 - 1)) &gt;= (OFFSET($A$1, 54 - 1, 7 - 1)), "1","0")</f>
        <v>1</v>
      </c>
      <c r="CT58">
        <f ca="1" xml:space="preserve"> IF( AND( OFFSET($A$1, 58 - 1, 96 - 1) = "1", OFFSET($A$1, 58 - 1, 97 - 1) = "1" ), 1, IF( AND( OFFSET($A$1, 58 - 1, 96 - 1) = "1", OFFSET($A$1, 58 - 1, 97 - 1) = "0" ), 2, IF( AND( OFFSET($A$1, 58 - 1, 96 - 1) = "0", OFFSET($A$1, 58 - 1, 97 - 1) = "1" ), 3, 4 ) ) )</f>
        <v>1</v>
      </c>
      <c r="CV58" s="24">
        <v>0.99997016205198319</v>
      </c>
      <c r="CW58" s="24" t="str">
        <f>"1"</f>
        <v>1</v>
      </c>
      <c r="CX58" t="str">
        <f ca="1">IF((OFFSET($A$1, 58 - 1, 100 - 1)) &gt;= (OFFSET($A$1, 78 - 1, 7 - 1)), "1","0")</f>
        <v>1</v>
      </c>
      <c r="CY58">
        <f ca="1" xml:space="preserve"> IF( AND( OFFSET($A$1, 58 - 1, 101 - 1) = "1", OFFSET($A$1, 58 - 1, 102 - 1) = "1" ), 1, IF( AND( OFFSET($A$1, 58 - 1, 101 - 1) = "1", OFFSET($A$1, 58 - 1, 102 - 1) = "0" ), 2, IF( AND( OFFSET($A$1, 58 - 1, 101 - 1) = "0", OFFSET($A$1, 58 - 1, 102 - 1) = "1" ), 3, 4 ) ) )</f>
        <v>1</v>
      </c>
    </row>
    <row r="59" spans="2:103" ht="13.8" x14ac:dyDescent="0.3">
      <c r="C59" s="25">
        <v>1</v>
      </c>
      <c r="D59" s="24">
        <f ca="1" xml:space="preserve"> COUNTIF( OFFSET($A$1, 1 - 1, 98 - 1, 601, 1), 1 )</f>
        <v>427</v>
      </c>
      <c r="E59" s="24">
        <f ca="1" xml:space="preserve"> COUNTIF( OFFSET($A$1, 1 - 1, 98 - 1, 601, 1), 2 )</f>
        <v>2</v>
      </c>
      <c r="CQ59" s="24">
        <v>0.99814490685822033</v>
      </c>
      <c r="CR59" s="24" t="str">
        <f>"1"</f>
        <v>1</v>
      </c>
      <c r="CS59" t="str">
        <f ca="1">IF((OFFSET($A$1, 59 - 1, 95 - 1)) &gt;= (OFFSET($A$1, 54 - 1, 7 - 1)), "1","0")</f>
        <v>1</v>
      </c>
      <c r="CT59">
        <f ca="1" xml:space="preserve"> IF( AND( OFFSET($A$1, 59 - 1, 96 - 1) = "1", OFFSET($A$1, 59 - 1, 97 - 1) = "1" ), 1, IF( AND( OFFSET($A$1, 59 - 1, 96 - 1) = "1", OFFSET($A$1, 59 - 1, 97 - 1) = "0" ), 2, IF( AND( OFFSET($A$1, 59 - 1, 96 - 1) = "0", OFFSET($A$1, 59 - 1, 97 - 1) = "1" ), 3, 4 ) ) )</f>
        <v>1</v>
      </c>
      <c r="CV59" s="24">
        <v>0.45720982267101634</v>
      </c>
      <c r="CW59" s="24" t="str">
        <f>"1"</f>
        <v>1</v>
      </c>
      <c r="CX59" t="str">
        <f ca="1">IF((OFFSET($A$1, 59 - 1, 100 - 1)) &gt;= (OFFSET($A$1, 78 - 1, 7 - 1)), "1","0")</f>
        <v>0</v>
      </c>
      <c r="CY59">
        <f ca="1" xml:space="preserve"> IF( AND( OFFSET($A$1, 59 - 1, 101 - 1) = "1", OFFSET($A$1, 59 - 1, 102 - 1) = "1" ), 1, IF( AND( OFFSET($A$1, 59 - 1, 101 - 1) = "1", OFFSET($A$1, 59 - 1, 102 - 1) = "0" ), 2, IF( AND( OFFSET($A$1, 59 - 1, 101 - 1) = "0", OFFSET($A$1, 59 - 1, 102 - 1) = "1" ), 3, 4 ) ) )</f>
        <v>2</v>
      </c>
    </row>
    <row r="60" spans="2:103" ht="13.8" x14ac:dyDescent="0.3">
      <c r="C60" s="25">
        <v>0</v>
      </c>
      <c r="D60" s="24">
        <f ca="1" xml:space="preserve"> COUNTIF( OFFSET($A$1, 1 - 1, 98 - 1, 601, 1), 3 )</f>
        <v>7</v>
      </c>
      <c r="E60" s="24">
        <f ca="1" xml:space="preserve"> COUNTIF( OFFSET($A$1, 1 - 1, 98 - 1, 601, 1), 4 )</f>
        <v>164</v>
      </c>
      <c r="CQ60" s="24">
        <v>0.99781961951759324</v>
      </c>
      <c r="CR60" s="24" t="str">
        <f>"1"</f>
        <v>1</v>
      </c>
      <c r="CS60" t="str">
        <f ca="1">IF((OFFSET($A$1, 60 - 1, 95 - 1)) &gt;= (OFFSET($A$1, 54 - 1, 7 - 1)), "1","0")</f>
        <v>1</v>
      </c>
      <c r="CT60">
        <f ca="1" xml:space="preserve"> IF( AND( OFFSET($A$1, 60 - 1, 96 - 1) = "1", OFFSET($A$1, 60 - 1, 97 - 1) = "1" ), 1, IF( AND( OFFSET($A$1, 60 - 1, 96 - 1) = "1", OFFSET($A$1, 60 - 1, 97 - 1) = "0" ), 2, IF( AND( OFFSET($A$1, 60 - 1, 96 - 1) = "0", OFFSET($A$1, 60 - 1, 97 - 1) = "1" ), 3, 4 ) ) )</f>
        <v>1</v>
      </c>
      <c r="CV60" s="24">
        <v>1.4070932707614616E-2</v>
      </c>
      <c r="CW60" s="24" t="str">
        <f>"0"</f>
        <v>0</v>
      </c>
      <c r="CX60" t="str">
        <f ca="1">IF((OFFSET($A$1, 60 - 1, 100 - 1)) &gt;= (OFFSET($A$1, 78 - 1, 7 - 1)), "1","0")</f>
        <v>0</v>
      </c>
      <c r="CY60">
        <f ca="1" xml:space="preserve"> IF( AND( OFFSET($A$1, 60 - 1, 101 - 1) = "1", OFFSET($A$1, 60 - 1, 102 - 1) = "1" ), 1, IF( AND( OFFSET($A$1, 60 - 1, 101 - 1) = "1", OFFSET($A$1, 60 - 1, 102 - 1) = "0" ), 2, IF( AND( OFFSET($A$1, 60 - 1, 101 - 1) = "0", OFFSET($A$1, 60 - 1, 102 - 1) = "1" ), 3, 4 ) ) )</f>
        <v>4</v>
      </c>
    </row>
    <row r="61" spans="2:103" ht="13.8" x14ac:dyDescent="0.3">
      <c r="CQ61" s="24">
        <v>0.99574137197847612</v>
      </c>
      <c r="CR61" s="24" t="str">
        <f>"1"</f>
        <v>1</v>
      </c>
      <c r="CS61" t="str">
        <f ca="1">IF((OFFSET($A$1, 61 - 1, 95 - 1)) &gt;= (OFFSET($A$1, 54 - 1, 7 - 1)), "1","0")</f>
        <v>1</v>
      </c>
      <c r="CT61">
        <f ca="1" xml:space="preserve"> IF( AND( OFFSET($A$1, 61 - 1, 96 - 1) = "1", OFFSET($A$1, 61 - 1, 97 - 1) = "1" ), 1, IF( AND( OFFSET($A$1, 61 - 1, 96 - 1) = "1", OFFSET($A$1, 61 - 1, 97 - 1) = "0" ), 2, IF( AND( OFFSET($A$1, 61 - 1, 96 - 1) = "0", OFFSET($A$1, 61 - 1, 97 - 1) = "1" ), 3, 4 ) ) )</f>
        <v>1</v>
      </c>
      <c r="CV61" s="24">
        <v>0.87353202529879403</v>
      </c>
      <c r="CW61" s="24" t="str">
        <f>"0"</f>
        <v>0</v>
      </c>
      <c r="CX61" t="str">
        <f ca="1">IF((OFFSET($A$1, 61 - 1, 100 - 1)) &gt;= (OFFSET($A$1, 78 - 1, 7 - 1)), "1","0")</f>
        <v>1</v>
      </c>
      <c r="CY61">
        <f ca="1" xml:space="preserve"> IF( AND( OFFSET($A$1, 61 - 1, 101 - 1) = "1", OFFSET($A$1, 61 - 1, 102 - 1) = "1" ), 1, IF( AND( OFFSET($A$1, 61 - 1, 101 - 1) = "1", OFFSET($A$1, 61 - 1, 102 - 1) = "0" ), 2, IF( AND( OFFSET($A$1, 61 - 1, 101 - 1) = "0", OFFSET($A$1, 61 - 1, 102 - 1) = "1" ), 3, 4 ) ) )</f>
        <v>3</v>
      </c>
    </row>
    <row r="62" spans="2:103" ht="15.6" x14ac:dyDescent="0.3">
      <c r="C62" s="59" t="s">
        <v>210</v>
      </c>
      <c r="D62" s="60"/>
      <c r="E62" s="60"/>
      <c r="F62" s="61"/>
      <c r="CQ62" s="24">
        <v>0.95189173835625229</v>
      </c>
      <c r="CR62" s="24" t="str">
        <f>"1"</f>
        <v>1</v>
      </c>
      <c r="CS62" t="str">
        <f ca="1">IF((OFFSET($A$1, 62 - 1, 95 - 1)) &gt;= (OFFSET($A$1, 54 - 1, 7 - 1)), "1","0")</f>
        <v>1</v>
      </c>
      <c r="CT62">
        <f ca="1" xml:space="preserve"> IF( AND( OFFSET($A$1, 62 - 1, 96 - 1) = "1", OFFSET($A$1, 62 - 1, 97 - 1) = "1" ), 1, IF( AND( OFFSET($A$1, 62 - 1, 96 - 1) = "1", OFFSET($A$1, 62 - 1, 97 - 1) = "0" ), 2, IF( AND( OFFSET($A$1, 62 - 1, 96 - 1) = "0", OFFSET($A$1, 62 - 1, 97 - 1) = "1" ), 3, 4 ) ) )</f>
        <v>1</v>
      </c>
      <c r="CV62" s="24">
        <v>0.99990958302232902</v>
      </c>
      <c r="CW62" s="24" t="str">
        <f>"1"</f>
        <v>1</v>
      </c>
      <c r="CX62" t="str">
        <f ca="1">IF((OFFSET($A$1, 62 - 1, 100 - 1)) &gt;= (OFFSET($A$1, 78 - 1, 7 - 1)), "1","0")</f>
        <v>1</v>
      </c>
      <c r="CY62">
        <f ca="1" xml:space="preserve"> IF( AND( OFFSET($A$1, 62 - 1, 101 - 1) = "1", OFFSET($A$1, 62 - 1, 102 - 1) = "1" ), 1, IF( AND( OFFSET($A$1, 62 - 1, 101 - 1) = "1", OFFSET($A$1, 62 - 1, 102 - 1) = "0" ), 2, IF( AND( OFFSET($A$1, 62 - 1, 101 - 1) = "0", OFFSET($A$1, 62 - 1, 102 - 1) = "1" ), 3, 4 ) ) )</f>
        <v>1</v>
      </c>
    </row>
    <row r="63" spans="2:103" ht="13.8" x14ac:dyDescent="0.3">
      <c r="C63" s="26" t="s">
        <v>332</v>
      </c>
      <c r="D63" s="26" t="s">
        <v>333</v>
      </c>
      <c r="E63" s="26" t="s">
        <v>334</v>
      </c>
      <c r="F63" s="26" t="s">
        <v>335</v>
      </c>
      <c r="CQ63" s="24">
        <v>0.2219637393369048</v>
      </c>
      <c r="CR63" s="24" t="str">
        <f>"0"</f>
        <v>0</v>
      </c>
      <c r="CS63" t="str">
        <f ca="1">IF((OFFSET($A$1, 63 - 1, 95 - 1)) &gt;= (OFFSET($A$1, 54 - 1, 7 - 1)), "1","0")</f>
        <v>0</v>
      </c>
      <c r="CT63">
        <f ca="1" xml:space="preserve"> IF( AND( OFFSET($A$1, 63 - 1, 96 - 1) = "1", OFFSET($A$1, 63 - 1, 97 - 1) = "1" ), 1, IF( AND( OFFSET($A$1, 63 - 1, 96 - 1) = "1", OFFSET($A$1, 63 - 1, 97 - 1) = "0" ), 2, IF( AND( OFFSET($A$1, 63 - 1, 96 - 1) = "0", OFFSET($A$1, 63 - 1, 97 - 1) = "1" ), 3, 4 ) ) )</f>
        <v>4</v>
      </c>
      <c r="CV63" s="24">
        <v>0.93010536352587558</v>
      </c>
      <c r="CW63" s="24" t="str">
        <f>"0"</f>
        <v>0</v>
      </c>
      <c r="CX63" t="str">
        <f ca="1">IF((OFFSET($A$1, 63 - 1, 100 - 1)) &gt;= (OFFSET($A$1, 78 - 1, 7 - 1)), "1","0")</f>
        <v>1</v>
      </c>
      <c r="CY63">
        <f ca="1" xml:space="preserve"> IF( AND( OFFSET($A$1, 63 - 1, 101 - 1) = "1", OFFSET($A$1, 63 - 1, 102 - 1) = "1" ), 1, IF( AND( OFFSET($A$1, 63 - 1, 101 - 1) = "1", OFFSET($A$1, 63 - 1, 102 - 1) = "0" ), 2, IF( AND( OFFSET($A$1, 63 - 1, 101 - 1) = "0", OFFSET($A$1, 63 - 1, 102 - 1) = "1" ), 3, 4 ) ) )</f>
        <v>3</v>
      </c>
    </row>
    <row r="64" spans="2:103" ht="13.8" x14ac:dyDescent="0.3">
      <c r="C64" s="25">
        <v>1</v>
      </c>
      <c r="D64" s="24">
        <f ca="1">SUM(OFFSET($A$1, 59 - 1, 4 - 1, 1, 2))</f>
        <v>429</v>
      </c>
      <c r="E64" s="24">
        <f ca="1">SUM(OFFSET($A$1, 59 - 1, 4 - 1, 1, 2)) - OFFSET($A$1, 59 - 1, 4 - 1)</f>
        <v>2</v>
      </c>
      <c r="F64" s="24">
        <f ca="1">IF(OFFSET($A$1, 64 - 1, 4 - 1)=0,"Undefined",((OFFSET($A$1, 64 - 1, 5 - 1))*100) / (OFFSET($A$1, 64 - 1, 4 - 1)))</f>
        <v>0.46620046620046618</v>
      </c>
      <c r="CQ64" s="24">
        <v>0.99134585529064512</v>
      </c>
      <c r="CR64" s="24" t="str">
        <f>"1"</f>
        <v>1</v>
      </c>
      <c r="CS64" t="str">
        <f ca="1">IF((OFFSET($A$1, 64 - 1, 95 - 1)) &gt;= (OFFSET($A$1, 54 - 1, 7 - 1)), "1","0")</f>
        <v>1</v>
      </c>
      <c r="CT64">
        <f ca="1" xml:space="preserve"> IF( AND( OFFSET($A$1, 64 - 1, 96 - 1) = "1", OFFSET($A$1, 64 - 1, 97 - 1) = "1" ), 1, IF( AND( OFFSET($A$1, 64 - 1, 96 - 1) = "1", OFFSET($A$1, 64 - 1, 97 - 1) = "0" ), 2, IF( AND( OFFSET($A$1, 64 - 1, 96 - 1) = "0", OFFSET($A$1, 64 - 1, 97 - 1) = "1" ), 3, 4 ) ) )</f>
        <v>1</v>
      </c>
      <c r="CV64" s="24">
        <v>0.62368922169427943</v>
      </c>
      <c r="CW64" s="24" t="str">
        <f>"0"</f>
        <v>0</v>
      </c>
      <c r="CX64" t="str">
        <f ca="1">IF((OFFSET($A$1, 64 - 1, 100 - 1)) &gt;= (OFFSET($A$1, 78 - 1, 7 - 1)), "1","0")</f>
        <v>1</v>
      </c>
      <c r="CY64">
        <f ca="1" xml:space="preserve"> IF( AND( OFFSET($A$1, 64 - 1, 101 - 1) = "1", OFFSET($A$1, 64 - 1, 102 - 1) = "1" ), 1, IF( AND( OFFSET($A$1, 64 - 1, 101 - 1) = "1", OFFSET($A$1, 64 - 1, 102 - 1) = "0" ), 2, IF( AND( OFFSET($A$1, 64 - 1, 101 - 1) = "0", OFFSET($A$1, 64 - 1, 102 - 1) = "1" ), 3, 4 ) ) )</f>
        <v>3</v>
      </c>
    </row>
    <row r="65" spans="2:103" ht="13.8" x14ac:dyDescent="0.3">
      <c r="C65" s="25">
        <v>0</v>
      </c>
      <c r="D65" s="24">
        <f ca="1">SUM(OFFSET($A$1, 60 - 1, 4 - 1, 1, 2))</f>
        <v>171</v>
      </c>
      <c r="E65" s="24">
        <f ca="1">SUM(OFFSET($A$1, 60 - 1, 4 - 1, 1, 2)) - OFFSET($A$1, 60 - 1, 5 - 1)</f>
        <v>7</v>
      </c>
      <c r="F65" s="24">
        <f ca="1">IF(OFFSET($A$1, 65 - 1, 4 - 1)=0,"Undefined",((OFFSET($A$1, 65 - 1, 5 - 1))*100) / (OFFSET($A$1, 65 - 1, 4 - 1)))</f>
        <v>4.0935672514619883</v>
      </c>
      <c r="CQ65" s="24">
        <v>0.99940498301184744</v>
      </c>
      <c r="CR65" s="24" t="str">
        <f>"1"</f>
        <v>1</v>
      </c>
      <c r="CS65" t="str">
        <f ca="1">IF((OFFSET($A$1, 65 - 1, 95 - 1)) &gt;= (OFFSET($A$1, 54 - 1, 7 - 1)), "1","0")</f>
        <v>1</v>
      </c>
      <c r="CT65">
        <f ca="1" xml:space="preserve"> IF( AND( OFFSET($A$1, 65 - 1, 96 - 1) = "1", OFFSET($A$1, 65 - 1, 97 - 1) = "1" ), 1, IF( AND( OFFSET($A$1, 65 - 1, 96 - 1) = "1", OFFSET($A$1, 65 - 1, 97 - 1) = "0" ), 2, IF( AND( OFFSET($A$1, 65 - 1, 96 - 1) = "0", OFFSET($A$1, 65 - 1, 97 - 1) = "1" ), 3, 4 ) ) )</f>
        <v>1</v>
      </c>
      <c r="CV65" s="24">
        <v>0.98347752096694285</v>
      </c>
      <c r="CW65" s="24" t="str">
        <f>"1"</f>
        <v>1</v>
      </c>
      <c r="CX65" t="str">
        <f ca="1">IF((OFFSET($A$1, 65 - 1, 100 - 1)) &gt;= (OFFSET($A$1, 78 - 1, 7 - 1)), "1","0")</f>
        <v>1</v>
      </c>
      <c r="CY65">
        <f ca="1" xml:space="preserve"> IF( AND( OFFSET($A$1, 65 - 1, 101 - 1) = "1", OFFSET($A$1, 65 - 1, 102 - 1) = "1" ), 1, IF( AND( OFFSET($A$1, 65 - 1, 101 - 1) = "1", OFFSET($A$1, 65 - 1, 102 - 1) = "0" ), 2, IF( AND( OFFSET($A$1, 65 - 1, 101 - 1) = "0", OFFSET($A$1, 65 - 1, 102 - 1) = "1" ), 3, 4 ) ) )</f>
        <v>1</v>
      </c>
    </row>
    <row r="66" spans="2:103" ht="13.8" x14ac:dyDescent="0.3">
      <c r="C66" s="25" t="s">
        <v>336</v>
      </c>
      <c r="D66" s="24">
        <f ca="1">SUM(OFFSET($A$1, 64 - 1, 4 - 1, 2, 1))</f>
        <v>600</v>
      </c>
      <c r="E66" s="24">
        <f ca="1">SUM(OFFSET($A$1, 64 - 1, 5 - 1, 2, 1))</f>
        <v>9</v>
      </c>
      <c r="F66" s="24">
        <f ca="1">IF(OFFSET($A$1, 66 - 1, 4 - 1)=0,"Undefined",((OFFSET($A$1, 66 - 1, 5 - 1))*100) / (OFFSET($A$1, 66 - 1, 4 - 1)))</f>
        <v>1.5</v>
      </c>
      <c r="CQ66" s="24">
        <v>7.2634984952972053E-3</v>
      </c>
      <c r="CR66" s="24" t="str">
        <f>"0"</f>
        <v>0</v>
      </c>
      <c r="CS66" t="str">
        <f ca="1">IF((OFFSET($A$1, 66 - 1, 95 - 1)) &gt;= (OFFSET($A$1, 54 - 1, 7 - 1)), "1","0")</f>
        <v>0</v>
      </c>
      <c r="CT66">
        <f ca="1" xml:space="preserve"> IF( AND( OFFSET($A$1, 66 - 1, 96 - 1) = "1", OFFSET($A$1, 66 - 1, 97 - 1) = "1" ), 1, IF( AND( OFFSET($A$1, 66 - 1, 96 - 1) = "1", OFFSET($A$1, 66 - 1, 97 - 1) = "0" ), 2, IF( AND( OFFSET($A$1, 66 - 1, 96 - 1) = "0", OFFSET($A$1, 66 - 1, 97 - 1) = "1" ), 3, 4 ) ) )</f>
        <v>4</v>
      </c>
      <c r="CV66" s="24">
        <v>0.98218453306536702</v>
      </c>
      <c r="CW66" s="24" t="str">
        <f>"1"</f>
        <v>1</v>
      </c>
      <c r="CX66" t="str">
        <f ca="1">IF((OFFSET($A$1, 66 - 1, 100 - 1)) &gt;= (OFFSET($A$1, 78 - 1, 7 - 1)), "1","0")</f>
        <v>1</v>
      </c>
      <c r="CY66">
        <f ca="1" xml:space="preserve"> IF( AND( OFFSET($A$1, 66 - 1, 101 - 1) = "1", OFFSET($A$1, 66 - 1, 102 - 1) = "1" ), 1, IF( AND( OFFSET($A$1, 66 - 1, 101 - 1) = "1", OFFSET($A$1, 66 - 1, 102 - 1) = "0" ), 2, IF( AND( OFFSET($A$1, 66 - 1, 101 - 1) = "0", OFFSET($A$1, 66 - 1, 102 - 1) = "1" ), 3, 4 ) ) )</f>
        <v>1</v>
      </c>
    </row>
    <row r="67" spans="2:103" ht="13.8" x14ac:dyDescent="0.3">
      <c r="CQ67" s="24">
        <v>0.90041334754567071</v>
      </c>
      <c r="CR67" s="24" t="str">
        <f>"1"</f>
        <v>1</v>
      </c>
      <c r="CS67" t="str">
        <f ca="1">IF((OFFSET($A$1, 67 - 1, 95 - 1)) &gt;= (OFFSET($A$1, 54 - 1, 7 - 1)), "1","0")</f>
        <v>1</v>
      </c>
      <c r="CT67">
        <f ca="1" xml:space="preserve"> IF( AND( OFFSET($A$1, 67 - 1, 96 - 1) = "1", OFFSET($A$1, 67 - 1, 97 - 1) = "1" ), 1, IF( AND( OFFSET($A$1, 67 - 1, 96 - 1) = "1", OFFSET($A$1, 67 - 1, 97 - 1) = "0" ), 2, IF( AND( OFFSET($A$1, 67 - 1, 96 - 1) = "0", OFFSET($A$1, 67 - 1, 97 - 1) = "1" ), 3, 4 ) ) )</f>
        <v>1</v>
      </c>
      <c r="CV67" s="24">
        <v>0.70318178405608578</v>
      </c>
      <c r="CW67" s="24" t="str">
        <f>"1"</f>
        <v>1</v>
      </c>
      <c r="CX67" t="str">
        <f ca="1">IF((OFFSET($A$1, 67 - 1, 100 - 1)) &gt;= (OFFSET($A$1, 78 - 1, 7 - 1)), "1","0")</f>
        <v>1</v>
      </c>
      <c r="CY67">
        <f ca="1" xml:space="preserve"> IF( AND( OFFSET($A$1, 67 - 1, 101 - 1) = "1", OFFSET($A$1, 67 - 1, 102 - 1) = "1" ), 1, IF( AND( OFFSET($A$1, 67 - 1, 101 - 1) = "1", OFFSET($A$1, 67 - 1, 102 - 1) = "0" ), 2, IF( AND( OFFSET($A$1, 67 - 1, 101 - 1) = "0", OFFSET($A$1, 67 - 1, 102 - 1) = "1" ), 3, 4 ) ) )</f>
        <v>1</v>
      </c>
    </row>
    <row r="68" spans="2:103" ht="15.6" x14ac:dyDescent="0.3">
      <c r="C68" s="59" t="s">
        <v>708</v>
      </c>
      <c r="D68" s="60"/>
      <c r="E68" s="61"/>
      <c r="CQ68" s="24">
        <v>0.99995427996264163</v>
      </c>
      <c r="CR68" s="24" t="str">
        <f>"1"</f>
        <v>1</v>
      </c>
      <c r="CS68" t="str">
        <f ca="1">IF((OFFSET($A$1, 68 - 1, 95 - 1)) &gt;= (OFFSET($A$1, 54 - 1, 7 - 1)), "1","0")</f>
        <v>1</v>
      </c>
      <c r="CT68">
        <f ca="1" xml:space="preserve"> IF( AND( OFFSET($A$1, 68 - 1, 96 - 1) = "1", OFFSET($A$1, 68 - 1, 97 - 1) = "1" ), 1, IF( AND( OFFSET($A$1, 68 - 1, 96 - 1) = "1", OFFSET($A$1, 68 - 1, 97 - 1) = "0" ), 2, IF( AND( OFFSET($A$1, 68 - 1, 96 - 1) = "0", OFFSET($A$1, 68 - 1, 97 - 1) = "1" ), 3, 4 ) ) )</f>
        <v>1</v>
      </c>
      <c r="CV68" s="24">
        <v>0.71083555927692121</v>
      </c>
      <c r="CW68" s="24" t="str">
        <f>"0"</f>
        <v>0</v>
      </c>
      <c r="CX68" t="str">
        <f ca="1">IF((OFFSET($A$1, 68 - 1, 100 - 1)) &gt;= (OFFSET($A$1, 78 - 1, 7 - 1)), "1","0")</f>
        <v>1</v>
      </c>
      <c r="CY68">
        <f ca="1" xml:space="preserve"> IF( AND( OFFSET($A$1, 68 - 1, 101 - 1) = "1", OFFSET($A$1, 68 - 1, 102 - 1) = "1" ), 1, IF( AND( OFFSET($A$1, 68 - 1, 101 - 1) = "1", OFFSET($A$1, 68 - 1, 102 - 1) = "0" ), 2, IF( AND( OFFSET($A$1, 68 - 1, 101 - 1) = "0", OFFSET($A$1, 68 - 1, 102 - 1) = "1" ), 3, 4 ) ) )</f>
        <v>3</v>
      </c>
    </row>
    <row r="69" spans="2:103" ht="13.8" x14ac:dyDescent="0.3">
      <c r="C69" s="62" t="s">
        <v>709</v>
      </c>
      <c r="D69" s="64"/>
      <c r="E69" s="34">
        <v>1</v>
      </c>
      <c r="CQ69" s="24">
        <v>0.97754744265452176</v>
      </c>
      <c r="CR69" s="24" t="str">
        <f>"1"</f>
        <v>1</v>
      </c>
      <c r="CS69" t="str">
        <f ca="1">IF((OFFSET($A$1, 69 - 1, 95 - 1)) &gt;= (OFFSET($A$1, 54 - 1, 7 - 1)), "1","0")</f>
        <v>1</v>
      </c>
      <c r="CT69">
        <f ca="1" xml:space="preserve"> IF( AND( OFFSET($A$1, 69 - 1, 96 - 1) = "1", OFFSET($A$1, 69 - 1, 97 - 1) = "1" ), 1, IF( AND( OFFSET($A$1, 69 - 1, 96 - 1) = "1", OFFSET($A$1, 69 - 1, 97 - 1) = "0" ), 2, IF( AND( OFFSET($A$1, 69 - 1, 96 - 1) = "0", OFFSET($A$1, 69 - 1, 97 - 1) = "1" ), 3, 4 ) ) )</f>
        <v>1</v>
      </c>
      <c r="CV69" s="24">
        <v>0.99999998273101876</v>
      </c>
      <c r="CW69" s="24" t="str">
        <f>"1"</f>
        <v>1</v>
      </c>
      <c r="CX69" t="str">
        <f ca="1">IF((OFFSET($A$1, 69 - 1, 100 - 1)) &gt;= (OFFSET($A$1, 78 - 1, 7 - 1)), "1","0")</f>
        <v>1</v>
      </c>
      <c r="CY69">
        <f ca="1" xml:space="preserve"> IF( AND( OFFSET($A$1, 69 - 1, 101 - 1) = "1", OFFSET($A$1, 69 - 1, 102 - 1) = "1" ), 1, IF( AND( OFFSET($A$1, 69 - 1, 101 - 1) = "1", OFFSET($A$1, 69 - 1, 102 - 1) = "0" ), 2, IF( AND( OFFSET($A$1, 69 - 1, 101 - 1) = "0", OFFSET($A$1, 69 - 1, 102 - 1) = "1" ), 3, 4 ) ) )</f>
        <v>1</v>
      </c>
    </row>
    <row r="70" spans="2:103" ht="13.8" x14ac:dyDescent="0.3">
      <c r="C70" s="62" t="s">
        <v>710</v>
      </c>
      <c r="D70" s="64"/>
      <c r="E70" s="34">
        <f ca="1">IF((OFFSET($A$1, 59 - 1, 4 - 1) + OFFSET($A$1, 60 - 1, 4 - 1)) = 0,"Undefined",OFFSET($A$1, 59 - 1, 4 - 1)/(OFFSET($A$1, 59 - 1, 4 - 1) + OFFSET($A$1, 60 - 1, 4 - 1)))</f>
        <v>0.9838709677419355</v>
      </c>
      <c r="CQ70" s="24">
        <v>2.5271522599022711E-2</v>
      </c>
      <c r="CR70" s="24" t="str">
        <f>"0"</f>
        <v>0</v>
      </c>
      <c r="CS70" t="str">
        <f ca="1">IF((OFFSET($A$1, 70 - 1, 95 - 1)) &gt;= (OFFSET($A$1, 54 - 1, 7 - 1)), "1","0")</f>
        <v>0</v>
      </c>
      <c r="CT70">
        <f ca="1" xml:space="preserve"> IF( AND( OFFSET($A$1, 70 - 1, 96 - 1) = "1", OFFSET($A$1, 70 - 1, 97 - 1) = "1" ), 1, IF( AND( OFFSET($A$1, 70 - 1, 96 - 1) = "1", OFFSET($A$1, 70 - 1, 97 - 1) = "0" ), 2, IF( AND( OFFSET($A$1, 70 - 1, 96 - 1) = "0", OFFSET($A$1, 70 - 1, 97 - 1) = "1" ), 3, 4 ) ) )</f>
        <v>4</v>
      </c>
      <c r="CV70" s="24">
        <v>8.924843356530282E-2</v>
      </c>
      <c r="CW70" s="24" t="str">
        <f>"0"</f>
        <v>0</v>
      </c>
      <c r="CX70" t="str">
        <f ca="1">IF((OFFSET($A$1, 70 - 1, 100 - 1)) &gt;= (OFFSET($A$1, 78 - 1, 7 - 1)), "1","0")</f>
        <v>0</v>
      </c>
      <c r="CY70">
        <f ca="1" xml:space="preserve"> IF( AND( OFFSET($A$1, 70 - 1, 101 - 1) = "1", OFFSET($A$1, 70 - 1, 102 - 1) = "1" ), 1, IF( AND( OFFSET($A$1, 70 - 1, 101 - 1) = "1", OFFSET($A$1, 70 - 1, 102 - 1) = "0" ), 2, IF( AND( OFFSET($A$1, 70 - 1, 101 - 1) = "0", OFFSET($A$1, 70 - 1, 102 - 1) = "1" ), 3, 4 ) ) )</f>
        <v>4</v>
      </c>
    </row>
    <row r="71" spans="2:103" ht="13.8" x14ac:dyDescent="0.3">
      <c r="C71" s="62" t="s">
        <v>711</v>
      </c>
      <c r="D71" s="64"/>
      <c r="E71" s="34">
        <f ca="1">IF((OFFSET($A$1, 59 - 1, 4 - 1) + OFFSET($A$1, 59 - 1, 5 - 1)) = 0,"Undefined",OFFSET($A$1, 59 - 1, 4 - 1)/(OFFSET($A$1, 59 - 1, 4 - 1) + OFFSET($A$1, 59 - 1, 5 - 1)))</f>
        <v>0.99533799533799538</v>
      </c>
      <c r="CQ71" s="24">
        <v>0.99469041336162889</v>
      </c>
      <c r="CR71" s="24" t="str">
        <f>"1"</f>
        <v>1</v>
      </c>
      <c r="CS71" t="str">
        <f ca="1">IF((OFFSET($A$1, 71 - 1, 95 - 1)) &gt;= (OFFSET($A$1, 54 - 1, 7 - 1)), "1","0")</f>
        <v>1</v>
      </c>
      <c r="CT71">
        <f ca="1" xml:space="preserve"> IF( AND( OFFSET($A$1, 71 - 1, 96 - 1) = "1", OFFSET($A$1, 71 - 1, 97 - 1) = "1" ), 1, IF( AND( OFFSET($A$1, 71 - 1, 96 - 1) = "1", OFFSET($A$1, 71 - 1, 97 - 1) = "0" ), 2, IF( AND( OFFSET($A$1, 71 - 1, 96 - 1) = "0", OFFSET($A$1, 71 - 1, 97 - 1) = "1" ), 3, 4 ) ) )</f>
        <v>1</v>
      </c>
      <c r="CV71" s="24">
        <v>0.55669622477911307</v>
      </c>
      <c r="CW71" s="24" t="str">
        <f>"1"</f>
        <v>1</v>
      </c>
      <c r="CX71" t="str">
        <f ca="1">IF((OFFSET($A$1, 71 - 1, 100 - 1)) &gt;= (OFFSET($A$1, 78 - 1, 7 - 1)), "1","0")</f>
        <v>1</v>
      </c>
      <c r="CY71">
        <f ca="1" xml:space="preserve"> IF( AND( OFFSET($A$1, 71 - 1, 101 - 1) = "1", OFFSET($A$1, 71 - 1, 102 - 1) = "1" ), 1, IF( AND( OFFSET($A$1, 71 - 1, 101 - 1) = "1", OFFSET($A$1, 71 - 1, 102 - 1) = "0" ), 2, IF( AND( OFFSET($A$1, 71 - 1, 101 - 1) = "0", OFFSET($A$1, 71 - 1, 102 - 1) = "1" ), 3, 4 ) ) )</f>
        <v>1</v>
      </c>
    </row>
    <row r="72" spans="2:103" ht="13.8" x14ac:dyDescent="0.3">
      <c r="C72" s="62" t="s">
        <v>712</v>
      </c>
      <c r="D72" s="64"/>
      <c r="E72" s="34">
        <f ca="1">IF((OFFSET($A$1, 60 - 1, 4 - 1) + OFFSET($A$1, 60 - 1, 5 - 1)) = 0,"Undefined",OFFSET($A$1, 60 - 1, 5 - 1)/(OFFSET($A$1, 60 - 1, 4 - 1) + OFFSET($A$1, 60 - 1, 5 - 1)))</f>
        <v>0.95906432748538006</v>
      </c>
      <c r="CQ72" s="24">
        <v>3.7758930738631138E-2</v>
      </c>
      <c r="CR72" s="24" t="str">
        <f>"0"</f>
        <v>0</v>
      </c>
      <c r="CS72" t="str">
        <f ca="1">IF((OFFSET($A$1, 72 - 1, 95 - 1)) &gt;= (OFFSET($A$1, 54 - 1, 7 - 1)), "1","0")</f>
        <v>0</v>
      </c>
      <c r="CT72">
        <f ca="1" xml:space="preserve"> IF( AND( OFFSET($A$1, 72 - 1, 96 - 1) = "1", OFFSET($A$1, 72 - 1, 97 - 1) = "1" ), 1, IF( AND( OFFSET($A$1, 72 - 1, 96 - 1) = "1", OFFSET($A$1, 72 - 1, 97 - 1) = "0" ), 2, IF( AND( OFFSET($A$1, 72 - 1, 96 - 1) = "0", OFFSET($A$1, 72 - 1, 97 - 1) = "1" ), 3, 4 ) ) )</f>
        <v>4</v>
      </c>
      <c r="CV72" s="24">
        <v>0.91355765193529359</v>
      </c>
      <c r="CW72" s="24" t="str">
        <f>"0"</f>
        <v>0</v>
      </c>
      <c r="CX72" t="str">
        <f ca="1">IF((OFFSET($A$1, 72 - 1, 100 - 1)) &gt;= (OFFSET($A$1, 78 - 1, 7 - 1)), "1","0")</f>
        <v>1</v>
      </c>
      <c r="CY72">
        <f ca="1" xml:space="preserve"> IF( AND( OFFSET($A$1, 72 - 1, 101 - 1) = "1", OFFSET($A$1, 72 - 1, 102 - 1) = "1" ), 1, IF( AND( OFFSET($A$1, 72 - 1, 101 - 1) = "1", OFFSET($A$1, 72 - 1, 102 - 1) = "0" ), 2, IF( AND( OFFSET($A$1, 72 - 1, 101 - 1) = "0", OFFSET($A$1, 72 - 1, 102 - 1) = "1" ), 3, 4 ) ) )</f>
        <v>3</v>
      </c>
    </row>
    <row r="73" spans="2:103" ht="13.8" x14ac:dyDescent="0.3">
      <c r="C73" s="62" t="s">
        <v>713</v>
      </c>
      <c r="D73" s="64"/>
      <c r="E73" s="34">
        <f ca="1">IF(OR(OFFSET($A$1, 70 - 1, 5 - 1)="Undefined",OFFSET($A$1, 71 - 1, 5 - 1)="Undefined"),"Undefined",IF((OFFSET($A$1, 70 - 1, 5 - 1) + OFFSET($A$1, 71 - 1, 5 - 1))=0,"Undefined",2*OFFSET($A$1, 70 - 1, 5 - 1)*OFFSET($A$1, 71 - 1, 5 - 1)/(OFFSET($A$1, 70 - 1, 5 - 1)+OFFSET($A$1, 71 - 1, 5 - 1))))</f>
        <v>0.98957126303592136</v>
      </c>
      <c r="CQ73" s="24">
        <v>3.7559898830287421E-3</v>
      </c>
      <c r="CR73" s="24" t="str">
        <f>"0"</f>
        <v>0</v>
      </c>
      <c r="CS73" t="str">
        <f ca="1">IF((OFFSET($A$1, 73 - 1, 95 - 1)) &gt;= (OFFSET($A$1, 54 - 1, 7 - 1)), "1","0")</f>
        <v>0</v>
      </c>
      <c r="CT73">
        <f ca="1" xml:space="preserve"> IF( AND( OFFSET($A$1, 73 - 1, 96 - 1) = "1", OFFSET($A$1, 73 - 1, 97 - 1) = "1" ), 1, IF( AND( OFFSET($A$1, 73 - 1, 96 - 1) = "1", OFFSET($A$1, 73 - 1, 97 - 1) = "0" ), 2, IF( AND( OFFSET($A$1, 73 - 1, 96 - 1) = "0", OFFSET($A$1, 73 - 1, 97 - 1) = "1" ), 3, 4 ) ) )</f>
        <v>4</v>
      </c>
      <c r="CV73" s="24">
        <v>0.99741166988622643</v>
      </c>
      <c r="CW73" s="24" t="str">
        <f>"1"</f>
        <v>1</v>
      </c>
      <c r="CX73" t="str">
        <f ca="1">IF((OFFSET($A$1, 73 - 1, 100 - 1)) &gt;= (OFFSET($A$1, 78 - 1, 7 - 1)), "1","0")</f>
        <v>1</v>
      </c>
      <c r="CY73">
        <f ca="1" xml:space="preserve"> IF( AND( OFFSET($A$1, 73 - 1, 101 - 1) = "1", OFFSET($A$1, 73 - 1, 102 - 1) = "1" ), 1, IF( AND( OFFSET($A$1, 73 - 1, 101 - 1) = "1", OFFSET($A$1, 73 - 1, 102 - 1) = "0" ), 2, IF( AND( OFFSET($A$1, 73 - 1, 101 - 1) = "0", OFFSET($A$1, 73 - 1, 102 - 1) = "1" ), 3, 4 ) ) )</f>
        <v>1</v>
      </c>
    </row>
    <row r="74" spans="2:103" ht="13.8" x14ac:dyDescent="0.3">
      <c r="CQ74" s="24">
        <v>0.9940185663167318</v>
      </c>
      <c r="CR74" s="24" t="str">
        <f t="shared" ref="CR74:CR84" si="5">"1"</f>
        <v>1</v>
      </c>
      <c r="CS74" t="str">
        <f ca="1">IF((OFFSET($A$1, 74 - 1, 95 - 1)) &gt;= (OFFSET($A$1, 54 - 1, 7 - 1)), "1","0")</f>
        <v>1</v>
      </c>
      <c r="CT74">
        <f ca="1" xml:space="preserve"> IF( AND( OFFSET($A$1, 74 - 1, 96 - 1) = "1", OFFSET($A$1, 74 - 1, 97 - 1) = "1" ), 1, IF( AND( OFFSET($A$1, 74 - 1, 96 - 1) = "1", OFFSET($A$1, 74 - 1, 97 - 1) = "0" ), 2, IF( AND( OFFSET($A$1, 74 - 1, 96 - 1) = "0", OFFSET($A$1, 74 - 1, 97 - 1) = "1" ), 3, 4 ) ) )</f>
        <v>1</v>
      </c>
      <c r="CV74" s="24">
        <v>0.69383493475402658</v>
      </c>
      <c r="CW74" s="24" t="str">
        <f>"0"</f>
        <v>0</v>
      </c>
      <c r="CX74" t="str">
        <f ca="1">IF((OFFSET($A$1, 74 - 1, 100 - 1)) &gt;= (OFFSET($A$1, 78 - 1, 7 - 1)), "1","0")</f>
        <v>1</v>
      </c>
      <c r="CY74">
        <f ca="1" xml:space="preserve"> IF( AND( OFFSET($A$1, 74 - 1, 101 - 1) = "1", OFFSET($A$1, 74 - 1, 102 - 1) = "1" ), 1, IF( AND( OFFSET($A$1, 74 - 1, 101 - 1) = "1", OFFSET($A$1, 74 - 1, 102 - 1) = "0" ), 2, IF( AND( OFFSET($A$1, 74 - 1, 101 - 1) = "0", OFFSET($A$1, 74 - 1, 102 - 1) = "1" ), 3, 4 ) ) )</f>
        <v>3</v>
      </c>
    </row>
    <row r="75" spans="2:103" ht="13.8" x14ac:dyDescent="0.3">
      <c r="CQ75" s="24">
        <v>0.94102191788316747</v>
      </c>
      <c r="CR75" s="24" t="str">
        <f t="shared" si="5"/>
        <v>1</v>
      </c>
      <c r="CS75" t="str">
        <f ca="1">IF((OFFSET($A$1, 75 - 1, 95 - 1)) &gt;= (OFFSET($A$1, 54 - 1, 7 - 1)), "1","0")</f>
        <v>1</v>
      </c>
      <c r="CT75">
        <f ca="1" xml:space="preserve"> IF( AND( OFFSET($A$1, 75 - 1, 96 - 1) = "1", OFFSET($A$1, 75 - 1, 97 - 1) = "1" ), 1, IF( AND( OFFSET($A$1, 75 - 1, 96 - 1) = "1", OFFSET($A$1, 75 - 1, 97 - 1) = "0" ), 2, IF( AND( OFFSET($A$1, 75 - 1, 96 - 1) = "0", OFFSET($A$1, 75 - 1, 97 - 1) = "1" ), 3, 4 ) ) )</f>
        <v>1</v>
      </c>
      <c r="CV75" s="24">
        <v>0.86346340169687175</v>
      </c>
      <c r="CW75" s="24" t="str">
        <f t="shared" ref="CW75:CW84" si="6">"1"</f>
        <v>1</v>
      </c>
      <c r="CX75" t="str">
        <f ca="1">IF((OFFSET($A$1, 75 - 1, 100 - 1)) &gt;= (OFFSET($A$1, 78 - 1, 7 - 1)), "1","0")</f>
        <v>1</v>
      </c>
      <c r="CY75">
        <f ca="1" xml:space="preserve"> IF( AND( OFFSET($A$1, 75 - 1, 101 - 1) = "1", OFFSET($A$1, 75 - 1, 102 - 1) = "1" ), 1, IF( AND( OFFSET($A$1, 75 - 1, 101 - 1) = "1", OFFSET($A$1, 75 - 1, 102 - 1) = "0" ), 2, IF( AND( OFFSET($A$1, 75 - 1, 101 - 1) = "0", OFFSET($A$1, 75 - 1, 102 - 1) = "1" ), 3, 4 ) ) )</f>
        <v>1</v>
      </c>
    </row>
    <row r="76" spans="2:103" ht="18" x14ac:dyDescent="0.35">
      <c r="B76" s="22" t="s">
        <v>714</v>
      </c>
      <c r="CQ76" s="24">
        <v>0.9999956798410381</v>
      </c>
      <c r="CR76" s="24" t="str">
        <f t="shared" si="5"/>
        <v>1</v>
      </c>
      <c r="CS76" t="str">
        <f ca="1">IF((OFFSET($A$1, 76 - 1, 95 - 1)) &gt;= (OFFSET($A$1, 54 - 1, 7 - 1)), "1","0")</f>
        <v>1</v>
      </c>
      <c r="CT76">
        <f ca="1" xml:space="preserve"> IF( AND( OFFSET($A$1, 76 - 1, 96 - 1) = "1", OFFSET($A$1, 76 - 1, 97 - 1) = "1" ), 1, IF( AND( OFFSET($A$1, 76 - 1, 96 - 1) = "1", OFFSET($A$1, 76 - 1, 97 - 1) = "0" ), 2, IF( AND( OFFSET($A$1, 76 - 1, 96 - 1) = "0", OFFSET($A$1, 76 - 1, 97 - 1) = "1" ), 3, 4 ) ) )</f>
        <v>1</v>
      </c>
      <c r="CV76" s="24">
        <v>0.99929764476543403</v>
      </c>
      <c r="CW76" s="24" t="str">
        <f t="shared" si="6"/>
        <v>1</v>
      </c>
      <c r="CX76" t="str">
        <f ca="1">IF((OFFSET($A$1, 76 - 1, 100 - 1)) &gt;= (OFFSET($A$1, 78 - 1, 7 - 1)), "1","0")</f>
        <v>1</v>
      </c>
      <c r="CY76">
        <f ca="1" xml:space="preserve"> IF( AND( OFFSET($A$1, 76 - 1, 101 - 1) = "1", OFFSET($A$1, 76 - 1, 102 - 1) = "1" ), 1, IF( AND( OFFSET($A$1, 76 - 1, 101 - 1) = "1", OFFSET($A$1, 76 - 1, 102 - 1) = "0" ), 2, IF( AND( OFFSET($A$1, 76 - 1, 101 - 1) = "0", OFFSET($A$1, 76 - 1, 102 - 1) = "1" ), 3, 4 ) ) )</f>
        <v>1</v>
      </c>
    </row>
    <row r="77" spans="2:103" ht="13.8" x14ac:dyDescent="0.3">
      <c r="CQ77" s="24">
        <v>0.99830865696327986</v>
      </c>
      <c r="CR77" s="24" t="str">
        <f t="shared" si="5"/>
        <v>1</v>
      </c>
      <c r="CS77" t="str">
        <f ca="1">IF((OFFSET($A$1, 77 - 1, 95 - 1)) &gt;= (OFFSET($A$1, 54 - 1, 7 - 1)), "1","0")</f>
        <v>1</v>
      </c>
      <c r="CT77">
        <f ca="1" xml:space="preserve"> IF( AND( OFFSET($A$1, 77 - 1, 96 - 1) = "1", OFFSET($A$1, 77 - 1, 97 - 1) = "1" ), 1, IF( AND( OFFSET($A$1, 77 - 1, 96 - 1) = "1", OFFSET($A$1, 77 - 1, 97 - 1) = "0" ), 2, IF( AND( OFFSET($A$1, 77 - 1, 96 - 1) = "0", OFFSET($A$1, 77 - 1, 97 - 1) = "1" ), 3, 4 ) ) )</f>
        <v>1</v>
      </c>
      <c r="CV77" s="24">
        <v>0.17814437773491276</v>
      </c>
      <c r="CW77" s="24" t="str">
        <f t="shared" si="6"/>
        <v>1</v>
      </c>
      <c r="CX77" t="str">
        <f ca="1">IF((OFFSET($A$1, 77 - 1, 100 - 1)) &gt;= (OFFSET($A$1, 78 - 1, 7 - 1)), "1","0")</f>
        <v>0</v>
      </c>
      <c r="CY77">
        <f ca="1" xml:space="preserve"> IF( AND( OFFSET($A$1, 77 - 1, 101 - 1) = "1", OFFSET($A$1, 77 - 1, 102 - 1) = "1" ), 1, IF( AND( OFFSET($A$1, 77 - 1, 101 - 1) = "1", OFFSET($A$1, 77 - 1, 102 - 1) = "0" ), 2, IF( AND( OFFSET($A$1, 77 - 1, 101 - 1) = "0", OFFSET($A$1, 77 - 1, 102 - 1) = "1" ), 3, 4 ) ) )</f>
        <v>2</v>
      </c>
    </row>
    <row r="78" spans="2:103" ht="13.8" x14ac:dyDescent="0.3">
      <c r="C78" s="72" t="s">
        <v>706</v>
      </c>
      <c r="D78" s="73"/>
      <c r="E78" s="73"/>
      <c r="F78" s="74"/>
      <c r="G78" s="35">
        <v>0.5</v>
      </c>
      <c r="H78" s="72" t="s">
        <v>707</v>
      </c>
      <c r="I78" s="73"/>
      <c r="J78" s="73"/>
      <c r="K78" s="73"/>
      <c r="L78" s="73"/>
      <c r="M78" s="74"/>
      <c r="CQ78" s="24">
        <v>0.87675686231622063</v>
      </c>
      <c r="CR78" s="24" t="str">
        <f t="shared" si="5"/>
        <v>1</v>
      </c>
      <c r="CS78" t="str">
        <f ca="1">IF((OFFSET($A$1, 78 - 1, 95 - 1)) &gt;= (OFFSET($A$1, 54 - 1, 7 - 1)), "1","0")</f>
        <v>1</v>
      </c>
      <c r="CT78">
        <f ca="1" xml:space="preserve"> IF( AND( OFFSET($A$1, 78 - 1, 96 - 1) = "1", OFFSET($A$1, 78 - 1, 97 - 1) = "1" ), 1, IF( AND( OFFSET($A$1, 78 - 1, 96 - 1) = "1", OFFSET($A$1, 78 - 1, 97 - 1) = "0" ), 2, IF( AND( OFFSET($A$1, 78 - 1, 96 - 1) = "0", OFFSET($A$1, 78 - 1, 97 - 1) = "1" ), 3, 4 ) ) )</f>
        <v>1</v>
      </c>
      <c r="CV78" s="24">
        <v>0.41490501538435037</v>
      </c>
      <c r="CW78" s="24" t="str">
        <f t="shared" si="6"/>
        <v>1</v>
      </c>
      <c r="CX78" t="str">
        <f ca="1">IF((OFFSET($A$1, 78 - 1, 100 - 1)) &gt;= (OFFSET($A$1, 78 - 1, 7 - 1)), "1","0")</f>
        <v>0</v>
      </c>
      <c r="CY78">
        <f ca="1" xml:space="preserve"> IF( AND( OFFSET($A$1, 78 - 1, 101 - 1) = "1", OFFSET($A$1, 78 - 1, 102 - 1) = "1" ), 1, IF( AND( OFFSET($A$1, 78 - 1, 101 - 1) = "1", OFFSET($A$1, 78 - 1, 102 - 1) = "0" ), 2, IF( AND( OFFSET($A$1, 78 - 1, 101 - 1) = "0", OFFSET($A$1, 78 - 1, 102 - 1) = "1" ), 3, 4 ) ) )</f>
        <v>2</v>
      </c>
    </row>
    <row r="79" spans="2:103" ht="13.8" x14ac:dyDescent="0.3">
      <c r="CQ79" s="24">
        <v>0.82652475728344776</v>
      </c>
      <c r="CR79" s="24" t="str">
        <f t="shared" si="5"/>
        <v>1</v>
      </c>
      <c r="CS79" t="str">
        <f ca="1">IF((OFFSET($A$1, 79 - 1, 95 - 1)) &gt;= (OFFSET($A$1, 54 - 1, 7 - 1)), "1","0")</f>
        <v>1</v>
      </c>
      <c r="CT79">
        <f ca="1" xml:space="preserve"> IF( AND( OFFSET($A$1, 79 - 1, 96 - 1) = "1", OFFSET($A$1, 79 - 1, 97 - 1) = "1" ), 1, IF( AND( OFFSET($A$1, 79 - 1, 96 - 1) = "1", OFFSET($A$1, 79 - 1, 97 - 1) = "0" ), 2, IF( AND( OFFSET($A$1, 79 - 1, 96 - 1) = "0", OFFSET($A$1, 79 - 1, 97 - 1) = "1" ), 3, 4 ) ) )</f>
        <v>1</v>
      </c>
      <c r="CV79" s="24">
        <v>0.99997635916319083</v>
      </c>
      <c r="CW79" s="24" t="str">
        <f t="shared" si="6"/>
        <v>1</v>
      </c>
      <c r="CX79" t="str">
        <f ca="1">IF((OFFSET($A$1, 79 - 1, 100 - 1)) &gt;= (OFFSET($A$1, 78 - 1, 7 - 1)), "1","0")</f>
        <v>1</v>
      </c>
      <c r="CY79">
        <f ca="1" xml:space="preserve"> IF( AND( OFFSET($A$1, 79 - 1, 101 - 1) = "1", OFFSET($A$1, 79 - 1, 102 - 1) = "1" ), 1, IF( AND( OFFSET($A$1, 79 - 1, 101 - 1) = "1", OFFSET($A$1, 79 - 1, 102 - 1) = "0" ), 2, IF( AND( OFFSET($A$1, 79 - 1, 101 - 1) = "0", OFFSET($A$1, 79 - 1, 102 - 1) = "1" ), 3, 4 ) ) )</f>
        <v>1</v>
      </c>
    </row>
    <row r="80" spans="2:103" ht="15.6" x14ac:dyDescent="0.3">
      <c r="C80" s="59" t="s">
        <v>329</v>
      </c>
      <c r="D80" s="60"/>
      <c r="E80" s="61"/>
      <c r="CQ80" s="24">
        <v>0.9946788712767064</v>
      </c>
      <c r="CR80" s="24" t="str">
        <f t="shared" si="5"/>
        <v>1</v>
      </c>
      <c r="CS80" t="str">
        <f ca="1">IF((OFFSET($A$1, 80 - 1, 95 - 1)) &gt;= (OFFSET($A$1, 54 - 1, 7 - 1)), "1","0")</f>
        <v>1</v>
      </c>
      <c r="CT80">
        <f ca="1" xml:space="preserve"> IF( AND( OFFSET($A$1, 80 - 1, 96 - 1) = "1", OFFSET($A$1, 80 - 1, 97 - 1) = "1" ), 1, IF( AND( OFFSET($A$1, 80 - 1, 96 - 1) = "1", OFFSET($A$1, 80 - 1, 97 - 1) = "0" ), 2, IF( AND( OFFSET($A$1, 80 - 1, 96 - 1) = "0", OFFSET($A$1, 80 - 1, 97 - 1) = "1" ), 3, 4 ) ) )</f>
        <v>1</v>
      </c>
      <c r="CV80" s="24">
        <v>0.9999998374019855</v>
      </c>
      <c r="CW80" s="24" t="str">
        <f t="shared" si="6"/>
        <v>1</v>
      </c>
      <c r="CX80" t="str">
        <f ca="1">IF((OFFSET($A$1, 80 - 1, 100 - 1)) &gt;= (OFFSET($A$1, 78 - 1, 7 - 1)), "1","0")</f>
        <v>1</v>
      </c>
      <c r="CY80">
        <f ca="1" xml:space="preserve"> IF( AND( OFFSET($A$1, 80 - 1, 101 - 1) = "1", OFFSET($A$1, 80 - 1, 102 - 1) = "1" ), 1, IF( AND( OFFSET($A$1, 80 - 1, 101 - 1) = "1", OFFSET($A$1, 80 - 1, 102 - 1) = "0" ), 2, IF( AND( OFFSET($A$1, 80 - 1, 101 - 1) = "0", OFFSET($A$1, 80 - 1, 102 - 1) = "1" ), 3, 4 ) ) )</f>
        <v>1</v>
      </c>
    </row>
    <row r="81" spans="3:103" ht="13.8" x14ac:dyDescent="0.3">
      <c r="C81" s="26"/>
      <c r="D81" s="75" t="s">
        <v>330</v>
      </c>
      <c r="E81" s="76"/>
      <c r="CQ81" s="24">
        <v>0.9759059746871982</v>
      </c>
      <c r="CR81" s="24" t="str">
        <f t="shared" si="5"/>
        <v>1</v>
      </c>
      <c r="CS81" t="str">
        <f ca="1">IF((OFFSET($A$1, 81 - 1, 95 - 1)) &gt;= (OFFSET($A$1, 54 - 1, 7 - 1)), "1","0")</f>
        <v>1</v>
      </c>
      <c r="CT81">
        <f ca="1" xml:space="preserve"> IF( AND( OFFSET($A$1, 81 - 1, 96 - 1) = "1", OFFSET($A$1, 81 - 1, 97 - 1) = "1" ), 1, IF( AND( OFFSET($A$1, 81 - 1, 96 - 1) = "1", OFFSET($A$1, 81 - 1, 97 - 1) = "0" ), 2, IF( AND( OFFSET($A$1, 81 - 1, 96 - 1) = "0", OFFSET($A$1, 81 - 1, 97 - 1) = "1" ), 3, 4 ) ) )</f>
        <v>1</v>
      </c>
      <c r="CV81" s="24">
        <v>0.98486597749502247</v>
      </c>
      <c r="CW81" s="24" t="str">
        <f t="shared" si="6"/>
        <v>1</v>
      </c>
      <c r="CX81" t="str">
        <f ca="1">IF((OFFSET($A$1, 81 - 1, 100 - 1)) &gt;= (OFFSET($A$1, 78 - 1, 7 - 1)), "1","0")</f>
        <v>1</v>
      </c>
      <c r="CY81">
        <f ca="1" xml:space="preserve"> IF( AND( OFFSET($A$1, 81 - 1, 101 - 1) = "1", OFFSET($A$1, 81 - 1, 102 - 1) = "1" ), 1, IF( AND( OFFSET($A$1, 81 - 1, 101 - 1) = "1", OFFSET($A$1, 81 - 1, 102 - 1) = "0" ), 2, IF( AND( OFFSET($A$1, 81 - 1, 101 - 1) = "0", OFFSET($A$1, 81 - 1, 102 - 1) = "1" ), 3, 4 ) ) )</f>
        <v>1</v>
      </c>
    </row>
    <row r="82" spans="3:103" ht="13.8" x14ac:dyDescent="0.3">
      <c r="C82" s="25" t="s">
        <v>331</v>
      </c>
      <c r="D82" s="26">
        <v>1</v>
      </c>
      <c r="E82" s="26">
        <v>0</v>
      </c>
      <c r="CQ82" s="24">
        <v>0.99893413175849111</v>
      </c>
      <c r="CR82" s="24" t="str">
        <f t="shared" si="5"/>
        <v>1</v>
      </c>
      <c r="CS82" t="str">
        <f ca="1">IF((OFFSET($A$1, 82 - 1, 95 - 1)) &gt;= (OFFSET($A$1, 54 - 1, 7 - 1)), "1","0")</f>
        <v>1</v>
      </c>
      <c r="CT82">
        <f ca="1" xml:space="preserve"> IF( AND( OFFSET($A$1, 82 - 1, 96 - 1) = "1", OFFSET($A$1, 82 - 1, 97 - 1) = "1" ), 1, IF( AND( OFFSET($A$1, 82 - 1, 96 - 1) = "1", OFFSET($A$1, 82 - 1, 97 - 1) = "0" ), 2, IF( AND( OFFSET($A$1, 82 - 1, 96 - 1) = "0", OFFSET($A$1, 82 - 1, 97 - 1) = "1" ), 3, 4 ) ) )</f>
        <v>1</v>
      </c>
      <c r="CV82" s="24">
        <v>0.99999948995265009</v>
      </c>
      <c r="CW82" s="24" t="str">
        <f t="shared" si="6"/>
        <v>1</v>
      </c>
      <c r="CX82" t="str">
        <f ca="1">IF((OFFSET($A$1, 82 - 1, 100 - 1)) &gt;= (OFFSET($A$1, 78 - 1, 7 - 1)), "1","0")</f>
        <v>1</v>
      </c>
      <c r="CY82">
        <f ca="1" xml:space="preserve"> IF( AND( OFFSET($A$1, 82 - 1, 101 - 1) = "1", OFFSET($A$1, 82 - 1, 102 - 1) = "1" ), 1, IF( AND( OFFSET($A$1, 82 - 1, 101 - 1) = "1", OFFSET($A$1, 82 - 1, 102 - 1) = "0" ), 2, IF( AND( OFFSET($A$1, 82 - 1, 101 - 1) = "0", OFFSET($A$1, 82 - 1, 102 - 1) = "1" ), 3, 4 ) ) )</f>
        <v>1</v>
      </c>
    </row>
    <row r="83" spans="3:103" ht="13.8" x14ac:dyDescent="0.3">
      <c r="C83" s="25">
        <v>1</v>
      </c>
      <c r="D83" s="24">
        <f ca="1" xml:space="preserve"> COUNTIF( OFFSET($A$1, 1 - 1, 103 - 1, 401, 1), 1 )</f>
        <v>237</v>
      </c>
      <c r="E83" s="24">
        <f ca="1" xml:space="preserve"> COUNTIF( OFFSET($A$1, 1 - 1, 103 - 1, 401, 1), 2 )</f>
        <v>34</v>
      </c>
      <c r="CQ83" s="24">
        <v>0.99999970916294934</v>
      </c>
      <c r="CR83" s="24" t="str">
        <f t="shared" si="5"/>
        <v>1</v>
      </c>
      <c r="CS83" t="str">
        <f ca="1">IF((OFFSET($A$1, 83 - 1, 95 - 1)) &gt;= (OFFSET($A$1, 54 - 1, 7 - 1)), "1","0")</f>
        <v>1</v>
      </c>
      <c r="CT83">
        <f ca="1" xml:space="preserve"> IF( AND( OFFSET($A$1, 83 - 1, 96 - 1) = "1", OFFSET($A$1, 83 - 1, 97 - 1) = "1" ), 1, IF( AND( OFFSET($A$1, 83 - 1, 96 - 1) = "1", OFFSET($A$1, 83 - 1, 97 - 1) = "0" ), 2, IF( AND( OFFSET($A$1, 83 - 1, 96 - 1) = "0", OFFSET($A$1, 83 - 1, 97 - 1) = "1" ), 3, 4 ) ) )</f>
        <v>1</v>
      </c>
      <c r="CV83" s="24">
        <v>0.9999990853587688</v>
      </c>
      <c r="CW83" s="24" t="str">
        <f t="shared" si="6"/>
        <v>1</v>
      </c>
      <c r="CX83" t="str">
        <f ca="1">IF((OFFSET($A$1, 83 - 1, 100 - 1)) &gt;= (OFFSET($A$1, 78 - 1, 7 - 1)), "1","0")</f>
        <v>1</v>
      </c>
      <c r="CY83">
        <f ca="1" xml:space="preserve"> IF( AND( OFFSET($A$1, 83 - 1, 101 - 1) = "1", OFFSET($A$1, 83 - 1, 102 - 1) = "1" ), 1, IF( AND( OFFSET($A$1, 83 - 1, 101 - 1) = "1", OFFSET($A$1, 83 - 1, 102 - 1) = "0" ), 2, IF( AND( OFFSET($A$1, 83 - 1, 101 - 1) = "0", OFFSET($A$1, 83 - 1, 102 - 1) = "1" ), 3, 4 ) ) )</f>
        <v>1</v>
      </c>
    </row>
    <row r="84" spans="3:103" ht="13.8" x14ac:dyDescent="0.3">
      <c r="C84" s="25">
        <v>0</v>
      </c>
      <c r="D84" s="24">
        <f ca="1" xml:space="preserve"> COUNTIF( OFFSET($A$1, 1 - 1, 103 - 1, 401, 1), 3 )</f>
        <v>76</v>
      </c>
      <c r="E84" s="24">
        <f ca="1" xml:space="preserve"> COUNTIF( OFFSET($A$1, 1 - 1, 103 - 1, 401, 1), 4 )</f>
        <v>53</v>
      </c>
      <c r="CQ84" s="24">
        <v>0.99824161535570399</v>
      </c>
      <c r="CR84" s="24" t="str">
        <f t="shared" si="5"/>
        <v>1</v>
      </c>
      <c r="CS84" t="str">
        <f ca="1">IF((OFFSET($A$1, 84 - 1, 95 - 1)) &gt;= (OFFSET($A$1, 54 - 1, 7 - 1)), "1","0")</f>
        <v>1</v>
      </c>
      <c r="CT84">
        <f ca="1" xml:space="preserve"> IF( AND( OFFSET($A$1, 84 - 1, 96 - 1) = "1", OFFSET($A$1, 84 - 1, 97 - 1) = "1" ), 1, IF( AND( OFFSET($A$1, 84 - 1, 96 - 1) = "1", OFFSET($A$1, 84 - 1, 97 - 1) = "0" ), 2, IF( AND( OFFSET($A$1, 84 - 1, 96 - 1) = "0", OFFSET($A$1, 84 - 1, 97 - 1) = "1" ), 3, 4 ) ) )</f>
        <v>1</v>
      </c>
      <c r="CV84" s="24">
        <v>0.99477609173403791</v>
      </c>
      <c r="CW84" s="24" t="str">
        <f t="shared" si="6"/>
        <v>1</v>
      </c>
      <c r="CX84" t="str">
        <f ca="1">IF((OFFSET($A$1, 84 - 1, 100 - 1)) &gt;= (OFFSET($A$1, 78 - 1, 7 - 1)), "1","0")</f>
        <v>1</v>
      </c>
      <c r="CY84">
        <f ca="1" xml:space="preserve"> IF( AND( OFFSET($A$1, 84 - 1, 101 - 1) = "1", OFFSET($A$1, 84 - 1, 102 - 1) = "1" ), 1, IF( AND( OFFSET($A$1, 84 - 1, 101 - 1) = "1", OFFSET($A$1, 84 - 1, 102 - 1) = "0" ), 2, IF( AND( OFFSET($A$1, 84 - 1, 101 - 1) = "0", OFFSET($A$1, 84 - 1, 102 - 1) = "1" ), 3, 4 ) ) )</f>
        <v>1</v>
      </c>
    </row>
    <row r="85" spans="3:103" ht="13.8" x14ac:dyDescent="0.3">
      <c r="CQ85" s="24">
        <v>0.11916076794008844</v>
      </c>
      <c r="CR85" s="24" t="str">
        <f>"0"</f>
        <v>0</v>
      </c>
      <c r="CS85" t="str">
        <f ca="1">IF((OFFSET($A$1, 85 - 1, 95 - 1)) &gt;= (OFFSET($A$1, 54 - 1, 7 - 1)), "1","0")</f>
        <v>0</v>
      </c>
      <c r="CT85">
        <f ca="1" xml:space="preserve"> IF( AND( OFFSET($A$1, 85 - 1, 96 - 1) = "1", OFFSET($A$1, 85 - 1, 97 - 1) = "1" ), 1, IF( AND( OFFSET($A$1, 85 - 1, 96 - 1) = "1", OFFSET($A$1, 85 - 1, 97 - 1) = "0" ), 2, IF( AND( OFFSET($A$1, 85 - 1, 96 - 1) = "0", OFFSET($A$1, 85 - 1, 97 - 1) = "1" ), 3, 4 ) ) )</f>
        <v>4</v>
      </c>
      <c r="CV85" s="24">
        <v>0.97720336799809826</v>
      </c>
      <c r="CW85" s="24" t="str">
        <f>"0"</f>
        <v>0</v>
      </c>
      <c r="CX85" t="str">
        <f ca="1">IF((OFFSET($A$1, 85 - 1, 100 - 1)) &gt;= (OFFSET($A$1, 78 - 1, 7 - 1)), "1","0")</f>
        <v>1</v>
      </c>
      <c r="CY85">
        <f ca="1" xml:space="preserve"> IF( AND( OFFSET($A$1, 85 - 1, 101 - 1) = "1", OFFSET($A$1, 85 - 1, 102 - 1) = "1" ), 1, IF( AND( OFFSET($A$1, 85 - 1, 101 - 1) = "1", OFFSET($A$1, 85 - 1, 102 - 1) = "0" ), 2, IF( AND( OFFSET($A$1, 85 - 1, 101 - 1) = "0", OFFSET($A$1, 85 - 1, 102 - 1) = "1" ), 3, 4 ) ) )</f>
        <v>3</v>
      </c>
    </row>
    <row r="86" spans="3:103" ht="15.6" x14ac:dyDescent="0.3">
      <c r="C86" s="59" t="s">
        <v>210</v>
      </c>
      <c r="D86" s="60"/>
      <c r="E86" s="60"/>
      <c r="F86" s="61"/>
      <c r="CQ86" s="24">
        <v>0.99992631987741265</v>
      </c>
      <c r="CR86" s="24" t="str">
        <f>"1"</f>
        <v>1</v>
      </c>
      <c r="CS86" t="str">
        <f ca="1">IF((OFFSET($A$1, 86 - 1, 95 - 1)) &gt;= (OFFSET($A$1, 54 - 1, 7 - 1)), "1","0")</f>
        <v>1</v>
      </c>
      <c r="CT86">
        <f ca="1" xml:space="preserve"> IF( AND( OFFSET($A$1, 86 - 1, 96 - 1) = "1", OFFSET($A$1, 86 - 1, 97 - 1) = "1" ), 1, IF( AND( OFFSET($A$1, 86 - 1, 96 - 1) = "1", OFFSET($A$1, 86 - 1, 97 - 1) = "0" ), 2, IF( AND( OFFSET($A$1, 86 - 1, 96 - 1) = "0", OFFSET($A$1, 86 - 1, 97 - 1) = "1" ), 3, 4 ) ) )</f>
        <v>1</v>
      </c>
      <c r="CV86" s="24">
        <v>0.90867981714636437</v>
      </c>
      <c r="CW86" s="24" t="str">
        <f>"1"</f>
        <v>1</v>
      </c>
      <c r="CX86" t="str">
        <f ca="1">IF((OFFSET($A$1, 86 - 1, 100 - 1)) &gt;= (OFFSET($A$1, 78 - 1, 7 - 1)), "1","0")</f>
        <v>1</v>
      </c>
      <c r="CY86">
        <f ca="1" xml:space="preserve"> IF( AND( OFFSET($A$1, 86 - 1, 101 - 1) = "1", OFFSET($A$1, 86 - 1, 102 - 1) = "1" ), 1, IF( AND( OFFSET($A$1, 86 - 1, 101 - 1) = "1", OFFSET($A$1, 86 - 1, 102 - 1) = "0" ), 2, IF( AND( OFFSET($A$1, 86 - 1, 101 - 1) = "0", OFFSET($A$1, 86 - 1, 102 - 1) = "1" ), 3, 4 ) ) )</f>
        <v>1</v>
      </c>
    </row>
    <row r="87" spans="3:103" ht="13.8" x14ac:dyDescent="0.3">
      <c r="C87" s="26" t="s">
        <v>332</v>
      </c>
      <c r="D87" s="26" t="s">
        <v>333</v>
      </c>
      <c r="E87" s="26" t="s">
        <v>334</v>
      </c>
      <c r="F87" s="26" t="s">
        <v>335</v>
      </c>
      <c r="CQ87" s="24">
        <v>0.93361317868220173</v>
      </c>
      <c r="CR87" s="24" t="str">
        <f>"1"</f>
        <v>1</v>
      </c>
      <c r="CS87" t="str">
        <f ca="1">IF((OFFSET($A$1, 87 - 1, 95 - 1)) &gt;= (OFFSET($A$1, 54 - 1, 7 - 1)), "1","0")</f>
        <v>1</v>
      </c>
      <c r="CT87">
        <f ca="1" xml:space="preserve"> IF( AND( OFFSET($A$1, 87 - 1, 96 - 1) = "1", OFFSET($A$1, 87 - 1, 97 - 1) = "1" ), 1, IF( AND( OFFSET($A$1, 87 - 1, 96 - 1) = "1", OFFSET($A$1, 87 - 1, 97 - 1) = "0" ), 2, IF( AND( OFFSET($A$1, 87 - 1, 96 - 1) = "0", OFFSET($A$1, 87 - 1, 97 - 1) = "1" ), 3, 4 ) ) )</f>
        <v>1</v>
      </c>
      <c r="CV87" s="24">
        <v>0.70197516650260716</v>
      </c>
      <c r="CW87" s="24" t="str">
        <f>"1"</f>
        <v>1</v>
      </c>
      <c r="CX87" t="str">
        <f ca="1">IF((OFFSET($A$1, 87 - 1, 100 - 1)) &gt;= (OFFSET($A$1, 78 - 1, 7 - 1)), "1","0")</f>
        <v>1</v>
      </c>
      <c r="CY87">
        <f ca="1" xml:space="preserve"> IF( AND( OFFSET($A$1, 87 - 1, 101 - 1) = "1", OFFSET($A$1, 87 - 1, 102 - 1) = "1" ), 1, IF( AND( OFFSET($A$1, 87 - 1, 101 - 1) = "1", OFFSET($A$1, 87 - 1, 102 - 1) = "0" ), 2, IF( AND( OFFSET($A$1, 87 - 1, 101 - 1) = "0", OFFSET($A$1, 87 - 1, 102 - 1) = "1" ), 3, 4 ) ) )</f>
        <v>1</v>
      </c>
    </row>
    <row r="88" spans="3:103" ht="13.8" x14ac:dyDescent="0.3">
      <c r="C88" s="25">
        <v>1</v>
      </c>
      <c r="D88" s="24">
        <f ca="1">SUM(OFFSET($A$1, 83 - 1, 4 - 1, 1, 2))</f>
        <v>271</v>
      </c>
      <c r="E88" s="24">
        <f ca="1">SUM(OFFSET($A$1, 83 - 1, 4 - 1, 1, 2)) - OFFSET($A$1, 83 - 1, 4 - 1)</f>
        <v>34</v>
      </c>
      <c r="F88" s="24">
        <f ca="1">IF(OFFSET($A$1, 88 - 1, 4 - 1)=0,"Undefined",((OFFSET($A$1, 88 - 1, 5 - 1))*100) / (OFFSET($A$1, 88 - 1, 4 - 1)))</f>
        <v>12.546125461254613</v>
      </c>
      <c r="CQ88" s="24">
        <v>0.99405191137168736</v>
      </c>
      <c r="CR88" s="24" t="str">
        <f>"1"</f>
        <v>1</v>
      </c>
      <c r="CS88" t="str">
        <f ca="1">IF((OFFSET($A$1, 88 - 1, 95 - 1)) &gt;= (OFFSET($A$1, 54 - 1, 7 - 1)), "1","0")</f>
        <v>1</v>
      </c>
      <c r="CT88">
        <f ca="1" xml:space="preserve"> IF( AND( OFFSET($A$1, 88 - 1, 96 - 1) = "1", OFFSET($A$1, 88 - 1, 97 - 1) = "1" ), 1, IF( AND( OFFSET($A$1, 88 - 1, 96 - 1) = "1", OFFSET($A$1, 88 - 1, 97 - 1) = "0" ), 2, IF( AND( OFFSET($A$1, 88 - 1, 96 - 1) = "0", OFFSET($A$1, 88 - 1, 97 - 1) = "1" ), 3, 4 ) ) )</f>
        <v>1</v>
      </c>
      <c r="CV88" s="24">
        <v>0.97140226450208123</v>
      </c>
      <c r="CW88" s="24" t="str">
        <f>"1"</f>
        <v>1</v>
      </c>
      <c r="CX88" t="str">
        <f ca="1">IF((OFFSET($A$1, 88 - 1, 100 - 1)) &gt;= (OFFSET($A$1, 78 - 1, 7 - 1)), "1","0")</f>
        <v>1</v>
      </c>
      <c r="CY88">
        <f ca="1" xml:space="preserve"> IF( AND( OFFSET($A$1, 88 - 1, 101 - 1) = "1", OFFSET($A$1, 88 - 1, 102 - 1) = "1" ), 1, IF( AND( OFFSET($A$1, 88 - 1, 101 - 1) = "1", OFFSET($A$1, 88 - 1, 102 - 1) = "0" ), 2, IF( AND( OFFSET($A$1, 88 - 1, 101 - 1) = "0", OFFSET($A$1, 88 - 1, 102 - 1) = "1" ), 3, 4 ) ) )</f>
        <v>1</v>
      </c>
    </row>
    <row r="89" spans="3:103" ht="13.8" x14ac:dyDescent="0.3">
      <c r="C89" s="25">
        <v>0</v>
      </c>
      <c r="D89" s="24">
        <f ca="1">SUM(OFFSET($A$1, 84 - 1, 4 - 1, 1, 2))</f>
        <v>129</v>
      </c>
      <c r="E89" s="24">
        <f ca="1">SUM(OFFSET($A$1, 84 - 1, 4 - 1, 1, 2)) - OFFSET($A$1, 84 - 1, 5 - 1)</f>
        <v>76</v>
      </c>
      <c r="F89" s="24">
        <f ca="1">IF(OFFSET($A$1, 89 - 1, 4 - 1)=0,"Undefined",((OFFSET($A$1, 89 - 1, 5 - 1))*100) / (OFFSET($A$1, 89 - 1, 4 - 1)))</f>
        <v>58.914728682170541</v>
      </c>
      <c r="CQ89" s="24">
        <v>0.91844617668290929</v>
      </c>
      <c r="CR89" s="24" t="str">
        <f>"1"</f>
        <v>1</v>
      </c>
      <c r="CS89" t="str">
        <f ca="1">IF((OFFSET($A$1, 89 - 1, 95 - 1)) &gt;= (OFFSET($A$1, 54 - 1, 7 - 1)), "1","0")</f>
        <v>1</v>
      </c>
      <c r="CT89">
        <f ca="1" xml:space="preserve"> IF( AND( OFFSET($A$1, 89 - 1, 96 - 1) = "1", OFFSET($A$1, 89 - 1, 97 - 1) = "1" ), 1, IF( AND( OFFSET($A$1, 89 - 1, 96 - 1) = "1", OFFSET($A$1, 89 - 1, 97 - 1) = "0" ), 2, IF( AND( OFFSET($A$1, 89 - 1, 96 - 1) = "0", OFFSET($A$1, 89 - 1, 97 - 1) = "1" ), 3, 4 ) ) )</f>
        <v>1</v>
      </c>
      <c r="CV89" s="24">
        <v>0.97138204217539914</v>
      </c>
      <c r="CW89" s="24" t="str">
        <f>"0"</f>
        <v>0</v>
      </c>
      <c r="CX89" t="str">
        <f ca="1">IF((OFFSET($A$1, 89 - 1, 100 - 1)) &gt;= (OFFSET($A$1, 78 - 1, 7 - 1)), "1","0")</f>
        <v>1</v>
      </c>
      <c r="CY89">
        <f ca="1" xml:space="preserve"> IF( AND( OFFSET($A$1, 89 - 1, 101 - 1) = "1", OFFSET($A$1, 89 - 1, 102 - 1) = "1" ), 1, IF( AND( OFFSET($A$1, 89 - 1, 101 - 1) = "1", OFFSET($A$1, 89 - 1, 102 - 1) = "0" ), 2, IF( AND( OFFSET($A$1, 89 - 1, 101 - 1) = "0", OFFSET($A$1, 89 - 1, 102 - 1) = "1" ), 3, 4 ) ) )</f>
        <v>3</v>
      </c>
    </row>
    <row r="90" spans="3:103" ht="13.8" x14ac:dyDescent="0.3">
      <c r="C90" s="25" t="s">
        <v>336</v>
      </c>
      <c r="D90" s="24">
        <f ca="1">SUM(OFFSET($A$1, 88 - 1, 4 - 1, 2, 1))</f>
        <v>400</v>
      </c>
      <c r="E90" s="24">
        <f ca="1">SUM(OFFSET($A$1, 88 - 1, 5 - 1, 2, 1))</f>
        <v>110</v>
      </c>
      <c r="F90" s="24">
        <f ca="1">IF(OFFSET($A$1, 90 - 1, 4 - 1)=0,"Undefined",((OFFSET($A$1, 90 - 1, 5 - 1))*100) / (OFFSET($A$1, 90 - 1, 4 - 1)))</f>
        <v>27.5</v>
      </c>
      <c r="CQ90" s="24">
        <v>0.99997225912279575</v>
      </c>
      <c r="CR90" s="24" t="str">
        <f>"1"</f>
        <v>1</v>
      </c>
      <c r="CS90" t="str">
        <f ca="1">IF((OFFSET($A$1, 90 - 1, 95 - 1)) &gt;= (OFFSET($A$1, 54 - 1, 7 - 1)), "1","0")</f>
        <v>1</v>
      </c>
      <c r="CT90">
        <f ca="1" xml:space="preserve"> IF( AND( OFFSET($A$1, 90 - 1, 96 - 1) = "1", OFFSET($A$1, 90 - 1, 97 - 1) = "1" ), 1, IF( AND( OFFSET($A$1, 90 - 1, 96 - 1) = "1", OFFSET($A$1, 90 - 1, 97 - 1) = "0" ), 2, IF( AND( OFFSET($A$1, 90 - 1, 96 - 1) = "0", OFFSET($A$1, 90 - 1, 97 - 1) = "1" ), 3, 4 ) ) )</f>
        <v>1</v>
      </c>
      <c r="CV90" s="24">
        <v>0.31940328638828691</v>
      </c>
      <c r="CW90" s="24" t="str">
        <f>"0"</f>
        <v>0</v>
      </c>
      <c r="CX90" t="str">
        <f ca="1">IF((OFFSET($A$1, 90 - 1, 100 - 1)) &gt;= (OFFSET($A$1, 78 - 1, 7 - 1)), "1","0")</f>
        <v>0</v>
      </c>
      <c r="CY90">
        <f ca="1" xml:space="preserve"> IF( AND( OFFSET($A$1, 90 - 1, 101 - 1) = "1", OFFSET($A$1, 90 - 1, 102 - 1) = "1" ), 1, IF( AND( OFFSET($A$1, 90 - 1, 101 - 1) = "1", OFFSET($A$1, 90 - 1, 102 - 1) = "0" ), 2, IF( AND( OFFSET($A$1, 90 - 1, 101 - 1) = "0", OFFSET($A$1, 90 - 1, 102 - 1) = "1" ), 3, 4 ) ) )</f>
        <v>4</v>
      </c>
    </row>
    <row r="91" spans="3:103" ht="13.8" x14ac:dyDescent="0.3">
      <c r="CQ91" s="24">
        <v>4.2955446074762517E-2</v>
      </c>
      <c r="CR91" s="24" t="str">
        <f>"0"</f>
        <v>0</v>
      </c>
      <c r="CS91" t="str">
        <f ca="1">IF((OFFSET($A$1, 91 - 1, 95 - 1)) &gt;= (OFFSET($A$1, 54 - 1, 7 - 1)), "1","0")</f>
        <v>0</v>
      </c>
      <c r="CT91">
        <f ca="1" xml:space="preserve"> IF( AND( OFFSET($A$1, 91 - 1, 96 - 1) = "1", OFFSET($A$1, 91 - 1, 97 - 1) = "1" ), 1, IF( AND( OFFSET($A$1, 91 - 1, 96 - 1) = "1", OFFSET($A$1, 91 - 1, 97 - 1) = "0" ), 2, IF( AND( OFFSET($A$1, 91 - 1, 96 - 1) = "0", OFFSET($A$1, 91 - 1, 97 - 1) = "1" ), 3, 4 ) ) )</f>
        <v>4</v>
      </c>
      <c r="CV91" s="24">
        <v>0.91818967903890913</v>
      </c>
      <c r="CW91" s="24" t="str">
        <f>"1"</f>
        <v>1</v>
      </c>
      <c r="CX91" t="str">
        <f ca="1">IF((OFFSET($A$1, 91 - 1, 100 - 1)) &gt;= (OFFSET($A$1, 78 - 1, 7 - 1)), "1","0")</f>
        <v>1</v>
      </c>
      <c r="CY91">
        <f ca="1" xml:space="preserve"> IF( AND( OFFSET($A$1, 91 - 1, 101 - 1) = "1", OFFSET($A$1, 91 - 1, 102 - 1) = "1" ), 1, IF( AND( OFFSET($A$1, 91 - 1, 101 - 1) = "1", OFFSET($A$1, 91 - 1, 102 - 1) = "0" ), 2, IF( AND( OFFSET($A$1, 91 - 1, 101 - 1) = "0", OFFSET($A$1, 91 - 1, 102 - 1) = "1" ), 3, 4 ) ) )</f>
        <v>1</v>
      </c>
    </row>
    <row r="92" spans="3:103" ht="15.6" x14ac:dyDescent="0.3">
      <c r="C92" s="59" t="s">
        <v>708</v>
      </c>
      <c r="D92" s="60"/>
      <c r="E92" s="61"/>
      <c r="CQ92" s="24">
        <v>0.99992964287054009</v>
      </c>
      <c r="CR92" s="24" t="str">
        <f>"1"</f>
        <v>1</v>
      </c>
      <c r="CS92" t="str">
        <f ca="1">IF((OFFSET($A$1, 92 - 1, 95 - 1)) &gt;= (OFFSET($A$1, 54 - 1, 7 - 1)), "1","0")</f>
        <v>1</v>
      </c>
      <c r="CT92">
        <f ca="1" xml:space="preserve"> IF( AND( OFFSET($A$1, 92 - 1, 96 - 1) = "1", OFFSET($A$1, 92 - 1, 97 - 1) = "1" ), 1, IF( AND( OFFSET($A$1, 92 - 1, 96 - 1) = "1", OFFSET($A$1, 92 - 1, 97 - 1) = "0" ), 2, IF( AND( OFFSET($A$1, 92 - 1, 96 - 1) = "0", OFFSET($A$1, 92 - 1, 97 - 1) = "1" ), 3, 4 ) ) )</f>
        <v>1</v>
      </c>
      <c r="CV92" s="24">
        <v>0.88935897448498435</v>
      </c>
      <c r="CW92" s="24" t="str">
        <f>"0"</f>
        <v>0</v>
      </c>
      <c r="CX92" t="str">
        <f ca="1">IF((OFFSET($A$1, 92 - 1, 100 - 1)) &gt;= (OFFSET($A$1, 78 - 1, 7 - 1)), "1","0")</f>
        <v>1</v>
      </c>
      <c r="CY92">
        <f ca="1" xml:space="preserve"> IF( AND( OFFSET($A$1, 92 - 1, 101 - 1) = "1", OFFSET($A$1, 92 - 1, 102 - 1) = "1" ), 1, IF( AND( OFFSET($A$1, 92 - 1, 101 - 1) = "1", OFFSET($A$1, 92 - 1, 102 - 1) = "0" ), 2, IF( AND( OFFSET($A$1, 92 - 1, 101 - 1) = "0", OFFSET($A$1, 92 - 1, 102 - 1) = "1" ), 3, 4 ) ) )</f>
        <v>3</v>
      </c>
    </row>
    <row r="93" spans="3:103" ht="13.8" x14ac:dyDescent="0.3">
      <c r="C93" s="62" t="s">
        <v>709</v>
      </c>
      <c r="D93" s="64"/>
      <c r="E93" s="34">
        <v>1</v>
      </c>
      <c r="CQ93" s="24">
        <v>0.99931633012191723</v>
      </c>
      <c r="CR93" s="24" t="str">
        <f>"1"</f>
        <v>1</v>
      </c>
      <c r="CS93" t="str">
        <f ca="1">IF((OFFSET($A$1, 93 - 1, 95 - 1)) &gt;= (OFFSET($A$1, 54 - 1, 7 - 1)), "1","0")</f>
        <v>1</v>
      </c>
      <c r="CT93">
        <f ca="1" xml:space="preserve"> IF( AND( OFFSET($A$1, 93 - 1, 96 - 1) = "1", OFFSET($A$1, 93 - 1, 97 - 1) = "1" ), 1, IF( AND( OFFSET($A$1, 93 - 1, 96 - 1) = "1", OFFSET($A$1, 93 - 1, 97 - 1) = "0" ), 2, IF( AND( OFFSET($A$1, 93 - 1, 96 - 1) = "0", OFFSET($A$1, 93 - 1, 97 - 1) = "1" ), 3, 4 ) ) )</f>
        <v>1</v>
      </c>
      <c r="CV93" s="24">
        <v>0.99997614983526883</v>
      </c>
      <c r="CW93" s="24" t="str">
        <f>"1"</f>
        <v>1</v>
      </c>
      <c r="CX93" t="str">
        <f ca="1">IF((OFFSET($A$1, 93 - 1, 100 - 1)) &gt;= (OFFSET($A$1, 78 - 1, 7 - 1)), "1","0")</f>
        <v>1</v>
      </c>
      <c r="CY93">
        <f ca="1" xml:space="preserve"> IF( AND( OFFSET($A$1, 93 - 1, 101 - 1) = "1", OFFSET($A$1, 93 - 1, 102 - 1) = "1" ), 1, IF( AND( OFFSET($A$1, 93 - 1, 101 - 1) = "1", OFFSET($A$1, 93 - 1, 102 - 1) = "0" ), 2, IF( AND( OFFSET($A$1, 93 - 1, 101 - 1) = "0", OFFSET($A$1, 93 - 1, 102 - 1) = "1" ), 3, 4 ) ) )</f>
        <v>1</v>
      </c>
    </row>
    <row r="94" spans="3:103" ht="13.8" x14ac:dyDescent="0.3">
      <c r="C94" s="62" t="s">
        <v>710</v>
      </c>
      <c r="D94" s="64"/>
      <c r="E94" s="34">
        <f ca="1">IF((OFFSET($A$1, 83 - 1, 4 - 1) + OFFSET($A$1, 84 - 1, 4 - 1)) = 0,"Undefined",OFFSET($A$1, 83 - 1, 4 - 1)/(OFFSET($A$1, 83 - 1, 4 - 1) + OFFSET($A$1, 84 - 1, 4 - 1)))</f>
        <v>0.75718849840255587</v>
      </c>
      <c r="CQ94" s="24">
        <v>3.0855514744248178E-2</v>
      </c>
      <c r="CR94" s="24" t="str">
        <f>"0"</f>
        <v>0</v>
      </c>
      <c r="CS94" t="str">
        <f ca="1">IF((OFFSET($A$1, 94 - 1, 95 - 1)) &gt;= (OFFSET($A$1, 54 - 1, 7 - 1)), "1","0")</f>
        <v>0</v>
      </c>
      <c r="CT94">
        <f ca="1" xml:space="preserve"> IF( AND( OFFSET($A$1, 94 - 1, 96 - 1) = "1", OFFSET($A$1, 94 - 1, 97 - 1) = "1" ), 1, IF( AND( OFFSET($A$1, 94 - 1, 96 - 1) = "1", OFFSET($A$1, 94 - 1, 97 - 1) = "0" ), 2, IF( AND( OFFSET($A$1, 94 - 1, 96 - 1) = "0", OFFSET($A$1, 94 - 1, 97 - 1) = "1" ), 3, 4 ) ) )</f>
        <v>4</v>
      </c>
      <c r="CV94" s="24">
        <v>0.55601956408736219</v>
      </c>
      <c r="CW94" s="24" t="str">
        <f>"0"</f>
        <v>0</v>
      </c>
      <c r="CX94" t="str">
        <f ca="1">IF((OFFSET($A$1, 94 - 1, 100 - 1)) &gt;= (OFFSET($A$1, 78 - 1, 7 - 1)), "1","0")</f>
        <v>1</v>
      </c>
      <c r="CY94">
        <f ca="1" xml:space="preserve"> IF( AND( OFFSET($A$1, 94 - 1, 101 - 1) = "1", OFFSET($A$1, 94 - 1, 102 - 1) = "1" ), 1, IF( AND( OFFSET($A$1, 94 - 1, 101 - 1) = "1", OFFSET($A$1, 94 - 1, 102 - 1) = "0" ), 2, IF( AND( OFFSET($A$1, 94 - 1, 101 - 1) = "0", OFFSET($A$1, 94 - 1, 102 - 1) = "1" ), 3, 4 ) ) )</f>
        <v>3</v>
      </c>
    </row>
    <row r="95" spans="3:103" ht="13.8" x14ac:dyDescent="0.3">
      <c r="C95" s="62" t="s">
        <v>711</v>
      </c>
      <c r="D95" s="64"/>
      <c r="E95" s="34">
        <f ca="1">IF((OFFSET($A$1, 83 - 1, 4 - 1) + OFFSET($A$1, 83 - 1, 5 - 1)) = 0,"Undefined",OFFSET($A$1, 83 - 1, 4 - 1)/(OFFSET($A$1, 83 - 1, 4 - 1) + OFFSET($A$1, 83 - 1, 5 - 1)))</f>
        <v>0.87453874538745391</v>
      </c>
      <c r="CQ95" s="24">
        <v>0.99999803783854002</v>
      </c>
      <c r="CR95" s="24" t="str">
        <f>"1"</f>
        <v>1</v>
      </c>
      <c r="CS95" t="str">
        <f ca="1">IF((OFFSET($A$1, 95 - 1, 95 - 1)) &gt;= (OFFSET($A$1, 54 - 1, 7 - 1)), "1","0")</f>
        <v>1</v>
      </c>
      <c r="CT95">
        <f ca="1" xml:space="preserve"> IF( AND( OFFSET($A$1, 95 - 1, 96 - 1) = "1", OFFSET($A$1, 95 - 1, 97 - 1) = "1" ), 1, IF( AND( OFFSET($A$1, 95 - 1, 96 - 1) = "1", OFFSET($A$1, 95 - 1, 97 - 1) = "0" ), 2, IF( AND( OFFSET($A$1, 95 - 1, 96 - 1) = "0", OFFSET($A$1, 95 - 1, 97 - 1) = "1" ), 3, 4 ) ) )</f>
        <v>1</v>
      </c>
      <c r="CV95" s="24">
        <v>0.69902705583664015</v>
      </c>
      <c r="CW95" s="24" t="str">
        <f>"1"</f>
        <v>1</v>
      </c>
      <c r="CX95" t="str">
        <f ca="1">IF((OFFSET($A$1, 95 - 1, 100 - 1)) &gt;= (OFFSET($A$1, 78 - 1, 7 - 1)), "1","0")</f>
        <v>1</v>
      </c>
      <c r="CY95">
        <f ca="1" xml:space="preserve"> IF( AND( OFFSET($A$1, 95 - 1, 101 - 1) = "1", OFFSET($A$1, 95 - 1, 102 - 1) = "1" ), 1, IF( AND( OFFSET($A$1, 95 - 1, 101 - 1) = "1", OFFSET($A$1, 95 - 1, 102 - 1) = "0" ), 2, IF( AND( OFFSET($A$1, 95 - 1, 101 - 1) = "0", OFFSET($A$1, 95 - 1, 102 - 1) = "1" ), 3, 4 ) ) )</f>
        <v>1</v>
      </c>
    </row>
    <row r="96" spans="3:103" ht="13.8" x14ac:dyDescent="0.3">
      <c r="C96" s="62" t="s">
        <v>712</v>
      </c>
      <c r="D96" s="64"/>
      <c r="E96" s="34">
        <f ca="1">IF((OFFSET($A$1, 84 - 1, 4 - 1) + OFFSET($A$1, 84 - 1, 5 - 1)) = 0,"Undefined",OFFSET($A$1, 84 - 1, 5 - 1)/(OFFSET($A$1, 84 - 1, 4 - 1) + OFFSET($A$1, 84 - 1, 5 - 1)))</f>
        <v>0.41085271317829458</v>
      </c>
      <c r="CQ96" s="24">
        <v>0.99258155707417361</v>
      </c>
      <c r="CR96" s="24" t="str">
        <f>"1"</f>
        <v>1</v>
      </c>
      <c r="CS96" t="str">
        <f ca="1">IF((OFFSET($A$1, 96 - 1, 95 - 1)) &gt;= (OFFSET($A$1, 54 - 1, 7 - 1)), "1","0")</f>
        <v>1</v>
      </c>
      <c r="CT96">
        <f ca="1" xml:space="preserve"> IF( AND( OFFSET($A$1, 96 - 1, 96 - 1) = "1", OFFSET($A$1, 96 - 1, 97 - 1) = "1" ), 1, IF( AND( OFFSET($A$1, 96 - 1, 96 - 1) = "1", OFFSET($A$1, 96 - 1, 97 - 1) = "0" ), 2, IF( AND( OFFSET($A$1, 96 - 1, 96 - 1) = "0", OFFSET($A$1, 96 - 1, 97 - 1) = "1" ), 3, 4 ) ) )</f>
        <v>1</v>
      </c>
      <c r="CV96" s="24">
        <v>7.364249498156672E-2</v>
      </c>
      <c r="CW96" s="24" t="str">
        <f>"0"</f>
        <v>0</v>
      </c>
      <c r="CX96" t="str">
        <f ca="1">IF((OFFSET($A$1, 96 - 1, 100 - 1)) &gt;= (OFFSET($A$1, 78 - 1, 7 - 1)), "1","0")</f>
        <v>0</v>
      </c>
      <c r="CY96">
        <f ca="1" xml:space="preserve"> IF( AND( OFFSET($A$1, 96 - 1, 101 - 1) = "1", OFFSET($A$1, 96 - 1, 102 - 1) = "1" ), 1, IF( AND( OFFSET($A$1, 96 - 1, 101 - 1) = "1", OFFSET($A$1, 96 - 1, 102 - 1) = "0" ), 2, IF( AND( OFFSET($A$1, 96 - 1, 101 - 1) = "0", OFFSET($A$1, 96 - 1, 102 - 1) = "1" ), 3, 4 ) ) )</f>
        <v>4</v>
      </c>
    </row>
    <row r="97" spans="2:103" ht="13.8" x14ac:dyDescent="0.3">
      <c r="C97" s="62" t="s">
        <v>713</v>
      </c>
      <c r="D97" s="64"/>
      <c r="E97" s="34">
        <f ca="1">IF(OR(OFFSET($A$1, 94 - 1, 5 - 1)="Undefined",OFFSET($A$1, 95 - 1, 5 - 1)="Undefined"),"Undefined",IF((OFFSET($A$1, 94 - 1, 5 - 1) + OFFSET($A$1, 95 - 1, 5 - 1))=0,"Undefined",2*OFFSET($A$1, 94 - 1, 5 - 1)*OFFSET($A$1, 95 - 1, 5 - 1)/(OFFSET($A$1, 94 - 1, 5 - 1)+OFFSET($A$1, 95 - 1, 5 - 1))))</f>
        <v>0.81164383561643838</v>
      </c>
      <c r="CQ97" s="24">
        <v>8.023773107165609E-2</v>
      </c>
      <c r="CR97" s="24" t="str">
        <f>"0"</f>
        <v>0</v>
      </c>
      <c r="CS97" t="str">
        <f ca="1">IF((OFFSET($A$1, 97 - 1, 95 - 1)) &gt;= (OFFSET($A$1, 54 - 1, 7 - 1)), "1","0")</f>
        <v>0</v>
      </c>
      <c r="CT97">
        <f ca="1" xml:space="preserve"> IF( AND( OFFSET($A$1, 97 - 1, 96 - 1) = "1", OFFSET($A$1, 97 - 1, 97 - 1) = "1" ), 1, IF( AND( OFFSET($A$1, 97 - 1, 96 - 1) = "1", OFFSET($A$1, 97 - 1, 97 - 1) = "0" ), 2, IF( AND( OFFSET($A$1, 97 - 1, 96 - 1) = "0", OFFSET($A$1, 97 - 1, 97 - 1) = "1" ), 3, 4 ) ) )</f>
        <v>4</v>
      </c>
      <c r="CV97" s="24">
        <v>0.19180809864393161</v>
      </c>
      <c r="CW97" s="24" t="str">
        <f>"1"</f>
        <v>1</v>
      </c>
      <c r="CX97" t="str">
        <f ca="1">IF((OFFSET($A$1, 97 - 1, 100 - 1)) &gt;= (OFFSET($A$1, 78 - 1, 7 - 1)), "1","0")</f>
        <v>0</v>
      </c>
      <c r="CY97">
        <f ca="1" xml:space="preserve"> IF( AND( OFFSET($A$1, 97 - 1, 101 - 1) = "1", OFFSET($A$1, 97 - 1, 102 - 1) = "1" ), 1, IF( AND( OFFSET($A$1, 97 - 1, 101 - 1) = "1", OFFSET($A$1, 97 - 1, 102 - 1) = "0" ), 2, IF( AND( OFFSET($A$1, 97 - 1, 101 - 1) = "0", OFFSET($A$1, 97 - 1, 102 - 1) = "1" ), 3, 4 ) ) )</f>
        <v>2</v>
      </c>
    </row>
    <row r="98" spans="2:103" ht="13.8" x14ac:dyDescent="0.3">
      <c r="CQ98" s="24">
        <v>3.6723498031637727E-2</v>
      </c>
      <c r="CR98" s="24" t="str">
        <f>"0"</f>
        <v>0</v>
      </c>
      <c r="CS98" t="str">
        <f ca="1">IF((OFFSET($A$1, 98 - 1, 95 - 1)) &gt;= (OFFSET($A$1, 54 - 1, 7 - 1)), "1","0")</f>
        <v>0</v>
      </c>
      <c r="CT98">
        <f ca="1" xml:space="preserve"> IF( AND( OFFSET($A$1, 98 - 1, 96 - 1) = "1", OFFSET($A$1, 98 - 1, 97 - 1) = "1" ), 1, IF( AND( OFFSET($A$1, 98 - 1, 96 - 1) = "1", OFFSET($A$1, 98 - 1, 97 - 1) = "0" ), 2, IF( AND( OFFSET($A$1, 98 - 1, 96 - 1) = "0", OFFSET($A$1, 98 - 1, 97 - 1) = "1" ), 3, 4 ) ) )</f>
        <v>4</v>
      </c>
      <c r="CV98" s="24">
        <v>0.99292190631584409</v>
      </c>
      <c r="CW98" s="24" t="str">
        <f>"1"</f>
        <v>1</v>
      </c>
      <c r="CX98" t="str">
        <f ca="1">IF((OFFSET($A$1, 98 - 1, 100 - 1)) &gt;= (OFFSET($A$1, 78 - 1, 7 - 1)), "1","0")</f>
        <v>1</v>
      </c>
      <c r="CY98">
        <f ca="1" xml:space="preserve"> IF( AND( OFFSET($A$1, 98 - 1, 101 - 1) = "1", OFFSET($A$1, 98 - 1, 102 - 1) = "1" ), 1, IF( AND( OFFSET($A$1, 98 - 1, 101 - 1) = "1", OFFSET($A$1, 98 - 1, 102 - 1) = "0" ), 2, IF( AND( OFFSET($A$1, 98 - 1, 101 - 1) = "0", OFFSET($A$1, 98 - 1, 102 - 1) = "1" ), 3, 4 ) ) )</f>
        <v>1</v>
      </c>
    </row>
    <row r="99" spans="2:103" ht="13.8" x14ac:dyDescent="0.3">
      <c r="CQ99" s="24">
        <v>0.13679618062179111</v>
      </c>
      <c r="CR99" s="24" t="str">
        <f>"0"</f>
        <v>0</v>
      </c>
      <c r="CS99" t="str">
        <f ca="1">IF((OFFSET($A$1, 99 - 1, 95 - 1)) &gt;= (OFFSET($A$1, 54 - 1, 7 - 1)), "1","0")</f>
        <v>0</v>
      </c>
      <c r="CT99">
        <f ca="1" xml:space="preserve"> IF( AND( OFFSET($A$1, 99 - 1, 96 - 1) = "1", OFFSET($A$1, 99 - 1, 97 - 1) = "1" ), 1, IF( AND( OFFSET($A$1, 99 - 1, 96 - 1) = "1", OFFSET($A$1, 99 - 1, 97 - 1) = "0" ), 2, IF( AND( OFFSET($A$1, 99 - 1, 96 - 1) = "0", OFFSET($A$1, 99 - 1, 97 - 1) = "1" ), 3, 4 ) ) )</f>
        <v>4</v>
      </c>
      <c r="CV99" s="24">
        <v>0.97468887131119508</v>
      </c>
      <c r="CW99" s="24" t="str">
        <f>"0"</f>
        <v>0</v>
      </c>
      <c r="CX99" t="str">
        <f ca="1">IF((OFFSET($A$1, 99 - 1, 100 - 1)) &gt;= (OFFSET($A$1, 78 - 1, 7 - 1)), "1","0")</f>
        <v>1</v>
      </c>
      <c r="CY99">
        <f ca="1" xml:space="preserve"> IF( AND( OFFSET($A$1, 99 - 1, 101 - 1) = "1", OFFSET($A$1, 99 - 1, 102 - 1) = "1" ), 1, IF( AND( OFFSET($A$1, 99 - 1, 101 - 1) = "1", OFFSET($A$1, 99 - 1, 102 - 1) = "0" ), 2, IF( AND( OFFSET($A$1, 99 - 1, 101 - 1) = "0", OFFSET($A$1, 99 - 1, 102 - 1) = "1" ), 3, 4 ) ) )</f>
        <v>3</v>
      </c>
    </row>
    <row r="100" spans="2:103" ht="18" x14ac:dyDescent="0.35">
      <c r="B100" s="22" t="s">
        <v>715</v>
      </c>
      <c r="CQ100" s="24">
        <v>0.99633673744236606</v>
      </c>
      <c r="CR100" s="24" t="str">
        <f>"1"</f>
        <v>1</v>
      </c>
      <c r="CS100" t="str">
        <f ca="1">IF((OFFSET($A$1, 100 - 1, 95 - 1)) &gt;= (OFFSET($A$1, 54 - 1, 7 - 1)), "1","0")</f>
        <v>1</v>
      </c>
      <c r="CT100">
        <f ca="1" xml:space="preserve"> IF( AND( OFFSET($A$1, 100 - 1, 96 - 1) = "1", OFFSET($A$1, 100 - 1, 97 - 1) = "1" ), 1, IF( AND( OFFSET($A$1, 100 - 1, 96 - 1) = "1", OFFSET($A$1, 100 - 1, 97 - 1) = "0" ), 2, IF( AND( OFFSET($A$1, 100 - 1, 96 - 1) = "0", OFFSET($A$1, 100 - 1, 97 - 1) = "1" ), 3, 4 ) ) )</f>
        <v>1</v>
      </c>
      <c r="CV100" s="24">
        <v>0.76997632254804371</v>
      </c>
      <c r="CW100" s="24" t="str">
        <f>"0"</f>
        <v>0</v>
      </c>
      <c r="CX100" t="str">
        <f ca="1">IF((OFFSET($A$1, 100 - 1, 100 - 1)) &gt;= (OFFSET($A$1, 78 - 1, 7 - 1)), "1","0")</f>
        <v>1</v>
      </c>
      <c r="CY100">
        <f ca="1" xml:space="preserve"> IF( AND( OFFSET($A$1, 100 - 1, 101 - 1) = "1", OFFSET($A$1, 100 - 1, 102 - 1) = "1" ), 1, IF( AND( OFFSET($A$1, 100 - 1, 101 - 1) = "1", OFFSET($A$1, 100 - 1, 102 - 1) = "0" ), 2, IF( AND( OFFSET($A$1, 100 - 1, 101 - 1) = "0", OFFSET($A$1, 100 - 1, 102 - 1) = "1" ), 3, 4 ) ) )</f>
        <v>3</v>
      </c>
    </row>
    <row r="101" spans="2:103" ht="13.8" x14ac:dyDescent="0.3">
      <c r="CQ101" s="24">
        <v>3.3622794751157702E-3</v>
      </c>
      <c r="CR101" s="24" t="str">
        <f>"0"</f>
        <v>0</v>
      </c>
      <c r="CS101" t="str">
        <f ca="1">IF((OFFSET($A$1, 101 - 1, 95 - 1)) &gt;= (OFFSET($A$1, 54 - 1, 7 - 1)), "1","0")</f>
        <v>0</v>
      </c>
      <c r="CT101">
        <f ca="1" xml:space="preserve"> IF( AND( OFFSET($A$1, 101 - 1, 96 - 1) = "1", OFFSET($A$1, 101 - 1, 97 - 1) = "1" ), 1, IF( AND( OFFSET($A$1, 101 - 1, 96 - 1) = "1", OFFSET($A$1, 101 - 1, 97 - 1) = "0" ), 2, IF( AND( OFFSET($A$1, 101 - 1, 96 - 1) = "0", OFFSET($A$1, 101 - 1, 97 - 1) = "1" ), 3, 4 ) ) )</f>
        <v>4</v>
      </c>
      <c r="CV101" s="24">
        <v>0.91124056340188053</v>
      </c>
      <c r="CW101" s="24" t="str">
        <f>"0"</f>
        <v>0</v>
      </c>
      <c r="CX101" t="str">
        <f ca="1">IF((OFFSET($A$1, 101 - 1, 100 - 1)) &gt;= (OFFSET($A$1, 78 - 1, 7 - 1)), "1","0")</f>
        <v>1</v>
      </c>
      <c r="CY101">
        <f ca="1" xml:space="preserve"> IF( AND( OFFSET($A$1, 101 - 1, 101 - 1) = "1", OFFSET($A$1, 101 - 1, 102 - 1) = "1" ), 1, IF( AND( OFFSET($A$1, 101 - 1, 101 - 1) = "1", OFFSET($A$1, 101 - 1, 102 - 1) = "0" ), 2, IF( AND( OFFSET($A$1, 101 - 1, 101 - 1) = "0", OFFSET($A$1, 101 - 1, 102 - 1) = "1" ), 3, 4 ) ) )</f>
        <v>3</v>
      </c>
    </row>
    <row r="102" spans="2:103" ht="13.8" x14ac:dyDescent="0.3">
      <c r="D102" s="77" t="s">
        <v>716</v>
      </c>
      <c r="E102" s="77"/>
      <c r="F102" s="77"/>
      <c r="G102" s="77"/>
      <c r="H102" s="77"/>
      <c r="I102" s="77"/>
      <c r="J102" s="77"/>
      <c r="K102" s="77"/>
      <c r="L102" s="77"/>
      <c r="M102" s="77"/>
      <c r="N102" s="77"/>
      <c r="O102" s="77"/>
      <c r="P102" s="77"/>
      <c r="Q102" s="77"/>
      <c r="R102" s="77"/>
      <c r="S102" s="77"/>
      <c r="T102" s="77"/>
      <c r="U102" s="77"/>
      <c r="V102" s="77"/>
      <c r="W102" s="77"/>
      <c r="X102" s="77"/>
      <c r="Y102" s="77"/>
      <c r="Z102" s="77"/>
      <c r="AA102" s="77"/>
      <c r="AB102" s="77"/>
      <c r="AC102" s="77"/>
      <c r="AD102" s="77"/>
      <c r="AE102" s="77"/>
      <c r="AF102" s="77"/>
      <c r="AG102" s="77"/>
      <c r="AH102" s="77"/>
      <c r="AI102" s="77"/>
      <c r="AJ102" s="77"/>
      <c r="AK102" s="77"/>
      <c r="AL102" s="77"/>
      <c r="AM102" s="77"/>
      <c r="AN102" s="77"/>
      <c r="AO102" s="77"/>
      <c r="AP102" s="77"/>
      <c r="AQ102" s="77"/>
      <c r="AR102" s="77"/>
      <c r="AS102" s="77"/>
      <c r="AT102" s="77"/>
      <c r="AU102" s="77"/>
      <c r="AV102" s="77"/>
      <c r="AW102" s="77"/>
      <c r="CQ102" s="24">
        <v>0.99751415696026691</v>
      </c>
      <c r="CR102" s="24" t="str">
        <f>"1"</f>
        <v>1</v>
      </c>
      <c r="CS102" t="str">
        <f ca="1">IF((OFFSET($A$1, 102 - 1, 95 - 1)) &gt;= (OFFSET($A$1, 54 - 1, 7 - 1)), "1","0")</f>
        <v>1</v>
      </c>
      <c r="CT102">
        <f ca="1" xml:space="preserve"> IF( AND( OFFSET($A$1, 102 - 1, 96 - 1) = "1", OFFSET($A$1, 102 - 1, 97 - 1) = "1" ), 1, IF( AND( OFFSET($A$1, 102 - 1, 96 - 1) = "1", OFFSET($A$1, 102 - 1, 97 - 1) = "0" ), 2, IF( AND( OFFSET($A$1, 102 - 1, 96 - 1) = "0", OFFSET($A$1, 102 - 1, 97 - 1) = "1" ), 3, 4 ) ) )</f>
        <v>1</v>
      </c>
      <c r="CV102" s="24">
        <v>0.99655343589505574</v>
      </c>
      <c r="CW102" s="24" t="str">
        <f>"1"</f>
        <v>1</v>
      </c>
      <c r="CX102" t="str">
        <f ca="1">IF((OFFSET($A$1, 102 - 1, 100 - 1)) &gt;= (OFFSET($A$1, 78 - 1, 7 - 1)), "1","0")</f>
        <v>1</v>
      </c>
      <c r="CY102">
        <f ca="1" xml:space="preserve"> IF( AND( OFFSET($A$1, 102 - 1, 101 - 1) = "1", OFFSET($A$1, 102 - 1, 102 - 1) = "1" ), 1, IF( AND( OFFSET($A$1, 102 - 1, 101 - 1) = "1", OFFSET($A$1, 102 - 1, 102 - 1) = "0" ), 2, IF( AND( OFFSET($A$1, 102 - 1, 101 - 1) = "0", OFFSET($A$1, 102 - 1, 102 - 1) = "1" ), 3, 4 ) ) )</f>
        <v>1</v>
      </c>
    </row>
    <row r="103" spans="2:103" ht="13.8" x14ac:dyDescent="0.3">
      <c r="C103" s="36" t="s">
        <v>717</v>
      </c>
      <c r="D103" s="26" t="s">
        <v>0</v>
      </c>
      <c r="E103" s="26" t="s">
        <v>68</v>
      </c>
      <c r="F103" s="26" t="s">
        <v>69</v>
      </c>
      <c r="G103" s="26" t="s">
        <v>70</v>
      </c>
      <c r="H103" s="26" t="s">
        <v>71</v>
      </c>
      <c r="I103" s="26" t="s">
        <v>81</v>
      </c>
      <c r="J103" s="26" t="s">
        <v>72</v>
      </c>
      <c r="K103" s="26" t="s">
        <v>2</v>
      </c>
      <c r="L103" s="26" t="s">
        <v>6</v>
      </c>
      <c r="M103" s="26" t="s">
        <v>74</v>
      </c>
      <c r="N103" s="26" t="s">
        <v>75</v>
      </c>
      <c r="O103" s="26" t="s">
        <v>76</v>
      </c>
      <c r="P103" s="26" t="s">
        <v>73</v>
      </c>
      <c r="Q103" s="26" t="s">
        <v>77</v>
      </c>
      <c r="R103" s="26" t="s">
        <v>78</v>
      </c>
      <c r="S103" s="26" t="s">
        <v>82</v>
      </c>
      <c r="T103" s="26" t="s">
        <v>8</v>
      </c>
      <c r="U103" s="26" t="s">
        <v>79</v>
      </c>
      <c r="V103" s="26" t="s">
        <v>80</v>
      </c>
      <c r="W103" s="26" t="s">
        <v>83</v>
      </c>
      <c r="X103" s="26" t="s">
        <v>9</v>
      </c>
      <c r="Y103" s="26" t="s">
        <v>11</v>
      </c>
      <c r="Z103" s="26" t="s">
        <v>12</v>
      </c>
      <c r="AA103" s="26" t="s">
        <v>13</v>
      </c>
      <c r="AB103" s="26" t="s">
        <v>152</v>
      </c>
      <c r="AC103" s="26" t="s">
        <v>153</v>
      </c>
      <c r="AD103" s="26" t="s">
        <v>154</v>
      </c>
      <c r="AE103" s="26" t="s">
        <v>156</v>
      </c>
      <c r="AF103" s="26" t="s">
        <v>157</v>
      </c>
      <c r="AG103" s="26" t="s">
        <v>158</v>
      </c>
      <c r="AH103" s="26" t="s">
        <v>159</v>
      </c>
      <c r="AI103" s="26" t="s">
        <v>161</v>
      </c>
      <c r="AJ103" s="26" t="s">
        <v>162</v>
      </c>
      <c r="AK103" s="26" t="s">
        <v>163</v>
      </c>
      <c r="AL103" s="26" t="s">
        <v>164</v>
      </c>
      <c r="AM103" s="26" t="s">
        <v>166</v>
      </c>
      <c r="AN103" s="26" t="s">
        <v>167</v>
      </c>
      <c r="AO103" s="26" t="s">
        <v>168</v>
      </c>
      <c r="AP103" s="26" t="s">
        <v>169</v>
      </c>
      <c r="AQ103" s="26" t="s">
        <v>171</v>
      </c>
      <c r="AR103" s="26" t="s">
        <v>172</v>
      </c>
      <c r="AS103" s="26" t="s">
        <v>173</v>
      </c>
      <c r="AT103" s="26" t="s">
        <v>176</v>
      </c>
      <c r="AU103" s="26" t="s">
        <v>177</v>
      </c>
      <c r="AV103" s="26" t="s">
        <v>178</v>
      </c>
      <c r="AW103" s="26" t="s">
        <v>732</v>
      </c>
      <c r="CQ103" s="24">
        <v>1.9912300816028992E-2</v>
      </c>
      <c r="CR103" s="24" t="str">
        <f>"0"</f>
        <v>0</v>
      </c>
      <c r="CS103" t="str">
        <f ca="1">IF((OFFSET($A$1, 103 - 1, 95 - 1)) &gt;= (OFFSET($A$1, 54 - 1, 7 - 1)), "1","0")</f>
        <v>0</v>
      </c>
      <c r="CT103">
        <f ca="1" xml:space="preserve"> IF( AND( OFFSET($A$1, 103 - 1, 96 - 1) = "1", OFFSET($A$1, 103 - 1, 97 - 1) = "1" ), 1, IF( AND( OFFSET($A$1, 103 - 1, 96 - 1) = "1", OFFSET($A$1, 103 - 1, 97 - 1) = "0" ), 2, IF( AND( OFFSET($A$1, 103 - 1, 96 - 1) = "0", OFFSET($A$1, 103 - 1, 97 - 1) = "1" ), 3, 4 ) ) )</f>
        <v>4</v>
      </c>
      <c r="CV103" s="24">
        <v>0.99932340165523892</v>
      </c>
      <c r="CW103" s="24" t="str">
        <f>"1"</f>
        <v>1</v>
      </c>
      <c r="CX103" t="str">
        <f ca="1">IF((OFFSET($A$1, 103 - 1, 100 - 1)) &gt;= (OFFSET($A$1, 78 - 1, 7 - 1)), "1","0")</f>
        <v>1</v>
      </c>
      <c r="CY103">
        <f ca="1" xml:space="preserve"> IF( AND( OFFSET($A$1, 103 - 1, 101 - 1) = "1", OFFSET($A$1, 103 - 1, 102 - 1) = "1" ), 1, IF( AND( OFFSET($A$1, 103 - 1, 101 - 1) = "1", OFFSET($A$1, 103 - 1, 102 - 1) = "0" ), 2, IF( AND( OFFSET($A$1, 103 - 1, 101 - 1) = "0", OFFSET($A$1, 103 - 1, 102 - 1) = "1" ), 3, 4 ) ) )</f>
        <v>1</v>
      </c>
    </row>
    <row r="104" spans="2:103" ht="13.8" x14ac:dyDescent="0.3">
      <c r="C104" s="26" t="s">
        <v>718</v>
      </c>
      <c r="D104" s="24">
        <v>-0.49881422135595155</v>
      </c>
      <c r="E104" s="24">
        <v>1.9968145401270327</v>
      </c>
      <c r="F104" s="24">
        <v>0.79081882998935504</v>
      </c>
      <c r="G104" s="24">
        <v>-0.31650335907091071</v>
      </c>
      <c r="H104" s="24">
        <v>-1.0228063311306888</v>
      </c>
      <c r="I104" s="24">
        <v>-0.31990861233447554</v>
      </c>
      <c r="J104" s="24">
        <v>-3.6301870578426501E-2</v>
      </c>
      <c r="K104" s="24">
        <v>-1.4214527820771738</v>
      </c>
      <c r="L104" s="24">
        <v>2.0216487067803275</v>
      </c>
      <c r="M104" s="24">
        <v>-1.0637172757674163</v>
      </c>
      <c r="N104" s="24">
        <v>-0.49048062852142638</v>
      </c>
      <c r="O104" s="24">
        <v>-0.81601606448606401</v>
      </c>
      <c r="P104" s="24">
        <v>-0.85695536221151491</v>
      </c>
      <c r="Q104" s="24">
        <v>-0.23244354284321395</v>
      </c>
      <c r="R104" s="24">
        <v>0.61503036476082085</v>
      </c>
      <c r="S104" s="24">
        <v>-0.60202784522191388</v>
      </c>
      <c r="T104" s="24">
        <v>-0.29859319535786183</v>
      </c>
      <c r="U104" s="24">
        <v>-1.3278063834549065</v>
      </c>
      <c r="V104" s="24">
        <v>1.7415641212783388</v>
      </c>
      <c r="W104" s="24">
        <v>-8.3210822613620491E-2</v>
      </c>
      <c r="X104" s="24">
        <v>-0.27490746113718856</v>
      </c>
      <c r="Y104" s="24">
        <v>0.1560010011093752</v>
      </c>
      <c r="Z104" s="24">
        <v>5.5748202082402991E-2</v>
      </c>
      <c r="AA104" s="24">
        <v>0.73165261746282262</v>
      </c>
      <c r="AB104" s="24">
        <v>-2.1583528619169408</v>
      </c>
      <c r="AC104" s="24">
        <v>0.23543312712888623</v>
      </c>
      <c r="AD104" s="24">
        <v>-0.90356593840326116</v>
      </c>
      <c r="AE104" s="24">
        <v>-1.5117991007621736</v>
      </c>
      <c r="AF104" s="24">
        <v>1.3775282016638393</v>
      </c>
      <c r="AG104" s="24">
        <v>-0.90424153254651018</v>
      </c>
      <c r="AH104" s="24">
        <v>0.92388597311865051</v>
      </c>
      <c r="AI104" s="24">
        <v>-2.2456426638115583</v>
      </c>
      <c r="AJ104" s="24">
        <v>0.47606320774148692</v>
      </c>
      <c r="AK104" s="24">
        <v>2.2921842871231335</v>
      </c>
      <c r="AL104" s="24">
        <v>0.57395519865175715</v>
      </c>
      <c r="AM104" s="24">
        <v>-1.6477546957961053</v>
      </c>
      <c r="AN104" s="24">
        <v>0.76135524701467394</v>
      </c>
      <c r="AO104" s="24">
        <v>0.52245567369244528</v>
      </c>
      <c r="AP104" s="24">
        <v>-0.73383132298686138</v>
      </c>
      <c r="AQ104" s="24">
        <v>-0.72008904941091723</v>
      </c>
      <c r="AR104" s="24">
        <v>0.13812987761303622</v>
      </c>
      <c r="AS104" s="24">
        <v>1.108499407589312</v>
      </c>
      <c r="AT104" s="24">
        <v>8.0249480165838438E-2</v>
      </c>
      <c r="AU104" s="24">
        <v>-6.841224156984882E-2</v>
      </c>
      <c r="AV104" s="24">
        <v>1.6728410078785216</v>
      </c>
      <c r="AW104" s="24">
        <v>-2.2607910828091136</v>
      </c>
      <c r="CQ104" s="24">
        <v>0.92843568266540955</v>
      </c>
      <c r="CR104" s="24" t="str">
        <f>"1"</f>
        <v>1</v>
      </c>
      <c r="CS104" t="str">
        <f ca="1">IF((OFFSET($A$1, 104 - 1, 95 - 1)) &gt;= (OFFSET($A$1, 54 - 1, 7 - 1)), "1","0")</f>
        <v>1</v>
      </c>
      <c r="CT104">
        <f ca="1" xml:space="preserve"> IF( AND( OFFSET($A$1, 104 - 1, 96 - 1) = "1", OFFSET($A$1, 104 - 1, 97 - 1) = "1" ), 1, IF( AND( OFFSET($A$1, 104 - 1, 96 - 1) = "1", OFFSET($A$1, 104 - 1, 97 - 1) = "0" ), 2, IF( AND( OFFSET($A$1, 104 - 1, 96 - 1) = "0", OFFSET($A$1, 104 - 1, 97 - 1) = "1" ), 3, 4 ) ) )</f>
        <v>1</v>
      </c>
      <c r="CV104" s="24">
        <v>1.0548914574797336E-2</v>
      </c>
      <c r="CW104" s="24" t="str">
        <f>"0"</f>
        <v>0</v>
      </c>
      <c r="CX104" t="str">
        <f ca="1">IF((OFFSET($A$1, 104 - 1, 100 - 1)) &gt;= (OFFSET($A$1, 78 - 1, 7 - 1)), "1","0")</f>
        <v>0</v>
      </c>
      <c r="CY104">
        <f ca="1" xml:space="preserve"> IF( AND( OFFSET($A$1, 104 - 1, 101 - 1) = "1", OFFSET($A$1, 104 - 1, 102 - 1) = "1" ), 1, IF( AND( OFFSET($A$1, 104 - 1, 101 - 1) = "1", OFFSET($A$1, 104 - 1, 102 - 1) = "0" ), 2, IF( AND( OFFSET($A$1, 104 - 1, 101 - 1) = "0", OFFSET($A$1, 104 - 1, 102 - 1) = "1" ), 3, 4 ) ) )</f>
        <v>4</v>
      </c>
    </row>
    <row r="105" spans="2:103" ht="13.8" x14ac:dyDescent="0.3">
      <c r="C105" s="26" t="s">
        <v>719</v>
      </c>
      <c r="D105" s="24">
        <v>0.40956250111675574</v>
      </c>
      <c r="E105" s="24">
        <v>0.11106447859357829</v>
      </c>
      <c r="F105" s="24">
        <v>0.43761426402685649</v>
      </c>
      <c r="G105" s="24">
        <v>-0.92450385628306775</v>
      </c>
      <c r="H105" s="24">
        <v>0.57214669070194923</v>
      </c>
      <c r="I105" s="24">
        <v>-1.7987067397542829</v>
      </c>
      <c r="J105" s="24">
        <v>1.1263695789251815</v>
      </c>
      <c r="K105" s="24">
        <v>-1.182872539298764</v>
      </c>
      <c r="L105" s="24">
        <v>1.0862743294653234</v>
      </c>
      <c r="M105" s="24">
        <v>0.18654322337347165</v>
      </c>
      <c r="N105" s="24">
        <v>-0.2973200986200159</v>
      </c>
      <c r="O105" s="24">
        <v>-0.96746624445501384</v>
      </c>
      <c r="P105" s="24">
        <v>-3.9255793858043876E-2</v>
      </c>
      <c r="Q105" s="24">
        <v>8.3638714904186104E-2</v>
      </c>
      <c r="R105" s="24">
        <v>0.83628445900824866</v>
      </c>
      <c r="S105" s="24">
        <v>-0.96933659946871276</v>
      </c>
      <c r="T105" s="24">
        <v>1.6435416235473004</v>
      </c>
      <c r="U105" s="24">
        <v>0.61902085124894934</v>
      </c>
      <c r="V105" s="24">
        <v>-0.8271705473857307</v>
      </c>
      <c r="W105" s="24">
        <v>1.2122625419801958</v>
      </c>
      <c r="X105" s="24">
        <v>0.18204357229117701</v>
      </c>
      <c r="Y105" s="24">
        <v>-0.77529170848619888</v>
      </c>
      <c r="Z105" s="24">
        <v>2.1204157354417554</v>
      </c>
      <c r="AA105" s="24">
        <v>0.15534534402182343</v>
      </c>
      <c r="AB105" s="24">
        <v>-0.81807545959173023</v>
      </c>
      <c r="AC105" s="24">
        <v>-0.78064494955967023</v>
      </c>
      <c r="AD105" s="24">
        <v>1.6045251470533166</v>
      </c>
      <c r="AE105" s="24">
        <v>-1.1873901633933905</v>
      </c>
      <c r="AF105" s="24">
        <v>1.3844140796670505</v>
      </c>
      <c r="AG105" s="24">
        <v>-0.25000873884177471</v>
      </c>
      <c r="AH105" s="24">
        <v>-1.2051426557479989</v>
      </c>
      <c r="AI105" s="24">
        <v>-0.27391344934509865</v>
      </c>
      <c r="AJ105" s="24">
        <v>1.0560604019483222</v>
      </c>
      <c r="AK105" s="24">
        <v>0.4392256221583738</v>
      </c>
      <c r="AL105" s="24">
        <v>0.63419293906744567</v>
      </c>
      <c r="AM105" s="24">
        <v>0.20510905431131321</v>
      </c>
      <c r="AN105" s="24">
        <v>0.56797066717254618</v>
      </c>
      <c r="AO105" s="24">
        <v>-1.1841847670631804</v>
      </c>
      <c r="AP105" s="24">
        <v>-0.24497040820775959</v>
      </c>
      <c r="AQ105" s="24">
        <v>0.50541306391841501</v>
      </c>
      <c r="AR105" s="24">
        <v>-0.53850920300350491</v>
      </c>
      <c r="AS105" s="24">
        <v>-1.104165819974672</v>
      </c>
      <c r="AT105" s="24">
        <v>0.2213989688819227</v>
      </c>
      <c r="AU105" s="24">
        <v>0.66133144095749197</v>
      </c>
      <c r="AV105" s="24">
        <v>-1.4046452781759893</v>
      </c>
      <c r="AW105" s="24">
        <v>-1.061974536230863</v>
      </c>
      <c r="CQ105" s="24">
        <v>4.9494838983161192E-4</v>
      </c>
      <c r="CR105" s="24" t="str">
        <f>"0"</f>
        <v>0</v>
      </c>
      <c r="CS105" t="str">
        <f ca="1">IF((OFFSET($A$1, 105 - 1, 95 - 1)) &gt;= (OFFSET($A$1, 54 - 1, 7 - 1)), "1","0")</f>
        <v>0</v>
      </c>
      <c r="CT105">
        <f ca="1" xml:space="preserve"> IF( AND( OFFSET($A$1, 105 - 1, 96 - 1) = "1", OFFSET($A$1, 105 - 1, 97 - 1) = "1" ), 1, IF( AND( OFFSET($A$1, 105 - 1, 96 - 1) = "1", OFFSET($A$1, 105 - 1, 97 - 1) = "0" ), 2, IF( AND( OFFSET($A$1, 105 - 1, 96 - 1) = "0", OFFSET($A$1, 105 - 1, 97 - 1) = "1" ), 3, 4 ) ) )</f>
        <v>4</v>
      </c>
      <c r="CV105" s="24">
        <v>0.99998949590081687</v>
      </c>
      <c r="CW105" s="24" t="str">
        <f>"1"</f>
        <v>1</v>
      </c>
      <c r="CX105" t="str">
        <f ca="1">IF((OFFSET($A$1, 105 - 1, 100 - 1)) &gt;= (OFFSET($A$1, 78 - 1, 7 - 1)), "1","0")</f>
        <v>1</v>
      </c>
      <c r="CY105">
        <f ca="1" xml:space="preserve"> IF( AND( OFFSET($A$1, 105 - 1, 101 - 1) = "1", OFFSET($A$1, 105 - 1, 102 - 1) = "1" ), 1, IF( AND( OFFSET($A$1, 105 - 1, 101 - 1) = "1", OFFSET($A$1, 105 - 1, 102 - 1) = "0" ), 2, IF( AND( OFFSET($A$1, 105 - 1, 101 - 1) = "0", OFFSET($A$1, 105 - 1, 102 - 1) = "1" ), 3, 4 ) ) )</f>
        <v>1</v>
      </c>
    </row>
    <row r="106" spans="2:103" ht="13.8" x14ac:dyDescent="0.3">
      <c r="C106" s="26" t="s">
        <v>720</v>
      </c>
      <c r="D106" s="24">
        <v>0.58601117942900061</v>
      </c>
      <c r="E106" s="24">
        <v>0.23977300653390277</v>
      </c>
      <c r="F106" s="24">
        <v>1.754234621424325</v>
      </c>
      <c r="G106" s="24">
        <v>0.56793980104586772</v>
      </c>
      <c r="H106" s="24">
        <v>-1.2431867009467654</v>
      </c>
      <c r="I106" s="24">
        <v>-0.73054760914092631</v>
      </c>
      <c r="J106" s="24">
        <v>0.19632475244202971</v>
      </c>
      <c r="K106" s="24">
        <v>-0.58439757119704949</v>
      </c>
      <c r="L106" s="24">
        <v>-0.65621507682228075</v>
      </c>
      <c r="M106" s="24">
        <v>1.0795895282143346</v>
      </c>
      <c r="N106" s="24">
        <v>1.9707127913666564</v>
      </c>
      <c r="O106" s="24">
        <v>1.4976085779991888</v>
      </c>
      <c r="P106" s="24">
        <v>0.2266982780354618</v>
      </c>
      <c r="Q106" s="24">
        <v>0.77644940511811533</v>
      </c>
      <c r="R106" s="24">
        <v>1.3250324341863393</v>
      </c>
      <c r="S106" s="24">
        <v>-1.0426449340857318</v>
      </c>
      <c r="T106" s="24">
        <v>1.3399903887750284</v>
      </c>
      <c r="U106" s="24">
        <v>0.5641725171801476</v>
      </c>
      <c r="V106" s="24">
        <v>1.4135323787671186</v>
      </c>
      <c r="W106" s="24">
        <v>0.20054302481130032</v>
      </c>
      <c r="X106" s="24">
        <v>-0.35824619144785508</v>
      </c>
      <c r="Y106" s="24">
        <v>-0.8373410668046799</v>
      </c>
      <c r="Z106" s="24">
        <v>-1.2017040402490169</v>
      </c>
      <c r="AA106" s="24">
        <v>0.3265553690378391</v>
      </c>
      <c r="AB106" s="24">
        <v>-2.7455389730343156</v>
      </c>
      <c r="AC106" s="24">
        <v>0.45131491927651346</v>
      </c>
      <c r="AD106" s="24">
        <v>-1.1596193140114284</v>
      </c>
      <c r="AE106" s="24">
        <v>7.0516953174970878E-2</v>
      </c>
      <c r="AF106" s="24">
        <v>0.11518527197791605</v>
      </c>
      <c r="AG106" s="24">
        <v>-0.39002588250529485</v>
      </c>
      <c r="AH106" s="24">
        <v>0.83501391845226525</v>
      </c>
      <c r="AI106" s="24">
        <v>-2.5414645011499846</v>
      </c>
      <c r="AJ106" s="24">
        <v>0.58199298326400184</v>
      </c>
      <c r="AK106" s="24">
        <v>1.5892297991147732</v>
      </c>
      <c r="AL106" s="24">
        <v>0.48069264705169323</v>
      </c>
      <c r="AM106" s="24">
        <v>0.26890063113931123</v>
      </c>
      <c r="AN106" s="24">
        <v>-0.9031844984254791</v>
      </c>
      <c r="AO106" s="24">
        <v>0.58983150960273867</v>
      </c>
      <c r="AP106" s="24">
        <v>2.1555649756701181</v>
      </c>
      <c r="AQ106" s="24">
        <v>-1.3524195295197121</v>
      </c>
      <c r="AR106" s="24">
        <v>1.7085451803612186</v>
      </c>
      <c r="AS106" s="24">
        <v>1.7868007068059519</v>
      </c>
      <c r="AT106" s="24">
        <v>1.0282084261608024</v>
      </c>
      <c r="AU106" s="24">
        <v>3.6711533397572893</v>
      </c>
      <c r="AV106" s="24">
        <v>0.31935751484053815</v>
      </c>
      <c r="AW106" s="24">
        <v>-2.7221876628397559</v>
      </c>
      <c r="CQ106" s="24">
        <v>1.8156466649187127E-2</v>
      </c>
      <c r="CR106" s="24" t="str">
        <f>"0"</f>
        <v>0</v>
      </c>
      <c r="CS106" t="str">
        <f ca="1">IF((OFFSET($A$1, 106 - 1, 95 - 1)) &gt;= (OFFSET($A$1, 54 - 1, 7 - 1)), "1","0")</f>
        <v>0</v>
      </c>
      <c r="CT106">
        <f ca="1" xml:space="preserve"> IF( AND( OFFSET($A$1, 106 - 1, 96 - 1) = "1", OFFSET($A$1, 106 - 1, 97 - 1) = "1" ), 1, IF( AND( OFFSET($A$1, 106 - 1, 96 - 1) = "1", OFFSET($A$1, 106 - 1, 97 - 1) = "0" ), 2, IF( AND( OFFSET($A$1, 106 - 1, 96 - 1) = "0", OFFSET($A$1, 106 - 1, 97 - 1) = "1" ), 3, 4 ) ) )</f>
        <v>4</v>
      </c>
      <c r="CV106" s="24">
        <v>0.99433279826522558</v>
      </c>
      <c r="CW106" s="24" t="str">
        <f>"1"</f>
        <v>1</v>
      </c>
      <c r="CX106" t="str">
        <f ca="1">IF((OFFSET($A$1, 106 - 1, 100 - 1)) &gt;= (OFFSET($A$1, 78 - 1, 7 - 1)), "1","0")</f>
        <v>1</v>
      </c>
      <c r="CY106">
        <f ca="1" xml:space="preserve"> IF( AND( OFFSET($A$1, 106 - 1, 101 - 1) = "1", OFFSET($A$1, 106 - 1, 102 - 1) = "1" ), 1, IF( AND( OFFSET($A$1, 106 - 1, 101 - 1) = "1", OFFSET($A$1, 106 - 1, 102 - 1) = "0" ), 2, IF( AND( OFFSET($A$1, 106 - 1, 101 - 1) = "0", OFFSET($A$1, 106 - 1, 102 - 1) = "1" ), 3, 4 ) ) )</f>
        <v>1</v>
      </c>
    </row>
    <row r="107" spans="2:103" ht="13.8" x14ac:dyDescent="0.3">
      <c r="C107" s="26" t="s">
        <v>721</v>
      </c>
      <c r="D107" s="24">
        <v>0.56198569343151084</v>
      </c>
      <c r="E107" s="24">
        <v>-1.8677290233856381</v>
      </c>
      <c r="F107" s="24">
        <v>-0.3294271807790401</v>
      </c>
      <c r="G107" s="24">
        <v>1.6668816049773363</v>
      </c>
      <c r="H107" s="24">
        <v>0.25962762096090153</v>
      </c>
      <c r="I107" s="24">
        <v>1.3195163112985822</v>
      </c>
      <c r="J107" s="24">
        <v>1.5043677201379295</v>
      </c>
      <c r="K107" s="24">
        <v>-2.0368260782739664</v>
      </c>
      <c r="L107" s="24">
        <v>1.6835953502604775</v>
      </c>
      <c r="M107" s="24">
        <v>-0.46575523213639075</v>
      </c>
      <c r="N107" s="24">
        <v>0.3064417383947276</v>
      </c>
      <c r="O107" s="24">
        <v>-1.4572180782365678</v>
      </c>
      <c r="P107" s="24">
        <v>-0.57705818433143807</v>
      </c>
      <c r="Q107" s="24">
        <v>0.91772737825472783</v>
      </c>
      <c r="R107" s="24">
        <v>-2.3990544356587584</v>
      </c>
      <c r="S107" s="24">
        <v>0.61992988586256192</v>
      </c>
      <c r="T107" s="24">
        <v>-0.69403852713102498</v>
      </c>
      <c r="U107" s="24">
        <v>0.33109589745586693</v>
      </c>
      <c r="V107" s="24">
        <v>-0.64825067918842016</v>
      </c>
      <c r="W107" s="24">
        <v>1.4130153072097362</v>
      </c>
      <c r="X107" s="24">
        <v>-0.51826729393104531</v>
      </c>
      <c r="Y107" s="24">
        <v>0.54156116792322007</v>
      </c>
      <c r="Z107" s="24">
        <v>2.5641572253932274</v>
      </c>
      <c r="AA107" s="24">
        <v>8.6600293991546048E-2</v>
      </c>
      <c r="AB107" s="24">
        <v>-1.9316178662414281</v>
      </c>
      <c r="AC107" s="24">
        <v>-0.27353752925435226</v>
      </c>
      <c r="AD107" s="24">
        <v>-0.92214431985260026</v>
      </c>
      <c r="AE107" s="24">
        <v>-0.76506810155402483</v>
      </c>
      <c r="AF107" s="24">
        <v>-1.6290070164549111</v>
      </c>
      <c r="AG107" s="24">
        <v>2.0630228526659451</v>
      </c>
      <c r="AH107" s="24">
        <v>-1.8308913355185847</v>
      </c>
      <c r="AI107" s="24">
        <v>0.26882620519607814</v>
      </c>
      <c r="AJ107" s="24">
        <v>-1.3760431316746415</v>
      </c>
      <c r="AK107" s="24">
        <v>-1.5861075367657287</v>
      </c>
      <c r="AL107" s="24">
        <v>0.68749490179360606</v>
      </c>
      <c r="AM107" s="24">
        <v>0.14092348662333093</v>
      </c>
      <c r="AN107" s="24">
        <v>-1.1876445444440999</v>
      </c>
      <c r="AO107" s="24">
        <v>-1.1283374177509151</v>
      </c>
      <c r="AP107" s="24">
        <v>0.47284745898635622</v>
      </c>
      <c r="AQ107" s="24">
        <v>-1.3500675765512482</v>
      </c>
      <c r="AR107" s="24">
        <v>2.2063285104756223</v>
      </c>
      <c r="AS107" s="24">
        <v>-0.32945278266821448</v>
      </c>
      <c r="AT107" s="24">
        <v>-0.72639499799274077</v>
      </c>
      <c r="AU107" s="24">
        <v>-2.0034357812535495</v>
      </c>
      <c r="AV107" s="24">
        <v>-1.0789931847017644</v>
      </c>
      <c r="AW107" s="24">
        <v>-2.1867153043004608</v>
      </c>
      <c r="CQ107" s="24">
        <v>8.2832056280452093E-2</v>
      </c>
      <c r="CR107" s="24" t="str">
        <f>"0"</f>
        <v>0</v>
      </c>
      <c r="CS107" t="str">
        <f ca="1">IF((OFFSET($A$1, 107 - 1, 95 - 1)) &gt;= (OFFSET($A$1, 54 - 1, 7 - 1)), "1","0")</f>
        <v>0</v>
      </c>
      <c r="CT107">
        <f ca="1" xml:space="preserve"> IF( AND( OFFSET($A$1, 107 - 1, 96 - 1) = "1", OFFSET($A$1, 107 - 1, 97 - 1) = "1" ), 1, IF( AND( OFFSET($A$1, 107 - 1, 96 - 1) = "1", OFFSET($A$1, 107 - 1, 97 - 1) = "0" ), 2, IF( AND( OFFSET($A$1, 107 - 1, 96 - 1) = "0", OFFSET($A$1, 107 - 1, 97 - 1) = "1" ), 3, 4 ) ) )</f>
        <v>4</v>
      </c>
      <c r="CV107" s="24">
        <v>0.16401905835013633</v>
      </c>
      <c r="CW107" s="24" t="str">
        <f>"0"</f>
        <v>0</v>
      </c>
      <c r="CX107" t="str">
        <f ca="1">IF((OFFSET($A$1, 107 - 1, 100 - 1)) &gt;= (OFFSET($A$1, 78 - 1, 7 - 1)), "1","0")</f>
        <v>0</v>
      </c>
      <c r="CY107">
        <f ca="1" xml:space="preserve"> IF( AND( OFFSET($A$1, 107 - 1, 101 - 1) = "1", OFFSET($A$1, 107 - 1, 102 - 1) = "1" ), 1, IF( AND( OFFSET($A$1, 107 - 1, 101 - 1) = "1", OFFSET($A$1, 107 - 1, 102 - 1) = "0" ), 2, IF( AND( OFFSET($A$1, 107 - 1, 101 - 1) = "0", OFFSET($A$1, 107 - 1, 102 - 1) = "1" ), 3, 4 ) ) )</f>
        <v>4</v>
      </c>
    </row>
    <row r="108" spans="2:103" ht="13.8" x14ac:dyDescent="0.3">
      <c r="C108" s="26" t="s">
        <v>722</v>
      </c>
      <c r="D108" s="24">
        <v>-0.33389320134954303</v>
      </c>
      <c r="E108" s="24">
        <v>1.7553917480199808</v>
      </c>
      <c r="F108" s="24">
        <v>0.10988598796799055</v>
      </c>
      <c r="G108" s="24">
        <v>0.2867111292907491</v>
      </c>
      <c r="H108" s="24">
        <v>-0.52405603172604431</v>
      </c>
      <c r="I108" s="24">
        <v>0.95007290490233298</v>
      </c>
      <c r="J108" s="24">
        <v>-3.1203713781792284</v>
      </c>
      <c r="K108" s="24">
        <v>0.48492711770625124</v>
      </c>
      <c r="L108" s="24">
        <v>-2.3431117491498417</v>
      </c>
      <c r="M108" s="24">
        <v>-2.093329090709541</v>
      </c>
      <c r="N108" s="24">
        <v>2.6270318175040335</v>
      </c>
      <c r="O108" s="24">
        <v>0.1612799048315405</v>
      </c>
      <c r="P108" s="24">
        <v>-1.9686455583228528</v>
      </c>
      <c r="Q108" s="24">
        <v>-0.57930590235471524</v>
      </c>
      <c r="R108" s="24">
        <v>3.1164318665646822</v>
      </c>
      <c r="S108" s="24">
        <v>9.9612378797903883E-2</v>
      </c>
      <c r="T108" s="24">
        <v>1.6926901628122304</v>
      </c>
      <c r="U108" s="24">
        <v>-2.8331443243849157</v>
      </c>
      <c r="V108" s="24">
        <v>-1.9809968858034865</v>
      </c>
      <c r="W108" s="24">
        <v>-0.99128833704533603</v>
      </c>
      <c r="X108" s="24">
        <v>-0.51039505265853669</v>
      </c>
      <c r="Y108" s="24">
        <v>0.85708797228082345</v>
      </c>
      <c r="Z108" s="24">
        <v>2.5164489929162945</v>
      </c>
      <c r="AA108" s="24">
        <v>5.3062023811373323E-2</v>
      </c>
      <c r="AB108" s="24">
        <v>-3.6643179228881686</v>
      </c>
      <c r="AC108" s="24">
        <v>-2.0065017795561704</v>
      </c>
      <c r="AD108" s="24">
        <v>2.3563987516691878</v>
      </c>
      <c r="AE108" s="24">
        <v>-0.91585389620116908</v>
      </c>
      <c r="AF108" s="24">
        <v>-3.4637016910284846</v>
      </c>
      <c r="AG108" s="24">
        <v>0.62703931530847912</v>
      </c>
      <c r="AH108" s="24">
        <v>1.6918656088709254</v>
      </c>
      <c r="AI108" s="24">
        <v>-1.94039718336915</v>
      </c>
      <c r="AJ108" s="24">
        <v>1.6454757960628548</v>
      </c>
      <c r="AK108" s="24">
        <v>0.16557594900110686</v>
      </c>
      <c r="AL108" s="24">
        <v>0.95086266488320859</v>
      </c>
      <c r="AM108" s="24">
        <v>1.8149796378915528</v>
      </c>
      <c r="AN108" s="24">
        <v>-0.15320456143019873</v>
      </c>
      <c r="AO108" s="24">
        <v>0.83744602811774249</v>
      </c>
      <c r="AP108" s="24">
        <v>0.80050888921372187</v>
      </c>
      <c r="AQ108" s="24">
        <v>0.56056856412525002</v>
      </c>
      <c r="AR108" s="24">
        <v>0.14504935250513437</v>
      </c>
      <c r="AS108" s="24">
        <v>-7.1961902130343813E-2</v>
      </c>
      <c r="AT108" s="24">
        <v>0.61380046381002384</v>
      </c>
      <c r="AU108" s="24">
        <v>-0.49178189409063944</v>
      </c>
      <c r="AV108" s="24">
        <v>0.53555743441512638</v>
      </c>
      <c r="AW108" s="24">
        <v>-1.1185961491283087</v>
      </c>
      <c r="CQ108" s="24">
        <v>1.508787951507513E-2</v>
      </c>
      <c r="CR108" s="24" t="str">
        <f>"0"</f>
        <v>0</v>
      </c>
      <c r="CS108" t="str">
        <f ca="1">IF((OFFSET($A$1, 108 - 1, 95 - 1)) &gt;= (OFFSET($A$1, 54 - 1, 7 - 1)), "1","0")</f>
        <v>0</v>
      </c>
      <c r="CT108">
        <f ca="1" xml:space="preserve"> IF( AND( OFFSET($A$1, 108 - 1, 96 - 1) = "1", OFFSET($A$1, 108 - 1, 97 - 1) = "1" ), 1, IF( AND( OFFSET($A$1, 108 - 1, 96 - 1) = "1", OFFSET($A$1, 108 - 1, 97 - 1) = "0" ), 2, IF( AND( OFFSET($A$1, 108 - 1, 96 - 1) = "0", OFFSET($A$1, 108 - 1, 97 - 1) = "1" ), 3, 4 ) ) )</f>
        <v>4</v>
      </c>
      <c r="CV108" s="24">
        <v>0.99452271450085972</v>
      </c>
      <c r="CW108" s="24" t="str">
        <f>"1"</f>
        <v>1</v>
      </c>
      <c r="CX108" t="str">
        <f ca="1">IF((OFFSET($A$1, 108 - 1, 100 - 1)) &gt;= (OFFSET($A$1, 78 - 1, 7 - 1)), "1","0")</f>
        <v>1</v>
      </c>
      <c r="CY108">
        <f ca="1" xml:space="preserve"> IF( AND( OFFSET($A$1, 108 - 1, 101 - 1) = "1", OFFSET($A$1, 108 - 1, 102 - 1) = "1" ), 1, IF( AND( OFFSET($A$1, 108 - 1, 101 - 1) = "1", OFFSET($A$1, 108 - 1, 102 - 1) = "0" ), 2, IF( AND( OFFSET($A$1, 108 - 1, 101 - 1) = "0", OFFSET($A$1, 108 - 1, 102 - 1) = "1" ), 3, 4 ) ) )</f>
        <v>1</v>
      </c>
    </row>
    <row r="109" spans="2:103" ht="13.8" x14ac:dyDescent="0.3">
      <c r="C109" s="26" t="s">
        <v>723</v>
      </c>
      <c r="D109" s="24">
        <v>2.699787757657742</v>
      </c>
      <c r="E109" s="24">
        <v>1.856717342877074</v>
      </c>
      <c r="F109" s="24">
        <v>-0.55205719001371756</v>
      </c>
      <c r="G109" s="24">
        <v>-0.13384090394646586</v>
      </c>
      <c r="H109" s="24">
        <v>-2.6801547484288815</v>
      </c>
      <c r="I109" s="24">
        <v>1.8874997391223634</v>
      </c>
      <c r="J109" s="24">
        <v>0.70904365492205623</v>
      </c>
      <c r="K109" s="24">
        <v>2.3068679266518548</v>
      </c>
      <c r="L109" s="24">
        <v>-2.0694472398031512E-2</v>
      </c>
      <c r="M109" s="24">
        <v>0.49401481340917303</v>
      </c>
      <c r="N109" s="24">
        <v>0.90468331575192207</v>
      </c>
      <c r="O109" s="24">
        <v>-1.6317882129487824</v>
      </c>
      <c r="P109" s="24">
        <v>-1.7204089696023324</v>
      </c>
      <c r="Q109" s="24">
        <v>7.0905490117617154E-2</v>
      </c>
      <c r="R109" s="24">
        <v>-1.5143092102590923</v>
      </c>
      <c r="S109" s="24">
        <v>-1.6626108123179102</v>
      </c>
      <c r="T109" s="24">
        <v>1.2637548427240544</v>
      </c>
      <c r="U109" s="24">
        <v>-7.8707708680463243E-2</v>
      </c>
      <c r="V109" s="24">
        <v>0.16157566009278218</v>
      </c>
      <c r="W109" s="24">
        <v>4.9208961807148434E-2</v>
      </c>
      <c r="X109" s="24">
        <v>0.69550054713829701</v>
      </c>
      <c r="Y109" s="24">
        <v>1.4679927262609553</v>
      </c>
      <c r="Z109" s="24">
        <v>-0.18481616373991078</v>
      </c>
      <c r="AA109" s="24">
        <v>-0.18567010203115622</v>
      </c>
      <c r="AB109" s="24">
        <v>1.1440685108905817</v>
      </c>
      <c r="AC109" s="24">
        <v>3.1879657339310898</v>
      </c>
      <c r="AD109" s="24">
        <v>-0.54659140447499899</v>
      </c>
      <c r="AE109" s="24">
        <v>-1.0006230082667629</v>
      </c>
      <c r="AF109" s="24">
        <v>0.40938560657390027</v>
      </c>
      <c r="AG109" s="24">
        <v>0.23849243062967468</v>
      </c>
      <c r="AH109" s="24">
        <v>3.353304606717656E-2</v>
      </c>
      <c r="AI109" s="24">
        <v>-0.9910752004698552</v>
      </c>
      <c r="AJ109" s="24">
        <v>0.46905540769252552</v>
      </c>
      <c r="AK109" s="24">
        <v>1.3463650736206532</v>
      </c>
      <c r="AL109" s="24">
        <v>2.1386998531639487E-2</v>
      </c>
      <c r="AM109" s="24">
        <v>0.32829044863957602</v>
      </c>
      <c r="AN109" s="24">
        <v>0.84278231332834386</v>
      </c>
      <c r="AO109" s="24">
        <v>-1.285634889045334</v>
      </c>
      <c r="AP109" s="24">
        <v>0.22645572868664049</v>
      </c>
      <c r="AQ109" s="24">
        <v>-0.79101217184827066</v>
      </c>
      <c r="AR109" s="24">
        <v>2.483267717508308</v>
      </c>
      <c r="AS109" s="24">
        <v>1.9195395943914055</v>
      </c>
      <c r="AT109" s="24">
        <v>-0.97386754344759685</v>
      </c>
      <c r="AU109" s="24">
        <v>-0.70219731656479412</v>
      </c>
      <c r="AV109" s="24">
        <v>0.24148958010355071</v>
      </c>
      <c r="AW109" s="24">
        <v>-1.8391433251718783</v>
      </c>
      <c r="CQ109" s="24">
        <v>1.7250782703130463E-2</v>
      </c>
      <c r="CR109" s="24" t="str">
        <f>"0"</f>
        <v>0</v>
      </c>
      <c r="CS109" t="str">
        <f ca="1">IF((OFFSET($A$1, 109 - 1, 95 - 1)) &gt;= (OFFSET($A$1, 54 - 1, 7 - 1)), "1","0")</f>
        <v>0</v>
      </c>
      <c r="CT109">
        <f ca="1" xml:space="preserve"> IF( AND( OFFSET($A$1, 109 - 1, 96 - 1) = "1", OFFSET($A$1, 109 - 1, 97 - 1) = "1" ), 1, IF( AND( OFFSET($A$1, 109 - 1, 96 - 1) = "1", OFFSET($A$1, 109 - 1, 97 - 1) = "0" ), 2, IF( AND( OFFSET($A$1, 109 - 1, 96 - 1) = "0", OFFSET($A$1, 109 - 1, 97 - 1) = "1" ), 3, 4 ) ) )</f>
        <v>4</v>
      </c>
      <c r="CV109" s="24">
        <v>0.9997669852507366</v>
      </c>
      <c r="CW109" s="24" t="str">
        <f>"1"</f>
        <v>1</v>
      </c>
      <c r="CX109" t="str">
        <f ca="1">IF((OFFSET($A$1, 109 - 1, 100 - 1)) &gt;= (OFFSET($A$1, 78 - 1, 7 - 1)), "1","0")</f>
        <v>1</v>
      </c>
      <c r="CY109">
        <f ca="1" xml:space="preserve"> IF( AND( OFFSET($A$1, 109 - 1, 101 - 1) = "1", OFFSET($A$1, 109 - 1, 102 - 1) = "1" ), 1, IF( AND( OFFSET($A$1, 109 - 1, 101 - 1) = "1", OFFSET($A$1, 109 - 1, 102 - 1) = "0" ), 2, IF( AND( OFFSET($A$1, 109 - 1, 101 - 1) = "0", OFFSET($A$1, 109 - 1, 102 - 1) = "1" ), 3, 4 ) ) )</f>
        <v>1</v>
      </c>
    </row>
    <row r="110" spans="2:103" ht="13.8" x14ac:dyDescent="0.3">
      <c r="C110" s="26" t="s">
        <v>724</v>
      </c>
      <c r="D110" s="24">
        <v>0.46069208418274782</v>
      </c>
      <c r="E110" s="24">
        <v>0.23851628459701701</v>
      </c>
      <c r="F110" s="24">
        <v>-0.2371502570207753</v>
      </c>
      <c r="G110" s="24">
        <v>0.60939686613501909</v>
      </c>
      <c r="H110" s="24">
        <v>-0.26824129200447938</v>
      </c>
      <c r="I110" s="24">
        <v>0.79665165552200157</v>
      </c>
      <c r="J110" s="24">
        <v>0.13937815347391555</v>
      </c>
      <c r="K110" s="24">
        <v>-2.0982015306842507</v>
      </c>
      <c r="L110" s="24">
        <v>0.96591993862103553</v>
      </c>
      <c r="M110" s="24">
        <v>-0.46244320363054203</v>
      </c>
      <c r="N110" s="24">
        <v>0.32832958588555156</v>
      </c>
      <c r="O110" s="24">
        <v>-0.37154118712683076</v>
      </c>
      <c r="P110" s="24">
        <v>-0.60266646664981116</v>
      </c>
      <c r="Q110" s="24">
        <v>0.53284112530334116</v>
      </c>
      <c r="R110" s="24">
        <v>0.64065256132905202</v>
      </c>
      <c r="S110" s="24">
        <v>-0.21751899287400775</v>
      </c>
      <c r="T110" s="24">
        <v>-0.19390410958129684</v>
      </c>
      <c r="U110" s="24">
        <v>0.56026135817011702</v>
      </c>
      <c r="V110" s="24">
        <v>-0.82347798847988329</v>
      </c>
      <c r="W110" s="24">
        <v>1.2775900127295028</v>
      </c>
      <c r="X110" s="24">
        <v>-0.69248281398172307</v>
      </c>
      <c r="Y110" s="24">
        <v>0.52260184684643107</v>
      </c>
      <c r="Z110" s="24">
        <v>0.15542704448792224</v>
      </c>
      <c r="AA110" s="24">
        <v>-6.0794737330399432E-2</v>
      </c>
      <c r="AB110" s="24">
        <v>-1.7243762100932123</v>
      </c>
      <c r="AC110" s="24">
        <v>1.5973333147396744</v>
      </c>
      <c r="AD110" s="24">
        <v>0.69083621588592437</v>
      </c>
      <c r="AE110" s="24">
        <v>8.945179288704852E-2</v>
      </c>
      <c r="AF110" s="24">
        <v>0.47824618560456889</v>
      </c>
      <c r="AG110" s="24">
        <v>0.64405642560670318</v>
      </c>
      <c r="AH110" s="24">
        <v>-0.13676460946884952</v>
      </c>
      <c r="AI110" s="24">
        <v>0.7934630249727419</v>
      </c>
      <c r="AJ110" s="24">
        <v>0.43299001335737325</v>
      </c>
      <c r="AK110" s="24">
        <v>-0.36778836899226192</v>
      </c>
      <c r="AL110" s="24">
        <v>5.8877332061340749E-2</v>
      </c>
      <c r="AM110" s="24">
        <v>-0.14266257169646829</v>
      </c>
      <c r="AN110" s="24">
        <v>0.91155125853692964</v>
      </c>
      <c r="AO110" s="24">
        <v>-0.55787076551191106</v>
      </c>
      <c r="AP110" s="24">
        <v>0.42248908172226646</v>
      </c>
      <c r="AQ110" s="24">
        <v>-0.71289266929015116</v>
      </c>
      <c r="AR110" s="24">
        <v>1.0188811728201272</v>
      </c>
      <c r="AS110" s="24">
        <v>-0.96360552174301295</v>
      </c>
      <c r="AT110" s="24">
        <v>-0.18592523248525625</v>
      </c>
      <c r="AU110" s="24">
        <v>1.0289959581240102</v>
      </c>
      <c r="AV110" s="24">
        <v>-0.77172787137027798</v>
      </c>
      <c r="AW110" s="24">
        <v>-2.5073995273025185</v>
      </c>
      <c r="CQ110" s="24">
        <v>0.99158584663915805</v>
      </c>
      <c r="CR110" s="24" t="str">
        <f t="shared" ref="CR110:CR126" si="7">"1"</f>
        <v>1</v>
      </c>
      <c r="CS110" t="str">
        <f ca="1">IF((OFFSET($A$1, 110 - 1, 95 - 1)) &gt;= (OFFSET($A$1, 54 - 1, 7 - 1)), "1","0")</f>
        <v>1</v>
      </c>
      <c r="CT110">
        <f ca="1" xml:space="preserve"> IF( AND( OFFSET($A$1, 110 - 1, 96 - 1) = "1", OFFSET($A$1, 110 - 1, 97 - 1) = "1" ), 1, IF( AND( OFFSET($A$1, 110 - 1, 96 - 1) = "1", OFFSET($A$1, 110 - 1, 97 - 1) = "0" ), 2, IF( AND( OFFSET($A$1, 110 - 1, 96 - 1) = "0", OFFSET($A$1, 110 - 1, 97 - 1) = "1" ), 3, 4 ) ) )</f>
        <v>1</v>
      </c>
      <c r="CV110" s="24">
        <v>0.81819834602355956</v>
      </c>
      <c r="CW110" s="24" t="str">
        <f>"0"</f>
        <v>0</v>
      </c>
      <c r="CX110" t="str">
        <f ca="1">IF((OFFSET($A$1, 110 - 1, 100 - 1)) &gt;= (OFFSET($A$1, 78 - 1, 7 - 1)), "1","0")</f>
        <v>1</v>
      </c>
      <c r="CY110">
        <f ca="1" xml:space="preserve"> IF( AND( OFFSET($A$1, 110 - 1, 101 - 1) = "1", OFFSET($A$1, 110 - 1, 102 - 1) = "1" ), 1, IF( AND( OFFSET($A$1, 110 - 1, 101 - 1) = "1", OFFSET($A$1, 110 - 1, 102 - 1) = "0" ), 2, IF( AND( OFFSET($A$1, 110 - 1, 101 - 1) = "0", OFFSET($A$1, 110 - 1, 102 - 1) = "1" ), 3, 4 ) ) )</f>
        <v>3</v>
      </c>
    </row>
    <row r="111" spans="2:103" ht="13.8" x14ac:dyDescent="0.3">
      <c r="C111" s="26" t="s">
        <v>725</v>
      </c>
      <c r="D111" s="24">
        <v>-0.89311747928653762</v>
      </c>
      <c r="E111" s="24">
        <v>-0.72349557067293824</v>
      </c>
      <c r="F111" s="24">
        <v>0.74136800204669984</v>
      </c>
      <c r="G111" s="24">
        <v>0.74529378646928945</v>
      </c>
      <c r="H111" s="24">
        <v>-0.52101407360420815</v>
      </c>
      <c r="I111" s="24">
        <v>9.9680327628793863E-2</v>
      </c>
      <c r="J111" s="24">
        <v>1.3436275883955333</v>
      </c>
      <c r="K111" s="24">
        <v>-1.4072908711266194</v>
      </c>
      <c r="L111" s="24">
        <v>-0.30104299695545456</v>
      </c>
      <c r="M111" s="24">
        <v>-1.432431989039386</v>
      </c>
      <c r="N111" s="24">
        <v>-0.12205985318050412</v>
      </c>
      <c r="O111" s="24">
        <v>2.6842935223759062E-2</v>
      </c>
      <c r="P111" s="24">
        <v>-1.3272836072501295</v>
      </c>
      <c r="Q111" s="24">
        <v>1.466583939417095</v>
      </c>
      <c r="R111" s="24">
        <v>-0.66193859700619284</v>
      </c>
      <c r="S111" s="24">
        <v>-0.36593434779963024</v>
      </c>
      <c r="T111" s="24">
        <v>0.30868237248819214</v>
      </c>
      <c r="U111" s="24">
        <v>-1.4703850545025865</v>
      </c>
      <c r="V111" s="24">
        <v>-0.91023921013054365</v>
      </c>
      <c r="W111" s="24">
        <v>1.3412113603964197</v>
      </c>
      <c r="X111" s="24">
        <v>3.0123751413258648</v>
      </c>
      <c r="Y111" s="24">
        <v>3.7138122981378113E-2</v>
      </c>
      <c r="Z111" s="24">
        <v>-0.2606631145695093</v>
      </c>
      <c r="AA111" s="24">
        <v>2.0494991112614036</v>
      </c>
      <c r="AB111" s="24">
        <v>-1.3333490713069314</v>
      </c>
      <c r="AC111" s="24">
        <v>0.12585783059425229</v>
      </c>
      <c r="AD111" s="24">
        <v>-1.4088570299656233</v>
      </c>
      <c r="AE111" s="24">
        <v>-1.0785810093333823</v>
      </c>
      <c r="AF111" s="24">
        <v>-1.3518796365070711</v>
      </c>
      <c r="AG111" s="24">
        <v>-1.3122861406850828</v>
      </c>
      <c r="AH111" s="24">
        <v>-1.7865687053084089</v>
      </c>
      <c r="AI111" s="24">
        <v>0.94136875928373609</v>
      </c>
      <c r="AJ111" s="24">
        <v>-1.1450395498577044</v>
      </c>
      <c r="AK111" s="24">
        <v>-1.0389872475675319</v>
      </c>
      <c r="AL111" s="24">
        <v>0.80480218675315718</v>
      </c>
      <c r="AM111" s="24">
        <v>-7.6555638407532003E-2</v>
      </c>
      <c r="AN111" s="24">
        <v>-1.1796263843985781</v>
      </c>
      <c r="AO111" s="24">
        <v>-0.89193542363887379</v>
      </c>
      <c r="AP111" s="24">
        <v>0.15993253241022079</v>
      </c>
      <c r="AQ111" s="24">
        <v>1.0425443399403951</v>
      </c>
      <c r="AR111" s="24">
        <v>-1.0725842185429315</v>
      </c>
      <c r="AS111" s="24">
        <v>2.2044141253710463</v>
      </c>
      <c r="AT111" s="24">
        <v>-0.71633414070580403</v>
      </c>
      <c r="AU111" s="24">
        <v>-2.6379741446451815E-2</v>
      </c>
      <c r="AV111" s="24">
        <v>1.5840579105870705E-2</v>
      </c>
      <c r="AW111" s="24">
        <v>-2.9611628136283681</v>
      </c>
      <c r="CQ111" s="24">
        <v>0.96133839947939903</v>
      </c>
      <c r="CR111" s="24" t="str">
        <f t="shared" si="7"/>
        <v>1</v>
      </c>
      <c r="CS111" t="str">
        <f ca="1">IF((OFFSET($A$1, 111 - 1, 95 - 1)) &gt;= (OFFSET($A$1, 54 - 1, 7 - 1)), "1","0")</f>
        <v>1</v>
      </c>
      <c r="CT111">
        <f ca="1" xml:space="preserve"> IF( AND( OFFSET($A$1, 111 - 1, 96 - 1) = "1", OFFSET($A$1, 111 - 1, 97 - 1) = "1" ), 1, IF( AND( OFFSET($A$1, 111 - 1, 96 - 1) = "1", OFFSET($A$1, 111 - 1, 97 - 1) = "0" ), 2, IF( AND( OFFSET($A$1, 111 - 1, 96 - 1) = "0", OFFSET($A$1, 111 - 1, 97 - 1) = "1" ), 3, 4 ) ) )</f>
        <v>1</v>
      </c>
      <c r="CV111" s="24">
        <v>0.98268360217587503</v>
      </c>
      <c r="CW111" s="24" t="str">
        <f>"0"</f>
        <v>0</v>
      </c>
      <c r="CX111" t="str">
        <f ca="1">IF((OFFSET($A$1, 111 - 1, 100 - 1)) &gt;= (OFFSET($A$1, 78 - 1, 7 - 1)), "1","0")</f>
        <v>1</v>
      </c>
      <c r="CY111">
        <f ca="1" xml:space="preserve"> IF( AND( OFFSET($A$1, 111 - 1, 101 - 1) = "1", OFFSET($A$1, 111 - 1, 102 - 1) = "1" ), 1, IF( AND( OFFSET($A$1, 111 - 1, 101 - 1) = "1", OFFSET($A$1, 111 - 1, 102 - 1) = "0" ), 2, IF( AND( OFFSET($A$1, 111 - 1, 101 - 1) = "0", OFFSET($A$1, 111 - 1, 102 - 1) = "1" ), 3, 4 ) ) )</f>
        <v>3</v>
      </c>
    </row>
    <row r="112" spans="2:103" ht="13.8" x14ac:dyDescent="0.3">
      <c r="C112" s="26" t="s">
        <v>726</v>
      </c>
      <c r="D112" s="24">
        <v>-3.23404673792295E-2</v>
      </c>
      <c r="E112" s="24">
        <v>-1.0449717877634765</v>
      </c>
      <c r="F112" s="24">
        <v>0.30389485248079551</v>
      </c>
      <c r="G112" s="24">
        <v>0.50549025603827014</v>
      </c>
      <c r="H112" s="24">
        <v>0.25049488566564954</v>
      </c>
      <c r="I112" s="24">
        <v>-1.3481598534538779</v>
      </c>
      <c r="J112" s="24">
        <v>1.1873940586626581</v>
      </c>
      <c r="K112" s="24">
        <v>-0.26338899907332269</v>
      </c>
      <c r="L112" s="24">
        <v>0.80157032684661167</v>
      </c>
      <c r="M112" s="24">
        <v>-1.243109049503996</v>
      </c>
      <c r="N112" s="24">
        <v>-4.5890607431719743E-2</v>
      </c>
      <c r="O112" s="24">
        <v>0.90145974541642671</v>
      </c>
      <c r="P112" s="24">
        <v>0.22485972090105968</v>
      </c>
      <c r="Q112" s="24">
        <v>0.39903031167329955</v>
      </c>
      <c r="R112" s="24">
        <v>2.7441915058814603E-2</v>
      </c>
      <c r="S112" s="24">
        <v>-3.1864164693918756E-2</v>
      </c>
      <c r="T112" s="24">
        <v>0.53561262709229962</v>
      </c>
      <c r="U112" s="24">
        <v>0.25233360914877773</v>
      </c>
      <c r="V112" s="24">
        <v>-0.49176243845104223</v>
      </c>
      <c r="W112" s="24">
        <v>0.47091233110167074</v>
      </c>
      <c r="X112" s="24">
        <v>1.1043418406214622</v>
      </c>
      <c r="Y112" s="24">
        <v>-1.3655393688832247</v>
      </c>
      <c r="Z112" s="24">
        <v>-0.27563925123089483</v>
      </c>
      <c r="AA112" s="24">
        <v>-0.22483902656357641</v>
      </c>
      <c r="AB112" s="24">
        <v>-0.69301904703718564</v>
      </c>
      <c r="AC112" s="24">
        <v>-0.91875832194468898</v>
      </c>
      <c r="AD112" s="24">
        <v>0.2439117207052196</v>
      </c>
      <c r="AE112" s="24">
        <v>-1.0381118365005131</v>
      </c>
      <c r="AF112" s="24">
        <v>-1.6218118557001566</v>
      </c>
      <c r="AG112" s="24">
        <v>0.53693117530971479</v>
      </c>
      <c r="AH112" s="24">
        <v>-0.10057795368375615</v>
      </c>
      <c r="AI112" s="24">
        <v>-2.6714460378226863</v>
      </c>
      <c r="AJ112" s="24">
        <v>2.5167125923267409E-2</v>
      </c>
      <c r="AK112" s="24">
        <v>1.033097749046112</v>
      </c>
      <c r="AL112" s="24">
        <v>0.66045065547599158</v>
      </c>
      <c r="AM112" s="24">
        <v>-0.35776463947639248</v>
      </c>
      <c r="AN112" s="24">
        <v>-0.5446308858034794</v>
      </c>
      <c r="AO112" s="24">
        <v>6.2372159155250573E-2</v>
      </c>
      <c r="AP112" s="24">
        <v>1.6760419981942798</v>
      </c>
      <c r="AQ112" s="24">
        <v>-0.36528694416054963</v>
      </c>
      <c r="AR112" s="24">
        <v>0.47413049170233462</v>
      </c>
      <c r="AS112" s="24">
        <v>-0.49228018383069283</v>
      </c>
      <c r="AT112" s="24">
        <v>-0.52348733030635319</v>
      </c>
      <c r="AU112" s="24">
        <v>1.36945518039901</v>
      </c>
      <c r="AV112" s="24">
        <v>-0.48500367563708585</v>
      </c>
      <c r="AW112" s="24">
        <v>-1.721341702566032</v>
      </c>
      <c r="CQ112" s="24">
        <v>0.99946563260046983</v>
      </c>
      <c r="CR112" s="24" t="str">
        <f t="shared" si="7"/>
        <v>1</v>
      </c>
      <c r="CS112" t="str">
        <f ca="1">IF((OFFSET($A$1, 112 - 1, 95 - 1)) &gt;= (OFFSET($A$1, 54 - 1, 7 - 1)), "1","0")</f>
        <v>1</v>
      </c>
      <c r="CT112">
        <f ca="1" xml:space="preserve"> IF( AND( OFFSET($A$1, 112 - 1, 96 - 1) = "1", OFFSET($A$1, 112 - 1, 97 - 1) = "1" ), 1, IF( AND( OFFSET($A$1, 112 - 1, 96 - 1) = "1", OFFSET($A$1, 112 - 1, 97 - 1) = "0" ), 2, IF( AND( OFFSET($A$1, 112 - 1, 96 - 1) = "0", OFFSET($A$1, 112 - 1, 97 - 1) = "1" ), 3, 4 ) ) )</f>
        <v>1</v>
      </c>
      <c r="CV112" s="24">
        <v>0.82165213230896761</v>
      </c>
      <c r="CW112" s="24" t="str">
        <f>"1"</f>
        <v>1</v>
      </c>
      <c r="CX112" t="str">
        <f ca="1">IF((OFFSET($A$1, 112 - 1, 100 - 1)) &gt;= (OFFSET($A$1, 78 - 1, 7 - 1)), "1","0")</f>
        <v>1</v>
      </c>
      <c r="CY112">
        <f ca="1" xml:space="preserve"> IF( AND( OFFSET($A$1, 112 - 1, 101 - 1) = "1", OFFSET($A$1, 112 - 1, 102 - 1) = "1" ), 1, IF( AND( OFFSET($A$1, 112 - 1, 101 - 1) = "1", OFFSET($A$1, 112 - 1, 102 - 1) = "0" ), 2, IF( AND( OFFSET($A$1, 112 - 1, 101 - 1) = "0", OFFSET($A$1, 112 - 1, 102 - 1) = "1" ), 3, 4 ) ) )</f>
        <v>1</v>
      </c>
    </row>
    <row r="113" spans="3:103" ht="13.8" x14ac:dyDescent="0.3">
      <c r="C113" s="26" t="s">
        <v>727</v>
      </c>
      <c r="D113" s="24">
        <v>0.61389405961365584</v>
      </c>
      <c r="E113" s="24">
        <v>0.90977850249911973</v>
      </c>
      <c r="F113" s="24">
        <v>-1.2730299506649176</v>
      </c>
      <c r="G113" s="24">
        <v>-1.4544738618581308</v>
      </c>
      <c r="H113" s="24">
        <v>-0.34498407338863951</v>
      </c>
      <c r="I113" s="24">
        <v>-0.79610666056529888</v>
      </c>
      <c r="J113" s="24">
        <v>1.3255762285669892</v>
      </c>
      <c r="K113" s="24">
        <v>-0.9948558478171613</v>
      </c>
      <c r="L113" s="24">
        <v>1.085587398345633</v>
      </c>
      <c r="M113" s="24">
        <v>-1.6909909639328025</v>
      </c>
      <c r="N113" s="24">
        <v>-1.6415820718761713</v>
      </c>
      <c r="O113" s="24">
        <v>-3.0488651156864846</v>
      </c>
      <c r="P113" s="24">
        <v>-1.01199926264392</v>
      </c>
      <c r="Q113" s="24">
        <v>-0.72878860191531758</v>
      </c>
      <c r="R113" s="24">
        <v>-0.43133853234679093</v>
      </c>
      <c r="S113" s="24">
        <v>0.55071183611306573</v>
      </c>
      <c r="T113" s="24">
        <v>-0.87195415108556251</v>
      </c>
      <c r="U113" s="24">
        <v>-1.0554984106480825</v>
      </c>
      <c r="V113" s="24">
        <v>-1.7366774215400436</v>
      </c>
      <c r="W113" s="24">
        <v>0.78027313172936841</v>
      </c>
      <c r="X113" s="24">
        <v>-1.0101879042495188</v>
      </c>
      <c r="Y113" s="24">
        <v>-9.5888064958611172E-2</v>
      </c>
      <c r="Z113" s="24">
        <v>-0.53398942393103588</v>
      </c>
      <c r="AA113" s="24">
        <v>-0.55310512909015297</v>
      </c>
      <c r="AB113" s="24">
        <v>-1.1821808671600087</v>
      </c>
      <c r="AC113" s="24">
        <v>2.3657945477052098</v>
      </c>
      <c r="AD113" s="24">
        <v>0.79570325250326379</v>
      </c>
      <c r="AE113" s="24">
        <v>-0.81406808238950068</v>
      </c>
      <c r="AF113" s="24">
        <v>1.498011648266887</v>
      </c>
      <c r="AG113" s="24">
        <v>-1.6826884817225169</v>
      </c>
      <c r="AH113" s="24">
        <v>1.2699209504335531</v>
      </c>
      <c r="AI113" s="24">
        <v>-2.3505890199994468</v>
      </c>
      <c r="AJ113" s="24">
        <v>3.0211848280063314</v>
      </c>
      <c r="AK113" s="24">
        <v>-6.0933376309200024E-2</v>
      </c>
      <c r="AL113" s="24">
        <v>-0.61139548278734124</v>
      </c>
      <c r="AM113" s="24">
        <v>3.9398223200034686E-2</v>
      </c>
      <c r="AN113" s="24">
        <v>0.16676268760613305</v>
      </c>
      <c r="AO113" s="24">
        <v>-0.12686420708812113</v>
      </c>
      <c r="AP113" s="24">
        <v>0.46622058688563023</v>
      </c>
      <c r="AQ113" s="24">
        <v>0.28754607877826732</v>
      </c>
      <c r="AR113" s="24">
        <v>1.5238959609463192</v>
      </c>
      <c r="AS113" s="24">
        <v>0.8155413186521705</v>
      </c>
      <c r="AT113" s="24">
        <v>1.143634776934831</v>
      </c>
      <c r="AU113" s="24">
        <v>3.1570391706864612E-2</v>
      </c>
      <c r="AV113" s="24">
        <v>0.54631854966812099</v>
      </c>
      <c r="AW113" s="24">
        <v>0.72795540221503285</v>
      </c>
      <c r="CQ113" s="24">
        <v>0.90005173579201225</v>
      </c>
      <c r="CR113" s="24" t="str">
        <f t="shared" si="7"/>
        <v>1</v>
      </c>
      <c r="CS113" t="str">
        <f ca="1">IF((OFFSET($A$1, 113 - 1, 95 - 1)) &gt;= (OFFSET($A$1, 54 - 1, 7 - 1)), "1","0")</f>
        <v>1</v>
      </c>
      <c r="CT113">
        <f ca="1" xml:space="preserve"> IF( AND( OFFSET($A$1, 113 - 1, 96 - 1) = "1", OFFSET($A$1, 113 - 1, 97 - 1) = "1" ), 1, IF( AND( OFFSET($A$1, 113 - 1, 96 - 1) = "1", OFFSET($A$1, 113 - 1, 97 - 1) = "0" ), 2, IF( AND( OFFSET($A$1, 113 - 1, 96 - 1) = "0", OFFSET($A$1, 113 - 1, 97 - 1) = "1" ), 3, 4 ) ) )</f>
        <v>1</v>
      </c>
      <c r="CV113" s="24">
        <v>0.14044318139905626</v>
      </c>
      <c r="CW113" s="24" t="str">
        <f>"0"</f>
        <v>0</v>
      </c>
      <c r="CX113" t="str">
        <f ca="1">IF((OFFSET($A$1, 113 - 1, 100 - 1)) &gt;= (OFFSET($A$1, 78 - 1, 7 - 1)), "1","0")</f>
        <v>0</v>
      </c>
      <c r="CY113">
        <f ca="1" xml:space="preserve"> IF( AND( OFFSET($A$1, 113 - 1, 101 - 1) = "1", OFFSET($A$1, 113 - 1, 102 - 1) = "1" ), 1, IF( AND( OFFSET($A$1, 113 - 1, 101 - 1) = "1", OFFSET($A$1, 113 - 1, 102 - 1) = "0" ), 2, IF( AND( OFFSET($A$1, 113 - 1, 101 - 1) = "0", OFFSET($A$1, 113 - 1, 102 - 1) = "1" ), 3, 4 ) ) )</f>
        <v>4</v>
      </c>
    </row>
    <row r="114" spans="3:103" ht="13.8" x14ac:dyDescent="0.3">
      <c r="C114" s="26" t="s">
        <v>728</v>
      </c>
      <c r="D114" s="24">
        <v>-1.3339109421532809</v>
      </c>
      <c r="E114" s="24">
        <v>-2.6335135529327065</v>
      </c>
      <c r="F114" s="24">
        <v>-0.98237792117051448</v>
      </c>
      <c r="G114" s="24">
        <v>1.2280862395276002</v>
      </c>
      <c r="H114" s="24">
        <v>2.2719341242880176</v>
      </c>
      <c r="I114" s="24">
        <v>-0.21047882268448301</v>
      </c>
      <c r="J114" s="24">
        <v>1.5941318338910231</v>
      </c>
      <c r="K114" s="24">
        <v>0.20918959988342625</v>
      </c>
      <c r="L114" s="24">
        <v>-1.8239797752865121</v>
      </c>
      <c r="M114" s="24">
        <v>-1.737884122851338</v>
      </c>
      <c r="N114" s="24">
        <v>-0.60856303385157939</v>
      </c>
      <c r="O114" s="24">
        <v>1.0988933043405291</v>
      </c>
      <c r="P114" s="24">
        <v>1.2614602876262393</v>
      </c>
      <c r="Q114" s="24">
        <v>0.28302136115588478</v>
      </c>
      <c r="R114" s="24">
        <v>-2.7622139533995584</v>
      </c>
      <c r="S114" s="24">
        <v>0.24991752555986113</v>
      </c>
      <c r="T114" s="24">
        <v>-0.58248424177712577</v>
      </c>
      <c r="U114" s="24">
        <v>0.91000194054013372</v>
      </c>
      <c r="V114" s="24">
        <v>-1.0058098428703213</v>
      </c>
      <c r="W114" s="24">
        <v>1.4291131851803025</v>
      </c>
      <c r="X114" s="24">
        <v>0.25954169872091248</v>
      </c>
      <c r="Y114" s="24">
        <v>-0.87166077596584335</v>
      </c>
      <c r="Z114" s="24">
        <v>-1.1972550449462571</v>
      </c>
      <c r="AA114" s="24">
        <v>0.64784613519372602</v>
      </c>
      <c r="AB114" s="24">
        <v>-2.1645187209185912</v>
      </c>
      <c r="AC114" s="24">
        <v>-0.96031766101017646</v>
      </c>
      <c r="AD114" s="24">
        <v>-1.0016307137916962</v>
      </c>
      <c r="AE114" s="24">
        <v>-0.22558009457403397</v>
      </c>
      <c r="AF114" s="24">
        <v>-0.81928979696151683</v>
      </c>
      <c r="AG114" s="24">
        <v>-5.5998645587957405E-2</v>
      </c>
      <c r="AH114" s="24">
        <v>1.7110802492641497</v>
      </c>
      <c r="AI114" s="24">
        <v>-2.2002008914181652</v>
      </c>
      <c r="AJ114" s="24">
        <v>-1.4475047570808917</v>
      </c>
      <c r="AK114" s="24">
        <v>-2.0649792724701226</v>
      </c>
      <c r="AL114" s="24">
        <v>0.92601531013440153</v>
      </c>
      <c r="AM114" s="24">
        <v>-2.4898642500955912</v>
      </c>
      <c r="AN114" s="24">
        <v>-1.6230568532033922</v>
      </c>
      <c r="AO114" s="24">
        <v>-1.5771449128505488</v>
      </c>
      <c r="AP114" s="24">
        <v>1.8459346331004878</v>
      </c>
      <c r="AQ114" s="24">
        <v>3.5194449704600803</v>
      </c>
      <c r="AR114" s="24">
        <v>0.19331959359507281</v>
      </c>
      <c r="AS114" s="24">
        <v>-1.7889928794431624</v>
      </c>
      <c r="AT114" s="24">
        <v>-0.14857096030516229</v>
      </c>
      <c r="AU114" s="24">
        <v>7.6877129281841122E-2</v>
      </c>
      <c r="AV114" s="24">
        <v>1.1826258225470194</v>
      </c>
      <c r="AW114" s="24">
        <v>-1.8916719859604496</v>
      </c>
      <c r="CQ114" s="24">
        <v>0.99999998360444331</v>
      </c>
      <c r="CR114" s="24" t="str">
        <f t="shared" si="7"/>
        <v>1</v>
      </c>
      <c r="CS114" t="str">
        <f ca="1">IF((OFFSET($A$1, 114 - 1, 95 - 1)) &gt;= (OFFSET($A$1, 54 - 1, 7 - 1)), "1","0")</f>
        <v>1</v>
      </c>
      <c r="CT114">
        <f ca="1" xml:space="preserve"> IF( AND( OFFSET($A$1, 114 - 1, 96 - 1) = "1", OFFSET($A$1, 114 - 1, 97 - 1) = "1" ), 1, IF( AND( OFFSET($A$1, 114 - 1, 96 - 1) = "1", OFFSET($A$1, 114 - 1, 97 - 1) = "0" ), 2, IF( AND( OFFSET($A$1, 114 - 1, 96 - 1) = "0", OFFSET($A$1, 114 - 1, 97 - 1) = "1" ), 3, 4 ) ) )</f>
        <v>1</v>
      </c>
      <c r="CV114" s="24">
        <v>0.99340577081055681</v>
      </c>
      <c r="CW114" s="24" t="str">
        <f>"1"</f>
        <v>1</v>
      </c>
      <c r="CX114" t="str">
        <f ca="1">IF((OFFSET($A$1, 114 - 1, 100 - 1)) &gt;= (OFFSET($A$1, 78 - 1, 7 - 1)), "1","0")</f>
        <v>1</v>
      </c>
      <c r="CY114">
        <f ca="1" xml:space="preserve"> IF( AND( OFFSET($A$1, 114 - 1, 101 - 1) = "1", OFFSET($A$1, 114 - 1, 102 - 1) = "1" ), 1, IF( AND( OFFSET($A$1, 114 - 1, 101 - 1) = "1", OFFSET($A$1, 114 - 1, 102 - 1) = "0" ), 2, IF( AND( OFFSET($A$1, 114 - 1, 101 - 1) = "0", OFFSET($A$1, 114 - 1, 102 - 1) = "1" ), 3, 4 ) ) )</f>
        <v>1</v>
      </c>
    </row>
    <row r="115" spans="3:103" ht="13.8" x14ac:dyDescent="0.3">
      <c r="C115" s="26" t="s">
        <v>729</v>
      </c>
      <c r="D115" s="24">
        <v>9.528884163685078E-2</v>
      </c>
      <c r="E115" s="24">
        <v>0.19514263639229887</v>
      </c>
      <c r="F115" s="24">
        <v>0.12978266654131113</v>
      </c>
      <c r="G115" s="24">
        <v>-8.071093777906195E-2</v>
      </c>
      <c r="H115" s="24">
        <v>-0.51216935023629584</v>
      </c>
      <c r="I115" s="24">
        <v>1.3973620414066179</v>
      </c>
      <c r="J115" s="24">
        <v>-0.16047088815985369</v>
      </c>
      <c r="K115" s="24">
        <v>-0.80942559786508284</v>
      </c>
      <c r="L115" s="24">
        <v>0.98733497224390621</v>
      </c>
      <c r="M115" s="24">
        <v>-1.0240963364659836</v>
      </c>
      <c r="N115" s="24">
        <v>-0.24673442466954276</v>
      </c>
      <c r="O115" s="24">
        <v>-1.0529834021005289</v>
      </c>
      <c r="P115" s="24">
        <v>6.0985936795078799E-2</v>
      </c>
      <c r="Q115" s="24">
        <v>-0.53067111193056404</v>
      </c>
      <c r="R115" s="24">
        <v>1.6441575897513105E-2</v>
      </c>
      <c r="S115" s="24">
        <v>-1.3151600744222509</v>
      </c>
      <c r="T115" s="24">
        <v>-1.3512048454243364</v>
      </c>
      <c r="U115" s="24">
        <v>3.0904161416902096E-2</v>
      </c>
      <c r="V115" s="24">
        <v>1.0609289013475667</v>
      </c>
      <c r="W115" s="24">
        <v>-0.40449175404518356</v>
      </c>
      <c r="X115" s="24">
        <v>-0.29716802599583281</v>
      </c>
      <c r="Y115" s="24">
        <v>0.75672954648093627</v>
      </c>
      <c r="Z115" s="24">
        <v>-0.91849241509422086</v>
      </c>
      <c r="AA115" s="24">
        <v>-0.27694466041581178</v>
      </c>
      <c r="AB115" s="24">
        <v>-1.3528022335877066E-2</v>
      </c>
      <c r="AC115" s="24">
        <v>1.3278653073283506</v>
      </c>
      <c r="AD115" s="24">
        <v>1.5329256417532435</v>
      </c>
      <c r="AE115" s="24">
        <v>-0.21031534075465105</v>
      </c>
      <c r="AF115" s="24">
        <v>1.0643332953376821</v>
      </c>
      <c r="AG115" s="24">
        <v>-1.2788363765718189</v>
      </c>
      <c r="AH115" s="24">
        <v>1.0198083708320886</v>
      </c>
      <c r="AI115" s="24">
        <v>0.55551270117930995</v>
      </c>
      <c r="AJ115" s="24">
        <v>0.65715356010379256</v>
      </c>
      <c r="AK115" s="24">
        <v>0.80180676316137311</v>
      </c>
      <c r="AL115" s="24">
        <v>-0.16558609677662742</v>
      </c>
      <c r="AM115" s="24">
        <v>5.8565533859829572E-2</v>
      </c>
      <c r="AN115" s="24">
        <v>0.28937779675857689</v>
      </c>
      <c r="AO115" s="24">
        <v>-9.8516139635166609E-3</v>
      </c>
      <c r="AP115" s="24">
        <v>-9.1000444958457924E-2</v>
      </c>
      <c r="AQ115" s="24">
        <v>-1.9646107317732802</v>
      </c>
      <c r="AR115" s="24">
        <v>0.5758522054673032</v>
      </c>
      <c r="AS115" s="24">
        <v>-0.17490767759726286</v>
      </c>
      <c r="AT115" s="24">
        <v>0.26683108125665622</v>
      </c>
      <c r="AU115" s="24">
        <v>-7.3075768762305107E-2</v>
      </c>
      <c r="AV115" s="24">
        <v>0.6255963234668388</v>
      </c>
      <c r="AW115" s="24">
        <v>-0.87083364132978014</v>
      </c>
      <c r="CQ115" s="24">
        <v>0.99990632261499379</v>
      </c>
      <c r="CR115" s="24" t="str">
        <f t="shared" si="7"/>
        <v>1</v>
      </c>
      <c r="CS115" t="str">
        <f ca="1">IF((OFFSET($A$1, 115 - 1, 95 - 1)) &gt;= (OFFSET($A$1, 54 - 1, 7 - 1)), "1","0")</f>
        <v>1</v>
      </c>
      <c r="CT115">
        <f ca="1" xml:space="preserve"> IF( AND( OFFSET($A$1, 115 - 1, 96 - 1) = "1", OFFSET($A$1, 115 - 1, 97 - 1) = "1" ), 1, IF( AND( OFFSET($A$1, 115 - 1, 96 - 1) = "1", OFFSET($A$1, 115 - 1, 97 - 1) = "0" ), 2, IF( AND( OFFSET($A$1, 115 - 1, 96 - 1) = "0", OFFSET($A$1, 115 - 1, 97 - 1) = "1" ), 3, 4 ) ) )</f>
        <v>1</v>
      </c>
      <c r="CV115" s="24">
        <v>0.99999106037926422</v>
      </c>
      <c r="CW115" s="24" t="str">
        <f>"1"</f>
        <v>1</v>
      </c>
      <c r="CX115" t="str">
        <f ca="1">IF((OFFSET($A$1, 115 - 1, 100 - 1)) &gt;= (OFFSET($A$1, 78 - 1, 7 - 1)), "1","0")</f>
        <v>1</v>
      </c>
      <c r="CY115">
        <f ca="1" xml:space="preserve"> IF( AND( OFFSET($A$1, 115 - 1, 101 - 1) = "1", OFFSET($A$1, 115 - 1, 102 - 1) = "1" ), 1, IF( AND( OFFSET($A$1, 115 - 1, 101 - 1) = "1", OFFSET($A$1, 115 - 1, 102 - 1) = "0" ), 2, IF( AND( OFFSET($A$1, 115 - 1, 101 - 1) = "0", OFFSET($A$1, 115 - 1, 102 - 1) = "1" ), 3, 4 ) ) )</f>
        <v>1</v>
      </c>
    </row>
    <row r="116" spans="3:103" ht="13.8" x14ac:dyDescent="0.3">
      <c r="C116" s="26" t="s">
        <v>730</v>
      </c>
      <c r="D116" s="24">
        <v>-2.0126546628057747</v>
      </c>
      <c r="E116" s="24">
        <v>-0.53561081138461342</v>
      </c>
      <c r="F116" s="24">
        <v>0.88933522747596438</v>
      </c>
      <c r="G116" s="24">
        <v>0.33821066214441925</v>
      </c>
      <c r="H116" s="24">
        <v>0.34417886838696249</v>
      </c>
      <c r="I116" s="24">
        <v>-2.2620460611779913</v>
      </c>
      <c r="J116" s="24">
        <v>1.5620061042788211</v>
      </c>
      <c r="K116" s="24">
        <v>0.23107666370240068</v>
      </c>
      <c r="L116" s="24">
        <v>0.14767298787995478</v>
      </c>
      <c r="M116" s="24">
        <v>9.1368206891956558E-2</v>
      </c>
      <c r="N116" s="24">
        <v>0.52943862499985928</v>
      </c>
      <c r="O116" s="24">
        <v>-0.26667777998906472</v>
      </c>
      <c r="P116" s="24">
        <v>-0.99331588693906225</v>
      </c>
      <c r="Q116" s="24">
        <v>1.371510328016101</v>
      </c>
      <c r="R116" s="24">
        <v>0.32147350088384519</v>
      </c>
      <c r="S116" s="24">
        <v>-1.8612103219251039</v>
      </c>
      <c r="T116" s="24">
        <v>0.13066527080205376</v>
      </c>
      <c r="U116" s="24">
        <v>-1.4291377785040742</v>
      </c>
      <c r="V116" s="24">
        <v>-0.74020794262142786</v>
      </c>
      <c r="W116" s="24">
        <v>1.6605345146527521</v>
      </c>
      <c r="X116" s="24">
        <v>2.3273648772037414</v>
      </c>
      <c r="Y116" s="24">
        <v>9.3655664949534229E-2</v>
      </c>
      <c r="Z116" s="24">
        <v>-0.39494978827390131</v>
      </c>
      <c r="AA116" s="24">
        <v>0.41269758294912356</v>
      </c>
      <c r="AB116" s="24">
        <v>-3.0997677303946727</v>
      </c>
      <c r="AC116" s="24">
        <v>0.20369543911403928</v>
      </c>
      <c r="AD116" s="24">
        <v>2.4328957258864579</v>
      </c>
      <c r="AE116" s="24">
        <v>0.13138962738980636</v>
      </c>
      <c r="AF116" s="24">
        <v>-0.15615925782891946</v>
      </c>
      <c r="AG116" s="24">
        <v>-1.3828000164067522</v>
      </c>
      <c r="AH116" s="24">
        <v>-1.3193812230073796</v>
      </c>
      <c r="AI116" s="24">
        <v>-1.6620898308341099</v>
      </c>
      <c r="AJ116" s="24">
        <v>0.30513919296997571</v>
      </c>
      <c r="AK116" s="24">
        <v>-0.55856887711840353</v>
      </c>
      <c r="AL116" s="24">
        <v>1.010643342289836</v>
      </c>
      <c r="AM116" s="24">
        <v>-0.24942187702452431</v>
      </c>
      <c r="AN116" s="24">
        <v>0.11695926683708315</v>
      </c>
      <c r="AO116" s="24">
        <v>-0.71850879530746192</v>
      </c>
      <c r="AP116" s="24">
        <v>-6.4587394834356021E-2</v>
      </c>
      <c r="AQ116" s="24">
        <v>-0.43091837972399</v>
      </c>
      <c r="AR116" s="24">
        <v>-0.30775217359148077</v>
      </c>
      <c r="AS116" s="24">
        <v>-1.1616138405113905</v>
      </c>
      <c r="AT116" s="24">
        <v>-0.17122335410089873</v>
      </c>
      <c r="AU116" s="24">
        <v>1.2494118981884224</v>
      </c>
      <c r="AV116" s="24">
        <v>-1.3545022158864923</v>
      </c>
      <c r="AW116" s="24">
        <v>-2.577800331302909</v>
      </c>
      <c r="CQ116" s="24">
        <v>0.99923473632963744</v>
      </c>
      <c r="CR116" s="24" t="str">
        <f t="shared" si="7"/>
        <v>1</v>
      </c>
      <c r="CS116" t="str">
        <f ca="1">IF((OFFSET($A$1, 116 - 1, 95 - 1)) &gt;= (OFFSET($A$1, 54 - 1, 7 - 1)), "1","0")</f>
        <v>1</v>
      </c>
      <c r="CT116">
        <f ca="1" xml:space="preserve"> IF( AND( OFFSET($A$1, 116 - 1, 96 - 1) = "1", OFFSET($A$1, 116 - 1, 97 - 1) = "1" ), 1, IF( AND( OFFSET($A$1, 116 - 1, 96 - 1) = "1", OFFSET($A$1, 116 - 1, 97 - 1) = "0" ), 2, IF( AND( OFFSET($A$1, 116 - 1, 96 - 1) = "0", OFFSET($A$1, 116 - 1, 97 - 1) = "1" ), 3, 4 ) ) )</f>
        <v>1</v>
      </c>
      <c r="CV116" s="24">
        <v>0.99940229128845703</v>
      </c>
      <c r="CW116" s="24" t="str">
        <f>"0"</f>
        <v>0</v>
      </c>
      <c r="CX116" t="str">
        <f ca="1">IF((OFFSET($A$1, 116 - 1, 100 - 1)) &gt;= (OFFSET($A$1, 78 - 1, 7 - 1)), "1","0")</f>
        <v>1</v>
      </c>
      <c r="CY116">
        <f ca="1" xml:space="preserve"> IF( AND( OFFSET($A$1, 116 - 1, 101 - 1) = "1", OFFSET($A$1, 116 - 1, 102 - 1) = "1" ), 1, IF( AND( OFFSET($A$1, 116 - 1, 101 - 1) = "1", OFFSET($A$1, 116 - 1, 102 - 1) = "0" ), 2, IF( AND( OFFSET($A$1, 116 - 1, 101 - 1) = "0", OFFSET($A$1, 116 - 1, 102 - 1) = "1" ), 3, 4 ) ) )</f>
        <v>3</v>
      </c>
    </row>
    <row r="117" spans="3:103" ht="13.8" x14ac:dyDescent="0.3">
      <c r="CQ117" s="24">
        <v>0.99931941672518154</v>
      </c>
      <c r="CR117" s="24" t="str">
        <f t="shared" si="7"/>
        <v>1</v>
      </c>
      <c r="CS117" t="str">
        <f ca="1">IF((OFFSET($A$1, 117 - 1, 95 - 1)) &gt;= (OFFSET($A$1, 54 - 1, 7 - 1)), "1","0")</f>
        <v>1</v>
      </c>
      <c r="CT117">
        <f ca="1" xml:space="preserve"> IF( AND( OFFSET($A$1, 117 - 1, 96 - 1) = "1", OFFSET($A$1, 117 - 1, 97 - 1) = "1" ), 1, IF( AND( OFFSET($A$1, 117 - 1, 96 - 1) = "1", OFFSET($A$1, 117 - 1, 97 - 1) = "0" ), 2, IF( AND( OFFSET($A$1, 117 - 1, 96 - 1) = "0", OFFSET($A$1, 117 - 1, 97 - 1) = "1" ), 3, 4 ) ) )</f>
        <v>1</v>
      </c>
      <c r="CV117" s="24">
        <v>0.99945784322632203</v>
      </c>
      <c r="CW117" s="24" t="str">
        <f>"0"</f>
        <v>0</v>
      </c>
      <c r="CX117" t="str">
        <f ca="1">IF((OFFSET($A$1, 117 - 1, 100 - 1)) &gt;= (OFFSET($A$1, 78 - 1, 7 - 1)), "1","0")</f>
        <v>1</v>
      </c>
      <c r="CY117">
        <f ca="1" xml:space="preserve"> IF( AND( OFFSET($A$1, 117 - 1, 101 - 1) = "1", OFFSET($A$1, 117 - 1, 102 - 1) = "1" ), 1, IF( AND( OFFSET($A$1, 117 - 1, 101 - 1) = "1", OFFSET($A$1, 117 - 1, 102 - 1) = "0" ), 2, IF( AND( OFFSET($A$1, 117 - 1, 101 - 1) = "0", OFFSET($A$1, 117 - 1, 102 - 1) = "1" ), 3, 4 ) ) )</f>
        <v>3</v>
      </c>
    </row>
    <row r="118" spans="3:103" ht="13.8" x14ac:dyDescent="0.3">
      <c r="CQ118" s="24">
        <v>0.98854673142278648</v>
      </c>
      <c r="CR118" s="24" t="str">
        <f t="shared" si="7"/>
        <v>1</v>
      </c>
      <c r="CS118" t="str">
        <f ca="1">IF((OFFSET($A$1, 118 - 1, 95 - 1)) &gt;= (OFFSET($A$1, 54 - 1, 7 - 1)), "1","0")</f>
        <v>1</v>
      </c>
      <c r="CT118">
        <f ca="1" xml:space="preserve"> IF( AND( OFFSET($A$1, 118 - 1, 96 - 1) = "1", OFFSET($A$1, 118 - 1, 97 - 1) = "1" ), 1, IF( AND( OFFSET($A$1, 118 - 1, 96 - 1) = "1", OFFSET($A$1, 118 - 1, 97 - 1) = "0" ), 2, IF( AND( OFFSET($A$1, 118 - 1, 96 - 1) = "0", OFFSET($A$1, 118 - 1, 97 - 1) = "1" ), 3, 4 ) ) )</f>
        <v>1</v>
      </c>
      <c r="CV118" s="24">
        <v>3.3600026274585378E-3</v>
      </c>
      <c r="CW118" s="24" t="str">
        <f>"0"</f>
        <v>0</v>
      </c>
      <c r="CX118" t="str">
        <f ca="1">IF((OFFSET($A$1, 118 - 1, 100 - 1)) &gt;= (OFFSET($A$1, 78 - 1, 7 - 1)), "1","0")</f>
        <v>0</v>
      </c>
      <c r="CY118">
        <f ca="1" xml:space="preserve"> IF( AND( OFFSET($A$1, 118 - 1, 101 - 1) = "1", OFFSET($A$1, 118 - 1, 102 - 1) = "1" ), 1, IF( AND( OFFSET($A$1, 118 - 1, 101 - 1) = "1", OFFSET($A$1, 118 - 1, 102 - 1) = "0" ), 2, IF( AND( OFFSET($A$1, 118 - 1, 101 - 1) = "0", OFFSET($A$1, 118 - 1, 102 - 1) = "1" ), 3, 4 ) ) )</f>
        <v>4</v>
      </c>
    </row>
    <row r="119" spans="3:103" ht="13.8" x14ac:dyDescent="0.3">
      <c r="D119" s="77" t="s">
        <v>717</v>
      </c>
      <c r="E119" s="77"/>
      <c r="F119" s="77"/>
      <c r="G119" s="77"/>
      <c r="H119" s="77"/>
      <c r="I119" s="77"/>
      <c r="J119" s="77"/>
      <c r="K119" s="77"/>
      <c r="L119" s="77"/>
      <c r="M119" s="77"/>
      <c r="N119" s="77"/>
      <c r="O119" s="77"/>
      <c r="P119" s="77"/>
      <c r="Q119" s="77"/>
      <c r="CQ119" s="24">
        <v>0.88504315988213333</v>
      </c>
      <c r="CR119" s="24" t="str">
        <f t="shared" si="7"/>
        <v>1</v>
      </c>
      <c r="CS119" t="str">
        <f ca="1">IF((OFFSET($A$1, 119 - 1, 95 - 1)) &gt;= (OFFSET($A$1, 54 - 1, 7 - 1)), "1","0")</f>
        <v>1</v>
      </c>
      <c r="CT119">
        <f ca="1" xml:space="preserve"> IF( AND( OFFSET($A$1, 119 - 1, 96 - 1) = "1", OFFSET($A$1, 119 - 1, 97 - 1) = "1" ), 1, IF( AND( OFFSET($A$1, 119 - 1, 96 - 1) = "1", OFFSET($A$1, 119 - 1, 97 - 1) = "0" ), 2, IF( AND( OFFSET($A$1, 119 - 1, 96 - 1) = "0", OFFSET($A$1, 119 - 1, 97 - 1) = "1" ), 3, 4 ) ) )</f>
        <v>1</v>
      </c>
      <c r="CV119" s="24">
        <v>0.91530362856142577</v>
      </c>
      <c r="CW119" s="24" t="str">
        <f t="shared" ref="CW119:CW124" si="8">"1"</f>
        <v>1</v>
      </c>
      <c r="CX119" t="str">
        <f ca="1">IF((OFFSET($A$1, 119 - 1, 100 - 1)) &gt;= (OFFSET($A$1, 78 - 1, 7 - 1)), "1","0")</f>
        <v>1</v>
      </c>
      <c r="CY119">
        <f ca="1" xml:space="preserve"> IF( AND( OFFSET($A$1, 119 - 1, 101 - 1) = "1", OFFSET($A$1, 119 - 1, 102 - 1) = "1" ), 1, IF( AND( OFFSET($A$1, 119 - 1, 101 - 1) = "1", OFFSET($A$1, 119 - 1, 102 - 1) = "0" ), 2, IF( AND( OFFSET($A$1, 119 - 1, 101 - 1) = "0", OFFSET($A$1, 119 - 1, 102 - 1) = "1" ), 3, 4 ) ) )</f>
        <v>1</v>
      </c>
    </row>
    <row r="120" spans="3:103" ht="13.8" x14ac:dyDescent="0.3">
      <c r="C120" s="36" t="s">
        <v>731</v>
      </c>
      <c r="D120" s="26" t="s">
        <v>718</v>
      </c>
      <c r="E120" s="26" t="s">
        <v>719</v>
      </c>
      <c r="F120" s="26" t="s">
        <v>720</v>
      </c>
      <c r="G120" s="26" t="s">
        <v>721</v>
      </c>
      <c r="H120" s="26" t="s">
        <v>722</v>
      </c>
      <c r="I120" s="26" t="s">
        <v>723</v>
      </c>
      <c r="J120" s="26" t="s">
        <v>724</v>
      </c>
      <c r="K120" s="26" t="s">
        <v>725</v>
      </c>
      <c r="L120" s="26" t="s">
        <v>726</v>
      </c>
      <c r="M120" s="26" t="s">
        <v>727</v>
      </c>
      <c r="N120" s="26" t="s">
        <v>728</v>
      </c>
      <c r="O120" s="26" t="s">
        <v>729</v>
      </c>
      <c r="P120" s="26" t="s">
        <v>730</v>
      </c>
      <c r="Q120" s="26" t="s">
        <v>732</v>
      </c>
      <c r="CQ120" s="24">
        <v>0.99985575753321221</v>
      </c>
      <c r="CR120" s="24" t="str">
        <f t="shared" si="7"/>
        <v>1</v>
      </c>
      <c r="CS120" t="str">
        <f ca="1">IF((OFFSET($A$1, 120 - 1, 95 - 1)) &gt;= (OFFSET($A$1, 54 - 1, 7 - 1)), "1","0")</f>
        <v>1</v>
      </c>
      <c r="CT120">
        <f ca="1" xml:space="preserve"> IF( AND( OFFSET($A$1, 120 - 1, 96 - 1) = "1", OFFSET($A$1, 120 - 1, 97 - 1) = "1" ), 1, IF( AND( OFFSET($A$1, 120 - 1, 96 - 1) = "1", OFFSET($A$1, 120 - 1, 97 - 1) = "0" ), 2, IF( AND( OFFSET($A$1, 120 - 1, 96 - 1) = "0", OFFSET($A$1, 120 - 1, 97 - 1) = "1" ), 3, 4 ) ) )</f>
        <v>1</v>
      </c>
      <c r="CV120" s="24">
        <v>0.9981198827174097</v>
      </c>
      <c r="CW120" s="24" t="str">
        <f t="shared" si="8"/>
        <v>1</v>
      </c>
      <c r="CX120" t="str">
        <f ca="1">IF((OFFSET($A$1, 120 - 1, 100 - 1)) &gt;= (OFFSET($A$1, 78 - 1, 7 - 1)), "1","0")</f>
        <v>1</v>
      </c>
      <c r="CY120">
        <f ca="1" xml:space="preserve"> IF( AND( OFFSET($A$1, 120 - 1, 101 - 1) = "1", OFFSET($A$1, 120 - 1, 102 - 1) = "1" ), 1, IF( AND( OFFSET($A$1, 120 - 1, 101 - 1) = "1", OFFSET($A$1, 120 - 1, 102 - 1) = "0" ), 2, IF( AND( OFFSET($A$1, 120 - 1, 101 - 1) = "0", OFFSET($A$1, 120 - 1, 102 - 1) = "1" ), 3, 4 ) ) )</f>
        <v>1</v>
      </c>
    </row>
    <row r="121" spans="3:103" ht="13.8" x14ac:dyDescent="0.3">
      <c r="C121" s="26">
        <v>0</v>
      </c>
      <c r="D121" s="24">
        <v>-3.7326596267921039</v>
      </c>
      <c r="E121" s="24">
        <v>-2.4339829251897163</v>
      </c>
      <c r="F121" s="24">
        <v>-3.7242477900371824</v>
      </c>
      <c r="G121" s="24">
        <v>-3.4090842833338404</v>
      </c>
      <c r="H121" s="24">
        <v>-3.6070156555563284</v>
      </c>
      <c r="I121" s="24">
        <v>3.0158507851468173</v>
      </c>
      <c r="J121" s="24">
        <v>2.6485295655170811</v>
      </c>
      <c r="K121" s="24">
        <v>-2.7037971834854306</v>
      </c>
      <c r="L121" s="24">
        <v>3.1622683337334836</v>
      </c>
      <c r="M121" s="24">
        <v>3.425868404264969</v>
      </c>
      <c r="N121" s="24">
        <v>-3.5791406762771927</v>
      </c>
      <c r="O121" s="24">
        <v>0.94589886340101537</v>
      </c>
      <c r="P121" s="24">
        <v>-2.080420192779092</v>
      </c>
      <c r="Q121" s="24">
        <v>1.5710616229961034</v>
      </c>
      <c r="CQ121" s="24">
        <v>0.99696306445397087</v>
      </c>
      <c r="CR121" s="24" t="str">
        <f t="shared" si="7"/>
        <v>1</v>
      </c>
      <c r="CS121" t="str">
        <f ca="1">IF((OFFSET($A$1, 121 - 1, 95 - 1)) &gt;= (OFFSET($A$1, 54 - 1, 7 - 1)), "1","0")</f>
        <v>1</v>
      </c>
      <c r="CT121">
        <f ca="1" xml:space="preserve"> IF( AND( OFFSET($A$1, 121 - 1, 96 - 1) = "1", OFFSET($A$1, 121 - 1, 97 - 1) = "1" ), 1, IF( AND( OFFSET($A$1, 121 - 1, 96 - 1) = "1", OFFSET($A$1, 121 - 1, 97 - 1) = "0" ), 2, IF( AND( OFFSET($A$1, 121 - 1, 96 - 1) = "0", OFFSET($A$1, 121 - 1, 97 - 1) = "1" ), 3, 4 ) ) )</f>
        <v>1</v>
      </c>
      <c r="CV121" s="24">
        <v>8.0152527513727617E-2</v>
      </c>
      <c r="CW121" s="24" t="str">
        <f t="shared" si="8"/>
        <v>1</v>
      </c>
      <c r="CX121" t="str">
        <f ca="1">IF((OFFSET($A$1, 121 - 1, 100 - 1)) &gt;= (OFFSET($A$1, 78 - 1, 7 - 1)), "1","0")</f>
        <v>0</v>
      </c>
      <c r="CY121">
        <f ca="1" xml:space="preserve"> IF( AND( OFFSET($A$1, 121 - 1, 101 - 1) = "1", OFFSET($A$1, 121 - 1, 102 - 1) = "1" ), 1, IF( AND( OFFSET($A$1, 121 - 1, 101 - 1) = "1", OFFSET($A$1, 121 - 1, 102 - 1) = "0" ), 2, IF( AND( OFFSET($A$1, 121 - 1, 101 - 1) = "0", OFFSET($A$1, 121 - 1, 102 - 1) = "1" ), 3, 4 ) ) )</f>
        <v>2</v>
      </c>
    </row>
    <row r="122" spans="3:103" ht="13.8" x14ac:dyDescent="0.3">
      <c r="C122" s="26">
        <v>1</v>
      </c>
      <c r="D122" s="24">
        <v>3.7358297805418639</v>
      </c>
      <c r="E122" s="24">
        <v>2.432256886138279</v>
      </c>
      <c r="F122" s="24">
        <v>3.7245001426788784</v>
      </c>
      <c r="G122" s="24">
        <v>3.409569828964595</v>
      </c>
      <c r="H122" s="24">
        <v>3.606170965319242</v>
      </c>
      <c r="I122" s="24">
        <v>-3.0153078140746339</v>
      </c>
      <c r="J122" s="24">
        <v>-2.6488876302925566</v>
      </c>
      <c r="K122" s="24">
        <v>2.7012530909929535</v>
      </c>
      <c r="L122" s="24">
        <v>-3.1638213716724799</v>
      </c>
      <c r="M122" s="24">
        <v>-3.4265605529727758</v>
      </c>
      <c r="N122" s="24">
        <v>3.5792007830625696</v>
      </c>
      <c r="O122" s="24">
        <v>-0.94869476295452049</v>
      </c>
      <c r="P122" s="24">
        <v>2.0859325963339801</v>
      </c>
      <c r="Q122" s="24">
        <v>-1.5704494035138177</v>
      </c>
      <c r="CQ122" s="24">
        <v>0.95548828876081837</v>
      </c>
      <c r="CR122" s="24" t="str">
        <f t="shared" si="7"/>
        <v>1</v>
      </c>
      <c r="CS122" t="str">
        <f ca="1">IF((OFFSET($A$1, 122 - 1, 95 - 1)) &gt;= (OFFSET($A$1, 54 - 1, 7 - 1)), "1","0")</f>
        <v>1</v>
      </c>
      <c r="CT122">
        <f ca="1" xml:space="preserve"> IF( AND( OFFSET($A$1, 122 - 1, 96 - 1) = "1", OFFSET($A$1, 122 - 1, 97 - 1) = "1" ), 1, IF( AND( OFFSET($A$1, 122 - 1, 96 - 1) = "1", OFFSET($A$1, 122 - 1, 97 - 1) = "0" ), 2, IF( AND( OFFSET($A$1, 122 - 1, 96 - 1) = "0", OFFSET($A$1, 122 - 1, 97 - 1) = "1" ), 3, 4 ) ) )</f>
        <v>1</v>
      </c>
      <c r="CV122" s="24">
        <v>0.91434059863765016</v>
      </c>
      <c r="CW122" s="24" t="str">
        <f t="shared" si="8"/>
        <v>1</v>
      </c>
      <c r="CX122" t="str">
        <f ca="1">IF((OFFSET($A$1, 122 - 1, 100 - 1)) &gt;= (OFFSET($A$1, 78 - 1, 7 - 1)), "1","0")</f>
        <v>1</v>
      </c>
      <c r="CY122">
        <f ca="1" xml:space="preserve"> IF( AND( OFFSET($A$1, 122 - 1, 101 - 1) = "1", OFFSET($A$1, 122 - 1, 102 - 1) = "1" ), 1, IF( AND( OFFSET($A$1, 122 - 1, 101 - 1) = "1", OFFSET($A$1, 122 - 1, 102 - 1) = "0" ), 2, IF( AND( OFFSET($A$1, 122 - 1, 101 - 1) = "0", OFFSET($A$1, 122 - 1, 102 - 1) = "1" ), 3, 4 ) ) )</f>
        <v>1</v>
      </c>
    </row>
    <row r="123" spans="3:103" ht="13.8" x14ac:dyDescent="0.3">
      <c r="CQ123" s="24">
        <v>0.99082867285951082</v>
      </c>
      <c r="CR123" s="24" t="str">
        <f t="shared" si="7"/>
        <v>1</v>
      </c>
      <c r="CS123" t="str">
        <f ca="1">IF((OFFSET($A$1, 123 - 1, 95 - 1)) &gt;= (OFFSET($A$1, 54 - 1, 7 - 1)), "1","0")</f>
        <v>1</v>
      </c>
      <c r="CT123">
        <f ca="1" xml:space="preserve"> IF( AND( OFFSET($A$1, 123 - 1, 96 - 1) = "1", OFFSET($A$1, 123 - 1, 97 - 1) = "1" ), 1, IF( AND( OFFSET($A$1, 123 - 1, 96 - 1) = "1", OFFSET($A$1, 123 - 1, 97 - 1) = "0" ), 2, IF( AND( OFFSET($A$1, 123 - 1, 96 - 1) = "0", OFFSET($A$1, 123 - 1, 97 - 1) = "1" ), 3, 4 ) ) )</f>
        <v>1</v>
      </c>
      <c r="CV123" s="24">
        <v>0.99914046439336701</v>
      </c>
      <c r="CW123" s="24" t="str">
        <f t="shared" si="8"/>
        <v>1</v>
      </c>
      <c r="CX123" t="str">
        <f ca="1">IF((OFFSET($A$1, 123 - 1, 100 - 1)) &gt;= (OFFSET($A$1, 78 - 1, 7 - 1)), "1","0")</f>
        <v>1</v>
      </c>
      <c r="CY123">
        <f ca="1" xml:space="preserve"> IF( AND( OFFSET($A$1, 123 - 1, 101 - 1) = "1", OFFSET($A$1, 123 - 1, 102 - 1) = "1" ), 1, IF( AND( OFFSET($A$1, 123 - 1, 101 - 1) = "1", OFFSET($A$1, 123 - 1, 102 - 1) = "0" ), 2, IF( AND( OFFSET($A$1, 123 - 1, 101 - 1) = "0", OFFSET($A$1, 123 - 1, 102 - 1) = "1" ), 3, 4 ) ) )</f>
        <v>1</v>
      </c>
    </row>
    <row r="124" spans="3:103" ht="13.8" x14ac:dyDescent="0.3">
      <c r="CQ124" s="24">
        <v>0.9910074261383196</v>
      </c>
      <c r="CR124" s="24" t="str">
        <f t="shared" si="7"/>
        <v>1</v>
      </c>
      <c r="CS124" t="str">
        <f ca="1">IF((OFFSET($A$1, 124 - 1, 95 - 1)) &gt;= (OFFSET($A$1, 54 - 1, 7 - 1)), "1","0")</f>
        <v>1</v>
      </c>
      <c r="CT124">
        <f ca="1" xml:space="preserve"> IF( AND( OFFSET($A$1, 124 - 1, 96 - 1) = "1", OFFSET($A$1, 124 - 1, 97 - 1) = "1" ), 1, IF( AND( OFFSET($A$1, 124 - 1, 96 - 1) = "1", OFFSET($A$1, 124 - 1, 97 - 1) = "0" ), 2, IF( AND( OFFSET($A$1, 124 - 1, 96 - 1) = "0", OFFSET($A$1, 124 - 1, 97 - 1) = "1" ), 3, 4 ) ) )</f>
        <v>1</v>
      </c>
      <c r="CV124" s="24">
        <v>4.8379760924087148E-2</v>
      </c>
      <c r="CW124" s="24" t="str">
        <f t="shared" si="8"/>
        <v>1</v>
      </c>
      <c r="CX124" t="str">
        <f ca="1">IF((OFFSET($A$1, 124 - 1, 100 - 1)) &gt;= (OFFSET($A$1, 78 - 1, 7 - 1)), "1","0")</f>
        <v>0</v>
      </c>
      <c r="CY124">
        <f ca="1" xml:space="preserve"> IF( AND( OFFSET($A$1, 124 - 1, 101 - 1) = "1", OFFSET($A$1, 124 - 1, 102 - 1) = "1" ), 1, IF( AND( OFFSET($A$1, 124 - 1, 101 - 1) = "1", OFFSET($A$1, 124 - 1, 102 - 1) = "0" ), 2, IF( AND( OFFSET($A$1, 124 - 1, 101 - 1) = "0", OFFSET($A$1, 124 - 1, 102 - 1) = "1" ), 3, 4 ) ) )</f>
        <v>2</v>
      </c>
    </row>
    <row r="125" spans="3:103" ht="13.8" x14ac:dyDescent="0.3">
      <c r="CQ125" s="24">
        <v>0.99847699114307664</v>
      </c>
      <c r="CR125" s="24" t="str">
        <f t="shared" si="7"/>
        <v>1</v>
      </c>
      <c r="CS125" t="str">
        <f ca="1">IF((OFFSET($A$1, 125 - 1, 95 - 1)) &gt;= (OFFSET($A$1, 54 - 1, 7 - 1)), "1","0")</f>
        <v>1</v>
      </c>
      <c r="CT125">
        <f ca="1" xml:space="preserve"> IF( AND( OFFSET($A$1, 125 - 1, 96 - 1) = "1", OFFSET($A$1, 125 - 1, 97 - 1) = "1" ), 1, IF( AND( OFFSET($A$1, 125 - 1, 96 - 1) = "1", OFFSET($A$1, 125 - 1, 97 - 1) = "0" ), 2, IF( AND( OFFSET($A$1, 125 - 1, 96 - 1) = "0", OFFSET($A$1, 125 - 1, 97 - 1) = "1" ), 3, 4 ) ) )</f>
        <v>1</v>
      </c>
      <c r="CV125" s="24">
        <v>2.1482830192268237E-2</v>
      </c>
      <c r="CW125" s="24" t="str">
        <f>"0"</f>
        <v>0</v>
      </c>
      <c r="CX125" t="str">
        <f ca="1">IF((OFFSET($A$1, 125 - 1, 100 - 1)) &gt;= (OFFSET($A$1, 78 - 1, 7 - 1)), "1","0")</f>
        <v>0</v>
      </c>
      <c r="CY125">
        <f ca="1" xml:space="preserve"> IF( AND( OFFSET($A$1, 125 - 1, 101 - 1) = "1", OFFSET($A$1, 125 - 1, 102 - 1) = "1" ), 1, IF( AND( OFFSET($A$1, 125 - 1, 101 - 1) = "1", OFFSET($A$1, 125 - 1, 102 - 1) = "0" ), 2, IF( AND( OFFSET($A$1, 125 - 1, 101 - 1) = "0", OFFSET($A$1, 125 - 1, 102 - 1) = "1" ), 3, 4 ) ) )</f>
        <v>4</v>
      </c>
    </row>
    <row r="126" spans="3:103" ht="13.8" x14ac:dyDescent="0.3">
      <c r="CQ126" s="24">
        <v>0.9261883239779195</v>
      </c>
      <c r="CR126" s="24" t="str">
        <f t="shared" si="7"/>
        <v>1</v>
      </c>
      <c r="CS126" t="str">
        <f ca="1">IF((OFFSET($A$1, 126 - 1, 95 - 1)) &gt;= (OFFSET($A$1, 54 - 1, 7 - 1)), "1","0")</f>
        <v>1</v>
      </c>
      <c r="CT126">
        <f ca="1" xml:space="preserve"> IF( AND( OFFSET($A$1, 126 - 1, 96 - 1) = "1", OFFSET($A$1, 126 - 1, 97 - 1) = "1" ), 1, IF( AND( OFFSET($A$1, 126 - 1, 96 - 1) = "1", OFFSET($A$1, 126 - 1, 97 - 1) = "0" ), 2, IF( AND( OFFSET($A$1, 126 - 1, 96 - 1) = "0", OFFSET($A$1, 126 - 1, 97 - 1) = "1" ), 3, 4 ) ) )</f>
        <v>1</v>
      </c>
      <c r="CV126" s="24">
        <v>0.53551195146468467</v>
      </c>
      <c r="CW126" s="24" t="str">
        <f>"1"</f>
        <v>1</v>
      </c>
      <c r="CX126" t="str">
        <f ca="1">IF((OFFSET($A$1, 126 - 1, 100 - 1)) &gt;= (OFFSET($A$1, 78 - 1, 7 - 1)), "1","0")</f>
        <v>1</v>
      </c>
      <c r="CY126">
        <f ca="1" xml:space="preserve"> IF( AND( OFFSET($A$1, 126 - 1, 101 - 1) = "1", OFFSET($A$1, 126 - 1, 102 - 1) = "1" ), 1, IF( AND( OFFSET($A$1, 126 - 1, 101 - 1) = "1", OFFSET($A$1, 126 - 1, 102 - 1) = "0" ), 2, IF( AND( OFFSET($A$1, 126 - 1, 101 - 1) = "0", OFFSET($A$1, 126 - 1, 102 - 1) = "1" ), 3, 4 ) ) )</f>
        <v>1</v>
      </c>
    </row>
    <row r="127" spans="3:103" ht="13.8" x14ac:dyDescent="0.3">
      <c r="CQ127" s="24">
        <v>1.9753361676727123E-2</v>
      </c>
      <c r="CR127" s="24" t="str">
        <f>"0"</f>
        <v>0</v>
      </c>
      <c r="CS127" t="str">
        <f ca="1">IF((OFFSET($A$1, 127 - 1, 95 - 1)) &gt;= (OFFSET($A$1, 54 - 1, 7 - 1)), "1","0")</f>
        <v>0</v>
      </c>
      <c r="CT127">
        <f ca="1" xml:space="preserve"> IF( AND( OFFSET($A$1, 127 - 1, 96 - 1) = "1", OFFSET($A$1, 127 - 1, 97 - 1) = "1" ), 1, IF( AND( OFFSET($A$1, 127 - 1, 96 - 1) = "1", OFFSET($A$1, 127 - 1, 97 - 1) = "0" ), 2, IF( AND( OFFSET($A$1, 127 - 1, 96 - 1) = "0", OFFSET($A$1, 127 - 1, 97 - 1) = "1" ), 3, 4 ) ) )</f>
        <v>4</v>
      </c>
      <c r="CV127" s="24">
        <v>0.99820207980870768</v>
      </c>
      <c r="CW127" s="24" t="str">
        <f>"1"</f>
        <v>1</v>
      </c>
      <c r="CX127" t="str">
        <f ca="1">IF((OFFSET($A$1, 127 - 1, 100 - 1)) &gt;= (OFFSET($A$1, 78 - 1, 7 - 1)), "1","0")</f>
        <v>1</v>
      </c>
      <c r="CY127">
        <f ca="1" xml:space="preserve"> IF( AND( OFFSET($A$1, 127 - 1, 101 - 1) = "1", OFFSET($A$1, 127 - 1, 102 - 1) = "1" ), 1, IF( AND( OFFSET($A$1, 127 - 1, 101 - 1) = "1", OFFSET($A$1, 127 - 1, 102 - 1) = "0" ), 2, IF( AND( OFFSET($A$1, 127 - 1, 101 - 1) = "0", OFFSET($A$1, 127 - 1, 102 - 1) = "1" ), 3, 4 ) ) )</f>
        <v>1</v>
      </c>
    </row>
    <row r="128" spans="3:103" ht="13.8" x14ac:dyDescent="0.3">
      <c r="CQ128" s="24">
        <v>0.99804603394042646</v>
      </c>
      <c r="CR128" s="24" t="str">
        <f>"1"</f>
        <v>1</v>
      </c>
      <c r="CS128" t="str">
        <f ca="1">IF((OFFSET($A$1, 128 - 1, 95 - 1)) &gt;= (OFFSET($A$1, 54 - 1, 7 - 1)), "1","0")</f>
        <v>1</v>
      </c>
      <c r="CT128">
        <f ca="1" xml:space="preserve"> IF( AND( OFFSET($A$1, 128 - 1, 96 - 1) = "1", OFFSET($A$1, 128 - 1, 97 - 1) = "1" ), 1, IF( AND( OFFSET($A$1, 128 - 1, 96 - 1) = "1", OFFSET($A$1, 128 - 1, 97 - 1) = "0" ), 2, IF( AND( OFFSET($A$1, 128 - 1, 96 - 1) = "0", OFFSET($A$1, 128 - 1, 97 - 1) = "1" ), 3, 4 ) ) )</f>
        <v>1</v>
      </c>
      <c r="CV128" s="24">
        <v>0.65095140692082032</v>
      </c>
      <c r="CW128" s="24" t="str">
        <f>"0"</f>
        <v>0</v>
      </c>
      <c r="CX128" t="str">
        <f ca="1">IF((OFFSET($A$1, 128 - 1, 100 - 1)) &gt;= (OFFSET($A$1, 78 - 1, 7 - 1)), "1","0")</f>
        <v>1</v>
      </c>
      <c r="CY128">
        <f ca="1" xml:space="preserve"> IF( AND( OFFSET($A$1, 128 - 1, 101 - 1) = "1", OFFSET($A$1, 128 - 1, 102 - 1) = "1" ), 1, IF( AND( OFFSET($A$1, 128 - 1, 101 - 1) = "1", OFFSET($A$1, 128 - 1, 102 - 1) = "0" ), 2, IF( AND( OFFSET($A$1, 128 - 1, 101 - 1) = "0", OFFSET($A$1, 128 - 1, 102 - 1) = "1" ), 3, 4 ) ) )</f>
        <v>3</v>
      </c>
    </row>
    <row r="129" spans="95:103" ht="13.8" x14ac:dyDescent="0.3">
      <c r="CQ129" s="24">
        <v>0.99872239588680944</v>
      </c>
      <c r="CR129" s="24" t="str">
        <f>"1"</f>
        <v>1</v>
      </c>
      <c r="CS129" t="str">
        <f ca="1">IF((OFFSET($A$1, 129 - 1, 95 - 1)) &gt;= (OFFSET($A$1, 54 - 1, 7 - 1)), "1","0")</f>
        <v>1</v>
      </c>
      <c r="CT129">
        <f ca="1" xml:space="preserve"> IF( AND( OFFSET($A$1, 129 - 1, 96 - 1) = "1", OFFSET($A$1, 129 - 1, 97 - 1) = "1" ), 1, IF( AND( OFFSET($A$1, 129 - 1, 96 - 1) = "1", OFFSET($A$1, 129 - 1, 97 - 1) = "0" ), 2, IF( AND( OFFSET($A$1, 129 - 1, 96 - 1) = "0", OFFSET($A$1, 129 - 1, 97 - 1) = "1" ), 3, 4 ) ) )</f>
        <v>1</v>
      </c>
      <c r="CV129" s="24">
        <v>0.99392466640746358</v>
      </c>
      <c r="CW129" s="24" t="str">
        <f>"1"</f>
        <v>1</v>
      </c>
      <c r="CX129" t="str">
        <f ca="1">IF((OFFSET($A$1, 129 - 1, 100 - 1)) &gt;= (OFFSET($A$1, 78 - 1, 7 - 1)), "1","0")</f>
        <v>1</v>
      </c>
      <c r="CY129">
        <f ca="1" xml:space="preserve"> IF( AND( OFFSET($A$1, 129 - 1, 101 - 1) = "1", OFFSET($A$1, 129 - 1, 102 - 1) = "1" ), 1, IF( AND( OFFSET($A$1, 129 - 1, 101 - 1) = "1", OFFSET($A$1, 129 - 1, 102 - 1) = "0" ), 2, IF( AND( OFFSET($A$1, 129 - 1, 101 - 1) = "0", OFFSET($A$1, 129 - 1, 102 - 1) = "1" ), 3, 4 ) ) )</f>
        <v>1</v>
      </c>
    </row>
    <row r="130" spans="95:103" ht="13.8" x14ac:dyDescent="0.3">
      <c r="CQ130" s="24">
        <v>0.90340908911940065</v>
      </c>
      <c r="CR130" s="24" t="str">
        <f>"1"</f>
        <v>1</v>
      </c>
      <c r="CS130" t="str">
        <f ca="1">IF((OFFSET($A$1, 130 - 1, 95 - 1)) &gt;= (OFFSET($A$1, 54 - 1, 7 - 1)), "1","0")</f>
        <v>1</v>
      </c>
      <c r="CT130">
        <f ca="1" xml:space="preserve"> IF( AND( OFFSET($A$1, 130 - 1, 96 - 1) = "1", OFFSET($A$1, 130 - 1, 97 - 1) = "1" ), 1, IF( AND( OFFSET($A$1, 130 - 1, 96 - 1) = "1", OFFSET($A$1, 130 - 1, 97 - 1) = "0" ), 2, IF( AND( OFFSET($A$1, 130 - 1, 96 - 1) = "0", OFFSET($A$1, 130 - 1, 97 - 1) = "1" ), 3, 4 ) ) )</f>
        <v>1</v>
      </c>
      <c r="CV130" s="24">
        <v>9.1534466451064465E-3</v>
      </c>
      <c r="CW130" s="24" t="str">
        <f>"0"</f>
        <v>0</v>
      </c>
      <c r="CX130" t="str">
        <f ca="1">IF((OFFSET($A$1, 130 - 1, 100 - 1)) &gt;= (OFFSET($A$1, 78 - 1, 7 - 1)), "1","0")</f>
        <v>0</v>
      </c>
      <c r="CY130">
        <f ca="1" xml:space="preserve"> IF( AND( OFFSET($A$1, 130 - 1, 101 - 1) = "1", OFFSET($A$1, 130 - 1, 102 - 1) = "1" ), 1, IF( AND( OFFSET($A$1, 130 - 1, 101 - 1) = "1", OFFSET($A$1, 130 - 1, 102 - 1) = "0" ), 2, IF( AND( OFFSET($A$1, 130 - 1, 101 - 1) = "0", OFFSET($A$1, 130 - 1, 102 - 1) = "1" ), 3, 4 ) ) )</f>
        <v>4</v>
      </c>
    </row>
    <row r="131" spans="95:103" ht="13.8" x14ac:dyDescent="0.3">
      <c r="CQ131" s="24">
        <v>0.99741611598064639</v>
      </c>
      <c r="CR131" s="24" t="str">
        <f>"1"</f>
        <v>1</v>
      </c>
      <c r="CS131" t="str">
        <f ca="1">IF((OFFSET($A$1, 131 - 1, 95 - 1)) &gt;= (OFFSET($A$1, 54 - 1, 7 - 1)), "1","0")</f>
        <v>1</v>
      </c>
      <c r="CT131">
        <f ca="1" xml:space="preserve"> IF( AND( OFFSET($A$1, 131 - 1, 96 - 1) = "1", OFFSET($A$1, 131 - 1, 97 - 1) = "1" ), 1, IF( AND( OFFSET($A$1, 131 - 1, 96 - 1) = "1", OFFSET($A$1, 131 - 1, 97 - 1) = "0" ), 2, IF( AND( OFFSET($A$1, 131 - 1, 96 - 1) = "0", OFFSET($A$1, 131 - 1, 97 - 1) = "1" ), 3, 4 ) ) )</f>
        <v>1</v>
      </c>
      <c r="CV131" s="24">
        <v>0.94461558010286417</v>
      </c>
      <c r="CW131" s="24" t="str">
        <f>"0"</f>
        <v>0</v>
      </c>
      <c r="CX131" t="str">
        <f ca="1">IF((OFFSET($A$1, 131 - 1, 100 - 1)) &gt;= (OFFSET($A$1, 78 - 1, 7 - 1)), "1","0")</f>
        <v>1</v>
      </c>
      <c r="CY131">
        <f ca="1" xml:space="preserve"> IF( AND( OFFSET($A$1, 131 - 1, 101 - 1) = "1", OFFSET($A$1, 131 - 1, 102 - 1) = "1" ), 1, IF( AND( OFFSET($A$1, 131 - 1, 101 - 1) = "1", OFFSET($A$1, 131 - 1, 102 - 1) = "0" ), 2, IF( AND( OFFSET($A$1, 131 - 1, 101 - 1) = "0", OFFSET($A$1, 131 - 1, 102 - 1) = "1" ), 3, 4 ) ) )</f>
        <v>3</v>
      </c>
    </row>
    <row r="132" spans="95:103" ht="13.8" x14ac:dyDescent="0.3">
      <c r="CQ132" s="24">
        <v>0.86471520464211926</v>
      </c>
      <c r="CR132" s="24" t="str">
        <f>"1"</f>
        <v>1</v>
      </c>
      <c r="CS132" t="str">
        <f ca="1">IF((OFFSET($A$1, 132 - 1, 95 - 1)) &gt;= (OFFSET($A$1, 54 - 1, 7 - 1)), "1","0")</f>
        <v>1</v>
      </c>
      <c r="CT132">
        <f ca="1" xml:space="preserve"> IF( AND( OFFSET($A$1, 132 - 1, 96 - 1) = "1", OFFSET($A$1, 132 - 1, 97 - 1) = "1" ), 1, IF( AND( OFFSET($A$1, 132 - 1, 96 - 1) = "1", OFFSET($A$1, 132 - 1, 97 - 1) = "0" ), 2, IF( AND( OFFSET($A$1, 132 - 1, 96 - 1) = "0", OFFSET($A$1, 132 - 1, 97 - 1) = "1" ), 3, 4 ) ) )</f>
        <v>1</v>
      </c>
      <c r="CV132" s="24">
        <v>0.99999961710757801</v>
      </c>
      <c r="CW132" s="24" t="str">
        <f>"1"</f>
        <v>1</v>
      </c>
      <c r="CX132" t="str">
        <f ca="1">IF((OFFSET($A$1, 132 - 1, 100 - 1)) &gt;= (OFFSET($A$1, 78 - 1, 7 - 1)), "1","0")</f>
        <v>1</v>
      </c>
      <c r="CY132">
        <f ca="1" xml:space="preserve"> IF( AND( OFFSET($A$1, 132 - 1, 101 - 1) = "1", OFFSET($A$1, 132 - 1, 102 - 1) = "1" ), 1, IF( AND( OFFSET($A$1, 132 - 1, 101 - 1) = "1", OFFSET($A$1, 132 - 1, 102 - 1) = "0" ), 2, IF( AND( OFFSET($A$1, 132 - 1, 101 - 1) = "0", OFFSET($A$1, 132 - 1, 102 - 1) = "1" ), 3, 4 ) ) )</f>
        <v>1</v>
      </c>
    </row>
    <row r="133" spans="95:103" ht="13.8" x14ac:dyDescent="0.3">
      <c r="CQ133" s="24">
        <v>8.1613895861506733E-2</v>
      </c>
      <c r="CR133" s="24" t="str">
        <f>"0"</f>
        <v>0</v>
      </c>
      <c r="CS133" t="str">
        <f ca="1">IF((OFFSET($A$1, 133 - 1, 95 - 1)) &gt;= (OFFSET($A$1, 54 - 1, 7 - 1)), "1","0")</f>
        <v>0</v>
      </c>
      <c r="CT133">
        <f ca="1" xml:space="preserve"> IF( AND( OFFSET($A$1, 133 - 1, 96 - 1) = "1", OFFSET($A$1, 133 - 1, 97 - 1) = "1" ), 1, IF( AND( OFFSET($A$1, 133 - 1, 96 - 1) = "1", OFFSET($A$1, 133 - 1, 97 - 1) = "0" ), 2, IF( AND( OFFSET($A$1, 133 - 1, 96 - 1) = "0", OFFSET($A$1, 133 - 1, 97 - 1) = "1" ), 3, 4 ) ) )</f>
        <v>4</v>
      </c>
      <c r="CV133" s="24">
        <v>0.98435394479187455</v>
      </c>
      <c r="CW133" s="24" t="str">
        <f>"1"</f>
        <v>1</v>
      </c>
      <c r="CX133" t="str">
        <f ca="1">IF((OFFSET($A$1, 133 - 1, 100 - 1)) &gt;= (OFFSET($A$1, 78 - 1, 7 - 1)), "1","0")</f>
        <v>1</v>
      </c>
      <c r="CY133">
        <f ca="1" xml:space="preserve"> IF( AND( OFFSET($A$1, 133 - 1, 101 - 1) = "1", OFFSET($A$1, 133 - 1, 102 - 1) = "1" ), 1, IF( AND( OFFSET($A$1, 133 - 1, 101 - 1) = "1", OFFSET($A$1, 133 - 1, 102 - 1) = "0" ), 2, IF( AND( OFFSET($A$1, 133 - 1, 101 - 1) = "0", OFFSET($A$1, 133 - 1, 102 - 1) = "1" ), 3, 4 ) ) )</f>
        <v>1</v>
      </c>
    </row>
    <row r="134" spans="95:103" ht="13.8" x14ac:dyDescent="0.3">
      <c r="CQ134" s="24">
        <v>0.99727068218446779</v>
      </c>
      <c r="CR134" s="24" t="str">
        <f t="shared" ref="CR134:CR139" si="9">"1"</f>
        <v>1</v>
      </c>
      <c r="CS134" t="str">
        <f ca="1">IF((OFFSET($A$1, 134 - 1, 95 - 1)) &gt;= (OFFSET($A$1, 54 - 1, 7 - 1)), "1","0")</f>
        <v>1</v>
      </c>
      <c r="CT134">
        <f ca="1" xml:space="preserve"> IF( AND( OFFSET($A$1, 134 - 1, 96 - 1) = "1", OFFSET($A$1, 134 - 1, 97 - 1) = "1" ), 1, IF( AND( OFFSET($A$1, 134 - 1, 96 - 1) = "1", OFFSET($A$1, 134 - 1, 97 - 1) = "0" ), 2, IF( AND( OFFSET($A$1, 134 - 1, 96 - 1) = "0", OFFSET($A$1, 134 - 1, 97 - 1) = "1" ), 3, 4 ) ) )</f>
        <v>1</v>
      </c>
      <c r="CV134" s="24">
        <v>0.92007319384788433</v>
      </c>
      <c r="CW134" s="24" t="str">
        <f>"0"</f>
        <v>0</v>
      </c>
      <c r="CX134" t="str">
        <f ca="1">IF((OFFSET($A$1, 134 - 1, 100 - 1)) &gt;= (OFFSET($A$1, 78 - 1, 7 - 1)), "1","0")</f>
        <v>1</v>
      </c>
      <c r="CY134">
        <f ca="1" xml:space="preserve"> IF( AND( OFFSET($A$1, 134 - 1, 101 - 1) = "1", OFFSET($A$1, 134 - 1, 102 - 1) = "1" ), 1, IF( AND( OFFSET($A$1, 134 - 1, 101 - 1) = "1", OFFSET($A$1, 134 - 1, 102 - 1) = "0" ), 2, IF( AND( OFFSET($A$1, 134 - 1, 101 - 1) = "0", OFFSET($A$1, 134 - 1, 102 - 1) = "1" ), 3, 4 ) ) )</f>
        <v>3</v>
      </c>
    </row>
    <row r="135" spans="95:103" ht="13.8" x14ac:dyDescent="0.3">
      <c r="CQ135" s="24">
        <v>0.93301341118452519</v>
      </c>
      <c r="CR135" s="24" t="str">
        <f t="shared" si="9"/>
        <v>1</v>
      </c>
      <c r="CS135" t="str">
        <f ca="1">IF((OFFSET($A$1, 135 - 1, 95 - 1)) &gt;= (OFFSET($A$1, 54 - 1, 7 - 1)), "1","0")</f>
        <v>1</v>
      </c>
      <c r="CT135">
        <f ca="1" xml:space="preserve"> IF( AND( OFFSET($A$1, 135 - 1, 96 - 1) = "1", OFFSET($A$1, 135 - 1, 97 - 1) = "1" ), 1, IF( AND( OFFSET($A$1, 135 - 1, 96 - 1) = "1", OFFSET($A$1, 135 - 1, 97 - 1) = "0" ), 2, IF( AND( OFFSET($A$1, 135 - 1, 96 - 1) = "0", OFFSET($A$1, 135 - 1, 97 - 1) = "1" ), 3, 4 ) ) )</f>
        <v>1</v>
      </c>
      <c r="CV135" s="24">
        <v>0.95448383283487193</v>
      </c>
      <c r="CW135" s="24" t="str">
        <f>"0"</f>
        <v>0</v>
      </c>
      <c r="CX135" t="str">
        <f ca="1">IF((OFFSET($A$1, 135 - 1, 100 - 1)) &gt;= (OFFSET($A$1, 78 - 1, 7 - 1)), "1","0")</f>
        <v>1</v>
      </c>
      <c r="CY135">
        <f ca="1" xml:space="preserve"> IF( AND( OFFSET($A$1, 135 - 1, 101 - 1) = "1", OFFSET($A$1, 135 - 1, 102 - 1) = "1" ), 1, IF( AND( OFFSET($A$1, 135 - 1, 101 - 1) = "1", OFFSET($A$1, 135 - 1, 102 - 1) = "0" ), 2, IF( AND( OFFSET($A$1, 135 - 1, 101 - 1) = "0", OFFSET($A$1, 135 - 1, 102 - 1) = "1" ), 3, 4 ) ) )</f>
        <v>3</v>
      </c>
    </row>
    <row r="136" spans="95:103" ht="13.8" x14ac:dyDescent="0.3">
      <c r="CQ136" s="24">
        <v>0.97303589311268923</v>
      </c>
      <c r="CR136" s="24" t="str">
        <f t="shared" si="9"/>
        <v>1</v>
      </c>
      <c r="CS136" t="str">
        <f ca="1">IF((OFFSET($A$1, 136 - 1, 95 - 1)) &gt;= (OFFSET($A$1, 54 - 1, 7 - 1)), "1","0")</f>
        <v>1</v>
      </c>
      <c r="CT136">
        <f ca="1" xml:space="preserve"> IF( AND( OFFSET($A$1, 136 - 1, 96 - 1) = "1", OFFSET($A$1, 136 - 1, 97 - 1) = "1" ), 1, IF( AND( OFFSET($A$1, 136 - 1, 96 - 1) = "1", OFFSET($A$1, 136 - 1, 97 - 1) = "0" ), 2, IF( AND( OFFSET($A$1, 136 - 1, 96 - 1) = "0", OFFSET($A$1, 136 - 1, 97 - 1) = "1" ), 3, 4 ) ) )</f>
        <v>1</v>
      </c>
      <c r="CV136" s="24">
        <v>3.7377282741556918E-2</v>
      </c>
      <c r="CW136" s="24" t="str">
        <f>"0"</f>
        <v>0</v>
      </c>
      <c r="CX136" t="str">
        <f ca="1">IF((OFFSET($A$1, 136 - 1, 100 - 1)) &gt;= (OFFSET($A$1, 78 - 1, 7 - 1)), "1","0")</f>
        <v>0</v>
      </c>
      <c r="CY136">
        <f ca="1" xml:space="preserve"> IF( AND( OFFSET($A$1, 136 - 1, 101 - 1) = "1", OFFSET($A$1, 136 - 1, 102 - 1) = "1" ), 1, IF( AND( OFFSET($A$1, 136 - 1, 101 - 1) = "1", OFFSET($A$1, 136 - 1, 102 - 1) = "0" ), 2, IF( AND( OFFSET($A$1, 136 - 1, 101 - 1) = "0", OFFSET($A$1, 136 - 1, 102 - 1) = "1" ), 3, 4 ) ) )</f>
        <v>4</v>
      </c>
    </row>
    <row r="137" spans="95:103" ht="13.8" x14ac:dyDescent="0.3">
      <c r="CQ137" s="24">
        <v>0.99720681946857381</v>
      </c>
      <c r="CR137" s="24" t="str">
        <f t="shared" si="9"/>
        <v>1</v>
      </c>
      <c r="CS137" t="str">
        <f ca="1">IF((OFFSET($A$1, 137 - 1, 95 - 1)) &gt;= (OFFSET($A$1, 54 - 1, 7 - 1)), "1","0")</f>
        <v>1</v>
      </c>
      <c r="CT137">
        <f ca="1" xml:space="preserve"> IF( AND( OFFSET($A$1, 137 - 1, 96 - 1) = "1", OFFSET($A$1, 137 - 1, 97 - 1) = "1" ), 1, IF( AND( OFFSET($A$1, 137 - 1, 96 - 1) = "1", OFFSET($A$1, 137 - 1, 97 - 1) = "0" ), 2, IF( AND( OFFSET($A$1, 137 - 1, 96 - 1) = "0", OFFSET($A$1, 137 - 1, 97 - 1) = "1" ), 3, 4 ) ) )</f>
        <v>1</v>
      </c>
      <c r="CV137" s="24">
        <v>0.92456046346007237</v>
      </c>
      <c r="CW137" s="24" t="str">
        <f>"1"</f>
        <v>1</v>
      </c>
      <c r="CX137" t="str">
        <f ca="1">IF((OFFSET($A$1, 137 - 1, 100 - 1)) &gt;= (OFFSET($A$1, 78 - 1, 7 - 1)), "1","0")</f>
        <v>1</v>
      </c>
      <c r="CY137">
        <f ca="1" xml:space="preserve"> IF( AND( OFFSET($A$1, 137 - 1, 101 - 1) = "1", OFFSET($A$1, 137 - 1, 102 - 1) = "1" ), 1, IF( AND( OFFSET($A$1, 137 - 1, 101 - 1) = "1", OFFSET($A$1, 137 - 1, 102 - 1) = "0" ), 2, IF( AND( OFFSET($A$1, 137 - 1, 101 - 1) = "0", OFFSET($A$1, 137 - 1, 102 - 1) = "1" ), 3, 4 ) ) )</f>
        <v>1</v>
      </c>
    </row>
    <row r="138" spans="95:103" ht="13.8" x14ac:dyDescent="0.3">
      <c r="CQ138" s="24">
        <v>0.94833306757669689</v>
      </c>
      <c r="CR138" s="24" t="str">
        <f t="shared" si="9"/>
        <v>1</v>
      </c>
      <c r="CS138" t="str">
        <f ca="1">IF((OFFSET($A$1, 138 - 1, 95 - 1)) &gt;= (OFFSET($A$1, 54 - 1, 7 - 1)), "1","0")</f>
        <v>1</v>
      </c>
      <c r="CT138">
        <f ca="1" xml:space="preserve"> IF( AND( OFFSET($A$1, 138 - 1, 96 - 1) = "1", OFFSET($A$1, 138 - 1, 97 - 1) = "1" ), 1, IF( AND( OFFSET($A$1, 138 - 1, 96 - 1) = "1", OFFSET($A$1, 138 - 1, 97 - 1) = "0" ), 2, IF( AND( OFFSET($A$1, 138 - 1, 96 - 1) = "0", OFFSET($A$1, 138 - 1, 97 - 1) = "1" ), 3, 4 ) ) )</f>
        <v>1</v>
      </c>
      <c r="CV138" s="24">
        <v>0.99511268816366627</v>
      </c>
      <c r="CW138" s="24" t="str">
        <f>"0"</f>
        <v>0</v>
      </c>
      <c r="CX138" t="str">
        <f ca="1">IF((OFFSET($A$1, 138 - 1, 100 - 1)) &gt;= (OFFSET($A$1, 78 - 1, 7 - 1)), "1","0")</f>
        <v>1</v>
      </c>
      <c r="CY138">
        <f ca="1" xml:space="preserve"> IF( AND( OFFSET($A$1, 138 - 1, 101 - 1) = "1", OFFSET($A$1, 138 - 1, 102 - 1) = "1" ), 1, IF( AND( OFFSET($A$1, 138 - 1, 101 - 1) = "1", OFFSET($A$1, 138 - 1, 102 - 1) = "0" ), 2, IF( AND( OFFSET($A$1, 138 - 1, 101 - 1) = "0", OFFSET($A$1, 138 - 1, 102 - 1) = "1" ), 3, 4 ) ) )</f>
        <v>3</v>
      </c>
    </row>
    <row r="139" spans="95:103" ht="13.8" x14ac:dyDescent="0.3">
      <c r="CQ139" s="24">
        <v>0.97895184082279185</v>
      </c>
      <c r="CR139" s="24" t="str">
        <f t="shared" si="9"/>
        <v>1</v>
      </c>
      <c r="CS139" t="str">
        <f ca="1">IF((OFFSET($A$1, 139 - 1, 95 - 1)) &gt;= (OFFSET($A$1, 54 - 1, 7 - 1)), "1","0")</f>
        <v>1</v>
      </c>
      <c r="CT139">
        <f ca="1" xml:space="preserve"> IF( AND( OFFSET($A$1, 139 - 1, 96 - 1) = "1", OFFSET($A$1, 139 - 1, 97 - 1) = "1" ), 1, IF( AND( OFFSET($A$1, 139 - 1, 96 - 1) = "1", OFFSET($A$1, 139 - 1, 97 - 1) = "0" ), 2, IF( AND( OFFSET($A$1, 139 - 1, 96 - 1) = "0", OFFSET($A$1, 139 - 1, 97 - 1) = "1" ), 3, 4 ) ) )</f>
        <v>1</v>
      </c>
      <c r="CV139" s="24">
        <v>1.1347246831748552E-2</v>
      </c>
      <c r="CW139" s="24" t="str">
        <f>"0"</f>
        <v>0</v>
      </c>
      <c r="CX139" t="str">
        <f ca="1">IF((OFFSET($A$1, 139 - 1, 100 - 1)) &gt;= (OFFSET($A$1, 78 - 1, 7 - 1)), "1","0")</f>
        <v>0</v>
      </c>
      <c r="CY139">
        <f ca="1" xml:space="preserve"> IF( AND( OFFSET($A$1, 139 - 1, 101 - 1) = "1", OFFSET($A$1, 139 - 1, 102 - 1) = "1" ), 1, IF( AND( OFFSET($A$1, 139 - 1, 101 - 1) = "1", OFFSET($A$1, 139 - 1, 102 - 1) = "0" ), 2, IF( AND( OFFSET($A$1, 139 - 1, 101 - 1) = "0", OFFSET($A$1, 139 - 1, 102 - 1) = "1" ), 3, 4 ) ) )</f>
        <v>4</v>
      </c>
    </row>
    <row r="140" spans="95:103" ht="13.8" x14ac:dyDescent="0.3">
      <c r="CQ140" s="24">
        <v>0.10162367460562</v>
      </c>
      <c r="CR140" s="24" t="str">
        <f>"0"</f>
        <v>0</v>
      </c>
      <c r="CS140" t="str">
        <f ca="1">IF((OFFSET($A$1, 140 - 1, 95 - 1)) &gt;= (OFFSET($A$1, 54 - 1, 7 - 1)), "1","0")</f>
        <v>0</v>
      </c>
      <c r="CT140">
        <f ca="1" xml:space="preserve"> IF( AND( OFFSET($A$1, 140 - 1, 96 - 1) = "1", OFFSET($A$1, 140 - 1, 97 - 1) = "1" ), 1, IF( AND( OFFSET($A$1, 140 - 1, 96 - 1) = "1", OFFSET($A$1, 140 - 1, 97 - 1) = "0" ), 2, IF( AND( OFFSET($A$1, 140 - 1, 96 - 1) = "0", OFFSET($A$1, 140 - 1, 97 - 1) = "1" ), 3, 4 ) ) )</f>
        <v>4</v>
      </c>
      <c r="CV140" s="24">
        <v>0.92569181543435075</v>
      </c>
      <c r="CW140" s="24" t="str">
        <f>"1"</f>
        <v>1</v>
      </c>
      <c r="CX140" t="str">
        <f ca="1">IF((OFFSET($A$1, 140 - 1, 100 - 1)) &gt;= (OFFSET($A$1, 78 - 1, 7 - 1)), "1","0")</f>
        <v>1</v>
      </c>
      <c r="CY140">
        <f ca="1" xml:space="preserve"> IF( AND( OFFSET($A$1, 140 - 1, 101 - 1) = "1", OFFSET($A$1, 140 - 1, 102 - 1) = "1" ), 1, IF( AND( OFFSET($A$1, 140 - 1, 101 - 1) = "1", OFFSET($A$1, 140 - 1, 102 - 1) = "0" ), 2, IF( AND( OFFSET($A$1, 140 - 1, 101 - 1) = "0", OFFSET($A$1, 140 - 1, 102 - 1) = "1" ), 3, 4 ) ) )</f>
        <v>1</v>
      </c>
    </row>
    <row r="141" spans="95:103" ht="13.8" x14ac:dyDescent="0.3">
      <c r="CQ141" s="24">
        <v>0.99860082919383331</v>
      </c>
      <c r="CR141" s="24" t="str">
        <f>"1"</f>
        <v>1</v>
      </c>
      <c r="CS141" t="str">
        <f ca="1">IF((OFFSET($A$1, 141 - 1, 95 - 1)) &gt;= (OFFSET($A$1, 54 - 1, 7 - 1)), "1","0")</f>
        <v>1</v>
      </c>
      <c r="CT141">
        <f ca="1" xml:space="preserve"> IF( AND( OFFSET($A$1, 141 - 1, 96 - 1) = "1", OFFSET($A$1, 141 - 1, 97 - 1) = "1" ), 1, IF( AND( OFFSET($A$1, 141 - 1, 96 - 1) = "1", OFFSET($A$1, 141 - 1, 97 - 1) = "0" ), 2, IF( AND( OFFSET($A$1, 141 - 1, 96 - 1) = "0", OFFSET($A$1, 141 - 1, 97 - 1) = "1" ), 3, 4 ) ) )</f>
        <v>1</v>
      </c>
      <c r="CV141" s="24">
        <v>0.27408249705693888</v>
      </c>
      <c r="CW141" s="24" t="str">
        <f>"0"</f>
        <v>0</v>
      </c>
      <c r="CX141" t="str">
        <f ca="1">IF((OFFSET($A$1, 141 - 1, 100 - 1)) &gt;= (OFFSET($A$1, 78 - 1, 7 - 1)), "1","0")</f>
        <v>0</v>
      </c>
      <c r="CY141">
        <f ca="1" xml:space="preserve"> IF( AND( OFFSET($A$1, 141 - 1, 101 - 1) = "1", OFFSET($A$1, 141 - 1, 102 - 1) = "1" ), 1, IF( AND( OFFSET($A$1, 141 - 1, 101 - 1) = "1", OFFSET($A$1, 141 - 1, 102 - 1) = "0" ), 2, IF( AND( OFFSET($A$1, 141 - 1, 101 - 1) = "0", OFFSET($A$1, 141 - 1, 102 - 1) = "1" ), 3, 4 ) ) )</f>
        <v>4</v>
      </c>
    </row>
    <row r="142" spans="95:103" ht="13.8" x14ac:dyDescent="0.3">
      <c r="CQ142" s="24">
        <v>0.10377521863691794</v>
      </c>
      <c r="CR142" s="24" t="str">
        <f>"0"</f>
        <v>0</v>
      </c>
      <c r="CS142" t="str">
        <f ca="1">IF((OFFSET($A$1, 142 - 1, 95 - 1)) &gt;= (OFFSET($A$1, 54 - 1, 7 - 1)), "1","0")</f>
        <v>0</v>
      </c>
      <c r="CT142">
        <f ca="1" xml:space="preserve"> IF( AND( OFFSET($A$1, 142 - 1, 96 - 1) = "1", OFFSET($A$1, 142 - 1, 97 - 1) = "1" ), 1, IF( AND( OFFSET($A$1, 142 - 1, 96 - 1) = "1", OFFSET($A$1, 142 - 1, 97 - 1) = "0" ), 2, IF( AND( OFFSET($A$1, 142 - 1, 96 - 1) = "0", OFFSET($A$1, 142 - 1, 97 - 1) = "1" ), 3, 4 ) ) )</f>
        <v>4</v>
      </c>
      <c r="CV142" s="24">
        <v>0.99999998322217609</v>
      </c>
      <c r="CW142" s="24" t="str">
        <f t="shared" ref="CW142:CW150" si="10">"1"</f>
        <v>1</v>
      </c>
      <c r="CX142" t="str">
        <f ca="1">IF((OFFSET($A$1, 142 - 1, 100 - 1)) &gt;= (OFFSET($A$1, 78 - 1, 7 - 1)), "1","0")</f>
        <v>1</v>
      </c>
      <c r="CY142">
        <f ca="1" xml:space="preserve"> IF( AND( OFFSET($A$1, 142 - 1, 101 - 1) = "1", OFFSET($A$1, 142 - 1, 102 - 1) = "1" ), 1, IF( AND( OFFSET($A$1, 142 - 1, 101 - 1) = "1", OFFSET($A$1, 142 - 1, 102 - 1) = "0" ), 2, IF( AND( OFFSET($A$1, 142 - 1, 101 - 1) = "0", OFFSET($A$1, 142 - 1, 102 - 1) = "1" ), 3, 4 ) ) )</f>
        <v>1</v>
      </c>
    </row>
    <row r="143" spans="95:103" ht="13.8" x14ac:dyDescent="0.3">
      <c r="CQ143" s="24">
        <v>0.99525289847823728</v>
      </c>
      <c r="CR143" s="24" t="str">
        <f>"1"</f>
        <v>1</v>
      </c>
      <c r="CS143" t="str">
        <f ca="1">IF((OFFSET($A$1, 143 - 1, 95 - 1)) &gt;= (OFFSET($A$1, 54 - 1, 7 - 1)), "1","0")</f>
        <v>1</v>
      </c>
      <c r="CT143">
        <f ca="1" xml:space="preserve"> IF( AND( OFFSET($A$1, 143 - 1, 96 - 1) = "1", OFFSET($A$1, 143 - 1, 97 - 1) = "1" ), 1, IF( AND( OFFSET($A$1, 143 - 1, 96 - 1) = "1", OFFSET($A$1, 143 - 1, 97 - 1) = "0" ), 2, IF( AND( OFFSET($A$1, 143 - 1, 96 - 1) = "0", OFFSET($A$1, 143 - 1, 97 - 1) = "1" ), 3, 4 ) ) )</f>
        <v>1</v>
      </c>
      <c r="CV143" s="24">
        <v>0.97426673057366142</v>
      </c>
      <c r="CW143" s="24" t="str">
        <f t="shared" si="10"/>
        <v>1</v>
      </c>
      <c r="CX143" t="str">
        <f ca="1">IF((OFFSET($A$1, 143 - 1, 100 - 1)) &gt;= (OFFSET($A$1, 78 - 1, 7 - 1)), "1","0")</f>
        <v>1</v>
      </c>
      <c r="CY143">
        <f ca="1" xml:space="preserve"> IF( AND( OFFSET($A$1, 143 - 1, 101 - 1) = "1", OFFSET($A$1, 143 - 1, 102 - 1) = "1" ), 1, IF( AND( OFFSET($A$1, 143 - 1, 101 - 1) = "1", OFFSET($A$1, 143 - 1, 102 - 1) = "0" ), 2, IF( AND( OFFSET($A$1, 143 - 1, 101 - 1) = "0", OFFSET($A$1, 143 - 1, 102 - 1) = "1" ), 3, 4 ) ) )</f>
        <v>1</v>
      </c>
    </row>
    <row r="144" spans="95:103" ht="13.8" x14ac:dyDescent="0.3">
      <c r="CQ144" s="24">
        <v>0.99976482088904239</v>
      </c>
      <c r="CR144" s="24" t="str">
        <f>"1"</f>
        <v>1</v>
      </c>
      <c r="CS144" t="str">
        <f ca="1">IF((OFFSET($A$1, 144 - 1, 95 - 1)) &gt;= (OFFSET($A$1, 54 - 1, 7 - 1)), "1","0")</f>
        <v>1</v>
      </c>
      <c r="CT144">
        <f ca="1" xml:space="preserve"> IF( AND( OFFSET($A$1, 144 - 1, 96 - 1) = "1", OFFSET($A$1, 144 - 1, 97 - 1) = "1" ), 1, IF( AND( OFFSET($A$1, 144 - 1, 96 - 1) = "1", OFFSET($A$1, 144 - 1, 97 - 1) = "0" ), 2, IF( AND( OFFSET($A$1, 144 - 1, 96 - 1) = "0", OFFSET($A$1, 144 - 1, 97 - 1) = "1" ), 3, 4 ) ) )</f>
        <v>1</v>
      </c>
      <c r="CV144" s="24">
        <v>0.88951438766277335</v>
      </c>
      <c r="CW144" s="24" t="str">
        <f t="shared" si="10"/>
        <v>1</v>
      </c>
      <c r="CX144" t="str">
        <f ca="1">IF((OFFSET($A$1, 144 - 1, 100 - 1)) &gt;= (OFFSET($A$1, 78 - 1, 7 - 1)), "1","0")</f>
        <v>1</v>
      </c>
      <c r="CY144">
        <f ca="1" xml:space="preserve"> IF( AND( OFFSET($A$1, 144 - 1, 101 - 1) = "1", OFFSET($A$1, 144 - 1, 102 - 1) = "1" ), 1, IF( AND( OFFSET($A$1, 144 - 1, 101 - 1) = "1", OFFSET($A$1, 144 - 1, 102 - 1) = "0" ), 2, IF( AND( OFFSET($A$1, 144 - 1, 101 - 1) = "0", OFFSET($A$1, 144 - 1, 102 - 1) = "1" ), 3, 4 ) ) )</f>
        <v>1</v>
      </c>
    </row>
    <row r="145" spans="95:103" ht="13.8" x14ac:dyDescent="0.3">
      <c r="CQ145" s="24">
        <v>7.2993761791449327E-2</v>
      </c>
      <c r="CR145" s="24" t="str">
        <f>"0"</f>
        <v>0</v>
      </c>
      <c r="CS145" t="str">
        <f ca="1">IF((OFFSET($A$1, 145 - 1, 95 - 1)) &gt;= (OFFSET($A$1, 54 - 1, 7 - 1)), "1","0")</f>
        <v>0</v>
      </c>
      <c r="CT145">
        <f ca="1" xml:space="preserve"> IF( AND( OFFSET($A$1, 145 - 1, 96 - 1) = "1", OFFSET($A$1, 145 - 1, 97 - 1) = "1" ), 1, IF( AND( OFFSET($A$1, 145 - 1, 96 - 1) = "1", OFFSET($A$1, 145 - 1, 97 - 1) = "0" ), 2, IF( AND( OFFSET($A$1, 145 - 1, 96 - 1) = "0", OFFSET($A$1, 145 - 1, 97 - 1) = "1" ), 3, 4 ) ) )</f>
        <v>4</v>
      </c>
      <c r="CV145" s="24">
        <v>0.99994049196335599</v>
      </c>
      <c r="CW145" s="24" t="str">
        <f t="shared" si="10"/>
        <v>1</v>
      </c>
      <c r="CX145" t="str">
        <f ca="1">IF((OFFSET($A$1, 145 - 1, 100 - 1)) &gt;= (OFFSET($A$1, 78 - 1, 7 - 1)), "1","0")</f>
        <v>1</v>
      </c>
      <c r="CY145">
        <f ca="1" xml:space="preserve"> IF( AND( OFFSET($A$1, 145 - 1, 101 - 1) = "1", OFFSET($A$1, 145 - 1, 102 - 1) = "1" ), 1, IF( AND( OFFSET($A$1, 145 - 1, 101 - 1) = "1", OFFSET($A$1, 145 - 1, 102 - 1) = "0" ), 2, IF( AND( OFFSET($A$1, 145 - 1, 101 - 1) = "0", OFFSET($A$1, 145 - 1, 102 - 1) = "1" ), 3, 4 ) ) )</f>
        <v>1</v>
      </c>
    </row>
    <row r="146" spans="95:103" ht="13.8" x14ac:dyDescent="0.3">
      <c r="CQ146" s="24">
        <v>0.98982850158839941</v>
      </c>
      <c r="CR146" s="24" t="str">
        <f t="shared" ref="CR146:CR151" si="11">"1"</f>
        <v>1</v>
      </c>
      <c r="CS146" t="str">
        <f ca="1">IF((OFFSET($A$1, 146 - 1, 95 - 1)) &gt;= (OFFSET($A$1, 54 - 1, 7 - 1)), "1","0")</f>
        <v>1</v>
      </c>
      <c r="CT146">
        <f ca="1" xml:space="preserve"> IF( AND( OFFSET($A$1, 146 - 1, 96 - 1) = "1", OFFSET($A$1, 146 - 1, 97 - 1) = "1" ), 1, IF( AND( OFFSET($A$1, 146 - 1, 96 - 1) = "1", OFFSET($A$1, 146 - 1, 97 - 1) = "0" ), 2, IF( AND( OFFSET($A$1, 146 - 1, 96 - 1) = "0", OFFSET($A$1, 146 - 1, 97 - 1) = "1" ), 3, 4 ) ) )</f>
        <v>1</v>
      </c>
      <c r="CV146" s="24">
        <v>0.8607491561498567</v>
      </c>
      <c r="CW146" s="24" t="str">
        <f t="shared" si="10"/>
        <v>1</v>
      </c>
      <c r="CX146" t="str">
        <f ca="1">IF((OFFSET($A$1, 146 - 1, 100 - 1)) &gt;= (OFFSET($A$1, 78 - 1, 7 - 1)), "1","0")</f>
        <v>1</v>
      </c>
      <c r="CY146">
        <f ca="1" xml:space="preserve"> IF( AND( OFFSET($A$1, 146 - 1, 101 - 1) = "1", OFFSET($A$1, 146 - 1, 102 - 1) = "1" ), 1, IF( AND( OFFSET($A$1, 146 - 1, 101 - 1) = "1", OFFSET($A$1, 146 - 1, 102 - 1) = "0" ), 2, IF( AND( OFFSET($A$1, 146 - 1, 101 - 1) = "0", OFFSET($A$1, 146 - 1, 102 - 1) = "1" ), 3, 4 ) ) )</f>
        <v>1</v>
      </c>
    </row>
    <row r="147" spans="95:103" ht="13.8" x14ac:dyDescent="0.3">
      <c r="CQ147" s="24">
        <v>0.99914559854196872</v>
      </c>
      <c r="CR147" s="24" t="str">
        <f t="shared" si="11"/>
        <v>1</v>
      </c>
      <c r="CS147" t="str">
        <f ca="1">IF((OFFSET($A$1, 147 - 1, 95 - 1)) &gt;= (OFFSET($A$1, 54 - 1, 7 - 1)), "1","0")</f>
        <v>1</v>
      </c>
      <c r="CT147">
        <f ca="1" xml:space="preserve"> IF( AND( OFFSET($A$1, 147 - 1, 96 - 1) = "1", OFFSET($A$1, 147 - 1, 97 - 1) = "1" ), 1, IF( AND( OFFSET($A$1, 147 - 1, 96 - 1) = "1", OFFSET($A$1, 147 - 1, 97 - 1) = "0" ), 2, IF( AND( OFFSET($A$1, 147 - 1, 96 - 1) = "0", OFFSET($A$1, 147 - 1, 97 - 1) = "1" ), 3, 4 ) ) )</f>
        <v>1</v>
      </c>
      <c r="CV147" s="24">
        <v>0.98243400344939291</v>
      </c>
      <c r="CW147" s="24" t="str">
        <f t="shared" si="10"/>
        <v>1</v>
      </c>
      <c r="CX147" t="str">
        <f ca="1">IF((OFFSET($A$1, 147 - 1, 100 - 1)) &gt;= (OFFSET($A$1, 78 - 1, 7 - 1)), "1","0")</f>
        <v>1</v>
      </c>
      <c r="CY147">
        <f ca="1" xml:space="preserve"> IF( AND( OFFSET($A$1, 147 - 1, 101 - 1) = "1", OFFSET($A$1, 147 - 1, 102 - 1) = "1" ), 1, IF( AND( OFFSET($A$1, 147 - 1, 101 - 1) = "1", OFFSET($A$1, 147 - 1, 102 - 1) = "0" ), 2, IF( AND( OFFSET($A$1, 147 - 1, 101 - 1) = "0", OFFSET($A$1, 147 - 1, 102 - 1) = "1" ), 3, 4 ) ) )</f>
        <v>1</v>
      </c>
    </row>
    <row r="148" spans="95:103" ht="13.8" x14ac:dyDescent="0.3">
      <c r="CQ148" s="24">
        <v>0.99413069708626545</v>
      </c>
      <c r="CR148" s="24" t="str">
        <f t="shared" si="11"/>
        <v>1</v>
      </c>
      <c r="CS148" t="str">
        <f ca="1">IF((OFFSET($A$1, 148 - 1, 95 - 1)) &gt;= (OFFSET($A$1, 54 - 1, 7 - 1)), "1","0")</f>
        <v>1</v>
      </c>
      <c r="CT148">
        <f ca="1" xml:space="preserve"> IF( AND( OFFSET($A$1, 148 - 1, 96 - 1) = "1", OFFSET($A$1, 148 - 1, 97 - 1) = "1" ), 1, IF( AND( OFFSET($A$1, 148 - 1, 96 - 1) = "1", OFFSET($A$1, 148 - 1, 97 - 1) = "0" ), 2, IF( AND( OFFSET($A$1, 148 - 1, 96 - 1) = "0", OFFSET($A$1, 148 - 1, 97 - 1) = "1" ), 3, 4 ) ) )</f>
        <v>1</v>
      </c>
      <c r="CV148" s="24">
        <v>0.99976689351133974</v>
      </c>
      <c r="CW148" s="24" t="str">
        <f t="shared" si="10"/>
        <v>1</v>
      </c>
      <c r="CX148" t="str">
        <f ca="1">IF((OFFSET($A$1, 148 - 1, 100 - 1)) &gt;= (OFFSET($A$1, 78 - 1, 7 - 1)), "1","0")</f>
        <v>1</v>
      </c>
      <c r="CY148">
        <f ca="1" xml:space="preserve"> IF( AND( OFFSET($A$1, 148 - 1, 101 - 1) = "1", OFFSET($A$1, 148 - 1, 102 - 1) = "1" ), 1, IF( AND( OFFSET($A$1, 148 - 1, 101 - 1) = "1", OFFSET($A$1, 148 - 1, 102 - 1) = "0" ), 2, IF( AND( OFFSET($A$1, 148 - 1, 101 - 1) = "0", OFFSET($A$1, 148 - 1, 102 - 1) = "1" ), 3, 4 ) ) )</f>
        <v>1</v>
      </c>
    </row>
    <row r="149" spans="95:103" ht="13.8" x14ac:dyDescent="0.3">
      <c r="CQ149" s="24">
        <v>0.99924201621251629</v>
      </c>
      <c r="CR149" s="24" t="str">
        <f t="shared" si="11"/>
        <v>1</v>
      </c>
      <c r="CS149" t="str">
        <f ca="1">IF((OFFSET($A$1, 149 - 1, 95 - 1)) &gt;= (OFFSET($A$1, 54 - 1, 7 - 1)), "1","0")</f>
        <v>1</v>
      </c>
      <c r="CT149">
        <f ca="1" xml:space="preserve"> IF( AND( OFFSET($A$1, 149 - 1, 96 - 1) = "1", OFFSET($A$1, 149 - 1, 97 - 1) = "1" ), 1, IF( AND( OFFSET($A$1, 149 - 1, 96 - 1) = "1", OFFSET($A$1, 149 - 1, 97 - 1) = "0" ), 2, IF( AND( OFFSET($A$1, 149 - 1, 96 - 1) = "0", OFFSET($A$1, 149 - 1, 97 - 1) = "1" ), 3, 4 ) ) )</f>
        <v>1</v>
      </c>
      <c r="CV149" s="24">
        <v>0.22745398152425272</v>
      </c>
      <c r="CW149" s="24" t="str">
        <f t="shared" si="10"/>
        <v>1</v>
      </c>
      <c r="CX149" t="str">
        <f ca="1">IF((OFFSET($A$1, 149 - 1, 100 - 1)) &gt;= (OFFSET($A$1, 78 - 1, 7 - 1)), "1","0")</f>
        <v>0</v>
      </c>
      <c r="CY149">
        <f ca="1" xml:space="preserve"> IF( AND( OFFSET($A$1, 149 - 1, 101 - 1) = "1", OFFSET($A$1, 149 - 1, 102 - 1) = "1" ), 1, IF( AND( OFFSET($A$1, 149 - 1, 101 - 1) = "1", OFFSET($A$1, 149 - 1, 102 - 1) = "0" ), 2, IF( AND( OFFSET($A$1, 149 - 1, 101 - 1) = "0", OFFSET($A$1, 149 - 1, 102 - 1) = "1" ), 3, 4 ) ) )</f>
        <v>2</v>
      </c>
    </row>
    <row r="150" spans="95:103" ht="13.8" x14ac:dyDescent="0.3">
      <c r="CQ150" s="24">
        <v>0.93612312243613693</v>
      </c>
      <c r="CR150" s="24" t="str">
        <f t="shared" si="11"/>
        <v>1</v>
      </c>
      <c r="CS150" t="str">
        <f ca="1">IF((OFFSET($A$1, 150 - 1, 95 - 1)) &gt;= (OFFSET($A$1, 54 - 1, 7 - 1)), "1","0")</f>
        <v>1</v>
      </c>
      <c r="CT150">
        <f ca="1" xml:space="preserve"> IF( AND( OFFSET($A$1, 150 - 1, 96 - 1) = "1", OFFSET($A$1, 150 - 1, 97 - 1) = "1" ), 1, IF( AND( OFFSET($A$1, 150 - 1, 96 - 1) = "1", OFFSET($A$1, 150 - 1, 97 - 1) = "0" ), 2, IF( AND( OFFSET($A$1, 150 - 1, 96 - 1) = "0", OFFSET($A$1, 150 - 1, 97 - 1) = "1" ), 3, 4 ) ) )</f>
        <v>1</v>
      </c>
      <c r="CV150" s="24">
        <v>0.99663221348520814</v>
      </c>
      <c r="CW150" s="24" t="str">
        <f t="shared" si="10"/>
        <v>1</v>
      </c>
      <c r="CX150" t="str">
        <f ca="1">IF((OFFSET($A$1, 150 - 1, 100 - 1)) &gt;= (OFFSET($A$1, 78 - 1, 7 - 1)), "1","0")</f>
        <v>1</v>
      </c>
      <c r="CY150">
        <f ca="1" xml:space="preserve"> IF( AND( OFFSET($A$1, 150 - 1, 101 - 1) = "1", OFFSET($A$1, 150 - 1, 102 - 1) = "1" ), 1, IF( AND( OFFSET($A$1, 150 - 1, 101 - 1) = "1", OFFSET($A$1, 150 - 1, 102 - 1) = "0" ), 2, IF( AND( OFFSET($A$1, 150 - 1, 101 - 1) = "0", OFFSET($A$1, 150 - 1, 102 - 1) = "1" ), 3, 4 ) ) )</f>
        <v>1</v>
      </c>
    </row>
    <row r="151" spans="95:103" ht="13.8" x14ac:dyDescent="0.3">
      <c r="CQ151" s="24">
        <v>0.99851833709001858</v>
      </c>
      <c r="CR151" s="24" t="str">
        <f t="shared" si="11"/>
        <v>1</v>
      </c>
      <c r="CS151" t="str">
        <f ca="1">IF((OFFSET($A$1, 151 - 1, 95 - 1)) &gt;= (OFFSET($A$1, 54 - 1, 7 - 1)), "1","0")</f>
        <v>1</v>
      </c>
      <c r="CT151">
        <f ca="1" xml:space="preserve"> IF( AND( OFFSET($A$1, 151 - 1, 96 - 1) = "1", OFFSET($A$1, 151 - 1, 97 - 1) = "1" ), 1, IF( AND( OFFSET($A$1, 151 - 1, 96 - 1) = "1", OFFSET($A$1, 151 - 1, 97 - 1) = "0" ), 2, IF( AND( OFFSET($A$1, 151 - 1, 96 - 1) = "0", OFFSET($A$1, 151 - 1, 97 - 1) = "1" ), 3, 4 ) ) )</f>
        <v>1</v>
      </c>
      <c r="CV151" s="24">
        <v>0.89182226818458765</v>
      </c>
      <c r="CW151" s="24" t="str">
        <f>"0"</f>
        <v>0</v>
      </c>
      <c r="CX151" t="str">
        <f ca="1">IF((OFFSET($A$1, 151 - 1, 100 - 1)) &gt;= (OFFSET($A$1, 78 - 1, 7 - 1)), "1","0")</f>
        <v>1</v>
      </c>
      <c r="CY151">
        <f ca="1" xml:space="preserve"> IF( AND( OFFSET($A$1, 151 - 1, 101 - 1) = "1", OFFSET($A$1, 151 - 1, 102 - 1) = "1" ), 1, IF( AND( OFFSET($A$1, 151 - 1, 101 - 1) = "1", OFFSET($A$1, 151 - 1, 102 - 1) = "0" ), 2, IF( AND( OFFSET($A$1, 151 - 1, 101 - 1) = "0", OFFSET($A$1, 151 - 1, 102 - 1) = "1" ), 3, 4 ) ) )</f>
        <v>3</v>
      </c>
    </row>
    <row r="152" spans="95:103" ht="13.8" x14ac:dyDescent="0.3">
      <c r="CQ152" s="24">
        <v>2.2423331049851197E-2</v>
      </c>
      <c r="CR152" s="24" t="str">
        <f>"0"</f>
        <v>0</v>
      </c>
      <c r="CS152" t="str">
        <f ca="1">IF((OFFSET($A$1, 152 - 1, 95 - 1)) &gt;= (OFFSET($A$1, 54 - 1, 7 - 1)), "1","0")</f>
        <v>0</v>
      </c>
      <c r="CT152">
        <f ca="1" xml:space="preserve"> IF( AND( OFFSET($A$1, 152 - 1, 96 - 1) = "1", OFFSET($A$1, 152 - 1, 97 - 1) = "1" ), 1, IF( AND( OFFSET($A$1, 152 - 1, 96 - 1) = "1", OFFSET($A$1, 152 - 1, 97 - 1) = "0" ), 2, IF( AND( OFFSET($A$1, 152 - 1, 96 - 1) = "0", OFFSET($A$1, 152 - 1, 97 - 1) = "1" ), 3, 4 ) ) )</f>
        <v>4</v>
      </c>
      <c r="CV152" s="24">
        <v>0.89705227566902035</v>
      </c>
      <c r="CW152" s="24" t="str">
        <f>"0"</f>
        <v>0</v>
      </c>
      <c r="CX152" t="str">
        <f ca="1">IF((OFFSET($A$1, 152 - 1, 100 - 1)) &gt;= (OFFSET($A$1, 78 - 1, 7 - 1)), "1","0")</f>
        <v>1</v>
      </c>
      <c r="CY152">
        <f ca="1" xml:space="preserve"> IF( AND( OFFSET($A$1, 152 - 1, 101 - 1) = "1", OFFSET($A$1, 152 - 1, 102 - 1) = "1" ), 1, IF( AND( OFFSET($A$1, 152 - 1, 101 - 1) = "1", OFFSET($A$1, 152 - 1, 102 - 1) = "0" ), 2, IF( AND( OFFSET($A$1, 152 - 1, 101 - 1) = "0", OFFSET($A$1, 152 - 1, 102 - 1) = "1" ), 3, 4 ) ) )</f>
        <v>3</v>
      </c>
    </row>
    <row r="153" spans="95:103" ht="13.8" x14ac:dyDescent="0.3">
      <c r="CQ153" s="24">
        <v>0.96432687516000071</v>
      </c>
      <c r="CR153" s="24" t="str">
        <f>"1"</f>
        <v>1</v>
      </c>
      <c r="CS153" t="str">
        <f ca="1">IF((OFFSET($A$1, 153 - 1, 95 - 1)) &gt;= (OFFSET($A$1, 54 - 1, 7 - 1)), "1","0")</f>
        <v>1</v>
      </c>
      <c r="CT153">
        <f ca="1" xml:space="preserve"> IF( AND( OFFSET($A$1, 153 - 1, 96 - 1) = "1", OFFSET($A$1, 153 - 1, 97 - 1) = "1" ), 1, IF( AND( OFFSET($A$1, 153 - 1, 96 - 1) = "1", OFFSET($A$1, 153 - 1, 97 - 1) = "0" ), 2, IF( AND( OFFSET($A$1, 153 - 1, 96 - 1) = "0", OFFSET($A$1, 153 - 1, 97 - 1) = "1" ), 3, 4 ) ) )</f>
        <v>1</v>
      </c>
      <c r="CV153" s="24">
        <v>0.90508961377495267</v>
      </c>
      <c r="CW153" s="24" t="str">
        <f>"1"</f>
        <v>1</v>
      </c>
      <c r="CX153" t="str">
        <f ca="1">IF((OFFSET($A$1, 153 - 1, 100 - 1)) &gt;= (OFFSET($A$1, 78 - 1, 7 - 1)), "1","0")</f>
        <v>1</v>
      </c>
      <c r="CY153">
        <f ca="1" xml:space="preserve"> IF( AND( OFFSET($A$1, 153 - 1, 101 - 1) = "1", OFFSET($A$1, 153 - 1, 102 - 1) = "1" ), 1, IF( AND( OFFSET($A$1, 153 - 1, 101 - 1) = "1", OFFSET($A$1, 153 - 1, 102 - 1) = "0" ), 2, IF( AND( OFFSET($A$1, 153 - 1, 101 - 1) = "0", OFFSET($A$1, 153 - 1, 102 - 1) = "1" ), 3, 4 ) ) )</f>
        <v>1</v>
      </c>
    </row>
    <row r="154" spans="95:103" ht="13.8" x14ac:dyDescent="0.3">
      <c r="CQ154" s="24">
        <v>0.99733431383532301</v>
      </c>
      <c r="CR154" s="24" t="str">
        <f>"1"</f>
        <v>1</v>
      </c>
      <c r="CS154" t="str">
        <f ca="1">IF((OFFSET($A$1, 154 - 1, 95 - 1)) &gt;= (OFFSET($A$1, 54 - 1, 7 - 1)), "1","0")</f>
        <v>1</v>
      </c>
      <c r="CT154">
        <f ca="1" xml:space="preserve"> IF( AND( OFFSET($A$1, 154 - 1, 96 - 1) = "1", OFFSET($A$1, 154 - 1, 97 - 1) = "1" ), 1, IF( AND( OFFSET($A$1, 154 - 1, 96 - 1) = "1", OFFSET($A$1, 154 - 1, 97 - 1) = "0" ), 2, IF( AND( OFFSET($A$1, 154 - 1, 96 - 1) = "0", OFFSET($A$1, 154 - 1, 97 - 1) = "1" ), 3, 4 ) ) )</f>
        <v>1</v>
      </c>
      <c r="CV154" s="24">
        <v>0.99486042055200707</v>
      </c>
      <c r="CW154" s="24" t="str">
        <f>"1"</f>
        <v>1</v>
      </c>
      <c r="CX154" t="str">
        <f ca="1">IF((OFFSET($A$1, 154 - 1, 100 - 1)) &gt;= (OFFSET($A$1, 78 - 1, 7 - 1)), "1","0")</f>
        <v>1</v>
      </c>
      <c r="CY154">
        <f ca="1" xml:space="preserve"> IF( AND( OFFSET($A$1, 154 - 1, 101 - 1) = "1", OFFSET($A$1, 154 - 1, 102 - 1) = "1" ), 1, IF( AND( OFFSET($A$1, 154 - 1, 101 - 1) = "1", OFFSET($A$1, 154 - 1, 102 - 1) = "0" ), 2, IF( AND( OFFSET($A$1, 154 - 1, 101 - 1) = "0", OFFSET($A$1, 154 - 1, 102 - 1) = "1" ), 3, 4 ) ) )</f>
        <v>1</v>
      </c>
    </row>
    <row r="155" spans="95:103" ht="13.8" x14ac:dyDescent="0.3">
      <c r="CQ155" s="24">
        <v>0.99997973460197453</v>
      </c>
      <c r="CR155" s="24" t="str">
        <f>"1"</f>
        <v>1</v>
      </c>
      <c r="CS155" t="str">
        <f ca="1">IF((OFFSET($A$1, 155 - 1, 95 - 1)) &gt;= (OFFSET($A$1, 54 - 1, 7 - 1)), "1","0")</f>
        <v>1</v>
      </c>
      <c r="CT155">
        <f ca="1" xml:space="preserve"> IF( AND( OFFSET($A$1, 155 - 1, 96 - 1) = "1", OFFSET($A$1, 155 - 1, 97 - 1) = "1" ), 1, IF( AND( OFFSET($A$1, 155 - 1, 96 - 1) = "1", OFFSET($A$1, 155 - 1, 97 - 1) = "0" ), 2, IF( AND( OFFSET($A$1, 155 - 1, 96 - 1) = "0", OFFSET($A$1, 155 - 1, 97 - 1) = "1" ), 3, 4 ) ) )</f>
        <v>1</v>
      </c>
      <c r="CV155" s="24">
        <v>0.86264518572783822</v>
      </c>
      <c r="CW155" s="24" t="str">
        <f>"1"</f>
        <v>1</v>
      </c>
      <c r="CX155" t="str">
        <f ca="1">IF((OFFSET($A$1, 155 - 1, 100 - 1)) &gt;= (OFFSET($A$1, 78 - 1, 7 - 1)), "1","0")</f>
        <v>1</v>
      </c>
      <c r="CY155">
        <f ca="1" xml:space="preserve"> IF( AND( OFFSET($A$1, 155 - 1, 101 - 1) = "1", OFFSET($A$1, 155 - 1, 102 - 1) = "1" ), 1, IF( AND( OFFSET($A$1, 155 - 1, 101 - 1) = "1", OFFSET($A$1, 155 - 1, 102 - 1) = "0" ), 2, IF( AND( OFFSET($A$1, 155 - 1, 101 - 1) = "0", OFFSET($A$1, 155 - 1, 102 - 1) = "1" ), 3, 4 ) ) )</f>
        <v>1</v>
      </c>
    </row>
    <row r="156" spans="95:103" ht="13.8" x14ac:dyDescent="0.3">
      <c r="CQ156" s="24">
        <v>0.99994068673461101</v>
      </c>
      <c r="CR156" s="24" t="str">
        <f>"1"</f>
        <v>1</v>
      </c>
      <c r="CS156" t="str">
        <f ca="1">IF((OFFSET($A$1, 156 - 1, 95 - 1)) &gt;= (OFFSET($A$1, 54 - 1, 7 - 1)), "1","0")</f>
        <v>1</v>
      </c>
      <c r="CT156">
        <f ca="1" xml:space="preserve"> IF( AND( OFFSET($A$1, 156 - 1, 96 - 1) = "1", OFFSET($A$1, 156 - 1, 97 - 1) = "1" ), 1, IF( AND( OFFSET($A$1, 156 - 1, 96 - 1) = "1", OFFSET($A$1, 156 - 1, 97 - 1) = "0" ), 2, IF( AND( OFFSET($A$1, 156 - 1, 96 - 1) = "0", OFFSET($A$1, 156 - 1, 97 - 1) = "1" ), 3, 4 ) ) )</f>
        <v>1</v>
      </c>
      <c r="CV156" s="24">
        <v>0.96265421177669275</v>
      </c>
      <c r="CW156" s="24" t="str">
        <f>"1"</f>
        <v>1</v>
      </c>
      <c r="CX156" t="str">
        <f ca="1">IF((OFFSET($A$1, 156 - 1, 100 - 1)) &gt;= (OFFSET($A$1, 78 - 1, 7 - 1)), "1","0")</f>
        <v>1</v>
      </c>
      <c r="CY156">
        <f ca="1" xml:space="preserve"> IF( AND( OFFSET($A$1, 156 - 1, 101 - 1) = "1", OFFSET($A$1, 156 - 1, 102 - 1) = "1" ), 1, IF( AND( OFFSET($A$1, 156 - 1, 101 - 1) = "1", OFFSET($A$1, 156 - 1, 102 - 1) = "0" ), 2, IF( AND( OFFSET($A$1, 156 - 1, 101 - 1) = "0", OFFSET($A$1, 156 - 1, 102 - 1) = "1" ), 3, 4 ) ) )</f>
        <v>1</v>
      </c>
    </row>
    <row r="157" spans="95:103" ht="13.8" x14ac:dyDescent="0.3">
      <c r="CQ157" s="24">
        <v>0.17637554621810719</v>
      </c>
      <c r="CR157" s="24" t="str">
        <f>"0"</f>
        <v>0</v>
      </c>
      <c r="CS157" t="str">
        <f ca="1">IF((OFFSET($A$1, 157 - 1, 95 - 1)) &gt;= (OFFSET($A$1, 54 - 1, 7 - 1)), "1","0")</f>
        <v>0</v>
      </c>
      <c r="CT157">
        <f ca="1" xml:space="preserve"> IF( AND( OFFSET($A$1, 157 - 1, 96 - 1) = "1", OFFSET($A$1, 157 - 1, 97 - 1) = "1" ), 1, IF( AND( OFFSET($A$1, 157 - 1, 96 - 1) = "1", OFFSET($A$1, 157 - 1, 97 - 1) = "0" ), 2, IF( AND( OFFSET($A$1, 157 - 1, 96 - 1) = "0", OFFSET($A$1, 157 - 1, 97 - 1) = "1" ), 3, 4 ) ) )</f>
        <v>4</v>
      </c>
      <c r="CV157" s="24">
        <v>0.9188219460251702</v>
      </c>
      <c r="CW157" s="24" t="str">
        <f>"0"</f>
        <v>0</v>
      </c>
      <c r="CX157" t="str">
        <f ca="1">IF((OFFSET($A$1, 157 - 1, 100 - 1)) &gt;= (OFFSET($A$1, 78 - 1, 7 - 1)), "1","0")</f>
        <v>1</v>
      </c>
      <c r="CY157">
        <f ca="1" xml:space="preserve"> IF( AND( OFFSET($A$1, 157 - 1, 101 - 1) = "1", OFFSET($A$1, 157 - 1, 102 - 1) = "1" ), 1, IF( AND( OFFSET($A$1, 157 - 1, 101 - 1) = "1", OFFSET($A$1, 157 - 1, 102 - 1) = "0" ), 2, IF( AND( OFFSET($A$1, 157 - 1, 101 - 1) = "0", OFFSET($A$1, 157 - 1, 102 - 1) = "1" ), 3, 4 ) ) )</f>
        <v>3</v>
      </c>
    </row>
    <row r="158" spans="95:103" ht="13.8" x14ac:dyDescent="0.3">
      <c r="CQ158" s="24">
        <v>0.10423722029942906</v>
      </c>
      <c r="CR158" s="24" t="str">
        <f>"0"</f>
        <v>0</v>
      </c>
      <c r="CS158" t="str">
        <f ca="1">IF((OFFSET($A$1, 158 - 1, 95 - 1)) &gt;= (OFFSET($A$1, 54 - 1, 7 - 1)), "1","0")</f>
        <v>0</v>
      </c>
      <c r="CT158">
        <f ca="1" xml:space="preserve"> IF( AND( OFFSET($A$1, 158 - 1, 96 - 1) = "1", OFFSET($A$1, 158 - 1, 97 - 1) = "1" ), 1, IF( AND( OFFSET($A$1, 158 - 1, 96 - 1) = "1", OFFSET($A$1, 158 - 1, 97 - 1) = "0" ), 2, IF( AND( OFFSET($A$1, 158 - 1, 96 - 1) = "0", OFFSET($A$1, 158 - 1, 97 - 1) = "1" ), 3, 4 ) ) )</f>
        <v>4</v>
      </c>
      <c r="CV158" s="24">
        <v>0.67874268607321853</v>
      </c>
      <c r="CW158" s="24" t="str">
        <f>"1"</f>
        <v>1</v>
      </c>
      <c r="CX158" t="str">
        <f ca="1">IF((OFFSET($A$1, 158 - 1, 100 - 1)) &gt;= (OFFSET($A$1, 78 - 1, 7 - 1)), "1","0")</f>
        <v>1</v>
      </c>
      <c r="CY158">
        <f ca="1" xml:space="preserve"> IF( AND( OFFSET($A$1, 158 - 1, 101 - 1) = "1", OFFSET($A$1, 158 - 1, 102 - 1) = "1" ), 1, IF( AND( OFFSET($A$1, 158 - 1, 101 - 1) = "1", OFFSET($A$1, 158 - 1, 102 - 1) = "0" ), 2, IF( AND( OFFSET($A$1, 158 - 1, 101 - 1) = "0", OFFSET($A$1, 158 - 1, 102 - 1) = "1" ), 3, 4 ) ) )</f>
        <v>1</v>
      </c>
    </row>
    <row r="159" spans="95:103" ht="13.8" x14ac:dyDescent="0.3">
      <c r="CQ159" s="24">
        <v>0.90069285181850534</v>
      </c>
      <c r="CR159" s="24" t="str">
        <f>"1"</f>
        <v>1</v>
      </c>
      <c r="CS159" t="str">
        <f ca="1">IF((OFFSET($A$1, 159 - 1, 95 - 1)) &gt;= (OFFSET($A$1, 54 - 1, 7 - 1)), "1","0")</f>
        <v>1</v>
      </c>
      <c r="CT159">
        <f ca="1" xml:space="preserve"> IF( AND( OFFSET($A$1, 159 - 1, 96 - 1) = "1", OFFSET($A$1, 159 - 1, 97 - 1) = "1" ), 1, IF( AND( OFFSET($A$1, 159 - 1, 96 - 1) = "1", OFFSET($A$1, 159 - 1, 97 - 1) = "0" ), 2, IF( AND( OFFSET($A$1, 159 - 1, 96 - 1) = "0", OFFSET($A$1, 159 - 1, 97 - 1) = "1" ), 3, 4 ) ) )</f>
        <v>1</v>
      </c>
      <c r="CV159" s="24">
        <v>0.99975370143552944</v>
      </c>
      <c r="CW159" s="24" t="str">
        <f>"1"</f>
        <v>1</v>
      </c>
      <c r="CX159" t="str">
        <f ca="1">IF((OFFSET($A$1, 159 - 1, 100 - 1)) &gt;= (OFFSET($A$1, 78 - 1, 7 - 1)), "1","0")</f>
        <v>1</v>
      </c>
      <c r="CY159">
        <f ca="1" xml:space="preserve"> IF( AND( OFFSET($A$1, 159 - 1, 101 - 1) = "1", OFFSET($A$1, 159 - 1, 102 - 1) = "1" ), 1, IF( AND( OFFSET($A$1, 159 - 1, 101 - 1) = "1", OFFSET($A$1, 159 - 1, 102 - 1) = "0" ), 2, IF( AND( OFFSET($A$1, 159 - 1, 101 - 1) = "0", OFFSET($A$1, 159 - 1, 102 - 1) = "1" ), 3, 4 ) ) )</f>
        <v>1</v>
      </c>
    </row>
    <row r="160" spans="95:103" ht="13.8" x14ac:dyDescent="0.3">
      <c r="CQ160" s="24">
        <v>3.7602342872646039E-3</v>
      </c>
      <c r="CR160" s="24" t="str">
        <f>"0"</f>
        <v>0</v>
      </c>
      <c r="CS160" t="str">
        <f ca="1">IF((OFFSET($A$1, 160 - 1, 95 - 1)) &gt;= (OFFSET($A$1, 54 - 1, 7 - 1)), "1","0")</f>
        <v>0</v>
      </c>
      <c r="CT160">
        <f ca="1" xml:space="preserve"> IF( AND( OFFSET($A$1, 160 - 1, 96 - 1) = "1", OFFSET($A$1, 160 - 1, 97 - 1) = "1" ), 1, IF( AND( OFFSET($A$1, 160 - 1, 96 - 1) = "1", OFFSET($A$1, 160 - 1, 97 - 1) = "0" ), 2, IF( AND( OFFSET($A$1, 160 - 1, 96 - 1) = "0", OFFSET($A$1, 160 - 1, 97 - 1) = "1" ), 3, 4 ) ) )</f>
        <v>4</v>
      </c>
      <c r="CV160" s="24">
        <v>0.95512300127097516</v>
      </c>
      <c r="CW160" s="24" t="str">
        <f>"1"</f>
        <v>1</v>
      </c>
      <c r="CX160" t="str">
        <f ca="1">IF((OFFSET($A$1, 160 - 1, 100 - 1)) &gt;= (OFFSET($A$1, 78 - 1, 7 - 1)), "1","0")</f>
        <v>1</v>
      </c>
      <c r="CY160">
        <f ca="1" xml:space="preserve"> IF( AND( OFFSET($A$1, 160 - 1, 101 - 1) = "1", OFFSET($A$1, 160 - 1, 102 - 1) = "1" ), 1, IF( AND( OFFSET($A$1, 160 - 1, 101 - 1) = "1", OFFSET($A$1, 160 - 1, 102 - 1) = "0" ), 2, IF( AND( OFFSET($A$1, 160 - 1, 101 - 1) = "0", OFFSET($A$1, 160 - 1, 102 - 1) = "1" ), 3, 4 ) ) )</f>
        <v>1</v>
      </c>
    </row>
    <row r="161" spans="95:103" ht="13.8" x14ac:dyDescent="0.3">
      <c r="CQ161" s="24">
        <v>0.9930211047387415</v>
      </c>
      <c r="CR161" s="24" t="str">
        <f>"1"</f>
        <v>1</v>
      </c>
      <c r="CS161" t="str">
        <f ca="1">IF((OFFSET($A$1, 161 - 1, 95 - 1)) &gt;= (OFFSET($A$1, 54 - 1, 7 - 1)), "1","0")</f>
        <v>1</v>
      </c>
      <c r="CT161">
        <f ca="1" xml:space="preserve"> IF( AND( OFFSET($A$1, 161 - 1, 96 - 1) = "1", OFFSET($A$1, 161 - 1, 97 - 1) = "1" ), 1, IF( AND( OFFSET($A$1, 161 - 1, 96 - 1) = "1", OFFSET($A$1, 161 - 1, 97 - 1) = "0" ), 2, IF( AND( OFFSET($A$1, 161 - 1, 96 - 1) = "0", OFFSET($A$1, 161 - 1, 97 - 1) = "1" ), 3, 4 ) ) )</f>
        <v>1</v>
      </c>
      <c r="CV161" s="24">
        <v>0.9707072206439108</v>
      </c>
      <c r="CW161" s="24" t="str">
        <f>"1"</f>
        <v>1</v>
      </c>
      <c r="CX161" t="str">
        <f ca="1">IF((OFFSET($A$1, 161 - 1, 100 - 1)) &gt;= (OFFSET($A$1, 78 - 1, 7 - 1)), "1","0")</f>
        <v>1</v>
      </c>
      <c r="CY161">
        <f ca="1" xml:space="preserve"> IF( AND( OFFSET($A$1, 161 - 1, 101 - 1) = "1", OFFSET($A$1, 161 - 1, 102 - 1) = "1" ), 1, IF( AND( OFFSET($A$1, 161 - 1, 101 - 1) = "1", OFFSET($A$1, 161 - 1, 102 - 1) = "0" ), 2, IF( AND( OFFSET($A$1, 161 - 1, 101 - 1) = "0", OFFSET($A$1, 161 - 1, 102 - 1) = "1" ), 3, 4 ) ) )</f>
        <v>1</v>
      </c>
    </row>
    <row r="162" spans="95:103" ht="13.8" x14ac:dyDescent="0.3">
      <c r="CQ162" s="24">
        <v>0.99613708466413842</v>
      </c>
      <c r="CR162" s="24" t="str">
        <f>"1"</f>
        <v>1</v>
      </c>
      <c r="CS162" t="str">
        <f ca="1">IF((OFFSET($A$1, 162 - 1, 95 - 1)) &gt;= (OFFSET($A$1, 54 - 1, 7 - 1)), "1","0")</f>
        <v>1</v>
      </c>
      <c r="CT162">
        <f ca="1" xml:space="preserve"> IF( AND( OFFSET($A$1, 162 - 1, 96 - 1) = "1", OFFSET($A$1, 162 - 1, 97 - 1) = "1" ), 1, IF( AND( OFFSET($A$1, 162 - 1, 96 - 1) = "1", OFFSET($A$1, 162 - 1, 97 - 1) = "0" ), 2, IF( AND( OFFSET($A$1, 162 - 1, 96 - 1) = "0", OFFSET($A$1, 162 - 1, 97 - 1) = "1" ), 3, 4 ) ) )</f>
        <v>1</v>
      </c>
      <c r="CV162" s="24">
        <v>1.381129419177079E-2</v>
      </c>
      <c r="CW162" s="24" t="str">
        <f>"0"</f>
        <v>0</v>
      </c>
      <c r="CX162" t="str">
        <f ca="1">IF((OFFSET($A$1, 162 - 1, 100 - 1)) &gt;= (OFFSET($A$1, 78 - 1, 7 - 1)), "1","0")</f>
        <v>0</v>
      </c>
      <c r="CY162">
        <f ca="1" xml:space="preserve"> IF( AND( OFFSET($A$1, 162 - 1, 101 - 1) = "1", OFFSET($A$1, 162 - 1, 102 - 1) = "1" ), 1, IF( AND( OFFSET($A$1, 162 - 1, 101 - 1) = "1", OFFSET($A$1, 162 - 1, 102 - 1) = "0" ), 2, IF( AND( OFFSET($A$1, 162 - 1, 101 - 1) = "0", OFFSET($A$1, 162 - 1, 102 - 1) = "1" ), 3, 4 ) ) )</f>
        <v>4</v>
      </c>
    </row>
    <row r="163" spans="95:103" ht="13.8" x14ac:dyDescent="0.3">
      <c r="CQ163" s="24">
        <v>1.4640956340081393E-3</v>
      </c>
      <c r="CR163" s="24" t="str">
        <f>"0"</f>
        <v>0</v>
      </c>
      <c r="CS163" t="str">
        <f ca="1">IF((OFFSET($A$1, 163 - 1, 95 - 1)) &gt;= (OFFSET($A$1, 54 - 1, 7 - 1)), "1","0")</f>
        <v>0</v>
      </c>
      <c r="CT163">
        <f ca="1" xml:space="preserve"> IF( AND( OFFSET($A$1, 163 - 1, 96 - 1) = "1", OFFSET($A$1, 163 - 1, 97 - 1) = "1" ), 1, IF( AND( OFFSET($A$1, 163 - 1, 96 - 1) = "1", OFFSET($A$1, 163 - 1, 97 - 1) = "0" ), 2, IF( AND( OFFSET($A$1, 163 - 1, 96 - 1) = "0", OFFSET($A$1, 163 - 1, 97 - 1) = "1" ), 3, 4 ) ) )</f>
        <v>4</v>
      </c>
      <c r="CV163" s="24">
        <v>0.97438609700207668</v>
      </c>
      <c r="CW163" s="24" t="str">
        <f>"1"</f>
        <v>1</v>
      </c>
      <c r="CX163" t="str">
        <f ca="1">IF((OFFSET($A$1, 163 - 1, 100 - 1)) &gt;= (OFFSET($A$1, 78 - 1, 7 - 1)), "1","0")</f>
        <v>1</v>
      </c>
      <c r="CY163">
        <f ca="1" xml:space="preserve"> IF( AND( OFFSET($A$1, 163 - 1, 101 - 1) = "1", OFFSET($A$1, 163 - 1, 102 - 1) = "1" ), 1, IF( AND( OFFSET($A$1, 163 - 1, 101 - 1) = "1", OFFSET($A$1, 163 - 1, 102 - 1) = "0" ), 2, IF( AND( OFFSET($A$1, 163 - 1, 101 - 1) = "0", OFFSET($A$1, 163 - 1, 102 - 1) = "1" ), 3, 4 ) ) )</f>
        <v>1</v>
      </c>
    </row>
    <row r="164" spans="95:103" ht="13.8" x14ac:dyDescent="0.3">
      <c r="CQ164" s="24">
        <v>0.99851695243847505</v>
      </c>
      <c r="CR164" s="24" t="str">
        <f>"1"</f>
        <v>1</v>
      </c>
      <c r="CS164" t="str">
        <f ca="1">IF((OFFSET($A$1, 164 - 1, 95 - 1)) &gt;= (OFFSET($A$1, 54 - 1, 7 - 1)), "1","0")</f>
        <v>1</v>
      </c>
      <c r="CT164">
        <f ca="1" xml:space="preserve"> IF( AND( OFFSET($A$1, 164 - 1, 96 - 1) = "1", OFFSET($A$1, 164 - 1, 97 - 1) = "1" ), 1, IF( AND( OFFSET($A$1, 164 - 1, 96 - 1) = "1", OFFSET($A$1, 164 - 1, 97 - 1) = "0" ), 2, IF( AND( OFFSET($A$1, 164 - 1, 96 - 1) = "0", OFFSET($A$1, 164 - 1, 97 - 1) = "1" ), 3, 4 ) ) )</f>
        <v>1</v>
      </c>
      <c r="CV164" s="24">
        <v>0.9613327107445736</v>
      </c>
      <c r="CW164" s="24" t="str">
        <f>"1"</f>
        <v>1</v>
      </c>
      <c r="CX164" t="str">
        <f ca="1">IF((OFFSET($A$1, 164 - 1, 100 - 1)) &gt;= (OFFSET($A$1, 78 - 1, 7 - 1)), "1","0")</f>
        <v>1</v>
      </c>
      <c r="CY164">
        <f ca="1" xml:space="preserve"> IF( AND( OFFSET($A$1, 164 - 1, 101 - 1) = "1", OFFSET($A$1, 164 - 1, 102 - 1) = "1" ), 1, IF( AND( OFFSET($A$1, 164 - 1, 101 - 1) = "1", OFFSET($A$1, 164 - 1, 102 - 1) = "0" ), 2, IF( AND( OFFSET($A$1, 164 - 1, 101 - 1) = "0", OFFSET($A$1, 164 - 1, 102 - 1) = "1" ), 3, 4 ) ) )</f>
        <v>1</v>
      </c>
    </row>
    <row r="165" spans="95:103" ht="13.8" x14ac:dyDescent="0.3">
      <c r="CQ165" s="24">
        <v>0.90227934915403407</v>
      </c>
      <c r="CR165" s="24" t="str">
        <f>"1"</f>
        <v>1</v>
      </c>
      <c r="CS165" t="str">
        <f ca="1">IF((OFFSET($A$1, 165 - 1, 95 - 1)) &gt;= (OFFSET($A$1, 54 - 1, 7 - 1)), "1","0")</f>
        <v>1</v>
      </c>
      <c r="CT165">
        <f ca="1" xml:space="preserve"> IF( AND( OFFSET($A$1, 165 - 1, 96 - 1) = "1", OFFSET($A$1, 165 - 1, 97 - 1) = "1" ), 1, IF( AND( OFFSET($A$1, 165 - 1, 96 - 1) = "1", OFFSET($A$1, 165 - 1, 97 - 1) = "0" ), 2, IF( AND( OFFSET($A$1, 165 - 1, 96 - 1) = "0", OFFSET($A$1, 165 - 1, 97 - 1) = "1" ), 3, 4 ) ) )</f>
        <v>1</v>
      </c>
      <c r="CV165" s="24">
        <v>0.99316834287677569</v>
      </c>
      <c r="CW165" s="24" t="str">
        <f>"0"</f>
        <v>0</v>
      </c>
      <c r="CX165" t="str">
        <f ca="1">IF((OFFSET($A$1, 165 - 1, 100 - 1)) &gt;= (OFFSET($A$1, 78 - 1, 7 - 1)), "1","0")</f>
        <v>1</v>
      </c>
      <c r="CY165">
        <f ca="1" xml:space="preserve"> IF( AND( OFFSET($A$1, 165 - 1, 101 - 1) = "1", OFFSET($A$1, 165 - 1, 102 - 1) = "1" ), 1, IF( AND( OFFSET($A$1, 165 - 1, 101 - 1) = "1", OFFSET($A$1, 165 - 1, 102 - 1) = "0" ), 2, IF( AND( OFFSET($A$1, 165 - 1, 101 - 1) = "0", OFFSET($A$1, 165 - 1, 102 - 1) = "1" ), 3, 4 ) ) )</f>
        <v>3</v>
      </c>
    </row>
    <row r="166" spans="95:103" ht="13.8" x14ac:dyDescent="0.3">
      <c r="CQ166" s="24">
        <v>3.2149966343989777E-3</v>
      </c>
      <c r="CR166" s="24" t="str">
        <f>"0"</f>
        <v>0</v>
      </c>
      <c r="CS166" t="str">
        <f ca="1">IF((OFFSET($A$1, 166 - 1, 95 - 1)) &gt;= (OFFSET($A$1, 54 - 1, 7 - 1)), "1","0")</f>
        <v>0</v>
      </c>
      <c r="CT166">
        <f ca="1" xml:space="preserve"> IF( AND( OFFSET($A$1, 166 - 1, 96 - 1) = "1", OFFSET($A$1, 166 - 1, 97 - 1) = "1" ), 1, IF( AND( OFFSET($A$1, 166 - 1, 96 - 1) = "1", OFFSET($A$1, 166 - 1, 97 - 1) = "0" ), 2, IF( AND( OFFSET($A$1, 166 - 1, 96 - 1) = "0", OFFSET($A$1, 166 - 1, 97 - 1) = "1" ), 3, 4 ) ) )</f>
        <v>4</v>
      </c>
      <c r="CV166" s="24">
        <v>0.34625774755823124</v>
      </c>
      <c r="CW166" s="24" t="str">
        <f>"1"</f>
        <v>1</v>
      </c>
      <c r="CX166" t="str">
        <f ca="1">IF((OFFSET($A$1, 166 - 1, 100 - 1)) &gt;= (OFFSET($A$1, 78 - 1, 7 - 1)), "1","0")</f>
        <v>0</v>
      </c>
      <c r="CY166">
        <f ca="1" xml:space="preserve"> IF( AND( OFFSET($A$1, 166 - 1, 101 - 1) = "1", OFFSET($A$1, 166 - 1, 102 - 1) = "1" ), 1, IF( AND( OFFSET($A$1, 166 - 1, 101 - 1) = "1", OFFSET($A$1, 166 - 1, 102 - 1) = "0" ), 2, IF( AND( OFFSET($A$1, 166 - 1, 101 - 1) = "0", OFFSET($A$1, 166 - 1, 102 - 1) = "1" ), 3, 4 ) ) )</f>
        <v>2</v>
      </c>
    </row>
    <row r="167" spans="95:103" ht="13.8" x14ac:dyDescent="0.3">
      <c r="CQ167" s="24">
        <v>7.1540079906012091E-2</v>
      </c>
      <c r="CR167" s="24" t="str">
        <f>"0"</f>
        <v>0</v>
      </c>
      <c r="CS167" t="str">
        <f ca="1">IF((OFFSET($A$1, 167 - 1, 95 - 1)) &gt;= (OFFSET($A$1, 54 - 1, 7 - 1)), "1","0")</f>
        <v>0</v>
      </c>
      <c r="CT167">
        <f ca="1" xml:space="preserve"> IF( AND( OFFSET($A$1, 167 - 1, 96 - 1) = "1", OFFSET($A$1, 167 - 1, 97 - 1) = "1" ), 1, IF( AND( OFFSET($A$1, 167 - 1, 96 - 1) = "1", OFFSET($A$1, 167 - 1, 97 - 1) = "0" ), 2, IF( AND( OFFSET($A$1, 167 - 1, 96 - 1) = "0", OFFSET($A$1, 167 - 1, 97 - 1) = "1" ), 3, 4 ) ) )</f>
        <v>4</v>
      </c>
      <c r="CV167" s="24">
        <v>0.99999978858158567</v>
      </c>
      <c r="CW167" s="24" t="str">
        <f>"0"</f>
        <v>0</v>
      </c>
      <c r="CX167" t="str">
        <f ca="1">IF((OFFSET($A$1, 167 - 1, 100 - 1)) &gt;= (OFFSET($A$1, 78 - 1, 7 - 1)), "1","0")</f>
        <v>1</v>
      </c>
      <c r="CY167">
        <f ca="1" xml:space="preserve"> IF( AND( OFFSET($A$1, 167 - 1, 101 - 1) = "1", OFFSET($A$1, 167 - 1, 102 - 1) = "1" ), 1, IF( AND( OFFSET($A$1, 167 - 1, 101 - 1) = "1", OFFSET($A$1, 167 - 1, 102 - 1) = "0" ), 2, IF( AND( OFFSET($A$1, 167 - 1, 101 - 1) = "0", OFFSET($A$1, 167 - 1, 102 - 1) = "1" ), 3, 4 ) ) )</f>
        <v>3</v>
      </c>
    </row>
    <row r="168" spans="95:103" ht="13.8" x14ac:dyDescent="0.3">
      <c r="CQ168" s="24">
        <v>0.99987200636346907</v>
      </c>
      <c r="CR168" s="24" t="str">
        <f>"1"</f>
        <v>1</v>
      </c>
      <c r="CS168" t="str">
        <f ca="1">IF((OFFSET($A$1, 168 - 1, 95 - 1)) &gt;= (OFFSET($A$1, 54 - 1, 7 - 1)), "1","0")</f>
        <v>1</v>
      </c>
      <c r="CT168">
        <f ca="1" xml:space="preserve"> IF( AND( OFFSET($A$1, 168 - 1, 96 - 1) = "1", OFFSET($A$1, 168 - 1, 97 - 1) = "1" ), 1, IF( AND( OFFSET($A$1, 168 - 1, 96 - 1) = "1", OFFSET($A$1, 168 - 1, 97 - 1) = "0" ), 2, IF( AND( OFFSET($A$1, 168 - 1, 96 - 1) = "0", OFFSET($A$1, 168 - 1, 97 - 1) = "1" ), 3, 4 ) ) )</f>
        <v>1</v>
      </c>
      <c r="CV168" s="24">
        <v>0.99553604176481569</v>
      </c>
      <c r="CW168" s="24" t="str">
        <f>"0"</f>
        <v>0</v>
      </c>
      <c r="CX168" t="str">
        <f ca="1">IF((OFFSET($A$1, 168 - 1, 100 - 1)) &gt;= (OFFSET($A$1, 78 - 1, 7 - 1)), "1","0")</f>
        <v>1</v>
      </c>
      <c r="CY168">
        <f ca="1" xml:space="preserve"> IF( AND( OFFSET($A$1, 168 - 1, 101 - 1) = "1", OFFSET($A$1, 168 - 1, 102 - 1) = "1" ), 1, IF( AND( OFFSET($A$1, 168 - 1, 101 - 1) = "1", OFFSET($A$1, 168 - 1, 102 - 1) = "0" ), 2, IF( AND( OFFSET($A$1, 168 - 1, 101 - 1) = "0", OFFSET($A$1, 168 - 1, 102 - 1) = "1" ), 3, 4 ) ) )</f>
        <v>3</v>
      </c>
    </row>
    <row r="169" spans="95:103" ht="13.8" x14ac:dyDescent="0.3">
      <c r="CQ169" s="24">
        <v>0.99900553950798821</v>
      </c>
      <c r="CR169" s="24" t="str">
        <f>"1"</f>
        <v>1</v>
      </c>
      <c r="CS169" t="str">
        <f ca="1">IF((OFFSET($A$1, 169 - 1, 95 - 1)) &gt;= (OFFSET($A$1, 54 - 1, 7 - 1)), "1","0")</f>
        <v>1</v>
      </c>
      <c r="CT169">
        <f ca="1" xml:space="preserve"> IF( AND( OFFSET($A$1, 169 - 1, 96 - 1) = "1", OFFSET($A$1, 169 - 1, 97 - 1) = "1" ), 1, IF( AND( OFFSET($A$1, 169 - 1, 96 - 1) = "1", OFFSET($A$1, 169 - 1, 97 - 1) = "0" ), 2, IF( AND( OFFSET($A$1, 169 - 1, 96 - 1) = "0", OFFSET($A$1, 169 - 1, 97 - 1) = "1" ), 3, 4 ) ) )</f>
        <v>1</v>
      </c>
      <c r="CV169" s="24">
        <v>0.94196325259797553</v>
      </c>
      <c r="CW169" s="24" t="str">
        <f t="shared" ref="CW169:CW174" si="12">"1"</f>
        <v>1</v>
      </c>
      <c r="CX169" t="str">
        <f ca="1">IF((OFFSET($A$1, 169 - 1, 100 - 1)) &gt;= (OFFSET($A$1, 78 - 1, 7 - 1)), "1","0")</f>
        <v>1</v>
      </c>
      <c r="CY169">
        <f ca="1" xml:space="preserve"> IF( AND( OFFSET($A$1, 169 - 1, 101 - 1) = "1", OFFSET($A$1, 169 - 1, 102 - 1) = "1" ), 1, IF( AND( OFFSET($A$1, 169 - 1, 101 - 1) = "1", OFFSET($A$1, 169 - 1, 102 - 1) = "0" ), 2, IF( AND( OFFSET($A$1, 169 - 1, 101 - 1) = "0", OFFSET($A$1, 169 - 1, 102 - 1) = "1" ), 3, 4 ) ) )</f>
        <v>1</v>
      </c>
    </row>
    <row r="170" spans="95:103" ht="13.8" x14ac:dyDescent="0.3">
      <c r="CQ170" s="24">
        <v>0.99450834155462742</v>
      </c>
      <c r="CR170" s="24" t="str">
        <f>"1"</f>
        <v>1</v>
      </c>
      <c r="CS170" t="str">
        <f ca="1">IF((OFFSET($A$1, 170 - 1, 95 - 1)) &gt;= (OFFSET($A$1, 54 - 1, 7 - 1)), "1","0")</f>
        <v>1</v>
      </c>
      <c r="CT170">
        <f ca="1" xml:space="preserve"> IF( AND( OFFSET($A$1, 170 - 1, 96 - 1) = "1", OFFSET($A$1, 170 - 1, 97 - 1) = "1" ), 1, IF( AND( OFFSET($A$1, 170 - 1, 96 - 1) = "1", OFFSET($A$1, 170 - 1, 97 - 1) = "0" ), 2, IF( AND( OFFSET($A$1, 170 - 1, 96 - 1) = "0", OFFSET($A$1, 170 - 1, 97 - 1) = "1" ), 3, 4 ) ) )</f>
        <v>1</v>
      </c>
      <c r="CV170" s="24">
        <v>0.99998792938099557</v>
      </c>
      <c r="CW170" s="24" t="str">
        <f t="shared" si="12"/>
        <v>1</v>
      </c>
      <c r="CX170" t="str">
        <f ca="1">IF((OFFSET($A$1, 170 - 1, 100 - 1)) &gt;= (OFFSET($A$1, 78 - 1, 7 - 1)), "1","0")</f>
        <v>1</v>
      </c>
      <c r="CY170">
        <f ca="1" xml:space="preserve"> IF( AND( OFFSET($A$1, 170 - 1, 101 - 1) = "1", OFFSET($A$1, 170 - 1, 102 - 1) = "1" ), 1, IF( AND( OFFSET($A$1, 170 - 1, 101 - 1) = "1", OFFSET($A$1, 170 - 1, 102 - 1) = "0" ), 2, IF( AND( OFFSET($A$1, 170 - 1, 101 - 1) = "0", OFFSET($A$1, 170 - 1, 102 - 1) = "1" ), 3, 4 ) ) )</f>
        <v>1</v>
      </c>
    </row>
    <row r="171" spans="95:103" ht="13.8" x14ac:dyDescent="0.3">
      <c r="CQ171" s="24">
        <v>0.99999811792877713</v>
      </c>
      <c r="CR171" s="24" t="str">
        <f>"1"</f>
        <v>1</v>
      </c>
      <c r="CS171" t="str">
        <f ca="1">IF((OFFSET($A$1, 171 - 1, 95 - 1)) &gt;= (OFFSET($A$1, 54 - 1, 7 - 1)), "1","0")</f>
        <v>1</v>
      </c>
      <c r="CT171">
        <f ca="1" xml:space="preserve"> IF( AND( OFFSET($A$1, 171 - 1, 96 - 1) = "1", OFFSET($A$1, 171 - 1, 97 - 1) = "1" ), 1, IF( AND( OFFSET($A$1, 171 - 1, 96 - 1) = "1", OFFSET($A$1, 171 - 1, 97 - 1) = "0" ), 2, IF( AND( OFFSET($A$1, 171 - 1, 96 - 1) = "0", OFFSET($A$1, 171 - 1, 97 - 1) = "1" ), 3, 4 ) ) )</f>
        <v>1</v>
      </c>
      <c r="CV171" s="24">
        <v>0.98519032354972835</v>
      </c>
      <c r="CW171" s="24" t="str">
        <f t="shared" si="12"/>
        <v>1</v>
      </c>
      <c r="CX171" t="str">
        <f ca="1">IF((OFFSET($A$1, 171 - 1, 100 - 1)) &gt;= (OFFSET($A$1, 78 - 1, 7 - 1)), "1","0")</f>
        <v>1</v>
      </c>
      <c r="CY171">
        <f ca="1" xml:space="preserve"> IF( AND( OFFSET($A$1, 171 - 1, 101 - 1) = "1", OFFSET($A$1, 171 - 1, 102 - 1) = "1" ), 1, IF( AND( OFFSET($A$1, 171 - 1, 101 - 1) = "1", OFFSET($A$1, 171 - 1, 102 - 1) = "0" ), 2, IF( AND( OFFSET($A$1, 171 - 1, 101 - 1) = "0", OFFSET($A$1, 171 - 1, 102 - 1) = "1" ), 3, 4 ) ) )</f>
        <v>1</v>
      </c>
    </row>
    <row r="172" spans="95:103" ht="13.8" x14ac:dyDescent="0.3">
      <c r="CQ172" s="24">
        <v>0.98722802035456014</v>
      </c>
      <c r="CR172" s="24" t="str">
        <f>"1"</f>
        <v>1</v>
      </c>
      <c r="CS172" t="str">
        <f ca="1">IF((OFFSET($A$1, 172 - 1, 95 - 1)) &gt;= (OFFSET($A$1, 54 - 1, 7 - 1)), "1","0")</f>
        <v>1</v>
      </c>
      <c r="CT172">
        <f ca="1" xml:space="preserve"> IF( AND( OFFSET($A$1, 172 - 1, 96 - 1) = "1", OFFSET($A$1, 172 - 1, 97 - 1) = "1" ), 1, IF( AND( OFFSET($A$1, 172 - 1, 96 - 1) = "1", OFFSET($A$1, 172 - 1, 97 - 1) = "0" ), 2, IF( AND( OFFSET($A$1, 172 - 1, 96 - 1) = "0", OFFSET($A$1, 172 - 1, 97 - 1) = "1" ), 3, 4 ) ) )</f>
        <v>1</v>
      </c>
      <c r="CV172" s="24">
        <v>0.99377663468582911</v>
      </c>
      <c r="CW172" s="24" t="str">
        <f t="shared" si="12"/>
        <v>1</v>
      </c>
      <c r="CX172" t="str">
        <f ca="1">IF((OFFSET($A$1, 172 - 1, 100 - 1)) &gt;= (OFFSET($A$1, 78 - 1, 7 - 1)), "1","0")</f>
        <v>1</v>
      </c>
      <c r="CY172">
        <f ca="1" xml:space="preserve"> IF( AND( OFFSET($A$1, 172 - 1, 101 - 1) = "1", OFFSET($A$1, 172 - 1, 102 - 1) = "1" ), 1, IF( AND( OFFSET($A$1, 172 - 1, 101 - 1) = "1", OFFSET($A$1, 172 - 1, 102 - 1) = "0" ), 2, IF( AND( OFFSET($A$1, 172 - 1, 101 - 1) = "0", OFFSET($A$1, 172 - 1, 102 - 1) = "1" ), 3, 4 ) ) )</f>
        <v>1</v>
      </c>
    </row>
    <row r="173" spans="95:103" ht="13.8" x14ac:dyDescent="0.3">
      <c r="CQ173" s="24">
        <v>9.8959615189637612E-2</v>
      </c>
      <c r="CR173" s="24" t="str">
        <f>"0"</f>
        <v>0</v>
      </c>
      <c r="CS173" t="str">
        <f ca="1">IF((OFFSET($A$1, 173 - 1, 95 - 1)) &gt;= (OFFSET($A$1, 54 - 1, 7 - 1)), "1","0")</f>
        <v>0</v>
      </c>
      <c r="CT173">
        <f ca="1" xml:space="preserve"> IF( AND( OFFSET($A$1, 173 - 1, 96 - 1) = "1", OFFSET($A$1, 173 - 1, 97 - 1) = "1" ), 1, IF( AND( OFFSET($A$1, 173 - 1, 96 - 1) = "1", OFFSET($A$1, 173 - 1, 97 - 1) = "0" ), 2, IF( AND( OFFSET($A$1, 173 - 1, 96 - 1) = "0", OFFSET($A$1, 173 - 1, 97 - 1) = "1" ), 3, 4 ) ) )</f>
        <v>4</v>
      </c>
      <c r="CV173" s="24">
        <v>0.8186961676368314</v>
      </c>
      <c r="CW173" s="24" t="str">
        <f t="shared" si="12"/>
        <v>1</v>
      </c>
      <c r="CX173" t="str">
        <f ca="1">IF((OFFSET($A$1, 173 - 1, 100 - 1)) &gt;= (OFFSET($A$1, 78 - 1, 7 - 1)), "1","0")</f>
        <v>1</v>
      </c>
      <c r="CY173">
        <f ca="1" xml:space="preserve"> IF( AND( OFFSET($A$1, 173 - 1, 101 - 1) = "1", OFFSET($A$1, 173 - 1, 102 - 1) = "1" ), 1, IF( AND( OFFSET($A$1, 173 - 1, 101 - 1) = "1", OFFSET($A$1, 173 - 1, 102 - 1) = "0" ), 2, IF( AND( OFFSET($A$1, 173 - 1, 101 - 1) = "0", OFFSET($A$1, 173 - 1, 102 - 1) = "1" ), 3, 4 ) ) )</f>
        <v>1</v>
      </c>
    </row>
    <row r="174" spans="95:103" ht="13.8" x14ac:dyDescent="0.3">
      <c r="CQ174" s="24">
        <v>1.3915893943371761E-2</v>
      </c>
      <c r="CR174" s="24" t="str">
        <f>"0"</f>
        <v>0</v>
      </c>
      <c r="CS174" t="str">
        <f ca="1">IF((OFFSET($A$1, 174 - 1, 95 - 1)) &gt;= (OFFSET($A$1, 54 - 1, 7 - 1)), "1","0")</f>
        <v>0</v>
      </c>
      <c r="CT174">
        <f ca="1" xml:space="preserve"> IF( AND( OFFSET($A$1, 174 - 1, 96 - 1) = "1", OFFSET($A$1, 174 - 1, 97 - 1) = "1" ), 1, IF( AND( OFFSET($A$1, 174 - 1, 96 - 1) = "1", OFFSET($A$1, 174 - 1, 97 - 1) = "0" ), 2, IF( AND( OFFSET($A$1, 174 - 1, 96 - 1) = "0", OFFSET($A$1, 174 - 1, 97 - 1) = "1" ), 3, 4 ) ) )</f>
        <v>4</v>
      </c>
      <c r="CV174" s="24">
        <v>0.90638113374568308</v>
      </c>
      <c r="CW174" s="24" t="str">
        <f t="shared" si="12"/>
        <v>1</v>
      </c>
      <c r="CX174" t="str">
        <f ca="1">IF((OFFSET($A$1, 174 - 1, 100 - 1)) &gt;= (OFFSET($A$1, 78 - 1, 7 - 1)), "1","0")</f>
        <v>1</v>
      </c>
      <c r="CY174">
        <f ca="1" xml:space="preserve"> IF( AND( OFFSET($A$1, 174 - 1, 101 - 1) = "1", OFFSET($A$1, 174 - 1, 102 - 1) = "1" ), 1, IF( AND( OFFSET($A$1, 174 - 1, 101 - 1) = "1", OFFSET($A$1, 174 - 1, 102 - 1) = "0" ), 2, IF( AND( OFFSET($A$1, 174 - 1, 101 - 1) = "0", OFFSET($A$1, 174 - 1, 102 - 1) = "1" ), 3, 4 ) ) )</f>
        <v>1</v>
      </c>
    </row>
    <row r="175" spans="95:103" ht="13.8" x14ac:dyDescent="0.3">
      <c r="CQ175" s="24">
        <v>0.18491450937695508</v>
      </c>
      <c r="CR175" s="24" t="str">
        <f>"0"</f>
        <v>0</v>
      </c>
      <c r="CS175" t="str">
        <f ca="1">IF((OFFSET($A$1, 175 - 1, 95 - 1)) &gt;= (OFFSET($A$1, 54 - 1, 7 - 1)), "1","0")</f>
        <v>0</v>
      </c>
      <c r="CT175">
        <f ca="1" xml:space="preserve"> IF( AND( OFFSET($A$1, 175 - 1, 96 - 1) = "1", OFFSET($A$1, 175 - 1, 97 - 1) = "1" ), 1, IF( AND( OFFSET($A$1, 175 - 1, 96 - 1) = "1", OFFSET($A$1, 175 - 1, 97 - 1) = "0" ), 2, IF( AND( OFFSET($A$1, 175 - 1, 96 - 1) = "0", OFFSET($A$1, 175 - 1, 97 - 1) = "1" ), 3, 4 ) ) )</f>
        <v>4</v>
      </c>
      <c r="CV175" s="24">
        <v>0.9917648015134255</v>
      </c>
      <c r="CW175" s="24" t="str">
        <f>"0"</f>
        <v>0</v>
      </c>
      <c r="CX175" t="str">
        <f ca="1">IF((OFFSET($A$1, 175 - 1, 100 - 1)) &gt;= (OFFSET($A$1, 78 - 1, 7 - 1)), "1","0")</f>
        <v>1</v>
      </c>
      <c r="CY175">
        <f ca="1" xml:space="preserve"> IF( AND( OFFSET($A$1, 175 - 1, 101 - 1) = "1", OFFSET($A$1, 175 - 1, 102 - 1) = "1" ), 1, IF( AND( OFFSET($A$1, 175 - 1, 101 - 1) = "1", OFFSET($A$1, 175 - 1, 102 - 1) = "0" ), 2, IF( AND( OFFSET($A$1, 175 - 1, 101 - 1) = "0", OFFSET($A$1, 175 - 1, 102 - 1) = "1" ), 3, 4 ) ) )</f>
        <v>3</v>
      </c>
    </row>
    <row r="176" spans="95:103" ht="13.8" x14ac:dyDescent="0.3">
      <c r="CQ176" s="24">
        <v>0.1188522402558093</v>
      </c>
      <c r="CR176" s="24" t="str">
        <f>"0"</f>
        <v>0</v>
      </c>
      <c r="CS176" t="str">
        <f ca="1">IF((OFFSET($A$1, 176 - 1, 95 - 1)) &gt;= (OFFSET($A$1, 54 - 1, 7 - 1)), "1","0")</f>
        <v>0</v>
      </c>
      <c r="CT176">
        <f ca="1" xml:space="preserve"> IF( AND( OFFSET($A$1, 176 - 1, 96 - 1) = "1", OFFSET($A$1, 176 - 1, 97 - 1) = "1" ), 1, IF( AND( OFFSET($A$1, 176 - 1, 96 - 1) = "1", OFFSET($A$1, 176 - 1, 97 - 1) = "0" ), 2, IF( AND( OFFSET($A$1, 176 - 1, 96 - 1) = "0", OFFSET($A$1, 176 - 1, 97 - 1) = "1" ), 3, 4 ) ) )</f>
        <v>4</v>
      </c>
      <c r="CV176" s="24">
        <v>0.86564101125099557</v>
      </c>
      <c r="CW176" s="24" t="str">
        <f>"1"</f>
        <v>1</v>
      </c>
      <c r="CX176" t="str">
        <f ca="1">IF((OFFSET($A$1, 176 - 1, 100 - 1)) &gt;= (OFFSET($A$1, 78 - 1, 7 - 1)), "1","0")</f>
        <v>1</v>
      </c>
      <c r="CY176">
        <f ca="1" xml:space="preserve"> IF( AND( OFFSET($A$1, 176 - 1, 101 - 1) = "1", OFFSET($A$1, 176 - 1, 102 - 1) = "1" ), 1, IF( AND( OFFSET($A$1, 176 - 1, 101 - 1) = "1", OFFSET($A$1, 176 - 1, 102 - 1) = "0" ), 2, IF( AND( OFFSET($A$1, 176 - 1, 101 - 1) = "0", OFFSET($A$1, 176 - 1, 102 - 1) = "1" ), 3, 4 ) ) )</f>
        <v>1</v>
      </c>
    </row>
    <row r="177" spans="95:103" ht="13.8" x14ac:dyDescent="0.3">
      <c r="CQ177" s="24">
        <v>0.95913853908939672</v>
      </c>
      <c r="CR177" s="24" t="str">
        <f t="shared" ref="CR177:CR184" si="13">"1"</f>
        <v>1</v>
      </c>
      <c r="CS177" t="str">
        <f ca="1">IF((OFFSET($A$1, 177 - 1, 95 - 1)) &gt;= (OFFSET($A$1, 54 - 1, 7 - 1)), "1","0")</f>
        <v>1</v>
      </c>
      <c r="CT177">
        <f ca="1" xml:space="preserve"> IF( AND( OFFSET($A$1, 177 - 1, 96 - 1) = "1", OFFSET($A$1, 177 - 1, 97 - 1) = "1" ), 1, IF( AND( OFFSET($A$1, 177 - 1, 96 - 1) = "1", OFFSET($A$1, 177 - 1, 97 - 1) = "0" ), 2, IF( AND( OFFSET($A$1, 177 - 1, 96 - 1) = "0", OFFSET($A$1, 177 - 1, 97 - 1) = "1" ), 3, 4 ) ) )</f>
        <v>1</v>
      </c>
      <c r="CV177" s="24">
        <v>0.99790047128903514</v>
      </c>
      <c r="CW177" s="24" t="str">
        <f>"1"</f>
        <v>1</v>
      </c>
      <c r="CX177" t="str">
        <f ca="1">IF((OFFSET($A$1, 177 - 1, 100 - 1)) &gt;= (OFFSET($A$1, 78 - 1, 7 - 1)), "1","0")</f>
        <v>1</v>
      </c>
      <c r="CY177">
        <f ca="1" xml:space="preserve"> IF( AND( OFFSET($A$1, 177 - 1, 101 - 1) = "1", OFFSET($A$1, 177 - 1, 102 - 1) = "1" ), 1, IF( AND( OFFSET($A$1, 177 - 1, 101 - 1) = "1", OFFSET($A$1, 177 - 1, 102 - 1) = "0" ), 2, IF( AND( OFFSET($A$1, 177 - 1, 101 - 1) = "0", OFFSET($A$1, 177 - 1, 102 - 1) = "1" ), 3, 4 ) ) )</f>
        <v>1</v>
      </c>
    </row>
    <row r="178" spans="95:103" ht="13.8" x14ac:dyDescent="0.3">
      <c r="CQ178" s="24">
        <v>0.91079513069187001</v>
      </c>
      <c r="CR178" s="24" t="str">
        <f t="shared" si="13"/>
        <v>1</v>
      </c>
      <c r="CS178" t="str">
        <f ca="1">IF((OFFSET($A$1, 178 - 1, 95 - 1)) &gt;= (OFFSET($A$1, 54 - 1, 7 - 1)), "1","0")</f>
        <v>1</v>
      </c>
      <c r="CT178">
        <f ca="1" xml:space="preserve"> IF( AND( OFFSET($A$1, 178 - 1, 96 - 1) = "1", OFFSET($A$1, 178 - 1, 97 - 1) = "1" ), 1, IF( AND( OFFSET($A$1, 178 - 1, 96 - 1) = "1", OFFSET($A$1, 178 - 1, 97 - 1) = "0" ), 2, IF( AND( OFFSET($A$1, 178 - 1, 96 - 1) = "0", OFFSET($A$1, 178 - 1, 97 - 1) = "1" ), 3, 4 ) ) )</f>
        <v>1</v>
      </c>
      <c r="CV178" s="24">
        <v>0.99709377492056206</v>
      </c>
      <c r="CW178" s="24" t="str">
        <f>"1"</f>
        <v>1</v>
      </c>
      <c r="CX178" t="str">
        <f ca="1">IF((OFFSET($A$1, 178 - 1, 100 - 1)) &gt;= (OFFSET($A$1, 78 - 1, 7 - 1)), "1","0")</f>
        <v>1</v>
      </c>
      <c r="CY178">
        <f ca="1" xml:space="preserve"> IF( AND( OFFSET($A$1, 178 - 1, 101 - 1) = "1", OFFSET($A$1, 178 - 1, 102 - 1) = "1" ), 1, IF( AND( OFFSET($A$1, 178 - 1, 101 - 1) = "1", OFFSET($A$1, 178 - 1, 102 - 1) = "0" ), 2, IF( AND( OFFSET($A$1, 178 - 1, 101 - 1) = "0", OFFSET($A$1, 178 - 1, 102 - 1) = "1" ), 3, 4 ) ) )</f>
        <v>1</v>
      </c>
    </row>
    <row r="179" spans="95:103" ht="13.8" x14ac:dyDescent="0.3">
      <c r="CQ179" s="24">
        <v>0.97510904029389323</v>
      </c>
      <c r="CR179" s="24" t="str">
        <f t="shared" si="13"/>
        <v>1</v>
      </c>
      <c r="CS179" t="str">
        <f ca="1">IF((OFFSET($A$1, 179 - 1, 95 - 1)) &gt;= (OFFSET($A$1, 54 - 1, 7 - 1)), "1","0")</f>
        <v>1</v>
      </c>
      <c r="CT179">
        <f ca="1" xml:space="preserve"> IF( AND( OFFSET($A$1, 179 - 1, 96 - 1) = "1", OFFSET($A$1, 179 - 1, 97 - 1) = "1" ), 1, IF( AND( OFFSET($A$1, 179 - 1, 96 - 1) = "1", OFFSET($A$1, 179 - 1, 97 - 1) = "0" ), 2, IF( AND( OFFSET($A$1, 179 - 1, 96 - 1) = "0", OFFSET($A$1, 179 - 1, 97 - 1) = "1" ), 3, 4 ) ) )</f>
        <v>1</v>
      </c>
      <c r="CV179" s="24">
        <v>0.97568471517996957</v>
      </c>
      <c r="CW179" s="24" t="str">
        <f>"0"</f>
        <v>0</v>
      </c>
      <c r="CX179" t="str">
        <f ca="1">IF((OFFSET($A$1, 179 - 1, 100 - 1)) &gt;= (OFFSET($A$1, 78 - 1, 7 - 1)), "1","0")</f>
        <v>1</v>
      </c>
      <c r="CY179">
        <f ca="1" xml:space="preserve"> IF( AND( OFFSET($A$1, 179 - 1, 101 - 1) = "1", OFFSET($A$1, 179 - 1, 102 - 1) = "1" ), 1, IF( AND( OFFSET($A$1, 179 - 1, 101 - 1) = "1", OFFSET($A$1, 179 - 1, 102 - 1) = "0" ), 2, IF( AND( OFFSET($A$1, 179 - 1, 101 - 1) = "0", OFFSET($A$1, 179 - 1, 102 - 1) = "1" ), 3, 4 ) ) )</f>
        <v>3</v>
      </c>
    </row>
    <row r="180" spans="95:103" ht="13.8" x14ac:dyDescent="0.3">
      <c r="CQ180" s="24">
        <v>0.94633683720870543</v>
      </c>
      <c r="CR180" s="24" t="str">
        <f t="shared" si="13"/>
        <v>1</v>
      </c>
      <c r="CS180" t="str">
        <f ca="1">IF((OFFSET($A$1, 180 - 1, 95 - 1)) &gt;= (OFFSET($A$1, 54 - 1, 7 - 1)), "1","0")</f>
        <v>1</v>
      </c>
      <c r="CT180">
        <f ca="1" xml:space="preserve"> IF( AND( OFFSET($A$1, 180 - 1, 96 - 1) = "1", OFFSET($A$1, 180 - 1, 97 - 1) = "1" ), 1, IF( AND( OFFSET($A$1, 180 - 1, 96 - 1) = "1", OFFSET($A$1, 180 - 1, 97 - 1) = "0" ), 2, IF( AND( OFFSET($A$1, 180 - 1, 96 - 1) = "0", OFFSET($A$1, 180 - 1, 97 - 1) = "1" ), 3, 4 ) ) )</f>
        <v>1</v>
      </c>
      <c r="CV180" s="24">
        <v>0.78492934089482314</v>
      </c>
      <c r="CW180" s="24" t="str">
        <f>"0"</f>
        <v>0</v>
      </c>
      <c r="CX180" t="str">
        <f ca="1">IF((OFFSET($A$1, 180 - 1, 100 - 1)) &gt;= (OFFSET($A$1, 78 - 1, 7 - 1)), "1","0")</f>
        <v>1</v>
      </c>
      <c r="CY180">
        <f ca="1" xml:space="preserve"> IF( AND( OFFSET($A$1, 180 - 1, 101 - 1) = "1", OFFSET($A$1, 180 - 1, 102 - 1) = "1" ), 1, IF( AND( OFFSET($A$1, 180 - 1, 101 - 1) = "1", OFFSET($A$1, 180 - 1, 102 - 1) = "0" ), 2, IF( AND( OFFSET($A$1, 180 - 1, 101 - 1) = "0", OFFSET($A$1, 180 - 1, 102 - 1) = "1" ), 3, 4 ) ) )</f>
        <v>3</v>
      </c>
    </row>
    <row r="181" spans="95:103" ht="13.8" x14ac:dyDescent="0.3">
      <c r="CQ181" s="24">
        <v>0.87223707748427304</v>
      </c>
      <c r="CR181" s="24" t="str">
        <f t="shared" si="13"/>
        <v>1</v>
      </c>
      <c r="CS181" t="str">
        <f ca="1">IF((OFFSET($A$1, 181 - 1, 95 - 1)) &gt;= (OFFSET($A$1, 54 - 1, 7 - 1)), "1","0")</f>
        <v>1</v>
      </c>
      <c r="CT181">
        <f ca="1" xml:space="preserve"> IF( AND( OFFSET($A$1, 181 - 1, 96 - 1) = "1", OFFSET($A$1, 181 - 1, 97 - 1) = "1" ), 1, IF( AND( OFFSET($A$1, 181 - 1, 96 - 1) = "1", OFFSET($A$1, 181 - 1, 97 - 1) = "0" ), 2, IF( AND( OFFSET($A$1, 181 - 1, 96 - 1) = "0", OFFSET($A$1, 181 - 1, 97 - 1) = "1" ), 3, 4 ) ) )</f>
        <v>1</v>
      </c>
      <c r="CV181" s="24">
        <v>2.3992070431119648E-2</v>
      </c>
      <c r="CW181" s="24" t="str">
        <f>"0"</f>
        <v>0</v>
      </c>
      <c r="CX181" t="str">
        <f ca="1">IF((OFFSET($A$1, 181 - 1, 100 - 1)) &gt;= (OFFSET($A$1, 78 - 1, 7 - 1)), "1","0")</f>
        <v>0</v>
      </c>
      <c r="CY181">
        <f ca="1" xml:space="preserve"> IF( AND( OFFSET($A$1, 181 - 1, 101 - 1) = "1", OFFSET($A$1, 181 - 1, 102 - 1) = "1" ), 1, IF( AND( OFFSET($A$1, 181 - 1, 101 - 1) = "1", OFFSET($A$1, 181 - 1, 102 - 1) = "0" ), 2, IF( AND( OFFSET($A$1, 181 - 1, 101 - 1) = "0", OFFSET($A$1, 181 - 1, 102 - 1) = "1" ), 3, 4 ) ) )</f>
        <v>4</v>
      </c>
    </row>
    <row r="182" spans="95:103" ht="13.8" x14ac:dyDescent="0.3">
      <c r="CQ182" s="24">
        <v>0.99968552458419579</v>
      </c>
      <c r="CR182" s="24" t="str">
        <f t="shared" si="13"/>
        <v>1</v>
      </c>
      <c r="CS182" t="str">
        <f ca="1">IF((OFFSET($A$1, 182 - 1, 95 - 1)) &gt;= (OFFSET($A$1, 54 - 1, 7 - 1)), "1","0")</f>
        <v>1</v>
      </c>
      <c r="CT182">
        <f ca="1" xml:space="preserve"> IF( AND( OFFSET($A$1, 182 - 1, 96 - 1) = "1", OFFSET($A$1, 182 - 1, 97 - 1) = "1" ), 1, IF( AND( OFFSET($A$1, 182 - 1, 96 - 1) = "1", OFFSET($A$1, 182 - 1, 97 - 1) = "0" ), 2, IF( AND( OFFSET($A$1, 182 - 1, 96 - 1) = "0", OFFSET($A$1, 182 - 1, 97 - 1) = "1" ), 3, 4 ) ) )</f>
        <v>1</v>
      </c>
      <c r="CV182" s="24">
        <v>0.99187073390031077</v>
      </c>
      <c r="CW182" s="24" t="str">
        <f>"0"</f>
        <v>0</v>
      </c>
      <c r="CX182" t="str">
        <f ca="1">IF((OFFSET($A$1, 182 - 1, 100 - 1)) &gt;= (OFFSET($A$1, 78 - 1, 7 - 1)), "1","0")</f>
        <v>1</v>
      </c>
      <c r="CY182">
        <f ca="1" xml:space="preserve"> IF( AND( OFFSET($A$1, 182 - 1, 101 - 1) = "1", OFFSET($A$1, 182 - 1, 102 - 1) = "1" ), 1, IF( AND( OFFSET($A$1, 182 - 1, 101 - 1) = "1", OFFSET($A$1, 182 - 1, 102 - 1) = "0" ), 2, IF( AND( OFFSET($A$1, 182 - 1, 101 - 1) = "0", OFFSET($A$1, 182 - 1, 102 - 1) = "1" ), 3, 4 ) ) )</f>
        <v>3</v>
      </c>
    </row>
    <row r="183" spans="95:103" ht="13.8" x14ac:dyDescent="0.3">
      <c r="CQ183" s="24">
        <v>0.99379008488658827</v>
      </c>
      <c r="CR183" s="24" t="str">
        <f t="shared" si="13"/>
        <v>1</v>
      </c>
      <c r="CS183" t="str">
        <f ca="1">IF((OFFSET($A$1, 183 - 1, 95 - 1)) &gt;= (OFFSET($A$1, 54 - 1, 7 - 1)), "1","0")</f>
        <v>1</v>
      </c>
      <c r="CT183">
        <f ca="1" xml:space="preserve"> IF( AND( OFFSET($A$1, 183 - 1, 96 - 1) = "1", OFFSET($A$1, 183 - 1, 97 - 1) = "1" ), 1, IF( AND( OFFSET($A$1, 183 - 1, 96 - 1) = "1", OFFSET($A$1, 183 - 1, 97 - 1) = "0" ), 2, IF( AND( OFFSET($A$1, 183 - 1, 96 - 1) = "0", OFFSET($A$1, 183 - 1, 97 - 1) = "1" ), 3, 4 ) ) )</f>
        <v>1</v>
      </c>
      <c r="CV183" s="24">
        <v>0.99696402108074844</v>
      </c>
      <c r="CW183" s="24" t="str">
        <f>"1"</f>
        <v>1</v>
      </c>
      <c r="CX183" t="str">
        <f ca="1">IF((OFFSET($A$1, 183 - 1, 100 - 1)) &gt;= (OFFSET($A$1, 78 - 1, 7 - 1)), "1","0")</f>
        <v>1</v>
      </c>
      <c r="CY183">
        <f ca="1" xml:space="preserve"> IF( AND( OFFSET($A$1, 183 - 1, 101 - 1) = "1", OFFSET($A$1, 183 - 1, 102 - 1) = "1" ), 1, IF( AND( OFFSET($A$1, 183 - 1, 101 - 1) = "1", OFFSET($A$1, 183 - 1, 102 - 1) = "0" ), 2, IF( AND( OFFSET($A$1, 183 - 1, 101 - 1) = "0", OFFSET($A$1, 183 - 1, 102 - 1) = "1" ), 3, 4 ) ) )</f>
        <v>1</v>
      </c>
    </row>
    <row r="184" spans="95:103" ht="13.8" x14ac:dyDescent="0.3">
      <c r="CQ184" s="24">
        <v>0.96292865347899614</v>
      </c>
      <c r="CR184" s="24" t="str">
        <f t="shared" si="13"/>
        <v>1</v>
      </c>
      <c r="CS184" t="str">
        <f ca="1">IF((OFFSET($A$1, 184 - 1, 95 - 1)) &gt;= (OFFSET($A$1, 54 - 1, 7 - 1)), "1","0")</f>
        <v>1</v>
      </c>
      <c r="CT184">
        <f ca="1" xml:space="preserve"> IF( AND( OFFSET($A$1, 184 - 1, 96 - 1) = "1", OFFSET($A$1, 184 - 1, 97 - 1) = "1" ), 1, IF( AND( OFFSET($A$1, 184 - 1, 96 - 1) = "1", OFFSET($A$1, 184 - 1, 97 - 1) = "0" ), 2, IF( AND( OFFSET($A$1, 184 - 1, 96 - 1) = "0", OFFSET($A$1, 184 - 1, 97 - 1) = "1" ), 3, 4 ) ) )</f>
        <v>1</v>
      </c>
      <c r="CV184" s="24">
        <v>0.88787213137677112</v>
      </c>
      <c r="CW184" s="24" t="str">
        <f>"1"</f>
        <v>1</v>
      </c>
      <c r="CX184" t="str">
        <f ca="1">IF((OFFSET($A$1, 184 - 1, 100 - 1)) &gt;= (OFFSET($A$1, 78 - 1, 7 - 1)), "1","0")</f>
        <v>1</v>
      </c>
      <c r="CY184">
        <f ca="1" xml:space="preserve"> IF( AND( OFFSET($A$1, 184 - 1, 101 - 1) = "1", OFFSET($A$1, 184 - 1, 102 - 1) = "1" ), 1, IF( AND( OFFSET($A$1, 184 - 1, 101 - 1) = "1", OFFSET($A$1, 184 - 1, 102 - 1) = "0" ), 2, IF( AND( OFFSET($A$1, 184 - 1, 101 - 1) = "0", OFFSET($A$1, 184 - 1, 102 - 1) = "1" ), 3, 4 ) ) )</f>
        <v>1</v>
      </c>
    </row>
    <row r="185" spans="95:103" ht="13.8" x14ac:dyDescent="0.3">
      <c r="CQ185" s="24">
        <v>9.2214859930194557E-2</v>
      </c>
      <c r="CR185" s="24" t="str">
        <f>"0"</f>
        <v>0</v>
      </c>
      <c r="CS185" t="str">
        <f ca="1">IF((OFFSET($A$1, 185 - 1, 95 - 1)) &gt;= (OFFSET($A$1, 54 - 1, 7 - 1)), "1","0")</f>
        <v>0</v>
      </c>
      <c r="CT185">
        <f ca="1" xml:space="preserve"> IF( AND( OFFSET($A$1, 185 - 1, 96 - 1) = "1", OFFSET($A$1, 185 - 1, 97 - 1) = "1" ), 1, IF( AND( OFFSET($A$1, 185 - 1, 96 - 1) = "1", OFFSET($A$1, 185 - 1, 97 - 1) = "0" ), 2, IF( AND( OFFSET($A$1, 185 - 1, 96 - 1) = "0", OFFSET($A$1, 185 - 1, 97 - 1) = "1" ), 3, 4 ) ) )</f>
        <v>4</v>
      </c>
      <c r="CV185" s="24">
        <v>0.97562258427604376</v>
      </c>
      <c r="CW185" s="24" t="str">
        <f>"0"</f>
        <v>0</v>
      </c>
      <c r="CX185" t="str">
        <f ca="1">IF((OFFSET($A$1, 185 - 1, 100 - 1)) &gt;= (OFFSET($A$1, 78 - 1, 7 - 1)), "1","0")</f>
        <v>1</v>
      </c>
      <c r="CY185">
        <f ca="1" xml:space="preserve"> IF( AND( OFFSET($A$1, 185 - 1, 101 - 1) = "1", OFFSET($A$1, 185 - 1, 102 - 1) = "1" ), 1, IF( AND( OFFSET($A$1, 185 - 1, 101 - 1) = "1", OFFSET($A$1, 185 - 1, 102 - 1) = "0" ), 2, IF( AND( OFFSET($A$1, 185 - 1, 101 - 1) = "0", OFFSET($A$1, 185 - 1, 102 - 1) = "1" ), 3, 4 ) ) )</f>
        <v>3</v>
      </c>
    </row>
    <row r="186" spans="95:103" ht="13.8" x14ac:dyDescent="0.3">
      <c r="CQ186" s="24">
        <v>0.99984849312747537</v>
      </c>
      <c r="CR186" s="24" t="str">
        <f>"1"</f>
        <v>1</v>
      </c>
      <c r="CS186" t="str">
        <f ca="1">IF((OFFSET($A$1, 186 - 1, 95 - 1)) &gt;= (OFFSET($A$1, 54 - 1, 7 - 1)), "1","0")</f>
        <v>1</v>
      </c>
      <c r="CT186">
        <f ca="1" xml:space="preserve"> IF( AND( OFFSET($A$1, 186 - 1, 96 - 1) = "1", OFFSET($A$1, 186 - 1, 97 - 1) = "1" ), 1, IF( AND( OFFSET($A$1, 186 - 1, 96 - 1) = "1", OFFSET($A$1, 186 - 1, 97 - 1) = "0" ), 2, IF( AND( OFFSET($A$1, 186 - 1, 96 - 1) = "0", OFFSET($A$1, 186 - 1, 97 - 1) = "1" ), 3, 4 ) ) )</f>
        <v>1</v>
      </c>
      <c r="CV186" s="24">
        <v>0.99988699050045293</v>
      </c>
      <c r="CW186" s="24" t="str">
        <f>"1"</f>
        <v>1</v>
      </c>
      <c r="CX186" t="str">
        <f ca="1">IF((OFFSET($A$1, 186 - 1, 100 - 1)) &gt;= (OFFSET($A$1, 78 - 1, 7 - 1)), "1","0")</f>
        <v>1</v>
      </c>
      <c r="CY186">
        <f ca="1" xml:space="preserve"> IF( AND( OFFSET($A$1, 186 - 1, 101 - 1) = "1", OFFSET($A$1, 186 - 1, 102 - 1) = "1" ), 1, IF( AND( OFFSET($A$1, 186 - 1, 101 - 1) = "1", OFFSET($A$1, 186 - 1, 102 - 1) = "0" ), 2, IF( AND( OFFSET($A$1, 186 - 1, 101 - 1) = "0", OFFSET($A$1, 186 - 1, 102 - 1) = "1" ), 3, 4 ) ) )</f>
        <v>1</v>
      </c>
    </row>
    <row r="187" spans="95:103" ht="13.8" x14ac:dyDescent="0.3">
      <c r="CQ187" s="24">
        <v>0.97792941363543784</v>
      </c>
      <c r="CR187" s="24" t="str">
        <f>"1"</f>
        <v>1</v>
      </c>
      <c r="CS187" t="str">
        <f ca="1">IF((OFFSET($A$1, 187 - 1, 95 - 1)) &gt;= (OFFSET($A$1, 54 - 1, 7 - 1)), "1","0")</f>
        <v>1</v>
      </c>
      <c r="CT187">
        <f ca="1" xml:space="preserve"> IF( AND( OFFSET($A$1, 187 - 1, 96 - 1) = "1", OFFSET($A$1, 187 - 1, 97 - 1) = "1" ), 1, IF( AND( OFFSET($A$1, 187 - 1, 96 - 1) = "1", OFFSET($A$1, 187 - 1, 97 - 1) = "0" ), 2, IF( AND( OFFSET($A$1, 187 - 1, 96 - 1) = "0", OFFSET($A$1, 187 - 1, 97 - 1) = "1" ), 3, 4 ) ) )</f>
        <v>1</v>
      </c>
      <c r="CV187" s="24">
        <v>0.28002928629549717</v>
      </c>
      <c r="CW187" s="24" t="str">
        <f>"0"</f>
        <v>0</v>
      </c>
      <c r="CX187" t="str">
        <f ca="1">IF((OFFSET($A$1, 187 - 1, 100 - 1)) &gt;= (OFFSET($A$1, 78 - 1, 7 - 1)), "1","0")</f>
        <v>0</v>
      </c>
      <c r="CY187">
        <f ca="1" xml:space="preserve"> IF( AND( OFFSET($A$1, 187 - 1, 101 - 1) = "1", OFFSET($A$1, 187 - 1, 102 - 1) = "1" ), 1, IF( AND( OFFSET($A$1, 187 - 1, 101 - 1) = "1", OFFSET($A$1, 187 - 1, 102 - 1) = "0" ), 2, IF( AND( OFFSET($A$1, 187 - 1, 101 - 1) = "0", OFFSET($A$1, 187 - 1, 102 - 1) = "1" ), 3, 4 ) ) )</f>
        <v>4</v>
      </c>
    </row>
    <row r="188" spans="95:103" ht="13.8" x14ac:dyDescent="0.3">
      <c r="CQ188" s="24">
        <v>0.99787088605117669</v>
      </c>
      <c r="CR188" s="24" t="str">
        <f>"1"</f>
        <v>1</v>
      </c>
      <c r="CS188" t="str">
        <f ca="1">IF((OFFSET($A$1, 188 - 1, 95 - 1)) &gt;= (OFFSET($A$1, 54 - 1, 7 - 1)), "1","0")</f>
        <v>1</v>
      </c>
      <c r="CT188">
        <f ca="1" xml:space="preserve"> IF( AND( OFFSET($A$1, 188 - 1, 96 - 1) = "1", OFFSET($A$1, 188 - 1, 97 - 1) = "1" ), 1, IF( AND( OFFSET($A$1, 188 - 1, 96 - 1) = "1", OFFSET($A$1, 188 - 1, 97 - 1) = "0" ), 2, IF( AND( OFFSET($A$1, 188 - 1, 96 - 1) = "0", OFFSET($A$1, 188 - 1, 97 - 1) = "1" ), 3, 4 ) ) )</f>
        <v>1</v>
      </c>
      <c r="CV188" s="24">
        <v>0.98186320736292743</v>
      </c>
      <c r="CW188" s="24" t="str">
        <f>"1"</f>
        <v>1</v>
      </c>
      <c r="CX188" t="str">
        <f ca="1">IF((OFFSET($A$1, 188 - 1, 100 - 1)) &gt;= (OFFSET($A$1, 78 - 1, 7 - 1)), "1","0")</f>
        <v>1</v>
      </c>
      <c r="CY188">
        <f ca="1" xml:space="preserve"> IF( AND( OFFSET($A$1, 188 - 1, 101 - 1) = "1", OFFSET($A$1, 188 - 1, 102 - 1) = "1" ), 1, IF( AND( OFFSET($A$1, 188 - 1, 101 - 1) = "1", OFFSET($A$1, 188 - 1, 102 - 1) = "0" ), 2, IF( AND( OFFSET($A$1, 188 - 1, 101 - 1) = "0", OFFSET($A$1, 188 - 1, 102 - 1) = "1" ), 3, 4 ) ) )</f>
        <v>1</v>
      </c>
    </row>
    <row r="189" spans="95:103" ht="13.8" x14ac:dyDescent="0.3">
      <c r="CQ189" s="24">
        <v>2.3448572569232981E-2</v>
      </c>
      <c r="CR189" s="24" t="str">
        <f>"0"</f>
        <v>0</v>
      </c>
      <c r="CS189" t="str">
        <f ca="1">IF((OFFSET($A$1, 189 - 1, 95 - 1)) &gt;= (OFFSET($A$1, 54 - 1, 7 - 1)), "1","0")</f>
        <v>0</v>
      </c>
      <c r="CT189">
        <f ca="1" xml:space="preserve"> IF( AND( OFFSET($A$1, 189 - 1, 96 - 1) = "1", OFFSET($A$1, 189 - 1, 97 - 1) = "1" ), 1, IF( AND( OFFSET($A$1, 189 - 1, 96 - 1) = "1", OFFSET($A$1, 189 - 1, 97 - 1) = "0" ), 2, IF( AND( OFFSET($A$1, 189 - 1, 96 - 1) = "0", OFFSET($A$1, 189 - 1, 97 - 1) = "1" ), 3, 4 ) ) )</f>
        <v>4</v>
      </c>
      <c r="CV189" s="24">
        <v>0.99628579747114765</v>
      </c>
      <c r="CW189" s="24" t="str">
        <f>"1"</f>
        <v>1</v>
      </c>
      <c r="CX189" t="str">
        <f ca="1">IF((OFFSET($A$1, 189 - 1, 100 - 1)) &gt;= (OFFSET($A$1, 78 - 1, 7 - 1)), "1","0")</f>
        <v>1</v>
      </c>
      <c r="CY189">
        <f ca="1" xml:space="preserve"> IF( AND( OFFSET($A$1, 189 - 1, 101 - 1) = "1", OFFSET($A$1, 189 - 1, 102 - 1) = "1" ), 1, IF( AND( OFFSET($A$1, 189 - 1, 101 - 1) = "1", OFFSET($A$1, 189 - 1, 102 - 1) = "0" ), 2, IF( AND( OFFSET($A$1, 189 - 1, 101 - 1) = "0", OFFSET($A$1, 189 - 1, 102 - 1) = "1" ), 3, 4 ) ) )</f>
        <v>1</v>
      </c>
    </row>
    <row r="190" spans="95:103" ht="13.8" x14ac:dyDescent="0.3">
      <c r="CQ190" s="24">
        <v>0.93683168849635834</v>
      </c>
      <c r="CR190" s="24" t="str">
        <f>"1"</f>
        <v>1</v>
      </c>
      <c r="CS190" t="str">
        <f ca="1">IF((OFFSET($A$1, 190 - 1, 95 - 1)) &gt;= (OFFSET($A$1, 54 - 1, 7 - 1)), "1","0")</f>
        <v>1</v>
      </c>
      <c r="CT190">
        <f ca="1" xml:space="preserve"> IF( AND( OFFSET($A$1, 190 - 1, 96 - 1) = "1", OFFSET($A$1, 190 - 1, 97 - 1) = "1" ), 1, IF( AND( OFFSET($A$1, 190 - 1, 96 - 1) = "1", OFFSET($A$1, 190 - 1, 97 - 1) = "0" ), 2, IF( AND( OFFSET($A$1, 190 - 1, 96 - 1) = "0", OFFSET($A$1, 190 - 1, 97 - 1) = "1" ), 3, 4 ) ) )</f>
        <v>1</v>
      </c>
      <c r="CV190" s="24">
        <v>0.94924778611758864</v>
      </c>
      <c r="CW190" s="24" t="str">
        <f>"1"</f>
        <v>1</v>
      </c>
      <c r="CX190" t="str">
        <f ca="1">IF((OFFSET($A$1, 190 - 1, 100 - 1)) &gt;= (OFFSET($A$1, 78 - 1, 7 - 1)), "1","0")</f>
        <v>1</v>
      </c>
      <c r="CY190">
        <f ca="1" xml:space="preserve"> IF( AND( OFFSET($A$1, 190 - 1, 101 - 1) = "1", OFFSET($A$1, 190 - 1, 102 - 1) = "1" ), 1, IF( AND( OFFSET($A$1, 190 - 1, 101 - 1) = "1", OFFSET($A$1, 190 - 1, 102 - 1) = "0" ), 2, IF( AND( OFFSET($A$1, 190 - 1, 101 - 1) = "0", OFFSET($A$1, 190 - 1, 102 - 1) = "1" ), 3, 4 ) ) )</f>
        <v>1</v>
      </c>
    </row>
    <row r="191" spans="95:103" ht="13.8" x14ac:dyDescent="0.3">
      <c r="CQ191" s="24">
        <v>0.99999976570457827</v>
      </c>
      <c r="CR191" s="24" t="str">
        <f>"1"</f>
        <v>1</v>
      </c>
      <c r="CS191" t="str">
        <f ca="1">IF((OFFSET($A$1, 191 - 1, 95 - 1)) &gt;= (OFFSET($A$1, 54 - 1, 7 - 1)), "1","0")</f>
        <v>1</v>
      </c>
      <c r="CT191">
        <f ca="1" xml:space="preserve"> IF( AND( OFFSET($A$1, 191 - 1, 96 - 1) = "1", OFFSET($A$1, 191 - 1, 97 - 1) = "1" ), 1, IF( AND( OFFSET($A$1, 191 - 1, 96 - 1) = "1", OFFSET($A$1, 191 - 1, 97 - 1) = "0" ), 2, IF( AND( OFFSET($A$1, 191 - 1, 96 - 1) = "0", OFFSET($A$1, 191 - 1, 97 - 1) = "1" ), 3, 4 ) ) )</f>
        <v>1</v>
      </c>
      <c r="CV191" s="24">
        <v>0.70591239631411529</v>
      </c>
      <c r="CW191" s="24" t="str">
        <f>"1"</f>
        <v>1</v>
      </c>
      <c r="CX191" t="str">
        <f ca="1">IF((OFFSET($A$1, 191 - 1, 100 - 1)) &gt;= (OFFSET($A$1, 78 - 1, 7 - 1)), "1","0")</f>
        <v>1</v>
      </c>
      <c r="CY191">
        <f ca="1" xml:space="preserve"> IF( AND( OFFSET($A$1, 191 - 1, 101 - 1) = "1", OFFSET($A$1, 191 - 1, 102 - 1) = "1" ), 1, IF( AND( OFFSET($A$1, 191 - 1, 101 - 1) = "1", OFFSET($A$1, 191 - 1, 102 - 1) = "0" ), 2, IF( AND( OFFSET($A$1, 191 - 1, 101 - 1) = "0", OFFSET($A$1, 191 - 1, 102 - 1) = "1" ), 3, 4 ) ) )</f>
        <v>1</v>
      </c>
    </row>
    <row r="192" spans="95:103" ht="13.8" x14ac:dyDescent="0.3">
      <c r="CQ192" s="24">
        <v>0.99827468826642884</v>
      </c>
      <c r="CR192" s="24" t="str">
        <f>"1"</f>
        <v>1</v>
      </c>
      <c r="CS192" t="str">
        <f ca="1">IF((OFFSET($A$1, 192 - 1, 95 - 1)) &gt;= (OFFSET($A$1, 54 - 1, 7 - 1)), "1","0")</f>
        <v>1</v>
      </c>
      <c r="CT192">
        <f ca="1" xml:space="preserve"> IF( AND( OFFSET($A$1, 192 - 1, 96 - 1) = "1", OFFSET($A$1, 192 - 1, 97 - 1) = "1" ), 1, IF( AND( OFFSET($A$1, 192 - 1, 96 - 1) = "1", OFFSET($A$1, 192 - 1, 97 - 1) = "0" ), 2, IF( AND( OFFSET($A$1, 192 - 1, 96 - 1) = "0", OFFSET($A$1, 192 - 1, 97 - 1) = "1" ), 3, 4 ) ) )</f>
        <v>1</v>
      </c>
      <c r="CV192" s="24">
        <v>0.76710822159364223</v>
      </c>
      <c r="CW192" s="24" t="str">
        <f>"1"</f>
        <v>1</v>
      </c>
      <c r="CX192" t="str">
        <f ca="1">IF((OFFSET($A$1, 192 - 1, 100 - 1)) &gt;= (OFFSET($A$1, 78 - 1, 7 - 1)), "1","0")</f>
        <v>1</v>
      </c>
      <c r="CY192">
        <f ca="1" xml:space="preserve"> IF( AND( OFFSET($A$1, 192 - 1, 101 - 1) = "1", OFFSET($A$1, 192 - 1, 102 - 1) = "1" ), 1, IF( AND( OFFSET($A$1, 192 - 1, 101 - 1) = "1", OFFSET($A$1, 192 - 1, 102 - 1) = "0" ), 2, IF( AND( OFFSET($A$1, 192 - 1, 101 - 1) = "0", OFFSET($A$1, 192 - 1, 102 - 1) = "1" ), 3, 4 ) ) )</f>
        <v>1</v>
      </c>
    </row>
    <row r="193" spans="95:103" ht="13.8" x14ac:dyDescent="0.3">
      <c r="CQ193" s="24">
        <v>3.6119935696868619E-3</v>
      </c>
      <c r="CR193" s="24" t="str">
        <f>"0"</f>
        <v>0</v>
      </c>
      <c r="CS193" t="str">
        <f ca="1">IF((OFFSET($A$1, 193 - 1, 95 - 1)) &gt;= (OFFSET($A$1, 54 - 1, 7 - 1)), "1","0")</f>
        <v>0</v>
      </c>
      <c r="CT193">
        <f ca="1" xml:space="preserve"> IF( AND( OFFSET($A$1, 193 - 1, 96 - 1) = "1", OFFSET($A$1, 193 - 1, 97 - 1) = "1" ), 1, IF( AND( OFFSET($A$1, 193 - 1, 96 - 1) = "1", OFFSET($A$1, 193 - 1, 97 - 1) = "0" ), 2, IF( AND( OFFSET($A$1, 193 - 1, 96 - 1) = "0", OFFSET($A$1, 193 - 1, 97 - 1) = "1" ), 3, 4 ) ) )</f>
        <v>4</v>
      </c>
      <c r="CV193" s="24">
        <v>5.3886108700282827E-2</v>
      </c>
      <c r="CW193" s="24" t="str">
        <f>"0"</f>
        <v>0</v>
      </c>
      <c r="CX193" t="str">
        <f ca="1">IF((OFFSET($A$1, 193 - 1, 100 - 1)) &gt;= (OFFSET($A$1, 78 - 1, 7 - 1)), "1","0")</f>
        <v>0</v>
      </c>
      <c r="CY193">
        <f ca="1" xml:space="preserve"> IF( AND( OFFSET($A$1, 193 - 1, 101 - 1) = "1", OFFSET($A$1, 193 - 1, 102 - 1) = "1" ), 1, IF( AND( OFFSET($A$1, 193 - 1, 101 - 1) = "1", OFFSET($A$1, 193 - 1, 102 - 1) = "0" ), 2, IF( AND( OFFSET($A$1, 193 - 1, 101 - 1) = "0", OFFSET($A$1, 193 - 1, 102 - 1) = "1" ), 3, 4 ) ) )</f>
        <v>4</v>
      </c>
    </row>
    <row r="194" spans="95:103" ht="13.8" x14ac:dyDescent="0.3">
      <c r="CQ194" s="24">
        <v>1.5056909245320212E-2</v>
      </c>
      <c r="CR194" s="24" t="str">
        <f>"0"</f>
        <v>0</v>
      </c>
      <c r="CS194" t="str">
        <f ca="1">IF((OFFSET($A$1, 194 - 1, 95 - 1)) &gt;= (OFFSET($A$1, 54 - 1, 7 - 1)), "1","0")</f>
        <v>0</v>
      </c>
      <c r="CT194">
        <f ca="1" xml:space="preserve"> IF( AND( OFFSET($A$1, 194 - 1, 96 - 1) = "1", OFFSET($A$1, 194 - 1, 97 - 1) = "1" ), 1, IF( AND( OFFSET($A$1, 194 - 1, 96 - 1) = "1", OFFSET($A$1, 194 - 1, 97 - 1) = "0" ), 2, IF( AND( OFFSET($A$1, 194 - 1, 96 - 1) = "0", OFFSET($A$1, 194 - 1, 97 - 1) = "1" ), 3, 4 ) ) )</f>
        <v>4</v>
      </c>
      <c r="CV194" s="24">
        <v>0.95103430355400365</v>
      </c>
      <c r="CW194" s="24" t="str">
        <f>"0"</f>
        <v>0</v>
      </c>
      <c r="CX194" t="str">
        <f ca="1">IF((OFFSET($A$1, 194 - 1, 100 - 1)) &gt;= (OFFSET($A$1, 78 - 1, 7 - 1)), "1","0")</f>
        <v>1</v>
      </c>
      <c r="CY194">
        <f ca="1" xml:space="preserve"> IF( AND( OFFSET($A$1, 194 - 1, 101 - 1) = "1", OFFSET($A$1, 194 - 1, 102 - 1) = "1" ), 1, IF( AND( OFFSET($A$1, 194 - 1, 101 - 1) = "1", OFFSET($A$1, 194 - 1, 102 - 1) = "0" ), 2, IF( AND( OFFSET($A$1, 194 - 1, 101 - 1) = "0", OFFSET($A$1, 194 - 1, 102 - 1) = "1" ), 3, 4 ) ) )</f>
        <v>3</v>
      </c>
    </row>
    <row r="195" spans="95:103" ht="13.8" x14ac:dyDescent="0.3">
      <c r="CQ195" s="24">
        <v>0.99995455994240201</v>
      </c>
      <c r="CR195" s="24" t="str">
        <f t="shared" ref="CR195:CR206" si="14">"1"</f>
        <v>1</v>
      </c>
      <c r="CS195" t="str">
        <f ca="1">IF((OFFSET($A$1, 195 - 1, 95 - 1)) &gt;= (OFFSET($A$1, 54 - 1, 7 - 1)), "1","0")</f>
        <v>1</v>
      </c>
      <c r="CT195">
        <f ca="1" xml:space="preserve"> IF( AND( OFFSET($A$1, 195 - 1, 96 - 1) = "1", OFFSET($A$1, 195 - 1, 97 - 1) = "1" ), 1, IF( AND( OFFSET($A$1, 195 - 1, 96 - 1) = "1", OFFSET($A$1, 195 - 1, 97 - 1) = "0" ), 2, IF( AND( OFFSET($A$1, 195 - 1, 96 - 1) = "0", OFFSET($A$1, 195 - 1, 97 - 1) = "1" ), 3, 4 ) ) )</f>
        <v>1</v>
      </c>
      <c r="CV195" s="24">
        <v>0.93719711534428773</v>
      </c>
      <c r="CW195" s="24" t="str">
        <f>"1"</f>
        <v>1</v>
      </c>
      <c r="CX195" t="str">
        <f ca="1">IF((OFFSET($A$1, 195 - 1, 100 - 1)) &gt;= (OFFSET($A$1, 78 - 1, 7 - 1)), "1","0")</f>
        <v>1</v>
      </c>
      <c r="CY195">
        <f ca="1" xml:space="preserve"> IF( AND( OFFSET($A$1, 195 - 1, 101 - 1) = "1", OFFSET($A$1, 195 - 1, 102 - 1) = "1" ), 1, IF( AND( OFFSET($A$1, 195 - 1, 101 - 1) = "1", OFFSET($A$1, 195 - 1, 102 - 1) = "0" ), 2, IF( AND( OFFSET($A$1, 195 - 1, 101 - 1) = "0", OFFSET($A$1, 195 - 1, 102 - 1) = "1" ), 3, 4 ) ) )</f>
        <v>1</v>
      </c>
    </row>
    <row r="196" spans="95:103" ht="13.8" x14ac:dyDescent="0.3">
      <c r="CQ196" s="24">
        <v>0.99937068520096572</v>
      </c>
      <c r="CR196" s="24" t="str">
        <f t="shared" si="14"/>
        <v>1</v>
      </c>
      <c r="CS196" t="str">
        <f ca="1">IF((OFFSET($A$1, 196 - 1, 95 - 1)) &gt;= (OFFSET($A$1, 54 - 1, 7 - 1)), "1","0")</f>
        <v>1</v>
      </c>
      <c r="CT196">
        <f ca="1" xml:space="preserve"> IF( AND( OFFSET($A$1, 196 - 1, 96 - 1) = "1", OFFSET($A$1, 196 - 1, 97 - 1) = "1" ), 1, IF( AND( OFFSET($A$1, 196 - 1, 96 - 1) = "1", OFFSET($A$1, 196 - 1, 97 - 1) = "0" ), 2, IF( AND( OFFSET($A$1, 196 - 1, 96 - 1) = "0", OFFSET($A$1, 196 - 1, 97 - 1) = "1" ), 3, 4 ) ) )</f>
        <v>1</v>
      </c>
      <c r="CV196" s="24">
        <v>0.90928302474958811</v>
      </c>
      <c r="CW196" s="24" t="str">
        <f>"1"</f>
        <v>1</v>
      </c>
      <c r="CX196" t="str">
        <f ca="1">IF((OFFSET($A$1, 196 - 1, 100 - 1)) &gt;= (OFFSET($A$1, 78 - 1, 7 - 1)), "1","0")</f>
        <v>1</v>
      </c>
      <c r="CY196">
        <f ca="1" xml:space="preserve"> IF( AND( OFFSET($A$1, 196 - 1, 101 - 1) = "1", OFFSET($A$1, 196 - 1, 102 - 1) = "1" ), 1, IF( AND( OFFSET($A$1, 196 - 1, 101 - 1) = "1", OFFSET($A$1, 196 - 1, 102 - 1) = "0" ), 2, IF( AND( OFFSET($A$1, 196 - 1, 101 - 1) = "0", OFFSET($A$1, 196 - 1, 102 - 1) = "1" ), 3, 4 ) ) )</f>
        <v>1</v>
      </c>
    </row>
    <row r="197" spans="95:103" ht="13.8" x14ac:dyDescent="0.3">
      <c r="CQ197" s="24">
        <v>0.99468642569315813</v>
      </c>
      <c r="CR197" s="24" t="str">
        <f t="shared" si="14"/>
        <v>1</v>
      </c>
      <c r="CS197" t="str">
        <f ca="1">IF((OFFSET($A$1, 197 - 1, 95 - 1)) &gt;= (OFFSET($A$1, 54 - 1, 7 - 1)), "1","0")</f>
        <v>1</v>
      </c>
      <c r="CT197">
        <f ca="1" xml:space="preserve"> IF( AND( OFFSET($A$1, 197 - 1, 96 - 1) = "1", OFFSET($A$1, 197 - 1, 97 - 1) = "1" ), 1, IF( AND( OFFSET($A$1, 197 - 1, 96 - 1) = "1", OFFSET($A$1, 197 - 1, 97 - 1) = "0" ), 2, IF( AND( OFFSET($A$1, 197 - 1, 96 - 1) = "0", OFFSET($A$1, 197 - 1, 97 - 1) = "1" ), 3, 4 ) ) )</f>
        <v>1</v>
      </c>
      <c r="CV197" s="24">
        <v>9.5492424357593128E-2</v>
      </c>
      <c r="CW197" s="24" t="str">
        <f>"0"</f>
        <v>0</v>
      </c>
      <c r="CX197" t="str">
        <f ca="1">IF((OFFSET($A$1, 197 - 1, 100 - 1)) &gt;= (OFFSET($A$1, 78 - 1, 7 - 1)), "1","0")</f>
        <v>0</v>
      </c>
      <c r="CY197">
        <f ca="1" xml:space="preserve"> IF( AND( OFFSET($A$1, 197 - 1, 101 - 1) = "1", OFFSET($A$1, 197 - 1, 102 - 1) = "1" ), 1, IF( AND( OFFSET($A$1, 197 - 1, 101 - 1) = "1", OFFSET($A$1, 197 - 1, 102 - 1) = "0" ), 2, IF( AND( OFFSET($A$1, 197 - 1, 101 - 1) = "0", OFFSET($A$1, 197 - 1, 102 - 1) = "1" ), 3, 4 ) ) )</f>
        <v>4</v>
      </c>
    </row>
    <row r="198" spans="95:103" ht="13.8" x14ac:dyDescent="0.3">
      <c r="CQ198" s="24">
        <v>0.93781289891540609</v>
      </c>
      <c r="CR198" s="24" t="str">
        <f t="shared" si="14"/>
        <v>1</v>
      </c>
      <c r="CS198" t="str">
        <f ca="1">IF((OFFSET($A$1, 198 - 1, 95 - 1)) &gt;= (OFFSET($A$1, 54 - 1, 7 - 1)), "1","0")</f>
        <v>1</v>
      </c>
      <c r="CT198">
        <f ca="1" xml:space="preserve"> IF( AND( OFFSET($A$1, 198 - 1, 96 - 1) = "1", OFFSET($A$1, 198 - 1, 97 - 1) = "1" ), 1, IF( AND( OFFSET($A$1, 198 - 1, 96 - 1) = "1", OFFSET($A$1, 198 - 1, 97 - 1) = "0" ), 2, IF( AND( OFFSET($A$1, 198 - 1, 96 - 1) = "0", OFFSET($A$1, 198 - 1, 97 - 1) = "1" ), 3, 4 ) ) )</f>
        <v>1</v>
      </c>
      <c r="CV198" s="24">
        <v>0.53707371292079997</v>
      </c>
      <c r="CW198" s="24" t="str">
        <f>"1"</f>
        <v>1</v>
      </c>
      <c r="CX198" t="str">
        <f ca="1">IF((OFFSET($A$1, 198 - 1, 100 - 1)) &gt;= (OFFSET($A$1, 78 - 1, 7 - 1)), "1","0")</f>
        <v>1</v>
      </c>
      <c r="CY198">
        <f ca="1" xml:space="preserve"> IF( AND( OFFSET($A$1, 198 - 1, 101 - 1) = "1", OFFSET($A$1, 198 - 1, 102 - 1) = "1" ), 1, IF( AND( OFFSET($A$1, 198 - 1, 101 - 1) = "1", OFFSET($A$1, 198 - 1, 102 - 1) = "0" ), 2, IF( AND( OFFSET($A$1, 198 - 1, 101 - 1) = "0", OFFSET($A$1, 198 - 1, 102 - 1) = "1" ), 3, 4 ) ) )</f>
        <v>1</v>
      </c>
    </row>
    <row r="199" spans="95:103" ht="13.8" x14ac:dyDescent="0.3">
      <c r="CQ199" s="24">
        <v>0.96853984711010699</v>
      </c>
      <c r="CR199" s="24" t="str">
        <f t="shared" si="14"/>
        <v>1</v>
      </c>
      <c r="CS199" t="str">
        <f ca="1">IF((OFFSET($A$1, 199 - 1, 95 - 1)) &gt;= (OFFSET($A$1, 54 - 1, 7 - 1)), "1","0")</f>
        <v>1</v>
      </c>
      <c r="CT199">
        <f ca="1" xml:space="preserve"> IF( AND( OFFSET($A$1, 199 - 1, 96 - 1) = "1", OFFSET($A$1, 199 - 1, 97 - 1) = "1" ), 1, IF( AND( OFFSET($A$1, 199 - 1, 96 - 1) = "1", OFFSET($A$1, 199 - 1, 97 - 1) = "0" ), 2, IF( AND( OFFSET($A$1, 199 - 1, 96 - 1) = "0", OFFSET($A$1, 199 - 1, 97 - 1) = "1" ), 3, 4 ) ) )</f>
        <v>1</v>
      </c>
      <c r="CV199" s="24">
        <v>0.97525776045078882</v>
      </c>
      <c r="CW199" s="24" t="str">
        <f>"0"</f>
        <v>0</v>
      </c>
      <c r="CX199" t="str">
        <f ca="1">IF((OFFSET($A$1, 199 - 1, 100 - 1)) &gt;= (OFFSET($A$1, 78 - 1, 7 - 1)), "1","0")</f>
        <v>1</v>
      </c>
      <c r="CY199">
        <f ca="1" xml:space="preserve"> IF( AND( OFFSET($A$1, 199 - 1, 101 - 1) = "1", OFFSET($A$1, 199 - 1, 102 - 1) = "1" ), 1, IF( AND( OFFSET($A$1, 199 - 1, 101 - 1) = "1", OFFSET($A$1, 199 - 1, 102 - 1) = "0" ), 2, IF( AND( OFFSET($A$1, 199 - 1, 101 - 1) = "0", OFFSET($A$1, 199 - 1, 102 - 1) = "1" ), 3, 4 ) ) )</f>
        <v>3</v>
      </c>
    </row>
    <row r="200" spans="95:103" ht="13.8" x14ac:dyDescent="0.3">
      <c r="CQ200" s="24">
        <v>0.9882079338177191</v>
      </c>
      <c r="CR200" s="24" t="str">
        <f t="shared" si="14"/>
        <v>1</v>
      </c>
      <c r="CS200" t="str">
        <f ca="1">IF((OFFSET($A$1, 200 - 1, 95 - 1)) &gt;= (OFFSET($A$1, 54 - 1, 7 - 1)), "1","0")</f>
        <v>1</v>
      </c>
      <c r="CT200">
        <f ca="1" xml:space="preserve"> IF( AND( OFFSET($A$1, 200 - 1, 96 - 1) = "1", OFFSET($A$1, 200 - 1, 97 - 1) = "1" ), 1, IF( AND( OFFSET($A$1, 200 - 1, 96 - 1) = "1", OFFSET($A$1, 200 - 1, 97 - 1) = "0" ), 2, IF( AND( OFFSET($A$1, 200 - 1, 96 - 1) = "0", OFFSET($A$1, 200 - 1, 97 - 1) = "1" ), 3, 4 ) ) )</f>
        <v>1</v>
      </c>
      <c r="CV200" s="24">
        <v>0.69936768868300991</v>
      </c>
      <c r="CW200" s="24" t="str">
        <f>"1"</f>
        <v>1</v>
      </c>
      <c r="CX200" t="str">
        <f ca="1">IF((OFFSET($A$1, 200 - 1, 100 - 1)) &gt;= (OFFSET($A$1, 78 - 1, 7 - 1)), "1","0")</f>
        <v>1</v>
      </c>
      <c r="CY200">
        <f ca="1" xml:space="preserve"> IF( AND( OFFSET($A$1, 200 - 1, 101 - 1) = "1", OFFSET($A$1, 200 - 1, 102 - 1) = "1" ), 1, IF( AND( OFFSET($A$1, 200 - 1, 101 - 1) = "1", OFFSET($A$1, 200 - 1, 102 - 1) = "0" ), 2, IF( AND( OFFSET($A$1, 200 - 1, 101 - 1) = "0", OFFSET($A$1, 200 - 1, 102 - 1) = "1" ), 3, 4 ) ) )</f>
        <v>1</v>
      </c>
    </row>
    <row r="201" spans="95:103" ht="13.8" x14ac:dyDescent="0.3">
      <c r="CQ201" s="24">
        <v>0.86721280136369938</v>
      </c>
      <c r="CR201" s="24" t="str">
        <f t="shared" si="14"/>
        <v>1</v>
      </c>
      <c r="CS201" t="str">
        <f ca="1">IF((OFFSET($A$1, 201 - 1, 95 - 1)) &gt;= (OFFSET($A$1, 54 - 1, 7 - 1)), "1","0")</f>
        <v>1</v>
      </c>
      <c r="CT201">
        <f ca="1" xml:space="preserve"> IF( AND( OFFSET($A$1, 201 - 1, 96 - 1) = "1", OFFSET($A$1, 201 - 1, 97 - 1) = "1" ), 1, IF( AND( OFFSET($A$1, 201 - 1, 96 - 1) = "1", OFFSET($A$1, 201 - 1, 97 - 1) = "0" ), 2, IF( AND( OFFSET($A$1, 201 - 1, 96 - 1) = "0", OFFSET($A$1, 201 - 1, 97 - 1) = "1" ), 3, 4 ) ) )</f>
        <v>1</v>
      </c>
      <c r="CV201" s="24">
        <v>0.78464618042698497</v>
      </c>
      <c r="CW201" s="24" t="str">
        <f>"1"</f>
        <v>1</v>
      </c>
      <c r="CX201" t="str">
        <f ca="1">IF((OFFSET($A$1, 201 - 1, 100 - 1)) &gt;= (OFFSET($A$1, 78 - 1, 7 - 1)), "1","0")</f>
        <v>1</v>
      </c>
      <c r="CY201">
        <f ca="1" xml:space="preserve"> IF( AND( OFFSET($A$1, 201 - 1, 101 - 1) = "1", OFFSET($A$1, 201 - 1, 102 - 1) = "1" ), 1, IF( AND( OFFSET($A$1, 201 - 1, 101 - 1) = "1", OFFSET($A$1, 201 - 1, 102 - 1) = "0" ), 2, IF( AND( OFFSET($A$1, 201 - 1, 101 - 1) = "0", OFFSET($A$1, 201 - 1, 102 - 1) = "1" ), 3, 4 ) ) )</f>
        <v>1</v>
      </c>
    </row>
    <row r="202" spans="95:103" ht="13.8" x14ac:dyDescent="0.3">
      <c r="CQ202" s="24">
        <v>0.98370574304059499</v>
      </c>
      <c r="CR202" s="24" t="str">
        <f t="shared" si="14"/>
        <v>1</v>
      </c>
      <c r="CS202" t="str">
        <f ca="1">IF((OFFSET($A$1, 202 - 1, 95 - 1)) &gt;= (OFFSET($A$1, 54 - 1, 7 - 1)), "1","0")</f>
        <v>1</v>
      </c>
      <c r="CT202">
        <f ca="1" xml:space="preserve"> IF( AND( OFFSET($A$1, 202 - 1, 96 - 1) = "1", OFFSET($A$1, 202 - 1, 97 - 1) = "1" ), 1, IF( AND( OFFSET($A$1, 202 - 1, 96 - 1) = "1", OFFSET($A$1, 202 - 1, 97 - 1) = "0" ), 2, IF( AND( OFFSET($A$1, 202 - 1, 96 - 1) = "0", OFFSET($A$1, 202 - 1, 97 - 1) = "1" ), 3, 4 ) ) )</f>
        <v>1</v>
      </c>
      <c r="CV202" s="24">
        <v>0.29748246748326573</v>
      </c>
      <c r="CW202" s="24" t="str">
        <f>"0"</f>
        <v>0</v>
      </c>
      <c r="CX202" t="str">
        <f ca="1">IF((OFFSET($A$1, 202 - 1, 100 - 1)) &gt;= (OFFSET($A$1, 78 - 1, 7 - 1)), "1","0")</f>
        <v>0</v>
      </c>
      <c r="CY202">
        <f ca="1" xml:space="preserve"> IF( AND( OFFSET($A$1, 202 - 1, 101 - 1) = "1", OFFSET($A$1, 202 - 1, 102 - 1) = "1" ), 1, IF( AND( OFFSET($A$1, 202 - 1, 101 - 1) = "1", OFFSET($A$1, 202 - 1, 102 - 1) = "0" ), 2, IF( AND( OFFSET($A$1, 202 - 1, 101 - 1) = "0", OFFSET($A$1, 202 - 1, 102 - 1) = "1" ), 3, 4 ) ) )</f>
        <v>4</v>
      </c>
    </row>
    <row r="203" spans="95:103" ht="13.8" x14ac:dyDescent="0.3">
      <c r="CQ203" s="24">
        <v>0.89360760392628524</v>
      </c>
      <c r="CR203" s="24" t="str">
        <f t="shared" si="14"/>
        <v>1</v>
      </c>
      <c r="CS203" t="str">
        <f ca="1">IF((OFFSET($A$1, 203 - 1, 95 - 1)) &gt;= (OFFSET($A$1, 54 - 1, 7 - 1)), "1","0")</f>
        <v>1</v>
      </c>
      <c r="CT203">
        <f ca="1" xml:space="preserve"> IF( AND( OFFSET($A$1, 203 - 1, 96 - 1) = "1", OFFSET($A$1, 203 - 1, 97 - 1) = "1" ), 1, IF( AND( OFFSET($A$1, 203 - 1, 96 - 1) = "1", OFFSET($A$1, 203 - 1, 97 - 1) = "0" ), 2, IF( AND( OFFSET($A$1, 203 - 1, 96 - 1) = "0", OFFSET($A$1, 203 - 1, 97 - 1) = "1" ), 3, 4 ) ) )</f>
        <v>1</v>
      </c>
      <c r="CV203" s="24">
        <v>0.99696493581357759</v>
      </c>
      <c r="CW203" s="24" t="str">
        <f>"1"</f>
        <v>1</v>
      </c>
      <c r="CX203" t="str">
        <f ca="1">IF((OFFSET($A$1, 203 - 1, 100 - 1)) &gt;= (OFFSET($A$1, 78 - 1, 7 - 1)), "1","0")</f>
        <v>1</v>
      </c>
      <c r="CY203">
        <f ca="1" xml:space="preserve"> IF( AND( OFFSET($A$1, 203 - 1, 101 - 1) = "1", OFFSET($A$1, 203 - 1, 102 - 1) = "1" ), 1, IF( AND( OFFSET($A$1, 203 - 1, 101 - 1) = "1", OFFSET($A$1, 203 - 1, 102 - 1) = "0" ), 2, IF( AND( OFFSET($A$1, 203 - 1, 101 - 1) = "0", OFFSET($A$1, 203 - 1, 102 - 1) = "1" ), 3, 4 ) ) )</f>
        <v>1</v>
      </c>
    </row>
    <row r="204" spans="95:103" ht="13.8" x14ac:dyDescent="0.3">
      <c r="CQ204" s="24">
        <v>0.9425633242869359</v>
      </c>
      <c r="CR204" s="24" t="str">
        <f t="shared" si="14"/>
        <v>1</v>
      </c>
      <c r="CS204" t="str">
        <f ca="1">IF((OFFSET($A$1, 204 - 1, 95 - 1)) &gt;= (OFFSET($A$1, 54 - 1, 7 - 1)), "1","0")</f>
        <v>1</v>
      </c>
      <c r="CT204">
        <f ca="1" xml:space="preserve"> IF( AND( OFFSET($A$1, 204 - 1, 96 - 1) = "1", OFFSET($A$1, 204 - 1, 97 - 1) = "1" ), 1, IF( AND( OFFSET($A$1, 204 - 1, 96 - 1) = "1", OFFSET($A$1, 204 - 1, 97 - 1) = "0" ), 2, IF( AND( OFFSET($A$1, 204 - 1, 96 - 1) = "0", OFFSET($A$1, 204 - 1, 97 - 1) = "1" ), 3, 4 ) ) )</f>
        <v>1</v>
      </c>
      <c r="CV204" s="24">
        <v>0.99770421873016091</v>
      </c>
      <c r="CW204" s="24" t="str">
        <f>"1"</f>
        <v>1</v>
      </c>
      <c r="CX204" t="str">
        <f ca="1">IF((OFFSET($A$1, 204 - 1, 100 - 1)) &gt;= (OFFSET($A$1, 78 - 1, 7 - 1)), "1","0")</f>
        <v>1</v>
      </c>
      <c r="CY204">
        <f ca="1" xml:space="preserve"> IF( AND( OFFSET($A$1, 204 - 1, 101 - 1) = "1", OFFSET($A$1, 204 - 1, 102 - 1) = "1" ), 1, IF( AND( OFFSET($A$1, 204 - 1, 101 - 1) = "1", OFFSET($A$1, 204 - 1, 102 - 1) = "0" ), 2, IF( AND( OFFSET($A$1, 204 - 1, 101 - 1) = "0", OFFSET($A$1, 204 - 1, 102 - 1) = "1" ), 3, 4 ) ) )</f>
        <v>1</v>
      </c>
    </row>
    <row r="205" spans="95:103" ht="13.8" x14ac:dyDescent="0.3">
      <c r="CQ205" s="24">
        <v>0.97224276829261647</v>
      </c>
      <c r="CR205" s="24" t="str">
        <f t="shared" si="14"/>
        <v>1</v>
      </c>
      <c r="CS205" t="str">
        <f ca="1">IF((OFFSET($A$1, 205 - 1, 95 - 1)) &gt;= (OFFSET($A$1, 54 - 1, 7 - 1)), "1","0")</f>
        <v>1</v>
      </c>
      <c r="CT205">
        <f ca="1" xml:space="preserve"> IF( AND( OFFSET($A$1, 205 - 1, 96 - 1) = "1", OFFSET($A$1, 205 - 1, 97 - 1) = "1" ), 1, IF( AND( OFFSET($A$1, 205 - 1, 96 - 1) = "1", OFFSET($A$1, 205 - 1, 97 - 1) = "0" ), 2, IF( AND( OFFSET($A$1, 205 - 1, 96 - 1) = "0", OFFSET($A$1, 205 - 1, 97 - 1) = "1" ), 3, 4 ) ) )</f>
        <v>1</v>
      </c>
      <c r="CV205" s="24">
        <v>0.99752434157685343</v>
      </c>
      <c r="CW205" s="24" t="str">
        <f>"1"</f>
        <v>1</v>
      </c>
      <c r="CX205" t="str">
        <f ca="1">IF((OFFSET($A$1, 205 - 1, 100 - 1)) &gt;= (OFFSET($A$1, 78 - 1, 7 - 1)), "1","0")</f>
        <v>1</v>
      </c>
      <c r="CY205">
        <f ca="1" xml:space="preserve"> IF( AND( OFFSET($A$1, 205 - 1, 101 - 1) = "1", OFFSET($A$1, 205 - 1, 102 - 1) = "1" ), 1, IF( AND( OFFSET($A$1, 205 - 1, 101 - 1) = "1", OFFSET($A$1, 205 - 1, 102 - 1) = "0" ), 2, IF( AND( OFFSET($A$1, 205 - 1, 101 - 1) = "0", OFFSET($A$1, 205 - 1, 102 - 1) = "1" ), 3, 4 ) ) )</f>
        <v>1</v>
      </c>
    </row>
    <row r="206" spans="95:103" ht="13.8" x14ac:dyDescent="0.3">
      <c r="CQ206" s="24">
        <v>0.90087623169168296</v>
      </c>
      <c r="CR206" s="24" t="str">
        <f t="shared" si="14"/>
        <v>1</v>
      </c>
      <c r="CS206" t="str">
        <f ca="1">IF((OFFSET($A$1, 206 - 1, 95 - 1)) &gt;= (OFFSET($A$1, 54 - 1, 7 - 1)), "1","0")</f>
        <v>1</v>
      </c>
      <c r="CT206">
        <f ca="1" xml:space="preserve"> IF( AND( OFFSET($A$1, 206 - 1, 96 - 1) = "1", OFFSET($A$1, 206 - 1, 97 - 1) = "1" ), 1, IF( AND( OFFSET($A$1, 206 - 1, 96 - 1) = "1", OFFSET($A$1, 206 - 1, 97 - 1) = "0" ), 2, IF( AND( OFFSET($A$1, 206 - 1, 96 - 1) = "0", OFFSET($A$1, 206 - 1, 97 - 1) = "1" ), 3, 4 ) ) )</f>
        <v>1</v>
      </c>
      <c r="CV206" s="24">
        <v>0.63135470235273694</v>
      </c>
      <c r="CW206" s="24" t="str">
        <f>"1"</f>
        <v>1</v>
      </c>
      <c r="CX206" t="str">
        <f ca="1">IF((OFFSET($A$1, 206 - 1, 100 - 1)) &gt;= (OFFSET($A$1, 78 - 1, 7 - 1)), "1","0")</f>
        <v>1</v>
      </c>
      <c r="CY206">
        <f ca="1" xml:space="preserve"> IF( AND( OFFSET($A$1, 206 - 1, 101 - 1) = "1", OFFSET($A$1, 206 - 1, 102 - 1) = "1" ), 1, IF( AND( OFFSET($A$1, 206 - 1, 101 - 1) = "1", OFFSET($A$1, 206 - 1, 102 - 1) = "0" ), 2, IF( AND( OFFSET($A$1, 206 - 1, 101 - 1) = "0", OFFSET($A$1, 206 - 1, 102 - 1) = "1" ), 3, 4 ) ) )</f>
        <v>1</v>
      </c>
    </row>
    <row r="207" spans="95:103" ht="13.8" x14ac:dyDescent="0.3">
      <c r="CQ207" s="24">
        <v>0.10177196680926702</v>
      </c>
      <c r="CR207" s="24" t="str">
        <f>"0"</f>
        <v>0</v>
      </c>
      <c r="CS207" t="str">
        <f ca="1">IF((OFFSET($A$1, 207 - 1, 95 - 1)) &gt;= (OFFSET($A$1, 54 - 1, 7 - 1)), "1","0")</f>
        <v>0</v>
      </c>
      <c r="CT207">
        <f ca="1" xml:space="preserve"> IF( AND( OFFSET($A$1, 207 - 1, 96 - 1) = "1", OFFSET($A$1, 207 - 1, 97 - 1) = "1" ), 1, IF( AND( OFFSET($A$1, 207 - 1, 96 - 1) = "1", OFFSET($A$1, 207 - 1, 97 - 1) = "0" ), 2, IF( AND( OFFSET($A$1, 207 - 1, 96 - 1) = "0", OFFSET($A$1, 207 - 1, 97 - 1) = "1" ), 3, 4 ) ) )</f>
        <v>4</v>
      </c>
      <c r="CV207" s="24">
        <v>0.16361022360424851</v>
      </c>
      <c r="CW207" s="24" t="str">
        <f>"0"</f>
        <v>0</v>
      </c>
      <c r="CX207" t="str">
        <f ca="1">IF((OFFSET($A$1, 207 - 1, 100 - 1)) &gt;= (OFFSET($A$1, 78 - 1, 7 - 1)), "1","0")</f>
        <v>0</v>
      </c>
      <c r="CY207">
        <f ca="1" xml:space="preserve"> IF( AND( OFFSET($A$1, 207 - 1, 101 - 1) = "1", OFFSET($A$1, 207 - 1, 102 - 1) = "1" ), 1, IF( AND( OFFSET($A$1, 207 - 1, 101 - 1) = "1", OFFSET($A$1, 207 - 1, 102 - 1) = "0" ), 2, IF( AND( OFFSET($A$1, 207 - 1, 101 - 1) = "0", OFFSET($A$1, 207 - 1, 102 - 1) = "1" ), 3, 4 ) ) )</f>
        <v>4</v>
      </c>
    </row>
    <row r="208" spans="95:103" ht="13.8" x14ac:dyDescent="0.3">
      <c r="CQ208" s="24">
        <v>0.99999818469834545</v>
      </c>
      <c r="CR208" s="24" t="str">
        <f t="shared" ref="CR208:CR213" si="15">"1"</f>
        <v>1</v>
      </c>
      <c r="CS208" t="str">
        <f ca="1">IF((OFFSET($A$1, 208 - 1, 95 - 1)) &gt;= (OFFSET($A$1, 54 - 1, 7 - 1)), "1","0")</f>
        <v>1</v>
      </c>
      <c r="CT208">
        <f ca="1" xml:space="preserve"> IF( AND( OFFSET($A$1, 208 - 1, 96 - 1) = "1", OFFSET($A$1, 208 - 1, 97 - 1) = "1" ), 1, IF( AND( OFFSET($A$1, 208 - 1, 96 - 1) = "1", OFFSET($A$1, 208 - 1, 97 - 1) = "0" ), 2, IF( AND( OFFSET($A$1, 208 - 1, 96 - 1) = "0", OFFSET($A$1, 208 - 1, 97 - 1) = "1" ), 3, 4 ) ) )</f>
        <v>1</v>
      </c>
      <c r="CV208" s="24">
        <v>0.19238785878745537</v>
      </c>
      <c r="CW208" s="24" t="str">
        <f t="shared" ref="CW208:CW213" si="16">"1"</f>
        <v>1</v>
      </c>
      <c r="CX208" t="str">
        <f ca="1">IF((OFFSET($A$1, 208 - 1, 100 - 1)) &gt;= (OFFSET($A$1, 78 - 1, 7 - 1)), "1","0")</f>
        <v>0</v>
      </c>
      <c r="CY208">
        <f ca="1" xml:space="preserve"> IF( AND( OFFSET($A$1, 208 - 1, 101 - 1) = "1", OFFSET($A$1, 208 - 1, 102 - 1) = "1" ), 1, IF( AND( OFFSET($A$1, 208 - 1, 101 - 1) = "1", OFFSET($A$1, 208 - 1, 102 - 1) = "0" ), 2, IF( AND( OFFSET($A$1, 208 - 1, 101 - 1) = "0", OFFSET($A$1, 208 - 1, 102 - 1) = "1" ), 3, 4 ) ) )</f>
        <v>2</v>
      </c>
    </row>
    <row r="209" spans="95:103" ht="13.8" x14ac:dyDescent="0.3">
      <c r="CQ209" s="24">
        <v>0.99863213400503625</v>
      </c>
      <c r="CR209" s="24" t="str">
        <f t="shared" si="15"/>
        <v>1</v>
      </c>
      <c r="CS209" t="str">
        <f ca="1">IF((OFFSET($A$1, 209 - 1, 95 - 1)) &gt;= (OFFSET($A$1, 54 - 1, 7 - 1)), "1","0")</f>
        <v>1</v>
      </c>
      <c r="CT209">
        <f ca="1" xml:space="preserve"> IF( AND( OFFSET($A$1, 209 - 1, 96 - 1) = "1", OFFSET($A$1, 209 - 1, 97 - 1) = "1" ), 1, IF( AND( OFFSET($A$1, 209 - 1, 96 - 1) = "1", OFFSET($A$1, 209 - 1, 97 - 1) = "0" ), 2, IF( AND( OFFSET($A$1, 209 - 1, 96 - 1) = "0", OFFSET($A$1, 209 - 1, 97 - 1) = "1" ), 3, 4 ) ) )</f>
        <v>1</v>
      </c>
      <c r="CV209" s="24">
        <v>0.7736790998054609</v>
      </c>
      <c r="CW209" s="24" t="str">
        <f t="shared" si="16"/>
        <v>1</v>
      </c>
      <c r="CX209" t="str">
        <f ca="1">IF((OFFSET($A$1, 209 - 1, 100 - 1)) &gt;= (OFFSET($A$1, 78 - 1, 7 - 1)), "1","0")</f>
        <v>1</v>
      </c>
      <c r="CY209">
        <f ca="1" xml:space="preserve"> IF( AND( OFFSET($A$1, 209 - 1, 101 - 1) = "1", OFFSET($A$1, 209 - 1, 102 - 1) = "1" ), 1, IF( AND( OFFSET($A$1, 209 - 1, 101 - 1) = "1", OFFSET($A$1, 209 - 1, 102 - 1) = "0" ), 2, IF( AND( OFFSET($A$1, 209 - 1, 101 - 1) = "0", OFFSET($A$1, 209 - 1, 102 - 1) = "1" ), 3, 4 ) ) )</f>
        <v>1</v>
      </c>
    </row>
    <row r="210" spans="95:103" ht="13.8" x14ac:dyDescent="0.3">
      <c r="CQ210" s="24">
        <v>0.93108764311556802</v>
      </c>
      <c r="CR210" s="24" t="str">
        <f t="shared" si="15"/>
        <v>1</v>
      </c>
      <c r="CS210" t="str">
        <f ca="1">IF((OFFSET($A$1, 210 - 1, 95 - 1)) &gt;= (OFFSET($A$1, 54 - 1, 7 - 1)), "1","0")</f>
        <v>1</v>
      </c>
      <c r="CT210">
        <f ca="1" xml:space="preserve"> IF( AND( OFFSET($A$1, 210 - 1, 96 - 1) = "1", OFFSET($A$1, 210 - 1, 97 - 1) = "1" ), 1, IF( AND( OFFSET($A$1, 210 - 1, 96 - 1) = "1", OFFSET($A$1, 210 - 1, 97 - 1) = "0" ), 2, IF( AND( OFFSET($A$1, 210 - 1, 96 - 1) = "0", OFFSET($A$1, 210 - 1, 97 - 1) = "1" ), 3, 4 ) ) )</f>
        <v>1</v>
      </c>
      <c r="CV210" s="24">
        <v>0.99946749831532478</v>
      </c>
      <c r="CW210" s="24" t="str">
        <f t="shared" si="16"/>
        <v>1</v>
      </c>
      <c r="CX210" t="str">
        <f ca="1">IF((OFFSET($A$1, 210 - 1, 100 - 1)) &gt;= (OFFSET($A$1, 78 - 1, 7 - 1)), "1","0")</f>
        <v>1</v>
      </c>
      <c r="CY210">
        <f ca="1" xml:space="preserve"> IF( AND( OFFSET($A$1, 210 - 1, 101 - 1) = "1", OFFSET($A$1, 210 - 1, 102 - 1) = "1" ), 1, IF( AND( OFFSET($A$1, 210 - 1, 101 - 1) = "1", OFFSET($A$1, 210 - 1, 102 - 1) = "0" ), 2, IF( AND( OFFSET($A$1, 210 - 1, 101 - 1) = "0", OFFSET($A$1, 210 - 1, 102 - 1) = "1" ), 3, 4 ) ) )</f>
        <v>1</v>
      </c>
    </row>
    <row r="211" spans="95:103" ht="13.8" x14ac:dyDescent="0.3">
      <c r="CQ211" s="24">
        <v>0.8772550613316703</v>
      </c>
      <c r="CR211" s="24" t="str">
        <f t="shared" si="15"/>
        <v>1</v>
      </c>
      <c r="CS211" t="str">
        <f ca="1">IF((OFFSET($A$1, 211 - 1, 95 - 1)) &gt;= (OFFSET($A$1, 54 - 1, 7 - 1)), "1","0")</f>
        <v>1</v>
      </c>
      <c r="CT211">
        <f ca="1" xml:space="preserve"> IF( AND( OFFSET($A$1, 211 - 1, 96 - 1) = "1", OFFSET($A$1, 211 - 1, 97 - 1) = "1" ), 1, IF( AND( OFFSET($A$1, 211 - 1, 96 - 1) = "1", OFFSET($A$1, 211 - 1, 97 - 1) = "0" ), 2, IF( AND( OFFSET($A$1, 211 - 1, 96 - 1) = "0", OFFSET($A$1, 211 - 1, 97 - 1) = "1" ), 3, 4 ) ) )</f>
        <v>1</v>
      </c>
      <c r="CV211" s="24">
        <v>0.9995085392421561</v>
      </c>
      <c r="CW211" s="24" t="str">
        <f t="shared" si="16"/>
        <v>1</v>
      </c>
      <c r="CX211" t="str">
        <f ca="1">IF((OFFSET($A$1, 211 - 1, 100 - 1)) &gt;= (OFFSET($A$1, 78 - 1, 7 - 1)), "1","0")</f>
        <v>1</v>
      </c>
      <c r="CY211">
        <f ca="1" xml:space="preserve"> IF( AND( OFFSET($A$1, 211 - 1, 101 - 1) = "1", OFFSET($A$1, 211 - 1, 102 - 1) = "1" ), 1, IF( AND( OFFSET($A$1, 211 - 1, 101 - 1) = "1", OFFSET($A$1, 211 - 1, 102 - 1) = "0" ), 2, IF( AND( OFFSET($A$1, 211 - 1, 101 - 1) = "0", OFFSET($A$1, 211 - 1, 102 - 1) = "1" ), 3, 4 ) ) )</f>
        <v>1</v>
      </c>
    </row>
    <row r="212" spans="95:103" ht="13.8" x14ac:dyDescent="0.3">
      <c r="CQ212" s="24">
        <v>0.98573716144948564</v>
      </c>
      <c r="CR212" s="24" t="str">
        <f t="shared" si="15"/>
        <v>1</v>
      </c>
      <c r="CS212" t="str">
        <f ca="1">IF((OFFSET($A$1, 212 - 1, 95 - 1)) &gt;= (OFFSET($A$1, 54 - 1, 7 - 1)), "1","0")</f>
        <v>1</v>
      </c>
      <c r="CT212">
        <f ca="1" xml:space="preserve"> IF( AND( OFFSET($A$1, 212 - 1, 96 - 1) = "1", OFFSET($A$1, 212 - 1, 97 - 1) = "1" ), 1, IF( AND( OFFSET($A$1, 212 - 1, 96 - 1) = "1", OFFSET($A$1, 212 - 1, 97 - 1) = "0" ), 2, IF( AND( OFFSET($A$1, 212 - 1, 96 - 1) = "0", OFFSET($A$1, 212 - 1, 97 - 1) = "1" ), 3, 4 ) ) )</f>
        <v>1</v>
      </c>
      <c r="CV212" s="24">
        <v>0.99990629453560431</v>
      </c>
      <c r="CW212" s="24" t="str">
        <f t="shared" si="16"/>
        <v>1</v>
      </c>
      <c r="CX212" t="str">
        <f ca="1">IF((OFFSET($A$1, 212 - 1, 100 - 1)) &gt;= (OFFSET($A$1, 78 - 1, 7 - 1)), "1","0")</f>
        <v>1</v>
      </c>
      <c r="CY212">
        <f ca="1" xml:space="preserve"> IF( AND( OFFSET($A$1, 212 - 1, 101 - 1) = "1", OFFSET($A$1, 212 - 1, 102 - 1) = "1" ), 1, IF( AND( OFFSET($A$1, 212 - 1, 101 - 1) = "1", OFFSET($A$1, 212 - 1, 102 - 1) = "0" ), 2, IF( AND( OFFSET($A$1, 212 - 1, 101 - 1) = "0", OFFSET($A$1, 212 - 1, 102 - 1) = "1" ), 3, 4 ) ) )</f>
        <v>1</v>
      </c>
    </row>
    <row r="213" spans="95:103" ht="13.8" x14ac:dyDescent="0.3">
      <c r="CQ213" s="24">
        <v>0.99998620709333752</v>
      </c>
      <c r="CR213" s="24" t="str">
        <f t="shared" si="15"/>
        <v>1</v>
      </c>
      <c r="CS213" t="str">
        <f ca="1">IF((OFFSET($A$1, 213 - 1, 95 - 1)) &gt;= (OFFSET($A$1, 54 - 1, 7 - 1)), "1","0")</f>
        <v>1</v>
      </c>
      <c r="CT213">
        <f ca="1" xml:space="preserve"> IF( AND( OFFSET($A$1, 213 - 1, 96 - 1) = "1", OFFSET($A$1, 213 - 1, 97 - 1) = "1" ), 1, IF( AND( OFFSET($A$1, 213 - 1, 96 - 1) = "1", OFFSET($A$1, 213 - 1, 97 - 1) = "0" ), 2, IF( AND( OFFSET($A$1, 213 - 1, 96 - 1) = "0", OFFSET($A$1, 213 - 1, 97 - 1) = "1" ), 3, 4 ) ) )</f>
        <v>1</v>
      </c>
      <c r="CV213" s="24">
        <v>0.82880771644449314</v>
      </c>
      <c r="CW213" s="24" t="str">
        <f t="shared" si="16"/>
        <v>1</v>
      </c>
      <c r="CX213" t="str">
        <f ca="1">IF((OFFSET($A$1, 213 - 1, 100 - 1)) &gt;= (OFFSET($A$1, 78 - 1, 7 - 1)), "1","0")</f>
        <v>1</v>
      </c>
      <c r="CY213">
        <f ca="1" xml:space="preserve"> IF( AND( OFFSET($A$1, 213 - 1, 101 - 1) = "1", OFFSET($A$1, 213 - 1, 102 - 1) = "1" ), 1, IF( AND( OFFSET($A$1, 213 - 1, 101 - 1) = "1", OFFSET($A$1, 213 - 1, 102 - 1) = "0" ), 2, IF( AND( OFFSET($A$1, 213 - 1, 101 - 1) = "0", OFFSET($A$1, 213 - 1, 102 - 1) = "1" ), 3, 4 ) ) )</f>
        <v>1</v>
      </c>
    </row>
    <row r="214" spans="95:103" ht="13.8" x14ac:dyDescent="0.3">
      <c r="CQ214" s="24">
        <v>7.8551614671042061E-2</v>
      </c>
      <c r="CR214" s="24" t="str">
        <f>"0"</f>
        <v>0</v>
      </c>
      <c r="CS214" t="str">
        <f ca="1">IF((OFFSET($A$1, 214 - 1, 95 - 1)) &gt;= (OFFSET($A$1, 54 - 1, 7 - 1)), "1","0")</f>
        <v>0</v>
      </c>
      <c r="CT214">
        <f ca="1" xml:space="preserve"> IF( AND( OFFSET($A$1, 214 - 1, 96 - 1) = "1", OFFSET($A$1, 214 - 1, 97 - 1) = "1" ), 1, IF( AND( OFFSET($A$1, 214 - 1, 96 - 1) = "1", OFFSET($A$1, 214 - 1, 97 - 1) = "0" ), 2, IF( AND( OFFSET($A$1, 214 - 1, 96 - 1) = "0", OFFSET($A$1, 214 - 1, 97 - 1) = "1" ), 3, 4 ) ) )</f>
        <v>4</v>
      </c>
      <c r="CV214" s="24">
        <v>5.7622532903430577E-2</v>
      </c>
      <c r="CW214" s="24" t="str">
        <f>"0"</f>
        <v>0</v>
      </c>
      <c r="CX214" t="str">
        <f ca="1">IF((OFFSET($A$1, 214 - 1, 100 - 1)) &gt;= (OFFSET($A$1, 78 - 1, 7 - 1)), "1","0")</f>
        <v>0</v>
      </c>
      <c r="CY214">
        <f ca="1" xml:space="preserve"> IF( AND( OFFSET($A$1, 214 - 1, 101 - 1) = "1", OFFSET($A$1, 214 - 1, 102 - 1) = "1" ), 1, IF( AND( OFFSET($A$1, 214 - 1, 101 - 1) = "1", OFFSET($A$1, 214 - 1, 102 - 1) = "0" ), 2, IF( AND( OFFSET($A$1, 214 - 1, 101 - 1) = "0", OFFSET($A$1, 214 - 1, 102 - 1) = "1" ), 3, 4 ) ) )</f>
        <v>4</v>
      </c>
    </row>
    <row r="215" spans="95:103" ht="13.8" x14ac:dyDescent="0.3">
      <c r="CQ215" s="24">
        <v>0.92357904959690418</v>
      </c>
      <c r="CR215" s="24" t="str">
        <f>"1"</f>
        <v>1</v>
      </c>
      <c r="CS215" t="str">
        <f ca="1">IF((OFFSET($A$1, 215 - 1, 95 - 1)) &gt;= (OFFSET($A$1, 54 - 1, 7 - 1)), "1","0")</f>
        <v>1</v>
      </c>
      <c r="CT215">
        <f ca="1" xml:space="preserve"> IF( AND( OFFSET($A$1, 215 - 1, 96 - 1) = "1", OFFSET($A$1, 215 - 1, 97 - 1) = "1" ), 1, IF( AND( OFFSET($A$1, 215 - 1, 96 - 1) = "1", OFFSET($A$1, 215 - 1, 97 - 1) = "0" ), 2, IF( AND( OFFSET($A$1, 215 - 1, 96 - 1) = "0", OFFSET($A$1, 215 - 1, 97 - 1) = "1" ), 3, 4 ) ) )</f>
        <v>1</v>
      </c>
      <c r="CV215" s="24">
        <v>2.5732557737300813E-3</v>
      </c>
      <c r="CW215" s="24" t="str">
        <f>"0"</f>
        <v>0</v>
      </c>
      <c r="CX215" t="str">
        <f ca="1">IF((OFFSET($A$1, 215 - 1, 100 - 1)) &gt;= (OFFSET($A$1, 78 - 1, 7 - 1)), "1","0")</f>
        <v>0</v>
      </c>
      <c r="CY215">
        <f ca="1" xml:space="preserve"> IF( AND( OFFSET($A$1, 215 - 1, 101 - 1) = "1", OFFSET($A$1, 215 - 1, 102 - 1) = "1" ), 1, IF( AND( OFFSET($A$1, 215 - 1, 101 - 1) = "1", OFFSET($A$1, 215 - 1, 102 - 1) = "0" ), 2, IF( AND( OFFSET($A$1, 215 - 1, 101 - 1) = "0", OFFSET($A$1, 215 - 1, 102 - 1) = "1" ), 3, 4 ) ) )</f>
        <v>4</v>
      </c>
    </row>
    <row r="216" spans="95:103" ht="13.8" x14ac:dyDescent="0.3">
      <c r="CQ216" s="24">
        <v>6.7988163049485682E-3</v>
      </c>
      <c r="CR216" s="24" t="str">
        <f>"0"</f>
        <v>0</v>
      </c>
      <c r="CS216" t="str">
        <f ca="1">IF((OFFSET($A$1, 216 - 1, 95 - 1)) &gt;= (OFFSET($A$1, 54 - 1, 7 - 1)), "1","0")</f>
        <v>0</v>
      </c>
      <c r="CT216">
        <f ca="1" xml:space="preserve"> IF( AND( OFFSET($A$1, 216 - 1, 96 - 1) = "1", OFFSET($A$1, 216 - 1, 97 - 1) = "1" ), 1, IF( AND( OFFSET($A$1, 216 - 1, 96 - 1) = "1", OFFSET($A$1, 216 - 1, 97 - 1) = "0" ), 2, IF( AND( OFFSET($A$1, 216 - 1, 96 - 1) = "0", OFFSET($A$1, 216 - 1, 97 - 1) = "1" ), 3, 4 ) ) )</f>
        <v>4</v>
      </c>
      <c r="CV216" s="24">
        <v>0.81809051403485944</v>
      </c>
      <c r="CW216" s="24" t="str">
        <f>"0"</f>
        <v>0</v>
      </c>
      <c r="CX216" t="str">
        <f ca="1">IF((OFFSET($A$1, 216 - 1, 100 - 1)) &gt;= (OFFSET($A$1, 78 - 1, 7 - 1)), "1","0")</f>
        <v>1</v>
      </c>
      <c r="CY216">
        <f ca="1" xml:space="preserve"> IF( AND( OFFSET($A$1, 216 - 1, 101 - 1) = "1", OFFSET($A$1, 216 - 1, 102 - 1) = "1" ), 1, IF( AND( OFFSET($A$1, 216 - 1, 101 - 1) = "1", OFFSET($A$1, 216 - 1, 102 - 1) = "0" ), 2, IF( AND( OFFSET($A$1, 216 - 1, 101 - 1) = "0", OFFSET($A$1, 216 - 1, 102 - 1) = "1" ), 3, 4 ) ) )</f>
        <v>3</v>
      </c>
    </row>
    <row r="217" spans="95:103" ht="13.8" x14ac:dyDescent="0.3">
      <c r="CQ217" s="24">
        <v>0.99972036188196922</v>
      </c>
      <c r="CR217" s="24" t="str">
        <f>"1"</f>
        <v>1</v>
      </c>
      <c r="CS217" t="str">
        <f ca="1">IF((OFFSET($A$1, 217 - 1, 95 - 1)) &gt;= (OFFSET($A$1, 54 - 1, 7 - 1)), "1","0")</f>
        <v>1</v>
      </c>
      <c r="CT217">
        <f ca="1" xml:space="preserve"> IF( AND( OFFSET($A$1, 217 - 1, 96 - 1) = "1", OFFSET($A$1, 217 - 1, 97 - 1) = "1" ), 1, IF( AND( OFFSET($A$1, 217 - 1, 96 - 1) = "1", OFFSET($A$1, 217 - 1, 97 - 1) = "0" ), 2, IF( AND( OFFSET($A$1, 217 - 1, 96 - 1) = "0", OFFSET($A$1, 217 - 1, 97 - 1) = "1" ), 3, 4 ) ) )</f>
        <v>1</v>
      </c>
      <c r="CV217" s="24">
        <v>0.12338752418232184</v>
      </c>
      <c r="CW217" s="24" t="str">
        <f>"1"</f>
        <v>1</v>
      </c>
      <c r="CX217" t="str">
        <f ca="1">IF((OFFSET($A$1, 217 - 1, 100 - 1)) &gt;= (OFFSET($A$1, 78 - 1, 7 - 1)), "1","0")</f>
        <v>0</v>
      </c>
      <c r="CY217">
        <f ca="1" xml:space="preserve"> IF( AND( OFFSET($A$1, 217 - 1, 101 - 1) = "1", OFFSET($A$1, 217 - 1, 102 - 1) = "1" ), 1, IF( AND( OFFSET($A$1, 217 - 1, 101 - 1) = "1", OFFSET($A$1, 217 - 1, 102 - 1) = "0" ), 2, IF( AND( OFFSET($A$1, 217 - 1, 101 - 1) = "0", OFFSET($A$1, 217 - 1, 102 - 1) = "1" ), 3, 4 ) ) )</f>
        <v>2</v>
      </c>
    </row>
    <row r="218" spans="95:103" ht="13.8" x14ac:dyDescent="0.3">
      <c r="CQ218" s="24">
        <v>0.9579297990485095</v>
      </c>
      <c r="CR218" s="24" t="str">
        <f>"1"</f>
        <v>1</v>
      </c>
      <c r="CS218" t="str">
        <f ca="1">IF((OFFSET($A$1, 218 - 1, 95 - 1)) &gt;= (OFFSET($A$1, 54 - 1, 7 - 1)), "1","0")</f>
        <v>1</v>
      </c>
      <c r="CT218">
        <f ca="1" xml:space="preserve"> IF( AND( OFFSET($A$1, 218 - 1, 96 - 1) = "1", OFFSET($A$1, 218 - 1, 97 - 1) = "1" ), 1, IF( AND( OFFSET($A$1, 218 - 1, 96 - 1) = "1", OFFSET($A$1, 218 - 1, 97 - 1) = "0" ), 2, IF( AND( OFFSET($A$1, 218 - 1, 96 - 1) = "0", OFFSET($A$1, 218 - 1, 97 - 1) = "1" ), 3, 4 ) ) )</f>
        <v>1</v>
      </c>
      <c r="CV218" s="24">
        <v>0.98264341011195389</v>
      </c>
      <c r="CW218" s="24" t="str">
        <f>"1"</f>
        <v>1</v>
      </c>
      <c r="CX218" t="str">
        <f ca="1">IF((OFFSET($A$1, 218 - 1, 100 - 1)) &gt;= (OFFSET($A$1, 78 - 1, 7 - 1)), "1","0")</f>
        <v>1</v>
      </c>
      <c r="CY218">
        <f ca="1" xml:space="preserve"> IF( AND( OFFSET($A$1, 218 - 1, 101 - 1) = "1", OFFSET($A$1, 218 - 1, 102 - 1) = "1" ), 1, IF( AND( OFFSET($A$1, 218 - 1, 101 - 1) = "1", OFFSET($A$1, 218 - 1, 102 - 1) = "0" ), 2, IF( AND( OFFSET($A$1, 218 - 1, 101 - 1) = "0", OFFSET($A$1, 218 - 1, 102 - 1) = "1" ), 3, 4 ) ) )</f>
        <v>1</v>
      </c>
    </row>
    <row r="219" spans="95:103" ht="13.8" x14ac:dyDescent="0.3">
      <c r="CQ219" s="24">
        <v>3.7170120982879223E-2</v>
      </c>
      <c r="CR219" s="24" t="str">
        <f>"0"</f>
        <v>0</v>
      </c>
      <c r="CS219" t="str">
        <f ca="1">IF((OFFSET($A$1, 219 - 1, 95 - 1)) &gt;= (OFFSET($A$1, 54 - 1, 7 - 1)), "1","0")</f>
        <v>0</v>
      </c>
      <c r="CT219">
        <f ca="1" xml:space="preserve"> IF( AND( OFFSET($A$1, 219 - 1, 96 - 1) = "1", OFFSET($A$1, 219 - 1, 97 - 1) = "1" ), 1, IF( AND( OFFSET($A$1, 219 - 1, 96 - 1) = "1", OFFSET($A$1, 219 - 1, 97 - 1) = "0" ), 2, IF( AND( OFFSET($A$1, 219 - 1, 96 - 1) = "0", OFFSET($A$1, 219 - 1, 97 - 1) = "1" ), 3, 4 ) ) )</f>
        <v>4</v>
      </c>
      <c r="CV219" s="24">
        <v>0.99998313382483328</v>
      </c>
      <c r="CW219" s="24" t="str">
        <f>"1"</f>
        <v>1</v>
      </c>
      <c r="CX219" t="str">
        <f ca="1">IF((OFFSET($A$1, 219 - 1, 100 - 1)) &gt;= (OFFSET($A$1, 78 - 1, 7 - 1)), "1","0")</f>
        <v>1</v>
      </c>
      <c r="CY219">
        <f ca="1" xml:space="preserve"> IF( AND( OFFSET($A$1, 219 - 1, 101 - 1) = "1", OFFSET($A$1, 219 - 1, 102 - 1) = "1" ), 1, IF( AND( OFFSET($A$1, 219 - 1, 101 - 1) = "1", OFFSET($A$1, 219 - 1, 102 - 1) = "0" ), 2, IF( AND( OFFSET($A$1, 219 - 1, 101 - 1) = "0", OFFSET($A$1, 219 - 1, 102 - 1) = "1" ), 3, 4 ) ) )</f>
        <v>1</v>
      </c>
    </row>
    <row r="220" spans="95:103" ht="13.8" x14ac:dyDescent="0.3">
      <c r="CQ220" s="24">
        <v>8.7675551266263724E-3</v>
      </c>
      <c r="CR220" s="24" t="str">
        <f>"0"</f>
        <v>0</v>
      </c>
      <c r="CS220" t="str">
        <f ca="1">IF((OFFSET($A$1, 220 - 1, 95 - 1)) &gt;= (OFFSET($A$1, 54 - 1, 7 - 1)), "1","0")</f>
        <v>0</v>
      </c>
      <c r="CT220">
        <f ca="1" xml:space="preserve"> IF( AND( OFFSET($A$1, 220 - 1, 96 - 1) = "1", OFFSET($A$1, 220 - 1, 97 - 1) = "1" ), 1, IF( AND( OFFSET($A$1, 220 - 1, 96 - 1) = "1", OFFSET($A$1, 220 - 1, 97 - 1) = "0" ), 2, IF( AND( OFFSET($A$1, 220 - 1, 96 - 1) = "0", OFFSET($A$1, 220 - 1, 97 - 1) = "1" ), 3, 4 ) ) )</f>
        <v>4</v>
      </c>
      <c r="CV220" s="24">
        <v>0.99998908509849016</v>
      </c>
      <c r="CW220" s="24" t="str">
        <f>"1"</f>
        <v>1</v>
      </c>
      <c r="CX220" t="str">
        <f ca="1">IF((OFFSET($A$1, 220 - 1, 100 - 1)) &gt;= (OFFSET($A$1, 78 - 1, 7 - 1)), "1","0")</f>
        <v>1</v>
      </c>
      <c r="CY220">
        <f ca="1" xml:space="preserve"> IF( AND( OFFSET($A$1, 220 - 1, 101 - 1) = "1", OFFSET($A$1, 220 - 1, 102 - 1) = "1" ), 1, IF( AND( OFFSET($A$1, 220 - 1, 101 - 1) = "1", OFFSET($A$1, 220 - 1, 102 - 1) = "0" ), 2, IF( AND( OFFSET($A$1, 220 - 1, 101 - 1) = "0", OFFSET($A$1, 220 - 1, 102 - 1) = "1" ), 3, 4 ) ) )</f>
        <v>1</v>
      </c>
    </row>
    <row r="221" spans="95:103" ht="13.8" x14ac:dyDescent="0.3">
      <c r="CQ221" s="24">
        <v>0.99182880077476387</v>
      </c>
      <c r="CR221" s="24" t="str">
        <f>"1"</f>
        <v>1</v>
      </c>
      <c r="CS221" t="str">
        <f ca="1">IF((OFFSET($A$1, 221 - 1, 95 - 1)) &gt;= (OFFSET($A$1, 54 - 1, 7 - 1)), "1","0")</f>
        <v>1</v>
      </c>
      <c r="CT221">
        <f ca="1" xml:space="preserve"> IF( AND( OFFSET($A$1, 221 - 1, 96 - 1) = "1", OFFSET($A$1, 221 - 1, 97 - 1) = "1" ), 1, IF( AND( OFFSET($A$1, 221 - 1, 96 - 1) = "1", OFFSET($A$1, 221 - 1, 97 - 1) = "0" ), 2, IF( AND( OFFSET($A$1, 221 - 1, 96 - 1) = "0", OFFSET($A$1, 221 - 1, 97 - 1) = "1" ), 3, 4 ) ) )</f>
        <v>1</v>
      </c>
      <c r="CV221" s="24">
        <v>0.99999992741730492</v>
      </c>
      <c r="CW221" s="24" t="str">
        <f>"1"</f>
        <v>1</v>
      </c>
      <c r="CX221" t="str">
        <f ca="1">IF((OFFSET($A$1, 221 - 1, 100 - 1)) &gt;= (OFFSET($A$1, 78 - 1, 7 - 1)), "1","0")</f>
        <v>1</v>
      </c>
      <c r="CY221">
        <f ca="1" xml:space="preserve"> IF( AND( OFFSET($A$1, 221 - 1, 101 - 1) = "1", OFFSET($A$1, 221 - 1, 102 - 1) = "1" ), 1, IF( AND( OFFSET($A$1, 221 - 1, 101 - 1) = "1", OFFSET($A$1, 221 - 1, 102 - 1) = "0" ), 2, IF( AND( OFFSET($A$1, 221 - 1, 101 - 1) = "0", OFFSET($A$1, 221 - 1, 102 - 1) = "1" ), 3, 4 ) ) )</f>
        <v>1</v>
      </c>
    </row>
    <row r="222" spans="95:103" ht="13.8" x14ac:dyDescent="0.3">
      <c r="CQ222" s="24">
        <v>0.99998895623193074</v>
      </c>
      <c r="CR222" s="24" t="str">
        <f>"1"</f>
        <v>1</v>
      </c>
      <c r="CS222" t="str">
        <f ca="1">IF((OFFSET($A$1, 222 - 1, 95 - 1)) &gt;= (OFFSET($A$1, 54 - 1, 7 - 1)), "1","0")</f>
        <v>1</v>
      </c>
      <c r="CT222">
        <f ca="1" xml:space="preserve"> IF( AND( OFFSET($A$1, 222 - 1, 96 - 1) = "1", OFFSET($A$1, 222 - 1, 97 - 1) = "1" ), 1, IF( AND( OFFSET($A$1, 222 - 1, 96 - 1) = "1", OFFSET($A$1, 222 - 1, 97 - 1) = "0" ), 2, IF( AND( OFFSET($A$1, 222 - 1, 96 - 1) = "0", OFFSET($A$1, 222 - 1, 97 - 1) = "1" ), 3, 4 ) ) )</f>
        <v>1</v>
      </c>
      <c r="CV222" s="24">
        <v>0.98032962373362431</v>
      </c>
      <c r="CW222" s="24" t="str">
        <f>"0"</f>
        <v>0</v>
      </c>
      <c r="CX222" t="str">
        <f ca="1">IF((OFFSET($A$1, 222 - 1, 100 - 1)) &gt;= (OFFSET($A$1, 78 - 1, 7 - 1)), "1","0")</f>
        <v>1</v>
      </c>
      <c r="CY222">
        <f ca="1" xml:space="preserve"> IF( AND( OFFSET($A$1, 222 - 1, 101 - 1) = "1", OFFSET($A$1, 222 - 1, 102 - 1) = "1" ), 1, IF( AND( OFFSET($A$1, 222 - 1, 101 - 1) = "1", OFFSET($A$1, 222 - 1, 102 - 1) = "0" ), 2, IF( AND( OFFSET($A$1, 222 - 1, 101 - 1) = "0", OFFSET($A$1, 222 - 1, 102 - 1) = "1" ), 3, 4 ) ) )</f>
        <v>3</v>
      </c>
    </row>
    <row r="223" spans="95:103" ht="13.8" x14ac:dyDescent="0.3">
      <c r="CQ223" s="24">
        <v>0.99998386161307529</v>
      </c>
      <c r="CR223" s="24" t="str">
        <f>"1"</f>
        <v>1</v>
      </c>
      <c r="CS223" t="str">
        <f ca="1">IF((OFFSET($A$1, 223 - 1, 95 - 1)) &gt;= (OFFSET($A$1, 54 - 1, 7 - 1)), "1","0")</f>
        <v>1</v>
      </c>
      <c r="CT223">
        <f ca="1" xml:space="preserve"> IF( AND( OFFSET($A$1, 223 - 1, 96 - 1) = "1", OFFSET($A$1, 223 - 1, 97 - 1) = "1" ), 1, IF( AND( OFFSET($A$1, 223 - 1, 96 - 1) = "1", OFFSET($A$1, 223 - 1, 97 - 1) = "0" ), 2, IF( AND( OFFSET($A$1, 223 - 1, 96 - 1) = "0", OFFSET($A$1, 223 - 1, 97 - 1) = "1" ), 3, 4 ) ) )</f>
        <v>1</v>
      </c>
      <c r="CV223" s="24">
        <v>0.68301234352647178</v>
      </c>
      <c r="CW223" s="24" t="str">
        <f>"0"</f>
        <v>0</v>
      </c>
      <c r="CX223" t="str">
        <f ca="1">IF((OFFSET($A$1, 223 - 1, 100 - 1)) &gt;= (OFFSET($A$1, 78 - 1, 7 - 1)), "1","0")</f>
        <v>1</v>
      </c>
      <c r="CY223">
        <f ca="1" xml:space="preserve"> IF( AND( OFFSET($A$1, 223 - 1, 101 - 1) = "1", OFFSET($A$1, 223 - 1, 102 - 1) = "1" ), 1, IF( AND( OFFSET($A$1, 223 - 1, 101 - 1) = "1", OFFSET($A$1, 223 - 1, 102 - 1) = "0" ), 2, IF( AND( OFFSET($A$1, 223 - 1, 101 - 1) = "0", OFFSET($A$1, 223 - 1, 102 - 1) = "1" ), 3, 4 ) ) )</f>
        <v>3</v>
      </c>
    </row>
    <row r="224" spans="95:103" ht="13.8" x14ac:dyDescent="0.3">
      <c r="CQ224" s="24">
        <v>3.8946814991483593E-2</v>
      </c>
      <c r="CR224" s="24" t="str">
        <f>"0"</f>
        <v>0</v>
      </c>
      <c r="CS224" t="str">
        <f ca="1">IF((OFFSET($A$1, 224 - 1, 95 - 1)) &gt;= (OFFSET($A$1, 54 - 1, 7 - 1)), "1","0")</f>
        <v>0</v>
      </c>
      <c r="CT224">
        <f ca="1" xml:space="preserve"> IF( AND( OFFSET($A$1, 224 - 1, 96 - 1) = "1", OFFSET($A$1, 224 - 1, 97 - 1) = "1" ), 1, IF( AND( OFFSET($A$1, 224 - 1, 96 - 1) = "1", OFFSET($A$1, 224 - 1, 97 - 1) = "0" ), 2, IF( AND( OFFSET($A$1, 224 - 1, 96 - 1) = "0", OFFSET($A$1, 224 - 1, 97 - 1) = "1" ), 3, 4 ) ) )</f>
        <v>4</v>
      </c>
      <c r="CV224" s="24">
        <v>0.99945994990444387</v>
      </c>
      <c r="CW224" s="24" t="str">
        <f>"1"</f>
        <v>1</v>
      </c>
      <c r="CX224" t="str">
        <f ca="1">IF((OFFSET($A$1, 224 - 1, 100 - 1)) &gt;= (OFFSET($A$1, 78 - 1, 7 - 1)), "1","0")</f>
        <v>1</v>
      </c>
      <c r="CY224">
        <f ca="1" xml:space="preserve"> IF( AND( OFFSET($A$1, 224 - 1, 101 - 1) = "1", OFFSET($A$1, 224 - 1, 102 - 1) = "1" ), 1, IF( AND( OFFSET($A$1, 224 - 1, 101 - 1) = "1", OFFSET($A$1, 224 - 1, 102 - 1) = "0" ), 2, IF( AND( OFFSET($A$1, 224 - 1, 101 - 1) = "0", OFFSET($A$1, 224 - 1, 102 - 1) = "1" ), 3, 4 ) ) )</f>
        <v>1</v>
      </c>
    </row>
    <row r="225" spans="95:103" ht="13.8" x14ac:dyDescent="0.3">
      <c r="CQ225" s="24">
        <v>0.99962985539836013</v>
      </c>
      <c r="CR225" s="24" t="str">
        <f>"1"</f>
        <v>1</v>
      </c>
      <c r="CS225" t="str">
        <f ca="1">IF((OFFSET($A$1, 225 - 1, 95 - 1)) &gt;= (OFFSET($A$1, 54 - 1, 7 - 1)), "1","0")</f>
        <v>1</v>
      </c>
      <c r="CT225">
        <f ca="1" xml:space="preserve"> IF( AND( OFFSET($A$1, 225 - 1, 96 - 1) = "1", OFFSET($A$1, 225 - 1, 97 - 1) = "1" ), 1, IF( AND( OFFSET($A$1, 225 - 1, 96 - 1) = "1", OFFSET($A$1, 225 - 1, 97 - 1) = "0" ), 2, IF( AND( OFFSET($A$1, 225 - 1, 96 - 1) = "0", OFFSET($A$1, 225 - 1, 97 - 1) = "1" ), 3, 4 ) ) )</f>
        <v>1</v>
      </c>
      <c r="CV225" s="24">
        <v>8.0052589680182015E-2</v>
      </c>
      <c r="CW225" s="24" t="str">
        <f>"0"</f>
        <v>0</v>
      </c>
      <c r="CX225" t="str">
        <f ca="1">IF((OFFSET($A$1, 225 - 1, 100 - 1)) &gt;= (OFFSET($A$1, 78 - 1, 7 - 1)), "1","0")</f>
        <v>0</v>
      </c>
      <c r="CY225">
        <f ca="1" xml:space="preserve"> IF( AND( OFFSET($A$1, 225 - 1, 101 - 1) = "1", OFFSET($A$1, 225 - 1, 102 - 1) = "1" ), 1, IF( AND( OFFSET($A$1, 225 - 1, 101 - 1) = "1", OFFSET($A$1, 225 - 1, 102 - 1) = "0" ), 2, IF( AND( OFFSET($A$1, 225 - 1, 101 - 1) = "0", OFFSET($A$1, 225 - 1, 102 - 1) = "1" ), 3, 4 ) ) )</f>
        <v>4</v>
      </c>
    </row>
    <row r="226" spans="95:103" ht="13.8" x14ac:dyDescent="0.3">
      <c r="CQ226" s="24">
        <v>0.99790112370270834</v>
      </c>
      <c r="CR226" s="24" t="str">
        <f>"1"</f>
        <v>1</v>
      </c>
      <c r="CS226" t="str">
        <f ca="1">IF((OFFSET($A$1, 226 - 1, 95 - 1)) &gt;= (OFFSET($A$1, 54 - 1, 7 - 1)), "1","0")</f>
        <v>1</v>
      </c>
      <c r="CT226">
        <f ca="1" xml:space="preserve"> IF( AND( OFFSET($A$1, 226 - 1, 96 - 1) = "1", OFFSET($A$1, 226 - 1, 97 - 1) = "1" ), 1, IF( AND( OFFSET($A$1, 226 - 1, 96 - 1) = "1", OFFSET($A$1, 226 - 1, 97 - 1) = "0" ), 2, IF( AND( OFFSET($A$1, 226 - 1, 96 - 1) = "0", OFFSET($A$1, 226 - 1, 97 - 1) = "1" ), 3, 4 ) ) )</f>
        <v>1</v>
      </c>
      <c r="CV226" s="24">
        <v>0.99999814481083005</v>
      </c>
      <c r="CW226" s="24" t="str">
        <f>"1"</f>
        <v>1</v>
      </c>
      <c r="CX226" t="str">
        <f ca="1">IF((OFFSET($A$1, 226 - 1, 100 - 1)) &gt;= (OFFSET($A$1, 78 - 1, 7 - 1)), "1","0")</f>
        <v>1</v>
      </c>
      <c r="CY226">
        <f ca="1" xml:space="preserve"> IF( AND( OFFSET($A$1, 226 - 1, 101 - 1) = "1", OFFSET($A$1, 226 - 1, 102 - 1) = "1" ), 1, IF( AND( OFFSET($A$1, 226 - 1, 101 - 1) = "1", OFFSET($A$1, 226 - 1, 102 - 1) = "0" ), 2, IF( AND( OFFSET($A$1, 226 - 1, 101 - 1) = "0", OFFSET($A$1, 226 - 1, 102 - 1) = "1" ), 3, 4 ) ) )</f>
        <v>1</v>
      </c>
    </row>
    <row r="227" spans="95:103" ht="13.8" x14ac:dyDescent="0.3">
      <c r="CQ227" s="24">
        <v>0.93213581521363109</v>
      </c>
      <c r="CR227" s="24" t="str">
        <f>"1"</f>
        <v>1</v>
      </c>
      <c r="CS227" t="str">
        <f ca="1">IF((OFFSET($A$1, 227 - 1, 95 - 1)) &gt;= (OFFSET($A$1, 54 - 1, 7 - 1)), "1","0")</f>
        <v>1</v>
      </c>
      <c r="CT227">
        <f ca="1" xml:space="preserve"> IF( AND( OFFSET($A$1, 227 - 1, 96 - 1) = "1", OFFSET($A$1, 227 - 1, 97 - 1) = "1" ), 1, IF( AND( OFFSET($A$1, 227 - 1, 96 - 1) = "1", OFFSET($A$1, 227 - 1, 97 - 1) = "0" ), 2, IF( AND( OFFSET($A$1, 227 - 1, 96 - 1) = "0", OFFSET($A$1, 227 - 1, 97 - 1) = "1" ), 3, 4 ) ) )</f>
        <v>1</v>
      </c>
      <c r="CV227" s="24">
        <v>0.99966051096475916</v>
      </c>
      <c r="CW227" s="24" t="str">
        <f>"1"</f>
        <v>1</v>
      </c>
      <c r="CX227" t="str">
        <f ca="1">IF((OFFSET($A$1, 227 - 1, 100 - 1)) &gt;= (OFFSET($A$1, 78 - 1, 7 - 1)), "1","0")</f>
        <v>1</v>
      </c>
      <c r="CY227">
        <f ca="1" xml:space="preserve"> IF( AND( OFFSET($A$1, 227 - 1, 101 - 1) = "1", OFFSET($A$1, 227 - 1, 102 - 1) = "1" ), 1, IF( AND( OFFSET($A$1, 227 - 1, 101 - 1) = "1", OFFSET($A$1, 227 - 1, 102 - 1) = "0" ), 2, IF( AND( OFFSET($A$1, 227 - 1, 101 - 1) = "0", OFFSET($A$1, 227 - 1, 102 - 1) = "1" ), 3, 4 ) ) )</f>
        <v>1</v>
      </c>
    </row>
    <row r="228" spans="95:103" ht="13.8" x14ac:dyDescent="0.3">
      <c r="CQ228" s="24">
        <v>0.97724665166507729</v>
      </c>
      <c r="CR228" s="24" t="str">
        <f>"0"</f>
        <v>0</v>
      </c>
      <c r="CS228" t="str">
        <f ca="1">IF((OFFSET($A$1, 228 - 1, 95 - 1)) &gt;= (OFFSET($A$1, 54 - 1, 7 - 1)), "1","0")</f>
        <v>1</v>
      </c>
      <c r="CT228">
        <f ca="1" xml:space="preserve"> IF( AND( OFFSET($A$1, 228 - 1, 96 - 1) = "1", OFFSET($A$1, 228 - 1, 97 - 1) = "1" ), 1, IF( AND( OFFSET($A$1, 228 - 1, 96 - 1) = "1", OFFSET($A$1, 228 - 1, 97 - 1) = "0" ), 2, IF( AND( OFFSET($A$1, 228 - 1, 96 - 1) = "0", OFFSET($A$1, 228 - 1, 97 - 1) = "1" ), 3, 4 ) ) )</f>
        <v>3</v>
      </c>
      <c r="CV228" s="24">
        <v>0.76376458447460605</v>
      </c>
      <c r="CW228" s="24" t="str">
        <f>"0"</f>
        <v>0</v>
      </c>
      <c r="CX228" t="str">
        <f ca="1">IF((OFFSET($A$1, 228 - 1, 100 - 1)) &gt;= (OFFSET($A$1, 78 - 1, 7 - 1)), "1","0")</f>
        <v>1</v>
      </c>
      <c r="CY228">
        <f ca="1" xml:space="preserve"> IF( AND( OFFSET($A$1, 228 - 1, 101 - 1) = "1", OFFSET($A$1, 228 - 1, 102 - 1) = "1" ), 1, IF( AND( OFFSET($A$1, 228 - 1, 101 - 1) = "1", OFFSET($A$1, 228 - 1, 102 - 1) = "0" ), 2, IF( AND( OFFSET($A$1, 228 - 1, 101 - 1) = "0", OFFSET($A$1, 228 - 1, 102 - 1) = "1" ), 3, 4 ) ) )</f>
        <v>3</v>
      </c>
    </row>
    <row r="229" spans="95:103" ht="13.8" x14ac:dyDescent="0.3">
      <c r="CQ229" s="24">
        <v>0.99939810787661421</v>
      </c>
      <c r="CR229" s="24" t="str">
        <f>"1"</f>
        <v>1</v>
      </c>
      <c r="CS229" t="str">
        <f ca="1">IF((OFFSET($A$1, 229 - 1, 95 - 1)) &gt;= (OFFSET($A$1, 54 - 1, 7 - 1)), "1","0")</f>
        <v>1</v>
      </c>
      <c r="CT229">
        <f ca="1" xml:space="preserve"> IF( AND( OFFSET($A$1, 229 - 1, 96 - 1) = "1", OFFSET($A$1, 229 - 1, 97 - 1) = "1" ), 1, IF( AND( OFFSET($A$1, 229 - 1, 96 - 1) = "1", OFFSET($A$1, 229 - 1, 97 - 1) = "0" ), 2, IF( AND( OFFSET($A$1, 229 - 1, 96 - 1) = "0", OFFSET($A$1, 229 - 1, 97 - 1) = "1" ), 3, 4 ) ) )</f>
        <v>1</v>
      </c>
      <c r="CV229" s="24">
        <v>0.8787003392021584</v>
      </c>
      <c r="CW229" s="24" t="str">
        <f>"1"</f>
        <v>1</v>
      </c>
      <c r="CX229" t="str">
        <f ca="1">IF((OFFSET($A$1, 229 - 1, 100 - 1)) &gt;= (OFFSET($A$1, 78 - 1, 7 - 1)), "1","0")</f>
        <v>1</v>
      </c>
      <c r="CY229">
        <f ca="1" xml:space="preserve"> IF( AND( OFFSET($A$1, 229 - 1, 101 - 1) = "1", OFFSET($A$1, 229 - 1, 102 - 1) = "1" ), 1, IF( AND( OFFSET($A$1, 229 - 1, 101 - 1) = "1", OFFSET($A$1, 229 - 1, 102 - 1) = "0" ), 2, IF( AND( OFFSET($A$1, 229 - 1, 101 - 1) = "0", OFFSET($A$1, 229 - 1, 102 - 1) = "1" ), 3, 4 ) ) )</f>
        <v>1</v>
      </c>
    </row>
    <row r="230" spans="95:103" ht="13.8" x14ac:dyDescent="0.3">
      <c r="CQ230" s="24">
        <v>0.99975865471161807</v>
      </c>
      <c r="CR230" s="24" t="str">
        <f>"1"</f>
        <v>1</v>
      </c>
      <c r="CS230" t="str">
        <f ca="1">IF((OFFSET($A$1, 230 - 1, 95 - 1)) &gt;= (OFFSET($A$1, 54 - 1, 7 - 1)), "1","0")</f>
        <v>1</v>
      </c>
      <c r="CT230">
        <f ca="1" xml:space="preserve"> IF( AND( OFFSET($A$1, 230 - 1, 96 - 1) = "1", OFFSET($A$1, 230 - 1, 97 - 1) = "1" ), 1, IF( AND( OFFSET($A$1, 230 - 1, 96 - 1) = "1", OFFSET($A$1, 230 - 1, 97 - 1) = "0" ), 2, IF( AND( OFFSET($A$1, 230 - 1, 96 - 1) = "0", OFFSET($A$1, 230 - 1, 97 - 1) = "1" ), 3, 4 ) ) )</f>
        <v>1</v>
      </c>
      <c r="CV230" s="24">
        <v>0.99999702404905555</v>
      </c>
      <c r="CW230" s="24" t="str">
        <f>"1"</f>
        <v>1</v>
      </c>
      <c r="CX230" t="str">
        <f ca="1">IF((OFFSET($A$1, 230 - 1, 100 - 1)) &gt;= (OFFSET($A$1, 78 - 1, 7 - 1)), "1","0")</f>
        <v>1</v>
      </c>
      <c r="CY230">
        <f ca="1" xml:space="preserve"> IF( AND( OFFSET($A$1, 230 - 1, 101 - 1) = "1", OFFSET($A$1, 230 - 1, 102 - 1) = "1" ), 1, IF( AND( OFFSET($A$1, 230 - 1, 101 - 1) = "1", OFFSET($A$1, 230 - 1, 102 - 1) = "0" ), 2, IF( AND( OFFSET($A$1, 230 - 1, 101 - 1) = "0", OFFSET($A$1, 230 - 1, 102 - 1) = "1" ), 3, 4 ) ) )</f>
        <v>1</v>
      </c>
    </row>
    <row r="231" spans="95:103" ht="13.8" x14ac:dyDescent="0.3">
      <c r="CQ231" s="24">
        <v>0.98813706265140111</v>
      </c>
      <c r="CR231" s="24" t="str">
        <f>"1"</f>
        <v>1</v>
      </c>
      <c r="CS231" t="str">
        <f ca="1">IF((OFFSET($A$1, 231 - 1, 95 - 1)) &gt;= (OFFSET($A$1, 54 - 1, 7 - 1)), "1","0")</f>
        <v>1</v>
      </c>
      <c r="CT231">
        <f ca="1" xml:space="preserve"> IF( AND( OFFSET($A$1, 231 - 1, 96 - 1) = "1", OFFSET($A$1, 231 - 1, 97 - 1) = "1" ), 1, IF( AND( OFFSET($A$1, 231 - 1, 96 - 1) = "1", OFFSET($A$1, 231 - 1, 97 - 1) = "0" ), 2, IF( AND( OFFSET($A$1, 231 - 1, 96 - 1) = "0", OFFSET($A$1, 231 - 1, 97 - 1) = "1" ), 3, 4 ) ) )</f>
        <v>1</v>
      </c>
      <c r="CV231" s="24">
        <v>0.99999808239264643</v>
      </c>
      <c r="CW231" s="24" t="str">
        <f>"1"</f>
        <v>1</v>
      </c>
      <c r="CX231" t="str">
        <f ca="1">IF((OFFSET($A$1, 231 - 1, 100 - 1)) &gt;= (OFFSET($A$1, 78 - 1, 7 - 1)), "1","0")</f>
        <v>1</v>
      </c>
      <c r="CY231">
        <f ca="1" xml:space="preserve"> IF( AND( OFFSET($A$1, 231 - 1, 101 - 1) = "1", OFFSET($A$1, 231 - 1, 102 - 1) = "1" ), 1, IF( AND( OFFSET($A$1, 231 - 1, 101 - 1) = "1", OFFSET($A$1, 231 - 1, 102 - 1) = "0" ), 2, IF( AND( OFFSET($A$1, 231 - 1, 101 - 1) = "0", OFFSET($A$1, 231 - 1, 102 - 1) = "1" ), 3, 4 ) ) )</f>
        <v>1</v>
      </c>
    </row>
    <row r="232" spans="95:103" ht="13.8" x14ac:dyDescent="0.3">
      <c r="CQ232" s="24">
        <v>5.0741558684445152E-2</v>
      </c>
      <c r="CR232" s="24" t="str">
        <f>"0"</f>
        <v>0</v>
      </c>
      <c r="CS232" t="str">
        <f ca="1">IF((OFFSET($A$1, 232 - 1, 95 - 1)) &gt;= (OFFSET($A$1, 54 - 1, 7 - 1)), "1","0")</f>
        <v>0</v>
      </c>
      <c r="CT232">
        <f ca="1" xml:space="preserve"> IF( AND( OFFSET($A$1, 232 - 1, 96 - 1) = "1", OFFSET($A$1, 232 - 1, 97 - 1) = "1" ), 1, IF( AND( OFFSET($A$1, 232 - 1, 96 - 1) = "1", OFFSET($A$1, 232 - 1, 97 - 1) = "0" ), 2, IF( AND( OFFSET($A$1, 232 - 1, 96 - 1) = "0", OFFSET($A$1, 232 - 1, 97 - 1) = "1" ), 3, 4 ) ) )</f>
        <v>4</v>
      </c>
      <c r="CV232" s="24">
        <v>0.99766595863116425</v>
      </c>
      <c r="CW232" s="24" t="str">
        <f>"1"</f>
        <v>1</v>
      </c>
      <c r="CX232" t="str">
        <f ca="1">IF((OFFSET($A$1, 232 - 1, 100 - 1)) &gt;= (OFFSET($A$1, 78 - 1, 7 - 1)), "1","0")</f>
        <v>1</v>
      </c>
      <c r="CY232">
        <f ca="1" xml:space="preserve"> IF( AND( OFFSET($A$1, 232 - 1, 101 - 1) = "1", OFFSET($A$1, 232 - 1, 102 - 1) = "1" ), 1, IF( AND( OFFSET($A$1, 232 - 1, 101 - 1) = "1", OFFSET($A$1, 232 - 1, 102 - 1) = "0" ), 2, IF( AND( OFFSET($A$1, 232 - 1, 101 - 1) = "0", OFFSET($A$1, 232 - 1, 102 - 1) = "1" ), 3, 4 ) ) )</f>
        <v>1</v>
      </c>
    </row>
    <row r="233" spans="95:103" ht="13.8" x14ac:dyDescent="0.3">
      <c r="CQ233" s="24">
        <v>7.6142510821428935E-2</v>
      </c>
      <c r="CR233" s="24" t="str">
        <f>"0"</f>
        <v>0</v>
      </c>
      <c r="CS233" t="str">
        <f ca="1">IF((OFFSET($A$1, 233 - 1, 95 - 1)) &gt;= (OFFSET($A$1, 54 - 1, 7 - 1)), "1","0")</f>
        <v>0</v>
      </c>
      <c r="CT233">
        <f ca="1" xml:space="preserve"> IF( AND( OFFSET($A$1, 233 - 1, 96 - 1) = "1", OFFSET($A$1, 233 - 1, 97 - 1) = "1" ), 1, IF( AND( OFFSET($A$1, 233 - 1, 96 - 1) = "1", OFFSET($A$1, 233 - 1, 97 - 1) = "0" ), 2, IF( AND( OFFSET($A$1, 233 - 1, 96 - 1) = "0", OFFSET($A$1, 233 - 1, 97 - 1) = "1" ), 3, 4 ) ) )</f>
        <v>4</v>
      </c>
      <c r="CV233" s="24">
        <v>1.6456258338053989E-2</v>
      </c>
      <c r="CW233" s="24" t="str">
        <f>"0"</f>
        <v>0</v>
      </c>
      <c r="CX233" t="str">
        <f ca="1">IF((OFFSET($A$1, 233 - 1, 100 - 1)) &gt;= (OFFSET($A$1, 78 - 1, 7 - 1)), "1","0")</f>
        <v>0</v>
      </c>
      <c r="CY233">
        <f ca="1" xml:space="preserve"> IF( AND( OFFSET($A$1, 233 - 1, 101 - 1) = "1", OFFSET($A$1, 233 - 1, 102 - 1) = "1" ), 1, IF( AND( OFFSET($A$1, 233 - 1, 101 - 1) = "1", OFFSET($A$1, 233 - 1, 102 - 1) = "0" ), 2, IF( AND( OFFSET($A$1, 233 - 1, 101 - 1) = "0", OFFSET($A$1, 233 - 1, 102 - 1) = "1" ), 3, 4 ) ) )</f>
        <v>4</v>
      </c>
    </row>
    <row r="234" spans="95:103" ht="13.8" x14ac:dyDescent="0.3">
      <c r="CQ234" s="24">
        <v>0.99816377319338945</v>
      </c>
      <c r="CR234" s="24" t="str">
        <f t="shared" ref="CR234:CR240" si="17">"1"</f>
        <v>1</v>
      </c>
      <c r="CS234" t="str">
        <f ca="1">IF((OFFSET($A$1, 234 - 1, 95 - 1)) &gt;= (OFFSET($A$1, 54 - 1, 7 - 1)), "1","0")</f>
        <v>1</v>
      </c>
      <c r="CT234">
        <f ca="1" xml:space="preserve"> IF( AND( OFFSET($A$1, 234 - 1, 96 - 1) = "1", OFFSET($A$1, 234 - 1, 97 - 1) = "1" ), 1, IF( AND( OFFSET($A$1, 234 - 1, 96 - 1) = "1", OFFSET($A$1, 234 - 1, 97 - 1) = "0" ), 2, IF( AND( OFFSET($A$1, 234 - 1, 96 - 1) = "0", OFFSET($A$1, 234 - 1, 97 - 1) = "1" ), 3, 4 ) ) )</f>
        <v>1</v>
      </c>
      <c r="CV234" s="24">
        <v>7.7246911965084458E-2</v>
      </c>
      <c r="CW234" s="24" t="str">
        <f t="shared" ref="CW234:CW242" si="18">"1"</f>
        <v>1</v>
      </c>
      <c r="CX234" t="str">
        <f ca="1">IF((OFFSET($A$1, 234 - 1, 100 - 1)) &gt;= (OFFSET($A$1, 78 - 1, 7 - 1)), "1","0")</f>
        <v>0</v>
      </c>
      <c r="CY234">
        <f ca="1" xml:space="preserve"> IF( AND( OFFSET($A$1, 234 - 1, 101 - 1) = "1", OFFSET($A$1, 234 - 1, 102 - 1) = "1" ), 1, IF( AND( OFFSET($A$1, 234 - 1, 101 - 1) = "1", OFFSET($A$1, 234 - 1, 102 - 1) = "0" ), 2, IF( AND( OFFSET($A$1, 234 - 1, 101 - 1) = "0", OFFSET($A$1, 234 - 1, 102 - 1) = "1" ), 3, 4 ) ) )</f>
        <v>2</v>
      </c>
    </row>
    <row r="235" spans="95:103" ht="13.8" x14ac:dyDescent="0.3">
      <c r="CQ235" s="24">
        <v>0.99998948310412528</v>
      </c>
      <c r="CR235" s="24" t="str">
        <f t="shared" si="17"/>
        <v>1</v>
      </c>
      <c r="CS235" t="str">
        <f ca="1">IF((OFFSET($A$1, 235 - 1, 95 - 1)) &gt;= (OFFSET($A$1, 54 - 1, 7 - 1)), "1","0")</f>
        <v>1</v>
      </c>
      <c r="CT235">
        <f ca="1" xml:space="preserve"> IF( AND( OFFSET($A$1, 235 - 1, 96 - 1) = "1", OFFSET($A$1, 235 - 1, 97 - 1) = "1" ), 1, IF( AND( OFFSET($A$1, 235 - 1, 96 - 1) = "1", OFFSET($A$1, 235 - 1, 97 - 1) = "0" ), 2, IF( AND( OFFSET($A$1, 235 - 1, 96 - 1) = "0", OFFSET($A$1, 235 - 1, 97 - 1) = "1" ), 3, 4 ) ) )</f>
        <v>1</v>
      </c>
      <c r="CV235" s="24">
        <v>0.92304896257924807</v>
      </c>
      <c r="CW235" s="24" t="str">
        <f t="shared" si="18"/>
        <v>1</v>
      </c>
      <c r="CX235" t="str">
        <f ca="1">IF((OFFSET($A$1, 235 - 1, 100 - 1)) &gt;= (OFFSET($A$1, 78 - 1, 7 - 1)), "1","0")</f>
        <v>1</v>
      </c>
      <c r="CY235">
        <f ca="1" xml:space="preserve"> IF( AND( OFFSET($A$1, 235 - 1, 101 - 1) = "1", OFFSET($A$1, 235 - 1, 102 - 1) = "1" ), 1, IF( AND( OFFSET($A$1, 235 - 1, 101 - 1) = "1", OFFSET($A$1, 235 - 1, 102 - 1) = "0" ), 2, IF( AND( OFFSET($A$1, 235 - 1, 101 - 1) = "0", OFFSET($A$1, 235 - 1, 102 - 1) = "1" ), 3, 4 ) ) )</f>
        <v>1</v>
      </c>
    </row>
    <row r="236" spans="95:103" ht="13.8" x14ac:dyDescent="0.3">
      <c r="CQ236" s="24">
        <v>0.85526568328845309</v>
      </c>
      <c r="CR236" s="24" t="str">
        <f t="shared" si="17"/>
        <v>1</v>
      </c>
      <c r="CS236" t="str">
        <f ca="1">IF((OFFSET($A$1, 236 - 1, 95 - 1)) &gt;= (OFFSET($A$1, 54 - 1, 7 - 1)), "1","0")</f>
        <v>1</v>
      </c>
      <c r="CT236">
        <f ca="1" xml:space="preserve"> IF( AND( OFFSET($A$1, 236 - 1, 96 - 1) = "1", OFFSET($A$1, 236 - 1, 97 - 1) = "1" ), 1, IF( AND( OFFSET($A$1, 236 - 1, 96 - 1) = "1", OFFSET($A$1, 236 - 1, 97 - 1) = "0" ), 2, IF( AND( OFFSET($A$1, 236 - 1, 96 - 1) = "0", OFFSET($A$1, 236 - 1, 97 - 1) = "1" ), 3, 4 ) ) )</f>
        <v>1</v>
      </c>
      <c r="CV236" s="24">
        <v>0.99996654718409228</v>
      </c>
      <c r="CW236" s="24" t="str">
        <f t="shared" si="18"/>
        <v>1</v>
      </c>
      <c r="CX236" t="str">
        <f ca="1">IF((OFFSET($A$1, 236 - 1, 100 - 1)) &gt;= (OFFSET($A$1, 78 - 1, 7 - 1)), "1","0")</f>
        <v>1</v>
      </c>
      <c r="CY236">
        <f ca="1" xml:space="preserve"> IF( AND( OFFSET($A$1, 236 - 1, 101 - 1) = "1", OFFSET($A$1, 236 - 1, 102 - 1) = "1" ), 1, IF( AND( OFFSET($A$1, 236 - 1, 101 - 1) = "1", OFFSET($A$1, 236 - 1, 102 - 1) = "0" ), 2, IF( AND( OFFSET($A$1, 236 - 1, 101 - 1) = "0", OFFSET($A$1, 236 - 1, 102 - 1) = "1" ), 3, 4 ) ) )</f>
        <v>1</v>
      </c>
    </row>
    <row r="237" spans="95:103" ht="13.8" x14ac:dyDescent="0.3">
      <c r="CQ237" s="24">
        <v>0.99807289182343639</v>
      </c>
      <c r="CR237" s="24" t="str">
        <f t="shared" si="17"/>
        <v>1</v>
      </c>
      <c r="CS237" t="str">
        <f ca="1">IF((OFFSET($A$1, 237 - 1, 95 - 1)) &gt;= (OFFSET($A$1, 54 - 1, 7 - 1)), "1","0")</f>
        <v>1</v>
      </c>
      <c r="CT237">
        <f ca="1" xml:space="preserve"> IF( AND( OFFSET($A$1, 237 - 1, 96 - 1) = "1", OFFSET($A$1, 237 - 1, 97 - 1) = "1" ), 1, IF( AND( OFFSET($A$1, 237 - 1, 96 - 1) = "1", OFFSET($A$1, 237 - 1, 97 - 1) = "0" ), 2, IF( AND( OFFSET($A$1, 237 - 1, 96 - 1) = "0", OFFSET($A$1, 237 - 1, 97 - 1) = "1" ), 3, 4 ) ) )</f>
        <v>1</v>
      </c>
      <c r="CV237" s="24">
        <v>1.1090192909463571E-2</v>
      </c>
      <c r="CW237" s="24" t="str">
        <f t="shared" si="18"/>
        <v>1</v>
      </c>
      <c r="CX237" t="str">
        <f ca="1">IF((OFFSET($A$1, 237 - 1, 100 - 1)) &gt;= (OFFSET($A$1, 78 - 1, 7 - 1)), "1","0")</f>
        <v>0</v>
      </c>
      <c r="CY237">
        <f ca="1" xml:space="preserve"> IF( AND( OFFSET($A$1, 237 - 1, 101 - 1) = "1", OFFSET($A$1, 237 - 1, 102 - 1) = "1" ), 1, IF( AND( OFFSET($A$1, 237 - 1, 101 - 1) = "1", OFFSET($A$1, 237 - 1, 102 - 1) = "0" ), 2, IF( AND( OFFSET($A$1, 237 - 1, 101 - 1) = "0", OFFSET($A$1, 237 - 1, 102 - 1) = "1" ), 3, 4 ) ) )</f>
        <v>2</v>
      </c>
    </row>
    <row r="238" spans="95:103" ht="13.8" x14ac:dyDescent="0.3">
      <c r="CQ238" s="24">
        <v>0.99896888518765747</v>
      </c>
      <c r="CR238" s="24" t="str">
        <f t="shared" si="17"/>
        <v>1</v>
      </c>
      <c r="CS238" t="str">
        <f ca="1">IF((OFFSET($A$1, 238 - 1, 95 - 1)) &gt;= (OFFSET($A$1, 54 - 1, 7 - 1)), "1","0")</f>
        <v>1</v>
      </c>
      <c r="CT238">
        <f ca="1" xml:space="preserve"> IF( AND( OFFSET($A$1, 238 - 1, 96 - 1) = "1", OFFSET($A$1, 238 - 1, 97 - 1) = "1" ), 1, IF( AND( OFFSET($A$1, 238 - 1, 96 - 1) = "1", OFFSET($A$1, 238 - 1, 97 - 1) = "0" ), 2, IF( AND( OFFSET($A$1, 238 - 1, 96 - 1) = "0", OFFSET($A$1, 238 - 1, 97 - 1) = "1" ), 3, 4 ) ) )</f>
        <v>1</v>
      </c>
      <c r="CV238" s="24">
        <v>0.84912926032035474</v>
      </c>
      <c r="CW238" s="24" t="str">
        <f t="shared" si="18"/>
        <v>1</v>
      </c>
      <c r="CX238" t="str">
        <f ca="1">IF((OFFSET($A$1, 238 - 1, 100 - 1)) &gt;= (OFFSET($A$1, 78 - 1, 7 - 1)), "1","0")</f>
        <v>1</v>
      </c>
      <c r="CY238">
        <f ca="1" xml:space="preserve"> IF( AND( OFFSET($A$1, 238 - 1, 101 - 1) = "1", OFFSET($A$1, 238 - 1, 102 - 1) = "1" ), 1, IF( AND( OFFSET($A$1, 238 - 1, 101 - 1) = "1", OFFSET($A$1, 238 - 1, 102 - 1) = "0" ), 2, IF( AND( OFFSET($A$1, 238 - 1, 101 - 1) = "0", OFFSET($A$1, 238 - 1, 102 - 1) = "1" ), 3, 4 ) ) )</f>
        <v>1</v>
      </c>
    </row>
    <row r="239" spans="95:103" ht="13.8" x14ac:dyDescent="0.3">
      <c r="CQ239" s="24">
        <v>0.99889075168028407</v>
      </c>
      <c r="CR239" s="24" t="str">
        <f t="shared" si="17"/>
        <v>1</v>
      </c>
      <c r="CS239" t="str">
        <f ca="1">IF((OFFSET($A$1, 239 - 1, 95 - 1)) &gt;= (OFFSET($A$1, 54 - 1, 7 - 1)), "1","0")</f>
        <v>1</v>
      </c>
      <c r="CT239">
        <f ca="1" xml:space="preserve"> IF( AND( OFFSET($A$1, 239 - 1, 96 - 1) = "1", OFFSET($A$1, 239 - 1, 97 - 1) = "1" ), 1, IF( AND( OFFSET($A$1, 239 - 1, 96 - 1) = "1", OFFSET($A$1, 239 - 1, 97 - 1) = "0" ), 2, IF( AND( OFFSET($A$1, 239 - 1, 96 - 1) = "0", OFFSET($A$1, 239 - 1, 97 - 1) = "1" ), 3, 4 ) ) )</f>
        <v>1</v>
      </c>
      <c r="CV239" s="24">
        <v>0.99999925625632902</v>
      </c>
      <c r="CW239" s="24" t="str">
        <f t="shared" si="18"/>
        <v>1</v>
      </c>
      <c r="CX239" t="str">
        <f ca="1">IF((OFFSET($A$1, 239 - 1, 100 - 1)) &gt;= (OFFSET($A$1, 78 - 1, 7 - 1)), "1","0")</f>
        <v>1</v>
      </c>
      <c r="CY239">
        <f ca="1" xml:space="preserve"> IF( AND( OFFSET($A$1, 239 - 1, 101 - 1) = "1", OFFSET($A$1, 239 - 1, 102 - 1) = "1" ), 1, IF( AND( OFFSET($A$1, 239 - 1, 101 - 1) = "1", OFFSET($A$1, 239 - 1, 102 - 1) = "0" ), 2, IF( AND( OFFSET($A$1, 239 - 1, 101 - 1) = "0", OFFSET($A$1, 239 - 1, 102 - 1) = "1" ), 3, 4 ) ) )</f>
        <v>1</v>
      </c>
    </row>
    <row r="240" spans="95:103" ht="13.8" x14ac:dyDescent="0.3">
      <c r="CQ240" s="24">
        <v>0.99992189242907514</v>
      </c>
      <c r="CR240" s="24" t="str">
        <f t="shared" si="17"/>
        <v>1</v>
      </c>
      <c r="CS240" t="str">
        <f ca="1">IF((OFFSET($A$1, 240 - 1, 95 - 1)) &gt;= (OFFSET($A$1, 54 - 1, 7 - 1)), "1","0")</f>
        <v>1</v>
      </c>
      <c r="CT240">
        <f ca="1" xml:space="preserve"> IF( AND( OFFSET($A$1, 240 - 1, 96 - 1) = "1", OFFSET($A$1, 240 - 1, 97 - 1) = "1" ), 1, IF( AND( OFFSET($A$1, 240 - 1, 96 - 1) = "1", OFFSET($A$1, 240 - 1, 97 - 1) = "0" ), 2, IF( AND( OFFSET($A$1, 240 - 1, 96 - 1) = "0", OFFSET($A$1, 240 - 1, 97 - 1) = "1" ), 3, 4 ) ) )</f>
        <v>1</v>
      </c>
      <c r="CV240" s="24">
        <v>0.99991427763040774</v>
      </c>
      <c r="CW240" s="24" t="str">
        <f t="shared" si="18"/>
        <v>1</v>
      </c>
      <c r="CX240" t="str">
        <f ca="1">IF((OFFSET($A$1, 240 - 1, 100 - 1)) &gt;= (OFFSET($A$1, 78 - 1, 7 - 1)), "1","0")</f>
        <v>1</v>
      </c>
      <c r="CY240">
        <f ca="1" xml:space="preserve"> IF( AND( OFFSET($A$1, 240 - 1, 101 - 1) = "1", OFFSET($A$1, 240 - 1, 102 - 1) = "1" ), 1, IF( AND( OFFSET($A$1, 240 - 1, 101 - 1) = "1", OFFSET($A$1, 240 - 1, 102 - 1) = "0" ), 2, IF( AND( OFFSET($A$1, 240 - 1, 101 - 1) = "0", OFFSET($A$1, 240 - 1, 102 - 1) = "1" ), 3, 4 ) ) )</f>
        <v>1</v>
      </c>
    </row>
    <row r="241" spans="95:103" ht="13.8" x14ac:dyDescent="0.3">
      <c r="CQ241" s="24">
        <v>2.6602462003386774E-2</v>
      </c>
      <c r="CR241" s="24" t="str">
        <f>"0"</f>
        <v>0</v>
      </c>
      <c r="CS241" t="str">
        <f ca="1">IF((OFFSET($A$1, 241 - 1, 95 - 1)) &gt;= (OFFSET($A$1, 54 - 1, 7 - 1)), "1","0")</f>
        <v>0</v>
      </c>
      <c r="CT241">
        <f ca="1" xml:space="preserve"> IF( AND( OFFSET($A$1, 241 - 1, 96 - 1) = "1", OFFSET($A$1, 241 - 1, 97 - 1) = "1" ), 1, IF( AND( OFFSET($A$1, 241 - 1, 96 - 1) = "1", OFFSET($A$1, 241 - 1, 97 - 1) = "0" ), 2, IF( AND( OFFSET($A$1, 241 - 1, 96 - 1) = "0", OFFSET($A$1, 241 - 1, 97 - 1) = "1" ), 3, 4 ) ) )</f>
        <v>4</v>
      </c>
      <c r="CV241" s="24">
        <v>0.99993865577146035</v>
      </c>
      <c r="CW241" s="24" t="str">
        <f t="shared" si="18"/>
        <v>1</v>
      </c>
      <c r="CX241" t="str">
        <f ca="1">IF((OFFSET($A$1, 241 - 1, 100 - 1)) &gt;= (OFFSET($A$1, 78 - 1, 7 - 1)), "1","0")</f>
        <v>1</v>
      </c>
      <c r="CY241">
        <f ca="1" xml:space="preserve"> IF( AND( OFFSET($A$1, 241 - 1, 101 - 1) = "1", OFFSET($A$1, 241 - 1, 102 - 1) = "1" ), 1, IF( AND( OFFSET($A$1, 241 - 1, 101 - 1) = "1", OFFSET($A$1, 241 - 1, 102 - 1) = "0" ), 2, IF( AND( OFFSET($A$1, 241 - 1, 101 - 1) = "0", OFFSET($A$1, 241 - 1, 102 - 1) = "1" ), 3, 4 ) ) )</f>
        <v>1</v>
      </c>
    </row>
    <row r="242" spans="95:103" ht="13.8" x14ac:dyDescent="0.3">
      <c r="CQ242" s="24">
        <v>0.87780127791274265</v>
      </c>
      <c r="CR242" s="24" t="str">
        <f t="shared" ref="CR242:CR247" si="19">"1"</f>
        <v>1</v>
      </c>
      <c r="CS242" t="str">
        <f ca="1">IF((OFFSET($A$1, 242 - 1, 95 - 1)) &gt;= (OFFSET($A$1, 54 - 1, 7 - 1)), "1","0")</f>
        <v>1</v>
      </c>
      <c r="CT242">
        <f ca="1" xml:space="preserve"> IF( AND( OFFSET($A$1, 242 - 1, 96 - 1) = "1", OFFSET($A$1, 242 - 1, 97 - 1) = "1" ), 1, IF( AND( OFFSET($A$1, 242 - 1, 96 - 1) = "1", OFFSET($A$1, 242 - 1, 97 - 1) = "0" ), 2, IF( AND( OFFSET($A$1, 242 - 1, 96 - 1) = "0", OFFSET($A$1, 242 - 1, 97 - 1) = "1" ), 3, 4 ) ) )</f>
        <v>1</v>
      </c>
      <c r="CV242" s="24">
        <v>0.99999830284084879</v>
      </c>
      <c r="CW242" s="24" t="str">
        <f t="shared" si="18"/>
        <v>1</v>
      </c>
      <c r="CX242" t="str">
        <f ca="1">IF((OFFSET($A$1, 242 - 1, 100 - 1)) &gt;= (OFFSET($A$1, 78 - 1, 7 - 1)), "1","0")</f>
        <v>1</v>
      </c>
      <c r="CY242">
        <f ca="1" xml:space="preserve"> IF( AND( OFFSET($A$1, 242 - 1, 101 - 1) = "1", OFFSET($A$1, 242 - 1, 102 - 1) = "1" ), 1, IF( AND( OFFSET($A$1, 242 - 1, 101 - 1) = "1", OFFSET($A$1, 242 - 1, 102 - 1) = "0" ), 2, IF( AND( OFFSET($A$1, 242 - 1, 101 - 1) = "0", OFFSET($A$1, 242 - 1, 102 - 1) = "1" ), 3, 4 ) ) )</f>
        <v>1</v>
      </c>
    </row>
    <row r="243" spans="95:103" ht="13.8" x14ac:dyDescent="0.3">
      <c r="CQ243" s="24">
        <v>0.95163928802300957</v>
      </c>
      <c r="CR243" s="24" t="str">
        <f t="shared" si="19"/>
        <v>1</v>
      </c>
      <c r="CS243" t="str">
        <f ca="1">IF((OFFSET($A$1, 243 - 1, 95 - 1)) &gt;= (OFFSET($A$1, 54 - 1, 7 - 1)), "1","0")</f>
        <v>1</v>
      </c>
      <c r="CT243">
        <f ca="1" xml:space="preserve"> IF( AND( OFFSET($A$1, 243 - 1, 96 - 1) = "1", OFFSET($A$1, 243 - 1, 97 - 1) = "1" ), 1, IF( AND( OFFSET($A$1, 243 - 1, 96 - 1) = "1", OFFSET($A$1, 243 - 1, 97 - 1) = "0" ), 2, IF( AND( OFFSET($A$1, 243 - 1, 96 - 1) = "0", OFFSET($A$1, 243 - 1, 97 - 1) = "1" ), 3, 4 ) ) )</f>
        <v>1</v>
      </c>
      <c r="CV243" s="24">
        <v>0.99484899276738492</v>
      </c>
      <c r="CW243" s="24" t="str">
        <f>"0"</f>
        <v>0</v>
      </c>
      <c r="CX243" t="str">
        <f ca="1">IF((OFFSET($A$1, 243 - 1, 100 - 1)) &gt;= (OFFSET($A$1, 78 - 1, 7 - 1)), "1","0")</f>
        <v>1</v>
      </c>
      <c r="CY243">
        <f ca="1" xml:space="preserve"> IF( AND( OFFSET($A$1, 243 - 1, 101 - 1) = "1", OFFSET($A$1, 243 - 1, 102 - 1) = "1" ), 1, IF( AND( OFFSET($A$1, 243 - 1, 101 - 1) = "1", OFFSET($A$1, 243 - 1, 102 - 1) = "0" ), 2, IF( AND( OFFSET($A$1, 243 - 1, 101 - 1) = "0", OFFSET($A$1, 243 - 1, 102 - 1) = "1" ), 3, 4 ) ) )</f>
        <v>3</v>
      </c>
    </row>
    <row r="244" spans="95:103" ht="13.8" x14ac:dyDescent="0.3">
      <c r="CQ244" s="24">
        <v>0.99737002931160168</v>
      </c>
      <c r="CR244" s="24" t="str">
        <f t="shared" si="19"/>
        <v>1</v>
      </c>
      <c r="CS244" t="str">
        <f ca="1">IF((OFFSET($A$1, 244 - 1, 95 - 1)) &gt;= (OFFSET($A$1, 54 - 1, 7 - 1)), "1","0")</f>
        <v>1</v>
      </c>
      <c r="CT244">
        <f ca="1" xml:space="preserve"> IF( AND( OFFSET($A$1, 244 - 1, 96 - 1) = "1", OFFSET($A$1, 244 - 1, 97 - 1) = "1" ), 1, IF( AND( OFFSET($A$1, 244 - 1, 96 - 1) = "1", OFFSET($A$1, 244 - 1, 97 - 1) = "0" ), 2, IF( AND( OFFSET($A$1, 244 - 1, 96 - 1) = "0", OFFSET($A$1, 244 - 1, 97 - 1) = "1" ), 3, 4 ) ) )</f>
        <v>1</v>
      </c>
      <c r="CV244" s="24">
        <v>2.9158208694928335E-2</v>
      </c>
      <c r="CW244" s="24" t="str">
        <f>"0"</f>
        <v>0</v>
      </c>
      <c r="CX244" t="str">
        <f ca="1">IF((OFFSET($A$1, 244 - 1, 100 - 1)) &gt;= (OFFSET($A$1, 78 - 1, 7 - 1)), "1","0")</f>
        <v>0</v>
      </c>
      <c r="CY244">
        <f ca="1" xml:space="preserve"> IF( AND( OFFSET($A$1, 244 - 1, 101 - 1) = "1", OFFSET($A$1, 244 - 1, 102 - 1) = "1" ), 1, IF( AND( OFFSET($A$1, 244 - 1, 101 - 1) = "1", OFFSET($A$1, 244 - 1, 102 - 1) = "0" ), 2, IF( AND( OFFSET($A$1, 244 - 1, 101 - 1) = "0", OFFSET($A$1, 244 - 1, 102 - 1) = "1" ), 3, 4 ) ) )</f>
        <v>4</v>
      </c>
    </row>
    <row r="245" spans="95:103" ht="13.8" x14ac:dyDescent="0.3">
      <c r="CQ245" s="24">
        <v>0.9870475502954954</v>
      </c>
      <c r="CR245" s="24" t="str">
        <f t="shared" si="19"/>
        <v>1</v>
      </c>
      <c r="CS245" t="str">
        <f ca="1">IF((OFFSET($A$1, 245 - 1, 95 - 1)) &gt;= (OFFSET($A$1, 54 - 1, 7 - 1)), "1","0")</f>
        <v>1</v>
      </c>
      <c r="CT245">
        <f ca="1" xml:space="preserve"> IF( AND( OFFSET($A$1, 245 - 1, 96 - 1) = "1", OFFSET($A$1, 245 - 1, 97 - 1) = "1" ), 1, IF( AND( OFFSET($A$1, 245 - 1, 96 - 1) = "1", OFFSET($A$1, 245 - 1, 97 - 1) = "0" ), 2, IF( AND( OFFSET($A$1, 245 - 1, 96 - 1) = "0", OFFSET($A$1, 245 - 1, 97 - 1) = "1" ), 3, 4 ) ) )</f>
        <v>1</v>
      </c>
      <c r="CV245" s="24">
        <v>0.86986371866877998</v>
      </c>
      <c r="CW245" s="24" t="str">
        <f>"1"</f>
        <v>1</v>
      </c>
      <c r="CX245" t="str">
        <f ca="1">IF((OFFSET($A$1, 245 - 1, 100 - 1)) &gt;= (OFFSET($A$1, 78 - 1, 7 - 1)), "1","0")</f>
        <v>1</v>
      </c>
      <c r="CY245">
        <f ca="1" xml:space="preserve"> IF( AND( OFFSET($A$1, 245 - 1, 101 - 1) = "1", OFFSET($A$1, 245 - 1, 102 - 1) = "1" ), 1, IF( AND( OFFSET($A$1, 245 - 1, 101 - 1) = "1", OFFSET($A$1, 245 - 1, 102 - 1) = "0" ), 2, IF( AND( OFFSET($A$1, 245 - 1, 101 - 1) = "0", OFFSET($A$1, 245 - 1, 102 - 1) = "1" ), 3, 4 ) ) )</f>
        <v>1</v>
      </c>
    </row>
    <row r="246" spans="95:103" ht="13.8" x14ac:dyDescent="0.3">
      <c r="CQ246" s="24">
        <v>0.94653294604862548</v>
      </c>
      <c r="CR246" s="24" t="str">
        <f t="shared" si="19"/>
        <v>1</v>
      </c>
      <c r="CS246" t="str">
        <f ca="1">IF((OFFSET($A$1, 246 - 1, 95 - 1)) &gt;= (OFFSET($A$1, 54 - 1, 7 - 1)), "1","0")</f>
        <v>1</v>
      </c>
      <c r="CT246">
        <f ca="1" xml:space="preserve"> IF( AND( OFFSET($A$1, 246 - 1, 96 - 1) = "1", OFFSET($A$1, 246 - 1, 97 - 1) = "1" ), 1, IF( AND( OFFSET($A$1, 246 - 1, 96 - 1) = "1", OFFSET($A$1, 246 - 1, 97 - 1) = "0" ), 2, IF( AND( OFFSET($A$1, 246 - 1, 96 - 1) = "0", OFFSET($A$1, 246 - 1, 97 - 1) = "1" ), 3, 4 ) ) )</f>
        <v>1</v>
      </c>
      <c r="CV246" s="24">
        <v>0.14510145396184077</v>
      </c>
      <c r="CW246" s="24" t="str">
        <f>"0"</f>
        <v>0</v>
      </c>
      <c r="CX246" t="str">
        <f ca="1">IF((OFFSET($A$1, 246 - 1, 100 - 1)) &gt;= (OFFSET($A$1, 78 - 1, 7 - 1)), "1","0")</f>
        <v>0</v>
      </c>
      <c r="CY246">
        <f ca="1" xml:space="preserve"> IF( AND( OFFSET($A$1, 246 - 1, 101 - 1) = "1", OFFSET($A$1, 246 - 1, 102 - 1) = "1" ), 1, IF( AND( OFFSET($A$1, 246 - 1, 101 - 1) = "1", OFFSET($A$1, 246 - 1, 102 - 1) = "0" ), 2, IF( AND( OFFSET($A$1, 246 - 1, 101 - 1) = "0", OFFSET($A$1, 246 - 1, 102 - 1) = "1" ), 3, 4 ) ) )</f>
        <v>4</v>
      </c>
    </row>
    <row r="247" spans="95:103" ht="13.8" x14ac:dyDescent="0.3">
      <c r="CQ247" s="24">
        <v>0.99570788617234551</v>
      </c>
      <c r="CR247" s="24" t="str">
        <f t="shared" si="19"/>
        <v>1</v>
      </c>
      <c r="CS247" t="str">
        <f ca="1">IF((OFFSET($A$1, 247 - 1, 95 - 1)) &gt;= (OFFSET($A$1, 54 - 1, 7 - 1)), "1","0")</f>
        <v>1</v>
      </c>
      <c r="CT247">
        <f ca="1" xml:space="preserve"> IF( AND( OFFSET($A$1, 247 - 1, 96 - 1) = "1", OFFSET($A$1, 247 - 1, 97 - 1) = "1" ), 1, IF( AND( OFFSET($A$1, 247 - 1, 96 - 1) = "1", OFFSET($A$1, 247 - 1, 97 - 1) = "0" ), 2, IF( AND( OFFSET($A$1, 247 - 1, 96 - 1) = "0", OFFSET($A$1, 247 - 1, 97 - 1) = "1" ), 3, 4 ) ) )</f>
        <v>1</v>
      </c>
      <c r="CV247" s="24">
        <v>0.84311947345872396</v>
      </c>
      <c r="CW247" s="24" t="str">
        <f t="shared" ref="CW247:CW258" si="20">"1"</f>
        <v>1</v>
      </c>
      <c r="CX247" t="str">
        <f ca="1">IF((OFFSET($A$1, 247 - 1, 100 - 1)) &gt;= (OFFSET($A$1, 78 - 1, 7 - 1)), "1","0")</f>
        <v>1</v>
      </c>
      <c r="CY247">
        <f ca="1" xml:space="preserve"> IF( AND( OFFSET($A$1, 247 - 1, 101 - 1) = "1", OFFSET($A$1, 247 - 1, 102 - 1) = "1" ), 1, IF( AND( OFFSET($A$1, 247 - 1, 101 - 1) = "1", OFFSET($A$1, 247 - 1, 102 - 1) = "0" ), 2, IF( AND( OFFSET($A$1, 247 - 1, 101 - 1) = "0", OFFSET($A$1, 247 - 1, 102 - 1) = "1" ), 3, 4 ) ) )</f>
        <v>1</v>
      </c>
    </row>
    <row r="248" spans="95:103" ht="13.8" x14ac:dyDescent="0.3">
      <c r="CQ248" s="24">
        <v>0.13179697185592054</v>
      </c>
      <c r="CR248" s="24" t="str">
        <f>"0"</f>
        <v>0</v>
      </c>
      <c r="CS248" t="str">
        <f ca="1">IF((OFFSET($A$1, 248 - 1, 95 - 1)) &gt;= (OFFSET($A$1, 54 - 1, 7 - 1)), "1","0")</f>
        <v>0</v>
      </c>
      <c r="CT248">
        <f ca="1" xml:space="preserve"> IF( AND( OFFSET($A$1, 248 - 1, 96 - 1) = "1", OFFSET($A$1, 248 - 1, 97 - 1) = "1" ), 1, IF( AND( OFFSET($A$1, 248 - 1, 96 - 1) = "1", OFFSET($A$1, 248 - 1, 97 - 1) = "0" ), 2, IF( AND( OFFSET($A$1, 248 - 1, 96 - 1) = "0", OFFSET($A$1, 248 - 1, 97 - 1) = "1" ), 3, 4 ) ) )</f>
        <v>4</v>
      </c>
      <c r="CV248" s="24">
        <v>0.99999477318290131</v>
      </c>
      <c r="CW248" s="24" t="str">
        <f t="shared" si="20"/>
        <v>1</v>
      </c>
      <c r="CX248" t="str">
        <f ca="1">IF((OFFSET($A$1, 248 - 1, 100 - 1)) &gt;= (OFFSET($A$1, 78 - 1, 7 - 1)), "1","0")</f>
        <v>1</v>
      </c>
      <c r="CY248">
        <f ca="1" xml:space="preserve"> IF( AND( OFFSET($A$1, 248 - 1, 101 - 1) = "1", OFFSET($A$1, 248 - 1, 102 - 1) = "1" ), 1, IF( AND( OFFSET($A$1, 248 - 1, 101 - 1) = "1", OFFSET($A$1, 248 - 1, 102 - 1) = "0" ), 2, IF( AND( OFFSET($A$1, 248 - 1, 101 - 1) = "0", OFFSET($A$1, 248 - 1, 102 - 1) = "1" ), 3, 4 ) ) )</f>
        <v>1</v>
      </c>
    </row>
    <row r="249" spans="95:103" ht="13.8" x14ac:dyDescent="0.3">
      <c r="CQ249" s="24">
        <v>0.87194300429128346</v>
      </c>
      <c r="CR249" s="24" t="str">
        <f t="shared" ref="CR249:CR258" si="21">"1"</f>
        <v>1</v>
      </c>
      <c r="CS249" t="str">
        <f ca="1">IF((OFFSET($A$1, 249 - 1, 95 - 1)) &gt;= (OFFSET($A$1, 54 - 1, 7 - 1)), "1","0")</f>
        <v>1</v>
      </c>
      <c r="CT249">
        <f ca="1" xml:space="preserve"> IF( AND( OFFSET($A$1, 249 - 1, 96 - 1) = "1", OFFSET($A$1, 249 - 1, 97 - 1) = "1" ), 1, IF( AND( OFFSET($A$1, 249 - 1, 96 - 1) = "1", OFFSET($A$1, 249 - 1, 97 - 1) = "0" ), 2, IF( AND( OFFSET($A$1, 249 - 1, 96 - 1) = "0", OFFSET($A$1, 249 - 1, 97 - 1) = "1" ), 3, 4 ) ) )</f>
        <v>1</v>
      </c>
      <c r="CV249" s="24">
        <v>0.77553472639880339</v>
      </c>
      <c r="CW249" s="24" t="str">
        <f t="shared" si="20"/>
        <v>1</v>
      </c>
      <c r="CX249" t="str">
        <f ca="1">IF((OFFSET($A$1, 249 - 1, 100 - 1)) &gt;= (OFFSET($A$1, 78 - 1, 7 - 1)), "1","0")</f>
        <v>1</v>
      </c>
      <c r="CY249">
        <f ca="1" xml:space="preserve"> IF( AND( OFFSET($A$1, 249 - 1, 101 - 1) = "1", OFFSET($A$1, 249 - 1, 102 - 1) = "1" ), 1, IF( AND( OFFSET($A$1, 249 - 1, 101 - 1) = "1", OFFSET($A$1, 249 - 1, 102 - 1) = "0" ), 2, IF( AND( OFFSET($A$1, 249 - 1, 101 - 1) = "0", OFFSET($A$1, 249 - 1, 102 - 1) = "1" ), 3, 4 ) ) )</f>
        <v>1</v>
      </c>
    </row>
    <row r="250" spans="95:103" ht="13.8" x14ac:dyDescent="0.3">
      <c r="CQ250" s="24">
        <v>0.92057749614423168</v>
      </c>
      <c r="CR250" s="24" t="str">
        <f t="shared" si="21"/>
        <v>1</v>
      </c>
      <c r="CS250" t="str">
        <f ca="1">IF((OFFSET($A$1, 250 - 1, 95 - 1)) &gt;= (OFFSET($A$1, 54 - 1, 7 - 1)), "1","0")</f>
        <v>1</v>
      </c>
      <c r="CT250">
        <f ca="1" xml:space="preserve"> IF( AND( OFFSET($A$1, 250 - 1, 96 - 1) = "1", OFFSET($A$1, 250 - 1, 97 - 1) = "1" ), 1, IF( AND( OFFSET($A$1, 250 - 1, 96 - 1) = "1", OFFSET($A$1, 250 - 1, 97 - 1) = "0" ), 2, IF( AND( OFFSET($A$1, 250 - 1, 96 - 1) = "0", OFFSET($A$1, 250 - 1, 97 - 1) = "1" ), 3, 4 ) ) )</f>
        <v>1</v>
      </c>
      <c r="CV250" s="24">
        <v>0.99998468400689966</v>
      </c>
      <c r="CW250" s="24" t="str">
        <f t="shared" si="20"/>
        <v>1</v>
      </c>
      <c r="CX250" t="str">
        <f ca="1">IF((OFFSET($A$1, 250 - 1, 100 - 1)) &gt;= (OFFSET($A$1, 78 - 1, 7 - 1)), "1","0")</f>
        <v>1</v>
      </c>
      <c r="CY250">
        <f ca="1" xml:space="preserve"> IF( AND( OFFSET($A$1, 250 - 1, 101 - 1) = "1", OFFSET($A$1, 250 - 1, 102 - 1) = "1" ), 1, IF( AND( OFFSET($A$1, 250 - 1, 101 - 1) = "1", OFFSET($A$1, 250 - 1, 102 - 1) = "0" ), 2, IF( AND( OFFSET($A$1, 250 - 1, 101 - 1) = "0", OFFSET($A$1, 250 - 1, 102 - 1) = "1" ), 3, 4 ) ) )</f>
        <v>1</v>
      </c>
    </row>
    <row r="251" spans="95:103" ht="13.8" x14ac:dyDescent="0.3">
      <c r="CQ251" s="24">
        <v>0.98710292026281976</v>
      </c>
      <c r="CR251" s="24" t="str">
        <f t="shared" si="21"/>
        <v>1</v>
      </c>
      <c r="CS251" t="str">
        <f ca="1">IF((OFFSET($A$1, 251 - 1, 95 - 1)) &gt;= (OFFSET($A$1, 54 - 1, 7 - 1)), "1","0")</f>
        <v>1</v>
      </c>
      <c r="CT251">
        <f ca="1" xml:space="preserve"> IF( AND( OFFSET($A$1, 251 - 1, 96 - 1) = "1", OFFSET($A$1, 251 - 1, 97 - 1) = "1" ), 1, IF( AND( OFFSET($A$1, 251 - 1, 96 - 1) = "1", OFFSET($A$1, 251 - 1, 97 - 1) = "0" ), 2, IF( AND( OFFSET($A$1, 251 - 1, 96 - 1) = "0", OFFSET($A$1, 251 - 1, 97 - 1) = "1" ), 3, 4 ) ) )</f>
        <v>1</v>
      </c>
      <c r="CV251" s="24">
        <v>0.93320147508664586</v>
      </c>
      <c r="CW251" s="24" t="str">
        <f t="shared" si="20"/>
        <v>1</v>
      </c>
      <c r="CX251" t="str">
        <f ca="1">IF((OFFSET($A$1, 251 - 1, 100 - 1)) &gt;= (OFFSET($A$1, 78 - 1, 7 - 1)), "1","0")</f>
        <v>1</v>
      </c>
      <c r="CY251">
        <f ca="1" xml:space="preserve"> IF( AND( OFFSET($A$1, 251 - 1, 101 - 1) = "1", OFFSET($A$1, 251 - 1, 102 - 1) = "1" ), 1, IF( AND( OFFSET($A$1, 251 - 1, 101 - 1) = "1", OFFSET($A$1, 251 - 1, 102 - 1) = "0" ), 2, IF( AND( OFFSET($A$1, 251 - 1, 101 - 1) = "0", OFFSET($A$1, 251 - 1, 102 - 1) = "1" ), 3, 4 ) ) )</f>
        <v>1</v>
      </c>
    </row>
    <row r="252" spans="95:103" ht="13.8" x14ac:dyDescent="0.3">
      <c r="CQ252" s="24">
        <v>0.98037986072263039</v>
      </c>
      <c r="CR252" s="24" t="str">
        <f t="shared" si="21"/>
        <v>1</v>
      </c>
      <c r="CS252" t="str">
        <f ca="1">IF((OFFSET($A$1, 252 - 1, 95 - 1)) &gt;= (OFFSET($A$1, 54 - 1, 7 - 1)), "1","0")</f>
        <v>1</v>
      </c>
      <c r="CT252">
        <f ca="1" xml:space="preserve"> IF( AND( OFFSET($A$1, 252 - 1, 96 - 1) = "1", OFFSET($A$1, 252 - 1, 97 - 1) = "1" ), 1, IF( AND( OFFSET($A$1, 252 - 1, 96 - 1) = "1", OFFSET($A$1, 252 - 1, 97 - 1) = "0" ), 2, IF( AND( OFFSET($A$1, 252 - 1, 96 - 1) = "0", OFFSET($A$1, 252 - 1, 97 - 1) = "1" ), 3, 4 ) ) )</f>
        <v>1</v>
      </c>
      <c r="CV252" s="24">
        <v>0.39656704664967285</v>
      </c>
      <c r="CW252" s="24" t="str">
        <f t="shared" si="20"/>
        <v>1</v>
      </c>
      <c r="CX252" t="str">
        <f ca="1">IF((OFFSET($A$1, 252 - 1, 100 - 1)) &gt;= (OFFSET($A$1, 78 - 1, 7 - 1)), "1","0")</f>
        <v>0</v>
      </c>
      <c r="CY252">
        <f ca="1" xml:space="preserve"> IF( AND( OFFSET($A$1, 252 - 1, 101 - 1) = "1", OFFSET($A$1, 252 - 1, 102 - 1) = "1" ), 1, IF( AND( OFFSET($A$1, 252 - 1, 101 - 1) = "1", OFFSET($A$1, 252 - 1, 102 - 1) = "0" ), 2, IF( AND( OFFSET($A$1, 252 - 1, 101 - 1) = "0", OFFSET($A$1, 252 - 1, 102 - 1) = "1" ), 3, 4 ) ) )</f>
        <v>2</v>
      </c>
    </row>
    <row r="253" spans="95:103" ht="13.8" x14ac:dyDescent="0.3">
      <c r="CQ253" s="24">
        <v>1.2719730618086551E-2</v>
      </c>
      <c r="CR253" s="24" t="str">
        <f t="shared" si="21"/>
        <v>1</v>
      </c>
      <c r="CS253" t="str">
        <f ca="1">IF((OFFSET($A$1, 253 - 1, 95 - 1)) &gt;= (OFFSET($A$1, 54 - 1, 7 - 1)), "1","0")</f>
        <v>0</v>
      </c>
      <c r="CT253">
        <f ca="1" xml:space="preserve"> IF( AND( OFFSET($A$1, 253 - 1, 96 - 1) = "1", OFFSET($A$1, 253 - 1, 97 - 1) = "1" ), 1, IF( AND( OFFSET($A$1, 253 - 1, 96 - 1) = "1", OFFSET($A$1, 253 - 1, 97 - 1) = "0" ), 2, IF( AND( OFFSET($A$1, 253 - 1, 96 - 1) = "0", OFFSET($A$1, 253 - 1, 97 - 1) = "1" ), 3, 4 ) ) )</f>
        <v>2</v>
      </c>
      <c r="CV253" s="24">
        <v>0.95785612116081897</v>
      </c>
      <c r="CW253" s="24" t="str">
        <f t="shared" si="20"/>
        <v>1</v>
      </c>
      <c r="CX253" t="str">
        <f ca="1">IF((OFFSET($A$1, 253 - 1, 100 - 1)) &gt;= (OFFSET($A$1, 78 - 1, 7 - 1)), "1","0")</f>
        <v>1</v>
      </c>
      <c r="CY253">
        <f ca="1" xml:space="preserve"> IF( AND( OFFSET($A$1, 253 - 1, 101 - 1) = "1", OFFSET($A$1, 253 - 1, 102 - 1) = "1" ), 1, IF( AND( OFFSET($A$1, 253 - 1, 101 - 1) = "1", OFFSET($A$1, 253 - 1, 102 - 1) = "0" ), 2, IF( AND( OFFSET($A$1, 253 - 1, 101 - 1) = "0", OFFSET($A$1, 253 - 1, 102 - 1) = "1" ), 3, 4 ) ) )</f>
        <v>1</v>
      </c>
    </row>
    <row r="254" spans="95:103" ht="13.8" x14ac:dyDescent="0.3">
      <c r="CQ254" s="24">
        <v>0.99492410065497516</v>
      </c>
      <c r="CR254" s="24" t="str">
        <f t="shared" si="21"/>
        <v>1</v>
      </c>
      <c r="CS254" t="str">
        <f ca="1">IF((OFFSET($A$1, 254 - 1, 95 - 1)) &gt;= (OFFSET($A$1, 54 - 1, 7 - 1)), "1","0")</f>
        <v>1</v>
      </c>
      <c r="CT254">
        <f ca="1" xml:space="preserve"> IF( AND( OFFSET($A$1, 254 - 1, 96 - 1) = "1", OFFSET($A$1, 254 - 1, 97 - 1) = "1" ), 1, IF( AND( OFFSET($A$1, 254 - 1, 96 - 1) = "1", OFFSET($A$1, 254 - 1, 97 - 1) = "0" ), 2, IF( AND( OFFSET($A$1, 254 - 1, 96 - 1) = "0", OFFSET($A$1, 254 - 1, 97 - 1) = "1" ), 3, 4 ) ) )</f>
        <v>1</v>
      </c>
      <c r="CV254" s="24">
        <v>0.99789476467958405</v>
      </c>
      <c r="CW254" s="24" t="str">
        <f t="shared" si="20"/>
        <v>1</v>
      </c>
      <c r="CX254" t="str">
        <f ca="1">IF((OFFSET($A$1, 254 - 1, 100 - 1)) &gt;= (OFFSET($A$1, 78 - 1, 7 - 1)), "1","0")</f>
        <v>1</v>
      </c>
      <c r="CY254">
        <f ca="1" xml:space="preserve"> IF( AND( OFFSET($A$1, 254 - 1, 101 - 1) = "1", OFFSET($A$1, 254 - 1, 102 - 1) = "1" ), 1, IF( AND( OFFSET($A$1, 254 - 1, 101 - 1) = "1", OFFSET($A$1, 254 - 1, 102 - 1) = "0" ), 2, IF( AND( OFFSET($A$1, 254 - 1, 101 - 1) = "0", OFFSET($A$1, 254 - 1, 102 - 1) = "1" ), 3, 4 ) ) )</f>
        <v>1</v>
      </c>
    </row>
    <row r="255" spans="95:103" ht="13.8" x14ac:dyDescent="0.3">
      <c r="CQ255" s="24">
        <v>0.95871178089511588</v>
      </c>
      <c r="CR255" s="24" t="str">
        <f t="shared" si="21"/>
        <v>1</v>
      </c>
      <c r="CS255" t="str">
        <f ca="1">IF((OFFSET($A$1, 255 - 1, 95 - 1)) &gt;= (OFFSET($A$1, 54 - 1, 7 - 1)), "1","0")</f>
        <v>1</v>
      </c>
      <c r="CT255">
        <f ca="1" xml:space="preserve"> IF( AND( OFFSET($A$1, 255 - 1, 96 - 1) = "1", OFFSET($A$1, 255 - 1, 97 - 1) = "1" ), 1, IF( AND( OFFSET($A$1, 255 - 1, 96 - 1) = "1", OFFSET($A$1, 255 - 1, 97 - 1) = "0" ), 2, IF( AND( OFFSET($A$1, 255 - 1, 96 - 1) = "0", OFFSET($A$1, 255 - 1, 97 - 1) = "1" ), 3, 4 ) ) )</f>
        <v>1</v>
      </c>
      <c r="CV255" s="24">
        <v>0.99990482841865647</v>
      </c>
      <c r="CW255" s="24" t="str">
        <f t="shared" si="20"/>
        <v>1</v>
      </c>
      <c r="CX255" t="str">
        <f ca="1">IF((OFFSET($A$1, 255 - 1, 100 - 1)) &gt;= (OFFSET($A$1, 78 - 1, 7 - 1)), "1","0")</f>
        <v>1</v>
      </c>
      <c r="CY255">
        <f ca="1" xml:space="preserve"> IF( AND( OFFSET($A$1, 255 - 1, 101 - 1) = "1", OFFSET($A$1, 255 - 1, 102 - 1) = "1" ), 1, IF( AND( OFFSET($A$1, 255 - 1, 101 - 1) = "1", OFFSET($A$1, 255 - 1, 102 - 1) = "0" ), 2, IF( AND( OFFSET($A$1, 255 - 1, 101 - 1) = "0", OFFSET($A$1, 255 - 1, 102 - 1) = "1" ), 3, 4 ) ) )</f>
        <v>1</v>
      </c>
    </row>
    <row r="256" spans="95:103" ht="13.8" x14ac:dyDescent="0.3">
      <c r="CQ256" s="24">
        <v>0.99780385662867843</v>
      </c>
      <c r="CR256" s="24" t="str">
        <f t="shared" si="21"/>
        <v>1</v>
      </c>
      <c r="CS256" t="str">
        <f ca="1">IF((OFFSET($A$1, 256 - 1, 95 - 1)) &gt;= (OFFSET($A$1, 54 - 1, 7 - 1)), "1","0")</f>
        <v>1</v>
      </c>
      <c r="CT256">
        <f ca="1" xml:space="preserve"> IF( AND( OFFSET($A$1, 256 - 1, 96 - 1) = "1", OFFSET($A$1, 256 - 1, 97 - 1) = "1" ), 1, IF( AND( OFFSET($A$1, 256 - 1, 96 - 1) = "1", OFFSET($A$1, 256 - 1, 97 - 1) = "0" ), 2, IF( AND( OFFSET($A$1, 256 - 1, 96 - 1) = "0", OFFSET($A$1, 256 - 1, 97 - 1) = "1" ), 3, 4 ) ) )</f>
        <v>1</v>
      </c>
      <c r="CV256" s="24">
        <v>0.99999955429246701</v>
      </c>
      <c r="CW256" s="24" t="str">
        <f t="shared" si="20"/>
        <v>1</v>
      </c>
      <c r="CX256" t="str">
        <f ca="1">IF((OFFSET($A$1, 256 - 1, 100 - 1)) &gt;= (OFFSET($A$1, 78 - 1, 7 - 1)), "1","0")</f>
        <v>1</v>
      </c>
      <c r="CY256">
        <f ca="1" xml:space="preserve"> IF( AND( OFFSET($A$1, 256 - 1, 101 - 1) = "1", OFFSET($A$1, 256 - 1, 102 - 1) = "1" ), 1, IF( AND( OFFSET($A$1, 256 - 1, 101 - 1) = "1", OFFSET($A$1, 256 - 1, 102 - 1) = "0" ), 2, IF( AND( OFFSET($A$1, 256 - 1, 101 - 1) = "0", OFFSET($A$1, 256 - 1, 102 - 1) = "1" ), 3, 4 ) ) )</f>
        <v>1</v>
      </c>
    </row>
    <row r="257" spans="95:103" ht="13.8" x14ac:dyDescent="0.3">
      <c r="CQ257" s="24">
        <v>0.98655330882720249</v>
      </c>
      <c r="CR257" s="24" t="str">
        <f t="shared" si="21"/>
        <v>1</v>
      </c>
      <c r="CS257" t="str">
        <f ca="1">IF((OFFSET($A$1, 257 - 1, 95 - 1)) &gt;= (OFFSET($A$1, 54 - 1, 7 - 1)), "1","0")</f>
        <v>1</v>
      </c>
      <c r="CT257">
        <f ca="1" xml:space="preserve"> IF( AND( OFFSET($A$1, 257 - 1, 96 - 1) = "1", OFFSET($A$1, 257 - 1, 97 - 1) = "1" ), 1, IF( AND( OFFSET($A$1, 257 - 1, 96 - 1) = "1", OFFSET($A$1, 257 - 1, 97 - 1) = "0" ), 2, IF( AND( OFFSET($A$1, 257 - 1, 96 - 1) = "0", OFFSET($A$1, 257 - 1, 97 - 1) = "1" ), 3, 4 ) ) )</f>
        <v>1</v>
      </c>
      <c r="CV257" s="24">
        <v>0.99994914636142851</v>
      </c>
      <c r="CW257" s="24" t="str">
        <f t="shared" si="20"/>
        <v>1</v>
      </c>
      <c r="CX257" t="str">
        <f ca="1">IF((OFFSET($A$1, 257 - 1, 100 - 1)) &gt;= (OFFSET($A$1, 78 - 1, 7 - 1)), "1","0")</f>
        <v>1</v>
      </c>
      <c r="CY257">
        <f ca="1" xml:space="preserve"> IF( AND( OFFSET($A$1, 257 - 1, 101 - 1) = "1", OFFSET($A$1, 257 - 1, 102 - 1) = "1" ), 1, IF( AND( OFFSET($A$1, 257 - 1, 101 - 1) = "1", OFFSET($A$1, 257 - 1, 102 - 1) = "0" ), 2, IF( AND( OFFSET($A$1, 257 - 1, 101 - 1) = "0", OFFSET($A$1, 257 - 1, 102 - 1) = "1" ), 3, 4 ) ) )</f>
        <v>1</v>
      </c>
    </row>
    <row r="258" spans="95:103" ht="13.8" x14ac:dyDescent="0.3">
      <c r="CQ258" s="24">
        <v>0.99981812804848014</v>
      </c>
      <c r="CR258" s="24" t="str">
        <f t="shared" si="21"/>
        <v>1</v>
      </c>
      <c r="CS258" t="str">
        <f ca="1">IF((OFFSET($A$1, 258 - 1, 95 - 1)) &gt;= (OFFSET($A$1, 54 - 1, 7 - 1)), "1","0")</f>
        <v>1</v>
      </c>
      <c r="CT258">
        <f ca="1" xml:space="preserve"> IF( AND( OFFSET($A$1, 258 - 1, 96 - 1) = "1", OFFSET($A$1, 258 - 1, 97 - 1) = "1" ), 1, IF( AND( OFFSET($A$1, 258 - 1, 96 - 1) = "1", OFFSET($A$1, 258 - 1, 97 - 1) = "0" ), 2, IF( AND( OFFSET($A$1, 258 - 1, 96 - 1) = "0", OFFSET($A$1, 258 - 1, 97 - 1) = "1" ), 3, 4 ) ) )</f>
        <v>1</v>
      </c>
      <c r="CV258" s="24">
        <v>0.99998807035345261</v>
      </c>
      <c r="CW258" s="24" t="str">
        <f t="shared" si="20"/>
        <v>1</v>
      </c>
      <c r="CX258" t="str">
        <f ca="1">IF((OFFSET($A$1, 258 - 1, 100 - 1)) &gt;= (OFFSET($A$1, 78 - 1, 7 - 1)), "1","0")</f>
        <v>1</v>
      </c>
      <c r="CY258">
        <f ca="1" xml:space="preserve"> IF( AND( OFFSET($A$1, 258 - 1, 101 - 1) = "1", OFFSET($A$1, 258 - 1, 102 - 1) = "1" ), 1, IF( AND( OFFSET($A$1, 258 - 1, 101 - 1) = "1", OFFSET($A$1, 258 - 1, 102 - 1) = "0" ), 2, IF( AND( OFFSET($A$1, 258 - 1, 101 - 1) = "0", OFFSET($A$1, 258 - 1, 102 - 1) = "1" ), 3, 4 ) ) )</f>
        <v>1</v>
      </c>
    </row>
    <row r="259" spans="95:103" ht="13.8" x14ac:dyDescent="0.3">
      <c r="CQ259" s="24">
        <v>0.26982440551770298</v>
      </c>
      <c r="CR259" s="24" t="str">
        <f>"0"</f>
        <v>0</v>
      </c>
      <c r="CS259" t="str">
        <f ca="1">IF((OFFSET($A$1, 259 - 1, 95 - 1)) &gt;= (OFFSET($A$1, 54 - 1, 7 - 1)), "1","0")</f>
        <v>0</v>
      </c>
      <c r="CT259">
        <f ca="1" xml:space="preserve"> IF( AND( OFFSET($A$1, 259 - 1, 96 - 1) = "1", OFFSET($A$1, 259 - 1, 97 - 1) = "1" ), 1, IF( AND( OFFSET($A$1, 259 - 1, 96 - 1) = "1", OFFSET($A$1, 259 - 1, 97 - 1) = "0" ), 2, IF( AND( OFFSET($A$1, 259 - 1, 96 - 1) = "0", OFFSET($A$1, 259 - 1, 97 - 1) = "1" ), 3, 4 ) ) )</f>
        <v>4</v>
      </c>
      <c r="CV259" s="24">
        <v>0.82221374552617132</v>
      </c>
      <c r="CW259" s="24" t="str">
        <f>"0"</f>
        <v>0</v>
      </c>
      <c r="CX259" t="str">
        <f ca="1">IF((OFFSET($A$1, 259 - 1, 100 - 1)) &gt;= (OFFSET($A$1, 78 - 1, 7 - 1)), "1","0")</f>
        <v>1</v>
      </c>
      <c r="CY259">
        <f ca="1" xml:space="preserve"> IF( AND( OFFSET($A$1, 259 - 1, 101 - 1) = "1", OFFSET($A$1, 259 - 1, 102 - 1) = "1" ), 1, IF( AND( OFFSET($A$1, 259 - 1, 101 - 1) = "1", OFFSET($A$1, 259 - 1, 102 - 1) = "0" ), 2, IF( AND( OFFSET($A$1, 259 - 1, 101 - 1) = "0", OFFSET($A$1, 259 - 1, 102 - 1) = "1" ), 3, 4 ) ) )</f>
        <v>3</v>
      </c>
    </row>
    <row r="260" spans="95:103" ht="13.8" x14ac:dyDescent="0.3">
      <c r="CQ260" s="24">
        <v>0.99961966937056057</v>
      </c>
      <c r="CR260" s="24" t="str">
        <f>"1"</f>
        <v>1</v>
      </c>
      <c r="CS260" t="str">
        <f ca="1">IF((OFFSET($A$1, 260 - 1, 95 - 1)) &gt;= (OFFSET($A$1, 54 - 1, 7 - 1)), "1","0")</f>
        <v>1</v>
      </c>
      <c r="CT260">
        <f ca="1" xml:space="preserve"> IF( AND( OFFSET($A$1, 260 - 1, 96 - 1) = "1", OFFSET($A$1, 260 - 1, 97 - 1) = "1" ), 1, IF( AND( OFFSET($A$1, 260 - 1, 96 - 1) = "1", OFFSET($A$1, 260 - 1, 97 - 1) = "0" ), 2, IF( AND( OFFSET($A$1, 260 - 1, 96 - 1) = "0", OFFSET($A$1, 260 - 1, 97 - 1) = "1" ), 3, 4 ) ) )</f>
        <v>1</v>
      </c>
      <c r="CV260" s="24">
        <v>0.99650135714521038</v>
      </c>
      <c r="CW260" s="24" t="str">
        <f>"1"</f>
        <v>1</v>
      </c>
      <c r="CX260" t="str">
        <f ca="1">IF((OFFSET($A$1, 260 - 1, 100 - 1)) &gt;= (OFFSET($A$1, 78 - 1, 7 - 1)), "1","0")</f>
        <v>1</v>
      </c>
      <c r="CY260">
        <f ca="1" xml:space="preserve"> IF( AND( OFFSET($A$1, 260 - 1, 101 - 1) = "1", OFFSET($A$1, 260 - 1, 102 - 1) = "1" ), 1, IF( AND( OFFSET($A$1, 260 - 1, 101 - 1) = "1", OFFSET($A$1, 260 - 1, 102 - 1) = "0" ), 2, IF( AND( OFFSET($A$1, 260 - 1, 101 - 1) = "0", OFFSET($A$1, 260 - 1, 102 - 1) = "1" ), 3, 4 ) ) )</f>
        <v>1</v>
      </c>
    </row>
    <row r="261" spans="95:103" ht="13.8" x14ac:dyDescent="0.3">
      <c r="CQ261" s="24">
        <v>8.35591747344064E-3</v>
      </c>
      <c r="CR261" s="24" t="str">
        <f>"0"</f>
        <v>0</v>
      </c>
      <c r="CS261" t="str">
        <f ca="1">IF((OFFSET($A$1, 261 - 1, 95 - 1)) &gt;= (OFFSET($A$1, 54 - 1, 7 - 1)), "1","0")</f>
        <v>0</v>
      </c>
      <c r="CT261">
        <f ca="1" xml:space="preserve"> IF( AND( OFFSET($A$1, 261 - 1, 96 - 1) = "1", OFFSET($A$1, 261 - 1, 97 - 1) = "1" ), 1, IF( AND( OFFSET($A$1, 261 - 1, 96 - 1) = "1", OFFSET($A$1, 261 - 1, 97 - 1) = "0" ), 2, IF( AND( OFFSET($A$1, 261 - 1, 96 - 1) = "0", OFFSET($A$1, 261 - 1, 97 - 1) = "1" ), 3, 4 ) ) )</f>
        <v>4</v>
      </c>
      <c r="CV261" s="24">
        <v>0.99383528656717013</v>
      </c>
      <c r="CW261" s="24" t="str">
        <f>"0"</f>
        <v>0</v>
      </c>
      <c r="CX261" t="str">
        <f ca="1">IF((OFFSET($A$1, 261 - 1, 100 - 1)) &gt;= (OFFSET($A$1, 78 - 1, 7 - 1)), "1","0")</f>
        <v>1</v>
      </c>
      <c r="CY261">
        <f ca="1" xml:space="preserve"> IF( AND( OFFSET($A$1, 261 - 1, 101 - 1) = "1", OFFSET($A$1, 261 - 1, 102 - 1) = "1" ), 1, IF( AND( OFFSET($A$1, 261 - 1, 101 - 1) = "1", OFFSET($A$1, 261 - 1, 102 - 1) = "0" ), 2, IF( AND( OFFSET($A$1, 261 - 1, 101 - 1) = "0", OFFSET($A$1, 261 - 1, 102 - 1) = "1" ), 3, 4 ) ) )</f>
        <v>3</v>
      </c>
    </row>
    <row r="262" spans="95:103" ht="13.8" x14ac:dyDescent="0.3">
      <c r="CQ262" s="24">
        <v>0.91307215316304924</v>
      </c>
      <c r="CR262" s="24" t="str">
        <f>"1"</f>
        <v>1</v>
      </c>
      <c r="CS262" t="str">
        <f ca="1">IF((OFFSET($A$1, 262 - 1, 95 - 1)) &gt;= (OFFSET($A$1, 54 - 1, 7 - 1)), "1","0")</f>
        <v>1</v>
      </c>
      <c r="CT262">
        <f ca="1" xml:space="preserve"> IF( AND( OFFSET($A$1, 262 - 1, 96 - 1) = "1", OFFSET($A$1, 262 - 1, 97 - 1) = "1" ), 1, IF( AND( OFFSET($A$1, 262 - 1, 96 - 1) = "1", OFFSET($A$1, 262 - 1, 97 - 1) = "0" ), 2, IF( AND( OFFSET($A$1, 262 - 1, 96 - 1) = "0", OFFSET($A$1, 262 - 1, 97 - 1) = "1" ), 3, 4 ) ) )</f>
        <v>1</v>
      </c>
      <c r="CV262" s="24">
        <v>0.65533534063455989</v>
      </c>
      <c r="CW262" s="24" t="str">
        <f>"0"</f>
        <v>0</v>
      </c>
      <c r="CX262" t="str">
        <f ca="1">IF((OFFSET($A$1, 262 - 1, 100 - 1)) &gt;= (OFFSET($A$1, 78 - 1, 7 - 1)), "1","0")</f>
        <v>1</v>
      </c>
      <c r="CY262">
        <f ca="1" xml:space="preserve"> IF( AND( OFFSET($A$1, 262 - 1, 101 - 1) = "1", OFFSET($A$1, 262 - 1, 102 - 1) = "1" ), 1, IF( AND( OFFSET($A$1, 262 - 1, 101 - 1) = "1", OFFSET($A$1, 262 - 1, 102 - 1) = "0" ), 2, IF( AND( OFFSET($A$1, 262 - 1, 101 - 1) = "0", OFFSET($A$1, 262 - 1, 102 - 1) = "1" ), 3, 4 ) ) )</f>
        <v>3</v>
      </c>
    </row>
    <row r="263" spans="95:103" ht="13.8" x14ac:dyDescent="0.3">
      <c r="CQ263" s="24">
        <v>7.3986081605587464E-2</v>
      </c>
      <c r="CR263" s="24" t="str">
        <f>"0"</f>
        <v>0</v>
      </c>
      <c r="CS263" t="str">
        <f ca="1">IF((OFFSET($A$1, 263 - 1, 95 - 1)) &gt;= (OFFSET($A$1, 54 - 1, 7 - 1)), "1","0")</f>
        <v>0</v>
      </c>
      <c r="CT263">
        <f ca="1" xml:space="preserve"> IF( AND( OFFSET($A$1, 263 - 1, 96 - 1) = "1", OFFSET($A$1, 263 - 1, 97 - 1) = "1" ), 1, IF( AND( OFFSET($A$1, 263 - 1, 96 - 1) = "1", OFFSET($A$1, 263 - 1, 97 - 1) = "0" ), 2, IF( AND( OFFSET($A$1, 263 - 1, 96 - 1) = "0", OFFSET($A$1, 263 - 1, 97 - 1) = "1" ), 3, 4 ) ) )</f>
        <v>4</v>
      </c>
      <c r="CV263" s="24">
        <v>0.92760006508827697</v>
      </c>
      <c r="CW263" s="24" t="str">
        <f>"0"</f>
        <v>0</v>
      </c>
      <c r="CX263" t="str">
        <f ca="1">IF((OFFSET($A$1, 263 - 1, 100 - 1)) &gt;= (OFFSET($A$1, 78 - 1, 7 - 1)), "1","0")</f>
        <v>1</v>
      </c>
      <c r="CY263">
        <f ca="1" xml:space="preserve"> IF( AND( OFFSET($A$1, 263 - 1, 101 - 1) = "1", OFFSET($A$1, 263 - 1, 102 - 1) = "1" ), 1, IF( AND( OFFSET($A$1, 263 - 1, 101 - 1) = "1", OFFSET($A$1, 263 - 1, 102 - 1) = "0" ), 2, IF( AND( OFFSET($A$1, 263 - 1, 101 - 1) = "0", OFFSET($A$1, 263 - 1, 102 - 1) = "1" ), 3, 4 ) ) )</f>
        <v>3</v>
      </c>
    </row>
    <row r="264" spans="95:103" ht="13.8" x14ac:dyDescent="0.3">
      <c r="CQ264" s="24">
        <v>0.99992829857040888</v>
      </c>
      <c r="CR264" s="24" t="str">
        <f>"0"</f>
        <v>0</v>
      </c>
      <c r="CS264" t="str">
        <f ca="1">IF((OFFSET($A$1, 264 - 1, 95 - 1)) &gt;= (OFFSET($A$1, 54 - 1, 7 - 1)), "1","0")</f>
        <v>1</v>
      </c>
      <c r="CT264">
        <f ca="1" xml:space="preserve"> IF( AND( OFFSET($A$1, 264 - 1, 96 - 1) = "1", OFFSET($A$1, 264 - 1, 97 - 1) = "1" ), 1, IF( AND( OFFSET($A$1, 264 - 1, 96 - 1) = "1", OFFSET($A$1, 264 - 1, 97 - 1) = "0" ), 2, IF( AND( OFFSET($A$1, 264 - 1, 96 - 1) = "0", OFFSET($A$1, 264 - 1, 97 - 1) = "1" ), 3, 4 ) ) )</f>
        <v>3</v>
      </c>
      <c r="CV264" s="24">
        <v>0.43439956162738919</v>
      </c>
      <c r="CW264" s="24" t="str">
        <f>"1"</f>
        <v>1</v>
      </c>
      <c r="CX264" t="str">
        <f ca="1">IF((OFFSET($A$1, 264 - 1, 100 - 1)) &gt;= (OFFSET($A$1, 78 - 1, 7 - 1)), "1","0")</f>
        <v>0</v>
      </c>
      <c r="CY264">
        <f ca="1" xml:space="preserve"> IF( AND( OFFSET($A$1, 264 - 1, 101 - 1) = "1", OFFSET($A$1, 264 - 1, 102 - 1) = "1" ), 1, IF( AND( OFFSET($A$1, 264 - 1, 101 - 1) = "1", OFFSET($A$1, 264 - 1, 102 - 1) = "0" ), 2, IF( AND( OFFSET($A$1, 264 - 1, 101 - 1) = "0", OFFSET($A$1, 264 - 1, 102 - 1) = "1" ), 3, 4 ) ) )</f>
        <v>2</v>
      </c>
    </row>
    <row r="265" spans="95:103" ht="13.8" x14ac:dyDescent="0.3">
      <c r="CQ265" s="24">
        <v>0.9945186180002189</v>
      </c>
      <c r="CR265" s="24" t="str">
        <f>"1"</f>
        <v>1</v>
      </c>
      <c r="CS265" t="str">
        <f ca="1">IF((OFFSET($A$1, 265 - 1, 95 - 1)) &gt;= (OFFSET($A$1, 54 - 1, 7 - 1)), "1","0")</f>
        <v>1</v>
      </c>
      <c r="CT265">
        <f ca="1" xml:space="preserve"> IF( AND( OFFSET($A$1, 265 - 1, 96 - 1) = "1", OFFSET($A$1, 265 - 1, 97 - 1) = "1" ), 1, IF( AND( OFFSET($A$1, 265 - 1, 96 - 1) = "1", OFFSET($A$1, 265 - 1, 97 - 1) = "0" ), 2, IF( AND( OFFSET($A$1, 265 - 1, 96 - 1) = "0", OFFSET($A$1, 265 - 1, 97 - 1) = "1" ), 3, 4 ) ) )</f>
        <v>1</v>
      </c>
      <c r="CV265" s="24">
        <v>0.99828170471229627</v>
      </c>
      <c r="CW265" s="24" t="str">
        <f>"1"</f>
        <v>1</v>
      </c>
      <c r="CX265" t="str">
        <f ca="1">IF((OFFSET($A$1, 265 - 1, 100 - 1)) &gt;= (OFFSET($A$1, 78 - 1, 7 - 1)), "1","0")</f>
        <v>1</v>
      </c>
      <c r="CY265">
        <f ca="1" xml:space="preserve"> IF( AND( OFFSET($A$1, 265 - 1, 101 - 1) = "1", OFFSET($A$1, 265 - 1, 102 - 1) = "1" ), 1, IF( AND( OFFSET($A$1, 265 - 1, 101 - 1) = "1", OFFSET($A$1, 265 - 1, 102 - 1) = "0" ), 2, IF( AND( OFFSET($A$1, 265 - 1, 101 - 1) = "0", OFFSET($A$1, 265 - 1, 102 - 1) = "1" ), 3, 4 ) ) )</f>
        <v>1</v>
      </c>
    </row>
    <row r="266" spans="95:103" ht="13.8" x14ac:dyDescent="0.3">
      <c r="CQ266" s="24">
        <v>2.0522155855677585E-2</v>
      </c>
      <c r="CR266" s="24" t="str">
        <f>"0"</f>
        <v>0</v>
      </c>
      <c r="CS266" t="str">
        <f ca="1">IF((OFFSET($A$1, 266 - 1, 95 - 1)) &gt;= (OFFSET($A$1, 54 - 1, 7 - 1)), "1","0")</f>
        <v>0</v>
      </c>
      <c r="CT266">
        <f ca="1" xml:space="preserve"> IF( AND( OFFSET($A$1, 266 - 1, 96 - 1) = "1", OFFSET($A$1, 266 - 1, 97 - 1) = "1" ), 1, IF( AND( OFFSET($A$1, 266 - 1, 96 - 1) = "1", OFFSET($A$1, 266 - 1, 97 - 1) = "0" ), 2, IF( AND( OFFSET($A$1, 266 - 1, 96 - 1) = "0", OFFSET($A$1, 266 - 1, 97 - 1) = "1" ), 3, 4 ) ) )</f>
        <v>4</v>
      </c>
      <c r="CV266" s="24">
        <v>0.99424420962009608</v>
      </c>
      <c r="CW266" s="24" t="str">
        <f>"1"</f>
        <v>1</v>
      </c>
      <c r="CX266" t="str">
        <f ca="1">IF((OFFSET($A$1, 266 - 1, 100 - 1)) &gt;= (OFFSET($A$1, 78 - 1, 7 - 1)), "1","0")</f>
        <v>1</v>
      </c>
      <c r="CY266">
        <f ca="1" xml:space="preserve"> IF( AND( OFFSET($A$1, 266 - 1, 101 - 1) = "1", OFFSET($A$1, 266 - 1, 102 - 1) = "1" ), 1, IF( AND( OFFSET($A$1, 266 - 1, 101 - 1) = "1", OFFSET($A$1, 266 - 1, 102 - 1) = "0" ), 2, IF( AND( OFFSET($A$1, 266 - 1, 101 - 1) = "0", OFFSET($A$1, 266 - 1, 102 - 1) = "1" ), 3, 4 ) ) )</f>
        <v>1</v>
      </c>
    </row>
    <row r="267" spans="95:103" ht="13.8" x14ac:dyDescent="0.3">
      <c r="CQ267" s="24">
        <v>0.99945135066660196</v>
      </c>
      <c r="CR267" s="24" t="str">
        <f>"1"</f>
        <v>1</v>
      </c>
      <c r="CS267" t="str">
        <f ca="1">IF((OFFSET($A$1, 267 - 1, 95 - 1)) &gt;= (OFFSET($A$1, 54 - 1, 7 - 1)), "1","0")</f>
        <v>1</v>
      </c>
      <c r="CT267">
        <f ca="1" xml:space="preserve"> IF( AND( OFFSET($A$1, 267 - 1, 96 - 1) = "1", OFFSET($A$1, 267 - 1, 97 - 1) = "1" ), 1, IF( AND( OFFSET($A$1, 267 - 1, 96 - 1) = "1", OFFSET($A$1, 267 - 1, 97 - 1) = "0" ), 2, IF( AND( OFFSET($A$1, 267 - 1, 96 - 1) = "0", OFFSET($A$1, 267 - 1, 97 - 1) = "1" ), 3, 4 ) ) )</f>
        <v>1</v>
      </c>
      <c r="CV267" s="24">
        <v>0.3114569356964822</v>
      </c>
      <c r="CW267" s="24" t="str">
        <f>"0"</f>
        <v>0</v>
      </c>
      <c r="CX267" t="str">
        <f ca="1">IF((OFFSET($A$1, 267 - 1, 100 - 1)) &gt;= (OFFSET($A$1, 78 - 1, 7 - 1)), "1","0")</f>
        <v>0</v>
      </c>
      <c r="CY267">
        <f ca="1" xml:space="preserve"> IF( AND( OFFSET($A$1, 267 - 1, 101 - 1) = "1", OFFSET($A$1, 267 - 1, 102 - 1) = "1" ), 1, IF( AND( OFFSET($A$1, 267 - 1, 101 - 1) = "1", OFFSET($A$1, 267 - 1, 102 - 1) = "0" ), 2, IF( AND( OFFSET($A$1, 267 - 1, 101 - 1) = "0", OFFSET($A$1, 267 - 1, 102 - 1) = "1" ), 3, 4 ) ) )</f>
        <v>4</v>
      </c>
    </row>
    <row r="268" spans="95:103" ht="13.8" x14ac:dyDescent="0.3">
      <c r="CQ268" s="24">
        <v>7.062993515733941E-2</v>
      </c>
      <c r="CR268" s="24" t="str">
        <f>"0"</f>
        <v>0</v>
      </c>
      <c r="CS268" t="str">
        <f ca="1">IF((OFFSET($A$1, 268 - 1, 95 - 1)) &gt;= (OFFSET($A$1, 54 - 1, 7 - 1)), "1","0")</f>
        <v>0</v>
      </c>
      <c r="CT268">
        <f ca="1" xml:space="preserve"> IF( AND( OFFSET($A$1, 268 - 1, 96 - 1) = "1", OFFSET($A$1, 268 - 1, 97 - 1) = "1" ), 1, IF( AND( OFFSET($A$1, 268 - 1, 96 - 1) = "1", OFFSET($A$1, 268 - 1, 97 - 1) = "0" ), 2, IF( AND( OFFSET($A$1, 268 - 1, 96 - 1) = "0", OFFSET($A$1, 268 - 1, 97 - 1) = "1" ), 3, 4 ) ) )</f>
        <v>4</v>
      </c>
      <c r="CV268" s="24">
        <v>0.75403625008093689</v>
      </c>
      <c r="CW268" s="24" t="str">
        <f t="shared" ref="CW268:CW274" si="22">"1"</f>
        <v>1</v>
      </c>
      <c r="CX268" t="str">
        <f ca="1">IF((OFFSET($A$1, 268 - 1, 100 - 1)) &gt;= (OFFSET($A$1, 78 - 1, 7 - 1)), "1","0")</f>
        <v>1</v>
      </c>
      <c r="CY268">
        <f ca="1" xml:space="preserve"> IF( AND( OFFSET($A$1, 268 - 1, 101 - 1) = "1", OFFSET($A$1, 268 - 1, 102 - 1) = "1" ), 1, IF( AND( OFFSET($A$1, 268 - 1, 101 - 1) = "1", OFFSET($A$1, 268 - 1, 102 - 1) = "0" ), 2, IF( AND( OFFSET($A$1, 268 - 1, 101 - 1) = "0", OFFSET($A$1, 268 - 1, 102 - 1) = "1" ), 3, 4 ) ) )</f>
        <v>1</v>
      </c>
    </row>
    <row r="269" spans="95:103" ht="13.8" x14ac:dyDescent="0.3">
      <c r="CQ269" s="24">
        <v>0.92835063068771828</v>
      </c>
      <c r="CR269" s="24" t="str">
        <f>"1"</f>
        <v>1</v>
      </c>
      <c r="CS269" t="str">
        <f ca="1">IF((OFFSET($A$1, 269 - 1, 95 - 1)) &gt;= (OFFSET($A$1, 54 - 1, 7 - 1)), "1","0")</f>
        <v>1</v>
      </c>
      <c r="CT269">
        <f ca="1" xml:space="preserve"> IF( AND( OFFSET($A$1, 269 - 1, 96 - 1) = "1", OFFSET($A$1, 269 - 1, 97 - 1) = "1" ), 1, IF( AND( OFFSET($A$1, 269 - 1, 96 - 1) = "1", OFFSET($A$1, 269 - 1, 97 - 1) = "0" ), 2, IF( AND( OFFSET($A$1, 269 - 1, 96 - 1) = "0", OFFSET($A$1, 269 - 1, 97 - 1) = "1" ), 3, 4 ) ) )</f>
        <v>1</v>
      </c>
      <c r="CV269" s="24">
        <v>0.6655635737506399</v>
      </c>
      <c r="CW269" s="24" t="str">
        <f t="shared" si="22"/>
        <v>1</v>
      </c>
      <c r="CX269" t="str">
        <f ca="1">IF((OFFSET($A$1, 269 - 1, 100 - 1)) &gt;= (OFFSET($A$1, 78 - 1, 7 - 1)), "1","0")</f>
        <v>1</v>
      </c>
      <c r="CY269">
        <f ca="1" xml:space="preserve"> IF( AND( OFFSET($A$1, 269 - 1, 101 - 1) = "1", OFFSET($A$1, 269 - 1, 102 - 1) = "1" ), 1, IF( AND( OFFSET($A$1, 269 - 1, 101 - 1) = "1", OFFSET($A$1, 269 - 1, 102 - 1) = "0" ), 2, IF( AND( OFFSET($A$1, 269 - 1, 101 - 1) = "0", OFFSET($A$1, 269 - 1, 102 - 1) = "1" ), 3, 4 ) ) )</f>
        <v>1</v>
      </c>
    </row>
    <row r="270" spans="95:103" ht="13.8" x14ac:dyDescent="0.3">
      <c r="CQ270" s="24">
        <v>0.99974710413084433</v>
      </c>
      <c r="CR270" s="24" t="str">
        <f>"1"</f>
        <v>1</v>
      </c>
      <c r="CS270" t="str">
        <f ca="1">IF((OFFSET($A$1, 270 - 1, 95 - 1)) &gt;= (OFFSET($A$1, 54 - 1, 7 - 1)), "1","0")</f>
        <v>1</v>
      </c>
      <c r="CT270">
        <f ca="1" xml:space="preserve"> IF( AND( OFFSET($A$1, 270 - 1, 96 - 1) = "1", OFFSET($A$1, 270 - 1, 97 - 1) = "1" ), 1, IF( AND( OFFSET($A$1, 270 - 1, 96 - 1) = "1", OFFSET($A$1, 270 - 1, 97 - 1) = "0" ), 2, IF( AND( OFFSET($A$1, 270 - 1, 96 - 1) = "0", OFFSET($A$1, 270 - 1, 97 - 1) = "1" ), 3, 4 ) ) )</f>
        <v>1</v>
      </c>
      <c r="CV270" s="24">
        <v>0.9947224230452375</v>
      </c>
      <c r="CW270" s="24" t="str">
        <f t="shared" si="22"/>
        <v>1</v>
      </c>
      <c r="CX270" t="str">
        <f ca="1">IF((OFFSET($A$1, 270 - 1, 100 - 1)) &gt;= (OFFSET($A$1, 78 - 1, 7 - 1)), "1","0")</f>
        <v>1</v>
      </c>
      <c r="CY270">
        <f ca="1" xml:space="preserve"> IF( AND( OFFSET($A$1, 270 - 1, 101 - 1) = "1", OFFSET($A$1, 270 - 1, 102 - 1) = "1" ), 1, IF( AND( OFFSET($A$1, 270 - 1, 101 - 1) = "1", OFFSET($A$1, 270 - 1, 102 - 1) = "0" ), 2, IF( AND( OFFSET($A$1, 270 - 1, 101 - 1) = "0", OFFSET($A$1, 270 - 1, 102 - 1) = "1" ), 3, 4 ) ) )</f>
        <v>1</v>
      </c>
    </row>
    <row r="271" spans="95:103" ht="13.8" x14ac:dyDescent="0.3">
      <c r="CQ271" s="24">
        <v>7.2597869786077934E-2</v>
      </c>
      <c r="CR271" s="24" t="str">
        <f>"0"</f>
        <v>0</v>
      </c>
      <c r="CS271" t="str">
        <f ca="1">IF((OFFSET($A$1, 271 - 1, 95 - 1)) &gt;= (OFFSET($A$1, 54 - 1, 7 - 1)), "1","0")</f>
        <v>0</v>
      </c>
      <c r="CT271">
        <f ca="1" xml:space="preserve"> IF( AND( OFFSET($A$1, 271 - 1, 96 - 1) = "1", OFFSET($A$1, 271 - 1, 97 - 1) = "1" ), 1, IF( AND( OFFSET($A$1, 271 - 1, 96 - 1) = "1", OFFSET($A$1, 271 - 1, 97 - 1) = "0" ), 2, IF( AND( OFFSET($A$1, 271 - 1, 96 - 1) = "0", OFFSET($A$1, 271 - 1, 97 - 1) = "1" ), 3, 4 ) ) )</f>
        <v>4</v>
      </c>
      <c r="CV271" s="24">
        <v>0.88111161482429179</v>
      </c>
      <c r="CW271" s="24" t="str">
        <f t="shared" si="22"/>
        <v>1</v>
      </c>
      <c r="CX271" t="str">
        <f ca="1">IF((OFFSET($A$1, 271 - 1, 100 - 1)) &gt;= (OFFSET($A$1, 78 - 1, 7 - 1)), "1","0")</f>
        <v>1</v>
      </c>
      <c r="CY271">
        <f ca="1" xml:space="preserve"> IF( AND( OFFSET($A$1, 271 - 1, 101 - 1) = "1", OFFSET($A$1, 271 - 1, 102 - 1) = "1" ), 1, IF( AND( OFFSET($A$1, 271 - 1, 101 - 1) = "1", OFFSET($A$1, 271 - 1, 102 - 1) = "0" ), 2, IF( AND( OFFSET($A$1, 271 - 1, 101 - 1) = "0", OFFSET($A$1, 271 - 1, 102 - 1) = "1" ), 3, 4 ) ) )</f>
        <v>1</v>
      </c>
    </row>
    <row r="272" spans="95:103" ht="13.8" x14ac:dyDescent="0.3">
      <c r="CQ272" s="24">
        <v>0.99997278146178004</v>
      </c>
      <c r="CR272" s="24" t="str">
        <f t="shared" ref="CR272:CR282" si="23">"1"</f>
        <v>1</v>
      </c>
      <c r="CS272" t="str">
        <f ca="1">IF((OFFSET($A$1, 272 - 1, 95 - 1)) &gt;= (OFFSET($A$1, 54 - 1, 7 - 1)), "1","0")</f>
        <v>1</v>
      </c>
      <c r="CT272">
        <f ca="1" xml:space="preserve"> IF( AND( OFFSET($A$1, 272 - 1, 96 - 1) = "1", OFFSET($A$1, 272 - 1, 97 - 1) = "1" ), 1, IF( AND( OFFSET($A$1, 272 - 1, 96 - 1) = "1", OFFSET($A$1, 272 - 1, 97 - 1) = "0" ), 2, IF( AND( OFFSET($A$1, 272 - 1, 96 - 1) = "0", OFFSET($A$1, 272 - 1, 97 - 1) = "1" ), 3, 4 ) ) )</f>
        <v>1</v>
      </c>
      <c r="CV272" s="24">
        <v>0.85447320480094791</v>
      </c>
      <c r="CW272" s="24" t="str">
        <f t="shared" si="22"/>
        <v>1</v>
      </c>
      <c r="CX272" t="str">
        <f ca="1">IF((OFFSET($A$1, 272 - 1, 100 - 1)) &gt;= (OFFSET($A$1, 78 - 1, 7 - 1)), "1","0")</f>
        <v>1</v>
      </c>
      <c r="CY272">
        <f ca="1" xml:space="preserve"> IF( AND( OFFSET($A$1, 272 - 1, 101 - 1) = "1", OFFSET($A$1, 272 - 1, 102 - 1) = "1" ), 1, IF( AND( OFFSET($A$1, 272 - 1, 101 - 1) = "1", OFFSET($A$1, 272 - 1, 102 - 1) = "0" ), 2, IF( AND( OFFSET($A$1, 272 - 1, 101 - 1) = "0", OFFSET($A$1, 272 - 1, 102 - 1) = "1" ), 3, 4 ) ) )</f>
        <v>1</v>
      </c>
    </row>
    <row r="273" spans="95:103" ht="13.8" x14ac:dyDescent="0.3">
      <c r="CQ273" s="24">
        <v>0.91401719005504467</v>
      </c>
      <c r="CR273" s="24" t="str">
        <f t="shared" si="23"/>
        <v>1</v>
      </c>
      <c r="CS273" t="str">
        <f ca="1">IF((OFFSET($A$1, 273 - 1, 95 - 1)) &gt;= (OFFSET($A$1, 54 - 1, 7 - 1)), "1","0")</f>
        <v>1</v>
      </c>
      <c r="CT273">
        <f ca="1" xml:space="preserve"> IF( AND( OFFSET($A$1, 273 - 1, 96 - 1) = "1", OFFSET($A$1, 273 - 1, 97 - 1) = "1" ), 1, IF( AND( OFFSET($A$1, 273 - 1, 96 - 1) = "1", OFFSET($A$1, 273 - 1, 97 - 1) = "0" ), 2, IF( AND( OFFSET($A$1, 273 - 1, 96 - 1) = "0", OFFSET($A$1, 273 - 1, 97 - 1) = "1" ), 3, 4 ) ) )</f>
        <v>1</v>
      </c>
      <c r="CV273" s="24">
        <v>0.19932143559948218</v>
      </c>
      <c r="CW273" s="24" t="str">
        <f t="shared" si="22"/>
        <v>1</v>
      </c>
      <c r="CX273" t="str">
        <f ca="1">IF((OFFSET($A$1, 273 - 1, 100 - 1)) &gt;= (OFFSET($A$1, 78 - 1, 7 - 1)), "1","0")</f>
        <v>0</v>
      </c>
      <c r="CY273">
        <f ca="1" xml:space="preserve"> IF( AND( OFFSET($A$1, 273 - 1, 101 - 1) = "1", OFFSET($A$1, 273 - 1, 102 - 1) = "1" ), 1, IF( AND( OFFSET($A$1, 273 - 1, 101 - 1) = "1", OFFSET($A$1, 273 - 1, 102 - 1) = "0" ), 2, IF( AND( OFFSET($A$1, 273 - 1, 101 - 1) = "0", OFFSET($A$1, 273 - 1, 102 - 1) = "1" ), 3, 4 ) ) )</f>
        <v>2</v>
      </c>
    </row>
    <row r="274" spans="95:103" ht="13.8" x14ac:dyDescent="0.3">
      <c r="CQ274" s="24">
        <v>0.9661863942807809</v>
      </c>
      <c r="CR274" s="24" t="str">
        <f t="shared" si="23"/>
        <v>1</v>
      </c>
      <c r="CS274" t="str">
        <f ca="1">IF((OFFSET($A$1, 274 - 1, 95 - 1)) &gt;= (OFFSET($A$1, 54 - 1, 7 - 1)), "1","0")</f>
        <v>1</v>
      </c>
      <c r="CT274">
        <f ca="1" xml:space="preserve"> IF( AND( OFFSET($A$1, 274 - 1, 96 - 1) = "1", OFFSET($A$1, 274 - 1, 97 - 1) = "1" ), 1, IF( AND( OFFSET($A$1, 274 - 1, 96 - 1) = "1", OFFSET($A$1, 274 - 1, 97 - 1) = "0" ), 2, IF( AND( OFFSET($A$1, 274 - 1, 96 - 1) = "0", OFFSET($A$1, 274 - 1, 97 - 1) = "1" ), 3, 4 ) ) )</f>
        <v>1</v>
      </c>
      <c r="CV274" s="24">
        <v>0.99568691823015809</v>
      </c>
      <c r="CW274" s="24" t="str">
        <f t="shared" si="22"/>
        <v>1</v>
      </c>
      <c r="CX274" t="str">
        <f ca="1">IF((OFFSET($A$1, 274 - 1, 100 - 1)) &gt;= (OFFSET($A$1, 78 - 1, 7 - 1)), "1","0")</f>
        <v>1</v>
      </c>
      <c r="CY274">
        <f ca="1" xml:space="preserve"> IF( AND( OFFSET($A$1, 274 - 1, 101 - 1) = "1", OFFSET($A$1, 274 - 1, 102 - 1) = "1" ), 1, IF( AND( OFFSET($A$1, 274 - 1, 101 - 1) = "1", OFFSET($A$1, 274 - 1, 102 - 1) = "0" ), 2, IF( AND( OFFSET($A$1, 274 - 1, 101 - 1) = "0", OFFSET($A$1, 274 - 1, 102 - 1) = "1" ), 3, 4 ) ) )</f>
        <v>1</v>
      </c>
    </row>
    <row r="275" spans="95:103" ht="13.8" x14ac:dyDescent="0.3">
      <c r="CQ275" s="24">
        <v>0.94221174363640381</v>
      </c>
      <c r="CR275" s="24" t="str">
        <f t="shared" si="23"/>
        <v>1</v>
      </c>
      <c r="CS275" t="str">
        <f ca="1">IF((OFFSET($A$1, 275 - 1, 95 - 1)) &gt;= (OFFSET($A$1, 54 - 1, 7 - 1)), "1","0")</f>
        <v>1</v>
      </c>
      <c r="CT275">
        <f ca="1" xml:space="preserve"> IF( AND( OFFSET($A$1, 275 - 1, 96 - 1) = "1", OFFSET($A$1, 275 - 1, 97 - 1) = "1" ), 1, IF( AND( OFFSET($A$1, 275 - 1, 96 - 1) = "1", OFFSET($A$1, 275 - 1, 97 - 1) = "0" ), 2, IF( AND( OFFSET($A$1, 275 - 1, 96 - 1) = "0", OFFSET($A$1, 275 - 1, 97 - 1) = "1" ), 3, 4 ) ) )</f>
        <v>1</v>
      </c>
      <c r="CV275" s="24">
        <v>9.2505196571267101E-2</v>
      </c>
      <c r="CW275" s="24" t="str">
        <f>"0"</f>
        <v>0</v>
      </c>
      <c r="CX275" t="str">
        <f ca="1">IF((OFFSET($A$1, 275 - 1, 100 - 1)) &gt;= (OFFSET($A$1, 78 - 1, 7 - 1)), "1","0")</f>
        <v>0</v>
      </c>
      <c r="CY275">
        <f ca="1" xml:space="preserve"> IF( AND( OFFSET($A$1, 275 - 1, 101 - 1) = "1", OFFSET($A$1, 275 - 1, 102 - 1) = "1" ), 1, IF( AND( OFFSET($A$1, 275 - 1, 101 - 1) = "1", OFFSET($A$1, 275 - 1, 102 - 1) = "0" ), 2, IF( AND( OFFSET($A$1, 275 - 1, 101 - 1) = "0", OFFSET($A$1, 275 - 1, 102 - 1) = "1" ), 3, 4 ) ) )</f>
        <v>4</v>
      </c>
    </row>
    <row r="276" spans="95:103" ht="13.8" x14ac:dyDescent="0.3">
      <c r="CQ276" s="24">
        <v>0.88080596822928936</v>
      </c>
      <c r="CR276" s="24" t="str">
        <f t="shared" si="23"/>
        <v>1</v>
      </c>
      <c r="CS276" t="str">
        <f ca="1">IF((OFFSET($A$1, 276 - 1, 95 - 1)) &gt;= (OFFSET($A$1, 54 - 1, 7 - 1)), "1","0")</f>
        <v>1</v>
      </c>
      <c r="CT276">
        <f ca="1" xml:space="preserve"> IF( AND( OFFSET($A$1, 276 - 1, 96 - 1) = "1", OFFSET($A$1, 276 - 1, 97 - 1) = "1" ), 1, IF( AND( OFFSET($A$1, 276 - 1, 96 - 1) = "1", OFFSET($A$1, 276 - 1, 97 - 1) = "0" ), 2, IF( AND( OFFSET($A$1, 276 - 1, 96 - 1) = "0", OFFSET($A$1, 276 - 1, 97 - 1) = "1" ), 3, 4 ) ) )</f>
        <v>1</v>
      </c>
      <c r="CV276" s="24">
        <v>0.99990404101287123</v>
      </c>
      <c r="CW276" s="24" t="str">
        <f>"0"</f>
        <v>0</v>
      </c>
      <c r="CX276" t="str">
        <f ca="1">IF((OFFSET($A$1, 276 - 1, 100 - 1)) &gt;= (OFFSET($A$1, 78 - 1, 7 - 1)), "1","0")</f>
        <v>1</v>
      </c>
      <c r="CY276">
        <f ca="1" xml:space="preserve"> IF( AND( OFFSET($A$1, 276 - 1, 101 - 1) = "1", OFFSET($A$1, 276 - 1, 102 - 1) = "1" ), 1, IF( AND( OFFSET($A$1, 276 - 1, 101 - 1) = "1", OFFSET($A$1, 276 - 1, 102 - 1) = "0" ), 2, IF( AND( OFFSET($A$1, 276 - 1, 101 - 1) = "0", OFFSET($A$1, 276 - 1, 102 - 1) = "1" ), 3, 4 ) ) )</f>
        <v>3</v>
      </c>
    </row>
    <row r="277" spans="95:103" ht="13.8" x14ac:dyDescent="0.3">
      <c r="CQ277" s="24">
        <v>0.92581426791197163</v>
      </c>
      <c r="CR277" s="24" t="str">
        <f t="shared" si="23"/>
        <v>1</v>
      </c>
      <c r="CS277" t="str">
        <f ca="1">IF((OFFSET($A$1, 277 - 1, 95 - 1)) &gt;= (OFFSET($A$1, 54 - 1, 7 - 1)), "1","0")</f>
        <v>1</v>
      </c>
      <c r="CT277">
        <f ca="1" xml:space="preserve"> IF( AND( OFFSET($A$1, 277 - 1, 96 - 1) = "1", OFFSET($A$1, 277 - 1, 97 - 1) = "1" ), 1, IF( AND( OFFSET($A$1, 277 - 1, 96 - 1) = "1", OFFSET($A$1, 277 - 1, 97 - 1) = "0" ), 2, IF( AND( OFFSET($A$1, 277 - 1, 96 - 1) = "0", OFFSET($A$1, 277 - 1, 97 - 1) = "1" ), 3, 4 ) ) )</f>
        <v>1</v>
      </c>
      <c r="CV277" s="24">
        <v>0.80252538920062211</v>
      </c>
      <c r="CW277" s="24" t="str">
        <f t="shared" ref="CW277:CW282" si="24">"1"</f>
        <v>1</v>
      </c>
      <c r="CX277" t="str">
        <f ca="1">IF((OFFSET($A$1, 277 - 1, 100 - 1)) &gt;= (OFFSET($A$1, 78 - 1, 7 - 1)), "1","0")</f>
        <v>1</v>
      </c>
      <c r="CY277">
        <f ca="1" xml:space="preserve"> IF( AND( OFFSET($A$1, 277 - 1, 101 - 1) = "1", OFFSET($A$1, 277 - 1, 102 - 1) = "1" ), 1, IF( AND( OFFSET($A$1, 277 - 1, 101 - 1) = "1", OFFSET($A$1, 277 - 1, 102 - 1) = "0" ), 2, IF( AND( OFFSET($A$1, 277 - 1, 101 - 1) = "0", OFFSET($A$1, 277 - 1, 102 - 1) = "1" ), 3, 4 ) ) )</f>
        <v>1</v>
      </c>
    </row>
    <row r="278" spans="95:103" ht="13.8" x14ac:dyDescent="0.3">
      <c r="CQ278" s="24">
        <v>0.99999572857591723</v>
      </c>
      <c r="CR278" s="24" t="str">
        <f t="shared" si="23"/>
        <v>1</v>
      </c>
      <c r="CS278" t="str">
        <f ca="1">IF((OFFSET($A$1, 278 - 1, 95 - 1)) &gt;= (OFFSET($A$1, 54 - 1, 7 - 1)), "1","0")</f>
        <v>1</v>
      </c>
      <c r="CT278">
        <f ca="1" xml:space="preserve"> IF( AND( OFFSET($A$1, 278 - 1, 96 - 1) = "1", OFFSET($A$1, 278 - 1, 97 - 1) = "1" ), 1, IF( AND( OFFSET($A$1, 278 - 1, 96 - 1) = "1", OFFSET($A$1, 278 - 1, 97 - 1) = "0" ), 2, IF( AND( OFFSET($A$1, 278 - 1, 96 - 1) = "0", OFFSET($A$1, 278 - 1, 97 - 1) = "1" ), 3, 4 ) ) )</f>
        <v>1</v>
      </c>
      <c r="CV278" s="24">
        <v>0.98591430998549778</v>
      </c>
      <c r="CW278" s="24" t="str">
        <f t="shared" si="24"/>
        <v>1</v>
      </c>
      <c r="CX278" t="str">
        <f ca="1">IF((OFFSET($A$1, 278 - 1, 100 - 1)) &gt;= (OFFSET($A$1, 78 - 1, 7 - 1)), "1","0")</f>
        <v>1</v>
      </c>
      <c r="CY278">
        <f ca="1" xml:space="preserve"> IF( AND( OFFSET($A$1, 278 - 1, 101 - 1) = "1", OFFSET($A$1, 278 - 1, 102 - 1) = "1" ), 1, IF( AND( OFFSET($A$1, 278 - 1, 101 - 1) = "1", OFFSET($A$1, 278 - 1, 102 - 1) = "0" ), 2, IF( AND( OFFSET($A$1, 278 - 1, 101 - 1) = "0", OFFSET($A$1, 278 - 1, 102 - 1) = "1" ), 3, 4 ) ) )</f>
        <v>1</v>
      </c>
    </row>
    <row r="279" spans="95:103" ht="13.8" x14ac:dyDescent="0.3">
      <c r="CQ279" s="24">
        <v>0.90131346708045601</v>
      </c>
      <c r="CR279" s="24" t="str">
        <f t="shared" si="23"/>
        <v>1</v>
      </c>
      <c r="CS279" t="str">
        <f ca="1">IF((OFFSET($A$1, 279 - 1, 95 - 1)) &gt;= (OFFSET($A$1, 54 - 1, 7 - 1)), "1","0")</f>
        <v>1</v>
      </c>
      <c r="CT279">
        <f ca="1" xml:space="preserve"> IF( AND( OFFSET($A$1, 279 - 1, 96 - 1) = "1", OFFSET($A$1, 279 - 1, 97 - 1) = "1" ), 1, IF( AND( OFFSET($A$1, 279 - 1, 96 - 1) = "1", OFFSET($A$1, 279 - 1, 97 - 1) = "0" ), 2, IF( AND( OFFSET($A$1, 279 - 1, 96 - 1) = "0", OFFSET($A$1, 279 - 1, 97 - 1) = "1" ), 3, 4 ) ) )</f>
        <v>1</v>
      </c>
      <c r="CV279" s="24">
        <v>4.3482400109082477E-2</v>
      </c>
      <c r="CW279" s="24" t="str">
        <f t="shared" si="24"/>
        <v>1</v>
      </c>
      <c r="CX279" t="str">
        <f ca="1">IF((OFFSET($A$1, 279 - 1, 100 - 1)) &gt;= (OFFSET($A$1, 78 - 1, 7 - 1)), "1","0")</f>
        <v>0</v>
      </c>
      <c r="CY279">
        <f ca="1" xml:space="preserve"> IF( AND( OFFSET($A$1, 279 - 1, 101 - 1) = "1", OFFSET($A$1, 279 - 1, 102 - 1) = "1" ), 1, IF( AND( OFFSET($A$1, 279 - 1, 101 - 1) = "1", OFFSET($A$1, 279 - 1, 102 - 1) = "0" ), 2, IF( AND( OFFSET($A$1, 279 - 1, 101 - 1) = "0", OFFSET($A$1, 279 - 1, 102 - 1) = "1" ), 3, 4 ) ) )</f>
        <v>2</v>
      </c>
    </row>
    <row r="280" spans="95:103" ht="13.8" x14ac:dyDescent="0.3">
      <c r="CQ280" s="24">
        <v>0.94168919070136281</v>
      </c>
      <c r="CR280" s="24" t="str">
        <f t="shared" si="23"/>
        <v>1</v>
      </c>
      <c r="CS280" t="str">
        <f ca="1">IF((OFFSET($A$1, 280 - 1, 95 - 1)) &gt;= (OFFSET($A$1, 54 - 1, 7 - 1)), "1","0")</f>
        <v>1</v>
      </c>
      <c r="CT280">
        <f ca="1" xml:space="preserve"> IF( AND( OFFSET($A$1, 280 - 1, 96 - 1) = "1", OFFSET($A$1, 280 - 1, 97 - 1) = "1" ), 1, IF( AND( OFFSET($A$1, 280 - 1, 96 - 1) = "1", OFFSET($A$1, 280 - 1, 97 - 1) = "0" ), 2, IF( AND( OFFSET($A$1, 280 - 1, 96 - 1) = "0", OFFSET($A$1, 280 - 1, 97 - 1) = "1" ), 3, 4 ) ) )</f>
        <v>1</v>
      </c>
      <c r="CV280" s="24">
        <v>0.73559164709716929</v>
      </c>
      <c r="CW280" s="24" t="str">
        <f t="shared" si="24"/>
        <v>1</v>
      </c>
      <c r="CX280" t="str">
        <f ca="1">IF((OFFSET($A$1, 280 - 1, 100 - 1)) &gt;= (OFFSET($A$1, 78 - 1, 7 - 1)), "1","0")</f>
        <v>1</v>
      </c>
      <c r="CY280">
        <f ca="1" xml:space="preserve"> IF( AND( OFFSET($A$1, 280 - 1, 101 - 1) = "1", OFFSET($A$1, 280 - 1, 102 - 1) = "1" ), 1, IF( AND( OFFSET($A$1, 280 - 1, 101 - 1) = "1", OFFSET($A$1, 280 - 1, 102 - 1) = "0" ), 2, IF( AND( OFFSET($A$1, 280 - 1, 101 - 1) = "0", OFFSET($A$1, 280 - 1, 102 - 1) = "1" ), 3, 4 ) ) )</f>
        <v>1</v>
      </c>
    </row>
    <row r="281" spans="95:103" ht="13.8" x14ac:dyDescent="0.3">
      <c r="CQ281" s="24">
        <v>0.91301889054639873</v>
      </c>
      <c r="CR281" s="24" t="str">
        <f t="shared" si="23"/>
        <v>1</v>
      </c>
      <c r="CS281" t="str">
        <f ca="1">IF((OFFSET($A$1, 281 - 1, 95 - 1)) &gt;= (OFFSET($A$1, 54 - 1, 7 - 1)), "1","0")</f>
        <v>1</v>
      </c>
      <c r="CT281">
        <f ca="1" xml:space="preserve"> IF( AND( OFFSET($A$1, 281 - 1, 96 - 1) = "1", OFFSET($A$1, 281 - 1, 97 - 1) = "1" ), 1, IF( AND( OFFSET($A$1, 281 - 1, 96 - 1) = "1", OFFSET($A$1, 281 - 1, 97 - 1) = "0" ), 2, IF( AND( OFFSET($A$1, 281 - 1, 96 - 1) = "0", OFFSET($A$1, 281 - 1, 97 - 1) = "1" ), 3, 4 ) ) )</f>
        <v>1</v>
      </c>
      <c r="CV281" s="24">
        <v>0.96158668339316045</v>
      </c>
      <c r="CW281" s="24" t="str">
        <f t="shared" si="24"/>
        <v>1</v>
      </c>
      <c r="CX281" t="str">
        <f ca="1">IF((OFFSET($A$1, 281 - 1, 100 - 1)) &gt;= (OFFSET($A$1, 78 - 1, 7 - 1)), "1","0")</f>
        <v>1</v>
      </c>
      <c r="CY281">
        <f ca="1" xml:space="preserve"> IF( AND( OFFSET($A$1, 281 - 1, 101 - 1) = "1", OFFSET($A$1, 281 - 1, 102 - 1) = "1" ), 1, IF( AND( OFFSET($A$1, 281 - 1, 101 - 1) = "1", OFFSET($A$1, 281 - 1, 102 - 1) = "0" ), 2, IF( AND( OFFSET($A$1, 281 - 1, 101 - 1) = "0", OFFSET($A$1, 281 - 1, 102 - 1) = "1" ), 3, 4 ) ) )</f>
        <v>1</v>
      </c>
    </row>
    <row r="282" spans="95:103" ht="13.8" x14ac:dyDescent="0.3">
      <c r="CQ282" s="24">
        <v>0.99996719454686378</v>
      </c>
      <c r="CR282" s="24" t="str">
        <f t="shared" si="23"/>
        <v>1</v>
      </c>
      <c r="CS282" t="str">
        <f ca="1">IF((OFFSET($A$1, 282 - 1, 95 - 1)) &gt;= (OFFSET($A$1, 54 - 1, 7 - 1)), "1","0")</f>
        <v>1</v>
      </c>
      <c r="CT282">
        <f ca="1" xml:space="preserve"> IF( AND( OFFSET($A$1, 282 - 1, 96 - 1) = "1", OFFSET($A$1, 282 - 1, 97 - 1) = "1" ), 1, IF( AND( OFFSET($A$1, 282 - 1, 96 - 1) = "1", OFFSET($A$1, 282 - 1, 97 - 1) = "0" ), 2, IF( AND( OFFSET($A$1, 282 - 1, 96 - 1) = "0", OFFSET($A$1, 282 - 1, 97 - 1) = "1" ), 3, 4 ) ) )</f>
        <v>1</v>
      </c>
      <c r="CV282" s="24">
        <v>0.99798440584728287</v>
      </c>
      <c r="CW282" s="24" t="str">
        <f t="shared" si="24"/>
        <v>1</v>
      </c>
      <c r="CX282" t="str">
        <f ca="1">IF((OFFSET($A$1, 282 - 1, 100 - 1)) &gt;= (OFFSET($A$1, 78 - 1, 7 - 1)), "1","0")</f>
        <v>1</v>
      </c>
      <c r="CY282">
        <f ca="1" xml:space="preserve"> IF( AND( OFFSET($A$1, 282 - 1, 101 - 1) = "1", OFFSET($A$1, 282 - 1, 102 - 1) = "1" ), 1, IF( AND( OFFSET($A$1, 282 - 1, 101 - 1) = "1", OFFSET($A$1, 282 - 1, 102 - 1) = "0" ), 2, IF( AND( OFFSET($A$1, 282 - 1, 101 - 1) = "0", OFFSET($A$1, 282 - 1, 102 - 1) = "1" ), 3, 4 ) ) )</f>
        <v>1</v>
      </c>
    </row>
    <row r="283" spans="95:103" ht="13.8" x14ac:dyDescent="0.3">
      <c r="CQ283" s="24">
        <v>1.0556616968212579E-2</v>
      </c>
      <c r="CR283" s="24" t="str">
        <f>"0"</f>
        <v>0</v>
      </c>
      <c r="CS283" t="str">
        <f ca="1">IF((OFFSET($A$1, 283 - 1, 95 - 1)) &gt;= (OFFSET($A$1, 54 - 1, 7 - 1)), "1","0")</f>
        <v>0</v>
      </c>
      <c r="CT283">
        <f ca="1" xml:space="preserve"> IF( AND( OFFSET($A$1, 283 - 1, 96 - 1) = "1", OFFSET($A$1, 283 - 1, 97 - 1) = "1" ), 1, IF( AND( OFFSET($A$1, 283 - 1, 96 - 1) = "1", OFFSET($A$1, 283 - 1, 97 - 1) = "0" ), 2, IF( AND( OFFSET($A$1, 283 - 1, 96 - 1) = "0", OFFSET($A$1, 283 - 1, 97 - 1) = "1" ), 3, 4 ) ) )</f>
        <v>4</v>
      </c>
      <c r="CV283" s="24">
        <v>0.99445760583665344</v>
      </c>
      <c r="CW283" s="24" t="str">
        <f>"0"</f>
        <v>0</v>
      </c>
      <c r="CX283" t="str">
        <f ca="1">IF((OFFSET($A$1, 283 - 1, 100 - 1)) &gt;= (OFFSET($A$1, 78 - 1, 7 - 1)), "1","0")</f>
        <v>1</v>
      </c>
      <c r="CY283">
        <f ca="1" xml:space="preserve"> IF( AND( OFFSET($A$1, 283 - 1, 101 - 1) = "1", OFFSET($A$1, 283 - 1, 102 - 1) = "1" ), 1, IF( AND( OFFSET($A$1, 283 - 1, 101 - 1) = "1", OFFSET($A$1, 283 - 1, 102 - 1) = "0" ), 2, IF( AND( OFFSET($A$1, 283 - 1, 101 - 1) = "0", OFFSET($A$1, 283 - 1, 102 - 1) = "1" ), 3, 4 ) ) )</f>
        <v>3</v>
      </c>
    </row>
    <row r="284" spans="95:103" ht="13.8" x14ac:dyDescent="0.3">
      <c r="CQ284" s="24">
        <v>0.99801671203898967</v>
      </c>
      <c r="CR284" s="24" t="str">
        <f>"1"</f>
        <v>1</v>
      </c>
      <c r="CS284" t="str">
        <f ca="1">IF((OFFSET($A$1, 284 - 1, 95 - 1)) &gt;= (OFFSET($A$1, 54 - 1, 7 - 1)), "1","0")</f>
        <v>1</v>
      </c>
      <c r="CT284">
        <f ca="1" xml:space="preserve"> IF( AND( OFFSET($A$1, 284 - 1, 96 - 1) = "1", OFFSET($A$1, 284 - 1, 97 - 1) = "1" ), 1, IF( AND( OFFSET($A$1, 284 - 1, 96 - 1) = "1", OFFSET($A$1, 284 - 1, 97 - 1) = "0" ), 2, IF( AND( OFFSET($A$1, 284 - 1, 96 - 1) = "0", OFFSET($A$1, 284 - 1, 97 - 1) = "1" ), 3, 4 ) ) )</f>
        <v>1</v>
      </c>
      <c r="CV284" s="24">
        <v>0.95542579993020105</v>
      </c>
      <c r="CW284" s="24" t="str">
        <f>"0"</f>
        <v>0</v>
      </c>
      <c r="CX284" t="str">
        <f ca="1">IF((OFFSET($A$1, 284 - 1, 100 - 1)) &gt;= (OFFSET($A$1, 78 - 1, 7 - 1)), "1","0")</f>
        <v>1</v>
      </c>
      <c r="CY284">
        <f ca="1" xml:space="preserve"> IF( AND( OFFSET($A$1, 284 - 1, 101 - 1) = "1", OFFSET($A$1, 284 - 1, 102 - 1) = "1" ), 1, IF( AND( OFFSET($A$1, 284 - 1, 101 - 1) = "1", OFFSET($A$1, 284 - 1, 102 - 1) = "0" ), 2, IF( AND( OFFSET($A$1, 284 - 1, 101 - 1) = "0", OFFSET($A$1, 284 - 1, 102 - 1) = "1" ), 3, 4 ) ) )</f>
        <v>3</v>
      </c>
    </row>
    <row r="285" spans="95:103" ht="13.8" x14ac:dyDescent="0.3">
      <c r="CQ285" s="24">
        <v>3.3593218764849369E-3</v>
      </c>
      <c r="CR285" s="24" t="str">
        <f>"0"</f>
        <v>0</v>
      </c>
      <c r="CS285" t="str">
        <f ca="1">IF((OFFSET($A$1, 285 - 1, 95 - 1)) &gt;= (OFFSET($A$1, 54 - 1, 7 - 1)), "1","0")</f>
        <v>0</v>
      </c>
      <c r="CT285">
        <f ca="1" xml:space="preserve"> IF( AND( OFFSET($A$1, 285 - 1, 96 - 1) = "1", OFFSET($A$1, 285 - 1, 97 - 1) = "1" ), 1, IF( AND( OFFSET($A$1, 285 - 1, 96 - 1) = "1", OFFSET($A$1, 285 - 1, 97 - 1) = "0" ), 2, IF( AND( OFFSET($A$1, 285 - 1, 96 - 1) = "0", OFFSET($A$1, 285 - 1, 97 - 1) = "1" ), 3, 4 ) ) )</f>
        <v>4</v>
      </c>
      <c r="CV285" s="24">
        <v>0.54991134557696986</v>
      </c>
      <c r="CW285" s="24" t="str">
        <f>"1"</f>
        <v>1</v>
      </c>
      <c r="CX285" t="str">
        <f ca="1">IF((OFFSET($A$1, 285 - 1, 100 - 1)) &gt;= (OFFSET($A$1, 78 - 1, 7 - 1)), "1","0")</f>
        <v>1</v>
      </c>
      <c r="CY285">
        <f ca="1" xml:space="preserve"> IF( AND( OFFSET($A$1, 285 - 1, 101 - 1) = "1", OFFSET($A$1, 285 - 1, 102 - 1) = "1" ), 1, IF( AND( OFFSET($A$1, 285 - 1, 101 - 1) = "1", OFFSET($A$1, 285 - 1, 102 - 1) = "0" ), 2, IF( AND( OFFSET($A$1, 285 - 1, 101 - 1) = "0", OFFSET($A$1, 285 - 1, 102 - 1) = "1" ), 3, 4 ) ) )</f>
        <v>1</v>
      </c>
    </row>
    <row r="286" spans="95:103" ht="13.8" x14ac:dyDescent="0.3">
      <c r="CQ286" s="24">
        <v>0.99373251783561223</v>
      </c>
      <c r="CR286" s="24" t="str">
        <f>"1"</f>
        <v>1</v>
      </c>
      <c r="CS286" t="str">
        <f ca="1">IF((OFFSET($A$1, 286 - 1, 95 - 1)) &gt;= (OFFSET($A$1, 54 - 1, 7 - 1)), "1","0")</f>
        <v>1</v>
      </c>
      <c r="CT286">
        <f ca="1" xml:space="preserve"> IF( AND( OFFSET($A$1, 286 - 1, 96 - 1) = "1", OFFSET($A$1, 286 - 1, 97 - 1) = "1" ), 1, IF( AND( OFFSET($A$1, 286 - 1, 96 - 1) = "1", OFFSET($A$1, 286 - 1, 97 - 1) = "0" ), 2, IF( AND( OFFSET($A$1, 286 - 1, 96 - 1) = "0", OFFSET($A$1, 286 - 1, 97 - 1) = "1" ), 3, 4 ) ) )</f>
        <v>1</v>
      </c>
      <c r="CV286" s="24">
        <v>0.68124232023036246</v>
      </c>
      <c r="CW286" s="24" t="str">
        <f>"1"</f>
        <v>1</v>
      </c>
      <c r="CX286" t="str">
        <f ca="1">IF((OFFSET($A$1, 286 - 1, 100 - 1)) &gt;= (OFFSET($A$1, 78 - 1, 7 - 1)), "1","0")</f>
        <v>1</v>
      </c>
      <c r="CY286">
        <f ca="1" xml:space="preserve"> IF( AND( OFFSET($A$1, 286 - 1, 101 - 1) = "1", OFFSET($A$1, 286 - 1, 102 - 1) = "1" ), 1, IF( AND( OFFSET($A$1, 286 - 1, 101 - 1) = "1", OFFSET($A$1, 286 - 1, 102 - 1) = "0" ), 2, IF( AND( OFFSET($A$1, 286 - 1, 101 - 1) = "0", OFFSET($A$1, 286 - 1, 102 - 1) = "1" ), 3, 4 ) ) )</f>
        <v>1</v>
      </c>
    </row>
    <row r="287" spans="95:103" ht="13.8" x14ac:dyDescent="0.3">
      <c r="CQ287" s="24">
        <v>0.99701451343497038</v>
      </c>
      <c r="CR287" s="24" t="str">
        <f>"0"</f>
        <v>0</v>
      </c>
      <c r="CS287" t="str">
        <f ca="1">IF((OFFSET($A$1, 287 - 1, 95 - 1)) &gt;= (OFFSET($A$1, 54 - 1, 7 - 1)), "1","0")</f>
        <v>1</v>
      </c>
      <c r="CT287">
        <f ca="1" xml:space="preserve"> IF( AND( OFFSET($A$1, 287 - 1, 96 - 1) = "1", OFFSET($A$1, 287 - 1, 97 - 1) = "1" ), 1, IF( AND( OFFSET($A$1, 287 - 1, 96 - 1) = "1", OFFSET($A$1, 287 - 1, 97 - 1) = "0" ), 2, IF( AND( OFFSET($A$1, 287 - 1, 96 - 1) = "0", OFFSET($A$1, 287 - 1, 97 - 1) = "1" ), 3, 4 ) ) )</f>
        <v>3</v>
      </c>
      <c r="CV287" s="24">
        <v>0.97406170251125523</v>
      </c>
      <c r="CW287" s="24" t="str">
        <f>"1"</f>
        <v>1</v>
      </c>
      <c r="CX287" t="str">
        <f ca="1">IF((OFFSET($A$1, 287 - 1, 100 - 1)) &gt;= (OFFSET($A$1, 78 - 1, 7 - 1)), "1","0")</f>
        <v>1</v>
      </c>
      <c r="CY287">
        <f ca="1" xml:space="preserve"> IF( AND( OFFSET($A$1, 287 - 1, 101 - 1) = "1", OFFSET($A$1, 287 - 1, 102 - 1) = "1" ), 1, IF( AND( OFFSET($A$1, 287 - 1, 101 - 1) = "1", OFFSET($A$1, 287 - 1, 102 - 1) = "0" ), 2, IF( AND( OFFSET($A$1, 287 - 1, 101 - 1) = "0", OFFSET($A$1, 287 - 1, 102 - 1) = "1" ), 3, 4 ) ) )</f>
        <v>1</v>
      </c>
    </row>
    <row r="288" spans="95:103" ht="13.8" x14ac:dyDescent="0.3">
      <c r="CQ288" s="24">
        <v>0.9701818583144155</v>
      </c>
      <c r="CR288" s="24" t="str">
        <f>"1"</f>
        <v>1</v>
      </c>
      <c r="CS288" t="str">
        <f ca="1">IF((OFFSET($A$1, 288 - 1, 95 - 1)) &gt;= (OFFSET($A$1, 54 - 1, 7 - 1)), "1","0")</f>
        <v>1</v>
      </c>
      <c r="CT288">
        <f ca="1" xml:space="preserve"> IF( AND( OFFSET($A$1, 288 - 1, 96 - 1) = "1", OFFSET($A$1, 288 - 1, 97 - 1) = "1" ), 1, IF( AND( OFFSET($A$1, 288 - 1, 96 - 1) = "1", OFFSET($A$1, 288 - 1, 97 - 1) = "0" ), 2, IF( AND( OFFSET($A$1, 288 - 1, 96 - 1) = "0", OFFSET($A$1, 288 - 1, 97 - 1) = "1" ), 3, 4 ) ) )</f>
        <v>1</v>
      </c>
      <c r="CV288" s="24">
        <v>0.99999904291724584</v>
      </c>
      <c r="CW288" s="24" t="str">
        <f>"1"</f>
        <v>1</v>
      </c>
      <c r="CX288" t="str">
        <f ca="1">IF((OFFSET($A$1, 288 - 1, 100 - 1)) &gt;= (OFFSET($A$1, 78 - 1, 7 - 1)), "1","0")</f>
        <v>1</v>
      </c>
      <c r="CY288">
        <f ca="1" xml:space="preserve"> IF( AND( OFFSET($A$1, 288 - 1, 101 - 1) = "1", OFFSET($A$1, 288 - 1, 102 - 1) = "1" ), 1, IF( AND( OFFSET($A$1, 288 - 1, 101 - 1) = "1", OFFSET($A$1, 288 - 1, 102 - 1) = "0" ), 2, IF( AND( OFFSET($A$1, 288 - 1, 101 - 1) = "0", OFFSET($A$1, 288 - 1, 102 - 1) = "1" ), 3, 4 ) ) )</f>
        <v>1</v>
      </c>
    </row>
    <row r="289" spans="95:103" ht="13.8" x14ac:dyDescent="0.3">
      <c r="CQ289" s="24">
        <v>0.13957155409666999</v>
      </c>
      <c r="CR289" s="24" t="str">
        <f>"0"</f>
        <v>0</v>
      </c>
      <c r="CS289" t="str">
        <f ca="1">IF((OFFSET($A$1, 289 - 1, 95 - 1)) &gt;= (OFFSET($A$1, 54 - 1, 7 - 1)), "1","0")</f>
        <v>0</v>
      </c>
      <c r="CT289">
        <f ca="1" xml:space="preserve"> IF( AND( OFFSET($A$1, 289 - 1, 96 - 1) = "1", OFFSET($A$1, 289 - 1, 97 - 1) = "1" ), 1, IF( AND( OFFSET($A$1, 289 - 1, 96 - 1) = "1", OFFSET($A$1, 289 - 1, 97 - 1) = "0" ), 2, IF( AND( OFFSET($A$1, 289 - 1, 96 - 1) = "0", OFFSET($A$1, 289 - 1, 97 - 1) = "1" ), 3, 4 ) ) )</f>
        <v>4</v>
      </c>
      <c r="CV289" s="24">
        <v>0.7862129233227213</v>
      </c>
      <c r="CW289" s="24" t="str">
        <f>"0"</f>
        <v>0</v>
      </c>
      <c r="CX289" t="str">
        <f ca="1">IF((OFFSET($A$1, 289 - 1, 100 - 1)) &gt;= (OFFSET($A$1, 78 - 1, 7 - 1)), "1","0")</f>
        <v>1</v>
      </c>
      <c r="CY289">
        <f ca="1" xml:space="preserve"> IF( AND( OFFSET($A$1, 289 - 1, 101 - 1) = "1", OFFSET($A$1, 289 - 1, 102 - 1) = "1" ), 1, IF( AND( OFFSET($A$1, 289 - 1, 101 - 1) = "1", OFFSET($A$1, 289 - 1, 102 - 1) = "0" ), 2, IF( AND( OFFSET($A$1, 289 - 1, 101 - 1) = "0", OFFSET($A$1, 289 - 1, 102 - 1) = "1" ), 3, 4 ) ) )</f>
        <v>3</v>
      </c>
    </row>
    <row r="290" spans="95:103" ht="13.8" x14ac:dyDescent="0.3">
      <c r="CQ290" s="24">
        <v>7.3110094659588967E-2</v>
      </c>
      <c r="CR290" s="24" t="str">
        <f>"0"</f>
        <v>0</v>
      </c>
      <c r="CS290" t="str">
        <f ca="1">IF((OFFSET($A$1, 290 - 1, 95 - 1)) &gt;= (OFFSET($A$1, 54 - 1, 7 - 1)), "1","0")</f>
        <v>0</v>
      </c>
      <c r="CT290">
        <f ca="1" xml:space="preserve"> IF( AND( OFFSET($A$1, 290 - 1, 96 - 1) = "1", OFFSET($A$1, 290 - 1, 97 - 1) = "1" ), 1, IF( AND( OFFSET($A$1, 290 - 1, 96 - 1) = "1", OFFSET($A$1, 290 - 1, 97 - 1) = "0" ), 2, IF( AND( OFFSET($A$1, 290 - 1, 96 - 1) = "0", OFFSET($A$1, 290 - 1, 97 - 1) = "1" ), 3, 4 ) ) )</f>
        <v>4</v>
      </c>
      <c r="CV290" s="24">
        <v>0.22803620323375018</v>
      </c>
      <c r="CW290" s="24" t="str">
        <f>"0"</f>
        <v>0</v>
      </c>
      <c r="CX290" t="str">
        <f ca="1">IF((OFFSET($A$1, 290 - 1, 100 - 1)) &gt;= (OFFSET($A$1, 78 - 1, 7 - 1)), "1","0")</f>
        <v>0</v>
      </c>
      <c r="CY290">
        <f ca="1" xml:space="preserve"> IF( AND( OFFSET($A$1, 290 - 1, 101 - 1) = "1", OFFSET($A$1, 290 - 1, 102 - 1) = "1" ), 1, IF( AND( OFFSET($A$1, 290 - 1, 101 - 1) = "1", OFFSET($A$1, 290 - 1, 102 - 1) = "0" ), 2, IF( AND( OFFSET($A$1, 290 - 1, 101 - 1) = "0", OFFSET($A$1, 290 - 1, 102 - 1) = "1" ), 3, 4 ) ) )</f>
        <v>4</v>
      </c>
    </row>
    <row r="291" spans="95:103" ht="13.8" x14ac:dyDescent="0.3">
      <c r="CQ291" s="24">
        <v>0.93469579486765353</v>
      </c>
      <c r="CR291" s="24" t="str">
        <f>"1"</f>
        <v>1</v>
      </c>
      <c r="CS291" t="str">
        <f ca="1">IF((OFFSET($A$1, 291 - 1, 95 - 1)) &gt;= (OFFSET($A$1, 54 - 1, 7 - 1)), "1","0")</f>
        <v>1</v>
      </c>
      <c r="CT291">
        <f ca="1" xml:space="preserve"> IF( AND( OFFSET($A$1, 291 - 1, 96 - 1) = "1", OFFSET($A$1, 291 - 1, 97 - 1) = "1" ), 1, IF( AND( OFFSET($A$1, 291 - 1, 96 - 1) = "1", OFFSET($A$1, 291 - 1, 97 - 1) = "0" ), 2, IF( AND( OFFSET($A$1, 291 - 1, 96 - 1) = "0", OFFSET($A$1, 291 - 1, 97 - 1) = "1" ), 3, 4 ) ) )</f>
        <v>1</v>
      </c>
      <c r="CV291" s="24">
        <v>0.110115693963867</v>
      </c>
      <c r="CW291" s="24" t="str">
        <f>"1"</f>
        <v>1</v>
      </c>
      <c r="CX291" t="str">
        <f ca="1">IF((OFFSET($A$1, 291 - 1, 100 - 1)) &gt;= (OFFSET($A$1, 78 - 1, 7 - 1)), "1","0")</f>
        <v>0</v>
      </c>
      <c r="CY291">
        <f ca="1" xml:space="preserve"> IF( AND( OFFSET($A$1, 291 - 1, 101 - 1) = "1", OFFSET($A$1, 291 - 1, 102 - 1) = "1" ), 1, IF( AND( OFFSET($A$1, 291 - 1, 101 - 1) = "1", OFFSET($A$1, 291 - 1, 102 - 1) = "0" ), 2, IF( AND( OFFSET($A$1, 291 - 1, 101 - 1) = "0", OFFSET($A$1, 291 - 1, 102 - 1) = "1" ), 3, 4 ) ) )</f>
        <v>2</v>
      </c>
    </row>
    <row r="292" spans="95:103" ht="13.8" x14ac:dyDescent="0.3">
      <c r="CQ292" s="24">
        <v>0.98239075553847111</v>
      </c>
      <c r="CR292" s="24" t="str">
        <f>"1"</f>
        <v>1</v>
      </c>
      <c r="CS292" t="str">
        <f ca="1">IF((OFFSET($A$1, 292 - 1, 95 - 1)) &gt;= (OFFSET($A$1, 54 - 1, 7 - 1)), "1","0")</f>
        <v>1</v>
      </c>
      <c r="CT292">
        <f ca="1" xml:space="preserve"> IF( AND( OFFSET($A$1, 292 - 1, 96 - 1) = "1", OFFSET($A$1, 292 - 1, 97 - 1) = "1" ), 1, IF( AND( OFFSET($A$1, 292 - 1, 96 - 1) = "1", OFFSET($A$1, 292 - 1, 97 - 1) = "0" ), 2, IF( AND( OFFSET($A$1, 292 - 1, 96 - 1) = "0", OFFSET($A$1, 292 - 1, 97 - 1) = "1" ), 3, 4 ) ) )</f>
        <v>1</v>
      </c>
      <c r="CV292" s="24">
        <v>0.99998274631061812</v>
      </c>
      <c r="CW292" s="24" t="str">
        <f>"1"</f>
        <v>1</v>
      </c>
      <c r="CX292" t="str">
        <f ca="1">IF((OFFSET($A$1, 292 - 1, 100 - 1)) &gt;= (OFFSET($A$1, 78 - 1, 7 - 1)), "1","0")</f>
        <v>1</v>
      </c>
      <c r="CY292">
        <f ca="1" xml:space="preserve"> IF( AND( OFFSET($A$1, 292 - 1, 101 - 1) = "1", OFFSET($A$1, 292 - 1, 102 - 1) = "1" ), 1, IF( AND( OFFSET($A$1, 292 - 1, 101 - 1) = "1", OFFSET($A$1, 292 - 1, 102 - 1) = "0" ), 2, IF( AND( OFFSET($A$1, 292 - 1, 101 - 1) = "0", OFFSET($A$1, 292 - 1, 102 - 1) = "1" ), 3, 4 ) ) )</f>
        <v>1</v>
      </c>
    </row>
    <row r="293" spans="95:103" ht="13.8" x14ac:dyDescent="0.3">
      <c r="CQ293" s="24">
        <v>1.4312170212111099E-2</v>
      </c>
      <c r="CR293" s="24" t="str">
        <f>"0"</f>
        <v>0</v>
      </c>
      <c r="CS293" t="str">
        <f ca="1">IF((OFFSET($A$1, 293 - 1, 95 - 1)) &gt;= (OFFSET($A$1, 54 - 1, 7 - 1)), "1","0")</f>
        <v>0</v>
      </c>
      <c r="CT293">
        <f ca="1" xml:space="preserve"> IF( AND( OFFSET($A$1, 293 - 1, 96 - 1) = "1", OFFSET($A$1, 293 - 1, 97 - 1) = "1" ), 1, IF( AND( OFFSET($A$1, 293 - 1, 96 - 1) = "1", OFFSET($A$1, 293 - 1, 97 - 1) = "0" ), 2, IF( AND( OFFSET($A$1, 293 - 1, 96 - 1) = "0", OFFSET($A$1, 293 - 1, 97 - 1) = "1" ), 3, 4 ) ) )</f>
        <v>4</v>
      </c>
      <c r="CV293" s="24">
        <v>0.94007257595740745</v>
      </c>
      <c r="CW293" s="24" t="str">
        <f>"1"</f>
        <v>1</v>
      </c>
      <c r="CX293" t="str">
        <f ca="1">IF((OFFSET($A$1, 293 - 1, 100 - 1)) &gt;= (OFFSET($A$1, 78 - 1, 7 - 1)), "1","0")</f>
        <v>1</v>
      </c>
      <c r="CY293">
        <f ca="1" xml:space="preserve"> IF( AND( OFFSET($A$1, 293 - 1, 101 - 1) = "1", OFFSET($A$1, 293 - 1, 102 - 1) = "1" ), 1, IF( AND( OFFSET($A$1, 293 - 1, 101 - 1) = "1", OFFSET($A$1, 293 - 1, 102 - 1) = "0" ), 2, IF( AND( OFFSET($A$1, 293 - 1, 101 - 1) = "0", OFFSET($A$1, 293 - 1, 102 - 1) = "1" ), 3, 4 ) ) )</f>
        <v>1</v>
      </c>
    </row>
    <row r="294" spans="95:103" ht="13.8" x14ac:dyDescent="0.3">
      <c r="CQ294" s="24">
        <v>0.99999967666577627</v>
      </c>
      <c r="CR294" s="24" t="str">
        <f>"1"</f>
        <v>1</v>
      </c>
      <c r="CS294" t="str">
        <f ca="1">IF((OFFSET($A$1, 294 - 1, 95 - 1)) &gt;= (OFFSET($A$1, 54 - 1, 7 - 1)), "1","0")</f>
        <v>1</v>
      </c>
      <c r="CT294">
        <f ca="1" xml:space="preserve"> IF( AND( OFFSET($A$1, 294 - 1, 96 - 1) = "1", OFFSET($A$1, 294 - 1, 97 - 1) = "1" ), 1, IF( AND( OFFSET($A$1, 294 - 1, 96 - 1) = "1", OFFSET($A$1, 294 - 1, 97 - 1) = "0" ), 2, IF( AND( OFFSET($A$1, 294 - 1, 96 - 1) = "0", OFFSET($A$1, 294 - 1, 97 - 1) = "1" ), 3, 4 ) ) )</f>
        <v>1</v>
      </c>
      <c r="CV294" s="24">
        <v>0.74956591362820568</v>
      </c>
      <c r="CW294" s="24" t="str">
        <f>"0"</f>
        <v>0</v>
      </c>
      <c r="CX294" t="str">
        <f ca="1">IF((OFFSET($A$1, 294 - 1, 100 - 1)) &gt;= (OFFSET($A$1, 78 - 1, 7 - 1)), "1","0")</f>
        <v>1</v>
      </c>
      <c r="CY294">
        <f ca="1" xml:space="preserve"> IF( AND( OFFSET($A$1, 294 - 1, 101 - 1) = "1", OFFSET($A$1, 294 - 1, 102 - 1) = "1" ), 1, IF( AND( OFFSET($A$1, 294 - 1, 101 - 1) = "1", OFFSET($A$1, 294 - 1, 102 - 1) = "0" ), 2, IF( AND( OFFSET($A$1, 294 - 1, 101 - 1) = "0", OFFSET($A$1, 294 - 1, 102 - 1) = "1" ), 3, 4 ) ) )</f>
        <v>3</v>
      </c>
    </row>
    <row r="295" spans="95:103" ht="13.8" x14ac:dyDescent="0.3">
      <c r="CQ295" s="24">
        <v>9.8423175660031795E-2</v>
      </c>
      <c r="CR295" s="24" t="str">
        <f>"0"</f>
        <v>0</v>
      </c>
      <c r="CS295" t="str">
        <f ca="1">IF((OFFSET($A$1, 295 - 1, 95 - 1)) &gt;= (OFFSET($A$1, 54 - 1, 7 - 1)), "1","0")</f>
        <v>0</v>
      </c>
      <c r="CT295">
        <f ca="1" xml:space="preserve"> IF( AND( OFFSET($A$1, 295 - 1, 96 - 1) = "1", OFFSET($A$1, 295 - 1, 97 - 1) = "1" ), 1, IF( AND( OFFSET($A$1, 295 - 1, 96 - 1) = "1", OFFSET($A$1, 295 - 1, 97 - 1) = "0" ), 2, IF( AND( OFFSET($A$1, 295 - 1, 96 - 1) = "0", OFFSET($A$1, 295 - 1, 97 - 1) = "1" ), 3, 4 ) ) )</f>
        <v>4</v>
      </c>
      <c r="CV295" s="24">
        <v>0.85603949761614473</v>
      </c>
      <c r="CW295" s="24" t="str">
        <f>"0"</f>
        <v>0</v>
      </c>
      <c r="CX295" t="str">
        <f ca="1">IF((OFFSET($A$1, 295 - 1, 100 - 1)) &gt;= (OFFSET($A$1, 78 - 1, 7 - 1)), "1","0")</f>
        <v>1</v>
      </c>
      <c r="CY295">
        <f ca="1" xml:space="preserve"> IF( AND( OFFSET($A$1, 295 - 1, 101 - 1) = "1", OFFSET($A$1, 295 - 1, 102 - 1) = "1" ), 1, IF( AND( OFFSET($A$1, 295 - 1, 101 - 1) = "1", OFFSET($A$1, 295 - 1, 102 - 1) = "0" ), 2, IF( AND( OFFSET($A$1, 295 - 1, 101 - 1) = "0", OFFSET($A$1, 295 - 1, 102 - 1) = "1" ), 3, 4 ) ) )</f>
        <v>3</v>
      </c>
    </row>
    <row r="296" spans="95:103" ht="13.8" x14ac:dyDescent="0.3">
      <c r="CQ296" s="24">
        <v>0.98022025903415411</v>
      </c>
      <c r="CR296" s="24" t="str">
        <f>"1"</f>
        <v>1</v>
      </c>
      <c r="CS296" t="str">
        <f ca="1">IF((OFFSET($A$1, 296 - 1, 95 - 1)) &gt;= (OFFSET($A$1, 54 - 1, 7 - 1)), "1","0")</f>
        <v>1</v>
      </c>
      <c r="CT296">
        <f ca="1" xml:space="preserve"> IF( AND( OFFSET($A$1, 296 - 1, 96 - 1) = "1", OFFSET($A$1, 296 - 1, 97 - 1) = "1" ), 1, IF( AND( OFFSET($A$1, 296 - 1, 96 - 1) = "1", OFFSET($A$1, 296 - 1, 97 - 1) = "0" ), 2, IF( AND( OFFSET($A$1, 296 - 1, 96 - 1) = "0", OFFSET($A$1, 296 - 1, 97 - 1) = "1" ), 3, 4 ) ) )</f>
        <v>1</v>
      </c>
      <c r="CV296" s="24">
        <v>0.99996155365527972</v>
      </c>
      <c r="CW296" s="24" t="str">
        <f>"1"</f>
        <v>1</v>
      </c>
      <c r="CX296" t="str">
        <f ca="1">IF((OFFSET($A$1, 296 - 1, 100 - 1)) &gt;= (OFFSET($A$1, 78 - 1, 7 - 1)), "1","0")</f>
        <v>1</v>
      </c>
      <c r="CY296">
        <f ca="1" xml:space="preserve"> IF( AND( OFFSET($A$1, 296 - 1, 101 - 1) = "1", OFFSET($A$1, 296 - 1, 102 - 1) = "1" ), 1, IF( AND( OFFSET($A$1, 296 - 1, 101 - 1) = "1", OFFSET($A$1, 296 - 1, 102 - 1) = "0" ), 2, IF( AND( OFFSET($A$1, 296 - 1, 101 - 1) = "0", OFFSET($A$1, 296 - 1, 102 - 1) = "1" ), 3, 4 ) ) )</f>
        <v>1</v>
      </c>
    </row>
    <row r="297" spans="95:103" ht="13.8" x14ac:dyDescent="0.3">
      <c r="CQ297" s="24">
        <v>0.93802159292789988</v>
      </c>
      <c r="CR297" s="24" t="str">
        <f>"1"</f>
        <v>1</v>
      </c>
      <c r="CS297" t="str">
        <f ca="1">IF((OFFSET($A$1, 297 - 1, 95 - 1)) &gt;= (OFFSET($A$1, 54 - 1, 7 - 1)), "1","0")</f>
        <v>1</v>
      </c>
      <c r="CT297">
        <f ca="1" xml:space="preserve"> IF( AND( OFFSET($A$1, 297 - 1, 96 - 1) = "1", OFFSET($A$1, 297 - 1, 97 - 1) = "1" ), 1, IF( AND( OFFSET($A$1, 297 - 1, 96 - 1) = "1", OFFSET($A$1, 297 - 1, 97 - 1) = "0" ), 2, IF( AND( OFFSET($A$1, 297 - 1, 96 - 1) = "0", OFFSET($A$1, 297 - 1, 97 - 1) = "1" ), 3, 4 ) ) )</f>
        <v>1</v>
      </c>
      <c r="CV297" s="24">
        <v>0.1569311331979194</v>
      </c>
      <c r="CW297" s="24" t="str">
        <f>"0"</f>
        <v>0</v>
      </c>
      <c r="CX297" t="str">
        <f ca="1">IF((OFFSET($A$1, 297 - 1, 100 - 1)) &gt;= (OFFSET($A$1, 78 - 1, 7 - 1)), "1","0")</f>
        <v>0</v>
      </c>
      <c r="CY297">
        <f ca="1" xml:space="preserve"> IF( AND( OFFSET($A$1, 297 - 1, 101 - 1) = "1", OFFSET($A$1, 297 - 1, 102 - 1) = "1" ), 1, IF( AND( OFFSET($A$1, 297 - 1, 101 - 1) = "1", OFFSET($A$1, 297 - 1, 102 - 1) = "0" ), 2, IF( AND( OFFSET($A$1, 297 - 1, 101 - 1) = "0", OFFSET($A$1, 297 - 1, 102 - 1) = "1" ), 3, 4 ) ) )</f>
        <v>4</v>
      </c>
    </row>
    <row r="298" spans="95:103" ht="13.8" x14ac:dyDescent="0.3">
      <c r="CQ298" s="24">
        <v>0.99819076688411745</v>
      </c>
      <c r="CR298" s="24" t="str">
        <f>"1"</f>
        <v>1</v>
      </c>
      <c r="CS298" t="str">
        <f ca="1">IF((OFFSET($A$1, 298 - 1, 95 - 1)) &gt;= (OFFSET($A$1, 54 - 1, 7 - 1)), "1","0")</f>
        <v>1</v>
      </c>
      <c r="CT298">
        <f ca="1" xml:space="preserve"> IF( AND( OFFSET($A$1, 298 - 1, 96 - 1) = "1", OFFSET($A$1, 298 - 1, 97 - 1) = "1" ), 1, IF( AND( OFFSET($A$1, 298 - 1, 96 - 1) = "1", OFFSET($A$1, 298 - 1, 97 - 1) = "0" ), 2, IF( AND( OFFSET($A$1, 298 - 1, 96 - 1) = "0", OFFSET($A$1, 298 - 1, 97 - 1) = "1" ), 3, 4 ) ) )</f>
        <v>1</v>
      </c>
      <c r="CV298" s="24">
        <v>0.18930000769904093</v>
      </c>
      <c r="CW298" s="24" t="str">
        <f>"0"</f>
        <v>0</v>
      </c>
      <c r="CX298" t="str">
        <f ca="1">IF((OFFSET($A$1, 298 - 1, 100 - 1)) &gt;= (OFFSET($A$1, 78 - 1, 7 - 1)), "1","0")</f>
        <v>0</v>
      </c>
      <c r="CY298">
        <f ca="1" xml:space="preserve"> IF( AND( OFFSET($A$1, 298 - 1, 101 - 1) = "1", OFFSET($A$1, 298 - 1, 102 - 1) = "1" ), 1, IF( AND( OFFSET($A$1, 298 - 1, 101 - 1) = "1", OFFSET($A$1, 298 - 1, 102 - 1) = "0" ), 2, IF( AND( OFFSET($A$1, 298 - 1, 101 - 1) = "0", OFFSET($A$1, 298 - 1, 102 - 1) = "1" ), 3, 4 ) ) )</f>
        <v>4</v>
      </c>
    </row>
    <row r="299" spans="95:103" ht="13.8" x14ac:dyDescent="0.3">
      <c r="CQ299" s="24">
        <v>0.91748368366841526</v>
      </c>
      <c r="CR299" s="24" t="str">
        <f>"1"</f>
        <v>1</v>
      </c>
      <c r="CS299" t="str">
        <f ca="1">IF((OFFSET($A$1, 299 - 1, 95 - 1)) &gt;= (OFFSET($A$1, 54 - 1, 7 - 1)), "1","0")</f>
        <v>1</v>
      </c>
      <c r="CT299">
        <f ca="1" xml:space="preserve"> IF( AND( OFFSET($A$1, 299 - 1, 96 - 1) = "1", OFFSET($A$1, 299 - 1, 97 - 1) = "1" ), 1, IF( AND( OFFSET($A$1, 299 - 1, 96 - 1) = "1", OFFSET($A$1, 299 - 1, 97 - 1) = "0" ), 2, IF( AND( OFFSET($A$1, 299 - 1, 96 - 1) = "0", OFFSET($A$1, 299 - 1, 97 - 1) = "1" ), 3, 4 ) ) )</f>
        <v>1</v>
      </c>
      <c r="CV299" s="24">
        <v>9.6673511850493332E-2</v>
      </c>
      <c r="CW299" s="24" t="str">
        <f>"0"</f>
        <v>0</v>
      </c>
      <c r="CX299" t="str">
        <f ca="1">IF((OFFSET($A$1, 299 - 1, 100 - 1)) &gt;= (OFFSET($A$1, 78 - 1, 7 - 1)), "1","0")</f>
        <v>0</v>
      </c>
      <c r="CY299">
        <f ca="1" xml:space="preserve"> IF( AND( OFFSET($A$1, 299 - 1, 101 - 1) = "1", OFFSET($A$1, 299 - 1, 102 - 1) = "1" ), 1, IF( AND( OFFSET($A$1, 299 - 1, 101 - 1) = "1", OFFSET($A$1, 299 - 1, 102 - 1) = "0" ), 2, IF( AND( OFFSET($A$1, 299 - 1, 101 - 1) = "0", OFFSET($A$1, 299 - 1, 102 - 1) = "1" ), 3, 4 ) ) )</f>
        <v>4</v>
      </c>
    </row>
    <row r="300" spans="95:103" ht="13.8" x14ac:dyDescent="0.3">
      <c r="CQ300" s="24">
        <v>0.99692526327385333</v>
      </c>
      <c r="CR300" s="24" t="str">
        <f>"1"</f>
        <v>1</v>
      </c>
      <c r="CS300" t="str">
        <f ca="1">IF((OFFSET($A$1, 300 - 1, 95 - 1)) &gt;= (OFFSET($A$1, 54 - 1, 7 - 1)), "1","0")</f>
        <v>1</v>
      </c>
      <c r="CT300">
        <f ca="1" xml:space="preserve"> IF( AND( OFFSET($A$1, 300 - 1, 96 - 1) = "1", OFFSET($A$1, 300 - 1, 97 - 1) = "1" ), 1, IF( AND( OFFSET($A$1, 300 - 1, 96 - 1) = "1", OFFSET($A$1, 300 - 1, 97 - 1) = "0" ), 2, IF( AND( OFFSET($A$1, 300 - 1, 96 - 1) = "0", OFFSET($A$1, 300 - 1, 97 - 1) = "1" ), 3, 4 ) ) )</f>
        <v>1</v>
      </c>
      <c r="CV300" s="24">
        <v>0.52933477074257818</v>
      </c>
      <c r="CW300" s="24" t="str">
        <f>"1"</f>
        <v>1</v>
      </c>
      <c r="CX300" t="str">
        <f ca="1">IF((OFFSET($A$1, 300 - 1, 100 - 1)) &gt;= (OFFSET($A$1, 78 - 1, 7 - 1)), "1","0")</f>
        <v>1</v>
      </c>
      <c r="CY300">
        <f ca="1" xml:space="preserve"> IF( AND( OFFSET($A$1, 300 - 1, 101 - 1) = "1", OFFSET($A$1, 300 - 1, 102 - 1) = "1" ), 1, IF( AND( OFFSET($A$1, 300 - 1, 101 - 1) = "1", OFFSET($A$1, 300 - 1, 102 - 1) = "0" ), 2, IF( AND( OFFSET($A$1, 300 - 1, 101 - 1) = "0", OFFSET($A$1, 300 - 1, 102 - 1) = "1" ), 3, 4 ) ) )</f>
        <v>1</v>
      </c>
    </row>
    <row r="301" spans="95:103" ht="13.8" x14ac:dyDescent="0.3">
      <c r="CQ301" s="24">
        <v>1.1399320360729237E-3</v>
      </c>
      <c r="CR301" s="24" t="str">
        <f>"0"</f>
        <v>0</v>
      </c>
      <c r="CS301" t="str">
        <f ca="1">IF((OFFSET($A$1, 301 - 1, 95 - 1)) &gt;= (OFFSET($A$1, 54 - 1, 7 - 1)), "1","0")</f>
        <v>0</v>
      </c>
      <c r="CT301">
        <f ca="1" xml:space="preserve"> IF( AND( OFFSET($A$1, 301 - 1, 96 - 1) = "1", OFFSET($A$1, 301 - 1, 97 - 1) = "1" ), 1, IF( AND( OFFSET($A$1, 301 - 1, 96 - 1) = "1", OFFSET($A$1, 301 - 1, 97 - 1) = "0" ), 2, IF( AND( OFFSET($A$1, 301 - 1, 96 - 1) = "0", OFFSET($A$1, 301 - 1, 97 - 1) = "1" ), 3, 4 ) ) )</f>
        <v>4</v>
      </c>
      <c r="CV301" s="24">
        <v>0.13262902428496184</v>
      </c>
      <c r="CW301" s="24" t="str">
        <f>"0"</f>
        <v>0</v>
      </c>
      <c r="CX301" t="str">
        <f ca="1">IF((OFFSET($A$1, 301 - 1, 100 - 1)) &gt;= (OFFSET($A$1, 78 - 1, 7 - 1)), "1","0")</f>
        <v>0</v>
      </c>
      <c r="CY301">
        <f ca="1" xml:space="preserve"> IF( AND( OFFSET($A$1, 301 - 1, 101 - 1) = "1", OFFSET($A$1, 301 - 1, 102 - 1) = "1" ), 1, IF( AND( OFFSET($A$1, 301 - 1, 101 - 1) = "1", OFFSET($A$1, 301 - 1, 102 - 1) = "0" ), 2, IF( AND( OFFSET($A$1, 301 - 1, 101 - 1) = "0", OFFSET($A$1, 301 - 1, 102 - 1) = "1" ), 3, 4 ) ) )</f>
        <v>4</v>
      </c>
    </row>
    <row r="302" spans="95:103" ht="13.8" x14ac:dyDescent="0.3">
      <c r="CQ302" s="24">
        <v>0.99740223938727923</v>
      </c>
      <c r="CR302" s="24" t="str">
        <f>"1"</f>
        <v>1</v>
      </c>
      <c r="CS302" t="str">
        <f ca="1">IF((OFFSET($A$1, 302 - 1, 95 - 1)) &gt;= (OFFSET($A$1, 54 - 1, 7 - 1)), "1","0")</f>
        <v>1</v>
      </c>
      <c r="CT302">
        <f ca="1" xml:space="preserve"> IF( AND( OFFSET($A$1, 302 - 1, 96 - 1) = "1", OFFSET($A$1, 302 - 1, 97 - 1) = "1" ), 1, IF( AND( OFFSET($A$1, 302 - 1, 96 - 1) = "1", OFFSET($A$1, 302 - 1, 97 - 1) = "0" ), 2, IF( AND( OFFSET($A$1, 302 - 1, 96 - 1) = "0", OFFSET($A$1, 302 - 1, 97 - 1) = "1" ), 3, 4 ) ) )</f>
        <v>1</v>
      </c>
      <c r="CV302" s="24">
        <v>0.87916470868526531</v>
      </c>
      <c r="CW302" s="24" t="str">
        <f>"0"</f>
        <v>0</v>
      </c>
      <c r="CX302" t="str">
        <f ca="1">IF((OFFSET($A$1, 302 - 1, 100 - 1)) &gt;= (OFFSET($A$1, 78 - 1, 7 - 1)), "1","0")</f>
        <v>1</v>
      </c>
      <c r="CY302">
        <f ca="1" xml:space="preserve"> IF( AND( OFFSET($A$1, 302 - 1, 101 - 1) = "1", OFFSET($A$1, 302 - 1, 102 - 1) = "1" ), 1, IF( AND( OFFSET($A$1, 302 - 1, 101 - 1) = "1", OFFSET($A$1, 302 - 1, 102 - 1) = "0" ), 2, IF( AND( OFFSET($A$1, 302 - 1, 101 - 1) = "0", OFFSET($A$1, 302 - 1, 102 - 1) = "1" ), 3, 4 ) ) )</f>
        <v>3</v>
      </c>
    </row>
    <row r="303" spans="95:103" ht="13.8" x14ac:dyDescent="0.3">
      <c r="CQ303" s="24">
        <v>8.1251504338784877E-2</v>
      </c>
      <c r="CR303" s="24" t="str">
        <f>"0"</f>
        <v>0</v>
      </c>
      <c r="CS303" t="str">
        <f ca="1">IF((OFFSET($A$1, 303 - 1, 95 - 1)) &gt;= (OFFSET($A$1, 54 - 1, 7 - 1)), "1","0")</f>
        <v>0</v>
      </c>
      <c r="CT303">
        <f ca="1" xml:space="preserve"> IF( AND( OFFSET($A$1, 303 - 1, 96 - 1) = "1", OFFSET($A$1, 303 - 1, 97 - 1) = "1" ), 1, IF( AND( OFFSET($A$1, 303 - 1, 96 - 1) = "1", OFFSET($A$1, 303 - 1, 97 - 1) = "0" ), 2, IF( AND( OFFSET($A$1, 303 - 1, 96 - 1) = "0", OFFSET($A$1, 303 - 1, 97 - 1) = "1" ), 3, 4 ) ) )</f>
        <v>4</v>
      </c>
      <c r="CV303" s="24">
        <v>0.98350235504087391</v>
      </c>
      <c r="CW303" s="24" t="str">
        <f>"0"</f>
        <v>0</v>
      </c>
      <c r="CX303" t="str">
        <f ca="1">IF((OFFSET($A$1, 303 - 1, 100 - 1)) &gt;= (OFFSET($A$1, 78 - 1, 7 - 1)), "1","0")</f>
        <v>1</v>
      </c>
      <c r="CY303">
        <f ca="1" xml:space="preserve"> IF( AND( OFFSET($A$1, 303 - 1, 101 - 1) = "1", OFFSET($A$1, 303 - 1, 102 - 1) = "1" ), 1, IF( AND( OFFSET($A$1, 303 - 1, 101 - 1) = "1", OFFSET($A$1, 303 - 1, 102 - 1) = "0" ), 2, IF( AND( OFFSET($A$1, 303 - 1, 101 - 1) = "0", OFFSET($A$1, 303 - 1, 102 - 1) = "1" ), 3, 4 ) ) )</f>
        <v>3</v>
      </c>
    </row>
    <row r="304" spans="95:103" ht="13.8" x14ac:dyDescent="0.3">
      <c r="CQ304" s="24">
        <v>0.99316833172299179</v>
      </c>
      <c r="CR304" s="24" t="str">
        <f>"1"</f>
        <v>1</v>
      </c>
      <c r="CS304" t="str">
        <f ca="1">IF((OFFSET($A$1, 304 - 1, 95 - 1)) &gt;= (OFFSET($A$1, 54 - 1, 7 - 1)), "1","0")</f>
        <v>1</v>
      </c>
      <c r="CT304">
        <f ca="1" xml:space="preserve"> IF( AND( OFFSET($A$1, 304 - 1, 96 - 1) = "1", OFFSET($A$1, 304 - 1, 97 - 1) = "1" ), 1, IF( AND( OFFSET($A$1, 304 - 1, 96 - 1) = "1", OFFSET($A$1, 304 - 1, 97 - 1) = "0" ), 2, IF( AND( OFFSET($A$1, 304 - 1, 96 - 1) = "0", OFFSET($A$1, 304 - 1, 97 - 1) = "1" ), 3, 4 ) ) )</f>
        <v>1</v>
      </c>
      <c r="CV304" s="24">
        <v>0.96739120981664817</v>
      </c>
      <c r="CW304" s="24" t="str">
        <f>"1"</f>
        <v>1</v>
      </c>
      <c r="CX304" t="str">
        <f ca="1">IF((OFFSET($A$1, 304 - 1, 100 - 1)) &gt;= (OFFSET($A$1, 78 - 1, 7 - 1)), "1","0")</f>
        <v>1</v>
      </c>
      <c r="CY304">
        <f ca="1" xml:space="preserve"> IF( AND( OFFSET($A$1, 304 - 1, 101 - 1) = "1", OFFSET($A$1, 304 - 1, 102 - 1) = "1" ), 1, IF( AND( OFFSET($A$1, 304 - 1, 101 - 1) = "1", OFFSET($A$1, 304 - 1, 102 - 1) = "0" ), 2, IF( AND( OFFSET($A$1, 304 - 1, 101 - 1) = "0", OFFSET($A$1, 304 - 1, 102 - 1) = "1" ), 3, 4 ) ) )</f>
        <v>1</v>
      </c>
    </row>
    <row r="305" spans="95:103" ht="13.8" x14ac:dyDescent="0.3">
      <c r="CQ305" s="24">
        <v>0.18040056647949265</v>
      </c>
      <c r="CR305" s="24" t="str">
        <f>"0"</f>
        <v>0</v>
      </c>
      <c r="CS305" t="str">
        <f ca="1">IF((OFFSET($A$1, 305 - 1, 95 - 1)) &gt;= (OFFSET($A$1, 54 - 1, 7 - 1)), "1","0")</f>
        <v>0</v>
      </c>
      <c r="CT305">
        <f ca="1" xml:space="preserve"> IF( AND( OFFSET($A$1, 305 - 1, 96 - 1) = "1", OFFSET($A$1, 305 - 1, 97 - 1) = "1" ), 1, IF( AND( OFFSET($A$1, 305 - 1, 96 - 1) = "1", OFFSET($A$1, 305 - 1, 97 - 1) = "0" ), 2, IF( AND( OFFSET($A$1, 305 - 1, 96 - 1) = "0", OFFSET($A$1, 305 - 1, 97 - 1) = "1" ), 3, 4 ) ) )</f>
        <v>4</v>
      </c>
      <c r="CV305" s="24">
        <v>0.9914779862849662</v>
      </c>
      <c r="CW305" s="24" t="str">
        <f>"1"</f>
        <v>1</v>
      </c>
      <c r="CX305" t="str">
        <f ca="1">IF((OFFSET($A$1, 305 - 1, 100 - 1)) &gt;= (OFFSET($A$1, 78 - 1, 7 - 1)), "1","0")</f>
        <v>1</v>
      </c>
      <c r="CY305">
        <f ca="1" xml:space="preserve"> IF( AND( OFFSET($A$1, 305 - 1, 101 - 1) = "1", OFFSET($A$1, 305 - 1, 102 - 1) = "1" ), 1, IF( AND( OFFSET($A$1, 305 - 1, 101 - 1) = "1", OFFSET($A$1, 305 - 1, 102 - 1) = "0" ), 2, IF( AND( OFFSET($A$1, 305 - 1, 101 - 1) = "0", OFFSET($A$1, 305 - 1, 102 - 1) = "1" ), 3, 4 ) ) )</f>
        <v>1</v>
      </c>
    </row>
    <row r="306" spans="95:103" ht="13.8" x14ac:dyDescent="0.3">
      <c r="CQ306" s="24">
        <v>0.99356024271102661</v>
      </c>
      <c r="CR306" s="24" t="str">
        <f>"1"</f>
        <v>1</v>
      </c>
      <c r="CS306" t="str">
        <f ca="1">IF((OFFSET($A$1, 306 - 1, 95 - 1)) &gt;= (OFFSET($A$1, 54 - 1, 7 - 1)), "1","0")</f>
        <v>1</v>
      </c>
      <c r="CT306">
        <f ca="1" xml:space="preserve"> IF( AND( OFFSET($A$1, 306 - 1, 96 - 1) = "1", OFFSET($A$1, 306 - 1, 97 - 1) = "1" ), 1, IF( AND( OFFSET($A$1, 306 - 1, 96 - 1) = "1", OFFSET($A$1, 306 - 1, 97 - 1) = "0" ), 2, IF( AND( OFFSET($A$1, 306 - 1, 96 - 1) = "0", OFFSET($A$1, 306 - 1, 97 - 1) = "1" ), 3, 4 ) ) )</f>
        <v>1</v>
      </c>
      <c r="CV306" s="24">
        <v>0.41629719020482969</v>
      </c>
      <c r="CW306" s="24" t="str">
        <f>"1"</f>
        <v>1</v>
      </c>
      <c r="CX306" t="str">
        <f ca="1">IF((OFFSET($A$1, 306 - 1, 100 - 1)) &gt;= (OFFSET($A$1, 78 - 1, 7 - 1)), "1","0")</f>
        <v>0</v>
      </c>
      <c r="CY306">
        <f ca="1" xml:space="preserve"> IF( AND( OFFSET($A$1, 306 - 1, 101 - 1) = "1", OFFSET($A$1, 306 - 1, 102 - 1) = "1" ), 1, IF( AND( OFFSET($A$1, 306 - 1, 101 - 1) = "1", OFFSET($A$1, 306 - 1, 102 - 1) = "0" ), 2, IF( AND( OFFSET($A$1, 306 - 1, 101 - 1) = "0", OFFSET($A$1, 306 - 1, 102 - 1) = "1" ), 3, 4 ) ) )</f>
        <v>2</v>
      </c>
    </row>
    <row r="307" spans="95:103" ht="13.8" x14ac:dyDescent="0.3">
      <c r="CQ307" s="24">
        <v>0.99994905099154985</v>
      </c>
      <c r="CR307" s="24" t="str">
        <f>"1"</f>
        <v>1</v>
      </c>
      <c r="CS307" t="str">
        <f ca="1">IF((OFFSET($A$1, 307 - 1, 95 - 1)) &gt;= (OFFSET($A$1, 54 - 1, 7 - 1)), "1","0")</f>
        <v>1</v>
      </c>
      <c r="CT307">
        <f ca="1" xml:space="preserve"> IF( AND( OFFSET($A$1, 307 - 1, 96 - 1) = "1", OFFSET($A$1, 307 - 1, 97 - 1) = "1" ), 1, IF( AND( OFFSET($A$1, 307 - 1, 96 - 1) = "1", OFFSET($A$1, 307 - 1, 97 - 1) = "0" ), 2, IF( AND( OFFSET($A$1, 307 - 1, 96 - 1) = "0", OFFSET($A$1, 307 - 1, 97 - 1) = "1" ), 3, 4 ) ) )</f>
        <v>1</v>
      </c>
      <c r="CV307" s="24">
        <v>0.88520540359201139</v>
      </c>
      <c r="CW307" s="24" t="str">
        <f>"0"</f>
        <v>0</v>
      </c>
      <c r="CX307" t="str">
        <f ca="1">IF((OFFSET($A$1, 307 - 1, 100 - 1)) &gt;= (OFFSET($A$1, 78 - 1, 7 - 1)), "1","0")</f>
        <v>1</v>
      </c>
      <c r="CY307">
        <f ca="1" xml:space="preserve"> IF( AND( OFFSET($A$1, 307 - 1, 101 - 1) = "1", OFFSET($A$1, 307 - 1, 102 - 1) = "1" ), 1, IF( AND( OFFSET($A$1, 307 - 1, 101 - 1) = "1", OFFSET($A$1, 307 - 1, 102 - 1) = "0" ), 2, IF( AND( OFFSET($A$1, 307 - 1, 101 - 1) = "0", OFFSET($A$1, 307 - 1, 102 - 1) = "1" ), 3, 4 ) ) )</f>
        <v>3</v>
      </c>
    </row>
    <row r="308" spans="95:103" ht="13.8" x14ac:dyDescent="0.3">
      <c r="CQ308" s="24">
        <v>9.188710201324031E-2</v>
      </c>
      <c r="CR308" s="24" t="str">
        <f>"0"</f>
        <v>0</v>
      </c>
      <c r="CS308" t="str">
        <f ca="1">IF((OFFSET($A$1, 308 - 1, 95 - 1)) &gt;= (OFFSET($A$1, 54 - 1, 7 - 1)), "1","0")</f>
        <v>0</v>
      </c>
      <c r="CT308">
        <f ca="1" xml:space="preserve"> IF( AND( OFFSET($A$1, 308 - 1, 96 - 1) = "1", OFFSET($A$1, 308 - 1, 97 - 1) = "1" ), 1, IF( AND( OFFSET($A$1, 308 - 1, 96 - 1) = "1", OFFSET($A$1, 308 - 1, 97 - 1) = "0" ), 2, IF( AND( OFFSET($A$1, 308 - 1, 96 - 1) = "0", OFFSET($A$1, 308 - 1, 97 - 1) = "1" ), 3, 4 ) ) )</f>
        <v>4</v>
      </c>
      <c r="CV308" s="24">
        <v>0.58809188452646122</v>
      </c>
      <c r="CW308" s="24" t="str">
        <f>"1"</f>
        <v>1</v>
      </c>
      <c r="CX308" t="str">
        <f ca="1">IF((OFFSET($A$1, 308 - 1, 100 - 1)) &gt;= (OFFSET($A$1, 78 - 1, 7 - 1)), "1","0")</f>
        <v>1</v>
      </c>
      <c r="CY308">
        <f ca="1" xml:space="preserve"> IF( AND( OFFSET($A$1, 308 - 1, 101 - 1) = "1", OFFSET($A$1, 308 - 1, 102 - 1) = "1" ), 1, IF( AND( OFFSET($A$1, 308 - 1, 101 - 1) = "1", OFFSET($A$1, 308 - 1, 102 - 1) = "0" ), 2, IF( AND( OFFSET($A$1, 308 - 1, 101 - 1) = "0", OFFSET($A$1, 308 - 1, 102 - 1) = "1" ), 3, 4 ) ) )</f>
        <v>1</v>
      </c>
    </row>
    <row r="309" spans="95:103" ht="13.8" x14ac:dyDescent="0.3">
      <c r="CQ309" s="24">
        <v>1.3188231214647251E-4</v>
      </c>
      <c r="CR309" s="24" t="str">
        <f>"0"</f>
        <v>0</v>
      </c>
      <c r="CS309" t="str">
        <f ca="1">IF((OFFSET($A$1, 309 - 1, 95 - 1)) &gt;= (OFFSET($A$1, 54 - 1, 7 - 1)), "1","0")</f>
        <v>0</v>
      </c>
      <c r="CT309">
        <f ca="1" xml:space="preserve"> IF( AND( OFFSET($A$1, 309 - 1, 96 - 1) = "1", OFFSET($A$1, 309 - 1, 97 - 1) = "1" ), 1, IF( AND( OFFSET($A$1, 309 - 1, 96 - 1) = "1", OFFSET($A$1, 309 - 1, 97 - 1) = "0" ), 2, IF( AND( OFFSET($A$1, 309 - 1, 96 - 1) = "0", OFFSET($A$1, 309 - 1, 97 - 1) = "1" ), 3, 4 ) ) )</f>
        <v>4</v>
      </c>
      <c r="CV309" s="24">
        <v>7.1824892819101913E-2</v>
      </c>
      <c r="CW309" s="24" t="str">
        <f>"0"</f>
        <v>0</v>
      </c>
      <c r="CX309" t="str">
        <f ca="1">IF((OFFSET($A$1, 309 - 1, 100 - 1)) &gt;= (OFFSET($A$1, 78 - 1, 7 - 1)), "1","0")</f>
        <v>0</v>
      </c>
      <c r="CY309">
        <f ca="1" xml:space="preserve"> IF( AND( OFFSET($A$1, 309 - 1, 101 - 1) = "1", OFFSET($A$1, 309 - 1, 102 - 1) = "1" ), 1, IF( AND( OFFSET($A$1, 309 - 1, 101 - 1) = "1", OFFSET($A$1, 309 - 1, 102 - 1) = "0" ), 2, IF( AND( OFFSET($A$1, 309 - 1, 101 - 1) = "0", OFFSET($A$1, 309 - 1, 102 - 1) = "1" ), 3, 4 ) ) )</f>
        <v>4</v>
      </c>
    </row>
    <row r="310" spans="95:103" ht="13.8" x14ac:dyDescent="0.3">
      <c r="CQ310" s="24">
        <v>5.166020785132628E-2</v>
      </c>
      <c r="CR310" s="24" t="str">
        <f>"0"</f>
        <v>0</v>
      </c>
      <c r="CS310" t="str">
        <f ca="1">IF((OFFSET($A$1, 310 - 1, 95 - 1)) &gt;= (OFFSET($A$1, 54 - 1, 7 - 1)), "1","0")</f>
        <v>0</v>
      </c>
      <c r="CT310">
        <f ca="1" xml:space="preserve"> IF( AND( OFFSET($A$1, 310 - 1, 96 - 1) = "1", OFFSET($A$1, 310 - 1, 97 - 1) = "1" ), 1, IF( AND( OFFSET($A$1, 310 - 1, 96 - 1) = "1", OFFSET($A$1, 310 - 1, 97 - 1) = "0" ), 2, IF( AND( OFFSET($A$1, 310 - 1, 96 - 1) = "0", OFFSET($A$1, 310 - 1, 97 - 1) = "1" ), 3, 4 ) ) )</f>
        <v>4</v>
      </c>
      <c r="CV310" s="24">
        <v>0.30432674632661816</v>
      </c>
      <c r="CW310" s="24" t="str">
        <f>"0"</f>
        <v>0</v>
      </c>
      <c r="CX310" t="str">
        <f ca="1">IF((OFFSET($A$1, 310 - 1, 100 - 1)) &gt;= (OFFSET($A$1, 78 - 1, 7 - 1)), "1","0")</f>
        <v>0</v>
      </c>
      <c r="CY310">
        <f ca="1" xml:space="preserve"> IF( AND( OFFSET($A$1, 310 - 1, 101 - 1) = "1", OFFSET($A$1, 310 - 1, 102 - 1) = "1" ), 1, IF( AND( OFFSET($A$1, 310 - 1, 101 - 1) = "1", OFFSET($A$1, 310 - 1, 102 - 1) = "0" ), 2, IF( AND( OFFSET($A$1, 310 - 1, 101 - 1) = "0", OFFSET($A$1, 310 - 1, 102 - 1) = "1" ), 3, 4 ) ) )</f>
        <v>4</v>
      </c>
    </row>
    <row r="311" spans="95:103" ht="13.8" x14ac:dyDescent="0.3">
      <c r="CQ311" s="24">
        <v>0.95617517329778734</v>
      </c>
      <c r="CR311" s="24" t="str">
        <f>"1"</f>
        <v>1</v>
      </c>
      <c r="CS311" t="str">
        <f ca="1">IF((OFFSET($A$1, 311 - 1, 95 - 1)) &gt;= (OFFSET($A$1, 54 - 1, 7 - 1)), "1","0")</f>
        <v>1</v>
      </c>
      <c r="CT311">
        <f ca="1" xml:space="preserve"> IF( AND( OFFSET($A$1, 311 - 1, 96 - 1) = "1", OFFSET($A$1, 311 - 1, 97 - 1) = "1" ), 1, IF( AND( OFFSET($A$1, 311 - 1, 96 - 1) = "1", OFFSET($A$1, 311 - 1, 97 - 1) = "0" ), 2, IF( AND( OFFSET($A$1, 311 - 1, 96 - 1) = "0", OFFSET($A$1, 311 - 1, 97 - 1) = "1" ), 3, 4 ) ) )</f>
        <v>1</v>
      </c>
      <c r="CV311" s="24">
        <v>0.9859569169179464</v>
      </c>
      <c r="CW311" s="24" t="str">
        <f t="shared" ref="CW311:CW318" si="25">"1"</f>
        <v>1</v>
      </c>
      <c r="CX311" t="str">
        <f ca="1">IF((OFFSET($A$1, 311 - 1, 100 - 1)) &gt;= (OFFSET($A$1, 78 - 1, 7 - 1)), "1","0")</f>
        <v>1</v>
      </c>
      <c r="CY311">
        <f ca="1" xml:space="preserve"> IF( AND( OFFSET($A$1, 311 - 1, 101 - 1) = "1", OFFSET($A$1, 311 - 1, 102 - 1) = "1" ), 1, IF( AND( OFFSET($A$1, 311 - 1, 101 - 1) = "1", OFFSET($A$1, 311 - 1, 102 - 1) = "0" ), 2, IF( AND( OFFSET($A$1, 311 - 1, 101 - 1) = "0", OFFSET($A$1, 311 - 1, 102 - 1) = "1" ), 3, 4 ) ) )</f>
        <v>1</v>
      </c>
    </row>
    <row r="312" spans="95:103" ht="13.8" x14ac:dyDescent="0.3">
      <c r="CQ312" s="24">
        <v>0.99497094148883902</v>
      </c>
      <c r="CR312" s="24" t="str">
        <f>"1"</f>
        <v>1</v>
      </c>
      <c r="CS312" t="str">
        <f ca="1">IF((OFFSET($A$1, 312 - 1, 95 - 1)) &gt;= (OFFSET($A$1, 54 - 1, 7 - 1)), "1","0")</f>
        <v>1</v>
      </c>
      <c r="CT312">
        <f ca="1" xml:space="preserve"> IF( AND( OFFSET($A$1, 312 - 1, 96 - 1) = "1", OFFSET($A$1, 312 - 1, 97 - 1) = "1" ), 1, IF( AND( OFFSET($A$1, 312 - 1, 96 - 1) = "1", OFFSET($A$1, 312 - 1, 97 - 1) = "0" ), 2, IF( AND( OFFSET($A$1, 312 - 1, 96 - 1) = "0", OFFSET($A$1, 312 - 1, 97 - 1) = "1" ), 3, 4 ) ) )</f>
        <v>1</v>
      </c>
      <c r="CV312" s="24">
        <v>0.98749486668421349</v>
      </c>
      <c r="CW312" s="24" t="str">
        <f t="shared" si="25"/>
        <v>1</v>
      </c>
      <c r="CX312" t="str">
        <f ca="1">IF((OFFSET($A$1, 312 - 1, 100 - 1)) &gt;= (OFFSET($A$1, 78 - 1, 7 - 1)), "1","0")</f>
        <v>1</v>
      </c>
      <c r="CY312">
        <f ca="1" xml:space="preserve"> IF( AND( OFFSET($A$1, 312 - 1, 101 - 1) = "1", OFFSET($A$1, 312 - 1, 102 - 1) = "1" ), 1, IF( AND( OFFSET($A$1, 312 - 1, 101 - 1) = "1", OFFSET($A$1, 312 - 1, 102 - 1) = "0" ), 2, IF( AND( OFFSET($A$1, 312 - 1, 101 - 1) = "0", OFFSET($A$1, 312 - 1, 102 - 1) = "1" ), 3, 4 ) ) )</f>
        <v>1</v>
      </c>
    </row>
    <row r="313" spans="95:103" ht="13.8" x14ac:dyDescent="0.3">
      <c r="CQ313" s="24">
        <v>0.99847120103643494</v>
      </c>
      <c r="CR313" s="24" t="str">
        <f>"1"</f>
        <v>1</v>
      </c>
      <c r="CS313" t="str">
        <f ca="1">IF((OFFSET($A$1, 313 - 1, 95 - 1)) &gt;= (OFFSET($A$1, 54 - 1, 7 - 1)), "1","0")</f>
        <v>1</v>
      </c>
      <c r="CT313">
        <f ca="1" xml:space="preserve"> IF( AND( OFFSET($A$1, 313 - 1, 96 - 1) = "1", OFFSET($A$1, 313 - 1, 97 - 1) = "1" ), 1, IF( AND( OFFSET($A$1, 313 - 1, 96 - 1) = "1", OFFSET($A$1, 313 - 1, 97 - 1) = "0" ), 2, IF( AND( OFFSET($A$1, 313 - 1, 96 - 1) = "0", OFFSET($A$1, 313 - 1, 97 - 1) = "1" ), 3, 4 ) ) )</f>
        <v>1</v>
      </c>
      <c r="CV313" s="24">
        <v>0.99766949799338278</v>
      </c>
      <c r="CW313" s="24" t="str">
        <f t="shared" si="25"/>
        <v>1</v>
      </c>
      <c r="CX313" t="str">
        <f ca="1">IF((OFFSET($A$1, 313 - 1, 100 - 1)) &gt;= (OFFSET($A$1, 78 - 1, 7 - 1)), "1","0")</f>
        <v>1</v>
      </c>
      <c r="CY313">
        <f ca="1" xml:space="preserve"> IF( AND( OFFSET($A$1, 313 - 1, 101 - 1) = "1", OFFSET($A$1, 313 - 1, 102 - 1) = "1" ), 1, IF( AND( OFFSET($A$1, 313 - 1, 101 - 1) = "1", OFFSET($A$1, 313 - 1, 102 - 1) = "0" ), 2, IF( AND( OFFSET($A$1, 313 - 1, 101 - 1) = "0", OFFSET($A$1, 313 - 1, 102 - 1) = "1" ), 3, 4 ) ) )</f>
        <v>1</v>
      </c>
    </row>
    <row r="314" spans="95:103" ht="13.8" x14ac:dyDescent="0.3">
      <c r="CQ314" s="24">
        <v>0.99155840392121031</v>
      </c>
      <c r="CR314" s="24" t="str">
        <f>"1"</f>
        <v>1</v>
      </c>
      <c r="CS314" t="str">
        <f ca="1">IF((OFFSET($A$1, 314 - 1, 95 - 1)) &gt;= (OFFSET($A$1, 54 - 1, 7 - 1)), "1","0")</f>
        <v>1</v>
      </c>
      <c r="CT314">
        <f ca="1" xml:space="preserve"> IF( AND( OFFSET($A$1, 314 - 1, 96 - 1) = "1", OFFSET($A$1, 314 - 1, 97 - 1) = "1" ), 1, IF( AND( OFFSET($A$1, 314 - 1, 96 - 1) = "1", OFFSET($A$1, 314 - 1, 97 - 1) = "0" ), 2, IF( AND( OFFSET($A$1, 314 - 1, 96 - 1) = "0", OFFSET($A$1, 314 - 1, 97 - 1) = "1" ), 3, 4 ) ) )</f>
        <v>1</v>
      </c>
      <c r="CV314" s="24">
        <v>0.67444927217282424</v>
      </c>
      <c r="CW314" s="24" t="str">
        <f t="shared" si="25"/>
        <v>1</v>
      </c>
      <c r="CX314" t="str">
        <f ca="1">IF((OFFSET($A$1, 314 - 1, 100 - 1)) &gt;= (OFFSET($A$1, 78 - 1, 7 - 1)), "1","0")</f>
        <v>1</v>
      </c>
      <c r="CY314">
        <f ca="1" xml:space="preserve"> IF( AND( OFFSET($A$1, 314 - 1, 101 - 1) = "1", OFFSET($A$1, 314 - 1, 102 - 1) = "1" ), 1, IF( AND( OFFSET($A$1, 314 - 1, 101 - 1) = "1", OFFSET($A$1, 314 - 1, 102 - 1) = "0" ), 2, IF( AND( OFFSET($A$1, 314 - 1, 101 - 1) = "0", OFFSET($A$1, 314 - 1, 102 - 1) = "1" ), 3, 4 ) ) )</f>
        <v>1</v>
      </c>
    </row>
    <row r="315" spans="95:103" ht="13.8" x14ac:dyDescent="0.3">
      <c r="CQ315" s="24">
        <v>0.98013716825516273</v>
      </c>
      <c r="CR315" s="24" t="str">
        <f>"1"</f>
        <v>1</v>
      </c>
      <c r="CS315" t="str">
        <f ca="1">IF((OFFSET($A$1, 315 - 1, 95 - 1)) &gt;= (OFFSET($A$1, 54 - 1, 7 - 1)), "1","0")</f>
        <v>1</v>
      </c>
      <c r="CT315">
        <f ca="1" xml:space="preserve"> IF( AND( OFFSET($A$1, 315 - 1, 96 - 1) = "1", OFFSET($A$1, 315 - 1, 97 - 1) = "1" ), 1, IF( AND( OFFSET($A$1, 315 - 1, 96 - 1) = "1", OFFSET($A$1, 315 - 1, 97 - 1) = "0" ), 2, IF( AND( OFFSET($A$1, 315 - 1, 96 - 1) = "0", OFFSET($A$1, 315 - 1, 97 - 1) = "1" ), 3, 4 ) ) )</f>
        <v>1</v>
      </c>
      <c r="CV315" s="24">
        <v>0.86192873329774689</v>
      </c>
      <c r="CW315" s="24" t="str">
        <f t="shared" si="25"/>
        <v>1</v>
      </c>
      <c r="CX315" t="str">
        <f ca="1">IF((OFFSET($A$1, 315 - 1, 100 - 1)) &gt;= (OFFSET($A$1, 78 - 1, 7 - 1)), "1","0")</f>
        <v>1</v>
      </c>
      <c r="CY315">
        <f ca="1" xml:space="preserve"> IF( AND( OFFSET($A$1, 315 - 1, 101 - 1) = "1", OFFSET($A$1, 315 - 1, 102 - 1) = "1" ), 1, IF( AND( OFFSET($A$1, 315 - 1, 101 - 1) = "1", OFFSET($A$1, 315 - 1, 102 - 1) = "0" ), 2, IF( AND( OFFSET($A$1, 315 - 1, 101 - 1) = "0", OFFSET($A$1, 315 - 1, 102 - 1) = "1" ), 3, 4 ) ) )</f>
        <v>1</v>
      </c>
    </row>
    <row r="316" spans="95:103" ht="13.8" x14ac:dyDescent="0.3">
      <c r="CQ316" s="24">
        <v>8.4630093771907514E-2</v>
      </c>
      <c r="CR316" s="24" t="str">
        <f>"0"</f>
        <v>0</v>
      </c>
      <c r="CS316" t="str">
        <f ca="1">IF((OFFSET($A$1, 316 - 1, 95 - 1)) &gt;= (OFFSET($A$1, 54 - 1, 7 - 1)), "1","0")</f>
        <v>0</v>
      </c>
      <c r="CT316">
        <f ca="1" xml:space="preserve"> IF( AND( OFFSET($A$1, 316 - 1, 96 - 1) = "1", OFFSET($A$1, 316 - 1, 97 - 1) = "1" ), 1, IF( AND( OFFSET($A$1, 316 - 1, 96 - 1) = "1", OFFSET($A$1, 316 - 1, 97 - 1) = "0" ), 2, IF( AND( OFFSET($A$1, 316 - 1, 96 - 1) = "0", OFFSET($A$1, 316 - 1, 97 - 1) = "1" ), 3, 4 ) ) )</f>
        <v>4</v>
      </c>
      <c r="CV316" s="24">
        <v>0.99991993557235292</v>
      </c>
      <c r="CW316" s="24" t="str">
        <f t="shared" si="25"/>
        <v>1</v>
      </c>
      <c r="CX316" t="str">
        <f ca="1">IF((OFFSET($A$1, 316 - 1, 100 - 1)) &gt;= (OFFSET($A$1, 78 - 1, 7 - 1)), "1","0")</f>
        <v>1</v>
      </c>
      <c r="CY316">
        <f ca="1" xml:space="preserve"> IF( AND( OFFSET($A$1, 316 - 1, 101 - 1) = "1", OFFSET($A$1, 316 - 1, 102 - 1) = "1" ), 1, IF( AND( OFFSET($A$1, 316 - 1, 101 - 1) = "1", OFFSET($A$1, 316 - 1, 102 - 1) = "0" ), 2, IF( AND( OFFSET($A$1, 316 - 1, 101 - 1) = "0", OFFSET($A$1, 316 - 1, 102 - 1) = "1" ), 3, 4 ) ) )</f>
        <v>1</v>
      </c>
    </row>
    <row r="317" spans="95:103" ht="13.8" x14ac:dyDescent="0.3">
      <c r="CQ317" s="24">
        <v>0.93151006227096933</v>
      </c>
      <c r="CR317" s="24" t="str">
        <f>"1"</f>
        <v>1</v>
      </c>
      <c r="CS317" t="str">
        <f ca="1">IF((OFFSET($A$1, 317 - 1, 95 - 1)) &gt;= (OFFSET($A$1, 54 - 1, 7 - 1)), "1","0")</f>
        <v>1</v>
      </c>
      <c r="CT317">
        <f ca="1" xml:space="preserve"> IF( AND( OFFSET($A$1, 317 - 1, 96 - 1) = "1", OFFSET($A$1, 317 - 1, 97 - 1) = "1" ), 1, IF( AND( OFFSET($A$1, 317 - 1, 96 - 1) = "1", OFFSET($A$1, 317 - 1, 97 - 1) = "0" ), 2, IF( AND( OFFSET($A$1, 317 - 1, 96 - 1) = "0", OFFSET($A$1, 317 - 1, 97 - 1) = "1" ), 3, 4 ) ) )</f>
        <v>1</v>
      </c>
      <c r="CV317" s="24">
        <v>0.99958160457335155</v>
      </c>
      <c r="CW317" s="24" t="str">
        <f t="shared" si="25"/>
        <v>1</v>
      </c>
      <c r="CX317" t="str">
        <f ca="1">IF((OFFSET($A$1, 317 - 1, 100 - 1)) &gt;= (OFFSET($A$1, 78 - 1, 7 - 1)), "1","0")</f>
        <v>1</v>
      </c>
      <c r="CY317">
        <f ca="1" xml:space="preserve"> IF( AND( OFFSET($A$1, 317 - 1, 101 - 1) = "1", OFFSET($A$1, 317 - 1, 102 - 1) = "1" ), 1, IF( AND( OFFSET($A$1, 317 - 1, 101 - 1) = "1", OFFSET($A$1, 317 - 1, 102 - 1) = "0" ), 2, IF( AND( OFFSET($A$1, 317 - 1, 101 - 1) = "0", OFFSET($A$1, 317 - 1, 102 - 1) = "1" ), 3, 4 ) ) )</f>
        <v>1</v>
      </c>
    </row>
    <row r="318" spans="95:103" ht="13.8" x14ac:dyDescent="0.3">
      <c r="CQ318" s="24">
        <v>0.99869172736288914</v>
      </c>
      <c r="CR318" s="24" t="str">
        <f>"1"</f>
        <v>1</v>
      </c>
      <c r="CS318" t="str">
        <f ca="1">IF((OFFSET($A$1, 318 - 1, 95 - 1)) &gt;= (OFFSET($A$1, 54 - 1, 7 - 1)), "1","0")</f>
        <v>1</v>
      </c>
      <c r="CT318">
        <f ca="1" xml:space="preserve"> IF( AND( OFFSET($A$1, 318 - 1, 96 - 1) = "1", OFFSET($A$1, 318 - 1, 97 - 1) = "1" ), 1, IF( AND( OFFSET($A$1, 318 - 1, 96 - 1) = "1", OFFSET($A$1, 318 - 1, 97 - 1) = "0" ), 2, IF( AND( OFFSET($A$1, 318 - 1, 96 - 1) = "0", OFFSET($A$1, 318 - 1, 97 - 1) = "1" ), 3, 4 ) ) )</f>
        <v>1</v>
      </c>
      <c r="CV318" s="24">
        <v>0.98662332619471071</v>
      </c>
      <c r="CW318" s="24" t="str">
        <f t="shared" si="25"/>
        <v>1</v>
      </c>
      <c r="CX318" t="str">
        <f ca="1">IF((OFFSET($A$1, 318 - 1, 100 - 1)) &gt;= (OFFSET($A$1, 78 - 1, 7 - 1)), "1","0")</f>
        <v>1</v>
      </c>
      <c r="CY318">
        <f ca="1" xml:space="preserve"> IF( AND( OFFSET($A$1, 318 - 1, 101 - 1) = "1", OFFSET($A$1, 318 - 1, 102 - 1) = "1" ), 1, IF( AND( OFFSET($A$1, 318 - 1, 101 - 1) = "1", OFFSET($A$1, 318 - 1, 102 - 1) = "0" ), 2, IF( AND( OFFSET($A$1, 318 - 1, 101 - 1) = "0", OFFSET($A$1, 318 - 1, 102 - 1) = "1" ), 3, 4 ) ) )</f>
        <v>1</v>
      </c>
    </row>
    <row r="319" spans="95:103" ht="13.8" x14ac:dyDescent="0.3">
      <c r="CQ319" s="24">
        <v>6.3581515459401397E-2</v>
      </c>
      <c r="CR319" s="24" t="str">
        <f>"0"</f>
        <v>0</v>
      </c>
      <c r="CS319" t="str">
        <f ca="1">IF((OFFSET($A$1, 319 - 1, 95 - 1)) &gt;= (OFFSET($A$1, 54 - 1, 7 - 1)), "1","0")</f>
        <v>0</v>
      </c>
      <c r="CT319">
        <f ca="1" xml:space="preserve"> IF( AND( OFFSET($A$1, 319 - 1, 96 - 1) = "1", OFFSET($A$1, 319 - 1, 97 - 1) = "1" ), 1, IF( AND( OFFSET($A$1, 319 - 1, 96 - 1) = "1", OFFSET($A$1, 319 - 1, 97 - 1) = "0" ), 2, IF( AND( OFFSET($A$1, 319 - 1, 96 - 1) = "0", OFFSET($A$1, 319 - 1, 97 - 1) = "1" ), 3, 4 ) ) )</f>
        <v>4</v>
      </c>
      <c r="CV319" s="24">
        <v>0.99940567600424046</v>
      </c>
      <c r="CW319" s="24" t="str">
        <f>"0"</f>
        <v>0</v>
      </c>
      <c r="CX319" t="str">
        <f ca="1">IF((OFFSET($A$1, 319 - 1, 100 - 1)) &gt;= (OFFSET($A$1, 78 - 1, 7 - 1)), "1","0")</f>
        <v>1</v>
      </c>
      <c r="CY319">
        <f ca="1" xml:space="preserve"> IF( AND( OFFSET($A$1, 319 - 1, 101 - 1) = "1", OFFSET($A$1, 319 - 1, 102 - 1) = "1" ), 1, IF( AND( OFFSET($A$1, 319 - 1, 101 - 1) = "1", OFFSET($A$1, 319 - 1, 102 - 1) = "0" ), 2, IF( AND( OFFSET($A$1, 319 - 1, 101 - 1) = "0", OFFSET($A$1, 319 - 1, 102 - 1) = "1" ), 3, 4 ) ) )</f>
        <v>3</v>
      </c>
    </row>
    <row r="320" spans="95:103" ht="13.8" x14ac:dyDescent="0.3">
      <c r="CQ320" s="24">
        <v>0.99735733573679863</v>
      </c>
      <c r="CR320" s="24" t="str">
        <f>"1"</f>
        <v>1</v>
      </c>
      <c r="CS320" t="str">
        <f ca="1">IF((OFFSET($A$1, 320 - 1, 95 - 1)) &gt;= (OFFSET($A$1, 54 - 1, 7 - 1)), "1","0")</f>
        <v>1</v>
      </c>
      <c r="CT320">
        <f ca="1" xml:space="preserve"> IF( AND( OFFSET($A$1, 320 - 1, 96 - 1) = "1", OFFSET($A$1, 320 - 1, 97 - 1) = "1" ), 1, IF( AND( OFFSET($A$1, 320 - 1, 96 - 1) = "1", OFFSET($A$1, 320 - 1, 97 - 1) = "0" ), 2, IF( AND( OFFSET($A$1, 320 - 1, 96 - 1) = "0", OFFSET($A$1, 320 - 1, 97 - 1) = "1" ), 3, 4 ) ) )</f>
        <v>1</v>
      </c>
      <c r="CV320" s="24">
        <v>0.86105557922742249</v>
      </c>
      <c r="CW320" s="24" t="str">
        <f>"1"</f>
        <v>1</v>
      </c>
      <c r="CX320" t="str">
        <f ca="1">IF((OFFSET($A$1, 320 - 1, 100 - 1)) &gt;= (OFFSET($A$1, 78 - 1, 7 - 1)), "1","0")</f>
        <v>1</v>
      </c>
      <c r="CY320">
        <f ca="1" xml:space="preserve"> IF( AND( OFFSET($A$1, 320 - 1, 101 - 1) = "1", OFFSET($A$1, 320 - 1, 102 - 1) = "1" ), 1, IF( AND( OFFSET($A$1, 320 - 1, 101 - 1) = "1", OFFSET($A$1, 320 - 1, 102 - 1) = "0" ), 2, IF( AND( OFFSET($A$1, 320 - 1, 101 - 1) = "0", OFFSET($A$1, 320 - 1, 102 - 1) = "1" ), 3, 4 ) ) )</f>
        <v>1</v>
      </c>
    </row>
    <row r="321" spans="95:103" ht="13.8" x14ac:dyDescent="0.3">
      <c r="CQ321" s="24">
        <v>0.98436995093676738</v>
      </c>
      <c r="CR321" s="24" t="str">
        <f>"1"</f>
        <v>1</v>
      </c>
      <c r="CS321" t="str">
        <f ca="1">IF((OFFSET($A$1, 321 - 1, 95 - 1)) &gt;= (OFFSET($A$1, 54 - 1, 7 - 1)), "1","0")</f>
        <v>1</v>
      </c>
      <c r="CT321">
        <f ca="1" xml:space="preserve"> IF( AND( OFFSET($A$1, 321 - 1, 96 - 1) = "1", OFFSET($A$1, 321 - 1, 97 - 1) = "1" ), 1, IF( AND( OFFSET($A$1, 321 - 1, 96 - 1) = "1", OFFSET($A$1, 321 - 1, 97 - 1) = "0" ), 2, IF( AND( OFFSET($A$1, 321 - 1, 96 - 1) = "0", OFFSET($A$1, 321 - 1, 97 - 1) = "1" ), 3, 4 ) ) )</f>
        <v>1</v>
      </c>
      <c r="CV321" s="24">
        <v>0.30911918103399549</v>
      </c>
      <c r="CW321" s="24" t="str">
        <f>"1"</f>
        <v>1</v>
      </c>
      <c r="CX321" t="str">
        <f ca="1">IF((OFFSET($A$1, 321 - 1, 100 - 1)) &gt;= (OFFSET($A$1, 78 - 1, 7 - 1)), "1","0")</f>
        <v>0</v>
      </c>
      <c r="CY321">
        <f ca="1" xml:space="preserve"> IF( AND( OFFSET($A$1, 321 - 1, 101 - 1) = "1", OFFSET($A$1, 321 - 1, 102 - 1) = "1" ), 1, IF( AND( OFFSET($A$1, 321 - 1, 101 - 1) = "1", OFFSET($A$1, 321 - 1, 102 - 1) = "0" ), 2, IF( AND( OFFSET($A$1, 321 - 1, 101 - 1) = "0", OFFSET($A$1, 321 - 1, 102 - 1) = "1" ), 3, 4 ) ) )</f>
        <v>2</v>
      </c>
    </row>
    <row r="322" spans="95:103" ht="13.8" x14ac:dyDescent="0.3">
      <c r="CQ322" s="24">
        <v>6.3192678532368804E-2</v>
      </c>
      <c r="CR322" s="24" t="str">
        <f>"0"</f>
        <v>0</v>
      </c>
      <c r="CS322" t="str">
        <f ca="1">IF((OFFSET($A$1, 322 - 1, 95 - 1)) &gt;= (OFFSET($A$1, 54 - 1, 7 - 1)), "1","0")</f>
        <v>0</v>
      </c>
      <c r="CT322">
        <f ca="1" xml:space="preserve"> IF( AND( OFFSET($A$1, 322 - 1, 96 - 1) = "1", OFFSET($A$1, 322 - 1, 97 - 1) = "1" ), 1, IF( AND( OFFSET($A$1, 322 - 1, 96 - 1) = "1", OFFSET($A$1, 322 - 1, 97 - 1) = "0" ), 2, IF( AND( OFFSET($A$1, 322 - 1, 96 - 1) = "0", OFFSET($A$1, 322 - 1, 97 - 1) = "1" ), 3, 4 ) ) )</f>
        <v>4</v>
      </c>
      <c r="CV322" s="24">
        <v>0.5313949712248196</v>
      </c>
      <c r="CW322" s="24" t="str">
        <f>"0"</f>
        <v>0</v>
      </c>
      <c r="CX322" t="str">
        <f ca="1">IF((OFFSET($A$1, 322 - 1, 100 - 1)) &gt;= (OFFSET($A$1, 78 - 1, 7 - 1)), "1","0")</f>
        <v>1</v>
      </c>
      <c r="CY322">
        <f ca="1" xml:space="preserve"> IF( AND( OFFSET($A$1, 322 - 1, 101 - 1) = "1", OFFSET($A$1, 322 - 1, 102 - 1) = "1" ), 1, IF( AND( OFFSET($A$1, 322 - 1, 101 - 1) = "1", OFFSET($A$1, 322 - 1, 102 - 1) = "0" ), 2, IF( AND( OFFSET($A$1, 322 - 1, 101 - 1) = "0", OFFSET($A$1, 322 - 1, 102 - 1) = "1" ), 3, 4 ) ) )</f>
        <v>3</v>
      </c>
    </row>
    <row r="323" spans="95:103" ht="13.8" x14ac:dyDescent="0.3">
      <c r="CQ323" s="24">
        <v>0.9250498621488018</v>
      </c>
      <c r="CR323" s="24" t="str">
        <f>"1"</f>
        <v>1</v>
      </c>
      <c r="CS323" t="str">
        <f ca="1">IF((OFFSET($A$1, 323 - 1, 95 - 1)) &gt;= (OFFSET($A$1, 54 - 1, 7 - 1)), "1","0")</f>
        <v>1</v>
      </c>
      <c r="CT323">
        <f ca="1" xml:space="preserve"> IF( AND( OFFSET($A$1, 323 - 1, 96 - 1) = "1", OFFSET($A$1, 323 - 1, 97 - 1) = "1" ), 1, IF( AND( OFFSET($A$1, 323 - 1, 96 - 1) = "1", OFFSET($A$1, 323 - 1, 97 - 1) = "0" ), 2, IF( AND( OFFSET($A$1, 323 - 1, 96 - 1) = "0", OFFSET($A$1, 323 - 1, 97 - 1) = "1" ), 3, 4 ) ) )</f>
        <v>1</v>
      </c>
      <c r="CV323" s="24">
        <v>0.25177271214668062</v>
      </c>
      <c r="CW323" s="24" t="str">
        <f>"0"</f>
        <v>0</v>
      </c>
      <c r="CX323" t="str">
        <f ca="1">IF((OFFSET($A$1, 323 - 1, 100 - 1)) &gt;= (OFFSET($A$1, 78 - 1, 7 - 1)), "1","0")</f>
        <v>0</v>
      </c>
      <c r="CY323">
        <f ca="1" xml:space="preserve"> IF( AND( OFFSET($A$1, 323 - 1, 101 - 1) = "1", OFFSET($A$1, 323 - 1, 102 - 1) = "1" ), 1, IF( AND( OFFSET($A$1, 323 - 1, 101 - 1) = "1", OFFSET($A$1, 323 - 1, 102 - 1) = "0" ), 2, IF( AND( OFFSET($A$1, 323 - 1, 101 - 1) = "0", OFFSET($A$1, 323 - 1, 102 - 1) = "1" ), 3, 4 ) ) )</f>
        <v>4</v>
      </c>
    </row>
    <row r="324" spans="95:103" ht="13.8" x14ac:dyDescent="0.3">
      <c r="CQ324" s="24">
        <v>0.97151098006739811</v>
      </c>
      <c r="CR324" s="24" t="str">
        <f>"1"</f>
        <v>1</v>
      </c>
      <c r="CS324" t="str">
        <f ca="1">IF((OFFSET($A$1, 324 - 1, 95 - 1)) &gt;= (OFFSET($A$1, 54 - 1, 7 - 1)), "1","0")</f>
        <v>1</v>
      </c>
      <c r="CT324">
        <f ca="1" xml:space="preserve"> IF( AND( OFFSET($A$1, 324 - 1, 96 - 1) = "1", OFFSET($A$1, 324 - 1, 97 - 1) = "1" ), 1, IF( AND( OFFSET($A$1, 324 - 1, 96 - 1) = "1", OFFSET($A$1, 324 - 1, 97 - 1) = "0" ), 2, IF( AND( OFFSET($A$1, 324 - 1, 96 - 1) = "0", OFFSET($A$1, 324 - 1, 97 - 1) = "1" ), 3, 4 ) ) )</f>
        <v>1</v>
      </c>
      <c r="CV324" s="24">
        <v>0.65001321500105202</v>
      </c>
      <c r="CW324" s="24" t="str">
        <f>"1"</f>
        <v>1</v>
      </c>
      <c r="CX324" t="str">
        <f ca="1">IF((OFFSET($A$1, 324 - 1, 100 - 1)) &gt;= (OFFSET($A$1, 78 - 1, 7 - 1)), "1","0")</f>
        <v>1</v>
      </c>
      <c r="CY324">
        <f ca="1" xml:space="preserve"> IF( AND( OFFSET($A$1, 324 - 1, 101 - 1) = "1", OFFSET($A$1, 324 - 1, 102 - 1) = "1" ), 1, IF( AND( OFFSET($A$1, 324 - 1, 101 - 1) = "1", OFFSET($A$1, 324 - 1, 102 - 1) = "0" ), 2, IF( AND( OFFSET($A$1, 324 - 1, 101 - 1) = "0", OFFSET($A$1, 324 - 1, 102 - 1) = "1" ), 3, 4 ) ) )</f>
        <v>1</v>
      </c>
    </row>
    <row r="325" spans="95:103" ht="13.8" x14ac:dyDescent="0.3">
      <c r="CQ325" s="24">
        <v>0.10752748254592469</v>
      </c>
      <c r="CR325" s="24" t="str">
        <f>"0"</f>
        <v>0</v>
      </c>
      <c r="CS325" t="str">
        <f ca="1">IF((OFFSET($A$1, 325 - 1, 95 - 1)) &gt;= (OFFSET($A$1, 54 - 1, 7 - 1)), "1","0")</f>
        <v>0</v>
      </c>
      <c r="CT325">
        <f ca="1" xml:space="preserve"> IF( AND( OFFSET($A$1, 325 - 1, 96 - 1) = "1", OFFSET($A$1, 325 - 1, 97 - 1) = "1" ), 1, IF( AND( OFFSET($A$1, 325 - 1, 96 - 1) = "1", OFFSET($A$1, 325 - 1, 97 - 1) = "0" ), 2, IF( AND( OFFSET($A$1, 325 - 1, 96 - 1) = "0", OFFSET($A$1, 325 - 1, 97 - 1) = "1" ), 3, 4 ) ) )</f>
        <v>4</v>
      </c>
      <c r="CV325" s="24">
        <v>0.9995832747818918</v>
      </c>
      <c r="CW325" s="24" t="str">
        <f>"1"</f>
        <v>1</v>
      </c>
      <c r="CX325" t="str">
        <f ca="1">IF((OFFSET($A$1, 325 - 1, 100 - 1)) &gt;= (OFFSET($A$1, 78 - 1, 7 - 1)), "1","0")</f>
        <v>1</v>
      </c>
      <c r="CY325">
        <f ca="1" xml:space="preserve"> IF( AND( OFFSET($A$1, 325 - 1, 101 - 1) = "1", OFFSET($A$1, 325 - 1, 102 - 1) = "1" ), 1, IF( AND( OFFSET($A$1, 325 - 1, 101 - 1) = "1", OFFSET($A$1, 325 - 1, 102 - 1) = "0" ), 2, IF( AND( OFFSET($A$1, 325 - 1, 101 - 1) = "0", OFFSET($A$1, 325 - 1, 102 - 1) = "1" ), 3, 4 ) ) )</f>
        <v>1</v>
      </c>
    </row>
    <row r="326" spans="95:103" ht="13.8" x14ac:dyDescent="0.3">
      <c r="CQ326" s="24">
        <v>8.8449330929683809E-2</v>
      </c>
      <c r="CR326" s="24" t="str">
        <f>"0"</f>
        <v>0</v>
      </c>
      <c r="CS326" t="str">
        <f ca="1">IF((OFFSET($A$1, 326 - 1, 95 - 1)) &gt;= (OFFSET($A$1, 54 - 1, 7 - 1)), "1","0")</f>
        <v>0</v>
      </c>
      <c r="CT326">
        <f ca="1" xml:space="preserve"> IF( AND( OFFSET($A$1, 326 - 1, 96 - 1) = "1", OFFSET($A$1, 326 - 1, 97 - 1) = "1" ), 1, IF( AND( OFFSET($A$1, 326 - 1, 96 - 1) = "1", OFFSET($A$1, 326 - 1, 97 - 1) = "0" ), 2, IF( AND( OFFSET($A$1, 326 - 1, 96 - 1) = "0", OFFSET($A$1, 326 - 1, 97 - 1) = "1" ), 3, 4 ) ) )</f>
        <v>4</v>
      </c>
      <c r="CV326" s="24">
        <v>0.99988470965341136</v>
      </c>
      <c r="CW326" s="24" t="str">
        <f>"1"</f>
        <v>1</v>
      </c>
      <c r="CX326" t="str">
        <f ca="1">IF((OFFSET($A$1, 326 - 1, 100 - 1)) &gt;= (OFFSET($A$1, 78 - 1, 7 - 1)), "1","0")</f>
        <v>1</v>
      </c>
      <c r="CY326">
        <f ca="1" xml:space="preserve"> IF( AND( OFFSET($A$1, 326 - 1, 101 - 1) = "1", OFFSET($A$1, 326 - 1, 102 - 1) = "1" ), 1, IF( AND( OFFSET($A$1, 326 - 1, 101 - 1) = "1", OFFSET($A$1, 326 - 1, 102 - 1) = "0" ), 2, IF( AND( OFFSET($A$1, 326 - 1, 101 - 1) = "0", OFFSET($A$1, 326 - 1, 102 - 1) = "1" ), 3, 4 ) ) )</f>
        <v>1</v>
      </c>
    </row>
    <row r="327" spans="95:103" ht="13.8" x14ac:dyDescent="0.3">
      <c r="CQ327" s="24">
        <v>0.88346879375865195</v>
      </c>
      <c r="CR327" s="24" t="str">
        <f>"1"</f>
        <v>1</v>
      </c>
      <c r="CS327" t="str">
        <f ca="1">IF((OFFSET($A$1, 327 - 1, 95 - 1)) &gt;= (OFFSET($A$1, 54 - 1, 7 - 1)), "1","0")</f>
        <v>1</v>
      </c>
      <c r="CT327">
        <f ca="1" xml:space="preserve"> IF( AND( OFFSET($A$1, 327 - 1, 96 - 1) = "1", OFFSET($A$1, 327 - 1, 97 - 1) = "1" ), 1, IF( AND( OFFSET($A$1, 327 - 1, 96 - 1) = "1", OFFSET($A$1, 327 - 1, 97 - 1) = "0" ), 2, IF( AND( OFFSET($A$1, 327 - 1, 96 - 1) = "0", OFFSET($A$1, 327 - 1, 97 - 1) = "1" ), 3, 4 ) ) )</f>
        <v>1</v>
      </c>
      <c r="CV327" s="24">
        <v>0.96831198263978668</v>
      </c>
      <c r="CW327" s="24" t="str">
        <f>"0"</f>
        <v>0</v>
      </c>
      <c r="CX327" t="str">
        <f ca="1">IF((OFFSET($A$1, 327 - 1, 100 - 1)) &gt;= (OFFSET($A$1, 78 - 1, 7 - 1)), "1","0")</f>
        <v>1</v>
      </c>
      <c r="CY327">
        <f ca="1" xml:space="preserve"> IF( AND( OFFSET($A$1, 327 - 1, 101 - 1) = "1", OFFSET($A$1, 327 - 1, 102 - 1) = "1" ), 1, IF( AND( OFFSET($A$1, 327 - 1, 101 - 1) = "1", OFFSET($A$1, 327 - 1, 102 - 1) = "0" ), 2, IF( AND( OFFSET($A$1, 327 - 1, 101 - 1) = "0", OFFSET($A$1, 327 - 1, 102 - 1) = "1" ), 3, 4 ) ) )</f>
        <v>3</v>
      </c>
    </row>
    <row r="328" spans="95:103" ht="13.8" x14ac:dyDescent="0.3">
      <c r="CQ328" s="24">
        <v>3.3261851894594165E-2</v>
      </c>
      <c r="CR328" s="24" t="str">
        <f>"0"</f>
        <v>0</v>
      </c>
      <c r="CS328" t="str">
        <f ca="1">IF((OFFSET($A$1, 328 - 1, 95 - 1)) &gt;= (OFFSET($A$1, 54 - 1, 7 - 1)), "1","0")</f>
        <v>0</v>
      </c>
      <c r="CT328">
        <f ca="1" xml:space="preserve"> IF( AND( OFFSET($A$1, 328 - 1, 96 - 1) = "1", OFFSET($A$1, 328 - 1, 97 - 1) = "1" ), 1, IF( AND( OFFSET($A$1, 328 - 1, 96 - 1) = "1", OFFSET($A$1, 328 - 1, 97 - 1) = "0" ), 2, IF( AND( OFFSET($A$1, 328 - 1, 96 - 1) = "0", OFFSET($A$1, 328 - 1, 97 - 1) = "1" ), 3, 4 ) ) )</f>
        <v>4</v>
      </c>
      <c r="CV328" s="24">
        <v>9.296687840453545E-3</v>
      </c>
      <c r="CW328" s="24" t="str">
        <f>"0"</f>
        <v>0</v>
      </c>
      <c r="CX328" t="str">
        <f ca="1">IF((OFFSET($A$1, 328 - 1, 100 - 1)) &gt;= (OFFSET($A$1, 78 - 1, 7 - 1)), "1","0")</f>
        <v>0</v>
      </c>
      <c r="CY328">
        <f ca="1" xml:space="preserve"> IF( AND( OFFSET($A$1, 328 - 1, 101 - 1) = "1", OFFSET($A$1, 328 - 1, 102 - 1) = "1" ), 1, IF( AND( OFFSET($A$1, 328 - 1, 101 - 1) = "1", OFFSET($A$1, 328 - 1, 102 - 1) = "0" ), 2, IF( AND( OFFSET($A$1, 328 - 1, 101 - 1) = "0", OFFSET($A$1, 328 - 1, 102 - 1) = "1" ), 3, 4 ) ) )</f>
        <v>4</v>
      </c>
    </row>
    <row r="329" spans="95:103" ht="13.8" x14ac:dyDescent="0.3">
      <c r="CQ329" s="24">
        <v>0.99994660451767992</v>
      </c>
      <c r="CR329" s="24" t="str">
        <f>"1"</f>
        <v>1</v>
      </c>
      <c r="CS329" t="str">
        <f ca="1">IF((OFFSET($A$1, 329 - 1, 95 - 1)) &gt;= (OFFSET($A$1, 54 - 1, 7 - 1)), "1","0")</f>
        <v>1</v>
      </c>
      <c r="CT329">
        <f ca="1" xml:space="preserve"> IF( AND( OFFSET($A$1, 329 - 1, 96 - 1) = "1", OFFSET($A$1, 329 - 1, 97 - 1) = "1" ), 1, IF( AND( OFFSET($A$1, 329 - 1, 96 - 1) = "1", OFFSET($A$1, 329 - 1, 97 - 1) = "0" ), 2, IF( AND( OFFSET($A$1, 329 - 1, 96 - 1) = "0", OFFSET($A$1, 329 - 1, 97 - 1) = "1" ), 3, 4 ) ) )</f>
        <v>1</v>
      </c>
      <c r="CV329" s="24">
        <v>0.99979559254710426</v>
      </c>
      <c r="CW329" s="24" t="str">
        <f>"1"</f>
        <v>1</v>
      </c>
      <c r="CX329" t="str">
        <f ca="1">IF((OFFSET($A$1, 329 - 1, 100 - 1)) &gt;= (OFFSET($A$1, 78 - 1, 7 - 1)), "1","0")</f>
        <v>1</v>
      </c>
      <c r="CY329">
        <f ca="1" xml:space="preserve"> IF( AND( OFFSET($A$1, 329 - 1, 101 - 1) = "1", OFFSET($A$1, 329 - 1, 102 - 1) = "1" ), 1, IF( AND( OFFSET($A$1, 329 - 1, 101 - 1) = "1", OFFSET($A$1, 329 - 1, 102 - 1) = "0" ), 2, IF( AND( OFFSET($A$1, 329 - 1, 101 - 1) = "0", OFFSET($A$1, 329 - 1, 102 - 1) = "1" ), 3, 4 ) ) )</f>
        <v>1</v>
      </c>
    </row>
    <row r="330" spans="95:103" ht="13.8" x14ac:dyDescent="0.3">
      <c r="CQ330" s="24">
        <v>0.98724078420568873</v>
      </c>
      <c r="CR330" s="24" t="str">
        <f>"1"</f>
        <v>1</v>
      </c>
      <c r="CS330" t="str">
        <f ca="1">IF((OFFSET($A$1, 330 - 1, 95 - 1)) &gt;= (OFFSET($A$1, 54 - 1, 7 - 1)), "1","0")</f>
        <v>1</v>
      </c>
      <c r="CT330">
        <f ca="1" xml:space="preserve"> IF( AND( OFFSET($A$1, 330 - 1, 96 - 1) = "1", OFFSET($A$1, 330 - 1, 97 - 1) = "1" ), 1, IF( AND( OFFSET($A$1, 330 - 1, 96 - 1) = "1", OFFSET($A$1, 330 - 1, 97 - 1) = "0" ), 2, IF( AND( OFFSET($A$1, 330 - 1, 96 - 1) = "0", OFFSET($A$1, 330 - 1, 97 - 1) = "1" ), 3, 4 ) ) )</f>
        <v>1</v>
      </c>
      <c r="CV330" s="24">
        <v>0.99864148640468109</v>
      </c>
      <c r="CW330" s="24" t="str">
        <f>"1"</f>
        <v>1</v>
      </c>
      <c r="CX330" t="str">
        <f ca="1">IF((OFFSET($A$1, 330 - 1, 100 - 1)) &gt;= (OFFSET($A$1, 78 - 1, 7 - 1)), "1","0")</f>
        <v>1</v>
      </c>
      <c r="CY330">
        <f ca="1" xml:space="preserve"> IF( AND( OFFSET($A$1, 330 - 1, 101 - 1) = "1", OFFSET($A$1, 330 - 1, 102 - 1) = "1" ), 1, IF( AND( OFFSET($A$1, 330 - 1, 101 - 1) = "1", OFFSET($A$1, 330 - 1, 102 - 1) = "0" ), 2, IF( AND( OFFSET($A$1, 330 - 1, 101 - 1) = "0", OFFSET($A$1, 330 - 1, 102 - 1) = "1" ), 3, 4 ) ) )</f>
        <v>1</v>
      </c>
    </row>
    <row r="331" spans="95:103" ht="13.8" x14ac:dyDescent="0.3">
      <c r="CQ331" s="24">
        <v>8.0347978295920719E-2</v>
      </c>
      <c r="CR331" s="24" t="str">
        <f>"0"</f>
        <v>0</v>
      </c>
      <c r="CS331" t="str">
        <f ca="1">IF((OFFSET($A$1, 331 - 1, 95 - 1)) &gt;= (OFFSET($A$1, 54 - 1, 7 - 1)), "1","0")</f>
        <v>0</v>
      </c>
      <c r="CT331">
        <f ca="1" xml:space="preserve"> IF( AND( OFFSET($A$1, 331 - 1, 96 - 1) = "1", OFFSET($A$1, 331 - 1, 97 - 1) = "1" ), 1, IF( AND( OFFSET($A$1, 331 - 1, 96 - 1) = "1", OFFSET($A$1, 331 - 1, 97 - 1) = "0" ), 2, IF( AND( OFFSET($A$1, 331 - 1, 96 - 1) = "0", OFFSET($A$1, 331 - 1, 97 - 1) = "1" ), 3, 4 ) ) )</f>
        <v>4</v>
      </c>
      <c r="CV331" s="24">
        <v>4.1457575865436032E-2</v>
      </c>
      <c r="CW331" s="24" t="str">
        <f>"0"</f>
        <v>0</v>
      </c>
      <c r="CX331" t="str">
        <f ca="1">IF((OFFSET($A$1, 331 - 1, 100 - 1)) &gt;= (OFFSET($A$1, 78 - 1, 7 - 1)), "1","0")</f>
        <v>0</v>
      </c>
      <c r="CY331">
        <f ca="1" xml:space="preserve"> IF( AND( OFFSET($A$1, 331 - 1, 101 - 1) = "1", OFFSET($A$1, 331 - 1, 102 - 1) = "1" ), 1, IF( AND( OFFSET($A$1, 331 - 1, 101 - 1) = "1", OFFSET($A$1, 331 - 1, 102 - 1) = "0" ), 2, IF( AND( OFFSET($A$1, 331 - 1, 101 - 1) = "0", OFFSET($A$1, 331 - 1, 102 - 1) = "1" ), 3, 4 ) ) )</f>
        <v>4</v>
      </c>
    </row>
    <row r="332" spans="95:103" ht="13.8" x14ac:dyDescent="0.3">
      <c r="CQ332" s="24">
        <v>0.96423563861111761</v>
      </c>
      <c r="CR332" s="24" t="str">
        <f>"1"</f>
        <v>1</v>
      </c>
      <c r="CS332" t="str">
        <f ca="1">IF((OFFSET($A$1, 332 - 1, 95 - 1)) &gt;= (OFFSET($A$1, 54 - 1, 7 - 1)), "1","0")</f>
        <v>1</v>
      </c>
      <c r="CT332">
        <f ca="1" xml:space="preserve"> IF( AND( OFFSET($A$1, 332 - 1, 96 - 1) = "1", OFFSET($A$1, 332 - 1, 97 - 1) = "1" ), 1, IF( AND( OFFSET($A$1, 332 - 1, 96 - 1) = "1", OFFSET($A$1, 332 - 1, 97 - 1) = "0" ), 2, IF( AND( OFFSET($A$1, 332 - 1, 96 - 1) = "0", OFFSET($A$1, 332 - 1, 97 - 1) = "1" ), 3, 4 ) ) )</f>
        <v>1</v>
      </c>
      <c r="CV332" s="24">
        <v>0.53230546503466736</v>
      </c>
      <c r="CW332" s="24" t="str">
        <f>"1"</f>
        <v>1</v>
      </c>
      <c r="CX332" t="str">
        <f ca="1">IF((OFFSET($A$1, 332 - 1, 100 - 1)) &gt;= (OFFSET($A$1, 78 - 1, 7 - 1)), "1","0")</f>
        <v>1</v>
      </c>
      <c r="CY332">
        <f ca="1" xml:space="preserve"> IF( AND( OFFSET($A$1, 332 - 1, 101 - 1) = "1", OFFSET($A$1, 332 - 1, 102 - 1) = "1" ), 1, IF( AND( OFFSET($A$1, 332 - 1, 101 - 1) = "1", OFFSET($A$1, 332 - 1, 102 - 1) = "0" ), 2, IF( AND( OFFSET($A$1, 332 - 1, 101 - 1) = "0", OFFSET($A$1, 332 - 1, 102 - 1) = "1" ), 3, 4 ) ) )</f>
        <v>1</v>
      </c>
    </row>
    <row r="333" spans="95:103" ht="13.8" x14ac:dyDescent="0.3">
      <c r="CQ333" s="24">
        <v>7.1043009666355659E-3</v>
      </c>
      <c r="CR333" s="24" t="str">
        <f>"0"</f>
        <v>0</v>
      </c>
      <c r="CS333" t="str">
        <f ca="1">IF((OFFSET($A$1, 333 - 1, 95 - 1)) &gt;= (OFFSET($A$1, 54 - 1, 7 - 1)), "1","0")</f>
        <v>0</v>
      </c>
      <c r="CT333">
        <f ca="1" xml:space="preserve"> IF( AND( OFFSET($A$1, 333 - 1, 96 - 1) = "1", OFFSET($A$1, 333 - 1, 97 - 1) = "1" ), 1, IF( AND( OFFSET($A$1, 333 - 1, 96 - 1) = "1", OFFSET($A$1, 333 - 1, 97 - 1) = "0" ), 2, IF( AND( OFFSET($A$1, 333 - 1, 96 - 1) = "0", OFFSET($A$1, 333 - 1, 97 - 1) = "1" ), 3, 4 ) ) )</f>
        <v>4</v>
      </c>
      <c r="CV333" s="24">
        <v>2.0266496667199901E-3</v>
      </c>
      <c r="CW333" s="24" t="str">
        <f>"1"</f>
        <v>1</v>
      </c>
      <c r="CX333" t="str">
        <f ca="1">IF((OFFSET($A$1, 333 - 1, 100 - 1)) &gt;= (OFFSET($A$1, 78 - 1, 7 - 1)), "1","0")</f>
        <v>0</v>
      </c>
      <c r="CY333">
        <f ca="1" xml:space="preserve"> IF( AND( OFFSET($A$1, 333 - 1, 101 - 1) = "1", OFFSET($A$1, 333 - 1, 102 - 1) = "1" ), 1, IF( AND( OFFSET($A$1, 333 - 1, 101 - 1) = "1", OFFSET($A$1, 333 - 1, 102 - 1) = "0" ), 2, IF( AND( OFFSET($A$1, 333 - 1, 101 - 1) = "0", OFFSET($A$1, 333 - 1, 102 - 1) = "1" ), 3, 4 ) ) )</f>
        <v>2</v>
      </c>
    </row>
    <row r="334" spans="95:103" ht="13.8" x14ac:dyDescent="0.3">
      <c r="CQ334" s="24">
        <v>0.98804765227237945</v>
      </c>
      <c r="CR334" s="24" t="str">
        <f>"1"</f>
        <v>1</v>
      </c>
      <c r="CS334" t="str">
        <f ca="1">IF((OFFSET($A$1, 334 - 1, 95 - 1)) &gt;= (OFFSET($A$1, 54 - 1, 7 - 1)), "1","0")</f>
        <v>1</v>
      </c>
      <c r="CT334">
        <f ca="1" xml:space="preserve"> IF( AND( OFFSET($A$1, 334 - 1, 96 - 1) = "1", OFFSET($A$1, 334 - 1, 97 - 1) = "1" ), 1, IF( AND( OFFSET($A$1, 334 - 1, 96 - 1) = "1", OFFSET($A$1, 334 - 1, 97 - 1) = "0" ), 2, IF( AND( OFFSET($A$1, 334 - 1, 96 - 1) = "0", OFFSET($A$1, 334 - 1, 97 - 1) = "1" ), 3, 4 ) ) )</f>
        <v>1</v>
      </c>
      <c r="CV334" s="24">
        <v>0.97111800928558989</v>
      </c>
      <c r="CW334" s="24" t="str">
        <f>"1"</f>
        <v>1</v>
      </c>
      <c r="CX334" t="str">
        <f ca="1">IF((OFFSET($A$1, 334 - 1, 100 - 1)) &gt;= (OFFSET($A$1, 78 - 1, 7 - 1)), "1","0")</f>
        <v>1</v>
      </c>
      <c r="CY334">
        <f ca="1" xml:space="preserve"> IF( AND( OFFSET($A$1, 334 - 1, 101 - 1) = "1", OFFSET($A$1, 334 - 1, 102 - 1) = "1" ), 1, IF( AND( OFFSET($A$1, 334 - 1, 101 - 1) = "1", OFFSET($A$1, 334 - 1, 102 - 1) = "0" ), 2, IF( AND( OFFSET($A$1, 334 - 1, 101 - 1) = "0", OFFSET($A$1, 334 - 1, 102 - 1) = "1" ), 3, 4 ) ) )</f>
        <v>1</v>
      </c>
    </row>
    <row r="335" spans="95:103" ht="13.8" x14ac:dyDescent="0.3">
      <c r="CQ335" s="24">
        <v>8.1197714841810278E-2</v>
      </c>
      <c r="CR335" s="24" t="str">
        <f>"0"</f>
        <v>0</v>
      </c>
      <c r="CS335" t="str">
        <f ca="1">IF((OFFSET($A$1, 335 - 1, 95 - 1)) &gt;= (OFFSET($A$1, 54 - 1, 7 - 1)), "1","0")</f>
        <v>0</v>
      </c>
      <c r="CT335">
        <f ca="1" xml:space="preserve"> IF( AND( OFFSET($A$1, 335 - 1, 96 - 1) = "1", OFFSET($A$1, 335 - 1, 97 - 1) = "1" ), 1, IF( AND( OFFSET($A$1, 335 - 1, 96 - 1) = "1", OFFSET($A$1, 335 - 1, 97 - 1) = "0" ), 2, IF( AND( OFFSET($A$1, 335 - 1, 96 - 1) = "0", OFFSET($A$1, 335 - 1, 97 - 1) = "1" ), 3, 4 ) ) )</f>
        <v>4</v>
      </c>
      <c r="CV335" s="24">
        <v>0.99384052119502586</v>
      </c>
      <c r="CW335" s="24" t="str">
        <f>"1"</f>
        <v>1</v>
      </c>
      <c r="CX335" t="str">
        <f ca="1">IF((OFFSET($A$1, 335 - 1, 100 - 1)) &gt;= (OFFSET($A$1, 78 - 1, 7 - 1)), "1","0")</f>
        <v>1</v>
      </c>
      <c r="CY335">
        <f ca="1" xml:space="preserve"> IF( AND( OFFSET($A$1, 335 - 1, 101 - 1) = "1", OFFSET($A$1, 335 - 1, 102 - 1) = "1" ), 1, IF( AND( OFFSET($A$1, 335 - 1, 101 - 1) = "1", OFFSET($A$1, 335 - 1, 102 - 1) = "0" ), 2, IF( AND( OFFSET($A$1, 335 - 1, 101 - 1) = "0", OFFSET($A$1, 335 - 1, 102 - 1) = "1" ), 3, 4 ) ) )</f>
        <v>1</v>
      </c>
    </row>
    <row r="336" spans="95:103" ht="13.8" x14ac:dyDescent="0.3">
      <c r="CQ336" s="24">
        <v>0.86479219853136446</v>
      </c>
      <c r="CR336" s="24" t="str">
        <f>"1"</f>
        <v>1</v>
      </c>
      <c r="CS336" t="str">
        <f ca="1">IF((OFFSET($A$1, 336 - 1, 95 - 1)) &gt;= (OFFSET($A$1, 54 - 1, 7 - 1)), "1","0")</f>
        <v>1</v>
      </c>
      <c r="CT336">
        <f ca="1" xml:space="preserve"> IF( AND( OFFSET($A$1, 336 - 1, 96 - 1) = "1", OFFSET($A$1, 336 - 1, 97 - 1) = "1" ), 1, IF( AND( OFFSET($A$1, 336 - 1, 96 - 1) = "1", OFFSET($A$1, 336 - 1, 97 - 1) = "0" ), 2, IF( AND( OFFSET($A$1, 336 - 1, 96 - 1) = "0", OFFSET($A$1, 336 - 1, 97 - 1) = "1" ), 3, 4 ) ) )</f>
        <v>1</v>
      </c>
      <c r="CV336" s="24">
        <v>0.33762397416745865</v>
      </c>
      <c r="CW336" s="24" t="str">
        <f>"0"</f>
        <v>0</v>
      </c>
      <c r="CX336" t="str">
        <f ca="1">IF((OFFSET($A$1, 336 - 1, 100 - 1)) &gt;= (OFFSET($A$1, 78 - 1, 7 - 1)), "1","0")</f>
        <v>0</v>
      </c>
      <c r="CY336">
        <f ca="1" xml:space="preserve"> IF( AND( OFFSET($A$1, 336 - 1, 101 - 1) = "1", OFFSET($A$1, 336 - 1, 102 - 1) = "1" ), 1, IF( AND( OFFSET($A$1, 336 - 1, 101 - 1) = "1", OFFSET($A$1, 336 - 1, 102 - 1) = "0" ), 2, IF( AND( OFFSET($A$1, 336 - 1, 101 - 1) = "0", OFFSET($A$1, 336 - 1, 102 - 1) = "1" ), 3, 4 ) ) )</f>
        <v>4</v>
      </c>
    </row>
    <row r="337" spans="95:103" ht="13.8" x14ac:dyDescent="0.3">
      <c r="CQ337" s="24">
        <v>0.993468223373704</v>
      </c>
      <c r="CR337" s="24" t="str">
        <f>"1"</f>
        <v>1</v>
      </c>
      <c r="CS337" t="str">
        <f ca="1">IF((OFFSET($A$1, 337 - 1, 95 - 1)) &gt;= (OFFSET($A$1, 54 - 1, 7 - 1)), "1","0")</f>
        <v>1</v>
      </c>
      <c r="CT337">
        <f ca="1" xml:space="preserve"> IF( AND( OFFSET($A$1, 337 - 1, 96 - 1) = "1", OFFSET($A$1, 337 - 1, 97 - 1) = "1" ), 1, IF( AND( OFFSET($A$1, 337 - 1, 96 - 1) = "1", OFFSET($A$1, 337 - 1, 97 - 1) = "0" ), 2, IF( AND( OFFSET($A$1, 337 - 1, 96 - 1) = "0", OFFSET($A$1, 337 - 1, 97 - 1) = "1" ), 3, 4 ) ) )</f>
        <v>1</v>
      </c>
      <c r="CV337" s="24">
        <v>1.3955437425366245E-2</v>
      </c>
      <c r="CW337" s="24" t="str">
        <f>"0"</f>
        <v>0</v>
      </c>
      <c r="CX337" t="str">
        <f ca="1">IF((OFFSET($A$1, 337 - 1, 100 - 1)) &gt;= (OFFSET($A$1, 78 - 1, 7 - 1)), "1","0")</f>
        <v>0</v>
      </c>
      <c r="CY337">
        <f ca="1" xml:space="preserve"> IF( AND( OFFSET($A$1, 337 - 1, 101 - 1) = "1", OFFSET($A$1, 337 - 1, 102 - 1) = "1" ), 1, IF( AND( OFFSET($A$1, 337 - 1, 101 - 1) = "1", OFFSET($A$1, 337 - 1, 102 - 1) = "0" ), 2, IF( AND( OFFSET($A$1, 337 - 1, 101 - 1) = "0", OFFSET($A$1, 337 - 1, 102 - 1) = "1" ), 3, 4 ) ) )</f>
        <v>4</v>
      </c>
    </row>
    <row r="338" spans="95:103" ht="13.8" x14ac:dyDescent="0.3">
      <c r="CQ338" s="24">
        <v>0.96379147881471072</v>
      </c>
      <c r="CR338" s="24" t="str">
        <f>"1"</f>
        <v>1</v>
      </c>
      <c r="CS338" t="str">
        <f ca="1">IF((OFFSET($A$1, 338 - 1, 95 - 1)) &gt;= (OFFSET($A$1, 54 - 1, 7 - 1)), "1","0")</f>
        <v>1</v>
      </c>
      <c r="CT338">
        <f ca="1" xml:space="preserve"> IF( AND( OFFSET($A$1, 338 - 1, 96 - 1) = "1", OFFSET($A$1, 338 - 1, 97 - 1) = "1" ), 1, IF( AND( OFFSET($A$1, 338 - 1, 96 - 1) = "1", OFFSET($A$1, 338 - 1, 97 - 1) = "0" ), 2, IF( AND( OFFSET($A$1, 338 - 1, 96 - 1) = "0", OFFSET($A$1, 338 - 1, 97 - 1) = "1" ), 3, 4 ) ) )</f>
        <v>1</v>
      </c>
      <c r="CV338" s="24">
        <v>0.70445418831674123</v>
      </c>
      <c r="CW338" s="24" t="str">
        <f>"0"</f>
        <v>0</v>
      </c>
      <c r="CX338" t="str">
        <f ca="1">IF((OFFSET($A$1, 338 - 1, 100 - 1)) &gt;= (OFFSET($A$1, 78 - 1, 7 - 1)), "1","0")</f>
        <v>1</v>
      </c>
      <c r="CY338">
        <f ca="1" xml:space="preserve"> IF( AND( OFFSET($A$1, 338 - 1, 101 - 1) = "1", OFFSET($A$1, 338 - 1, 102 - 1) = "1" ), 1, IF( AND( OFFSET($A$1, 338 - 1, 101 - 1) = "1", OFFSET($A$1, 338 - 1, 102 - 1) = "0" ), 2, IF( AND( OFFSET($A$1, 338 - 1, 101 - 1) = "0", OFFSET($A$1, 338 - 1, 102 - 1) = "1" ), 3, 4 ) ) )</f>
        <v>3</v>
      </c>
    </row>
    <row r="339" spans="95:103" ht="13.8" x14ac:dyDescent="0.3">
      <c r="CQ339" s="24">
        <v>0.88975810275936751</v>
      </c>
      <c r="CR339" s="24" t="str">
        <f>"1"</f>
        <v>1</v>
      </c>
      <c r="CS339" t="str">
        <f ca="1">IF((OFFSET($A$1, 339 - 1, 95 - 1)) &gt;= (OFFSET($A$1, 54 - 1, 7 - 1)), "1","0")</f>
        <v>1</v>
      </c>
      <c r="CT339">
        <f ca="1" xml:space="preserve"> IF( AND( OFFSET($A$1, 339 - 1, 96 - 1) = "1", OFFSET($A$1, 339 - 1, 97 - 1) = "1" ), 1, IF( AND( OFFSET($A$1, 339 - 1, 96 - 1) = "1", OFFSET($A$1, 339 - 1, 97 - 1) = "0" ), 2, IF( AND( OFFSET($A$1, 339 - 1, 96 - 1) = "0", OFFSET($A$1, 339 - 1, 97 - 1) = "1" ), 3, 4 ) ) )</f>
        <v>1</v>
      </c>
      <c r="CV339" s="24">
        <v>0.99999155705260023</v>
      </c>
      <c r="CW339" s="24" t="str">
        <f>"1"</f>
        <v>1</v>
      </c>
      <c r="CX339" t="str">
        <f ca="1">IF((OFFSET($A$1, 339 - 1, 100 - 1)) &gt;= (OFFSET($A$1, 78 - 1, 7 - 1)), "1","0")</f>
        <v>1</v>
      </c>
      <c r="CY339">
        <f ca="1" xml:space="preserve"> IF( AND( OFFSET($A$1, 339 - 1, 101 - 1) = "1", OFFSET($A$1, 339 - 1, 102 - 1) = "1" ), 1, IF( AND( OFFSET($A$1, 339 - 1, 101 - 1) = "1", OFFSET($A$1, 339 - 1, 102 - 1) = "0" ), 2, IF( AND( OFFSET($A$1, 339 - 1, 101 - 1) = "0", OFFSET($A$1, 339 - 1, 102 - 1) = "1" ), 3, 4 ) ) )</f>
        <v>1</v>
      </c>
    </row>
    <row r="340" spans="95:103" ht="13.8" x14ac:dyDescent="0.3">
      <c r="CQ340" s="24">
        <v>0.10851195836879143</v>
      </c>
      <c r="CR340" s="24" t="str">
        <f>"0"</f>
        <v>0</v>
      </c>
      <c r="CS340" t="str">
        <f ca="1">IF((OFFSET($A$1, 340 - 1, 95 - 1)) &gt;= (OFFSET($A$1, 54 - 1, 7 - 1)), "1","0")</f>
        <v>0</v>
      </c>
      <c r="CT340">
        <f ca="1" xml:space="preserve"> IF( AND( OFFSET($A$1, 340 - 1, 96 - 1) = "1", OFFSET($A$1, 340 - 1, 97 - 1) = "1" ), 1, IF( AND( OFFSET($A$1, 340 - 1, 96 - 1) = "1", OFFSET($A$1, 340 - 1, 97 - 1) = "0" ), 2, IF( AND( OFFSET($A$1, 340 - 1, 96 - 1) = "0", OFFSET($A$1, 340 - 1, 97 - 1) = "1" ), 3, 4 ) ) )</f>
        <v>4</v>
      </c>
      <c r="CV340" s="24">
        <v>0.99999254269239846</v>
      </c>
      <c r="CW340" s="24" t="str">
        <f>"1"</f>
        <v>1</v>
      </c>
      <c r="CX340" t="str">
        <f ca="1">IF((OFFSET($A$1, 340 - 1, 100 - 1)) &gt;= (OFFSET($A$1, 78 - 1, 7 - 1)), "1","0")</f>
        <v>1</v>
      </c>
      <c r="CY340">
        <f ca="1" xml:space="preserve"> IF( AND( OFFSET($A$1, 340 - 1, 101 - 1) = "1", OFFSET($A$1, 340 - 1, 102 - 1) = "1" ), 1, IF( AND( OFFSET($A$1, 340 - 1, 101 - 1) = "1", OFFSET($A$1, 340 - 1, 102 - 1) = "0" ), 2, IF( AND( OFFSET($A$1, 340 - 1, 101 - 1) = "0", OFFSET($A$1, 340 - 1, 102 - 1) = "1" ), 3, 4 ) ) )</f>
        <v>1</v>
      </c>
    </row>
    <row r="341" spans="95:103" ht="13.8" x14ac:dyDescent="0.3">
      <c r="CQ341" s="24">
        <v>0.99976339136899028</v>
      </c>
      <c r="CR341" s="24" t="str">
        <f>"1"</f>
        <v>1</v>
      </c>
      <c r="CS341" t="str">
        <f ca="1">IF((OFFSET($A$1, 341 - 1, 95 - 1)) &gt;= (OFFSET($A$1, 54 - 1, 7 - 1)), "1","0")</f>
        <v>1</v>
      </c>
      <c r="CT341">
        <f ca="1" xml:space="preserve"> IF( AND( OFFSET($A$1, 341 - 1, 96 - 1) = "1", OFFSET($A$1, 341 - 1, 97 - 1) = "1" ), 1, IF( AND( OFFSET($A$1, 341 - 1, 96 - 1) = "1", OFFSET($A$1, 341 - 1, 97 - 1) = "0" ), 2, IF( AND( OFFSET($A$1, 341 - 1, 96 - 1) = "0", OFFSET($A$1, 341 - 1, 97 - 1) = "1" ), 3, 4 ) ) )</f>
        <v>1</v>
      </c>
      <c r="CV341" s="24">
        <v>1.1429356961139279E-2</v>
      </c>
      <c r="CW341" s="24" t="str">
        <f>"0"</f>
        <v>0</v>
      </c>
      <c r="CX341" t="str">
        <f ca="1">IF((OFFSET($A$1, 341 - 1, 100 - 1)) &gt;= (OFFSET($A$1, 78 - 1, 7 - 1)), "1","0")</f>
        <v>0</v>
      </c>
      <c r="CY341">
        <f ca="1" xml:space="preserve"> IF( AND( OFFSET($A$1, 341 - 1, 101 - 1) = "1", OFFSET($A$1, 341 - 1, 102 - 1) = "1" ), 1, IF( AND( OFFSET($A$1, 341 - 1, 101 - 1) = "1", OFFSET($A$1, 341 - 1, 102 - 1) = "0" ), 2, IF( AND( OFFSET($A$1, 341 - 1, 101 - 1) = "0", OFFSET($A$1, 341 - 1, 102 - 1) = "1" ), 3, 4 ) ) )</f>
        <v>4</v>
      </c>
    </row>
    <row r="342" spans="95:103" ht="13.8" x14ac:dyDescent="0.3">
      <c r="CQ342" s="24">
        <v>0.11370166457269922</v>
      </c>
      <c r="CR342" s="24" t="str">
        <f>"0"</f>
        <v>0</v>
      </c>
      <c r="CS342" t="str">
        <f ca="1">IF((OFFSET($A$1, 342 - 1, 95 - 1)) &gt;= (OFFSET($A$1, 54 - 1, 7 - 1)), "1","0")</f>
        <v>0</v>
      </c>
      <c r="CT342">
        <f ca="1" xml:space="preserve"> IF( AND( OFFSET($A$1, 342 - 1, 96 - 1) = "1", OFFSET($A$1, 342 - 1, 97 - 1) = "1" ), 1, IF( AND( OFFSET($A$1, 342 - 1, 96 - 1) = "1", OFFSET($A$1, 342 - 1, 97 - 1) = "0" ), 2, IF( AND( OFFSET($A$1, 342 - 1, 96 - 1) = "0", OFFSET($A$1, 342 - 1, 97 - 1) = "1" ), 3, 4 ) ) )</f>
        <v>4</v>
      </c>
      <c r="CV342" s="24">
        <v>0.99624970484053088</v>
      </c>
      <c r="CW342" s="24" t="str">
        <f>"1"</f>
        <v>1</v>
      </c>
      <c r="CX342" t="str">
        <f ca="1">IF((OFFSET($A$1, 342 - 1, 100 - 1)) &gt;= (OFFSET($A$1, 78 - 1, 7 - 1)), "1","0")</f>
        <v>1</v>
      </c>
      <c r="CY342">
        <f ca="1" xml:space="preserve"> IF( AND( OFFSET($A$1, 342 - 1, 101 - 1) = "1", OFFSET($A$1, 342 - 1, 102 - 1) = "1" ), 1, IF( AND( OFFSET($A$1, 342 - 1, 101 - 1) = "1", OFFSET($A$1, 342 - 1, 102 - 1) = "0" ), 2, IF( AND( OFFSET($A$1, 342 - 1, 101 - 1) = "0", OFFSET($A$1, 342 - 1, 102 - 1) = "1" ), 3, 4 ) ) )</f>
        <v>1</v>
      </c>
    </row>
    <row r="343" spans="95:103" ht="13.8" x14ac:dyDescent="0.3">
      <c r="CQ343" s="24">
        <v>0.95478866853653888</v>
      </c>
      <c r="CR343" s="24" t="str">
        <f>"1"</f>
        <v>1</v>
      </c>
      <c r="CS343" t="str">
        <f ca="1">IF((OFFSET($A$1, 343 - 1, 95 - 1)) &gt;= (OFFSET($A$1, 54 - 1, 7 - 1)), "1","0")</f>
        <v>1</v>
      </c>
      <c r="CT343">
        <f ca="1" xml:space="preserve"> IF( AND( OFFSET($A$1, 343 - 1, 96 - 1) = "1", OFFSET($A$1, 343 - 1, 97 - 1) = "1" ), 1, IF( AND( OFFSET($A$1, 343 - 1, 96 - 1) = "1", OFFSET($A$1, 343 - 1, 97 - 1) = "0" ), 2, IF( AND( OFFSET($A$1, 343 - 1, 96 - 1) = "0", OFFSET($A$1, 343 - 1, 97 - 1) = "1" ), 3, 4 ) ) )</f>
        <v>1</v>
      </c>
      <c r="CV343" s="24">
        <v>5.2196861657824875E-2</v>
      </c>
      <c r="CW343" s="24" t="str">
        <f>"0"</f>
        <v>0</v>
      </c>
      <c r="CX343" t="str">
        <f ca="1">IF((OFFSET($A$1, 343 - 1, 100 - 1)) &gt;= (OFFSET($A$1, 78 - 1, 7 - 1)), "1","0")</f>
        <v>0</v>
      </c>
      <c r="CY343">
        <f ca="1" xml:space="preserve"> IF( AND( OFFSET($A$1, 343 - 1, 101 - 1) = "1", OFFSET($A$1, 343 - 1, 102 - 1) = "1" ), 1, IF( AND( OFFSET($A$1, 343 - 1, 101 - 1) = "1", OFFSET($A$1, 343 - 1, 102 - 1) = "0" ), 2, IF( AND( OFFSET($A$1, 343 - 1, 101 - 1) = "0", OFFSET($A$1, 343 - 1, 102 - 1) = "1" ), 3, 4 ) ) )</f>
        <v>4</v>
      </c>
    </row>
    <row r="344" spans="95:103" ht="13.8" x14ac:dyDescent="0.3">
      <c r="CQ344" s="24">
        <v>0.99973230233771448</v>
      </c>
      <c r="CR344" s="24" t="str">
        <f>"1"</f>
        <v>1</v>
      </c>
      <c r="CS344" t="str">
        <f ca="1">IF((OFFSET($A$1, 344 - 1, 95 - 1)) &gt;= (OFFSET($A$1, 54 - 1, 7 - 1)), "1","0")</f>
        <v>1</v>
      </c>
      <c r="CT344">
        <f ca="1" xml:space="preserve"> IF( AND( OFFSET($A$1, 344 - 1, 96 - 1) = "1", OFFSET($A$1, 344 - 1, 97 - 1) = "1" ), 1, IF( AND( OFFSET($A$1, 344 - 1, 96 - 1) = "1", OFFSET($A$1, 344 - 1, 97 - 1) = "0" ), 2, IF( AND( OFFSET($A$1, 344 - 1, 96 - 1) = "0", OFFSET($A$1, 344 - 1, 97 - 1) = "1" ), 3, 4 ) ) )</f>
        <v>1</v>
      </c>
      <c r="CV344" s="24">
        <v>0.9947410428178225</v>
      </c>
      <c r="CW344" s="24" t="str">
        <f>"1"</f>
        <v>1</v>
      </c>
      <c r="CX344" t="str">
        <f ca="1">IF((OFFSET($A$1, 344 - 1, 100 - 1)) &gt;= (OFFSET($A$1, 78 - 1, 7 - 1)), "1","0")</f>
        <v>1</v>
      </c>
      <c r="CY344">
        <f ca="1" xml:space="preserve"> IF( AND( OFFSET($A$1, 344 - 1, 101 - 1) = "1", OFFSET($A$1, 344 - 1, 102 - 1) = "1" ), 1, IF( AND( OFFSET($A$1, 344 - 1, 101 - 1) = "1", OFFSET($A$1, 344 - 1, 102 - 1) = "0" ), 2, IF( AND( OFFSET($A$1, 344 - 1, 101 - 1) = "0", OFFSET($A$1, 344 - 1, 102 - 1) = "1" ), 3, 4 ) ) )</f>
        <v>1</v>
      </c>
    </row>
    <row r="345" spans="95:103" ht="13.8" x14ac:dyDescent="0.3">
      <c r="CQ345" s="24">
        <v>8.334943904321522E-2</v>
      </c>
      <c r="CR345" s="24" t="str">
        <f>"0"</f>
        <v>0</v>
      </c>
      <c r="CS345" t="str">
        <f ca="1">IF((OFFSET($A$1, 345 - 1, 95 - 1)) &gt;= (OFFSET($A$1, 54 - 1, 7 - 1)), "1","0")</f>
        <v>0</v>
      </c>
      <c r="CT345">
        <f ca="1" xml:space="preserve"> IF( AND( OFFSET($A$1, 345 - 1, 96 - 1) = "1", OFFSET($A$1, 345 - 1, 97 - 1) = "1" ), 1, IF( AND( OFFSET($A$1, 345 - 1, 96 - 1) = "1", OFFSET($A$1, 345 - 1, 97 - 1) = "0" ), 2, IF( AND( OFFSET($A$1, 345 - 1, 96 - 1) = "0", OFFSET($A$1, 345 - 1, 97 - 1) = "1" ), 3, 4 ) ) )</f>
        <v>4</v>
      </c>
      <c r="CV345" s="24">
        <v>0.99760314803464478</v>
      </c>
      <c r="CW345" s="24" t="str">
        <f>"1"</f>
        <v>1</v>
      </c>
      <c r="CX345" t="str">
        <f ca="1">IF((OFFSET($A$1, 345 - 1, 100 - 1)) &gt;= (OFFSET($A$1, 78 - 1, 7 - 1)), "1","0")</f>
        <v>1</v>
      </c>
      <c r="CY345">
        <f ca="1" xml:space="preserve"> IF( AND( OFFSET($A$1, 345 - 1, 101 - 1) = "1", OFFSET($A$1, 345 - 1, 102 - 1) = "1" ), 1, IF( AND( OFFSET($A$1, 345 - 1, 101 - 1) = "1", OFFSET($A$1, 345 - 1, 102 - 1) = "0" ), 2, IF( AND( OFFSET($A$1, 345 - 1, 101 - 1) = "0", OFFSET($A$1, 345 - 1, 102 - 1) = "1" ), 3, 4 ) ) )</f>
        <v>1</v>
      </c>
    </row>
    <row r="346" spans="95:103" ht="13.8" x14ac:dyDescent="0.3">
      <c r="CQ346" s="24">
        <v>0.99072850223573383</v>
      </c>
      <c r="CR346" s="24" t="str">
        <f>"1"</f>
        <v>1</v>
      </c>
      <c r="CS346" t="str">
        <f ca="1">IF((OFFSET($A$1, 346 - 1, 95 - 1)) &gt;= (OFFSET($A$1, 54 - 1, 7 - 1)), "1","0")</f>
        <v>1</v>
      </c>
      <c r="CT346">
        <f ca="1" xml:space="preserve"> IF( AND( OFFSET($A$1, 346 - 1, 96 - 1) = "1", OFFSET($A$1, 346 - 1, 97 - 1) = "1" ), 1, IF( AND( OFFSET($A$1, 346 - 1, 96 - 1) = "1", OFFSET($A$1, 346 - 1, 97 - 1) = "0" ), 2, IF( AND( OFFSET($A$1, 346 - 1, 96 - 1) = "0", OFFSET($A$1, 346 - 1, 97 - 1) = "1" ), 3, 4 ) ) )</f>
        <v>1</v>
      </c>
      <c r="CV346" s="24">
        <v>7.8690202975220766E-2</v>
      </c>
      <c r="CW346" s="24" t="str">
        <f>"1"</f>
        <v>1</v>
      </c>
      <c r="CX346" t="str">
        <f ca="1">IF((OFFSET($A$1, 346 - 1, 100 - 1)) &gt;= (OFFSET($A$1, 78 - 1, 7 - 1)), "1","0")</f>
        <v>0</v>
      </c>
      <c r="CY346">
        <f ca="1" xml:space="preserve"> IF( AND( OFFSET($A$1, 346 - 1, 101 - 1) = "1", OFFSET($A$1, 346 - 1, 102 - 1) = "1" ), 1, IF( AND( OFFSET($A$1, 346 - 1, 101 - 1) = "1", OFFSET($A$1, 346 - 1, 102 - 1) = "0" ), 2, IF( AND( OFFSET($A$1, 346 - 1, 101 - 1) = "0", OFFSET($A$1, 346 - 1, 102 - 1) = "1" ), 3, 4 ) ) )</f>
        <v>2</v>
      </c>
    </row>
    <row r="347" spans="95:103" ht="13.8" x14ac:dyDescent="0.3">
      <c r="CQ347" s="24">
        <v>0.99999620447070314</v>
      </c>
      <c r="CR347" s="24" t="str">
        <f>"1"</f>
        <v>1</v>
      </c>
      <c r="CS347" t="str">
        <f ca="1">IF((OFFSET($A$1, 347 - 1, 95 - 1)) &gt;= (OFFSET($A$1, 54 - 1, 7 - 1)), "1","0")</f>
        <v>1</v>
      </c>
      <c r="CT347">
        <f ca="1" xml:space="preserve"> IF( AND( OFFSET($A$1, 347 - 1, 96 - 1) = "1", OFFSET($A$1, 347 - 1, 97 - 1) = "1" ), 1, IF( AND( OFFSET($A$1, 347 - 1, 96 - 1) = "1", OFFSET($A$1, 347 - 1, 97 - 1) = "0" ), 2, IF( AND( OFFSET($A$1, 347 - 1, 96 - 1) = "0", OFFSET($A$1, 347 - 1, 97 - 1) = "1" ), 3, 4 ) ) )</f>
        <v>1</v>
      </c>
      <c r="CV347" s="24">
        <v>0.99977145744896478</v>
      </c>
      <c r="CW347" s="24" t="str">
        <f>"1"</f>
        <v>1</v>
      </c>
      <c r="CX347" t="str">
        <f ca="1">IF((OFFSET($A$1, 347 - 1, 100 - 1)) &gt;= (OFFSET($A$1, 78 - 1, 7 - 1)), "1","0")</f>
        <v>1</v>
      </c>
      <c r="CY347">
        <f ca="1" xml:space="preserve"> IF( AND( OFFSET($A$1, 347 - 1, 101 - 1) = "1", OFFSET($A$1, 347 - 1, 102 - 1) = "1" ), 1, IF( AND( OFFSET($A$1, 347 - 1, 101 - 1) = "1", OFFSET($A$1, 347 - 1, 102 - 1) = "0" ), 2, IF( AND( OFFSET($A$1, 347 - 1, 101 - 1) = "0", OFFSET($A$1, 347 - 1, 102 - 1) = "1" ), 3, 4 ) ) )</f>
        <v>1</v>
      </c>
    </row>
    <row r="348" spans="95:103" ht="13.8" x14ac:dyDescent="0.3">
      <c r="CQ348" s="24">
        <v>7.3957652694260981E-2</v>
      </c>
      <c r="CR348" s="24" t="str">
        <f>"0"</f>
        <v>0</v>
      </c>
      <c r="CS348" t="str">
        <f ca="1">IF((OFFSET($A$1, 348 - 1, 95 - 1)) &gt;= (OFFSET($A$1, 54 - 1, 7 - 1)), "1","0")</f>
        <v>0</v>
      </c>
      <c r="CT348">
        <f ca="1" xml:space="preserve"> IF( AND( OFFSET($A$1, 348 - 1, 96 - 1) = "1", OFFSET($A$1, 348 - 1, 97 - 1) = "1" ), 1, IF( AND( OFFSET($A$1, 348 - 1, 96 - 1) = "1", OFFSET($A$1, 348 - 1, 97 - 1) = "0" ), 2, IF( AND( OFFSET($A$1, 348 - 1, 96 - 1) = "0", OFFSET($A$1, 348 - 1, 97 - 1) = "1" ), 3, 4 ) ) )</f>
        <v>4</v>
      </c>
      <c r="CV348" s="24">
        <v>0.84761093804060117</v>
      </c>
      <c r="CW348" s="24" t="str">
        <f>"0"</f>
        <v>0</v>
      </c>
      <c r="CX348" t="str">
        <f ca="1">IF((OFFSET($A$1, 348 - 1, 100 - 1)) &gt;= (OFFSET($A$1, 78 - 1, 7 - 1)), "1","0")</f>
        <v>1</v>
      </c>
      <c r="CY348">
        <f ca="1" xml:space="preserve"> IF( AND( OFFSET($A$1, 348 - 1, 101 - 1) = "1", OFFSET($A$1, 348 - 1, 102 - 1) = "1" ), 1, IF( AND( OFFSET($A$1, 348 - 1, 101 - 1) = "1", OFFSET($A$1, 348 - 1, 102 - 1) = "0" ), 2, IF( AND( OFFSET($A$1, 348 - 1, 101 - 1) = "0", OFFSET($A$1, 348 - 1, 102 - 1) = "1" ), 3, 4 ) ) )</f>
        <v>3</v>
      </c>
    </row>
    <row r="349" spans="95:103" ht="13.8" x14ac:dyDescent="0.3">
      <c r="CQ349" s="24">
        <v>0.90184789453696634</v>
      </c>
      <c r="CR349" s="24" t="str">
        <f t="shared" ref="CR349:CR358" si="26">"1"</f>
        <v>1</v>
      </c>
      <c r="CS349" t="str">
        <f ca="1">IF((OFFSET($A$1, 349 - 1, 95 - 1)) &gt;= (OFFSET($A$1, 54 - 1, 7 - 1)), "1","0")</f>
        <v>1</v>
      </c>
      <c r="CT349">
        <f ca="1" xml:space="preserve"> IF( AND( OFFSET($A$1, 349 - 1, 96 - 1) = "1", OFFSET($A$1, 349 - 1, 97 - 1) = "1" ), 1, IF( AND( OFFSET($A$1, 349 - 1, 96 - 1) = "1", OFFSET($A$1, 349 - 1, 97 - 1) = "0" ), 2, IF( AND( OFFSET($A$1, 349 - 1, 96 - 1) = "0", OFFSET($A$1, 349 - 1, 97 - 1) = "1" ), 3, 4 ) ) )</f>
        <v>1</v>
      </c>
      <c r="CV349" s="24">
        <v>0.99997131843187437</v>
      </c>
      <c r="CW349" s="24" t="str">
        <f t="shared" ref="CW349:CW355" si="27">"1"</f>
        <v>1</v>
      </c>
      <c r="CX349" t="str">
        <f ca="1">IF((OFFSET($A$1, 349 - 1, 100 - 1)) &gt;= (OFFSET($A$1, 78 - 1, 7 - 1)), "1","0")</f>
        <v>1</v>
      </c>
      <c r="CY349">
        <f ca="1" xml:space="preserve"> IF( AND( OFFSET($A$1, 349 - 1, 101 - 1) = "1", OFFSET($A$1, 349 - 1, 102 - 1) = "1" ), 1, IF( AND( OFFSET($A$1, 349 - 1, 101 - 1) = "1", OFFSET($A$1, 349 - 1, 102 - 1) = "0" ), 2, IF( AND( OFFSET($A$1, 349 - 1, 101 - 1) = "0", OFFSET($A$1, 349 - 1, 102 - 1) = "1" ), 3, 4 ) ) )</f>
        <v>1</v>
      </c>
    </row>
    <row r="350" spans="95:103" ht="13.8" x14ac:dyDescent="0.3">
      <c r="CQ350" s="24">
        <v>0.92370528114163208</v>
      </c>
      <c r="CR350" s="24" t="str">
        <f t="shared" si="26"/>
        <v>1</v>
      </c>
      <c r="CS350" t="str">
        <f ca="1">IF((OFFSET($A$1, 350 - 1, 95 - 1)) &gt;= (OFFSET($A$1, 54 - 1, 7 - 1)), "1","0")</f>
        <v>1</v>
      </c>
      <c r="CT350">
        <f ca="1" xml:space="preserve"> IF( AND( OFFSET($A$1, 350 - 1, 96 - 1) = "1", OFFSET($A$1, 350 - 1, 97 - 1) = "1" ), 1, IF( AND( OFFSET($A$1, 350 - 1, 96 - 1) = "1", OFFSET($A$1, 350 - 1, 97 - 1) = "0" ), 2, IF( AND( OFFSET($A$1, 350 - 1, 96 - 1) = "0", OFFSET($A$1, 350 - 1, 97 - 1) = "1" ), 3, 4 ) ) )</f>
        <v>1</v>
      </c>
      <c r="CV350" s="24">
        <v>0.41162248364811865</v>
      </c>
      <c r="CW350" s="24" t="str">
        <f t="shared" si="27"/>
        <v>1</v>
      </c>
      <c r="CX350" t="str">
        <f ca="1">IF((OFFSET($A$1, 350 - 1, 100 - 1)) &gt;= (OFFSET($A$1, 78 - 1, 7 - 1)), "1","0")</f>
        <v>0</v>
      </c>
      <c r="CY350">
        <f ca="1" xml:space="preserve"> IF( AND( OFFSET($A$1, 350 - 1, 101 - 1) = "1", OFFSET($A$1, 350 - 1, 102 - 1) = "1" ), 1, IF( AND( OFFSET($A$1, 350 - 1, 101 - 1) = "1", OFFSET($A$1, 350 - 1, 102 - 1) = "0" ), 2, IF( AND( OFFSET($A$1, 350 - 1, 101 - 1) = "0", OFFSET($A$1, 350 - 1, 102 - 1) = "1" ), 3, 4 ) ) )</f>
        <v>2</v>
      </c>
    </row>
    <row r="351" spans="95:103" ht="13.8" x14ac:dyDescent="0.3">
      <c r="CQ351" s="24">
        <v>0.92706474308842757</v>
      </c>
      <c r="CR351" s="24" t="str">
        <f t="shared" si="26"/>
        <v>1</v>
      </c>
      <c r="CS351" t="str">
        <f ca="1">IF((OFFSET($A$1, 351 - 1, 95 - 1)) &gt;= (OFFSET($A$1, 54 - 1, 7 - 1)), "1","0")</f>
        <v>1</v>
      </c>
      <c r="CT351">
        <f ca="1" xml:space="preserve"> IF( AND( OFFSET($A$1, 351 - 1, 96 - 1) = "1", OFFSET($A$1, 351 - 1, 97 - 1) = "1" ), 1, IF( AND( OFFSET($A$1, 351 - 1, 96 - 1) = "1", OFFSET($A$1, 351 - 1, 97 - 1) = "0" ), 2, IF( AND( OFFSET($A$1, 351 - 1, 96 - 1) = "0", OFFSET($A$1, 351 - 1, 97 - 1) = "1" ), 3, 4 ) ) )</f>
        <v>1</v>
      </c>
      <c r="CV351" s="24">
        <v>0.9953030605712575</v>
      </c>
      <c r="CW351" s="24" t="str">
        <f t="shared" si="27"/>
        <v>1</v>
      </c>
      <c r="CX351" t="str">
        <f ca="1">IF((OFFSET($A$1, 351 - 1, 100 - 1)) &gt;= (OFFSET($A$1, 78 - 1, 7 - 1)), "1","0")</f>
        <v>1</v>
      </c>
      <c r="CY351">
        <f ca="1" xml:space="preserve"> IF( AND( OFFSET($A$1, 351 - 1, 101 - 1) = "1", OFFSET($A$1, 351 - 1, 102 - 1) = "1" ), 1, IF( AND( OFFSET($A$1, 351 - 1, 101 - 1) = "1", OFFSET($A$1, 351 - 1, 102 - 1) = "0" ), 2, IF( AND( OFFSET($A$1, 351 - 1, 101 - 1) = "0", OFFSET($A$1, 351 - 1, 102 - 1) = "1" ), 3, 4 ) ) )</f>
        <v>1</v>
      </c>
    </row>
    <row r="352" spans="95:103" ht="13.8" x14ac:dyDescent="0.3">
      <c r="CQ352" s="24">
        <v>0.88488812048322796</v>
      </c>
      <c r="CR352" s="24" t="str">
        <f t="shared" si="26"/>
        <v>1</v>
      </c>
      <c r="CS352" t="str">
        <f ca="1">IF((OFFSET($A$1, 352 - 1, 95 - 1)) &gt;= (OFFSET($A$1, 54 - 1, 7 - 1)), "1","0")</f>
        <v>1</v>
      </c>
      <c r="CT352">
        <f ca="1" xml:space="preserve"> IF( AND( OFFSET($A$1, 352 - 1, 96 - 1) = "1", OFFSET($A$1, 352 - 1, 97 - 1) = "1" ), 1, IF( AND( OFFSET($A$1, 352 - 1, 96 - 1) = "1", OFFSET($A$1, 352 - 1, 97 - 1) = "0" ), 2, IF( AND( OFFSET($A$1, 352 - 1, 96 - 1) = "0", OFFSET($A$1, 352 - 1, 97 - 1) = "1" ), 3, 4 ) ) )</f>
        <v>1</v>
      </c>
      <c r="CV352" s="24">
        <v>0.99254355501231273</v>
      </c>
      <c r="CW352" s="24" t="str">
        <f t="shared" si="27"/>
        <v>1</v>
      </c>
      <c r="CX352" t="str">
        <f ca="1">IF((OFFSET($A$1, 352 - 1, 100 - 1)) &gt;= (OFFSET($A$1, 78 - 1, 7 - 1)), "1","0")</f>
        <v>1</v>
      </c>
      <c r="CY352">
        <f ca="1" xml:space="preserve"> IF( AND( OFFSET($A$1, 352 - 1, 101 - 1) = "1", OFFSET($A$1, 352 - 1, 102 - 1) = "1" ), 1, IF( AND( OFFSET($A$1, 352 - 1, 101 - 1) = "1", OFFSET($A$1, 352 - 1, 102 - 1) = "0" ), 2, IF( AND( OFFSET($A$1, 352 - 1, 101 - 1) = "0", OFFSET($A$1, 352 - 1, 102 - 1) = "1" ), 3, 4 ) ) )</f>
        <v>1</v>
      </c>
    </row>
    <row r="353" spans="95:103" ht="13.8" x14ac:dyDescent="0.3">
      <c r="CQ353" s="24">
        <v>0.9196539442741043</v>
      </c>
      <c r="CR353" s="24" t="str">
        <f t="shared" si="26"/>
        <v>1</v>
      </c>
      <c r="CS353" t="str">
        <f ca="1">IF((OFFSET($A$1, 353 - 1, 95 - 1)) &gt;= (OFFSET($A$1, 54 - 1, 7 - 1)), "1","0")</f>
        <v>1</v>
      </c>
      <c r="CT353">
        <f ca="1" xml:space="preserve"> IF( AND( OFFSET($A$1, 353 - 1, 96 - 1) = "1", OFFSET($A$1, 353 - 1, 97 - 1) = "1" ), 1, IF( AND( OFFSET($A$1, 353 - 1, 96 - 1) = "1", OFFSET($A$1, 353 - 1, 97 - 1) = "0" ), 2, IF( AND( OFFSET($A$1, 353 - 1, 96 - 1) = "0", OFFSET($A$1, 353 - 1, 97 - 1) = "1" ), 3, 4 ) ) )</f>
        <v>1</v>
      </c>
      <c r="CV353" s="24">
        <v>0.79758558231462051</v>
      </c>
      <c r="CW353" s="24" t="str">
        <f t="shared" si="27"/>
        <v>1</v>
      </c>
      <c r="CX353" t="str">
        <f ca="1">IF((OFFSET($A$1, 353 - 1, 100 - 1)) &gt;= (OFFSET($A$1, 78 - 1, 7 - 1)), "1","0")</f>
        <v>1</v>
      </c>
      <c r="CY353">
        <f ca="1" xml:space="preserve"> IF( AND( OFFSET($A$1, 353 - 1, 101 - 1) = "1", OFFSET($A$1, 353 - 1, 102 - 1) = "1" ), 1, IF( AND( OFFSET($A$1, 353 - 1, 101 - 1) = "1", OFFSET($A$1, 353 - 1, 102 - 1) = "0" ), 2, IF( AND( OFFSET($A$1, 353 - 1, 101 - 1) = "0", OFFSET($A$1, 353 - 1, 102 - 1) = "1" ), 3, 4 ) ) )</f>
        <v>1</v>
      </c>
    </row>
    <row r="354" spans="95:103" ht="13.8" x14ac:dyDescent="0.3">
      <c r="CQ354" s="24">
        <v>0.9384042417435875</v>
      </c>
      <c r="CR354" s="24" t="str">
        <f t="shared" si="26"/>
        <v>1</v>
      </c>
      <c r="CS354" t="str">
        <f ca="1">IF((OFFSET($A$1, 354 - 1, 95 - 1)) &gt;= (OFFSET($A$1, 54 - 1, 7 - 1)), "1","0")</f>
        <v>1</v>
      </c>
      <c r="CT354">
        <f ca="1" xml:space="preserve"> IF( AND( OFFSET($A$1, 354 - 1, 96 - 1) = "1", OFFSET($A$1, 354 - 1, 97 - 1) = "1" ), 1, IF( AND( OFFSET($A$1, 354 - 1, 96 - 1) = "1", OFFSET($A$1, 354 - 1, 97 - 1) = "0" ), 2, IF( AND( OFFSET($A$1, 354 - 1, 96 - 1) = "0", OFFSET($A$1, 354 - 1, 97 - 1) = "1" ), 3, 4 ) ) )</f>
        <v>1</v>
      </c>
      <c r="CV354" s="24">
        <v>0.99897264087374149</v>
      </c>
      <c r="CW354" s="24" t="str">
        <f t="shared" si="27"/>
        <v>1</v>
      </c>
      <c r="CX354" t="str">
        <f ca="1">IF((OFFSET($A$1, 354 - 1, 100 - 1)) &gt;= (OFFSET($A$1, 78 - 1, 7 - 1)), "1","0")</f>
        <v>1</v>
      </c>
      <c r="CY354">
        <f ca="1" xml:space="preserve"> IF( AND( OFFSET($A$1, 354 - 1, 101 - 1) = "1", OFFSET($A$1, 354 - 1, 102 - 1) = "1" ), 1, IF( AND( OFFSET($A$1, 354 - 1, 101 - 1) = "1", OFFSET($A$1, 354 - 1, 102 - 1) = "0" ), 2, IF( AND( OFFSET($A$1, 354 - 1, 101 - 1) = "0", OFFSET($A$1, 354 - 1, 102 - 1) = "1" ), 3, 4 ) ) )</f>
        <v>1</v>
      </c>
    </row>
    <row r="355" spans="95:103" ht="13.8" x14ac:dyDescent="0.3">
      <c r="CQ355" s="24">
        <v>0.9208090011466068</v>
      </c>
      <c r="CR355" s="24" t="str">
        <f t="shared" si="26"/>
        <v>1</v>
      </c>
      <c r="CS355" t="str">
        <f ca="1">IF((OFFSET($A$1, 355 - 1, 95 - 1)) &gt;= (OFFSET($A$1, 54 - 1, 7 - 1)), "1","0")</f>
        <v>1</v>
      </c>
      <c r="CT355">
        <f ca="1" xml:space="preserve"> IF( AND( OFFSET($A$1, 355 - 1, 96 - 1) = "1", OFFSET($A$1, 355 - 1, 97 - 1) = "1" ), 1, IF( AND( OFFSET($A$1, 355 - 1, 96 - 1) = "1", OFFSET($A$1, 355 - 1, 97 - 1) = "0" ), 2, IF( AND( OFFSET($A$1, 355 - 1, 96 - 1) = "0", OFFSET($A$1, 355 - 1, 97 - 1) = "1" ), 3, 4 ) ) )</f>
        <v>1</v>
      </c>
      <c r="CV355" s="24">
        <v>0.99169326971963867</v>
      </c>
      <c r="CW355" s="24" t="str">
        <f t="shared" si="27"/>
        <v>1</v>
      </c>
      <c r="CX355" t="str">
        <f ca="1">IF((OFFSET($A$1, 355 - 1, 100 - 1)) &gt;= (OFFSET($A$1, 78 - 1, 7 - 1)), "1","0")</f>
        <v>1</v>
      </c>
      <c r="CY355">
        <f ca="1" xml:space="preserve"> IF( AND( OFFSET($A$1, 355 - 1, 101 - 1) = "1", OFFSET($A$1, 355 - 1, 102 - 1) = "1" ), 1, IF( AND( OFFSET($A$1, 355 - 1, 101 - 1) = "1", OFFSET($A$1, 355 - 1, 102 - 1) = "0" ), 2, IF( AND( OFFSET($A$1, 355 - 1, 101 - 1) = "0", OFFSET($A$1, 355 - 1, 102 - 1) = "1" ), 3, 4 ) ) )</f>
        <v>1</v>
      </c>
    </row>
    <row r="356" spans="95:103" ht="13.8" x14ac:dyDescent="0.3">
      <c r="CQ356" s="24">
        <v>0.97645099822135384</v>
      </c>
      <c r="CR356" s="24" t="str">
        <f t="shared" si="26"/>
        <v>1</v>
      </c>
      <c r="CS356" t="str">
        <f ca="1">IF((OFFSET($A$1, 356 - 1, 95 - 1)) &gt;= (OFFSET($A$1, 54 - 1, 7 - 1)), "1","0")</f>
        <v>1</v>
      </c>
      <c r="CT356">
        <f ca="1" xml:space="preserve"> IF( AND( OFFSET($A$1, 356 - 1, 96 - 1) = "1", OFFSET($A$1, 356 - 1, 97 - 1) = "1" ), 1, IF( AND( OFFSET($A$1, 356 - 1, 96 - 1) = "1", OFFSET($A$1, 356 - 1, 97 - 1) = "0" ), 2, IF( AND( OFFSET($A$1, 356 - 1, 96 - 1) = "0", OFFSET($A$1, 356 - 1, 97 - 1) = "1" ), 3, 4 ) ) )</f>
        <v>1</v>
      </c>
      <c r="CV356" s="24">
        <v>0.99511123869176787</v>
      </c>
      <c r="CW356" s="24" t="str">
        <f>"0"</f>
        <v>0</v>
      </c>
      <c r="CX356" t="str">
        <f ca="1">IF((OFFSET($A$1, 356 - 1, 100 - 1)) &gt;= (OFFSET($A$1, 78 - 1, 7 - 1)), "1","0")</f>
        <v>1</v>
      </c>
      <c r="CY356">
        <f ca="1" xml:space="preserve"> IF( AND( OFFSET($A$1, 356 - 1, 101 - 1) = "1", OFFSET($A$1, 356 - 1, 102 - 1) = "1" ), 1, IF( AND( OFFSET($A$1, 356 - 1, 101 - 1) = "1", OFFSET($A$1, 356 - 1, 102 - 1) = "0" ), 2, IF( AND( OFFSET($A$1, 356 - 1, 101 - 1) = "0", OFFSET($A$1, 356 - 1, 102 - 1) = "1" ), 3, 4 ) ) )</f>
        <v>3</v>
      </c>
    </row>
    <row r="357" spans="95:103" ht="13.8" x14ac:dyDescent="0.3">
      <c r="CQ357" s="24">
        <v>0.89150107664326161</v>
      </c>
      <c r="CR357" s="24" t="str">
        <f t="shared" si="26"/>
        <v>1</v>
      </c>
      <c r="CS357" t="str">
        <f ca="1">IF((OFFSET($A$1, 357 - 1, 95 - 1)) &gt;= (OFFSET($A$1, 54 - 1, 7 - 1)), "1","0")</f>
        <v>1</v>
      </c>
      <c r="CT357">
        <f ca="1" xml:space="preserve"> IF( AND( OFFSET($A$1, 357 - 1, 96 - 1) = "1", OFFSET($A$1, 357 - 1, 97 - 1) = "1" ), 1, IF( AND( OFFSET($A$1, 357 - 1, 96 - 1) = "1", OFFSET($A$1, 357 - 1, 97 - 1) = "0" ), 2, IF( AND( OFFSET($A$1, 357 - 1, 96 - 1) = "0", OFFSET($A$1, 357 - 1, 97 - 1) = "1" ), 3, 4 ) ) )</f>
        <v>1</v>
      </c>
      <c r="CV357" s="24">
        <v>0.5186091149626838</v>
      </c>
      <c r="CW357" s="24" t="str">
        <f t="shared" ref="CW357:CW363" si="28">"1"</f>
        <v>1</v>
      </c>
      <c r="CX357" t="str">
        <f ca="1">IF((OFFSET($A$1, 357 - 1, 100 - 1)) &gt;= (OFFSET($A$1, 78 - 1, 7 - 1)), "1","0")</f>
        <v>1</v>
      </c>
      <c r="CY357">
        <f ca="1" xml:space="preserve"> IF( AND( OFFSET($A$1, 357 - 1, 101 - 1) = "1", OFFSET($A$1, 357 - 1, 102 - 1) = "1" ), 1, IF( AND( OFFSET($A$1, 357 - 1, 101 - 1) = "1", OFFSET($A$1, 357 - 1, 102 - 1) = "0" ), 2, IF( AND( OFFSET($A$1, 357 - 1, 101 - 1) = "0", OFFSET($A$1, 357 - 1, 102 - 1) = "1" ), 3, 4 ) ) )</f>
        <v>1</v>
      </c>
    </row>
    <row r="358" spans="95:103" ht="13.8" x14ac:dyDescent="0.3">
      <c r="CQ358" s="24">
        <v>0.98157434490877316</v>
      </c>
      <c r="CR358" s="24" t="str">
        <f t="shared" si="26"/>
        <v>1</v>
      </c>
      <c r="CS358" t="str">
        <f ca="1">IF((OFFSET($A$1, 358 - 1, 95 - 1)) &gt;= (OFFSET($A$1, 54 - 1, 7 - 1)), "1","0")</f>
        <v>1</v>
      </c>
      <c r="CT358">
        <f ca="1" xml:space="preserve"> IF( AND( OFFSET($A$1, 358 - 1, 96 - 1) = "1", OFFSET($A$1, 358 - 1, 97 - 1) = "1" ), 1, IF( AND( OFFSET($A$1, 358 - 1, 96 - 1) = "1", OFFSET($A$1, 358 - 1, 97 - 1) = "0" ), 2, IF( AND( OFFSET($A$1, 358 - 1, 96 - 1) = "0", OFFSET($A$1, 358 - 1, 97 - 1) = "1" ), 3, 4 ) ) )</f>
        <v>1</v>
      </c>
      <c r="CV358" s="24">
        <v>0.99919608981870633</v>
      </c>
      <c r="CW358" s="24" t="str">
        <f t="shared" si="28"/>
        <v>1</v>
      </c>
      <c r="CX358" t="str">
        <f ca="1">IF((OFFSET($A$1, 358 - 1, 100 - 1)) &gt;= (OFFSET($A$1, 78 - 1, 7 - 1)), "1","0")</f>
        <v>1</v>
      </c>
      <c r="CY358">
        <f ca="1" xml:space="preserve"> IF( AND( OFFSET($A$1, 358 - 1, 101 - 1) = "1", OFFSET($A$1, 358 - 1, 102 - 1) = "1" ), 1, IF( AND( OFFSET($A$1, 358 - 1, 101 - 1) = "1", OFFSET($A$1, 358 - 1, 102 - 1) = "0" ), 2, IF( AND( OFFSET($A$1, 358 - 1, 101 - 1) = "0", OFFSET($A$1, 358 - 1, 102 - 1) = "1" ), 3, 4 ) ) )</f>
        <v>1</v>
      </c>
    </row>
    <row r="359" spans="95:103" ht="13.8" x14ac:dyDescent="0.3">
      <c r="CQ359" s="24">
        <v>3.1292538104710076E-2</v>
      </c>
      <c r="CR359" s="24" t="str">
        <f>"0"</f>
        <v>0</v>
      </c>
      <c r="CS359" t="str">
        <f ca="1">IF((OFFSET($A$1, 359 - 1, 95 - 1)) &gt;= (OFFSET($A$1, 54 - 1, 7 - 1)), "1","0")</f>
        <v>0</v>
      </c>
      <c r="CT359">
        <f ca="1" xml:space="preserve"> IF( AND( OFFSET($A$1, 359 - 1, 96 - 1) = "1", OFFSET($A$1, 359 - 1, 97 - 1) = "1" ), 1, IF( AND( OFFSET($A$1, 359 - 1, 96 - 1) = "1", OFFSET($A$1, 359 - 1, 97 - 1) = "0" ), 2, IF( AND( OFFSET($A$1, 359 - 1, 96 - 1) = "0", OFFSET($A$1, 359 - 1, 97 - 1) = "1" ), 3, 4 ) ) )</f>
        <v>4</v>
      </c>
      <c r="CV359" s="24">
        <v>0.94285988646606955</v>
      </c>
      <c r="CW359" s="24" t="str">
        <f t="shared" si="28"/>
        <v>1</v>
      </c>
      <c r="CX359" t="str">
        <f ca="1">IF((OFFSET($A$1, 359 - 1, 100 - 1)) &gt;= (OFFSET($A$1, 78 - 1, 7 - 1)), "1","0")</f>
        <v>1</v>
      </c>
      <c r="CY359">
        <f ca="1" xml:space="preserve"> IF( AND( OFFSET($A$1, 359 - 1, 101 - 1) = "1", OFFSET($A$1, 359 - 1, 102 - 1) = "1" ), 1, IF( AND( OFFSET($A$1, 359 - 1, 101 - 1) = "1", OFFSET($A$1, 359 - 1, 102 - 1) = "0" ), 2, IF( AND( OFFSET($A$1, 359 - 1, 101 - 1) = "0", OFFSET($A$1, 359 - 1, 102 - 1) = "1" ), 3, 4 ) ) )</f>
        <v>1</v>
      </c>
    </row>
    <row r="360" spans="95:103" ht="13.8" x14ac:dyDescent="0.3">
      <c r="CQ360" s="24">
        <v>3.8511317672807611E-2</v>
      </c>
      <c r="CR360" s="24" t="str">
        <f>"0"</f>
        <v>0</v>
      </c>
      <c r="CS360" t="str">
        <f ca="1">IF((OFFSET($A$1, 360 - 1, 95 - 1)) &gt;= (OFFSET($A$1, 54 - 1, 7 - 1)), "1","0")</f>
        <v>0</v>
      </c>
      <c r="CT360">
        <f ca="1" xml:space="preserve"> IF( AND( OFFSET($A$1, 360 - 1, 96 - 1) = "1", OFFSET($A$1, 360 - 1, 97 - 1) = "1" ), 1, IF( AND( OFFSET($A$1, 360 - 1, 96 - 1) = "1", OFFSET($A$1, 360 - 1, 97 - 1) = "0" ), 2, IF( AND( OFFSET($A$1, 360 - 1, 96 - 1) = "0", OFFSET($A$1, 360 - 1, 97 - 1) = "1" ), 3, 4 ) ) )</f>
        <v>4</v>
      </c>
      <c r="CV360" s="24">
        <v>0.99999882110854521</v>
      </c>
      <c r="CW360" s="24" t="str">
        <f t="shared" si="28"/>
        <v>1</v>
      </c>
      <c r="CX360" t="str">
        <f ca="1">IF((OFFSET($A$1, 360 - 1, 100 - 1)) &gt;= (OFFSET($A$1, 78 - 1, 7 - 1)), "1","0")</f>
        <v>1</v>
      </c>
      <c r="CY360">
        <f ca="1" xml:space="preserve"> IF( AND( OFFSET($A$1, 360 - 1, 101 - 1) = "1", OFFSET($A$1, 360 - 1, 102 - 1) = "1" ), 1, IF( AND( OFFSET($A$1, 360 - 1, 101 - 1) = "1", OFFSET($A$1, 360 - 1, 102 - 1) = "0" ), 2, IF( AND( OFFSET($A$1, 360 - 1, 101 - 1) = "0", OFFSET($A$1, 360 - 1, 102 - 1) = "1" ), 3, 4 ) ) )</f>
        <v>1</v>
      </c>
    </row>
    <row r="361" spans="95:103" ht="13.8" x14ac:dyDescent="0.3">
      <c r="CQ361" s="24">
        <v>0.99982962324868241</v>
      </c>
      <c r="CR361" s="24" t="str">
        <f>"1"</f>
        <v>1</v>
      </c>
      <c r="CS361" t="str">
        <f ca="1">IF((OFFSET($A$1, 361 - 1, 95 - 1)) &gt;= (OFFSET($A$1, 54 - 1, 7 - 1)), "1","0")</f>
        <v>1</v>
      </c>
      <c r="CT361">
        <f ca="1" xml:space="preserve"> IF( AND( OFFSET($A$1, 361 - 1, 96 - 1) = "1", OFFSET($A$1, 361 - 1, 97 - 1) = "1" ), 1, IF( AND( OFFSET($A$1, 361 - 1, 96 - 1) = "1", OFFSET($A$1, 361 - 1, 97 - 1) = "0" ), 2, IF( AND( OFFSET($A$1, 361 - 1, 96 - 1) = "0", OFFSET($A$1, 361 - 1, 97 - 1) = "1" ), 3, 4 ) ) )</f>
        <v>1</v>
      </c>
      <c r="CV361" s="24">
        <v>0.98140525700374637</v>
      </c>
      <c r="CW361" s="24" t="str">
        <f t="shared" si="28"/>
        <v>1</v>
      </c>
      <c r="CX361" t="str">
        <f ca="1">IF((OFFSET($A$1, 361 - 1, 100 - 1)) &gt;= (OFFSET($A$1, 78 - 1, 7 - 1)), "1","0")</f>
        <v>1</v>
      </c>
      <c r="CY361">
        <f ca="1" xml:space="preserve"> IF( AND( OFFSET($A$1, 361 - 1, 101 - 1) = "1", OFFSET($A$1, 361 - 1, 102 - 1) = "1" ), 1, IF( AND( OFFSET($A$1, 361 - 1, 101 - 1) = "1", OFFSET($A$1, 361 - 1, 102 - 1) = "0" ), 2, IF( AND( OFFSET($A$1, 361 - 1, 101 - 1) = "0", OFFSET($A$1, 361 - 1, 102 - 1) = "1" ), 3, 4 ) ) )</f>
        <v>1</v>
      </c>
    </row>
    <row r="362" spans="95:103" ht="13.8" x14ac:dyDescent="0.3">
      <c r="CQ362" s="24">
        <v>0.99693483004850225</v>
      </c>
      <c r="CR362" s="24" t="str">
        <f>"1"</f>
        <v>1</v>
      </c>
      <c r="CS362" t="str">
        <f ca="1">IF((OFFSET($A$1, 362 - 1, 95 - 1)) &gt;= (OFFSET($A$1, 54 - 1, 7 - 1)), "1","0")</f>
        <v>1</v>
      </c>
      <c r="CT362">
        <f ca="1" xml:space="preserve"> IF( AND( OFFSET($A$1, 362 - 1, 96 - 1) = "1", OFFSET($A$1, 362 - 1, 97 - 1) = "1" ), 1, IF( AND( OFFSET($A$1, 362 - 1, 96 - 1) = "1", OFFSET($A$1, 362 - 1, 97 - 1) = "0" ), 2, IF( AND( OFFSET($A$1, 362 - 1, 96 - 1) = "0", OFFSET($A$1, 362 - 1, 97 - 1) = "1" ), 3, 4 ) ) )</f>
        <v>1</v>
      </c>
      <c r="CV362" s="24">
        <v>0.98897121762091844</v>
      </c>
      <c r="CW362" s="24" t="str">
        <f t="shared" si="28"/>
        <v>1</v>
      </c>
      <c r="CX362" t="str">
        <f ca="1">IF((OFFSET($A$1, 362 - 1, 100 - 1)) &gt;= (OFFSET($A$1, 78 - 1, 7 - 1)), "1","0")</f>
        <v>1</v>
      </c>
      <c r="CY362">
        <f ca="1" xml:space="preserve"> IF( AND( OFFSET($A$1, 362 - 1, 101 - 1) = "1", OFFSET($A$1, 362 - 1, 102 - 1) = "1" ), 1, IF( AND( OFFSET($A$1, 362 - 1, 101 - 1) = "1", OFFSET($A$1, 362 - 1, 102 - 1) = "0" ), 2, IF( AND( OFFSET($A$1, 362 - 1, 101 - 1) = "0", OFFSET($A$1, 362 - 1, 102 - 1) = "1" ), 3, 4 ) ) )</f>
        <v>1</v>
      </c>
    </row>
    <row r="363" spans="95:103" ht="13.8" x14ac:dyDescent="0.3">
      <c r="CQ363" s="24">
        <v>0.99729101933939746</v>
      </c>
      <c r="CR363" s="24" t="str">
        <f>"1"</f>
        <v>1</v>
      </c>
      <c r="CS363" t="str">
        <f ca="1">IF((OFFSET($A$1, 363 - 1, 95 - 1)) &gt;= (OFFSET($A$1, 54 - 1, 7 - 1)), "1","0")</f>
        <v>1</v>
      </c>
      <c r="CT363">
        <f ca="1" xml:space="preserve"> IF( AND( OFFSET($A$1, 363 - 1, 96 - 1) = "1", OFFSET($A$1, 363 - 1, 97 - 1) = "1" ), 1, IF( AND( OFFSET($A$1, 363 - 1, 96 - 1) = "1", OFFSET($A$1, 363 - 1, 97 - 1) = "0" ), 2, IF( AND( OFFSET($A$1, 363 - 1, 96 - 1) = "0", OFFSET($A$1, 363 - 1, 97 - 1) = "1" ), 3, 4 ) ) )</f>
        <v>1</v>
      </c>
      <c r="CV363" s="24">
        <v>0.99010385637832476</v>
      </c>
      <c r="CW363" s="24" t="str">
        <f t="shared" si="28"/>
        <v>1</v>
      </c>
      <c r="CX363" t="str">
        <f ca="1">IF((OFFSET($A$1, 363 - 1, 100 - 1)) &gt;= (OFFSET($A$1, 78 - 1, 7 - 1)), "1","0")</f>
        <v>1</v>
      </c>
      <c r="CY363">
        <f ca="1" xml:space="preserve"> IF( AND( OFFSET($A$1, 363 - 1, 101 - 1) = "1", OFFSET($A$1, 363 - 1, 102 - 1) = "1" ), 1, IF( AND( OFFSET($A$1, 363 - 1, 101 - 1) = "1", OFFSET($A$1, 363 - 1, 102 - 1) = "0" ), 2, IF( AND( OFFSET($A$1, 363 - 1, 101 - 1) = "0", OFFSET($A$1, 363 - 1, 102 - 1) = "1" ), 3, 4 ) ) )</f>
        <v>1</v>
      </c>
    </row>
    <row r="364" spans="95:103" ht="13.8" x14ac:dyDescent="0.3">
      <c r="CQ364" s="24">
        <v>1.960642196546224E-3</v>
      </c>
      <c r="CR364" s="24" t="str">
        <f>"0"</f>
        <v>0</v>
      </c>
      <c r="CS364" t="str">
        <f ca="1">IF((OFFSET($A$1, 364 - 1, 95 - 1)) &gt;= (OFFSET($A$1, 54 - 1, 7 - 1)), "1","0")</f>
        <v>0</v>
      </c>
      <c r="CT364">
        <f ca="1" xml:space="preserve"> IF( AND( OFFSET($A$1, 364 - 1, 96 - 1) = "1", OFFSET($A$1, 364 - 1, 97 - 1) = "1" ), 1, IF( AND( OFFSET($A$1, 364 - 1, 96 - 1) = "1", OFFSET($A$1, 364 - 1, 97 - 1) = "0" ), 2, IF( AND( OFFSET($A$1, 364 - 1, 96 - 1) = "0", OFFSET($A$1, 364 - 1, 97 - 1) = "1" ), 3, 4 ) ) )</f>
        <v>4</v>
      </c>
      <c r="CV364" s="24">
        <v>0.88837945814611519</v>
      </c>
      <c r="CW364" s="24" t="str">
        <f>"0"</f>
        <v>0</v>
      </c>
      <c r="CX364" t="str">
        <f ca="1">IF((OFFSET($A$1, 364 - 1, 100 - 1)) &gt;= (OFFSET($A$1, 78 - 1, 7 - 1)), "1","0")</f>
        <v>1</v>
      </c>
      <c r="CY364">
        <f ca="1" xml:space="preserve"> IF( AND( OFFSET($A$1, 364 - 1, 101 - 1) = "1", OFFSET($A$1, 364 - 1, 102 - 1) = "1" ), 1, IF( AND( OFFSET($A$1, 364 - 1, 101 - 1) = "1", OFFSET($A$1, 364 - 1, 102 - 1) = "0" ), 2, IF( AND( OFFSET($A$1, 364 - 1, 101 - 1) = "0", OFFSET($A$1, 364 - 1, 102 - 1) = "1" ), 3, 4 ) ) )</f>
        <v>3</v>
      </c>
    </row>
    <row r="365" spans="95:103" ht="13.8" x14ac:dyDescent="0.3">
      <c r="CQ365" s="24">
        <v>0.99996456318666116</v>
      </c>
      <c r="CR365" s="24" t="str">
        <f>"1"</f>
        <v>1</v>
      </c>
      <c r="CS365" t="str">
        <f ca="1">IF((OFFSET($A$1, 365 - 1, 95 - 1)) &gt;= (OFFSET($A$1, 54 - 1, 7 - 1)), "1","0")</f>
        <v>1</v>
      </c>
      <c r="CT365">
        <f ca="1" xml:space="preserve"> IF( AND( OFFSET($A$1, 365 - 1, 96 - 1) = "1", OFFSET($A$1, 365 - 1, 97 - 1) = "1" ), 1, IF( AND( OFFSET($A$1, 365 - 1, 96 - 1) = "1", OFFSET($A$1, 365 - 1, 97 - 1) = "0" ), 2, IF( AND( OFFSET($A$1, 365 - 1, 96 - 1) = "0", OFFSET($A$1, 365 - 1, 97 - 1) = "1" ), 3, 4 ) ) )</f>
        <v>1</v>
      </c>
      <c r="CV365" s="24">
        <v>0.32741590648928909</v>
      </c>
      <c r="CW365" s="24" t="str">
        <f t="shared" ref="CW365:CW371" si="29">"1"</f>
        <v>1</v>
      </c>
      <c r="CX365" t="str">
        <f ca="1">IF((OFFSET($A$1, 365 - 1, 100 - 1)) &gt;= (OFFSET($A$1, 78 - 1, 7 - 1)), "1","0")</f>
        <v>0</v>
      </c>
      <c r="CY365">
        <f ca="1" xml:space="preserve"> IF( AND( OFFSET($A$1, 365 - 1, 101 - 1) = "1", OFFSET($A$1, 365 - 1, 102 - 1) = "1" ), 1, IF( AND( OFFSET($A$1, 365 - 1, 101 - 1) = "1", OFFSET($A$1, 365 - 1, 102 - 1) = "0" ), 2, IF( AND( OFFSET($A$1, 365 - 1, 101 - 1) = "0", OFFSET($A$1, 365 - 1, 102 - 1) = "1" ), 3, 4 ) ) )</f>
        <v>2</v>
      </c>
    </row>
    <row r="366" spans="95:103" ht="13.8" x14ac:dyDescent="0.3">
      <c r="CQ366" s="24">
        <v>9.1071747485577725E-2</v>
      </c>
      <c r="CR366" s="24" t="str">
        <f>"0"</f>
        <v>0</v>
      </c>
      <c r="CS366" t="str">
        <f ca="1">IF((OFFSET($A$1, 366 - 1, 95 - 1)) &gt;= (OFFSET($A$1, 54 - 1, 7 - 1)), "1","0")</f>
        <v>0</v>
      </c>
      <c r="CT366">
        <f ca="1" xml:space="preserve"> IF( AND( OFFSET($A$1, 366 - 1, 96 - 1) = "1", OFFSET($A$1, 366 - 1, 97 - 1) = "1" ), 1, IF( AND( OFFSET($A$1, 366 - 1, 96 - 1) = "1", OFFSET($A$1, 366 - 1, 97 - 1) = "0" ), 2, IF( AND( OFFSET($A$1, 366 - 1, 96 - 1) = "0", OFFSET($A$1, 366 - 1, 97 - 1) = "1" ), 3, 4 ) ) )</f>
        <v>4</v>
      </c>
      <c r="CV366" s="24">
        <v>0.64360341336209681</v>
      </c>
      <c r="CW366" s="24" t="str">
        <f t="shared" si="29"/>
        <v>1</v>
      </c>
      <c r="CX366" t="str">
        <f ca="1">IF((OFFSET($A$1, 366 - 1, 100 - 1)) &gt;= (OFFSET($A$1, 78 - 1, 7 - 1)), "1","0")</f>
        <v>1</v>
      </c>
      <c r="CY366">
        <f ca="1" xml:space="preserve"> IF( AND( OFFSET($A$1, 366 - 1, 101 - 1) = "1", OFFSET($A$1, 366 - 1, 102 - 1) = "1" ), 1, IF( AND( OFFSET($A$1, 366 - 1, 101 - 1) = "1", OFFSET($A$1, 366 - 1, 102 - 1) = "0" ), 2, IF( AND( OFFSET($A$1, 366 - 1, 101 - 1) = "0", OFFSET($A$1, 366 - 1, 102 - 1) = "1" ), 3, 4 ) ) )</f>
        <v>1</v>
      </c>
    </row>
    <row r="367" spans="95:103" ht="13.8" x14ac:dyDescent="0.3">
      <c r="CQ367" s="24">
        <v>0.10541081322559009</v>
      </c>
      <c r="CR367" s="24" t="str">
        <f>"0"</f>
        <v>0</v>
      </c>
      <c r="CS367" t="str">
        <f ca="1">IF((OFFSET($A$1, 367 - 1, 95 - 1)) &gt;= (OFFSET($A$1, 54 - 1, 7 - 1)), "1","0")</f>
        <v>0</v>
      </c>
      <c r="CT367">
        <f ca="1" xml:space="preserve"> IF( AND( OFFSET($A$1, 367 - 1, 96 - 1) = "1", OFFSET($A$1, 367 - 1, 97 - 1) = "1" ), 1, IF( AND( OFFSET($A$1, 367 - 1, 96 - 1) = "1", OFFSET($A$1, 367 - 1, 97 - 1) = "0" ), 2, IF( AND( OFFSET($A$1, 367 - 1, 96 - 1) = "0", OFFSET($A$1, 367 - 1, 97 - 1) = "1" ), 3, 4 ) ) )</f>
        <v>4</v>
      </c>
      <c r="CV367" s="24">
        <v>0.97017037733951139</v>
      </c>
      <c r="CW367" s="24" t="str">
        <f t="shared" si="29"/>
        <v>1</v>
      </c>
      <c r="CX367" t="str">
        <f ca="1">IF((OFFSET($A$1, 367 - 1, 100 - 1)) &gt;= (OFFSET($A$1, 78 - 1, 7 - 1)), "1","0")</f>
        <v>1</v>
      </c>
      <c r="CY367">
        <f ca="1" xml:space="preserve"> IF( AND( OFFSET($A$1, 367 - 1, 101 - 1) = "1", OFFSET($A$1, 367 - 1, 102 - 1) = "1" ), 1, IF( AND( OFFSET($A$1, 367 - 1, 101 - 1) = "1", OFFSET($A$1, 367 - 1, 102 - 1) = "0" ), 2, IF( AND( OFFSET($A$1, 367 - 1, 101 - 1) = "0", OFFSET($A$1, 367 - 1, 102 - 1) = "1" ), 3, 4 ) ) )</f>
        <v>1</v>
      </c>
    </row>
    <row r="368" spans="95:103" ht="13.8" x14ac:dyDescent="0.3">
      <c r="CQ368" s="24">
        <v>1.6183510499066252E-2</v>
      </c>
      <c r="CR368" s="24" t="str">
        <f>"0"</f>
        <v>0</v>
      </c>
      <c r="CS368" t="str">
        <f ca="1">IF((OFFSET($A$1, 368 - 1, 95 - 1)) &gt;= (OFFSET($A$1, 54 - 1, 7 - 1)), "1","0")</f>
        <v>0</v>
      </c>
      <c r="CT368">
        <f ca="1" xml:space="preserve"> IF( AND( OFFSET($A$1, 368 - 1, 96 - 1) = "1", OFFSET($A$1, 368 - 1, 97 - 1) = "1" ), 1, IF( AND( OFFSET($A$1, 368 - 1, 96 - 1) = "1", OFFSET($A$1, 368 - 1, 97 - 1) = "0" ), 2, IF( AND( OFFSET($A$1, 368 - 1, 96 - 1) = "0", OFFSET($A$1, 368 - 1, 97 - 1) = "1" ), 3, 4 ) ) )</f>
        <v>4</v>
      </c>
      <c r="CV368" s="24">
        <v>0.99989065627809237</v>
      </c>
      <c r="CW368" s="24" t="str">
        <f t="shared" si="29"/>
        <v>1</v>
      </c>
      <c r="CX368" t="str">
        <f ca="1">IF((OFFSET($A$1, 368 - 1, 100 - 1)) &gt;= (OFFSET($A$1, 78 - 1, 7 - 1)), "1","0")</f>
        <v>1</v>
      </c>
      <c r="CY368">
        <f ca="1" xml:space="preserve"> IF( AND( OFFSET($A$1, 368 - 1, 101 - 1) = "1", OFFSET($A$1, 368 - 1, 102 - 1) = "1" ), 1, IF( AND( OFFSET($A$1, 368 - 1, 101 - 1) = "1", OFFSET($A$1, 368 - 1, 102 - 1) = "0" ), 2, IF( AND( OFFSET($A$1, 368 - 1, 101 - 1) = "0", OFFSET($A$1, 368 - 1, 102 - 1) = "1" ), 3, 4 ) ) )</f>
        <v>1</v>
      </c>
    </row>
    <row r="369" spans="95:103" ht="13.8" x14ac:dyDescent="0.3">
      <c r="CQ369" s="24">
        <v>0.90595338247943236</v>
      </c>
      <c r="CR369" s="24" t="str">
        <f t="shared" ref="CR369:CR376" si="30">"1"</f>
        <v>1</v>
      </c>
      <c r="CS369" t="str">
        <f ca="1">IF((OFFSET($A$1, 369 - 1, 95 - 1)) &gt;= (OFFSET($A$1, 54 - 1, 7 - 1)), "1","0")</f>
        <v>1</v>
      </c>
      <c r="CT369">
        <f ca="1" xml:space="preserve"> IF( AND( OFFSET($A$1, 369 - 1, 96 - 1) = "1", OFFSET($A$1, 369 - 1, 97 - 1) = "1" ), 1, IF( AND( OFFSET($A$1, 369 - 1, 96 - 1) = "1", OFFSET($A$1, 369 - 1, 97 - 1) = "0" ), 2, IF( AND( OFFSET($A$1, 369 - 1, 96 - 1) = "0", OFFSET($A$1, 369 - 1, 97 - 1) = "1" ), 3, 4 ) ) )</f>
        <v>1</v>
      </c>
      <c r="CV369" s="24">
        <v>0.99729427558036887</v>
      </c>
      <c r="CW369" s="24" t="str">
        <f t="shared" si="29"/>
        <v>1</v>
      </c>
      <c r="CX369" t="str">
        <f ca="1">IF((OFFSET($A$1, 369 - 1, 100 - 1)) &gt;= (OFFSET($A$1, 78 - 1, 7 - 1)), "1","0")</f>
        <v>1</v>
      </c>
      <c r="CY369">
        <f ca="1" xml:space="preserve"> IF( AND( OFFSET($A$1, 369 - 1, 101 - 1) = "1", OFFSET($A$1, 369 - 1, 102 - 1) = "1" ), 1, IF( AND( OFFSET($A$1, 369 - 1, 101 - 1) = "1", OFFSET($A$1, 369 - 1, 102 - 1) = "0" ), 2, IF( AND( OFFSET($A$1, 369 - 1, 101 - 1) = "0", OFFSET($A$1, 369 - 1, 102 - 1) = "1" ), 3, 4 ) ) )</f>
        <v>1</v>
      </c>
    </row>
    <row r="370" spans="95:103" ht="13.8" x14ac:dyDescent="0.3">
      <c r="CQ370" s="24">
        <v>0.70047658300210403</v>
      </c>
      <c r="CR370" s="24" t="str">
        <f t="shared" si="30"/>
        <v>1</v>
      </c>
      <c r="CS370" t="str">
        <f ca="1">IF((OFFSET($A$1, 370 - 1, 95 - 1)) &gt;= (OFFSET($A$1, 54 - 1, 7 - 1)), "1","0")</f>
        <v>1</v>
      </c>
      <c r="CT370">
        <f ca="1" xml:space="preserve"> IF( AND( OFFSET($A$1, 370 - 1, 96 - 1) = "1", OFFSET($A$1, 370 - 1, 97 - 1) = "1" ), 1, IF( AND( OFFSET($A$1, 370 - 1, 96 - 1) = "1", OFFSET($A$1, 370 - 1, 97 - 1) = "0" ), 2, IF( AND( OFFSET($A$1, 370 - 1, 96 - 1) = "0", OFFSET($A$1, 370 - 1, 97 - 1) = "1" ), 3, 4 ) ) )</f>
        <v>1</v>
      </c>
      <c r="CV370" s="24">
        <v>0.99998552035635113</v>
      </c>
      <c r="CW370" s="24" t="str">
        <f t="shared" si="29"/>
        <v>1</v>
      </c>
      <c r="CX370" t="str">
        <f ca="1">IF((OFFSET($A$1, 370 - 1, 100 - 1)) &gt;= (OFFSET($A$1, 78 - 1, 7 - 1)), "1","0")</f>
        <v>1</v>
      </c>
      <c r="CY370">
        <f ca="1" xml:space="preserve"> IF( AND( OFFSET($A$1, 370 - 1, 101 - 1) = "1", OFFSET($A$1, 370 - 1, 102 - 1) = "1" ), 1, IF( AND( OFFSET($A$1, 370 - 1, 101 - 1) = "1", OFFSET($A$1, 370 - 1, 102 - 1) = "0" ), 2, IF( AND( OFFSET($A$1, 370 - 1, 101 - 1) = "0", OFFSET($A$1, 370 - 1, 102 - 1) = "1" ), 3, 4 ) ) )</f>
        <v>1</v>
      </c>
    </row>
    <row r="371" spans="95:103" ht="13.8" x14ac:dyDescent="0.3">
      <c r="CQ371" s="24">
        <v>0.93175824924870421</v>
      </c>
      <c r="CR371" s="24" t="str">
        <f t="shared" si="30"/>
        <v>1</v>
      </c>
      <c r="CS371" t="str">
        <f ca="1">IF((OFFSET($A$1, 371 - 1, 95 - 1)) &gt;= (OFFSET($A$1, 54 - 1, 7 - 1)), "1","0")</f>
        <v>1</v>
      </c>
      <c r="CT371">
        <f ca="1" xml:space="preserve"> IF( AND( OFFSET($A$1, 371 - 1, 96 - 1) = "1", OFFSET($A$1, 371 - 1, 97 - 1) = "1" ), 1, IF( AND( OFFSET($A$1, 371 - 1, 96 - 1) = "1", OFFSET($A$1, 371 - 1, 97 - 1) = "0" ), 2, IF( AND( OFFSET($A$1, 371 - 1, 96 - 1) = "0", OFFSET($A$1, 371 - 1, 97 - 1) = "1" ), 3, 4 ) ) )</f>
        <v>1</v>
      </c>
      <c r="CV371" s="24">
        <v>0.99695443319855803</v>
      </c>
      <c r="CW371" s="24" t="str">
        <f t="shared" si="29"/>
        <v>1</v>
      </c>
      <c r="CX371" t="str">
        <f ca="1">IF((OFFSET($A$1, 371 - 1, 100 - 1)) &gt;= (OFFSET($A$1, 78 - 1, 7 - 1)), "1","0")</f>
        <v>1</v>
      </c>
      <c r="CY371">
        <f ca="1" xml:space="preserve"> IF( AND( OFFSET($A$1, 371 - 1, 101 - 1) = "1", OFFSET($A$1, 371 - 1, 102 - 1) = "1" ), 1, IF( AND( OFFSET($A$1, 371 - 1, 101 - 1) = "1", OFFSET($A$1, 371 - 1, 102 - 1) = "0" ), 2, IF( AND( OFFSET($A$1, 371 - 1, 101 - 1) = "0", OFFSET($A$1, 371 - 1, 102 - 1) = "1" ), 3, 4 ) ) )</f>
        <v>1</v>
      </c>
    </row>
    <row r="372" spans="95:103" ht="13.8" x14ac:dyDescent="0.3">
      <c r="CQ372" s="24">
        <v>0.9999894569922404</v>
      </c>
      <c r="CR372" s="24" t="str">
        <f t="shared" si="30"/>
        <v>1</v>
      </c>
      <c r="CS372" t="str">
        <f ca="1">IF((OFFSET($A$1, 372 - 1, 95 - 1)) &gt;= (OFFSET($A$1, 54 - 1, 7 - 1)), "1","0")</f>
        <v>1</v>
      </c>
      <c r="CT372">
        <f ca="1" xml:space="preserve"> IF( AND( OFFSET($A$1, 372 - 1, 96 - 1) = "1", OFFSET($A$1, 372 - 1, 97 - 1) = "1" ), 1, IF( AND( OFFSET($A$1, 372 - 1, 96 - 1) = "1", OFFSET($A$1, 372 - 1, 97 - 1) = "0" ), 2, IF( AND( OFFSET($A$1, 372 - 1, 96 - 1) = "0", OFFSET($A$1, 372 - 1, 97 - 1) = "1" ), 3, 4 ) ) )</f>
        <v>1</v>
      </c>
      <c r="CV372" s="24">
        <v>0.9322613007108822</v>
      </c>
      <c r="CW372" s="24" t="str">
        <f>"0"</f>
        <v>0</v>
      </c>
      <c r="CX372" t="str">
        <f ca="1">IF((OFFSET($A$1, 372 - 1, 100 - 1)) &gt;= (OFFSET($A$1, 78 - 1, 7 - 1)), "1","0")</f>
        <v>1</v>
      </c>
      <c r="CY372">
        <f ca="1" xml:space="preserve"> IF( AND( OFFSET($A$1, 372 - 1, 101 - 1) = "1", OFFSET($A$1, 372 - 1, 102 - 1) = "1" ), 1, IF( AND( OFFSET($A$1, 372 - 1, 101 - 1) = "1", OFFSET($A$1, 372 - 1, 102 - 1) = "0" ), 2, IF( AND( OFFSET($A$1, 372 - 1, 101 - 1) = "0", OFFSET($A$1, 372 - 1, 102 - 1) = "1" ), 3, 4 ) ) )</f>
        <v>3</v>
      </c>
    </row>
    <row r="373" spans="95:103" ht="13.8" x14ac:dyDescent="0.3">
      <c r="CQ373" s="24">
        <v>0.91670273859361617</v>
      </c>
      <c r="CR373" s="24" t="str">
        <f t="shared" si="30"/>
        <v>1</v>
      </c>
      <c r="CS373" t="str">
        <f ca="1">IF((OFFSET($A$1, 373 - 1, 95 - 1)) &gt;= (OFFSET($A$1, 54 - 1, 7 - 1)), "1","0")</f>
        <v>1</v>
      </c>
      <c r="CT373">
        <f ca="1" xml:space="preserve"> IF( AND( OFFSET($A$1, 373 - 1, 96 - 1) = "1", OFFSET($A$1, 373 - 1, 97 - 1) = "1" ), 1, IF( AND( OFFSET($A$1, 373 - 1, 96 - 1) = "1", OFFSET($A$1, 373 - 1, 97 - 1) = "0" ), 2, IF( AND( OFFSET($A$1, 373 - 1, 96 - 1) = "0", OFFSET($A$1, 373 - 1, 97 - 1) = "1" ), 3, 4 ) ) )</f>
        <v>1</v>
      </c>
      <c r="CV373" s="24">
        <v>0.92203869922154591</v>
      </c>
      <c r="CW373" s="24" t="str">
        <f>"0"</f>
        <v>0</v>
      </c>
      <c r="CX373" t="str">
        <f ca="1">IF((OFFSET($A$1, 373 - 1, 100 - 1)) &gt;= (OFFSET($A$1, 78 - 1, 7 - 1)), "1","0")</f>
        <v>1</v>
      </c>
      <c r="CY373">
        <f ca="1" xml:space="preserve"> IF( AND( OFFSET($A$1, 373 - 1, 101 - 1) = "1", OFFSET($A$1, 373 - 1, 102 - 1) = "1" ), 1, IF( AND( OFFSET($A$1, 373 - 1, 101 - 1) = "1", OFFSET($A$1, 373 - 1, 102 - 1) = "0" ), 2, IF( AND( OFFSET($A$1, 373 - 1, 101 - 1) = "0", OFFSET($A$1, 373 - 1, 102 - 1) = "1" ), 3, 4 ) ) )</f>
        <v>3</v>
      </c>
    </row>
    <row r="374" spans="95:103" ht="13.8" x14ac:dyDescent="0.3">
      <c r="CQ374" s="24">
        <v>0.92208934975263612</v>
      </c>
      <c r="CR374" s="24" t="str">
        <f t="shared" si="30"/>
        <v>1</v>
      </c>
      <c r="CS374" t="str">
        <f ca="1">IF((OFFSET($A$1, 374 - 1, 95 - 1)) &gt;= (OFFSET($A$1, 54 - 1, 7 - 1)), "1","0")</f>
        <v>1</v>
      </c>
      <c r="CT374">
        <f ca="1" xml:space="preserve"> IF( AND( OFFSET($A$1, 374 - 1, 96 - 1) = "1", OFFSET($A$1, 374 - 1, 97 - 1) = "1" ), 1, IF( AND( OFFSET($A$1, 374 - 1, 96 - 1) = "1", OFFSET($A$1, 374 - 1, 97 - 1) = "0" ), 2, IF( AND( OFFSET($A$1, 374 - 1, 96 - 1) = "0", OFFSET($A$1, 374 - 1, 97 - 1) = "1" ), 3, 4 ) ) )</f>
        <v>1</v>
      </c>
      <c r="CV374" s="24">
        <v>9.3408263647975012E-3</v>
      </c>
      <c r="CW374" s="24" t="str">
        <f>"0"</f>
        <v>0</v>
      </c>
      <c r="CX374" t="str">
        <f ca="1">IF((OFFSET($A$1, 374 - 1, 100 - 1)) &gt;= (OFFSET($A$1, 78 - 1, 7 - 1)), "1","0")</f>
        <v>0</v>
      </c>
      <c r="CY374">
        <f ca="1" xml:space="preserve"> IF( AND( OFFSET($A$1, 374 - 1, 101 - 1) = "1", OFFSET($A$1, 374 - 1, 102 - 1) = "1" ), 1, IF( AND( OFFSET($A$1, 374 - 1, 101 - 1) = "1", OFFSET($A$1, 374 - 1, 102 - 1) = "0" ), 2, IF( AND( OFFSET($A$1, 374 - 1, 101 - 1) = "0", OFFSET($A$1, 374 - 1, 102 - 1) = "1" ), 3, 4 ) ) )</f>
        <v>4</v>
      </c>
    </row>
    <row r="375" spans="95:103" ht="13.8" x14ac:dyDescent="0.3">
      <c r="CQ375" s="24">
        <v>0.99998244007715753</v>
      </c>
      <c r="CR375" s="24" t="str">
        <f t="shared" si="30"/>
        <v>1</v>
      </c>
      <c r="CS375" t="str">
        <f ca="1">IF((OFFSET($A$1, 375 - 1, 95 - 1)) &gt;= (OFFSET($A$1, 54 - 1, 7 - 1)), "1","0")</f>
        <v>1</v>
      </c>
      <c r="CT375">
        <f ca="1" xml:space="preserve"> IF( AND( OFFSET($A$1, 375 - 1, 96 - 1) = "1", OFFSET($A$1, 375 - 1, 97 - 1) = "1" ), 1, IF( AND( OFFSET($A$1, 375 - 1, 96 - 1) = "1", OFFSET($A$1, 375 - 1, 97 - 1) = "0" ), 2, IF( AND( OFFSET($A$1, 375 - 1, 96 - 1) = "0", OFFSET($A$1, 375 - 1, 97 - 1) = "1" ), 3, 4 ) ) )</f>
        <v>1</v>
      </c>
      <c r="CV375" s="24">
        <v>0.94229956832242168</v>
      </c>
      <c r="CW375" s="24" t="str">
        <f>"1"</f>
        <v>1</v>
      </c>
      <c r="CX375" t="str">
        <f ca="1">IF((OFFSET($A$1, 375 - 1, 100 - 1)) &gt;= (OFFSET($A$1, 78 - 1, 7 - 1)), "1","0")</f>
        <v>1</v>
      </c>
      <c r="CY375">
        <f ca="1" xml:space="preserve"> IF( AND( OFFSET($A$1, 375 - 1, 101 - 1) = "1", OFFSET($A$1, 375 - 1, 102 - 1) = "1" ), 1, IF( AND( OFFSET($A$1, 375 - 1, 101 - 1) = "1", OFFSET($A$1, 375 - 1, 102 - 1) = "0" ), 2, IF( AND( OFFSET($A$1, 375 - 1, 101 - 1) = "0", OFFSET($A$1, 375 - 1, 102 - 1) = "1" ), 3, 4 ) ) )</f>
        <v>1</v>
      </c>
    </row>
    <row r="376" spans="95:103" ht="13.8" x14ac:dyDescent="0.3">
      <c r="CQ376" s="24">
        <v>0.99994258175260264</v>
      </c>
      <c r="CR376" s="24" t="str">
        <f t="shared" si="30"/>
        <v>1</v>
      </c>
      <c r="CS376" t="str">
        <f ca="1">IF((OFFSET($A$1, 376 - 1, 95 - 1)) &gt;= (OFFSET($A$1, 54 - 1, 7 - 1)), "1","0")</f>
        <v>1</v>
      </c>
      <c r="CT376">
        <f ca="1" xml:space="preserve"> IF( AND( OFFSET($A$1, 376 - 1, 96 - 1) = "1", OFFSET($A$1, 376 - 1, 97 - 1) = "1" ), 1, IF( AND( OFFSET($A$1, 376 - 1, 96 - 1) = "1", OFFSET($A$1, 376 - 1, 97 - 1) = "0" ), 2, IF( AND( OFFSET($A$1, 376 - 1, 96 - 1) = "0", OFFSET($A$1, 376 - 1, 97 - 1) = "1" ), 3, 4 ) ) )</f>
        <v>1</v>
      </c>
      <c r="CV376" s="24">
        <v>0.74039676564603374</v>
      </c>
      <c r="CW376" s="24" t="str">
        <f>"0"</f>
        <v>0</v>
      </c>
      <c r="CX376" t="str">
        <f ca="1">IF((OFFSET($A$1, 376 - 1, 100 - 1)) &gt;= (OFFSET($A$1, 78 - 1, 7 - 1)), "1","0")</f>
        <v>1</v>
      </c>
      <c r="CY376">
        <f ca="1" xml:space="preserve"> IF( AND( OFFSET($A$1, 376 - 1, 101 - 1) = "1", OFFSET($A$1, 376 - 1, 102 - 1) = "1" ), 1, IF( AND( OFFSET($A$1, 376 - 1, 101 - 1) = "1", OFFSET($A$1, 376 - 1, 102 - 1) = "0" ), 2, IF( AND( OFFSET($A$1, 376 - 1, 101 - 1) = "0", OFFSET($A$1, 376 - 1, 102 - 1) = "1" ), 3, 4 ) ) )</f>
        <v>3</v>
      </c>
    </row>
    <row r="377" spans="95:103" ht="13.8" x14ac:dyDescent="0.3">
      <c r="CQ377" s="24">
        <v>4.400985215061604E-5</v>
      </c>
      <c r="CR377" s="24" t="str">
        <f>"0"</f>
        <v>0</v>
      </c>
      <c r="CS377" t="str">
        <f ca="1">IF((OFFSET($A$1, 377 - 1, 95 - 1)) &gt;= (OFFSET($A$1, 54 - 1, 7 - 1)), "1","0")</f>
        <v>0</v>
      </c>
      <c r="CT377">
        <f ca="1" xml:space="preserve"> IF( AND( OFFSET($A$1, 377 - 1, 96 - 1) = "1", OFFSET($A$1, 377 - 1, 97 - 1) = "1" ), 1, IF( AND( OFFSET($A$1, 377 - 1, 96 - 1) = "1", OFFSET($A$1, 377 - 1, 97 - 1) = "0" ), 2, IF( AND( OFFSET($A$1, 377 - 1, 96 - 1) = "0", OFFSET($A$1, 377 - 1, 97 - 1) = "1" ), 3, 4 ) ) )</f>
        <v>4</v>
      </c>
      <c r="CV377" s="24">
        <v>0.99632831024340407</v>
      </c>
      <c r="CW377" s="24" t="str">
        <f t="shared" ref="CW377:CW387" si="31">"1"</f>
        <v>1</v>
      </c>
      <c r="CX377" t="str">
        <f ca="1">IF((OFFSET($A$1, 377 - 1, 100 - 1)) &gt;= (OFFSET($A$1, 78 - 1, 7 - 1)), "1","0")</f>
        <v>1</v>
      </c>
      <c r="CY377">
        <f ca="1" xml:space="preserve"> IF( AND( OFFSET($A$1, 377 - 1, 101 - 1) = "1", OFFSET($A$1, 377 - 1, 102 - 1) = "1" ), 1, IF( AND( OFFSET($A$1, 377 - 1, 101 - 1) = "1", OFFSET($A$1, 377 - 1, 102 - 1) = "0" ), 2, IF( AND( OFFSET($A$1, 377 - 1, 101 - 1) = "0", OFFSET($A$1, 377 - 1, 102 - 1) = "1" ), 3, 4 ) ) )</f>
        <v>1</v>
      </c>
    </row>
    <row r="378" spans="95:103" ht="13.8" x14ac:dyDescent="0.3">
      <c r="CQ378" s="24">
        <v>0.92293763166855569</v>
      </c>
      <c r="CR378" s="24" t="str">
        <f>"1"</f>
        <v>1</v>
      </c>
      <c r="CS378" t="str">
        <f ca="1">IF((OFFSET($A$1, 378 - 1, 95 - 1)) &gt;= (OFFSET($A$1, 54 - 1, 7 - 1)), "1","0")</f>
        <v>1</v>
      </c>
      <c r="CT378">
        <f ca="1" xml:space="preserve"> IF( AND( OFFSET($A$1, 378 - 1, 96 - 1) = "1", OFFSET($A$1, 378 - 1, 97 - 1) = "1" ), 1, IF( AND( OFFSET($A$1, 378 - 1, 96 - 1) = "1", OFFSET($A$1, 378 - 1, 97 - 1) = "0" ), 2, IF( AND( OFFSET($A$1, 378 - 1, 96 - 1) = "0", OFFSET($A$1, 378 - 1, 97 - 1) = "1" ), 3, 4 ) ) )</f>
        <v>1</v>
      </c>
      <c r="CV378" s="24">
        <v>0.13965930578179875</v>
      </c>
      <c r="CW378" s="24" t="str">
        <f t="shared" si="31"/>
        <v>1</v>
      </c>
      <c r="CX378" t="str">
        <f ca="1">IF((OFFSET($A$1, 378 - 1, 100 - 1)) &gt;= (OFFSET($A$1, 78 - 1, 7 - 1)), "1","0")</f>
        <v>0</v>
      </c>
      <c r="CY378">
        <f ca="1" xml:space="preserve"> IF( AND( OFFSET($A$1, 378 - 1, 101 - 1) = "1", OFFSET($A$1, 378 - 1, 102 - 1) = "1" ), 1, IF( AND( OFFSET($A$1, 378 - 1, 101 - 1) = "1", OFFSET($A$1, 378 - 1, 102 - 1) = "0" ), 2, IF( AND( OFFSET($A$1, 378 - 1, 101 - 1) = "0", OFFSET($A$1, 378 - 1, 102 - 1) = "1" ), 3, 4 ) ) )</f>
        <v>2</v>
      </c>
    </row>
    <row r="379" spans="95:103" ht="13.8" x14ac:dyDescent="0.3">
      <c r="CQ379" s="24">
        <v>0.99933842922055915</v>
      </c>
      <c r="CR379" s="24" t="str">
        <f>"0"</f>
        <v>0</v>
      </c>
      <c r="CS379" t="str">
        <f ca="1">IF((OFFSET($A$1, 379 - 1, 95 - 1)) &gt;= (OFFSET($A$1, 54 - 1, 7 - 1)), "1","0")</f>
        <v>1</v>
      </c>
      <c r="CT379">
        <f ca="1" xml:space="preserve"> IF( AND( OFFSET($A$1, 379 - 1, 96 - 1) = "1", OFFSET($A$1, 379 - 1, 97 - 1) = "1" ), 1, IF( AND( OFFSET($A$1, 379 - 1, 96 - 1) = "1", OFFSET($A$1, 379 - 1, 97 - 1) = "0" ), 2, IF( AND( OFFSET($A$1, 379 - 1, 96 - 1) = "0", OFFSET($A$1, 379 - 1, 97 - 1) = "1" ), 3, 4 ) ) )</f>
        <v>3</v>
      </c>
      <c r="CV379" s="24">
        <v>0.96994249223117479</v>
      </c>
      <c r="CW379" s="24" t="str">
        <f t="shared" si="31"/>
        <v>1</v>
      </c>
      <c r="CX379" t="str">
        <f ca="1">IF((OFFSET($A$1, 379 - 1, 100 - 1)) &gt;= (OFFSET($A$1, 78 - 1, 7 - 1)), "1","0")</f>
        <v>1</v>
      </c>
      <c r="CY379">
        <f ca="1" xml:space="preserve"> IF( AND( OFFSET($A$1, 379 - 1, 101 - 1) = "1", OFFSET($A$1, 379 - 1, 102 - 1) = "1" ), 1, IF( AND( OFFSET($A$1, 379 - 1, 101 - 1) = "1", OFFSET($A$1, 379 - 1, 102 - 1) = "0" ), 2, IF( AND( OFFSET($A$1, 379 - 1, 101 - 1) = "0", OFFSET($A$1, 379 - 1, 102 - 1) = "1" ), 3, 4 ) ) )</f>
        <v>1</v>
      </c>
    </row>
    <row r="380" spans="95:103" ht="13.8" x14ac:dyDescent="0.3">
      <c r="CQ380" s="24">
        <v>0.10640326641108136</v>
      </c>
      <c r="CR380" s="24" t="str">
        <f>"0"</f>
        <v>0</v>
      </c>
      <c r="CS380" t="str">
        <f ca="1">IF((OFFSET($A$1, 380 - 1, 95 - 1)) &gt;= (OFFSET($A$1, 54 - 1, 7 - 1)), "1","0")</f>
        <v>0</v>
      </c>
      <c r="CT380">
        <f ca="1" xml:space="preserve"> IF( AND( OFFSET($A$1, 380 - 1, 96 - 1) = "1", OFFSET($A$1, 380 - 1, 97 - 1) = "1" ), 1, IF( AND( OFFSET($A$1, 380 - 1, 96 - 1) = "1", OFFSET($A$1, 380 - 1, 97 - 1) = "0" ), 2, IF( AND( OFFSET($A$1, 380 - 1, 96 - 1) = "0", OFFSET($A$1, 380 - 1, 97 - 1) = "1" ), 3, 4 ) ) )</f>
        <v>4</v>
      </c>
      <c r="CV380" s="24">
        <v>2.9976183595643024E-2</v>
      </c>
      <c r="CW380" s="24" t="str">
        <f t="shared" si="31"/>
        <v>1</v>
      </c>
      <c r="CX380" t="str">
        <f ca="1">IF((OFFSET($A$1, 380 - 1, 100 - 1)) &gt;= (OFFSET($A$1, 78 - 1, 7 - 1)), "1","0")</f>
        <v>0</v>
      </c>
      <c r="CY380">
        <f ca="1" xml:space="preserve"> IF( AND( OFFSET($A$1, 380 - 1, 101 - 1) = "1", OFFSET($A$1, 380 - 1, 102 - 1) = "1" ), 1, IF( AND( OFFSET($A$1, 380 - 1, 101 - 1) = "1", OFFSET($A$1, 380 - 1, 102 - 1) = "0" ), 2, IF( AND( OFFSET($A$1, 380 - 1, 101 - 1) = "0", OFFSET($A$1, 380 - 1, 102 - 1) = "1" ), 3, 4 ) ) )</f>
        <v>2</v>
      </c>
    </row>
    <row r="381" spans="95:103" ht="13.8" x14ac:dyDescent="0.3">
      <c r="CQ381" s="24">
        <v>4.1637856599356468E-2</v>
      </c>
      <c r="CR381" s="24" t="str">
        <f>"0"</f>
        <v>0</v>
      </c>
      <c r="CS381" t="str">
        <f ca="1">IF((OFFSET($A$1, 381 - 1, 95 - 1)) &gt;= (OFFSET($A$1, 54 - 1, 7 - 1)), "1","0")</f>
        <v>0</v>
      </c>
      <c r="CT381">
        <f ca="1" xml:space="preserve"> IF( AND( OFFSET($A$1, 381 - 1, 96 - 1) = "1", OFFSET($A$1, 381 - 1, 97 - 1) = "1" ), 1, IF( AND( OFFSET($A$1, 381 - 1, 96 - 1) = "1", OFFSET($A$1, 381 - 1, 97 - 1) = "0" ), 2, IF( AND( OFFSET($A$1, 381 - 1, 96 - 1) = "0", OFFSET($A$1, 381 - 1, 97 - 1) = "1" ), 3, 4 ) ) )</f>
        <v>4</v>
      </c>
      <c r="CV381" s="24">
        <v>0.99952486220686476</v>
      </c>
      <c r="CW381" s="24" t="str">
        <f t="shared" si="31"/>
        <v>1</v>
      </c>
      <c r="CX381" t="str">
        <f ca="1">IF((OFFSET($A$1, 381 - 1, 100 - 1)) &gt;= (OFFSET($A$1, 78 - 1, 7 - 1)), "1","0")</f>
        <v>1</v>
      </c>
      <c r="CY381">
        <f ca="1" xml:space="preserve"> IF( AND( OFFSET($A$1, 381 - 1, 101 - 1) = "1", OFFSET($A$1, 381 - 1, 102 - 1) = "1" ), 1, IF( AND( OFFSET($A$1, 381 - 1, 101 - 1) = "1", OFFSET($A$1, 381 - 1, 102 - 1) = "0" ), 2, IF( AND( OFFSET($A$1, 381 - 1, 101 - 1) = "0", OFFSET($A$1, 381 - 1, 102 - 1) = "1" ), 3, 4 ) ) )</f>
        <v>1</v>
      </c>
    </row>
    <row r="382" spans="95:103" ht="13.8" x14ac:dyDescent="0.3">
      <c r="CQ382" s="24">
        <v>0.99792392890151327</v>
      </c>
      <c r="CR382" s="24" t="str">
        <f>"1"</f>
        <v>1</v>
      </c>
      <c r="CS382" t="str">
        <f ca="1">IF((OFFSET($A$1, 382 - 1, 95 - 1)) &gt;= (OFFSET($A$1, 54 - 1, 7 - 1)), "1","0")</f>
        <v>1</v>
      </c>
      <c r="CT382">
        <f ca="1" xml:space="preserve"> IF( AND( OFFSET($A$1, 382 - 1, 96 - 1) = "1", OFFSET($A$1, 382 - 1, 97 - 1) = "1" ), 1, IF( AND( OFFSET($A$1, 382 - 1, 96 - 1) = "1", OFFSET($A$1, 382 - 1, 97 - 1) = "0" ), 2, IF( AND( OFFSET($A$1, 382 - 1, 96 - 1) = "0", OFFSET($A$1, 382 - 1, 97 - 1) = "1" ), 3, 4 ) ) )</f>
        <v>1</v>
      </c>
      <c r="CV382" s="24">
        <v>0.26044341573634933</v>
      </c>
      <c r="CW382" s="24" t="str">
        <f t="shared" si="31"/>
        <v>1</v>
      </c>
      <c r="CX382" t="str">
        <f ca="1">IF((OFFSET($A$1, 382 - 1, 100 - 1)) &gt;= (OFFSET($A$1, 78 - 1, 7 - 1)), "1","0")</f>
        <v>0</v>
      </c>
      <c r="CY382">
        <f ca="1" xml:space="preserve"> IF( AND( OFFSET($A$1, 382 - 1, 101 - 1) = "1", OFFSET($A$1, 382 - 1, 102 - 1) = "1" ), 1, IF( AND( OFFSET($A$1, 382 - 1, 101 - 1) = "1", OFFSET($A$1, 382 - 1, 102 - 1) = "0" ), 2, IF( AND( OFFSET($A$1, 382 - 1, 101 - 1) = "0", OFFSET($A$1, 382 - 1, 102 - 1) = "1" ), 3, 4 ) ) )</f>
        <v>2</v>
      </c>
    </row>
    <row r="383" spans="95:103" ht="13.8" x14ac:dyDescent="0.3">
      <c r="CQ383" s="24">
        <v>4.8019830613952326E-2</v>
      </c>
      <c r="CR383" s="24" t="str">
        <f>"0"</f>
        <v>0</v>
      </c>
      <c r="CS383" t="str">
        <f ca="1">IF((OFFSET($A$1, 383 - 1, 95 - 1)) &gt;= (OFFSET($A$1, 54 - 1, 7 - 1)), "1","0")</f>
        <v>0</v>
      </c>
      <c r="CT383">
        <f ca="1" xml:space="preserve"> IF( AND( OFFSET($A$1, 383 - 1, 96 - 1) = "1", OFFSET($A$1, 383 - 1, 97 - 1) = "1" ), 1, IF( AND( OFFSET($A$1, 383 - 1, 96 - 1) = "1", OFFSET($A$1, 383 - 1, 97 - 1) = "0" ), 2, IF( AND( OFFSET($A$1, 383 - 1, 96 - 1) = "0", OFFSET($A$1, 383 - 1, 97 - 1) = "1" ), 3, 4 ) ) )</f>
        <v>4</v>
      </c>
      <c r="CV383" s="24">
        <v>0.99998726935914584</v>
      </c>
      <c r="CW383" s="24" t="str">
        <f t="shared" si="31"/>
        <v>1</v>
      </c>
      <c r="CX383" t="str">
        <f ca="1">IF((OFFSET($A$1, 383 - 1, 100 - 1)) &gt;= (OFFSET($A$1, 78 - 1, 7 - 1)), "1","0")</f>
        <v>1</v>
      </c>
      <c r="CY383">
        <f ca="1" xml:space="preserve"> IF( AND( OFFSET($A$1, 383 - 1, 101 - 1) = "1", OFFSET($A$1, 383 - 1, 102 - 1) = "1" ), 1, IF( AND( OFFSET($A$1, 383 - 1, 101 - 1) = "1", OFFSET($A$1, 383 - 1, 102 - 1) = "0" ), 2, IF( AND( OFFSET($A$1, 383 - 1, 101 - 1) = "0", OFFSET($A$1, 383 - 1, 102 - 1) = "1" ), 3, 4 ) ) )</f>
        <v>1</v>
      </c>
    </row>
    <row r="384" spans="95:103" ht="13.8" x14ac:dyDescent="0.3">
      <c r="CQ384" s="24">
        <v>0.99987925567885605</v>
      </c>
      <c r="CR384" s="24" t="str">
        <f>"1"</f>
        <v>1</v>
      </c>
      <c r="CS384" t="str">
        <f ca="1">IF((OFFSET($A$1, 384 - 1, 95 - 1)) &gt;= (OFFSET($A$1, 54 - 1, 7 - 1)), "1","0")</f>
        <v>1</v>
      </c>
      <c r="CT384">
        <f ca="1" xml:space="preserve"> IF( AND( OFFSET($A$1, 384 - 1, 96 - 1) = "1", OFFSET($A$1, 384 - 1, 97 - 1) = "1" ), 1, IF( AND( OFFSET($A$1, 384 - 1, 96 - 1) = "1", OFFSET($A$1, 384 - 1, 97 - 1) = "0" ), 2, IF( AND( OFFSET($A$1, 384 - 1, 96 - 1) = "0", OFFSET($A$1, 384 - 1, 97 - 1) = "1" ), 3, 4 ) ) )</f>
        <v>1</v>
      </c>
      <c r="CV384" s="24">
        <v>0.99652506675757491</v>
      </c>
      <c r="CW384" s="24" t="str">
        <f t="shared" si="31"/>
        <v>1</v>
      </c>
      <c r="CX384" t="str">
        <f ca="1">IF((OFFSET($A$1, 384 - 1, 100 - 1)) &gt;= (OFFSET($A$1, 78 - 1, 7 - 1)), "1","0")</f>
        <v>1</v>
      </c>
      <c r="CY384">
        <f ca="1" xml:space="preserve"> IF( AND( OFFSET($A$1, 384 - 1, 101 - 1) = "1", OFFSET($A$1, 384 - 1, 102 - 1) = "1" ), 1, IF( AND( OFFSET($A$1, 384 - 1, 101 - 1) = "1", OFFSET($A$1, 384 - 1, 102 - 1) = "0" ), 2, IF( AND( OFFSET($A$1, 384 - 1, 101 - 1) = "0", OFFSET($A$1, 384 - 1, 102 - 1) = "1" ), 3, 4 ) ) )</f>
        <v>1</v>
      </c>
    </row>
    <row r="385" spans="95:103" ht="13.8" x14ac:dyDescent="0.3">
      <c r="CQ385" s="24">
        <v>0.93740430817079923</v>
      </c>
      <c r="CR385" s="24" t="str">
        <f>"1"</f>
        <v>1</v>
      </c>
      <c r="CS385" t="str">
        <f ca="1">IF((OFFSET($A$1, 385 - 1, 95 - 1)) &gt;= (OFFSET($A$1, 54 - 1, 7 - 1)), "1","0")</f>
        <v>1</v>
      </c>
      <c r="CT385">
        <f ca="1" xml:space="preserve"> IF( AND( OFFSET($A$1, 385 - 1, 96 - 1) = "1", OFFSET($A$1, 385 - 1, 97 - 1) = "1" ), 1, IF( AND( OFFSET($A$1, 385 - 1, 96 - 1) = "1", OFFSET($A$1, 385 - 1, 97 - 1) = "0" ), 2, IF( AND( OFFSET($A$1, 385 - 1, 96 - 1) = "0", OFFSET($A$1, 385 - 1, 97 - 1) = "1" ), 3, 4 ) ) )</f>
        <v>1</v>
      </c>
      <c r="CV385" s="24">
        <v>0.9976882771336012</v>
      </c>
      <c r="CW385" s="24" t="str">
        <f t="shared" si="31"/>
        <v>1</v>
      </c>
      <c r="CX385" t="str">
        <f ca="1">IF((OFFSET($A$1, 385 - 1, 100 - 1)) &gt;= (OFFSET($A$1, 78 - 1, 7 - 1)), "1","0")</f>
        <v>1</v>
      </c>
      <c r="CY385">
        <f ca="1" xml:space="preserve"> IF( AND( OFFSET($A$1, 385 - 1, 101 - 1) = "1", OFFSET($A$1, 385 - 1, 102 - 1) = "1" ), 1, IF( AND( OFFSET($A$1, 385 - 1, 101 - 1) = "1", OFFSET($A$1, 385 - 1, 102 - 1) = "0" ), 2, IF( AND( OFFSET($A$1, 385 - 1, 101 - 1) = "0", OFFSET($A$1, 385 - 1, 102 - 1) = "1" ), 3, 4 ) ) )</f>
        <v>1</v>
      </c>
    </row>
    <row r="386" spans="95:103" ht="13.8" x14ac:dyDescent="0.3">
      <c r="CQ386" s="24">
        <v>7.7154610315797345E-2</v>
      </c>
      <c r="CR386" s="24" t="str">
        <f>"0"</f>
        <v>0</v>
      </c>
      <c r="CS386" t="str">
        <f ca="1">IF((OFFSET($A$1, 386 - 1, 95 - 1)) &gt;= (OFFSET($A$1, 54 - 1, 7 - 1)), "1","0")</f>
        <v>0</v>
      </c>
      <c r="CT386">
        <f ca="1" xml:space="preserve"> IF( AND( OFFSET($A$1, 386 - 1, 96 - 1) = "1", OFFSET($A$1, 386 - 1, 97 - 1) = "1" ), 1, IF( AND( OFFSET($A$1, 386 - 1, 96 - 1) = "1", OFFSET($A$1, 386 - 1, 97 - 1) = "0" ), 2, IF( AND( OFFSET($A$1, 386 - 1, 96 - 1) = "0", OFFSET($A$1, 386 - 1, 97 - 1) = "1" ), 3, 4 ) ) )</f>
        <v>4</v>
      </c>
      <c r="CV386" s="24">
        <v>0.99996164462156123</v>
      </c>
      <c r="CW386" s="24" t="str">
        <f t="shared" si="31"/>
        <v>1</v>
      </c>
      <c r="CX386" t="str">
        <f ca="1">IF((OFFSET($A$1, 386 - 1, 100 - 1)) &gt;= (OFFSET($A$1, 78 - 1, 7 - 1)), "1","0")</f>
        <v>1</v>
      </c>
      <c r="CY386">
        <f ca="1" xml:space="preserve"> IF( AND( OFFSET($A$1, 386 - 1, 101 - 1) = "1", OFFSET($A$1, 386 - 1, 102 - 1) = "1" ), 1, IF( AND( OFFSET($A$1, 386 - 1, 101 - 1) = "1", OFFSET($A$1, 386 - 1, 102 - 1) = "0" ), 2, IF( AND( OFFSET($A$1, 386 - 1, 101 - 1) = "0", OFFSET($A$1, 386 - 1, 102 - 1) = "1" ), 3, 4 ) ) )</f>
        <v>1</v>
      </c>
    </row>
    <row r="387" spans="95:103" ht="13.8" x14ac:dyDescent="0.3">
      <c r="CQ387" s="24">
        <v>0.94670273569575114</v>
      </c>
      <c r="CR387" s="24" t="str">
        <f t="shared" ref="CR387:CR392" si="32">"1"</f>
        <v>1</v>
      </c>
      <c r="CS387" t="str">
        <f ca="1">IF((OFFSET($A$1, 387 - 1, 95 - 1)) &gt;= (OFFSET($A$1, 54 - 1, 7 - 1)), "1","0")</f>
        <v>1</v>
      </c>
      <c r="CT387">
        <f ca="1" xml:space="preserve"> IF( AND( OFFSET($A$1, 387 - 1, 96 - 1) = "1", OFFSET($A$1, 387 - 1, 97 - 1) = "1" ), 1, IF( AND( OFFSET($A$1, 387 - 1, 96 - 1) = "1", OFFSET($A$1, 387 - 1, 97 - 1) = "0" ), 2, IF( AND( OFFSET($A$1, 387 - 1, 96 - 1) = "0", OFFSET($A$1, 387 - 1, 97 - 1) = "1" ), 3, 4 ) ) )</f>
        <v>1</v>
      </c>
      <c r="CV387" s="24">
        <v>0.99964751148051034</v>
      </c>
      <c r="CW387" s="24" t="str">
        <f t="shared" si="31"/>
        <v>1</v>
      </c>
      <c r="CX387" t="str">
        <f ca="1">IF((OFFSET($A$1, 387 - 1, 100 - 1)) &gt;= (OFFSET($A$1, 78 - 1, 7 - 1)), "1","0")</f>
        <v>1</v>
      </c>
      <c r="CY387">
        <f ca="1" xml:space="preserve"> IF( AND( OFFSET($A$1, 387 - 1, 101 - 1) = "1", OFFSET($A$1, 387 - 1, 102 - 1) = "1" ), 1, IF( AND( OFFSET($A$1, 387 - 1, 101 - 1) = "1", OFFSET($A$1, 387 - 1, 102 - 1) = "0" ), 2, IF( AND( OFFSET($A$1, 387 - 1, 101 - 1) = "0", OFFSET($A$1, 387 - 1, 102 - 1) = "1" ), 3, 4 ) ) )</f>
        <v>1</v>
      </c>
    </row>
    <row r="388" spans="95:103" ht="13.8" x14ac:dyDescent="0.3">
      <c r="CQ388" s="24">
        <v>0.99723092963895266</v>
      </c>
      <c r="CR388" s="24" t="str">
        <f t="shared" si="32"/>
        <v>1</v>
      </c>
      <c r="CS388" t="str">
        <f ca="1">IF((OFFSET($A$1, 388 - 1, 95 - 1)) &gt;= (OFFSET($A$1, 54 - 1, 7 - 1)), "1","0")</f>
        <v>1</v>
      </c>
      <c r="CT388">
        <f ca="1" xml:space="preserve"> IF( AND( OFFSET($A$1, 388 - 1, 96 - 1) = "1", OFFSET($A$1, 388 - 1, 97 - 1) = "1" ), 1, IF( AND( OFFSET($A$1, 388 - 1, 96 - 1) = "1", OFFSET($A$1, 388 - 1, 97 - 1) = "0" ), 2, IF( AND( OFFSET($A$1, 388 - 1, 96 - 1) = "0", OFFSET($A$1, 388 - 1, 97 - 1) = "1" ), 3, 4 ) ) )</f>
        <v>1</v>
      </c>
      <c r="CV388" s="24">
        <v>1.1203529886931992E-2</v>
      </c>
      <c r="CW388" s="24" t="str">
        <f>"0"</f>
        <v>0</v>
      </c>
      <c r="CX388" t="str">
        <f ca="1">IF((OFFSET($A$1, 388 - 1, 100 - 1)) &gt;= (OFFSET($A$1, 78 - 1, 7 - 1)), "1","0")</f>
        <v>0</v>
      </c>
      <c r="CY388">
        <f ca="1" xml:space="preserve"> IF( AND( OFFSET($A$1, 388 - 1, 101 - 1) = "1", OFFSET($A$1, 388 - 1, 102 - 1) = "1" ), 1, IF( AND( OFFSET($A$1, 388 - 1, 101 - 1) = "1", OFFSET($A$1, 388 - 1, 102 - 1) = "0" ), 2, IF( AND( OFFSET($A$1, 388 - 1, 101 - 1) = "0", OFFSET($A$1, 388 - 1, 102 - 1) = "1" ), 3, 4 ) ) )</f>
        <v>4</v>
      </c>
    </row>
    <row r="389" spans="95:103" ht="13.8" x14ac:dyDescent="0.3">
      <c r="CQ389" s="24">
        <v>0.97591101458898966</v>
      </c>
      <c r="CR389" s="24" t="str">
        <f t="shared" si="32"/>
        <v>1</v>
      </c>
      <c r="CS389" t="str">
        <f ca="1">IF((OFFSET($A$1, 389 - 1, 95 - 1)) &gt;= (OFFSET($A$1, 54 - 1, 7 - 1)), "1","0")</f>
        <v>1</v>
      </c>
      <c r="CT389">
        <f ca="1" xml:space="preserve"> IF( AND( OFFSET($A$1, 389 - 1, 96 - 1) = "1", OFFSET($A$1, 389 - 1, 97 - 1) = "1" ), 1, IF( AND( OFFSET($A$1, 389 - 1, 96 - 1) = "1", OFFSET($A$1, 389 - 1, 97 - 1) = "0" ), 2, IF( AND( OFFSET($A$1, 389 - 1, 96 - 1) = "0", OFFSET($A$1, 389 - 1, 97 - 1) = "1" ), 3, 4 ) ) )</f>
        <v>1</v>
      </c>
      <c r="CV389" s="24">
        <v>0.99999882945080265</v>
      </c>
      <c r="CW389" s="24" t="str">
        <f>"1"</f>
        <v>1</v>
      </c>
      <c r="CX389" t="str">
        <f ca="1">IF((OFFSET($A$1, 389 - 1, 100 - 1)) &gt;= (OFFSET($A$1, 78 - 1, 7 - 1)), "1","0")</f>
        <v>1</v>
      </c>
      <c r="CY389">
        <f ca="1" xml:space="preserve"> IF( AND( OFFSET($A$1, 389 - 1, 101 - 1) = "1", OFFSET($A$1, 389 - 1, 102 - 1) = "1" ), 1, IF( AND( OFFSET($A$1, 389 - 1, 101 - 1) = "1", OFFSET($A$1, 389 - 1, 102 - 1) = "0" ), 2, IF( AND( OFFSET($A$1, 389 - 1, 101 - 1) = "0", OFFSET($A$1, 389 - 1, 102 - 1) = "1" ), 3, 4 ) ) )</f>
        <v>1</v>
      </c>
    </row>
    <row r="390" spans="95:103" ht="13.8" x14ac:dyDescent="0.3">
      <c r="CQ390" s="24">
        <v>0.95494627819386901</v>
      </c>
      <c r="CR390" s="24" t="str">
        <f t="shared" si="32"/>
        <v>1</v>
      </c>
      <c r="CS390" t="str">
        <f ca="1">IF((OFFSET($A$1, 390 - 1, 95 - 1)) &gt;= (OFFSET($A$1, 54 - 1, 7 - 1)), "1","0")</f>
        <v>1</v>
      </c>
      <c r="CT390">
        <f ca="1" xml:space="preserve"> IF( AND( OFFSET($A$1, 390 - 1, 96 - 1) = "1", OFFSET($A$1, 390 - 1, 97 - 1) = "1" ), 1, IF( AND( OFFSET($A$1, 390 - 1, 96 - 1) = "1", OFFSET($A$1, 390 - 1, 97 - 1) = "0" ), 2, IF( AND( OFFSET($A$1, 390 - 1, 96 - 1) = "0", OFFSET($A$1, 390 - 1, 97 - 1) = "1" ), 3, 4 ) ) )</f>
        <v>1</v>
      </c>
      <c r="CV390" s="24">
        <v>1.6624690172166928E-2</v>
      </c>
      <c r="CW390" s="24" t="str">
        <f>"0"</f>
        <v>0</v>
      </c>
      <c r="CX390" t="str">
        <f ca="1">IF((OFFSET($A$1, 390 - 1, 100 - 1)) &gt;= (OFFSET($A$1, 78 - 1, 7 - 1)), "1","0")</f>
        <v>0</v>
      </c>
      <c r="CY390">
        <f ca="1" xml:space="preserve"> IF( AND( OFFSET($A$1, 390 - 1, 101 - 1) = "1", OFFSET($A$1, 390 - 1, 102 - 1) = "1" ), 1, IF( AND( OFFSET($A$1, 390 - 1, 101 - 1) = "1", OFFSET($A$1, 390 - 1, 102 - 1) = "0" ), 2, IF( AND( OFFSET($A$1, 390 - 1, 101 - 1) = "0", OFFSET($A$1, 390 - 1, 102 - 1) = "1" ), 3, 4 ) ) )</f>
        <v>4</v>
      </c>
    </row>
    <row r="391" spans="95:103" ht="13.8" x14ac:dyDescent="0.3">
      <c r="CQ391" s="24">
        <v>0.9998145461958835</v>
      </c>
      <c r="CR391" s="24" t="str">
        <f t="shared" si="32"/>
        <v>1</v>
      </c>
      <c r="CS391" t="str">
        <f ca="1">IF((OFFSET($A$1, 391 - 1, 95 - 1)) &gt;= (OFFSET($A$1, 54 - 1, 7 - 1)), "1","0")</f>
        <v>1</v>
      </c>
      <c r="CT391">
        <f ca="1" xml:space="preserve"> IF( AND( OFFSET($A$1, 391 - 1, 96 - 1) = "1", OFFSET($A$1, 391 - 1, 97 - 1) = "1" ), 1, IF( AND( OFFSET($A$1, 391 - 1, 96 - 1) = "1", OFFSET($A$1, 391 - 1, 97 - 1) = "0" ), 2, IF( AND( OFFSET($A$1, 391 - 1, 96 - 1) = "0", OFFSET($A$1, 391 - 1, 97 - 1) = "1" ), 3, 4 ) ) )</f>
        <v>1</v>
      </c>
      <c r="CV391" s="24">
        <v>0.58071970647887328</v>
      </c>
      <c r="CW391" s="24" t="str">
        <f>"1"</f>
        <v>1</v>
      </c>
      <c r="CX391" t="str">
        <f ca="1">IF((OFFSET($A$1, 391 - 1, 100 - 1)) &gt;= (OFFSET($A$1, 78 - 1, 7 - 1)), "1","0")</f>
        <v>1</v>
      </c>
      <c r="CY391">
        <f ca="1" xml:space="preserve"> IF( AND( OFFSET($A$1, 391 - 1, 101 - 1) = "1", OFFSET($A$1, 391 - 1, 102 - 1) = "1" ), 1, IF( AND( OFFSET($A$1, 391 - 1, 101 - 1) = "1", OFFSET($A$1, 391 - 1, 102 - 1) = "0" ), 2, IF( AND( OFFSET($A$1, 391 - 1, 101 - 1) = "0", OFFSET($A$1, 391 - 1, 102 - 1) = "1" ), 3, 4 ) ) )</f>
        <v>1</v>
      </c>
    </row>
    <row r="392" spans="95:103" ht="13.8" x14ac:dyDescent="0.3">
      <c r="CQ392" s="24">
        <v>0.99992968498422985</v>
      </c>
      <c r="CR392" s="24" t="str">
        <f t="shared" si="32"/>
        <v>1</v>
      </c>
      <c r="CS392" t="str">
        <f ca="1">IF((OFFSET($A$1, 392 - 1, 95 - 1)) &gt;= (OFFSET($A$1, 54 - 1, 7 - 1)), "1","0")</f>
        <v>1</v>
      </c>
      <c r="CT392">
        <f ca="1" xml:space="preserve"> IF( AND( OFFSET($A$1, 392 - 1, 96 - 1) = "1", OFFSET($A$1, 392 - 1, 97 - 1) = "1" ), 1, IF( AND( OFFSET($A$1, 392 - 1, 96 - 1) = "1", OFFSET($A$1, 392 - 1, 97 - 1) = "0" ), 2, IF( AND( OFFSET($A$1, 392 - 1, 96 - 1) = "0", OFFSET($A$1, 392 - 1, 97 - 1) = "1" ), 3, 4 ) ) )</f>
        <v>1</v>
      </c>
      <c r="CV392" s="24">
        <v>0.99999657855629498</v>
      </c>
      <c r="CW392" s="24" t="str">
        <f>"1"</f>
        <v>1</v>
      </c>
      <c r="CX392" t="str">
        <f ca="1">IF((OFFSET($A$1, 392 - 1, 100 - 1)) &gt;= (OFFSET($A$1, 78 - 1, 7 - 1)), "1","0")</f>
        <v>1</v>
      </c>
      <c r="CY392">
        <f ca="1" xml:space="preserve"> IF( AND( OFFSET($A$1, 392 - 1, 101 - 1) = "1", OFFSET($A$1, 392 - 1, 102 - 1) = "1" ), 1, IF( AND( OFFSET($A$1, 392 - 1, 101 - 1) = "1", OFFSET($A$1, 392 - 1, 102 - 1) = "0" ), 2, IF( AND( OFFSET($A$1, 392 - 1, 101 - 1) = "0", OFFSET($A$1, 392 - 1, 102 - 1) = "1" ), 3, 4 ) ) )</f>
        <v>1</v>
      </c>
    </row>
    <row r="393" spans="95:103" ht="13.8" x14ac:dyDescent="0.3">
      <c r="CQ393" s="24">
        <v>0.11732159873501591</v>
      </c>
      <c r="CR393" s="24" t="str">
        <f>"0"</f>
        <v>0</v>
      </c>
      <c r="CS393" t="str">
        <f ca="1">IF((OFFSET($A$1, 393 - 1, 95 - 1)) &gt;= (OFFSET($A$1, 54 - 1, 7 - 1)), "1","0")</f>
        <v>0</v>
      </c>
      <c r="CT393">
        <f ca="1" xml:space="preserve"> IF( AND( OFFSET($A$1, 393 - 1, 96 - 1) = "1", OFFSET($A$1, 393 - 1, 97 - 1) = "1" ), 1, IF( AND( OFFSET($A$1, 393 - 1, 96 - 1) = "1", OFFSET($A$1, 393 - 1, 97 - 1) = "0" ), 2, IF( AND( OFFSET($A$1, 393 - 1, 96 - 1) = "0", OFFSET($A$1, 393 - 1, 97 - 1) = "1" ), 3, 4 ) ) )</f>
        <v>4</v>
      </c>
      <c r="CV393" s="24">
        <v>0.99599012248302421</v>
      </c>
      <c r="CW393" s="24" t="str">
        <f>"0"</f>
        <v>0</v>
      </c>
      <c r="CX393" t="str">
        <f ca="1">IF((OFFSET($A$1, 393 - 1, 100 - 1)) &gt;= (OFFSET($A$1, 78 - 1, 7 - 1)), "1","0")</f>
        <v>1</v>
      </c>
      <c r="CY393">
        <f ca="1" xml:space="preserve"> IF( AND( OFFSET($A$1, 393 - 1, 101 - 1) = "1", OFFSET($A$1, 393 - 1, 102 - 1) = "1" ), 1, IF( AND( OFFSET($A$1, 393 - 1, 101 - 1) = "1", OFFSET($A$1, 393 - 1, 102 - 1) = "0" ), 2, IF( AND( OFFSET($A$1, 393 - 1, 101 - 1) = "0", OFFSET($A$1, 393 - 1, 102 - 1) = "1" ), 3, 4 ) ) )</f>
        <v>3</v>
      </c>
    </row>
    <row r="394" spans="95:103" ht="13.8" x14ac:dyDescent="0.3">
      <c r="CQ394" s="24">
        <v>0.99999390687282719</v>
      </c>
      <c r="CR394" s="24" t="str">
        <f>"1"</f>
        <v>1</v>
      </c>
      <c r="CS394" t="str">
        <f ca="1">IF((OFFSET($A$1, 394 - 1, 95 - 1)) &gt;= (OFFSET($A$1, 54 - 1, 7 - 1)), "1","0")</f>
        <v>1</v>
      </c>
      <c r="CT394">
        <f ca="1" xml:space="preserve"> IF( AND( OFFSET($A$1, 394 - 1, 96 - 1) = "1", OFFSET($A$1, 394 - 1, 97 - 1) = "1" ), 1, IF( AND( OFFSET($A$1, 394 - 1, 96 - 1) = "1", OFFSET($A$1, 394 - 1, 97 - 1) = "0" ), 2, IF( AND( OFFSET($A$1, 394 - 1, 96 - 1) = "0", OFFSET($A$1, 394 - 1, 97 - 1) = "1" ), 3, 4 ) ) )</f>
        <v>1</v>
      </c>
      <c r="CV394" s="24">
        <v>3.4513505597468484E-2</v>
      </c>
      <c r="CW394" s="24" t="str">
        <f>"1"</f>
        <v>1</v>
      </c>
      <c r="CX394" t="str">
        <f ca="1">IF((OFFSET($A$1, 394 - 1, 100 - 1)) &gt;= (OFFSET($A$1, 78 - 1, 7 - 1)), "1","0")</f>
        <v>0</v>
      </c>
      <c r="CY394">
        <f ca="1" xml:space="preserve"> IF( AND( OFFSET($A$1, 394 - 1, 101 - 1) = "1", OFFSET($A$1, 394 - 1, 102 - 1) = "1" ), 1, IF( AND( OFFSET($A$1, 394 - 1, 101 - 1) = "1", OFFSET($A$1, 394 - 1, 102 - 1) = "0" ), 2, IF( AND( OFFSET($A$1, 394 - 1, 101 - 1) = "0", OFFSET($A$1, 394 - 1, 102 - 1) = "1" ), 3, 4 ) ) )</f>
        <v>2</v>
      </c>
    </row>
    <row r="395" spans="95:103" ht="13.8" x14ac:dyDescent="0.3">
      <c r="CQ395" s="24">
        <v>0.98639079621481252</v>
      </c>
      <c r="CR395" s="24" t="str">
        <f>"1"</f>
        <v>1</v>
      </c>
      <c r="CS395" t="str">
        <f ca="1">IF((OFFSET($A$1, 395 - 1, 95 - 1)) &gt;= (OFFSET($A$1, 54 - 1, 7 - 1)), "1","0")</f>
        <v>1</v>
      </c>
      <c r="CT395">
        <f ca="1" xml:space="preserve"> IF( AND( OFFSET($A$1, 395 - 1, 96 - 1) = "1", OFFSET($A$1, 395 - 1, 97 - 1) = "1" ), 1, IF( AND( OFFSET($A$1, 395 - 1, 96 - 1) = "1", OFFSET($A$1, 395 - 1, 97 - 1) = "0" ), 2, IF( AND( OFFSET($A$1, 395 - 1, 96 - 1) = "0", OFFSET($A$1, 395 - 1, 97 - 1) = "1" ), 3, 4 ) ) )</f>
        <v>1</v>
      </c>
      <c r="CV395" s="24">
        <v>2.3060837809466966E-2</v>
      </c>
      <c r="CW395" s="24" t="str">
        <f>"0"</f>
        <v>0</v>
      </c>
      <c r="CX395" t="str">
        <f ca="1">IF((OFFSET($A$1, 395 - 1, 100 - 1)) &gt;= (OFFSET($A$1, 78 - 1, 7 - 1)), "1","0")</f>
        <v>0</v>
      </c>
      <c r="CY395">
        <f ca="1" xml:space="preserve"> IF( AND( OFFSET($A$1, 395 - 1, 101 - 1) = "1", OFFSET($A$1, 395 - 1, 102 - 1) = "1" ), 1, IF( AND( OFFSET($A$1, 395 - 1, 101 - 1) = "1", OFFSET($A$1, 395 - 1, 102 - 1) = "0" ), 2, IF( AND( OFFSET($A$1, 395 - 1, 101 - 1) = "0", OFFSET($A$1, 395 - 1, 102 - 1) = "1" ), 3, 4 ) ) )</f>
        <v>4</v>
      </c>
    </row>
    <row r="396" spans="95:103" ht="13.8" x14ac:dyDescent="0.3">
      <c r="CQ396" s="24">
        <v>0.28674871705312438</v>
      </c>
      <c r="CR396" s="24" t="str">
        <f>"0"</f>
        <v>0</v>
      </c>
      <c r="CS396" t="str">
        <f ca="1">IF((OFFSET($A$1, 396 - 1, 95 - 1)) &gt;= (OFFSET($A$1, 54 - 1, 7 - 1)), "1","0")</f>
        <v>0</v>
      </c>
      <c r="CT396">
        <f ca="1" xml:space="preserve"> IF( AND( OFFSET($A$1, 396 - 1, 96 - 1) = "1", OFFSET($A$1, 396 - 1, 97 - 1) = "1" ), 1, IF( AND( OFFSET($A$1, 396 - 1, 96 - 1) = "1", OFFSET($A$1, 396 - 1, 97 - 1) = "0" ), 2, IF( AND( OFFSET($A$1, 396 - 1, 96 - 1) = "0", OFFSET($A$1, 396 - 1, 97 - 1) = "1" ), 3, 4 ) ) )</f>
        <v>4</v>
      </c>
      <c r="CV396" s="24">
        <v>0.99878970257324917</v>
      </c>
      <c r="CW396" s="24" t="str">
        <f>"1"</f>
        <v>1</v>
      </c>
      <c r="CX396" t="str">
        <f ca="1">IF((OFFSET($A$1, 396 - 1, 100 - 1)) &gt;= (OFFSET($A$1, 78 - 1, 7 - 1)), "1","0")</f>
        <v>1</v>
      </c>
      <c r="CY396">
        <f ca="1" xml:space="preserve"> IF( AND( OFFSET($A$1, 396 - 1, 101 - 1) = "1", OFFSET($A$1, 396 - 1, 102 - 1) = "1" ), 1, IF( AND( OFFSET($A$1, 396 - 1, 101 - 1) = "1", OFFSET($A$1, 396 - 1, 102 - 1) = "0" ), 2, IF( AND( OFFSET($A$1, 396 - 1, 101 - 1) = "0", OFFSET($A$1, 396 - 1, 102 - 1) = "1" ), 3, 4 ) ) )</f>
        <v>1</v>
      </c>
    </row>
    <row r="397" spans="95:103" ht="13.8" x14ac:dyDescent="0.3">
      <c r="CQ397" s="24">
        <v>0.9996130610861288</v>
      </c>
      <c r="CR397" s="24" t="str">
        <f>"1"</f>
        <v>1</v>
      </c>
      <c r="CS397" t="str">
        <f ca="1">IF((OFFSET($A$1, 397 - 1, 95 - 1)) &gt;= (OFFSET($A$1, 54 - 1, 7 - 1)), "1","0")</f>
        <v>1</v>
      </c>
      <c r="CT397">
        <f ca="1" xml:space="preserve"> IF( AND( OFFSET($A$1, 397 - 1, 96 - 1) = "1", OFFSET($A$1, 397 - 1, 97 - 1) = "1" ), 1, IF( AND( OFFSET($A$1, 397 - 1, 96 - 1) = "1", OFFSET($A$1, 397 - 1, 97 - 1) = "0" ), 2, IF( AND( OFFSET($A$1, 397 - 1, 96 - 1) = "0", OFFSET($A$1, 397 - 1, 97 - 1) = "1" ), 3, 4 ) ) )</f>
        <v>1</v>
      </c>
      <c r="CV397" s="24">
        <v>0.90192674498065617</v>
      </c>
      <c r="CW397" s="24" t="str">
        <f>"1"</f>
        <v>1</v>
      </c>
      <c r="CX397" t="str">
        <f ca="1">IF((OFFSET($A$1, 397 - 1, 100 - 1)) &gt;= (OFFSET($A$1, 78 - 1, 7 - 1)), "1","0")</f>
        <v>1</v>
      </c>
      <c r="CY397">
        <f ca="1" xml:space="preserve"> IF( AND( OFFSET($A$1, 397 - 1, 101 - 1) = "1", OFFSET($A$1, 397 - 1, 102 - 1) = "1" ), 1, IF( AND( OFFSET($A$1, 397 - 1, 101 - 1) = "1", OFFSET($A$1, 397 - 1, 102 - 1) = "0" ), 2, IF( AND( OFFSET($A$1, 397 - 1, 101 - 1) = "0", OFFSET($A$1, 397 - 1, 102 - 1) = "1" ), 3, 4 ) ) )</f>
        <v>1</v>
      </c>
    </row>
    <row r="398" spans="95:103" ht="13.8" x14ac:dyDescent="0.3">
      <c r="CQ398" s="24">
        <v>8.5614821919392341E-3</v>
      </c>
      <c r="CR398" s="24" t="str">
        <f>"0"</f>
        <v>0</v>
      </c>
      <c r="CS398" t="str">
        <f ca="1">IF((OFFSET($A$1, 398 - 1, 95 - 1)) &gt;= (OFFSET($A$1, 54 - 1, 7 - 1)), "1","0")</f>
        <v>0</v>
      </c>
      <c r="CT398">
        <f ca="1" xml:space="preserve"> IF( AND( OFFSET($A$1, 398 - 1, 96 - 1) = "1", OFFSET($A$1, 398 - 1, 97 - 1) = "1" ), 1, IF( AND( OFFSET($A$1, 398 - 1, 96 - 1) = "1", OFFSET($A$1, 398 - 1, 97 - 1) = "0" ), 2, IF( AND( OFFSET($A$1, 398 - 1, 96 - 1) = "0", OFFSET($A$1, 398 - 1, 97 - 1) = "1" ), 3, 4 ) ) )</f>
        <v>4</v>
      </c>
      <c r="CV398" s="24">
        <v>0.99999990722227838</v>
      </c>
      <c r="CW398" s="24" t="str">
        <f>"1"</f>
        <v>1</v>
      </c>
      <c r="CX398" t="str">
        <f ca="1">IF((OFFSET($A$1, 398 - 1, 100 - 1)) &gt;= (OFFSET($A$1, 78 - 1, 7 - 1)), "1","0")</f>
        <v>1</v>
      </c>
      <c r="CY398">
        <f ca="1" xml:space="preserve"> IF( AND( OFFSET($A$1, 398 - 1, 101 - 1) = "1", OFFSET($A$1, 398 - 1, 102 - 1) = "1" ), 1, IF( AND( OFFSET($A$1, 398 - 1, 101 - 1) = "1", OFFSET($A$1, 398 - 1, 102 - 1) = "0" ), 2, IF( AND( OFFSET($A$1, 398 - 1, 101 - 1) = "0", OFFSET($A$1, 398 - 1, 102 - 1) = "1" ), 3, 4 ) ) )</f>
        <v>1</v>
      </c>
    </row>
    <row r="399" spans="95:103" ht="13.8" x14ac:dyDescent="0.3">
      <c r="CQ399" s="24">
        <v>6.333351426427869E-2</v>
      </c>
      <c r="CR399" s="24" t="str">
        <f>"0"</f>
        <v>0</v>
      </c>
      <c r="CS399" t="str">
        <f ca="1">IF((OFFSET($A$1, 399 - 1, 95 - 1)) &gt;= (OFFSET($A$1, 54 - 1, 7 - 1)), "1","0")</f>
        <v>0</v>
      </c>
      <c r="CT399">
        <f ca="1" xml:space="preserve"> IF( AND( OFFSET($A$1, 399 - 1, 96 - 1) = "1", OFFSET($A$1, 399 - 1, 97 - 1) = "1" ), 1, IF( AND( OFFSET($A$1, 399 - 1, 96 - 1) = "1", OFFSET($A$1, 399 - 1, 97 - 1) = "0" ), 2, IF( AND( OFFSET($A$1, 399 - 1, 96 - 1) = "0", OFFSET($A$1, 399 - 1, 97 - 1) = "1" ), 3, 4 ) ) )</f>
        <v>4</v>
      </c>
      <c r="CV399" s="24">
        <v>0.9535705141002685</v>
      </c>
      <c r="CW399" s="24" t="str">
        <f>"0"</f>
        <v>0</v>
      </c>
      <c r="CX399" t="str">
        <f ca="1">IF((OFFSET($A$1, 399 - 1, 100 - 1)) &gt;= (OFFSET($A$1, 78 - 1, 7 - 1)), "1","0")</f>
        <v>1</v>
      </c>
      <c r="CY399">
        <f ca="1" xml:space="preserve"> IF( AND( OFFSET($A$1, 399 - 1, 101 - 1) = "1", OFFSET($A$1, 399 - 1, 102 - 1) = "1" ), 1, IF( AND( OFFSET($A$1, 399 - 1, 101 - 1) = "1", OFFSET($A$1, 399 - 1, 102 - 1) = "0" ), 2, IF( AND( OFFSET($A$1, 399 - 1, 101 - 1) = "0", OFFSET($A$1, 399 - 1, 102 - 1) = "1" ), 3, 4 ) ) )</f>
        <v>3</v>
      </c>
    </row>
    <row r="400" spans="95:103" ht="13.8" x14ac:dyDescent="0.3">
      <c r="CQ400" s="24">
        <v>1.7614230185090538E-2</v>
      </c>
      <c r="CR400" s="24" t="str">
        <f>"0"</f>
        <v>0</v>
      </c>
      <c r="CS400" t="str">
        <f ca="1">IF((OFFSET($A$1, 400 - 1, 95 - 1)) &gt;= (OFFSET($A$1, 54 - 1, 7 - 1)), "1","0")</f>
        <v>0</v>
      </c>
      <c r="CT400">
        <f ca="1" xml:space="preserve"> IF( AND( OFFSET($A$1, 400 - 1, 96 - 1) = "1", OFFSET($A$1, 400 - 1, 97 - 1) = "1" ), 1, IF( AND( OFFSET($A$1, 400 - 1, 96 - 1) = "1", OFFSET($A$1, 400 - 1, 97 - 1) = "0" ), 2, IF( AND( OFFSET($A$1, 400 - 1, 96 - 1) = "0", OFFSET($A$1, 400 - 1, 97 - 1) = "1" ), 3, 4 ) ) )</f>
        <v>4</v>
      </c>
      <c r="CV400" s="24">
        <v>0.89557346418604311</v>
      </c>
      <c r="CW400" s="24" t="str">
        <f>"1"</f>
        <v>1</v>
      </c>
      <c r="CX400" t="str">
        <f ca="1">IF((OFFSET($A$1, 400 - 1, 100 - 1)) &gt;= (OFFSET($A$1, 78 - 1, 7 - 1)), "1","0")</f>
        <v>1</v>
      </c>
      <c r="CY400">
        <f ca="1" xml:space="preserve"> IF( AND( OFFSET($A$1, 400 - 1, 101 - 1) = "1", OFFSET($A$1, 400 - 1, 102 - 1) = "1" ), 1, IF( AND( OFFSET($A$1, 400 - 1, 101 - 1) = "1", OFFSET($A$1, 400 - 1, 102 - 1) = "0" ), 2, IF( AND( OFFSET($A$1, 400 - 1, 101 - 1) = "0", OFFSET($A$1, 400 - 1, 102 - 1) = "1" ), 3, 4 ) ) )</f>
        <v>1</v>
      </c>
    </row>
    <row r="401" spans="95:98" ht="13.8" x14ac:dyDescent="0.3">
      <c r="CQ401" s="24">
        <v>0.88303249840592302</v>
      </c>
      <c r="CR401" s="24" t="str">
        <f>"1"</f>
        <v>1</v>
      </c>
      <c r="CS401" t="str">
        <f ca="1">IF((OFFSET($A$1, 401 - 1, 95 - 1)) &gt;= (OFFSET($A$1, 54 - 1, 7 - 1)), "1","0")</f>
        <v>1</v>
      </c>
      <c r="CT401">
        <f ca="1" xml:space="preserve"> IF( AND( OFFSET($A$1, 401 - 1, 96 - 1) = "1", OFFSET($A$1, 401 - 1, 97 - 1) = "1" ), 1, IF( AND( OFFSET($A$1, 401 - 1, 96 - 1) = "1", OFFSET($A$1, 401 - 1, 97 - 1) = "0" ), 2, IF( AND( OFFSET($A$1, 401 - 1, 96 - 1) = "0", OFFSET($A$1, 401 - 1, 97 - 1) = "1" ), 3, 4 ) ) )</f>
        <v>1</v>
      </c>
    </row>
    <row r="402" spans="95:98" ht="13.8" x14ac:dyDescent="0.3">
      <c r="CQ402" s="24">
        <v>0.99997008597565007</v>
      </c>
      <c r="CR402" s="24" t="str">
        <f>"1"</f>
        <v>1</v>
      </c>
      <c r="CS402" t="str">
        <f ca="1">IF((OFFSET($A$1, 402 - 1, 95 - 1)) &gt;= (OFFSET($A$1, 54 - 1, 7 - 1)), "1","0")</f>
        <v>1</v>
      </c>
      <c r="CT402">
        <f ca="1" xml:space="preserve"> IF( AND( OFFSET($A$1, 402 - 1, 96 - 1) = "1", OFFSET($A$1, 402 - 1, 97 - 1) = "1" ), 1, IF( AND( OFFSET($A$1, 402 - 1, 96 - 1) = "1", OFFSET($A$1, 402 - 1, 97 - 1) = "0" ), 2, IF( AND( OFFSET($A$1, 402 - 1, 96 - 1) = "0", OFFSET($A$1, 402 - 1, 97 - 1) = "1" ), 3, 4 ) ) )</f>
        <v>1</v>
      </c>
    </row>
    <row r="403" spans="95:98" ht="13.8" x14ac:dyDescent="0.3">
      <c r="CQ403" s="24">
        <v>0.99944052356203616</v>
      </c>
      <c r="CR403" s="24" t="str">
        <f>"1"</f>
        <v>1</v>
      </c>
      <c r="CS403" t="str">
        <f ca="1">IF((OFFSET($A$1, 403 - 1, 95 - 1)) &gt;= (OFFSET($A$1, 54 - 1, 7 - 1)), "1","0")</f>
        <v>1</v>
      </c>
      <c r="CT403">
        <f ca="1" xml:space="preserve"> IF( AND( OFFSET($A$1, 403 - 1, 96 - 1) = "1", OFFSET($A$1, 403 - 1, 97 - 1) = "1" ), 1, IF( AND( OFFSET($A$1, 403 - 1, 96 - 1) = "1", OFFSET($A$1, 403 - 1, 97 - 1) = "0" ), 2, IF( AND( OFFSET($A$1, 403 - 1, 96 - 1) = "0", OFFSET($A$1, 403 - 1, 97 - 1) = "1" ), 3, 4 ) ) )</f>
        <v>1</v>
      </c>
    </row>
    <row r="404" spans="95:98" ht="13.8" x14ac:dyDescent="0.3">
      <c r="CQ404" s="24">
        <v>1.0193045232664207E-2</v>
      </c>
      <c r="CR404" s="24" t="str">
        <f>"1"</f>
        <v>1</v>
      </c>
      <c r="CS404" t="str">
        <f ca="1">IF((OFFSET($A$1, 404 - 1, 95 - 1)) &gt;= (OFFSET($A$1, 54 - 1, 7 - 1)), "1","0")</f>
        <v>0</v>
      </c>
      <c r="CT404">
        <f ca="1" xml:space="preserve"> IF( AND( OFFSET($A$1, 404 - 1, 96 - 1) = "1", OFFSET($A$1, 404 - 1, 97 - 1) = "1" ), 1, IF( AND( OFFSET($A$1, 404 - 1, 96 - 1) = "1", OFFSET($A$1, 404 - 1, 97 - 1) = "0" ), 2, IF( AND( OFFSET($A$1, 404 - 1, 96 - 1) = "0", OFFSET($A$1, 404 - 1, 97 - 1) = "1" ), 3, 4 ) ) )</f>
        <v>2</v>
      </c>
    </row>
    <row r="405" spans="95:98" ht="13.8" x14ac:dyDescent="0.3">
      <c r="CQ405" s="24">
        <v>9.6140018395439494E-2</v>
      </c>
      <c r="CR405" s="24" t="str">
        <f>"0"</f>
        <v>0</v>
      </c>
      <c r="CS405" t="str">
        <f ca="1">IF((OFFSET($A$1, 405 - 1, 95 - 1)) &gt;= (OFFSET($A$1, 54 - 1, 7 - 1)), "1","0")</f>
        <v>0</v>
      </c>
      <c r="CT405">
        <f ca="1" xml:space="preserve"> IF( AND( OFFSET($A$1, 405 - 1, 96 - 1) = "1", OFFSET($A$1, 405 - 1, 97 - 1) = "1" ), 1, IF( AND( OFFSET($A$1, 405 - 1, 96 - 1) = "1", OFFSET($A$1, 405 - 1, 97 - 1) = "0" ), 2, IF( AND( OFFSET($A$1, 405 - 1, 96 - 1) = "0", OFFSET($A$1, 405 - 1, 97 - 1) = "1" ), 3, 4 ) ) )</f>
        <v>4</v>
      </c>
    </row>
    <row r="406" spans="95:98" ht="13.8" x14ac:dyDescent="0.3">
      <c r="CQ406" s="24">
        <v>0.99930864974572287</v>
      </c>
      <c r="CR406" s="24" t="str">
        <f>"1"</f>
        <v>1</v>
      </c>
      <c r="CS406" t="str">
        <f ca="1">IF((OFFSET($A$1, 406 - 1, 95 - 1)) &gt;= (OFFSET($A$1, 54 - 1, 7 - 1)), "1","0")</f>
        <v>1</v>
      </c>
      <c r="CT406">
        <f ca="1" xml:space="preserve"> IF( AND( OFFSET($A$1, 406 - 1, 96 - 1) = "1", OFFSET($A$1, 406 - 1, 97 - 1) = "1" ), 1, IF( AND( OFFSET($A$1, 406 - 1, 96 - 1) = "1", OFFSET($A$1, 406 - 1, 97 - 1) = "0" ), 2, IF( AND( OFFSET($A$1, 406 - 1, 96 - 1) = "0", OFFSET($A$1, 406 - 1, 97 - 1) = "1" ), 3, 4 ) ) )</f>
        <v>1</v>
      </c>
    </row>
    <row r="407" spans="95:98" ht="13.8" x14ac:dyDescent="0.3">
      <c r="CQ407" s="24">
        <v>8.9571560283367407E-2</v>
      </c>
      <c r="CR407" s="24" t="str">
        <f>"0"</f>
        <v>0</v>
      </c>
      <c r="CS407" t="str">
        <f ca="1">IF((OFFSET($A$1, 407 - 1, 95 - 1)) &gt;= (OFFSET($A$1, 54 - 1, 7 - 1)), "1","0")</f>
        <v>0</v>
      </c>
      <c r="CT407">
        <f ca="1" xml:space="preserve"> IF( AND( OFFSET($A$1, 407 - 1, 96 - 1) = "1", OFFSET($A$1, 407 - 1, 97 - 1) = "1" ), 1, IF( AND( OFFSET($A$1, 407 - 1, 96 - 1) = "1", OFFSET($A$1, 407 - 1, 97 - 1) = "0" ), 2, IF( AND( OFFSET($A$1, 407 - 1, 96 - 1) = "0", OFFSET($A$1, 407 - 1, 97 - 1) = "1" ), 3, 4 ) ) )</f>
        <v>4</v>
      </c>
    </row>
    <row r="408" spans="95:98" ht="13.8" x14ac:dyDescent="0.3">
      <c r="CQ408" s="24">
        <v>3.5416179569433166E-2</v>
      </c>
      <c r="CR408" s="24" t="str">
        <f>"0"</f>
        <v>0</v>
      </c>
      <c r="CS408" t="str">
        <f ca="1">IF((OFFSET($A$1, 408 - 1, 95 - 1)) &gt;= (OFFSET($A$1, 54 - 1, 7 - 1)), "1","0")</f>
        <v>0</v>
      </c>
      <c r="CT408">
        <f ca="1" xml:space="preserve"> IF( AND( OFFSET($A$1, 408 - 1, 96 - 1) = "1", OFFSET($A$1, 408 - 1, 97 - 1) = "1" ), 1, IF( AND( OFFSET($A$1, 408 - 1, 96 - 1) = "1", OFFSET($A$1, 408 - 1, 97 - 1) = "0" ), 2, IF( AND( OFFSET($A$1, 408 - 1, 96 - 1) = "0", OFFSET($A$1, 408 - 1, 97 - 1) = "1" ), 3, 4 ) ) )</f>
        <v>4</v>
      </c>
    </row>
    <row r="409" spans="95:98" ht="13.8" x14ac:dyDescent="0.3">
      <c r="CQ409" s="24">
        <v>0.99983841009798635</v>
      </c>
      <c r="CR409" s="24" t="str">
        <f>"1"</f>
        <v>1</v>
      </c>
      <c r="CS409" t="str">
        <f ca="1">IF((OFFSET($A$1, 409 - 1, 95 - 1)) &gt;= (OFFSET($A$1, 54 - 1, 7 - 1)), "1","0")</f>
        <v>1</v>
      </c>
      <c r="CT409">
        <f ca="1" xml:space="preserve"> IF( AND( OFFSET($A$1, 409 - 1, 96 - 1) = "1", OFFSET($A$1, 409 - 1, 97 - 1) = "1" ), 1, IF( AND( OFFSET($A$1, 409 - 1, 96 - 1) = "1", OFFSET($A$1, 409 - 1, 97 - 1) = "0" ), 2, IF( AND( OFFSET($A$1, 409 - 1, 96 - 1) = "0", OFFSET($A$1, 409 - 1, 97 - 1) = "1" ), 3, 4 ) ) )</f>
        <v>1</v>
      </c>
    </row>
    <row r="410" spans="95:98" ht="13.8" x14ac:dyDescent="0.3">
      <c r="CQ410" s="24">
        <v>0.25644393841010793</v>
      </c>
      <c r="CR410" s="24" t="str">
        <f>"0"</f>
        <v>0</v>
      </c>
      <c r="CS410" t="str">
        <f ca="1">IF((OFFSET($A$1, 410 - 1, 95 - 1)) &gt;= (OFFSET($A$1, 54 - 1, 7 - 1)), "1","0")</f>
        <v>0</v>
      </c>
      <c r="CT410">
        <f ca="1" xml:space="preserve"> IF( AND( OFFSET($A$1, 410 - 1, 96 - 1) = "1", OFFSET($A$1, 410 - 1, 97 - 1) = "1" ), 1, IF( AND( OFFSET($A$1, 410 - 1, 96 - 1) = "1", OFFSET($A$1, 410 - 1, 97 - 1) = "0" ), 2, IF( AND( OFFSET($A$1, 410 - 1, 96 - 1) = "0", OFFSET($A$1, 410 - 1, 97 - 1) = "1" ), 3, 4 ) ) )</f>
        <v>4</v>
      </c>
    </row>
    <row r="411" spans="95:98" ht="13.8" x14ac:dyDescent="0.3">
      <c r="CQ411" s="24">
        <v>0.99976474974454344</v>
      </c>
      <c r="CR411" s="24" t="str">
        <f>"1"</f>
        <v>1</v>
      </c>
      <c r="CS411" t="str">
        <f ca="1">IF((OFFSET($A$1, 411 - 1, 95 - 1)) &gt;= (OFFSET($A$1, 54 - 1, 7 - 1)), "1","0")</f>
        <v>1</v>
      </c>
      <c r="CT411">
        <f ca="1" xml:space="preserve"> IF( AND( OFFSET($A$1, 411 - 1, 96 - 1) = "1", OFFSET($A$1, 411 - 1, 97 - 1) = "1" ), 1, IF( AND( OFFSET($A$1, 411 - 1, 96 - 1) = "1", OFFSET($A$1, 411 - 1, 97 - 1) = "0" ), 2, IF( AND( OFFSET($A$1, 411 - 1, 96 - 1) = "0", OFFSET($A$1, 411 - 1, 97 - 1) = "1" ), 3, 4 ) ) )</f>
        <v>1</v>
      </c>
    </row>
    <row r="412" spans="95:98" ht="13.8" x14ac:dyDescent="0.3">
      <c r="CQ412" s="24">
        <v>0.97421652472977338</v>
      </c>
      <c r="CR412" s="24" t="str">
        <f>"1"</f>
        <v>1</v>
      </c>
      <c r="CS412" t="str">
        <f ca="1">IF((OFFSET($A$1, 412 - 1, 95 - 1)) &gt;= (OFFSET($A$1, 54 - 1, 7 - 1)), "1","0")</f>
        <v>1</v>
      </c>
      <c r="CT412">
        <f ca="1" xml:space="preserve"> IF( AND( OFFSET($A$1, 412 - 1, 96 - 1) = "1", OFFSET($A$1, 412 - 1, 97 - 1) = "1" ), 1, IF( AND( OFFSET($A$1, 412 - 1, 96 - 1) = "1", OFFSET($A$1, 412 - 1, 97 - 1) = "0" ), 2, IF( AND( OFFSET($A$1, 412 - 1, 96 - 1) = "0", OFFSET($A$1, 412 - 1, 97 - 1) = "1" ), 3, 4 ) ) )</f>
        <v>1</v>
      </c>
    </row>
    <row r="413" spans="95:98" ht="13.8" x14ac:dyDescent="0.3">
      <c r="CQ413" s="24">
        <v>0.12178304983755106</v>
      </c>
      <c r="CR413" s="24" t="str">
        <f>"0"</f>
        <v>0</v>
      </c>
      <c r="CS413" t="str">
        <f ca="1">IF((OFFSET($A$1, 413 - 1, 95 - 1)) &gt;= (OFFSET($A$1, 54 - 1, 7 - 1)), "1","0")</f>
        <v>0</v>
      </c>
      <c r="CT413">
        <f ca="1" xml:space="preserve"> IF( AND( OFFSET($A$1, 413 - 1, 96 - 1) = "1", OFFSET($A$1, 413 - 1, 97 - 1) = "1" ), 1, IF( AND( OFFSET($A$1, 413 - 1, 96 - 1) = "1", OFFSET($A$1, 413 - 1, 97 - 1) = "0" ), 2, IF( AND( OFFSET($A$1, 413 - 1, 96 - 1) = "0", OFFSET($A$1, 413 - 1, 97 - 1) = "1" ), 3, 4 ) ) )</f>
        <v>4</v>
      </c>
    </row>
    <row r="414" spans="95:98" ht="13.8" x14ac:dyDescent="0.3">
      <c r="CQ414" s="24">
        <v>0.94342591771382944</v>
      </c>
      <c r="CR414" s="24" t="str">
        <f>"1"</f>
        <v>1</v>
      </c>
      <c r="CS414" t="str">
        <f ca="1">IF((OFFSET($A$1, 414 - 1, 95 - 1)) &gt;= (OFFSET($A$1, 54 - 1, 7 - 1)), "1","0")</f>
        <v>1</v>
      </c>
      <c r="CT414">
        <f ca="1" xml:space="preserve"> IF( AND( OFFSET($A$1, 414 - 1, 96 - 1) = "1", OFFSET($A$1, 414 - 1, 97 - 1) = "1" ), 1, IF( AND( OFFSET($A$1, 414 - 1, 96 - 1) = "1", OFFSET($A$1, 414 - 1, 97 - 1) = "0" ), 2, IF( AND( OFFSET($A$1, 414 - 1, 96 - 1) = "0", OFFSET($A$1, 414 - 1, 97 - 1) = "1" ), 3, 4 ) ) )</f>
        <v>1</v>
      </c>
    </row>
    <row r="415" spans="95:98" ht="13.8" x14ac:dyDescent="0.3">
      <c r="CQ415" s="24">
        <v>0.16450012044658907</v>
      </c>
      <c r="CR415" s="24" t="str">
        <f>"0"</f>
        <v>0</v>
      </c>
      <c r="CS415" t="str">
        <f ca="1">IF((OFFSET($A$1, 415 - 1, 95 - 1)) &gt;= (OFFSET($A$1, 54 - 1, 7 - 1)), "1","0")</f>
        <v>0</v>
      </c>
      <c r="CT415">
        <f ca="1" xml:space="preserve"> IF( AND( OFFSET($A$1, 415 - 1, 96 - 1) = "1", OFFSET($A$1, 415 - 1, 97 - 1) = "1" ), 1, IF( AND( OFFSET($A$1, 415 - 1, 96 - 1) = "1", OFFSET($A$1, 415 - 1, 97 - 1) = "0" ), 2, IF( AND( OFFSET($A$1, 415 - 1, 96 - 1) = "0", OFFSET($A$1, 415 - 1, 97 - 1) = "1" ), 3, 4 ) ) )</f>
        <v>4</v>
      </c>
    </row>
    <row r="416" spans="95:98" ht="13.8" x14ac:dyDescent="0.3">
      <c r="CQ416" s="24">
        <v>0.99397751247522081</v>
      </c>
      <c r="CR416" s="24" t="str">
        <f>"1"</f>
        <v>1</v>
      </c>
      <c r="CS416" t="str">
        <f ca="1">IF((OFFSET($A$1, 416 - 1, 95 - 1)) &gt;= (OFFSET($A$1, 54 - 1, 7 - 1)), "1","0")</f>
        <v>1</v>
      </c>
      <c r="CT416">
        <f ca="1" xml:space="preserve"> IF( AND( OFFSET($A$1, 416 - 1, 96 - 1) = "1", OFFSET($A$1, 416 - 1, 97 - 1) = "1" ), 1, IF( AND( OFFSET($A$1, 416 - 1, 96 - 1) = "1", OFFSET($A$1, 416 - 1, 97 - 1) = "0" ), 2, IF( AND( OFFSET($A$1, 416 - 1, 96 - 1) = "0", OFFSET($A$1, 416 - 1, 97 - 1) = "1" ), 3, 4 ) ) )</f>
        <v>1</v>
      </c>
    </row>
    <row r="417" spans="95:98" ht="13.8" x14ac:dyDescent="0.3">
      <c r="CQ417" s="24">
        <v>0.99872483965896908</v>
      </c>
      <c r="CR417" s="24" t="str">
        <f>"1"</f>
        <v>1</v>
      </c>
      <c r="CS417" t="str">
        <f ca="1">IF((OFFSET($A$1, 417 - 1, 95 - 1)) &gt;= (OFFSET($A$1, 54 - 1, 7 - 1)), "1","0")</f>
        <v>1</v>
      </c>
      <c r="CT417">
        <f ca="1" xml:space="preserve"> IF( AND( OFFSET($A$1, 417 - 1, 96 - 1) = "1", OFFSET($A$1, 417 - 1, 97 - 1) = "1" ), 1, IF( AND( OFFSET($A$1, 417 - 1, 96 - 1) = "1", OFFSET($A$1, 417 - 1, 97 - 1) = "0" ), 2, IF( AND( OFFSET($A$1, 417 - 1, 96 - 1) = "0", OFFSET($A$1, 417 - 1, 97 - 1) = "1" ), 3, 4 ) ) )</f>
        <v>1</v>
      </c>
    </row>
    <row r="418" spans="95:98" ht="13.8" x14ac:dyDescent="0.3">
      <c r="CQ418" s="24">
        <v>0.93796289887989726</v>
      </c>
      <c r="CR418" s="24" t="str">
        <f>"1"</f>
        <v>1</v>
      </c>
      <c r="CS418" t="str">
        <f ca="1">IF((OFFSET($A$1, 418 - 1, 95 - 1)) &gt;= (OFFSET($A$1, 54 - 1, 7 - 1)), "1","0")</f>
        <v>1</v>
      </c>
      <c r="CT418">
        <f ca="1" xml:space="preserve"> IF( AND( OFFSET($A$1, 418 - 1, 96 - 1) = "1", OFFSET($A$1, 418 - 1, 97 - 1) = "1" ), 1, IF( AND( OFFSET($A$1, 418 - 1, 96 - 1) = "1", OFFSET($A$1, 418 - 1, 97 - 1) = "0" ), 2, IF( AND( OFFSET($A$1, 418 - 1, 96 - 1) = "0", OFFSET($A$1, 418 - 1, 97 - 1) = "1" ), 3, 4 ) ) )</f>
        <v>1</v>
      </c>
    </row>
    <row r="419" spans="95:98" ht="13.8" x14ac:dyDescent="0.3">
      <c r="CQ419" s="24">
        <v>0.99223106788551496</v>
      </c>
      <c r="CR419" s="24" t="str">
        <f>"1"</f>
        <v>1</v>
      </c>
      <c r="CS419" t="str">
        <f ca="1">IF((OFFSET($A$1, 419 - 1, 95 - 1)) &gt;= (OFFSET($A$1, 54 - 1, 7 - 1)), "1","0")</f>
        <v>1</v>
      </c>
      <c r="CT419">
        <f ca="1" xml:space="preserve"> IF( AND( OFFSET($A$1, 419 - 1, 96 - 1) = "1", OFFSET($A$1, 419 - 1, 97 - 1) = "1" ), 1, IF( AND( OFFSET($A$1, 419 - 1, 96 - 1) = "1", OFFSET($A$1, 419 - 1, 97 - 1) = "0" ), 2, IF( AND( OFFSET($A$1, 419 - 1, 96 - 1) = "0", OFFSET($A$1, 419 - 1, 97 - 1) = "1" ), 3, 4 ) ) )</f>
        <v>1</v>
      </c>
    </row>
    <row r="420" spans="95:98" ht="13.8" x14ac:dyDescent="0.3">
      <c r="CQ420" s="24">
        <v>2.6368864656451722E-2</v>
      </c>
      <c r="CR420" s="24" t="str">
        <f>"0"</f>
        <v>0</v>
      </c>
      <c r="CS420" t="str">
        <f ca="1">IF((OFFSET($A$1, 420 - 1, 95 - 1)) &gt;= (OFFSET($A$1, 54 - 1, 7 - 1)), "1","0")</f>
        <v>0</v>
      </c>
      <c r="CT420">
        <f ca="1" xml:space="preserve"> IF( AND( OFFSET($A$1, 420 - 1, 96 - 1) = "1", OFFSET($A$1, 420 - 1, 97 - 1) = "1" ), 1, IF( AND( OFFSET($A$1, 420 - 1, 96 - 1) = "1", OFFSET($A$1, 420 - 1, 97 - 1) = "0" ), 2, IF( AND( OFFSET($A$1, 420 - 1, 96 - 1) = "0", OFFSET($A$1, 420 - 1, 97 - 1) = "1" ), 3, 4 ) ) )</f>
        <v>4</v>
      </c>
    </row>
    <row r="421" spans="95:98" ht="13.8" x14ac:dyDescent="0.3">
      <c r="CQ421" s="24">
        <v>2.8416519991380585E-3</v>
      </c>
      <c r="CR421" s="24" t="str">
        <f>"0"</f>
        <v>0</v>
      </c>
      <c r="CS421" t="str">
        <f ca="1">IF((OFFSET($A$1, 421 - 1, 95 - 1)) &gt;= (OFFSET($A$1, 54 - 1, 7 - 1)), "1","0")</f>
        <v>0</v>
      </c>
      <c r="CT421">
        <f ca="1" xml:space="preserve"> IF( AND( OFFSET($A$1, 421 - 1, 96 - 1) = "1", OFFSET($A$1, 421 - 1, 97 - 1) = "1" ), 1, IF( AND( OFFSET($A$1, 421 - 1, 96 - 1) = "1", OFFSET($A$1, 421 - 1, 97 - 1) = "0" ), 2, IF( AND( OFFSET($A$1, 421 - 1, 96 - 1) = "0", OFFSET($A$1, 421 - 1, 97 - 1) = "1" ), 3, 4 ) ) )</f>
        <v>4</v>
      </c>
    </row>
    <row r="422" spans="95:98" ht="13.8" x14ac:dyDescent="0.3">
      <c r="CQ422" s="24">
        <v>0.97909498506998727</v>
      </c>
      <c r="CR422" s="24" t="str">
        <f>"1"</f>
        <v>1</v>
      </c>
      <c r="CS422" t="str">
        <f ca="1">IF((OFFSET($A$1, 422 - 1, 95 - 1)) &gt;= (OFFSET($A$1, 54 - 1, 7 - 1)), "1","0")</f>
        <v>1</v>
      </c>
      <c r="CT422">
        <f ca="1" xml:space="preserve"> IF( AND( OFFSET($A$1, 422 - 1, 96 - 1) = "1", OFFSET($A$1, 422 - 1, 97 - 1) = "1" ), 1, IF( AND( OFFSET($A$1, 422 - 1, 96 - 1) = "1", OFFSET($A$1, 422 - 1, 97 - 1) = "0" ), 2, IF( AND( OFFSET($A$1, 422 - 1, 96 - 1) = "0", OFFSET($A$1, 422 - 1, 97 - 1) = "1" ), 3, 4 ) ) )</f>
        <v>1</v>
      </c>
    </row>
    <row r="423" spans="95:98" ht="13.8" x14ac:dyDescent="0.3">
      <c r="CQ423" s="24">
        <v>0.99999906371866176</v>
      </c>
      <c r="CR423" s="24" t="str">
        <f>"1"</f>
        <v>1</v>
      </c>
      <c r="CS423" t="str">
        <f ca="1">IF((OFFSET($A$1, 423 - 1, 95 - 1)) &gt;= (OFFSET($A$1, 54 - 1, 7 - 1)), "1","0")</f>
        <v>1</v>
      </c>
      <c r="CT423">
        <f ca="1" xml:space="preserve"> IF( AND( OFFSET($A$1, 423 - 1, 96 - 1) = "1", OFFSET($A$1, 423 - 1, 97 - 1) = "1" ), 1, IF( AND( OFFSET($A$1, 423 - 1, 96 - 1) = "1", OFFSET($A$1, 423 - 1, 97 - 1) = "0" ), 2, IF( AND( OFFSET($A$1, 423 - 1, 96 - 1) = "0", OFFSET($A$1, 423 - 1, 97 - 1) = "1" ), 3, 4 ) ) )</f>
        <v>1</v>
      </c>
    </row>
    <row r="424" spans="95:98" ht="13.8" x14ac:dyDescent="0.3">
      <c r="CQ424" s="24">
        <v>3.2660737481504575E-2</v>
      </c>
      <c r="CR424" s="24" t="str">
        <f>"0"</f>
        <v>0</v>
      </c>
      <c r="CS424" t="str">
        <f ca="1">IF((OFFSET($A$1, 424 - 1, 95 - 1)) &gt;= (OFFSET($A$1, 54 - 1, 7 - 1)), "1","0")</f>
        <v>0</v>
      </c>
      <c r="CT424">
        <f ca="1" xml:space="preserve"> IF( AND( OFFSET($A$1, 424 - 1, 96 - 1) = "1", OFFSET($A$1, 424 - 1, 97 - 1) = "1" ), 1, IF( AND( OFFSET($A$1, 424 - 1, 96 - 1) = "1", OFFSET($A$1, 424 - 1, 97 - 1) = "0" ), 2, IF( AND( OFFSET($A$1, 424 - 1, 96 - 1) = "0", OFFSET($A$1, 424 - 1, 97 - 1) = "1" ), 3, 4 ) ) )</f>
        <v>4</v>
      </c>
    </row>
    <row r="425" spans="95:98" ht="13.8" x14ac:dyDescent="0.3">
      <c r="CQ425" s="24">
        <v>0.9999928036408795</v>
      </c>
      <c r="CR425" s="24" t="str">
        <f>"1"</f>
        <v>1</v>
      </c>
      <c r="CS425" t="str">
        <f ca="1">IF((OFFSET($A$1, 425 - 1, 95 - 1)) &gt;= (OFFSET($A$1, 54 - 1, 7 - 1)), "1","0")</f>
        <v>1</v>
      </c>
      <c r="CT425">
        <f ca="1" xml:space="preserve"> IF( AND( OFFSET($A$1, 425 - 1, 96 - 1) = "1", OFFSET($A$1, 425 - 1, 97 - 1) = "1" ), 1, IF( AND( OFFSET($A$1, 425 - 1, 96 - 1) = "1", OFFSET($A$1, 425 - 1, 97 - 1) = "0" ), 2, IF( AND( OFFSET($A$1, 425 - 1, 96 - 1) = "0", OFFSET($A$1, 425 - 1, 97 - 1) = "1" ), 3, 4 ) ) )</f>
        <v>1</v>
      </c>
    </row>
    <row r="426" spans="95:98" ht="13.8" x14ac:dyDescent="0.3">
      <c r="CQ426" s="24">
        <v>0.99993796295494297</v>
      </c>
      <c r="CR426" s="24" t="str">
        <f>"1"</f>
        <v>1</v>
      </c>
      <c r="CS426" t="str">
        <f ca="1">IF((OFFSET($A$1, 426 - 1, 95 - 1)) &gt;= (OFFSET($A$1, 54 - 1, 7 - 1)), "1","0")</f>
        <v>1</v>
      </c>
      <c r="CT426">
        <f ca="1" xml:space="preserve"> IF( AND( OFFSET($A$1, 426 - 1, 96 - 1) = "1", OFFSET($A$1, 426 - 1, 97 - 1) = "1" ), 1, IF( AND( OFFSET($A$1, 426 - 1, 96 - 1) = "1", OFFSET($A$1, 426 - 1, 97 - 1) = "0" ), 2, IF( AND( OFFSET($A$1, 426 - 1, 96 - 1) = "0", OFFSET($A$1, 426 - 1, 97 - 1) = "1" ), 3, 4 ) ) )</f>
        <v>1</v>
      </c>
    </row>
    <row r="427" spans="95:98" ht="13.8" x14ac:dyDescent="0.3">
      <c r="CQ427" s="24">
        <v>0.10847418902695714</v>
      </c>
      <c r="CR427" s="24" t="str">
        <f>"0"</f>
        <v>0</v>
      </c>
      <c r="CS427" t="str">
        <f ca="1">IF((OFFSET($A$1, 427 - 1, 95 - 1)) &gt;= (OFFSET($A$1, 54 - 1, 7 - 1)), "1","0")</f>
        <v>0</v>
      </c>
      <c r="CT427">
        <f ca="1" xml:space="preserve"> IF( AND( OFFSET($A$1, 427 - 1, 96 - 1) = "1", OFFSET($A$1, 427 - 1, 97 - 1) = "1" ), 1, IF( AND( OFFSET($A$1, 427 - 1, 96 - 1) = "1", OFFSET($A$1, 427 - 1, 97 - 1) = "0" ), 2, IF( AND( OFFSET($A$1, 427 - 1, 96 - 1) = "0", OFFSET($A$1, 427 - 1, 97 - 1) = "1" ), 3, 4 ) ) )</f>
        <v>4</v>
      </c>
    </row>
    <row r="428" spans="95:98" ht="13.8" x14ac:dyDescent="0.3">
      <c r="CQ428" s="24">
        <v>0.96107963134656049</v>
      </c>
      <c r="CR428" s="24" t="str">
        <f t="shared" ref="CR428:CR444" si="33">"1"</f>
        <v>1</v>
      </c>
      <c r="CS428" t="str">
        <f ca="1">IF((OFFSET($A$1, 428 - 1, 95 - 1)) &gt;= (OFFSET($A$1, 54 - 1, 7 - 1)), "1","0")</f>
        <v>1</v>
      </c>
      <c r="CT428">
        <f ca="1" xml:space="preserve"> IF( AND( OFFSET($A$1, 428 - 1, 96 - 1) = "1", OFFSET($A$1, 428 - 1, 97 - 1) = "1" ), 1, IF( AND( OFFSET($A$1, 428 - 1, 96 - 1) = "1", OFFSET($A$1, 428 - 1, 97 - 1) = "0" ), 2, IF( AND( OFFSET($A$1, 428 - 1, 96 - 1) = "0", OFFSET($A$1, 428 - 1, 97 - 1) = "1" ), 3, 4 ) ) )</f>
        <v>1</v>
      </c>
    </row>
    <row r="429" spans="95:98" ht="13.8" x14ac:dyDescent="0.3">
      <c r="CQ429" s="24">
        <v>0.97845992813846538</v>
      </c>
      <c r="CR429" s="24" t="str">
        <f t="shared" si="33"/>
        <v>1</v>
      </c>
      <c r="CS429" t="str">
        <f ca="1">IF((OFFSET($A$1, 429 - 1, 95 - 1)) &gt;= (OFFSET($A$1, 54 - 1, 7 - 1)), "1","0")</f>
        <v>1</v>
      </c>
      <c r="CT429">
        <f ca="1" xml:space="preserve"> IF( AND( OFFSET($A$1, 429 - 1, 96 - 1) = "1", OFFSET($A$1, 429 - 1, 97 - 1) = "1" ), 1, IF( AND( OFFSET($A$1, 429 - 1, 96 - 1) = "1", OFFSET($A$1, 429 - 1, 97 - 1) = "0" ), 2, IF( AND( OFFSET($A$1, 429 - 1, 96 - 1) = "0", OFFSET($A$1, 429 - 1, 97 - 1) = "1" ), 3, 4 ) ) )</f>
        <v>1</v>
      </c>
    </row>
    <row r="430" spans="95:98" ht="13.8" x14ac:dyDescent="0.3">
      <c r="CQ430" s="24">
        <v>0.99955125424101088</v>
      </c>
      <c r="CR430" s="24" t="str">
        <f t="shared" si="33"/>
        <v>1</v>
      </c>
      <c r="CS430" t="str">
        <f ca="1">IF((OFFSET($A$1, 430 - 1, 95 - 1)) &gt;= (OFFSET($A$1, 54 - 1, 7 - 1)), "1","0")</f>
        <v>1</v>
      </c>
      <c r="CT430">
        <f ca="1" xml:space="preserve"> IF( AND( OFFSET($A$1, 430 - 1, 96 - 1) = "1", OFFSET($A$1, 430 - 1, 97 - 1) = "1" ), 1, IF( AND( OFFSET($A$1, 430 - 1, 96 - 1) = "1", OFFSET($A$1, 430 - 1, 97 - 1) = "0" ), 2, IF( AND( OFFSET($A$1, 430 - 1, 96 - 1) = "0", OFFSET($A$1, 430 - 1, 97 - 1) = "1" ), 3, 4 ) ) )</f>
        <v>1</v>
      </c>
    </row>
    <row r="431" spans="95:98" ht="13.8" x14ac:dyDescent="0.3">
      <c r="CQ431" s="24">
        <v>0.92737011571963257</v>
      </c>
      <c r="CR431" s="24" t="str">
        <f t="shared" si="33"/>
        <v>1</v>
      </c>
      <c r="CS431" t="str">
        <f ca="1">IF((OFFSET($A$1, 431 - 1, 95 - 1)) &gt;= (OFFSET($A$1, 54 - 1, 7 - 1)), "1","0")</f>
        <v>1</v>
      </c>
      <c r="CT431">
        <f ca="1" xml:space="preserve"> IF( AND( OFFSET($A$1, 431 - 1, 96 - 1) = "1", OFFSET($A$1, 431 - 1, 97 - 1) = "1" ), 1, IF( AND( OFFSET($A$1, 431 - 1, 96 - 1) = "1", OFFSET($A$1, 431 - 1, 97 - 1) = "0" ), 2, IF( AND( OFFSET($A$1, 431 - 1, 96 - 1) = "0", OFFSET($A$1, 431 - 1, 97 - 1) = "1" ), 3, 4 ) ) )</f>
        <v>1</v>
      </c>
    </row>
    <row r="432" spans="95:98" ht="13.8" x14ac:dyDescent="0.3">
      <c r="CQ432" s="24">
        <v>0.94902794921193756</v>
      </c>
      <c r="CR432" s="24" t="str">
        <f t="shared" si="33"/>
        <v>1</v>
      </c>
      <c r="CS432" t="str">
        <f ca="1">IF((OFFSET($A$1, 432 - 1, 95 - 1)) &gt;= (OFFSET($A$1, 54 - 1, 7 - 1)), "1","0")</f>
        <v>1</v>
      </c>
      <c r="CT432">
        <f ca="1" xml:space="preserve"> IF( AND( OFFSET($A$1, 432 - 1, 96 - 1) = "1", OFFSET($A$1, 432 - 1, 97 - 1) = "1" ), 1, IF( AND( OFFSET($A$1, 432 - 1, 96 - 1) = "1", OFFSET($A$1, 432 - 1, 97 - 1) = "0" ), 2, IF( AND( OFFSET($A$1, 432 - 1, 96 - 1) = "0", OFFSET($A$1, 432 - 1, 97 - 1) = "1" ), 3, 4 ) ) )</f>
        <v>1</v>
      </c>
    </row>
    <row r="433" spans="95:98" ht="13.8" x14ac:dyDescent="0.3">
      <c r="CQ433" s="24">
        <v>0.99990839381587904</v>
      </c>
      <c r="CR433" s="24" t="str">
        <f t="shared" si="33"/>
        <v>1</v>
      </c>
      <c r="CS433" t="str">
        <f ca="1">IF((OFFSET($A$1, 433 - 1, 95 - 1)) &gt;= (OFFSET($A$1, 54 - 1, 7 - 1)), "1","0")</f>
        <v>1</v>
      </c>
      <c r="CT433">
        <f ca="1" xml:space="preserve"> IF( AND( OFFSET($A$1, 433 - 1, 96 - 1) = "1", OFFSET($A$1, 433 - 1, 97 - 1) = "1" ), 1, IF( AND( OFFSET($A$1, 433 - 1, 96 - 1) = "1", OFFSET($A$1, 433 - 1, 97 - 1) = "0" ), 2, IF( AND( OFFSET($A$1, 433 - 1, 96 - 1) = "0", OFFSET($A$1, 433 - 1, 97 - 1) = "1" ), 3, 4 ) ) )</f>
        <v>1</v>
      </c>
    </row>
    <row r="434" spans="95:98" ht="13.8" x14ac:dyDescent="0.3">
      <c r="CQ434" s="24">
        <v>0.99849994750330873</v>
      </c>
      <c r="CR434" s="24" t="str">
        <f t="shared" si="33"/>
        <v>1</v>
      </c>
      <c r="CS434" t="str">
        <f ca="1">IF((OFFSET($A$1, 434 - 1, 95 - 1)) &gt;= (OFFSET($A$1, 54 - 1, 7 - 1)), "1","0")</f>
        <v>1</v>
      </c>
      <c r="CT434">
        <f ca="1" xml:space="preserve"> IF( AND( OFFSET($A$1, 434 - 1, 96 - 1) = "1", OFFSET($A$1, 434 - 1, 97 - 1) = "1" ), 1, IF( AND( OFFSET($A$1, 434 - 1, 96 - 1) = "1", OFFSET($A$1, 434 - 1, 97 - 1) = "0" ), 2, IF( AND( OFFSET($A$1, 434 - 1, 96 - 1) = "0", OFFSET($A$1, 434 - 1, 97 - 1) = "1" ), 3, 4 ) ) )</f>
        <v>1</v>
      </c>
    </row>
    <row r="435" spans="95:98" ht="13.8" x14ac:dyDescent="0.3">
      <c r="CQ435" s="24">
        <v>0.99359157890536565</v>
      </c>
      <c r="CR435" s="24" t="str">
        <f t="shared" si="33"/>
        <v>1</v>
      </c>
      <c r="CS435" t="str">
        <f ca="1">IF((OFFSET($A$1, 435 - 1, 95 - 1)) &gt;= (OFFSET($A$1, 54 - 1, 7 - 1)), "1","0")</f>
        <v>1</v>
      </c>
      <c r="CT435">
        <f ca="1" xml:space="preserve"> IF( AND( OFFSET($A$1, 435 - 1, 96 - 1) = "1", OFFSET($A$1, 435 - 1, 97 - 1) = "1" ), 1, IF( AND( OFFSET($A$1, 435 - 1, 96 - 1) = "1", OFFSET($A$1, 435 - 1, 97 - 1) = "0" ), 2, IF( AND( OFFSET($A$1, 435 - 1, 96 - 1) = "0", OFFSET($A$1, 435 - 1, 97 - 1) = "1" ), 3, 4 ) ) )</f>
        <v>1</v>
      </c>
    </row>
    <row r="436" spans="95:98" ht="13.8" x14ac:dyDescent="0.3">
      <c r="CQ436" s="24">
        <v>0.99122059494380499</v>
      </c>
      <c r="CR436" s="24" t="str">
        <f t="shared" si="33"/>
        <v>1</v>
      </c>
      <c r="CS436" t="str">
        <f ca="1">IF((OFFSET($A$1, 436 - 1, 95 - 1)) &gt;= (OFFSET($A$1, 54 - 1, 7 - 1)), "1","0")</f>
        <v>1</v>
      </c>
      <c r="CT436">
        <f ca="1" xml:space="preserve"> IF( AND( OFFSET($A$1, 436 - 1, 96 - 1) = "1", OFFSET($A$1, 436 - 1, 97 - 1) = "1" ), 1, IF( AND( OFFSET($A$1, 436 - 1, 96 - 1) = "1", OFFSET($A$1, 436 - 1, 97 - 1) = "0" ), 2, IF( AND( OFFSET($A$1, 436 - 1, 96 - 1) = "0", OFFSET($A$1, 436 - 1, 97 - 1) = "1" ), 3, 4 ) ) )</f>
        <v>1</v>
      </c>
    </row>
    <row r="437" spans="95:98" ht="13.8" x14ac:dyDescent="0.3">
      <c r="CQ437" s="24">
        <v>0.99381391004792619</v>
      </c>
      <c r="CR437" s="24" t="str">
        <f t="shared" si="33"/>
        <v>1</v>
      </c>
      <c r="CS437" t="str">
        <f ca="1">IF((OFFSET($A$1, 437 - 1, 95 - 1)) &gt;= (OFFSET($A$1, 54 - 1, 7 - 1)), "1","0")</f>
        <v>1</v>
      </c>
      <c r="CT437">
        <f ca="1" xml:space="preserve"> IF( AND( OFFSET($A$1, 437 - 1, 96 - 1) = "1", OFFSET($A$1, 437 - 1, 97 - 1) = "1" ), 1, IF( AND( OFFSET($A$1, 437 - 1, 96 - 1) = "1", OFFSET($A$1, 437 - 1, 97 - 1) = "0" ), 2, IF( AND( OFFSET($A$1, 437 - 1, 96 - 1) = "0", OFFSET($A$1, 437 - 1, 97 - 1) = "1" ), 3, 4 ) ) )</f>
        <v>1</v>
      </c>
    </row>
    <row r="438" spans="95:98" ht="13.8" x14ac:dyDescent="0.3">
      <c r="CQ438" s="24">
        <v>0.99950628515231521</v>
      </c>
      <c r="CR438" s="24" t="str">
        <f t="shared" si="33"/>
        <v>1</v>
      </c>
      <c r="CS438" t="str">
        <f ca="1">IF((OFFSET($A$1, 438 - 1, 95 - 1)) &gt;= (OFFSET($A$1, 54 - 1, 7 - 1)), "1","0")</f>
        <v>1</v>
      </c>
      <c r="CT438">
        <f ca="1" xml:space="preserve"> IF( AND( OFFSET($A$1, 438 - 1, 96 - 1) = "1", OFFSET($A$1, 438 - 1, 97 - 1) = "1" ), 1, IF( AND( OFFSET($A$1, 438 - 1, 96 - 1) = "1", OFFSET($A$1, 438 - 1, 97 - 1) = "0" ), 2, IF( AND( OFFSET($A$1, 438 - 1, 96 - 1) = "0", OFFSET($A$1, 438 - 1, 97 - 1) = "1" ), 3, 4 ) ) )</f>
        <v>1</v>
      </c>
    </row>
    <row r="439" spans="95:98" ht="13.8" x14ac:dyDescent="0.3">
      <c r="CQ439" s="24">
        <v>0.96251351805901286</v>
      </c>
      <c r="CR439" s="24" t="str">
        <f t="shared" si="33"/>
        <v>1</v>
      </c>
      <c r="CS439" t="str">
        <f ca="1">IF((OFFSET($A$1, 439 - 1, 95 - 1)) &gt;= (OFFSET($A$1, 54 - 1, 7 - 1)), "1","0")</f>
        <v>1</v>
      </c>
      <c r="CT439">
        <f ca="1" xml:space="preserve"> IF( AND( OFFSET($A$1, 439 - 1, 96 - 1) = "1", OFFSET($A$1, 439 - 1, 97 - 1) = "1" ), 1, IF( AND( OFFSET($A$1, 439 - 1, 96 - 1) = "1", OFFSET($A$1, 439 - 1, 97 - 1) = "0" ), 2, IF( AND( OFFSET($A$1, 439 - 1, 96 - 1) = "0", OFFSET($A$1, 439 - 1, 97 - 1) = "1" ), 3, 4 ) ) )</f>
        <v>1</v>
      </c>
    </row>
    <row r="440" spans="95:98" ht="13.8" x14ac:dyDescent="0.3">
      <c r="CQ440" s="24">
        <v>0.99751254448845594</v>
      </c>
      <c r="CR440" s="24" t="str">
        <f t="shared" si="33"/>
        <v>1</v>
      </c>
      <c r="CS440" t="str">
        <f ca="1">IF((OFFSET($A$1, 440 - 1, 95 - 1)) &gt;= (OFFSET($A$1, 54 - 1, 7 - 1)), "1","0")</f>
        <v>1</v>
      </c>
      <c r="CT440">
        <f ca="1" xml:space="preserve"> IF( AND( OFFSET($A$1, 440 - 1, 96 - 1) = "1", OFFSET($A$1, 440 - 1, 97 - 1) = "1" ), 1, IF( AND( OFFSET($A$1, 440 - 1, 96 - 1) = "1", OFFSET($A$1, 440 - 1, 97 - 1) = "0" ), 2, IF( AND( OFFSET($A$1, 440 - 1, 96 - 1) = "0", OFFSET($A$1, 440 - 1, 97 - 1) = "1" ), 3, 4 ) ) )</f>
        <v>1</v>
      </c>
    </row>
    <row r="441" spans="95:98" ht="13.8" x14ac:dyDescent="0.3">
      <c r="CQ441" s="24">
        <v>0.99469111226042539</v>
      </c>
      <c r="CR441" s="24" t="str">
        <f t="shared" si="33"/>
        <v>1</v>
      </c>
      <c r="CS441" t="str">
        <f ca="1">IF((OFFSET($A$1, 441 - 1, 95 - 1)) &gt;= (OFFSET($A$1, 54 - 1, 7 - 1)), "1","0")</f>
        <v>1</v>
      </c>
      <c r="CT441">
        <f ca="1" xml:space="preserve"> IF( AND( OFFSET($A$1, 441 - 1, 96 - 1) = "1", OFFSET($A$1, 441 - 1, 97 - 1) = "1" ), 1, IF( AND( OFFSET($A$1, 441 - 1, 96 - 1) = "1", OFFSET($A$1, 441 - 1, 97 - 1) = "0" ), 2, IF( AND( OFFSET($A$1, 441 - 1, 96 - 1) = "0", OFFSET($A$1, 441 - 1, 97 - 1) = "1" ), 3, 4 ) ) )</f>
        <v>1</v>
      </c>
    </row>
    <row r="442" spans="95:98" ht="13.8" x14ac:dyDescent="0.3">
      <c r="CQ442" s="24">
        <v>0.99999180862222536</v>
      </c>
      <c r="CR442" s="24" t="str">
        <f t="shared" si="33"/>
        <v>1</v>
      </c>
      <c r="CS442" t="str">
        <f ca="1">IF((OFFSET($A$1, 442 - 1, 95 - 1)) &gt;= (OFFSET($A$1, 54 - 1, 7 - 1)), "1","0")</f>
        <v>1</v>
      </c>
      <c r="CT442">
        <f ca="1" xml:space="preserve"> IF( AND( OFFSET($A$1, 442 - 1, 96 - 1) = "1", OFFSET($A$1, 442 - 1, 97 - 1) = "1" ), 1, IF( AND( OFFSET($A$1, 442 - 1, 96 - 1) = "1", OFFSET($A$1, 442 - 1, 97 - 1) = "0" ), 2, IF( AND( OFFSET($A$1, 442 - 1, 96 - 1) = "0", OFFSET($A$1, 442 - 1, 97 - 1) = "1" ), 3, 4 ) ) )</f>
        <v>1</v>
      </c>
    </row>
    <row r="443" spans="95:98" ht="13.8" x14ac:dyDescent="0.3">
      <c r="CQ443" s="24">
        <v>0.92711158104152236</v>
      </c>
      <c r="CR443" s="24" t="str">
        <f t="shared" si="33"/>
        <v>1</v>
      </c>
      <c r="CS443" t="str">
        <f ca="1">IF((OFFSET($A$1, 443 - 1, 95 - 1)) &gt;= (OFFSET($A$1, 54 - 1, 7 - 1)), "1","0")</f>
        <v>1</v>
      </c>
      <c r="CT443">
        <f ca="1" xml:space="preserve"> IF( AND( OFFSET($A$1, 443 - 1, 96 - 1) = "1", OFFSET($A$1, 443 - 1, 97 - 1) = "1" ), 1, IF( AND( OFFSET($A$1, 443 - 1, 96 - 1) = "1", OFFSET($A$1, 443 - 1, 97 - 1) = "0" ), 2, IF( AND( OFFSET($A$1, 443 - 1, 96 - 1) = "0", OFFSET($A$1, 443 - 1, 97 - 1) = "1" ), 3, 4 ) ) )</f>
        <v>1</v>
      </c>
    </row>
    <row r="444" spans="95:98" ht="13.8" x14ac:dyDescent="0.3">
      <c r="CQ444" s="24">
        <v>0.94910613815369971</v>
      </c>
      <c r="CR444" s="24" t="str">
        <f t="shared" si="33"/>
        <v>1</v>
      </c>
      <c r="CS444" t="str">
        <f ca="1">IF((OFFSET($A$1, 444 - 1, 95 - 1)) &gt;= (OFFSET($A$1, 54 - 1, 7 - 1)), "1","0")</f>
        <v>1</v>
      </c>
      <c r="CT444">
        <f ca="1" xml:space="preserve"> IF( AND( OFFSET($A$1, 444 - 1, 96 - 1) = "1", OFFSET($A$1, 444 - 1, 97 - 1) = "1" ), 1, IF( AND( OFFSET($A$1, 444 - 1, 96 - 1) = "1", OFFSET($A$1, 444 - 1, 97 - 1) = "0" ), 2, IF( AND( OFFSET($A$1, 444 - 1, 96 - 1) = "0", OFFSET($A$1, 444 - 1, 97 - 1) = "1" ), 3, 4 ) ) )</f>
        <v>1</v>
      </c>
    </row>
    <row r="445" spans="95:98" ht="13.8" x14ac:dyDescent="0.3">
      <c r="CQ445" s="24">
        <v>2.2467305302878555E-2</v>
      </c>
      <c r="CR445" s="24" t="str">
        <f>"0"</f>
        <v>0</v>
      </c>
      <c r="CS445" t="str">
        <f ca="1">IF((OFFSET($A$1, 445 - 1, 95 - 1)) &gt;= (OFFSET($A$1, 54 - 1, 7 - 1)), "1","0")</f>
        <v>0</v>
      </c>
      <c r="CT445">
        <f ca="1" xml:space="preserve"> IF( AND( OFFSET($A$1, 445 - 1, 96 - 1) = "1", OFFSET($A$1, 445 - 1, 97 - 1) = "1" ), 1, IF( AND( OFFSET($A$1, 445 - 1, 96 - 1) = "1", OFFSET($A$1, 445 - 1, 97 - 1) = "0" ), 2, IF( AND( OFFSET($A$1, 445 - 1, 96 - 1) = "0", OFFSET($A$1, 445 - 1, 97 - 1) = "1" ), 3, 4 ) ) )</f>
        <v>4</v>
      </c>
    </row>
    <row r="446" spans="95:98" ht="13.8" x14ac:dyDescent="0.3">
      <c r="CQ446" s="24">
        <v>0.9996376221727753</v>
      </c>
      <c r="CR446" s="24" t="str">
        <f>"1"</f>
        <v>1</v>
      </c>
      <c r="CS446" t="str">
        <f ca="1">IF((OFFSET($A$1, 446 - 1, 95 - 1)) &gt;= (OFFSET($A$1, 54 - 1, 7 - 1)), "1","0")</f>
        <v>1</v>
      </c>
      <c r="CT446">
        <f ca="1" xml:space="preserve"> IF( AND( OFFSET($A$1, 446 - 1, 96 - 1) = "1", OFFSET($A$1, 446 - 1, 97 - 1) = "1" ), 1, IF( AND( OFFSET($A$1, 446 - 1, 96 - 1) = "1", OFFSET($A$1, 446 - 1, 97 - 1) = "0" ), 2, IF( AND( OFFSET($A$1, 446 - 1, 96 - 1) = "0", OFFSET($A$1, 446 - 1, 97 - 1) = "1" ), 3, 4 ) ) )</f>
        <v>1</v>
      </c>
    </row>
    <row r="447" spans="95:98" ht="13.8" x14ac:dyDescent="0.3">
      <c r="CQ447" s="24">
        <v>0.98515777114360736</v>
      </c>
      <c r="CR447" s="24" t="str">
        <f>"1"</f>
        <v>1</v>
      </c>
      <c r="CS447" t="str">
        <f ca="1">IF((OFFSET($A$1, 447 - 1, 95 - 1)) &gt;= (OFFSET($A$1, 54 - 1, 7 - 1)), "1","0")</f>
        <v>1</v>
      </c>
      <c r="CT447">
        <f ca="1" xml:space="preserve"> IF( AND( OFFSET($A$1, 447 - 1, 96 - 1) = "1", OFFSET($A$1, 447 - 1, 97 - 1) = "1" ), 1, IF( AND( OFFSET($A$1, 447 - 1, 96 - 1) = "1", OFFSET($A$1, 447 - 1, 97 - 1) = "0" ), 2, IF( AND( OFFSET($A$1, 447 - 1, 96 - 1) = "0", OFFSET($A$1, 447 - 1, 97 - 1) = "1" ), 3, 4 ) ) )</f>
        <v>1</v>
      </c>
    </row>
    <row r="448" spans="95:98" ht="13.8" x14ac:dyDescent="0.3">
      <c r="CQ448" s="24">
        <v>0.96393000873883494</v>
      </c>
      <c r="CR448" s="24" t="str">
        <f>"1"</f>
        <v>1</v>
      </c>
      <c r="CS448" t="str">
        <f ca="1">IF((OFFSET($A$1, 448 - 1, 95 - 1)) &gt;= (OFFSET($A$1, 54 - 1, 7 - 1)), "1","0")</f>
        <v>1</v>
      </c>
      <c r="CT448">
        <f ca="1" xml:space="preserve"> IF( AND( OFFSET($A$1, 448 - 1, 96 - 1) = "1", OFFSET($A$1, 448 - 1, 97 - 1) = "1" ), 1, IF( AND( OFFSET($A$1, 448 - 1, 96 - 1) = "1", OFFSET($A$1, 448 - 1, 97 - 1) = "0" ), 2, IF( AND( OFFSET($A$1, 448 - 1, 96 - 1) = "0", OFFSET($A$1, 448 - 1, 97 - 1) = "1" ), 3, 4 ) ) )</f>
        <v>1</v>
      </c>
    </row>
    <row r="449" spans="95:98" ht="13.8" x14ac:dyDescent="0.3">
      <c r="CQ449" s="24">
        <v>0.9829700939965782</v>
      </c>
      <c r="CR449" s="24" t="str">
        <f>"1"</f>
        <v>1</v>
      </c>
      <c r="CS449" t="str">
        <f ca="1">IF((OFFSET($A$1, 449 - 1, 95 - 1)) &gt;= (OFFSET($A$1, 54 - 1, 7 - 1)), "1","0")</f>
        <v>1</v>
      </c>
      <c r="CT449">
        <f ca="1" xml:space="preserve"> IF( AND( OFFSET($A$1, 449 - 1, 96 - 1) = "1", OFFSET($A$1, 449 - 1, 97 - 1) = "1" ), 1, IF( AND( OFFSET($A$1, 449 - 1, 96 - 1) = "1", OFFSET($A$1, 449 - 1, 97 - 1) = "0" ), 2, IF( AND( OFFSET($A$1, 449 - 1, 96 - 1) = "0", OFFSET($A$1, 449 - 1, 97 - 1) = "1" ), 3, 4 ) ) )</f>
        <v>1</v>
      </c>
    </row>
    <row r="450" spans="95:98" ht="13.8" x14ac:dyDescent="0.3">
      <c r="CQ450" s="24">
        <v>9.5740904142670932E-2</v>
      </c>
      <c r="CR450" s="24" t="str">
        <f>"0"</f>
        <v>0</v>
      </c>
      <c r="CS450" t="str">
        <f ca="1">IF((OFFSET($A$1, 450 - 1, 95 - 1)) &gt;= (OFFSET($A$1, 54 - 1, 7 - 1)), "1","0")</f>
        <v>0</v>
      </c>
      <c r="CT450">
        <f ca="1" xml:space="preserve"> IF( AND( OFFSET($A$1, 450 - 1, 96 - 1) = "1", OFFSET($A$1, 450 - 1, 97 - 1) = "1" ), 1, IF( AND( OFFSET($A$1, 450 - 1, 96 - 1) = "1", OFFSET($A$1, 450 - 1, 97 - 1) = "0" ), 2, IF( AND( OFFSET($A$1, 450 - 1, 96 - 1) = "0", OFFSET($A$1, 450 - 1, 97 - 1) = "1" ), 3, 4 ) ) )</f>
        <v>4</v>
      </c>
    </row>
    <row r="451" spans="95:98" ht="13.8" x14ac:dyDescent="0.3">
      <c r="CQ451" s="24">
        <v>6.5223910707926547E-2</v>
      </c>
      <c r="CR451" s="24" t="str">
        <f>"0"</f>
        <v>0</v>
      </c>
      <c r="CS451" t="str">
        <f ca="1">IF((OFFSET($A$1, 451 - 1, 95 - 1)) &gt;= (OFFSET($A$1, 54 - 1, 7 - 1)), "1","0")</f>
        <v>0</v>
      </c>
      <c r="CT451">
        <f ca="1" xml:space="preserve"> IF( AND( OFFSET($A$1, 451 - 1, 96 - 1) = "1", OFFSET($A$1, 451 - 1, 97 - 1) = "1" ), 1, IF( AND( OFFSET($A$1, 451 - 1, 96 - 1) = "1", OFFSET($A$1, 451 - 1, 97 - 1) = "0" ), 2, IF( AND( OFFSET($A$1, 451 - 1, 96 - 1) = "0", OFFSET($A$1, 451 - 1, 97 - 1) = "1" ), 3, 4 ) ) )</f>
        <v>4</v>
      </c>
    </row>
    <row r="452" spans="95:98" ht="13.8" x14ac:dyDescent="0.3">
      <c r="CQ452" s="24">
        <v>0.98908347228021909</v>
      </c>
      <c r="CR452" s="24" t="str">
        <f>"1"</f>
        <v>1</v>
      </c>
      <c r="CS452" t="str">
        <f ca="1">IF((OFFSET($A$1, 452 - 1, 95 - 1)) &gt;= (OFFSET($A$1, 54 - 1, 7 - 1)), "1","0")</f>
        <v>1</v>
      </c>
      <c r="CT452">
        <f ca="1" xml:space="preserve"> IF( AND( OFFSET($A$1, 452 - 1, 96 - 1) = "1", OFFSET($A$1, 452 - 1, 97 - 1) = "1" ), 1, IF( AND( OFFSET($A$1, 452 - 1, 96 - 1) = "1", OFFSET($A$1, 452 - 1, 97 - 1) = "0" ), 2, IF( AND( OFFSET($A$1, 452 - 1, 96 - 1) = "0", OFFSET($A$1, 452 - 1, 97 - 1) = "1" ), 3, 4 ) ) )</f>
        <v>1</v>
      </c>
    </row>
    <row r="453" spans="95:98" ht="13.8" x14ac:dyDescent="0.3">
      <c r="CQ453" s="24">
        <v>0.43304161830035737</v>
      </c>
      <c r="CR453" s="24" t="str">
        <f>"0"</f>
        <v>0</v>
      </c>
      <c r="CS453" t="str">
        <f ca="1">IF((OFFSET($A$1, 453 - 1, 95 - 1)) &gt;= (OFFSET($A$1, 54 - 1, 7 - 1)), "1","0")</f>
        <v>0</v>
      </c>
      <c r="CT453">
        <f ca="1" xml:space="preserve"> IF( AND( OFFSET($A$1, 453 - 1, 96 - 1) = "1", OFFSET($A$1, 453 - 1, 97 - 1) = "1" ), 1, IF( AND( OFFSET($A$1, 453 - 1, 96 - 1) = "1", OFFSET($A$1, 453 - 1, 97 - 1) = "0" ), 2, IF( AND( OFFSET($A$1, 453 - 1, 96 - 1) = "0", OFFSET($A$1, 453 - 1, 97 - 1) = "1" ), 3, 4 ) ) )</f>
        <v>4</v>
      </c>
    </row>
    <row r="454" spans="95:98" ht="13.8" x14ac:dyDescent="0.3">
      <c r="CQ454" s="24">
        <v>4.9740284712994194E-2</v>
      </c>
      <c r="CR454" s="24" t="str">
        <f>"0"</f>
        <v>0</v>
      </c>
      <c r="CS454" t="str">
        <f ca="1">IF((OFFSET($A$1, 454 - 1, 95 - 1)) &gt;= (OFFSET($A$1, 54 - 1, 7 - 1)), "1","0")</f>
        <v>0</v>
      </c>
      <c r="CT454">
        <f ca="1" xml:space="preserve"> IF( AND( OFFSET($A$1, 454 - 1, 96 - 1) = "1", OFFSET($A$1, 454 - 1, 97 - 1) = "1" ), 1, IF( AND( OFFSET($A$1, 454 - 1, 96 - 1) = "1", OFFSET($A$1, 454 - 1, 97 - 1) = "0" ), 2, IF( AND( OFFSET($A$1, 454 - 1, 96 - 1) = "0", OFFSET($A$1, 454 - 1, 97 - 1) = "1" ), 3, 4 ) ) )</f>
        <v>4</v>
      </c>
    </row>
    <row r="455" spans="95:98" ht="13.8" x14ac:dyDescent="0.3">
      <c r="CQ455" s="24">
        <v>0.15979191952715949</v>
      </c>
      <c r="CR455" s="24" t="str">
        <f>"0"</f>
        <v>0</v>
      </c>
      <c r="CS455" t="str">
        <f ca="1">IF((OFFSET($A$1, 455 - 1, 95 - 1)) &gt;= (OFFSET($A$1, 54 - 1, 7 - 1)), "1","0")</f>
        <v>0</v>
      </c>
      <c r="CT455">
        <f ca="1" xml:space="preserve"> IF( AND( OFFSET($A$1, 455 - 1, 96 - 1) = "1", OFFSET($A$1, 455 - 1, 97 - 1) = "1" ), 1, IF( AND( OFFSET($A$1, 455 - 1, 96 - 1) = "1", OFFSET($A$1, 455 - 1, 97 - 1) = "0" ), 2, IF( AND( OFFSET($A$1, 455 - 1, 96 - 1) = "0", OFFSET($A$1, 455 - 1, 97 - 1) = "1" ), 3, 4 ) ) )</f>
        <v>4</v>
      </c>
    </row>
    <row r="456" spans="95:98" ht="13.8" x14ac:dyDescent="0.3">
      <c r="CQ456" s="24">
        <v>0.96882596727147929</v>
      </c>
      <c r="CR456" s="24" t="str">
        <f>"1"</f>
        <v>1</v>
      </c>
      <c r="CS456" t="str">
        <f ca="1">IF((OFFSET($A$1, 456 - 1, 95 - 1)) &gt;= (OFFSET($A$1, 54 - 1, 7 - 1)), "1","0")</f>
        <v>1</v>
      </c>
      <c r="CT456">
        <f ca="1" xml:space="preserve"> IF( AND( OFFSET($A$1, 456 - 1, 96 - 1) = "1", OFFSET($A$1, 456 - 1, 97 - 1) = "1" ), 1, IF( AND( OFFSET($A$1, 456 - 1, 96 - 1) = "1", OFFSET($A$1, 456 - 1, 97 - 1) = "0" ), 2, IF( AND( OFFSET($A$1, 456 - 1, 96 - 1) = "0", OFFSET($A$1, 456 - 1, 97 - 1) = "1" ), 3, 4 ) ) )</f>
        <v>1</v>
      </c>
    </row>
    <row r="457" spans="95:98" ht="13.8" x14ac:dyDescent="0.3">
      <c r="CQ457" s="24">
        <v>0.1462789146677119</v>
      </c>
      <c r="CR457" s="24" t="str">
        <f>"0"</f>
        <v>0</v>
      </c>
      <c r="CS457" t="str">
        <f ca="1">IF((OFFSET($A$1, 457 - 1, 95 - 1)) &gt;= (OFFSET($A$1, 54 - 1, 7 - 1)), "1","0")</f>
        <v>0</v>
      </c>
      <c r="CT457">
        <f ca="1" xml:space="preserve"> IF( AND( OFFSET($A$1, 457 - 1, 96 - 1) = "1", OFFSET($A$1, 457 - 1, 97 - 1) = "1" ), 1, IF( AND( OFFSET($A$1, 457 - 1, 96 - 1) = "1", OFFSET($A$1, 457 - 1, 97 - 1) = "0" ), 2, IF( AND( OFFSET($A$1, 457 - 1, 96 - 1) = "0", OFFSET($A$1, 457 - 1, 97 - 1) = "1" ), 3, 4 ) ) )</f>
        <v>4</v>
      </c>
    </row>
    <row r="458" spans="95:98" ht="13.8" x14ac:dyDescent="0.3">
      <c r="CQ458" s="24">
        <v>4.7538500151849709E-3</v>
      </c>
      <c r="CR458" s="24" t="str">
        <f>"0"</f>
        <v>0</v>
      </c>
      <c r="CS458" t="str">
        <f ca="1">IF((OFFSET($A$1, 458 - 1, 95 - 1)) &gt;= (OFFSET($A$1, 54 - 1, 7 - 1)), "1","0")</f>
        <v>0</v>
      </c>
      <c r="CT458">
        <f ca="1" xml:space="preserve"> IF( AND( OFFSET($A$1, 458 - 1, 96 - 1) = "1", OFFSET($A$1, 458 - 1, 97 - 1) = "1" ), 1, IF( AND( OFFSET($A$1, 458 - 1, 96 - 1) = "1", OFFSET($A$1, 458 - 1, 97 - 1) = "0" ), 2, IF( AND( OFFSET($A$1, 458 - 1, 96 - 1) = "0", OFFSET($A$1, 458 - 1, 97 - 1) = "1" ), 3, 4 ) ) )</f>
        <v>4</v>
      </c>
    </row>
    <row r="459" spans="95:98" ht="13.8" x14ac:dyDescent="0.3">
      <c r="CQ459" s="24">
        <v>0.99975514978882962</v>
      </c>
      <c r="CR459" s="24" t="str">
        <f>"1"</f>
        <v>1</v>
      </c>
      <c r="CS459" t="str">
        <f ca="1">IF((OFFSET($A$1, 459 - 1, 95 - 1)) &gt;= (OFFSET($A$1, 54 - 1, 7 - 1)), "1","0")</f>
        <v>1</v>
      </c>
      <c r="CT459">
        <f ca="1" xml:space="preserve"> IF( AND( OFFSET($A$1, 459 - 1, 96 - 1) = "1", OFFSET($A$1, 459 - 1, 97 - 1) = "1" ), 1, IF( AND( OFFSET($A$1, 459 - 1, 96 - 1) = "1", OFFSET($A$1, 459 - 1, 97 - 1) = "0" ), 2, IF( AND( OFFSET($A$1, 459 - 1, 96 - 1) = "0", OFFSET($A$1, 459 - 1, 97 - 1) = "1" ), 3, 4 ) ) )</f>
        <v>1</v>
      </c>
    </row>
    <row r="460" spans="95:98" ht="13.8" x14ac:dyDescent="0.3">
      <c r="CQ460" s="24">
        <v>0.99370429844937147</v>
      </c>
      <c r="CR460" s="24" t="str">
        <f>"1"</f>
        <v>1</v>
      </c>
      <c r="CS460" t="str">
        <f ca="1">IF((OFFSET($A$1, 460 - 1, 95 - 1)) &gt;= (OFFSET($A$1, 54 - 1, 7 - 1)), "1","0")</f>
        <v>1</v>
      </c>
      <c r="CT460">
        <f ca="1" xml:space="preserve"> IF( AND( OFFSET($A$1, 460 - 1, 96 - 1) = "1", OFFSET($A$1, 460 - 1, 97 - 1) = "1" ), 1, IF( AND( OFFSET($A$1, 460 - 1, 96 - 1) = "1", OFFSET($A$1, 460 - 1, 97 - 1) = "0" ), 2, IF( AND( OFFSET($A$1, 460 - 1, 96 - 1) = "0", OFFSET($A$1, 460 - 1, 97 - 1) = "1" ), 3, 4 ) ) )</f>
        <v>1</v>
      </c>
    </row>
    <row r="461" spans="95:98" ht="13.8" x14ac:dyDescent="0.3">
      <c r="CQ461" s="24">
        <v>0.99989666982459935</v>
      </c>
      <c r="CR461" s="24" t="str">
        <f>"1"</f>
        <v>1</v>
      </c>
      <c r="CS461" t="str">
        <f ca="1">IF((OFFSET($A$1, 461 - 1, 95 - 1)) &gt;= (OFFSET($A$1, 54 - 1, 7 - 1)), "1","0")</f>
        <v>1</v>
      </c>
      <c r="CT461">
        <f ca="1" xml:space="preserve"> IF( AND( OFFSET($A$1, 461 - 1, 96 - 1) = "1", OFFSET($A$1, 461 - 1, 97 - 1) = "1" ), 1, IF( AND( OFFSET($A$1, 461 - 1, 96 - 1) = "1", OFFSET($A$1, 461 - 1, 97 - 1) = "0" ), 2, IF( AND( OFFSET($A$1, 461 - 1, 96 - 1) = "0", OFFSET($A$1, 461 - 1, 97 - 1) = "1" ), 3, 4 ) ) )</f>
        <v>1</v>
      </c>
    </row>
    <row r="462" spans="95:98" ht="13.8" x14ac:dyDescent="0.3">
      <c r="CQ462" s="24">
        <v>0.90456289641373611</v>
      </c>
      <c r="CR462" s="24" t="str">
        <f>"1"</f>
        <v>1</v>
      </c>
      <c r="CS462" t="str">
        <f ca="1">IF((OFFSET($A$1, 462 - 1, 95 - 1)) &gt;= (OFFSET($A$1, 54 - 1, 7 - 1)), "1","0")</f>
        <v>1</v>
      </c>
      <c r="CT462">
        <f ca="1" xml:space="preserve"> IF( AND( OFFSET($A$1, 462 - 1, 96 - 1) = "1", OFFSET($A$1, 462 - 1, 97 - 1) = "1" ), 1, IF( AND( OFFSET($A$1, 462 - 1, 96 - 1) = "1", OFFSET($A$1, 462 - 1, 97 - 1) = "0" ), 2, IF( AND( OFFSET($A$1, 462 - 1, 96 - 1) = "0", OFFSET($A$1, 462 - 1, 97 - 1) = "1" ), 3, 4 ) ) )</f>
        <v>1</v>
      </c>
    </row>
    <row r="463" spans="95:98" ht="13.8" x14ac:dyDescent="0.3">
      <c r="CQ463" s="24">
        <v>3.0189165240071026E-2</v>
      </c>
      <c r="CR463" s="24" t="str">
        <f>"0"</f>
        <v>0</v>
      </c>
      <c r="CS463" t="str">
        <f ca="1">IF((OFFSET($A$1, 463 - 1, 95 - 1)) &gt;= (OFFSET($A$1, 54 - 1, 7 - 1)), "1","0")</f>
        <v>0</v>
      </c>
      <c r="CT463">
        <f ca="1" xml:space="preserve"> IF( AND( OFFSET($A$1, 463 - 1, 96 - 1) = "1", OFFSET($A$1, 463 - 1, 97 - 1) = "1" ), 1, IF( AND( OFFSET($A$1, 463 - 1, 96 - 1) = "1", OFFSET($A$1, 463 - 1, 97 - 1) = "0" ), 2, IF( AND( OFFSET($A$1, 463 - 1, 96 - 1) = "0", OFFSET($A$1, 463 - 1, 97 - 1) = "1" ), 3, 4 ) ) )</f>
        <v>4</v>
      </c>
    </row>
    <row r="464" spans="95:98" ht="13.8" x14ac:dyDescent="0.3">
      <c r="CQ464" s="24">
        <v>3.5830410040199941E-2</v>
      </c>
      <c r="CR464" s="24" t="str">
        <f>"0"</f>
        <v>0</v>
      </c>
      <c r="CS464" t="str">
        <f ca="1">IF((OFFSET($A$1, 464 - 1, 95 - 1)) &gt;= (OFFSET($A$1, 54 - 1, 7 - 1)), "1","0")</f>
        <v>0</v>
      </c>
      <c r="CT464">
        <f ca="1" xml:space="preserve"> IF( AND( OFFSET($A$1, 464 - 1, 96 - 1) = "1", OFFSET($A$1, 464 - 1, 97 - 1) = "1" ), 1, IF( AND( OFFSET($A$1, 464 - 1, 96 - 1) = "1", OFFSET($A$1, 464 - 1, 97 - 1) = "0" ), 2, IF( AND( OFFSET($A$1, 464 - 1, 96 - 1) = "0", OFFSET($A$1, 464 - 1, 97 - 1) = "1" ), 3, 4 ) ) )</f>
        <v>4</v>
      </c>
    </row>
    <row r="465" spans="95:98" ht="13.8" x14ac:dyDescent="0.3">
      <c r="CQ465" s="24">
        <v>0.92678572982008722</v>
      </c>
      <c r="CR465" s="24" t="str">
        <f>"1"</f>
        <v>1</v>
      </c>
      <c r="CS465" t="str">
        <f ca="1">IF((OFFSET($A$1, 465 - 1, 95 - 1)) &gt;= (OFFSET($A$1, 54 - 1, 7 - 1)), "1","0")</f>
        <v>1</v>
      </c>
      <c r="CT465">
        <f ca="1" xml:space="preserve"> IF( AND( OFFSET($A$1, 465 - 1, 96 - 1) = "1", OFFSET($A$1, 465 - 1, 97 - 1) = "1" ), 1, IF( AND( OFFSET($A$1, 465 - 1, 96 - 1) = "1", OFFSET($A$1, 465 - 1, 97 - 1) = "0" ), 2, IF( AND( OFFSET($A$1, 465 - 1, 96 - 1) = "0", OFFSET($A$1, 465 - 1, 97 - 1) = "1" ), 3, 4 ) ) )</f>
        <v>1</v>
      </c>
    </row>
    <row r="466" spans="95:98" ht="13.8" x14ac:dyDescent="0.3">
      <c r="CQ466" s="24">
        <v>6.1309345512700654E-2</v>
      </c>
      <c r="CR466" s="24" t="str">
        <f>"0"</f>
        <v>0</v>
      </c>
      <c r="CS466" t="str">
        <f ca="1">IF((OFFSET($A$1, 466 - 1, 95 - 1)) &gt;= (OFFSET($A$1, 54 - 1, 7 - 1)), "1","0")</f>
        <v>0</v>
      </c>
      <c r="CT466">
        <f ca="1" xml:space="preserve"> IF( AND( OFFSET($A$1, 466 - 1, 96 - 1) = "1", OFFSET($A$1, 466 - 1, 97 - 1) = "1" ), 1, IF( AND( OFFSET($A$1, 466 - 1, 96 - 1) = "1", OFFSET($A$1, 466 - 1, 97 - 1) = "0" ), 2, IF( AND( OFFSET($A$1, 466 - 1, 96 - 1) = "0", OFFSET($A$1, 466 - 1, 97 - 1) = "1" ), 3, 4 ) ) )</f>
        <v>4</v>
      </c>
    </row>
    <row r="467" spans="95:98" ht="13.8" x14ac:dyDescent="0.3">
      <c r="CQ467" s="24">
        <v>0.99871295196324728</v>
      </c>
      <c r="CR467" s="24" t="str">
        <f>"1"</f>
        <v>1</v>
      </c>
      <c r="CS467" t="str">
        <f ca="1">IF((OFFSET($A$1, 467 - 1, 95 - 1)) &gt;= (OFFSET($A$1, 54 - 1, 7 - 1)), "1","0")</f>
        <v>1</v>
      </c>
      <c r="CT467">
        <f ca="1" xml:space="preserve"> IF( AND( OFFSET($A$1, 467 - 1, 96 - 1) = "1", OFFSET($A$1, 467 - 1, 97 - 1) = "1" ), 1, IF( AND( OFFSET($A$1, 467 - 1, 96 - 1) = "1", OFFSET($A$1, 467 - 1, 97 - 1) = "0" ), 2, IF( AND( OFFSET($A$1, 467 - 1, 96 - 1) = "0", OFFSET($A$1, 467 - 1, 97 - 1) = "1" ), 3, 4 ) ) )</f>
        <v>1</v>
      </c>
    </row>
    <row r="468" spans="95:98" ht="13.8" x14ac:dyDescent="0.3">
      <c r="CQ468" s="24">
        <v>0.98958395574959268</v>
      </c>
      <c r="CR468" s="24" t="str">
        <f>"1"</f>
        <v>1</v>
      </c>
      <c r="CS468" t="str">
        <f ca="1">IF((OFFSET($A$1, 468 - 1, 95 - 1)) &gt;= (OFFSET($A$1, 54 - 1, 7 - 1)), "1","0")</f>
        <v>1</v>
      </c>
      <c r="CT468">
        <f ca="1" xml:space="preserve"> IF( AND( OFFSET($A$1, 468 - 1, 96 - 1) = "1", OFFSET($A$1, 468 - 1, 97 - 1) = "1" ), 1, IF( AND( OFFSET($A$1, 468 - 1, 96 - 1) = "1", OFFSET($A$1, 468 - 1, 97 - 1) = "0" ), 2, IF( AND( OFFSET($A$1, 468 - 1, 96 - 1) = "0", OFFSET($A$1, 468 - 1, 97 - 1) = "1" ), 3, 4 ) ) )</f>
        <v>1</v>
      </c>
    </row>
    <row r="469" spans="95:98" ht="13.8" x14ac:dyDescent="0.3">
      <c r="CQ469" s="24">
        <v>2.9148631424398296E-2</v>
      </c>
      <c r="CR469" s="24" t="str">
        <f>"0"</f>
        <v>0</v>
      </c>
      <c r="CS469" t="str">
        <f ca="1">IF((OFFSET($A$1, 469 - 1, 95 - 1)) &gt;= (OFFSET($A$1, 54 - 1, 7 - 1)), "1","0")</f>
        <v>0</v>
      </c>
      <c r="CT469">
        <f ca="1" xml:space="preserve"> IF( AND( OFFSET($A$1, 469 - 1, 96 - 1) = "1", OFFSET($A$1, 469 - 1, 97 - 1) = "1" ), 1, IF( AND( OFFSET($A$1, 469 - 1, 96 - 1) = "1", OFFSET($A$1, 469 - 1, 97 - 1) = "0" ), 2, IF( AND( OFFSET($A$1, 469 - 1, 96 - 1) = "0", OFFSET($A$1, 469 - 1, 97 - 1) = "1" ), 3, 4 ) ) )</f>
        <v>4</v>
      </c>
    </row>
    <row r="470" spans="95:98" ht="13.8" x14ac:dyDescent="0.3">
      <c r="CQ470" s="24">
        <v>0.21496488004263031</v>
      </c>
      <c r="CR470" s="24" t="str">
        <f>"0"</f>
        <v>0</v>
      </c>
      <c r="CS470" t="str">
        <f ca="1">IF((OFFSET($A$1, 470 - 1, 95 - 1)) &gt;= (OFFSET($A$1, 54 - 1, 7 - 1)), "1","0")</f>
        <v>0</v>
      </c>
      <c r="CT470">
        <f ca="1" xml:space="preserve"> IF( AND( OFFSET($A$1, 470 - 1, 96 - 1) = "1", OFFSET($A$1, 470 - 1, 97 - 1) = "1" ), 1, IF( AND( OFFSET($A$1, 470 - 1, 96 - 1) = "1", OFFSET($A$1, 470 - 1, 97 - 1) = "0" ), 2, IF( AND( OFFSET($A$1, 470 - 1, 96 - 1) = "0", OFFSET($A$1, 470 - 1, 97 - 1) = "1" ), 3, 4 ) ) )</f>
        <v>4</v>
      </c>
    </row>
    <row r="471" spans="95:98" ht="13.8" x14ac:dyDescent="0.3">
      <c r="CQ471" s="24">
        <v>0.9830076419694983</v>
      </c>
      <c r="CR471" s="24" t="str">
        <f>"0"</f>
        <v>0</v>
      </c>
      <c r="CS471" t="str">
        <f ca="1">IF((OFFSET($A$1, 471 - 1, 95 - 1)) &gt;= (OFFSET($A$1, 54 - 1, 7 - 1)), "1","0")</f>
        <v>1</v>
      </c>
      <c r="CT471">
        <f ca="1" xml:space="preserve"> IF( AND( OFFSET($A$1, 471 - 1, 96 - 1) = "1", OFFSET($A$1, 471 - 1, 97 - 1) = "1" ), 1, IF( AND( OFFSET($A$1, 471 - 1, 96 - 1) = "1", OFFSET($A$1, 471 - 1, 97 - 1) = "0" ), 2, IF( AND( OFFSET($A$1, 471 - 1, 96 - 1) = "0", OFFSET($A$1, 471 - 1, 97 - 1) = "1" ), 3, 4 ) ) )</f>
        <v>3</v>
      </c>
    </row>
    <row r="472" spans="95:98" ht="13.8" x14ac:dyDescent="0.3">
      <c r="CQ472" s="24">
        <v>0.98780208509423439</v>
      </c>
      <c r="CR472" s="24" t="str">
        <f>"1"</f>
        <v>1</v>
      </c>
      <c r="CS472" t="str">
        <f ca="1">IF((OFFSET($A$1, 472 - 1, 95 - 1)) &gt;= (OFFSET($A$1, 54 - 1, 7 - 1)), "1","0")</f>
        <v>1</v>
      </c>
      <c r="CT472">
        <f ca="1" xml:space="preserve"> IF( AND( OFFSET($A$1, 472 - 1, 96 - 1) = "1", OFFSET($A$1, 472 - 1, 97 - 1) = "1" ), 1, IF( AND( OFFSET($A$1, 472 - 1, 96 - 1) = "1", OFFSET($A$1, 472 - 1, 97 - 1) = "0" ), 2, IF( AND( OFFSET($A$1, 472 - 1, 96 - 1) = "0", OFFSET($A$1, 472 - 1, 97 - 1) = "1" ), 3, 4 ) ) )</f>
        <v>1</v>
      </c>
    </row>
    <row r="473" spans="95:98" ht="13.8" x14ac:dyDescent="0.3">
      <c r="CQ473" s="24">
        <v>8.433780916324872E-2</v>
      </c>
      <c r="CR473" s="24" t="str">
        <f>"0"</f>
        <v>0</v>
      </c>
      <c r="CS473" t="str">
        <f ca="1">IF((OFFSET($A$1, 473 - 1, 95 - 1)) &gt;= (OFFSET($A$1, 54 - 1, 7 - 1)), "1","0")</f>
        <v>0</v>
      </c>
      <c r="CT473">
        <f ca="1" xml:space="preserve"> IF( AND( OFFSET($A$1, 473 - 1, 96 - 1) = "1", OFFSET($A$1, 473 - 1, 97 - 1) = "1" ), 1, IF( AND( OFFSET($A$1, 473 - 1, 96 - 1) = "1", OFFSET($A$1, 473 - 1, 97 - 1) = "0" ), 2, IF( AND( OFFSET($A$1, 473 - 1, 96 - 1) = "0", OFFSET($A$1, 473 - 1, 97 - 1) = "1" ), 3, 4 ) ) )</f>
        <v>4</v>
      </c>
    </row>
    <row r="474" spans="95:98" ht="13.8" x14ac:dyDescent="0.3">
      <c r="CQ474" s="24">
        <v>5.0283359027921089E-2</v>
      </c>
      <c r="CR474" s="24" t="str">
        <f>"0"</f>
        <v>0</v>
      </c>
      <c r="CS474" t="str">
        <f ca="1">IF((OFFSET($A$1, 474 - 1, 95 - 1)) &gt;= (OFFSET($A$1, 54 - 1, 7 - 1)), "1","0")</f>
        <v>0</v>
      </c>
      <c r="CT474">
        <f ca="1" xml:space="preserve"> IF( AND( OFFSET($A$1, 474 - 1, 96 - 1) = "1", OFFSET($A$1, 474 - 1, 97 - 1) = "1" ), 1, IF( AND( OFFSET($A$1, 474 - 1, 96 - 1) = "1", OFFSET($A$1, 474 - 1, 97 - 1) = "0" ), 2, IF( AND( OFFSET($A$1, 474 - 1, 96 - 1) = "0", OFFSET($A$1, 474 - 1, 97 - 1) = "1" ), 3, 4 ) ) )</f>
        <v>4</v>
      </c>
    </row>
    <row r="475" spans="95:98" ht="13.8" x14ac:dyDescent="0.3">
      <c r="CQ475" s="24">
        <v>0.9362569719235263</v>
      </c>
      <c r="CR475" s="24" t="str">
        <f>"1"</f>
        <v>1</v>
      </c>
      <c r="CS475" t="str">
        <f ca="1">IF((OFFSET($A$1, 475 - 1, 95 - 1)) &gt;= (OFFSET($A$1, 54 - 1, 7 - 1)), "1","0")</f>
        <v>1</v>
      </c>
      <c r="CT475">
        <f ca="1" xml:space="preserve"> IF( AND( OFFSET($A$1, 475 - 1, 96 - 1) = "1", OFFSET($A$1, 475 - 1, 97 - 1) = "1" ), 1, IF( AND( OFFSET($A$1, 475 - 1, 96 - 1) = "1", OFFSET($A$1, 475 - 1, 97 - 1) = "0" ), 2, IF( AND( OFFSET($A$1, 475 - 1, 96 - 1) = "0", OFFSET($A$1, 475 - 1, 97 - 1) = "1" ), 3, 4 ) ) )</f>
        <v>1</v>
      </c>
    </row>
    <row r="476" spans="95:98" ht="13.8" x14ac:dyDescent="0.3">
      <c r="CQ476" s="24">
        <v>0.99684106740824108</v>
      </c>
      <c r="CR476" s="24" t="str">
        <f>"1"</f>
        <v>1</v>
      </c>
      <c r="CS476" t="str">
        <f ca="1">IF((OFFSET($A$1, 476 - 1, 95 - 1)) &gt;= (OFFSET($A$1, 54 - 1, 7 - 1)), "1","0")</f>
        <v>1</v>
      </c>
      <c r="CT476">
        <f ca="1" xml:space="preserve"> IF( AND( OFFSET($A$1, 476 - 1, 96 - 1) = "1", OFFSET($A$1, 476 - 1, 97 - 1) = "1" ), 1, IF( AND( OFFSET($A$1, 476 - 1, 96 - 1) = "1", OFFSET($A$1, 476 - 1, 97 - 1) = "0" ), 2, IF( AND( OFFSET($A$1, 476 - 1, 96 - 1) = "0", OFFSET($A$1, 476 - 1, 97 - 1) = "1" ), 3, 4 ) ) )</f>
        <v>1</v>
      </c>
    </row>
    <row r="477" spans="95:98" ht="13.8" x14ac:dyDescent="0.3">
      <c r="CQ477" s="24">
        <v>4.7917619327498384E-2</v>
      </c>
      <c r="CR477" s="24" t="str">
        <f>"0"</f>
        <v>0</v>
      </c>
      <c r="CS477" t="str">
        <f ca="1">IF((OFFSET($A$1, 477 - 1, 95 - 1)) &gt;= (OFFSET($A$1, 54 - 1, 7 - 1)), "1","0")</f>
        <v>0</v>
      </c>
      <c r="CT477">
        <f ca="1" xml:space="preserve"> IF( AND( OFFSET($A$1, 477 - 1, 96 - 1) = "1", OFFSET($A$1, 477 - 1, 97 - 1) = "1" ), 1, IF( AND( OFFSET($A$1, 477 - 1, 96 - 1) = "1", OFFSET($A$1, 477 - 1, 97 - 1) = "0" ), 2, IF( AND( OFFSET($A$1, 477 - 1, 96 - 1) = "0", OFFSET($A$1, 477 - 1, 97 - 1) = "1" ), 3, 4 ) ) )</f>
        <v>4</v>
      </c>
    </row>
    <row r="478" spans="95:98" ht="13.8" x14ac:dyDescent="0.3">
      <c r="CQ478" s="24">
        <v>0.99892303782513936</v>
      </c>
      <c r="CR478" s="24" t="str">
        <f>"1"</f>
        <v>1</v>
      </c>
      <c r="CS478" t="str">
        <f ca="1">IF((OFFSET($A$1, 478 - 1, 95 - 1)) &gt;= (OFFSET($A$1, 54 - 1, 7 - 1)), "1","0")</f>
        <v>1</v>
      </c>
      <c r="CT478">
        <f ca="1" xml:space="preserve"> IF( AND( OFFSET($A$1, 478 - 1, 96 - 1) = "1", OFFSET($A$1, 478 - 1, 97 - 1) = "1" ), 1, IF( AND( OFFSET($A$1, 478 - 1, 96 - 1) = "1", OFFSET($A$1, 478 - 1, 97 - 1) = "0" ), 2, IF( AND( OFFSET($A$1, 478 - 1, 96 - 1) = "0", OFFSET($A$1, 478 - 1, 97 - 1) = "1" ), 3, 4 ) ) )</f>
        <v>1</v>
      </c>
    </row>
    <row r="479" spans="95:98" ht="13.8" x14ac:dyDescent="0.3">
      <c r="CQ479" s="24">
        <v>0.97085965198597901</v>
      </c>
      <c r="CR479" s="24" t="str">
        <f>"1"</f>
        <v>1</v>
      </c>
      <c r="CS479" t="str">
        <f ca="1">IF((OFFSET($A$1, 479 - 1, 95 - 1)) &gt;= (OFFSET($A$1, 54 - 1, 7 - 1)), "1","0")</f>
        <v>1</v>
      </c>
      <c r="CT479">
        <f ca="1" xml:space="preserve"> IF( AND( OFFSET($A$1, 479 - 1, 96 - 1) = "1", OFFSET($A$1, 479 - 1, 97 - 1) = "1" ), 1, IF( AND( OFFSET($A$1, 479 - 1, 96 - 1) = "1", OFFSET($A$1, 479 - 1, 97 - 1) = "0" ), 2, IF( AND( OFFSET($A$1, 479 - 1, 96 - 1) = "0", OFFSET($A$1, 479 - 1, 97 - 1) = "1" ), 3, 4 ) ) )</f>
        <v>1</v>
      </c>
    </row>
    <row r="480" spans="95:98" ht="13.8" x14ac:dyDescent="0.3">
      <c r="CQ480" s="24">
        <v>3.8141552760650101E-2</v>
      </c>
      <c r="CR480" s="24" t="str">
        <f>"0"</f>
        <v>0</v>
      </c>
      <c r="CS480" t="str">
        <f ca="1">IF((OFFSET($A$1, 480 - 1, 95 - 1)) &gt;= (OFFSET($A$1, 54 - 1, 7 - 1)), "1","0")</f>
        <v>0</v>
      </c>
      <c r="CT480">
        <f ca="1" xml:space="preserve"> IF( AND( OFFSET($A$1, 480 - 1, 96 - 1) = "1", OFFSET($A$1, 480 - 1, 97 - 1) = "1" ), 1, IF( AND( OFFSET($A$1, 480 - 1, 96 - 1) = "1", OFFSET($A$1, 480 - 1, 97 - 1) = "0" ), 2, IF( AND( OFFSET($A$1, 480 - 1, 96 - 1) = "0", OFFSET($A$1, 480 - 1, 97 - 1) = "1" ), 3, 4 ) ) )</f>
        <v>4</v>
      </c>
    </row>
    <row r="481" spans="95:98" ht="13.8" x14ac:dyDescent="0.3">
      <c r="CQ481" s="24">
        <v>0.98928913249207562</v>
      </c>
      <c r="CR481" s="24" t="str">
        <f>"1"</f>
        <v>1</v>
      </c>
      <c r="CS481" t="str">
        <f ca="1">IF((OFFSET($A$1, 481 - 1, 95 - 1)) &gt;= (OFFSET($A$1, 54 - 1, 7 - 1)), "1","0")</f>
        <v>1</v>
      </c>
      <c r="CT481">
        <f ca="1" xml:space="preserve"> IF( AND( OFFSET($A$1, 481 - 1, 96 - 1) = "1", OFFSET($A$1, 481 - 1, 97 - 1) = "1" ), 1, IF( AND( OFFSET($A$1, 481 - 1, 96 - 1) = "1", OFFSET($A$1, 481 - 1, 97 - 1) = "0" ), 2, IF( AND( OFFSET($A$1, 481 - 1, 96 - 1) = "0", OFFSET($A$1, 481 - 1, 97 - 1) = "1" ), 3, 4 ) ) )</f>
        <v>1</v>
      </c>
    </row>
    <row r="482" spans="95:98" ht="13.8" x14ac:dyDescent="0.3">
      <c r="CQ482" s="24">
        <v>0.99788405665270896</v>
      </c>
      <c r="CR482" s="24" t="str">
        <f>"1"</f>
        <v>1</v>
      </c>
      <c r="CS482" t="str">
        <f ca="1">IF((OFFSET($A$1, 482 - 1, 95 - 1)) &gt;= (OFFSET($A$1, 54 - 1, 7 - 1)), "1","0")</f>
        <v>1</v>
      </c>
      <c r="CT482">
        <f ca="1" xml:space="preserve"> IF( AND( OFFSET($A$1, 482 - 1, 96 - 1) = "1", OFFSET($A$1, 482 - 1, 97 - 1) = "1" ), 1, IF( AND( OFFSET($A$1, 482 - 1, 96 - 1) = "1", OFFSET($A$1, 482 - 1, 97 - 1) = "0" ), 2, IF( AND( OFFSET($A$1, 482 - 1, 96 - 1) = "0", OFFSET($A$1, 482 - 1, 97 - 1) = "1" ), 3, 4 ) ) )</f>
        <v>1</v>
      </c>
    </row>
    <row r="483" spans="95:98" ht="13.8" x14ac:dyDescent="0.3">
      <c r="CQ483" s="24">
        <v>0.9874142213390823</v>
      </c>
      <c r="CR483" s="24" t="str">
        <f>"1"</f>
        <v>1</v>
      </c>
      <c r="CS483" t="str">
        <f ca="1">IF((OFFSET($A$1, 483 - 1, 95 - 1)) &gt;= (OFFSET($A$1, 54 - 1, 7 - 1)), "1","0")</f>
        <v>1</v>
      </c>
      <c r="CT483">
        <f ca="1" xml:space="preserve"> IF( AND( OFFSET($A$1, 483 - 1, 96 - 1) = "1", OFFSET($A$1, 483 - 1, 97 - 1) = "1" ), 1, IF( AND( OFFSET($A$1, 483 - 1, 96 - 1) = "1", OFFSET($A$1, 483 - 1, 97 - 1) = "0" ), 2, IF( AND( OFFSET($A$1, 483 - 1, 96 - 1) = "0", OFFSET($A$1, 483 - 1, 97 - 1) = "1" ), 3, 4 ) ) )</f>
        <v>1</v>
      </c>
    </row>
    <row r="484" spans="95:98" ht="13.8" x14ac:dyDescent="0.3">
      <c r="CQ484" s="24">
        <v>0.96408637178473211</v>
      </c>
      <c r="CR484" s="24" t="str">
        <f>"1"</f>
        <v>1</v>
      </c>
      <c r="CS484" t="str">
        <f ca="1">IF((OFFSET($A$1, 484 - 1, 95 - 1)) &gt;= (OFFSET($A$1, 54 - 1, 7 - 1)), "1","0")</f>
        <v>1</v>
      </c>
      <c r="CT484">
        <f ca="1" xml:space="preserve"> IF( AND( OFFSET($A$1, 484 - 1, 96 - 1) = "1", OFFSET($A$1, 484 - 1, 97 - 1) = "1" ), 1, IF( AND( OFFSET($A$1, 484 - 1, 96 - 1) = "1", OFFSET($A$1, 484 - 1, 97 - 1) = "0" ), 2, IF( AND( OFFSET($A$1, 484 - 1, 96 - 1) = "0", OFFSET($A$1, 484 - 1, 97 - 1) = "1" ), 3, 4 ) ) )</f>
        <v>1</v>
      </c>
    </row>
    <row r="485" spans="95:98" ht="13.8" x14ac:dyDescent="0.3">
      <c r="CQ485" s="24">
        <v>6.1575384928121129E-3</v>
      </c>
      <c r="CR485" s="24" t="str">
        <f>"0"</f>
        <v>0</v>
      </c>
      <c r="CS485" t="str">
        <f ca="1">IF((OFFSET($A$1, 485 - 1, 95 - 1)) &gt;= (OFFSET($A$1, 54 - 1, 7 - 1)), "1","0")</f>
        <v>0</v>
      </c>
      <c r="CT485">
        <f ca="1" xml:space="preserve"> IF( AND( OFFSET($A$1, 485 - 1, 96 - 1) = "1", OFFSET($A$1, 485 - 1, 97 - 1) = "1" ), 1, IF( AND( OFFSET($A$1, 485 - 1, 96 - 1) = "1", OFFSET($A$1, 485 - 1, 97 - 1) = "0" ), 2, IF( AND( OFFSET($A$1, 485 - 1, 96 - 1) = "0", OFFSET($A$1, 485 - 1, 97 - 1) = "1" ), 3, 4 ) ) )</f>
        <v>4</v>
      </c>
    </row>
    <row r="486" spans="95:98" ht="13.8" x14ac:dyDescent="0.3">
      <c r="CQ486" s="24">
        <v>0.97847496386526533</v>
      </c>
      <c r="CR486" s="24" t="str">
        <f>"1"</f>
        <v>1</v>
      </c>
      <c r="CS486" t="str">
        <f ca="1">IF((OFFSET($A$1, 486 - 1, 95 - 1)) &gt;= (OFFSET($A$1, 54 - 1, 7 - 1)), "1","0")</f>
        <v>1</v>
      </c>
      <c r="CT486">
        <f ca="1" xml:space="preserve"> IF( AND( OFFSET($A$1, 486 - 1, 96 - 1) = "1", OFFSET($A$1, 486 - 1, 97 - 1) = "1" ), 1, IF( AND( OFFSET($A$1, 486 - 1, 96 - 1) = "1", OFFSET($A$1, 486 - 1, 97 - 1) = "0" ), 2, IF( AND( OFFSET($A$1, 486 - 1, 96 - 1) = "0", OFFSET($A$1, 486 - 1, 97 - 1) = "1" ), 3, 4 ) ) )</f>
        <v>1</v>
      </c>
    </row>
    <row r="487" spans="95:98" ht="13.8" x14ac:dyDescent="0.3">
      <c r="CQ487" s="24">
        <v>0.99308967789085467</v>
      </c>
      <c r="CR487" s="24" t="str">
        <f>"1"</f>
        <v>1</v>
      </c>
      <c r="CS487" t="str">
        <f ca="1">IF((OFFSET($A$1, 487 - 1, 95 - 1)) &gt;= (OFFSET($A$1, 54 - 1, 7 - 1)), "1","0")</f>
        <v>1</v>
      </c>
      <c r="CT487">
        <f ca="1" xml:space="preserve"> IF( AND( OFFSET($A$1, 487 - 1, 96 - 1) = "1", OFFSET($A$1, 487 - 1, 97 - 1) = "1" ), 1, IF( AND( OFFSET($A$1, 487 - 1, 96 - 1) = "1", OFFSET($A$1, 487 - 1, 97 - 1) = "0" ), 2, IF( AND( OFFSET($A$1, 487 - 1, 96 - 1) = "0", OFFSET($A$1, 487 - 1, 97 - 1) = "1" ), 3, 4 ) ) )</f>
        <v>1</v>
      </c>
    </row>
    <row r="488" spans="95:98" ht="13.8" x14ac:dyDescent="0.3">
      <c r="CQ488" s="24">
        <v>0.15244427295205557</v>
      </c>
      <c r="CR488" s="24" t="str">
        <f>"0"</f>
        <v>0</v>
      </c>
      <c r="CS488" t="str">
        <f ca="1">IF((OFFSET($A$1, 488 - 1, 95 - 1)) &gt;= (OFFSET($A$1, 54 - 1, 7 - 1)), "1","0")</f>
        <v>0</v>
      </c>
      <c r="CT488">
        <f ca="1" xml:space="preserve"> IF( AND( OFFSET($A$1, 488 - 1, 96 - 1) = "1", OFFSET($A$1, 488 - 1, 97 - 1) = "1" ), 1, IF( AND( OFFSET($A$1, 488 - 1, 96 - 1) = "1", OFFSET($A$1, 488 - 1, 97 - 1) = "0" ), 2, IF( AND( OFFSET($A$1, 488 - 1, 96 - 1) = "0", OFFSET($A$1, 488 - 1, 97 - 1) = "1" ), 3, 4 ) ) )</f>
        <v>4</v>
      </c>
    </row>
    <row r="489" spans="95:98" ht="13.8" x14ac:dyDescent="0.3">
      <c r="CQ489" s="24">
        <v>0.98359987949926497</v>
      </c>
      <c r="CR489" s="24" t="str">
        <f>"1"</f>
        <v>1</v>
      </c>
      <c r="CS489" t="str">
        <f ca="1">IF((OFFSET($A$1, 489 - 1, 95 - 1)) &gt;= (OFFSET($A$1, 54 - 1, 7 - 1)), "1","0")</f>
        <v>1</v>
      </c>
      <c r="CT489">
        <f ca="1" xml:space="preserve"> IF( AND( OFFSET($A$1, 489 - 1, 96 - 1) = "1", OFFSET($A$1, 489 - 1, 97 - 1) = "1" ), 1, IF( AND( OFFSET($A$1, 489 - 1, 96 - 1) = "1", OFFSET($A$1, 489 - 1, 97 - 1) = "0" ), 2, IF( AND( OFFSET($A$1, 489 - 1, 96 - 1) = "0", OFFSET($A$1, 489 - 1, 97 - 1) = "1" ), 3, 4 ) ) )</f>
        <v>1</v>
      </c>
    </row>
    <row r="490" spans="95:98" ht="13.8" x14ac:dyDescent="0.3">
      <c r="CQ490" s="24">
        <v>2.5351468404713067E-2</v>
      </c>
      <c r="CR490" s="24" t="str">
        <f>"0"</f>
        <v>0</v>
      </c>
      <c r="CS490" t="str">
        <f ca="1">IF((OFFSET($A$1, 490 - 1, 95 - 1)) &gt;= (OFFSET($A$1, 54 - 1, 7 - 1)), "1","0")</f>
        <v>0</v>
      </c>
      <c r="CT490">
        <f ca="1" xml:space="preserve"> IF( AND( OFFSET($A$1, 490 - 1, 96 - 1) = "1", OFFSET($A$1, 490 - 1, 97 - 1) = "1" ), 1, IF( AND( OFFSET($A$1, 490 - 1, 96 - 1) = "1", OFFSET($A$1, 490 - 1, 97 - 1) = "0" ), 2, IF( AND( OFFSET($A$1, 490 - 1, 96 - 1) = "0", OFFSET($A$1, 490 - 1, 97 - 1) = "1" ), 3, 4 ) ) )</f>
        <v>4</v>
      </c>
    </row>
    <row r="491" spans="95:98" ht="13.8" x14ac:dyDescent="0.3">
      <c r="CQ491" s="24">
        <v>0.99968634226212205</v>
      </c>
      <c r="CR491" s="24" t="str">
        <f t="shared" ref="CR491:CR502" si="34">"1"</f>
        <v>1</v>
      </c>
      <c r="CS491" t="str">
        <f ca="1">IF((OFFSET($A$1, 491 - 1, 95 - 1)) &gt;= (OFFSET($A$1, 54 - 1, 7 - 1)), "1","0")</f>
        <v>1</v>
      </c>
      <c r="CT491">
        <f ca="1" xml:space="preserve"> IF( AND( OFFSET($A$1, 491 - 1, 96 - 1) = "1", OFFSET($A$1, 491 - 1, 97 - 1) = "1" ), 1, IF( AND( OFFSET($A$1, 491 - 1, 96 - 1) = "1", OFFSET($A$1, 491 - 1, 97 - 1) = "0" ), 2, IF( AND( OFFSET($A$1, 491 - 1, 96 - 1) = "0", OFFSET($A$1, 491 - 1, 97 - 1) = "1" ), 3, 4 ) ) )</f>
        <v>1</v>
      </c>
    </row>
    <row r="492" spans="95:98" ht="13.8" x14ac:dyDescent="0.3">
      <c r="CQ492" s="24">
        <v>0.97854392549657632</v>
      </c>
      <c r="CR492" s="24" t="str">
        <f t="shared" si="34"/>
        <v>1</v>
      </c>
      <c r="CS492" t="str">
        <f ca="1">IF((OFFSET($A$1, 492 - 1, 95 - 1)) &gt;= (OFFSET($A$1, 54 - 1, 7 - 1)), "1","0")</f>
        <v>1</v>
      </c>
      <c r="CT492">
        <f ca="1" xml:space="preserve"> IF( AND( OFFSET($A$1, 492 - 1, 96 - 1) = "1", OFFSET($A$1, 492 - 1, 97 - 1) = "1" ), 1, IF( AND( OFFSET($A$1, 492 - 1, 96 - 1) = "1", OFFSET($A$1, 492 - 1, 97 - 1) = "0" ), 2, IF( AND( OFFSET($A$1, 492 - 1, 96 - 1) = "0", OFFSET($A$1, 492 - 1, 97 - 1) = "1" ), 3, 4 ) ) )</f>
        <v>1</v>
      </c>
    </row>
    <row r="493" spans="95:98" ht="13.8" x14ac:dyDescent="0.3">
      <c r="CQ493" s="24">
        <v>0.99501627047387864</v>
      </c>
      <c r="CR493" s="24" t="str">
        <f t="shared" si="34"/>
        <v>1</v>
      </c>
      <c r="CS493" t="str">
        <f ca="1">IF((OFFSET($A$1, 493 - 1, 95 - 1)) &gt;= (OFFSET($A$1, 54 - 1, 7 - 1)), "1","0")</f>
        <v>1</v>
      </c>
      <c r="CT493">
        <f ca="1" xml:space="preserve"> IF( AND( OFFSET($A$1, 493 - 1, 96 - 1) = "1", OFFSET($A$1, 493 - 1, 97 - 1) = "1" ), 1, IF( AND( OFFSET($A$1, 493 - 1, 96 - 1) = "1", OFFSET($A$1, 493 - 1, 97 - 1) = "0" ), 2, IF( AND( OFFSET($A$1, 493 - 1, 96 - 1) = "0", OFFSET($A$1, 493 - 1, 97 - 1) = "1" ), 3, 4 ) ) )</f>
        <v>1</v>
      </c>
    </row>
    <row r="494" spans="95:98" ht="13.8" x14ac:dyDescent="0.3">
      <c r="CQ494" s="24">
        <v>0.94345774381328396</v>
      </c>
      <c r="CR494" s="24" t="str">
        <f t="shared" si="34"/>
        <v>1</v>
      </c>
      <c r="CS494" t="str">
        <f ca="1">IF((OFFSET($A$1, 494 - 1, 95 - 1)) &gt;= (OFFSET($A$1, 54 - 1, 7 - 1)), "1","0")</f>
        <v>1</v>
      </c>
      <c r="CT494">
        <f ca="1" xml:space="preserve"> IF( AND( OFFSET($A$1, 494 - 1, 96 - 1) = "1", OFFSET($A$1, 494 - 1, 97 - 1) = "1" ), 1, IF( AND( OFFSET($A$1, 494 - 1, 96 - 1) = "1", OFFSET($A$1, 494 - 1, 97 - 1) = "0" ), 2, IF( AND( OFFSET($A$1, 494 - 1, 96 - 1) = "0", OFFSET($A$1, 494 - 1, 97 - 1) = "1" ), 3, 4 ) ) )</f>
        <v>1</v>
      </c>
    </row>
    <row r="495" spans="95:98" ht="13.8" x14ac:dyDescent="0.3">
      <c r="CQ495" s="24">
        <v>0.95612124639323393</v>
      </c>
      <c r="CR495" s="24" t="str">
        <f t="shared" si="34"/>
        <v>1</v>
      </c>
      <c r="CS495" t="str">
        <f ca="1">IF((OFFSET($A$1, 495 - 1, 95 - 1)) &gt;= (OFFSET($A$1, 54 - 1, 7 - 1)), "1","0")</f>
        <v>1</v>
      </c>
      <c r="CT495">
        <f ca="1" xml:space="preserve"> IF( AND( OFFSET($A$1, 495 - 1, 96 - 1) = "1", OFFSET($A$1, 495 - 1, 97 - 1) = "1" ), 1, IF( AND( OFFSET($A$1, 495 - 1, 96 - 1) = "1", OFFSET($A$1, 495 - 1, 97 - 1) = "0" ), 2, IF( AND( OFFSET($A$1, 495 - 1, 96 - 1) = "0", OFFSET($A$1, 495 - 1, 97 - 1) = "1" ), 3, 4 ) ) )</f>
        <v>1</v>
      </c>
    </row>
    <row r="496" spans="95:98" ht="13.8" x14ac:dyDescent="0.3">
      <c r="CQ496" s="24">
        <v>0.98216071137674377</v>
      </c>
      <c r="CR496" s="24" t="str">
        <f t="shared" si="34"/>
        <v>1</v>
      </c>
      <c r="CS496" t="str">
        <f ca="1">IF((OFFSET($A$1, 496 - 1, 95 - 1)) &gt;= (OFFSET($A$1, 54 - 1, 7 - 1)), "1","0")</f>
        <v>1</v>
      </c>
      <c r="CT496">
        <f ca="1" xml:space="preserve"> IF( AND( OFFSET($A$1, 496 - 1, 96 - 1) = "1", OFFSET($A$1, 496 - 1, 97 - 1) = "1" ), 1, IF( AND( OFFSET($A$1, 496 - 1, 96 - 1) = "1", OFFSET($A$1, 496 - 1, 97 - 1) = "0" ), 2, IF( AND( OFFSET($A$1, 496 - 1, 96 - 1) = "0", OFFSET($A$1, 496 - 1, 97 - 1) = "1" ), 3, 4 ) ) )</f>
        <v>1</v>
      </c>
    </row>
    <row r="497" spans="95:98" ht="13.8" x14ac:dyDescent="0.3">
      <c r="CQ497" s="24">
        <v>0.99578562760050127</v>
      </c>
      <c r="CR497" s="24" t="str">
        <f t="shared" si="34"/>
        <v>1</v>
      </c>
      <c r="CS497" t="str">
        <f ca="1">IF((OFFSET($A$1, 497 - 1, 95 - 1)) &gt;= (OFFSET($A$1, 54 - 1, 7 - 1)), "1","0")</f>
        <v>1</v>
      </c>
      <c r="CT497">
        <f ca="1" xml:space="preserve"> IF( AND( OFFSET($A$1, 497 - 1, 96 - 1) = "1", OFFSET($A$1, 497 - 1, 97 - 1) = "1" ), 1, IF( AND( OFFSET($A$1, 497 - 1, 96 - 1) = "1", OFFSET($A$1, 497 - 1, 97 - 1) = "0" ), 2, IF( AND( OFFSET($A$1, 497 - 1, 96 - 1) = "0", OFFSET($A$1, 497 - 1, 97 - 1) = "1" ), 3, 4 ) ) )</f>
        <v>1</v>
      </c>
    </row>
    <row r="498" spans="95:98" ht="13.8" x14ac:dyDescent="0.3">
      <c r="CQ498" s="24">
        <v>0.93843265603068027</v>
      </c>
      <c r="CR498" s="24" t="str">
        <f t="shared" si="34"/>
        <v>1</v>
      </c>
      <c r="CS498" t="str">
        <f ca="1">IF((OFFSET($A$1, 498 - 1, 95 - 1)) &gt;= (OFFSET($A$1, 54 - 1, 7 - 1)), "1","0")</f>
        <v>1</v>
      </c>
      <c r="CT498">
        <f ca="1" xml:space="preserve"> IF( AND( OFFSET($A$1, 498 - 1, 96 - 1) = "1", OFFSET($A$1, 498 - 1, 97 - 1) = "1" ), 1, IF( AND( OFFSET($A$1, 498 - 1, 96 - 1) = "1", OFFSET($A$1, 498 - 1, 97 - 1) = "0" ), 2, IF( AND( OFFSET($A$1, 498 - 1, 96 - 1) = "0", OFFSET($A$1, 498 - 1, 97 - 1) = "1" ), 3, 4 ) ) )</f>
        <v>1</v>
      </c>
    </row>
    <row r="499" spans="95:98" ht="13.8" x14ac:dyDescent="0.3">
      <c r="CQ499" s="24">
        <v>0.99108287785940974</v>
      </c>
      <c r="CR499" s="24" t="str">
        <f t="shared" si="34"/>
        <v>1</v>
      </c>
      <c r="CS499" t="str">
        <f ca="1">IF((OFFSET($A$1, 499 - 1, 95 - 1)) &gt;= (OFFSET($A$1, 54 - 1, 7 - 1)), "1","0")</f>
        <v>1</v>
      </c>
      <c r="CT499">
        <f ca="1" xml:space="preserve"> IF( AND( OFFSET($A$1, 499 - 1, 96 - 1) = "1", OFFSET($A$1, 499 - 1, 97 - 1) = "1" ), 1, IF( AND( OFFSET($A$1, 499 - 1, 96 - 1) = "1", OFFSET($A$1, 499 - 1, 97 - 1) = "0" ), 2, IF( AND( OFFSET($A$1, 499 - 1, 96 - 1) = "0", OFFSET($A$1, 499 - 1, 97 - 1) = "1" ), 3, 4 ) ) )</f>
        <v>1</v>
      </c>
    </row>
    <row r="500" spans="95:98" ht="13.8" x14ac:dyDescent="0.3">
      <c r="CQ500" s="24">
        <v>0.99995235977125407</v>
      </c>
      <c r="CR500" s="24" t="str">
        <f t="shared" si="34"/>
        <v>1</v>
      </c>
      <c r="CS500" t="str">
        <f ca="1">IF((OFFSET($A$1, 500 - 1, 95 - 1)) &gt;= (OFFSET($A$1, 54 - 1, 7 - 1)), "1","0")</f>
        <v>1</v>
      </c>
      <c r="CT500">
        <f ca="1" xml:space="preserve"> IF( AND( OFFSET($A$1, 500 - 1, 96 - 1) = "1", OFFSET($A$1, 500 - 1, 97 - 1) = "1" ), 1, IF( AND( OFFSET($A$1, 500 - 1, 96 - 1) = "1", OFFSET($A$1, 500 - 1, 97 - 1) = "0" ), 2, IF( AND( OFFSET($A$1, 500 - 1, 96 - 1) = "0", OFFSET($A$1, 500 - 1, 97 - 1) = "1" ), 3, 4 ) ) )</f>
        <v>1</v>
      </c>
    </row>
    <row r="501" spans="95:98" ht="13.8" x14ac:dyDescent="0.3">
      <c r="CQ501" s="24">
        <v>0.99962750570198777</v>
      </c>
      <c r="CR501" s="24" t="str">
        <f t="shared" si="34"/>
        <v>1</v>
      </c>
      <c r="CS501" t="str">
        <f ca="1">IF((OFFSET($A$1, 501 - 1, 95 - 1)) &gt;= (OFFSET($A$1, 54 - 1, 7 - 1)), "1","0")</f>
        <v>1</v>
      </c>
      <c r="CT501">
        <f ca="1" xml:space="preserve"> IF( AND( OFFSET($A$1, 501 - 1, 96 - 1) = "1", OFFSET($A$1, 501 - 1, 97 - 1) = "1" ), 1, IF( AND( OFFSET($A$1, 501 - 1, 96 - 1) = "1", OFFSET($A$1, 501 - 1, 97 - 1) = "0" ), 2, IF( AND( OFFSET($A$1, 501 - 1, 96 - 1) = "0", OFFSET($A$1, 501 - 1, 97 - 1) = "1" ), 3, 4 ) ) )</f>
        <v>1</v>
      </c>
    </row>
    <row r="502" spans="95:98" ht="13.8" x14ac:dyDescent="0.3">
      <c r="CQ502" s="24">
        <v>0.98301179656776527</v>
      </c>
      <c r="CR502" s="24" t="str">
        <f t="shared" si="34"/>
        <v>1</v>
      </c>
      <c r="CS502" t="str">
        <f ca="1">IF((OFFSET($A$1, 502 - 1, 95 - 1)) &gt;= (OFFSET($A$1, 54 - 1, 7 - 1)), "1","0")</f>
        <v>1</v>
      </c>
      <c r="CT502">
        <f ca="1" xml:space="preserve"> IF( AND( OFFSET($A$1, 502 - 1, 96 - 1) = "1", OFFSET($A$1, 502 - 1, 97 - 1) = "1" ), 1, IF( AND( OFFSET($A$1, 502 - 1, 96 - 1) = "1", OFFSET($A$1, 502 - 1, 97 - 1) = "0" ), 2, IF( AND( OFFSET($A$1, 502 - 1, 96 - 1) = "0", OFFSET($A$1, 502 - 1, 97 - 1) = "1" ), 3, 4 ) ) )</f>
        <v>1</v>
      </c>
    </row>
    <row r="503" spans="95:98" ht="13.8" x14ac:dyDescent="0.3">
      <c r="CQ503" s="24">
        <v>5.4155100037400629E-2</v>
      </c>
      <c r="CR503" s="24" t="str">
        <f>"0"</f>
        <v>0</v>
      </c>
      <c r="CS503" t="str">
        <f ca="1">IF((OFFSET($A$1, 503 - 1, 95 - 1)) &gt;= (OFFSET($A$1, 54 - 1, 7 - 1)), "1","0")</f>
        <v>0</v>
      </c>
      <c r="CT503">
        <f ca="1" xml:space="preserve"> IF( AND( OFFSET($A$1, 503 - 1, 96 - 1) = "1", OFFSET($A$1, 503 - 1, 97 - 1) = "1" ), 1, IF( AND( OFFSET($A$1, 503 - 1, 96 - 1) = "1", OFFSET($A$1, 503 - 1, 97 - 1) = "0" ), 2, IF( AND( OFFSET($A$1, 503 - 1, 96 - 1) = "0", OFFSET($A$1, 503 - 1, 97 - 1) = "1" ), 3, 4 ) ) )</f>
        <v>4</v>
      </c>
    </row>
    <row r="504" spans="95:98" ht="13.8" x14ac:dyDescent="0.3">
      <c r="CQ504" s="24">
        <v>0.98766440629252839</v>
      </c>
      <c r="CR504" s="24" t="str">
        <f>"1"</f>
        <v>1</v>
      </c>
      <c r="CS504" t="str">
        <f ca="1">IF((OFFSET($A$1, 504 - 1, 95 - 1)) &gt;= (OFFSET($A$1, 54 - 1, 7 - 1)), "1","0")</f>
        <v>1</v>
      </c>
      <c r="CT504">
        <f ca="1" xml:space="preserve"> IF( AND( OFFSET($A$1, 504 - 1, 96 - 1) = "1", OFFSET($A$1, 504 - 1, 97 - 1) = "1" ), 1, IF( AND( OFFSET($A$1, 504 - 1, 96 - 1) = "1", OFFSET($A$1, 504 - 1, 97 - 1) = "0" ), 2, IF( AND( OFFSET($A$1, 504 - 1, 96 - 1) = "0", OFFSET($A$1, 504 - 1, 97 - 1) = "1" ), 3, 4 ) ) )</f>
        <v>1</v>
      </c>
    </row>
    <row r="505" spans="95:98" ht="13.8" x14ac:dyDescent="0.3">
      <c r="CQ505" s="24">
        <v>0.99996405356903995</v>
      </c>
      <c r="CR505" s="24" t="str">
        <f>"1"</f>
        <v>1</v>
      </c>
      <c r="CS505" t="str">
        <f ca="1">IF((OFFSET($A$1, 505 - 1, 95 - 1)) &gt;= (OFFSET($A$1, 54 - 1, 7 - 1)), "1","0")</f>
        <v>1</v>
      </c>
      <c r="CT505">
        <f ca="1" xml:space="preserve"> IF( AND( OFFSET($A$1, 505 - 1, 96 - 1) = "1", OFFSET($A$1, 505 - 1, 97 - 1) = "1" ), 1, IF( AND( OFFSET($A$1, 505 - 1, 96 - 1) = "1", OFFSET($A$1, 505 - 1, 97 - 1) = "0" ), 2, IF( AND( OFFSET($A$1, 505 - 1, 96 - 1) = "0", OFFSET($A$1, 505 - 1, 97 - 1) = "1" ), 3, 4 ) ) )</f>
        <v>1</v>
      </c>
    </row>
    <row r="506" spans="95:98" ht="13.8" x14ac:dyDescent="0.3">
      <c r="CQ506" s="24">
        <v>0.96133613858226152</v>
      </c>
      <c r="CR506" s="24" t="str">
        <f>"1"</f>
        <v>1</v>
      </c>
      <c r="CS506" t="str">
        <f ca="1">IF((OFFSET($A$1, 506 - 1, 95 - 1)) &gt;= (OFFSET($A$1, 54 - 1, 7 - 1)), "1","0")</f>
        <v>1</v>
      </c>
      <c r="CT506">
        <f ca="1" xml:space="preserve"> IF( AND( OFFSET($A$1, 506 - 1, 96 - 1) = "1", OFFSET($A$1, 506 - 1, 97 - 1) = "1" ), 1, IF( AND( OFFSET($A$1, 506 - 1, 96 - 1) = "1", OFFSET($A$1, 506 - 1, 97 - 1) = "0" ), 2, IF( AND( OFFSET($A$1, 506 - 1, 96 - 1) = "0", OFFSET($A$1, 506 - 1, 97 - 1) = "1" ), 3, 4 ) ) )</f>
        <v>1</v>
      </c>
    </row>
    <row r="507" spans="95:98" ht="13.8" x14ac:dyDescent="0.3">
      <c r="CQ507" s="24">
        <v>8.5570131360020018E-3</v>
      </c>
      <c r="CR507" s="24" t="str">
        <f>"0"</f>
        <v>0</v>
      </c>
      <c r="CS507" t="str">
        <f ca="1">IF((OFFSET($A$1, 507 - 1, 95 - 1)) &gt;= (OFFSET($A$1, 54 - 1, 7 - 1)), "1","0")</f>
        <v>0</v>
      </c>
      <c r="CT507">
        <f ca="1" xml:space="preserve"> IF( AND( OFFSET($A$1, 507 - 1, 96 - 1) = "1", OFFSET($A$1, 507 - 1, 97 - 1) = "1" ), 1, IF( AND( OFFSET($A$1, 507 - 1, 96 - 1) = "1", OFFSET($A$1, 507 - 1, 97 - 1) = "0" ), 2, IF( AND( OFFSET($A$1, 507 - 1, 96 - 1) = "0", OFFSET($A$1, 507 - 1, 97 - 1) = "1" ), 3, 4 ) ) )</f>
        <v>4</v>
      </c>
    </row>
    <row r="508" spans="95:98" ht="13.8" x14ac:dyDescent="0.3">
      <c r="CQ508" s="24">
        <v>9.1851727171762279E-2</v>
      </c>
      <c r="CR508" s="24" t="str">
        <f>"0"</f>
        <v>0</v>
      </c>
      <c r="CS508" t="str">
        <f ca="1">IF((OFFSET($A$1, 508 - 1, 95 - 1)) &gt;= (OFFSET($A$1, 54 - 1, 7 - 1)), "1","0")</f>
        <v>0</v>
      </c>
      <c r="CT508">
        <f ca="1" xml:space="preserve"> IF( AND( OFFSET($A$1, 508 - 1, 96 - 1) = "1", OFFSET($A$1, 508 - 1, 97 - 1) = "1" ), 1, IF( AND( OFFSET($A$1, 508 - 1, 96 - 1) = "1", OFFSET($A$1, 508 - 1, 97 - 1) = "0" ), 2, IF( AND( OFFSET($A$1, 508 - 1, 96 - 1) = "0", OFFSET($A$1, 508 - 1, 97 - 1) = "1" ), 3, 4 ) ) )</f>
        <v>4</v>
      </c>
    </row>
    <row r="509" spans="95:98" ht="13.8" x14ac:dyDescent="0.3">
      <c r="CQ509" s="24">
        <v>0.12950180718878015</v>
      </c>
      <c r="CR509" s="24" t="str">
        <f>"0"</f>
        <v>0</v>
      </c>
      <c r="CS509" t="str">
        <f ca="1">IF((OFFSET($A$1, 509 - 1, 95 - 1)) &gt;= (OFFSET($A$1, 54 - 1, 7 - 1)), "1","0")</f>
        <v>0</v>
      </c>
      <c r="CT509">
        <f ca="1" xml:space="preserve"> IF( AND( OFFSET($A$1, 509 - 1, 96 - 1) = "1", OFFSET($A$1, 509 - 1, 97 - 1) = "1" ), 1, IF( AND( OFFSET($A$1, 509 - 1, 96 - 1) = "1", OFFSET($A$1, 509 - 1, 97 - 1) = "0" ), 2, IF( AND( OFFSET($A$1, 509 - 1, 96 - 1) = "0", OFFSET($A$1, 509 - 1, 97 - 1) = "1" ), 3, 4 ) ) )</f>
        <v>4</v>
      </c>
    </row>
    <row r="510" spans="95:98" ht="13.8" x14ac:dyDescent="0.3">
      <c r="CQ510" s="24">
        <v>0.99763325140768255</v>
      </c>
      <c r="CR510" s="24" t="str">
        <f>"1"</f>
        <v>1</v>
      </c>
      <c r="CS510" t="str">
        <f ca="1">IF((OFFSET($A$1, 510 - 1, 95 - 1)) &gt;= (OFFSET($A$1, 54 - 1, 7 - 1)), "1","0")</f>
        <v>1</v>
      </c>
      <c r="CT510">
        <f ca="1" xml:space="preserve"> IF( AND( OFFSET($A$1, 510 - 1, 96 - 1) = "1", OFFSET($A$1, 510 - 1, 97 - 1) = "1" ), 1, IF( AND( OFFSET($A$1, 510 - 1, 96 - 1) = "1", OFFSET($A$1, 510 - 1, 97 - 1) = "0" ), 2, IF( AND( OFFSET($A$1, 510 - 1, 96 - 1) = "0", OFFSET($A$1, 510 - 1, 97 - 1) = "1" ), 3, 4 ) ) )</f>
        <v>1</v>
      </c>
    </row>
    <row r="511" spans="95:98" ht="13.8" x14ac:dyDescent="0.3">
      <c r="CQ511" s="24">
        <v>0.96965825796939731</v>
      </c>
      <c r="CR511" s="24" t="str">
        <f>"1"</f>
        <v>1</v>
      </c>
      <c r="CS511" t="str">
        <f ca="1">IF((OFFSET($A$1, 511 - 1, 95 - 1)) &gt;= (OFFSET($A$1, 54 - 1, 7 - 1)), "1","0")</f>
        <v>1</v>
      </c>
      <c r="CT511">
        <f ca="1" xml:space="preserve"> IF( AND( OFFSET($A$1, 511 - 1, 96 - 1) = "1", OFFSET($A$1, 511 - 1, 97 - 1) = "1" ), 1, IF( AND( OFFSET($A$1, 511 - 1, 96 - 1) = "1", OFFSET($A$1, 511 - 1, 97 - 1) = "0" ), 2, IF( AND( OFFSET($A$1, 511 - 1, 96 - 1) = "0", OFFSET($A$1, 511 - 1, 97 - 1) = "1" ), 3, 4 ) ) )</f>
        <v>1</v>
      </c>
    </row>
    <row r="512" spans="95:98" ht="13.8" x14ac:dyDescent="0.3">
      <c r="CQ512" s="24">
        <v>0.96743739159380071</v>
      </c>
      <c r="CR512" s="24" t="str">
        <f>"1"</f>
        <v>1</v>
      </c>
      <c r="CS512" t="str">
        <f ca="1">IF((OFFSET($A$1, 512 - 1, 95 - 1)) &gt;= (OFFSET($A$1, 54 - 1, 7 - 1)), "1","0")</f>
        <v>1</v>
      </c>
      <c r="CT512">
        <f ca="1" xml:space="preserve"> IF( AND( OFFSET($A$1, 512 - 1, 96 - 1) = "1", OFFSET($A$1, 512 - 1, 97 - 1) = "1" ), 1, IF( AND( OFFSET($A$1, 512 - 1, 96 - 1) = "1", OFFSET($A$1, 512 - 1, 97 - 1) = "0" ), 2, IF( AND( OFFSET($A$1, 512 - 1, 96 - 1) = "0", OFFSET($A$1, 512 - 1, 97 - 1) = "1" ), 3, 4 ) ) )</f>
        <v>1</v>
      </c>
    </row>
    <row r="513" spans="95:98" ht="13.8" x14ac:dyDescent="0.3">
      <c r="CQ513" s="24">
        <v>5.8644468033769732E-3</v>
      </c>
      <c r="CR513" s="24" t="str">
        <f>"0"</f>
        <v>0</v>
      </c>
      <c r="CS513" t="str">
        <f ca="1">IF((OFFSET($A$1, 513 - 1, 95 - 1)) &gt;= (OFFSET($A$1, 54 - 1, 7 - 1)), "1","0")</f>
        <v>0</v>
      </c>
      <c r="CT513">
        <f ca="1" xml:space="preserve"> IF( AND( OFFSET($A$1, 513 - 1, 96 - 1) = "1", OFFSET($A$1, 513 - 1, 97 - 1) = "1" ), 1, IF( AND( OFFSET($A$1, 513 - 1, 96 - 1) = "1", OFFSET($A$1, 513 - 1, 97 - 1) = "0" ), 2, IF( AND( OFFSET($A$1, 513 - 1, 96 - 1) = "0", OFFSET($A$1, 513 - 1, 97 - 1) = "1" ), 3, 4 ) ) )</f>
        <v>4</v>
      </c>
    </row>
    <row r="514" spans="95:98" ht="13.8" x14ac:dyDescent="0.3">
      <c r="CQ514" s="24">
        <v>0.93384572288038303</v>
      </c>
      <c r="CR514" s="24" t="str">
        <f>"1"</f>
        <v>1</v>
      </c>
      <c r="CS514" t="str">
        <f ca="1">IF((OFFSET($A$1, 514 - 1, 95 - 1)) &gt;= (OFFSET($A$1, 54 - 1, 7 - 1)), "1","0")</f>
        <v>1</v>
      </c>
      <c r="CT514">
        <f ca="1" xml:space="preserve"> IF( AND( OFFSET($A$1, 514 - 1, 96 - 1) = "1", OFFSET($A$1, 514 - 1, 97 - 1) = "1" ), 1, IF( AND( OFFSET($A$1, 514 - 1, 96 - 1) = "1", OFFSET($A$1, 514 - 1, 97 - 1) = "0" ), 2, IF( AND( OFFSET($A$1, 514 - 1, 96 - 1) = "0", OFFSET($A$1, 514 - 1, 97 - 1) = "1" ), 3, 4 ) ) )</f>
        <v>1</v>
      </c>
    </row>
    <row r="515" spans="95:98" ht="13.8" x14ac:dyDescent="0.3">
      <c r="CQ515" s="24">
        <v>0.98551974992496427</v>
      </c>
      <c r="CR515" s="24" t="str">
        <f>"1"</f>
        <v>1</v>
      </c>
      <c r="CS515" t="str">
        <f ca="1">IF((OFFSET($A$1, 515 - 1, 95 - 1)) &gt;= (OFFSET($A$1, 54 - 1, 7 - 1)), "1","0")</f>
        <v>1</v>
      </c>
      <c r="CT515">
        <f ca="1" xml:space="preserve"> IF( AND( OFFSET($A$1, 515 - 1, 96 - 1) = "1", OFFSET($A$1, 515 - 1, 97 - 1) = "1" ), 1, IF( AND( OFFSET($A$1, 515 - 1, 96 - 1) = "1", OFFSET($A$1, 515 - 1, 97 - 1) = "0" ), 2, IF( AND( OFFSET($A$1, 515 - 1, 96 - 1) = "0", OFFSET($A$1, 515 - 1, 97 - 1) = "1" ), 3, 4 ) ) )</f>
        <v>1</v>
      </c>
    </row>
    <row r="516" spans="95:98" ht="13.8" x14ac:dyDescent="0.3">
      <c r="CQ516" s="24">
        <v>0.99974594472748646</v>
      </c>
      <c r="CR516" s="24" t="str">
        <f>"1"</f>
        <v>1</v>
      </c>
      <c r="CS516" t="str">
        <f ca="1">IF((OFFSET($A$1, 516 - 1, 95 - 1)) &gt;= (OFFSET($A$1, 54 - 1, 7 - 1)), "1","0")</f>
        <v>1</v>
      </c>
      <c r="CT516">
        <f ca="1" xml:space="preserve"> IF( AND( OFFSET($A$1, 516 - 1, 96 - 1) = "1", OFFSET($A$1, 516 - 1, 97 - 1) = "1" ), 1, IF( AND( OFFSET($A$1, 516 - 1, 96 - 1) = "1", OFFSET($A$1, 516 - 1, 97 - 1) = "0" ), 2, IF( AND( OFFSET($A$1, 516 - 1, 96 - 1) = "0", OFFSET($A$1, 516 - 1, 97 - 1) = "1" ), 3, 4 ) ) )</f>
        <v>1</v>
      </c>
    </row>
    <row r="517" spans="95:98" ht="13.8" x14ac:dyDescent="0.3">
      <c r="CQ517" s="24">
        <v>0.9949357732414037</v>
      </c>
      <c r="CR517" s="24" t="str">
        <f>"1"</f>
        <v>1</v>
      </c>
      <c r="CS517" t="str">
        <f ca="1">IF((OFFSET($A$1, 517 - 1, 95 - 1)) &gt;= (OFFSET($A$1, 54 - 1, 7 - 1)), "1","0")</f>
        <v>1</v>
      </c>
      <c r="CT517">
        <f ca="1" xml:space="preserve"> IF( AND( OFFSET($A$1, 517 - 1, 96 - 1) = "1", OFFSET($A$1, 517 - 1, 97 - 1) = "1" ), 1, IF( AND( OFFSET($A$1, 517 - 1, 96 - 1) = "1", OFFSET($A$1, 517 - 1, 97 - 1) = "0" ), 2, IF( AND( OFFSET($A$1, 517 - 1, 96 - 1) = "0", OFFSET($A$1, 517 - 1, 97 - 1) = "1" ), 3, 4 ) ) )</f>
        <v>1</v>
      </c>
    </row>
    <row r="518" spans="95:98" ht="13.8" x14ac:dyDescent="0.3">
      <c r="CQ518" s="24">
        <v>0.9996416274465415</v>
      </c>
      <c r="CR518" s="24" t="str">
        <f>"1"</f>
        <v>1</v>
      </c>
      <c r="CS518" t="str">
        <f ca="1">IF((OFFSET($A$1, 518 - 1, 95 - 1)) &gt;= (OFFSET($A$1, 54 - 1, 7 - 1)), "1","0")</f>
        <v>1</v>
      </c>
      <c r="CT518">
        <f ca="1" xml:space="preserve"> IF( AND( OFFSET($A$1, 518 - 1, 96 - 1) = "1", OFFSET($A$1, 518 - 1, 97 - 1) = "1" ), 1, IF( AND( OFFSET($A$1, 518 - 1, 96 - 1) = "1", OFFSET($A$1, 518 - 1, 97 - 1) = "0" ), 2, IF( AND( OFFSET($A$1, 518 - 1, 96 - 1) = "0", OFFSET($A$1, 518 - 1, 97 - 1) = "1" ), 3, 4 ) ) )</f>
        <v>1</v>
      </c>
    </row>
    <row r="519" spans="95:98" ht="13.8" x14ac:dyDescent="0.3">
      <c r="CQ519" s="24">
        <v>0.13214812126745171</v>
      </c>
      <c r="CR519" s="24" t="str">
        <f>"0"</f>
        <v>0</v>
      </c>
      <c r="CS519" t="str">
        <f ca="1">IF((OFFSET($A$1, 519 - 1, 95 - 1)) &gt;= (OFFSET($A$1, 54 - 1, 7 - 1)), "1","0")</f>
        <v>0</v>
      </c>
      <c r="CT519">
        <f ca="1" xml:space="preserve"> IF( AND( OFFSET($A$1, 519 - 1, 96 - 1) = "1", OFFSET($A$1, 519 - 1, 97 - 1) = "1" ), 1, IF( AND( OFFSET($A$1, 519 - 1, 96 - 1) = "1", OFFSET($A$1, 519 - 1, 97 - 1) = "0" ), 2, IF( AND( OFFSET($A$1, 519 - 1, 96 - 1) = "0", OFFSET($A$1, 519 - 1, 97 - 1) = "1" ), 3, 4 ) ) )</f>
        <v>4</v>
      </c>
    </row>
    <row r="520" spans="95:98" ht="13.8" x14ac:dyDescent="0.3">
      <c r="CQ520" s="24">
        <v>4.0902525701007698E-2</v>
      </c>
      <c r="CR520" s="24" t="str">
        <f>"0"</f>
        <v>0</v>
      </c>
      <c r="CS520" t="str">
        <f ca="1">IF((OFFSET($A$1, 520 - 1, 95 - 1)) &gt;= (OFFSET($A$1, 54 - 1, 7 - 1)), "1","0")</f>
        <v>0</v>
      </c>
      <c r="CT520">
        <f ca="1" xml:space="preserve"> IF( AND( OFFSET($A$1, 520 - 1, 96 - 1) = "1", OFFSET($A$1, 520 - 1, 97 - 1) = "1" ), 1, IF( AND( OFFSET($A$1, 520 - 1, 96 - 1) = "1", OFFSET($A$1, 520 - 1, 97 - 1) = "0" ), 2, IF( AND( OFFSET($A$1, 520 - 1, 96 - 1) = "0", OFFSET($A$1, 520 - 1, 97 - 1) = "1" ), 3, 4 ) ) )</f>
        <v>4</v>
      </c>
    </row>
    <row r="521" spans="95:98" ht="13.8" x14ac:dyDescent="0.3">
      <c r="CQ521" s="24">
        <v>0.998364824098952</v>
      </c>
      <c r="CR521" s="24" t="str">
        <f>"1"</f>
        <v>1</v>
      </c>
      <c r="CS521" t="str">
        <f ca="1">IF((OFFSET($A$1, 521 - 1, 95 - 1)) &gt;= (OFFSET($A$1, 54 - 1, 7 - 1)), "1","0")</f>
        <v>1</v>
      </c>
      <c r="CT521">
        <f ca="1" xml:space="preserve"> IF( AND( OFFSET($A$1, 521 - 1, 96 - 1) = "1", OFFSET($A$1, 521 - 1, 97 - 1) = "1" ), 1, IF( AND( OFFSET($A$1, 521 - 1, 96 - 1) = "1", OFFSET($A$1, 521 - 1, 97 - 1) = "0" ), 2, IF( AND( OFFSET($A$1, 521 - 1, 96 - 1) = "0", OFFSET($A$1, 521 - 1, 97 - 1) = "1" ), 3, 4 ) ) )</f>
        <v>1</v>
      </c>
    </row>
    <row r="522" spans="95:98" ht="13.8" x14ac:dyDescent="0.3">
      <c r="CQ522" s="24">
        <v>0.99473983993933268</v>
      </c>
      <c r="CR522" s="24" t="str">
        <f>"1"</f>
        <v>1</v>
      </c>
      <c r="CS522" t="str">
        <f ca="1">IF((OFFSET($A$1, 522 - 1, 95 - 1)) &gt;= (OFFSET($A$1, 54 - 1, 7 - 1)), "1","0")</f>
        <v>1</v>
      </c>
      <c r="CT522">
        <f ca="1" xml:space="preserve"> IF( AND( OFFSET($A$1, 522 - 1, 96 - 1) = "1", OFFSET($A$1, 522 - 1, 97 - 1) = "1" ), 1, IF( AND( OFFSET($A$1, 522 - 1, 96 - 1) = "1", OFFSET($A$1, 522 - 1, 97 - 1) = "0" ), 2, IF( AND( OFFSET($A$1, 522 - 1, 96 - 1) = "0", OFFSET($A$1, 522 - 1, 97 - 1) = "1" ), 3, 4 ) ) )</f>
        <v>1</v>
      </c>
    </row>
    <row r="523" spans="95:98" ht="13.8" x14ac:dyDescent="0.3">
      <c r="CQ523" s="24">
        <v>0.99973517941127743</v>
      </c>
      <c r="CR523" s="24" t="str">
        <f>"1"</f>
        <v>1</v>
      </c>
      <c r="CS523" t="str">
        <f ca="1">IF((OFFSET($A$1, 523 - 1, 95 - 1)) &gt;= (OFFSET($A$1, 54 - 1, 7 - 1)), "1","0")</f>
        <v>1</v>
      </c>
      <c r="CT523">
        <f ca="1" xml:space="preserve"> IF( AND( OFFSET($A$1, 523 - 1, 96 - 1) = "1", OFFSET($A$1, 523 - 1, 97 - 1) = "1" ), 1, IF( AND( OFFSET($A$1, 523 - 1, 96 - 1) = "1", OFFSET($A$1, 523 - 1, 97 - 1) = "0" ), 2, IF( AND( OFFSET($A$1, 523 - 1, 96 - 1) = "0", OFFSET($A$1, 523 - 1, 97 - 1) = "1" ), 3, 4 ) ) )</f>
        <v>1</v>
      </c>
    </row>
    <row r="524" spans="95:98" ht="13.8" x14ac:dyDescent="0.3">
      <c r="CQ524" s="24">
        <v>0.13696313335074958</v>
      </c>
      <c r="CR524" s="24" t="str">
        <f>"0"</f>
        <v>0</v>
      </c>
      <c r="CS524" t="str">
        <f ca="1">IF((OFFSET($A$1, 524 - 1, 95 - 1)) &gt;= (OFFSET($A$1, 54 - 1, 7 - 1)), "1","0")</f>
        <v>0</v>
      </c>
      <c r="CT524">
        <f ca="1" xml:space="preserve"> IF( AND( OFFSET($A$1, 524 - 1, 96 - 1) = "1", OFFSET($A$1, 524 - 1, 97 - 1) = "1" ), 1, IF( AND( OFFSET($A$1, 524 - 1, 96 - 1) = "1", OFFSET($A$1, 524 - 1, 97 - 1) = "0" ), 2, IF( AND( OFFSET($A$1, 524 - 1, 96 - 1) = "0", OFFSET($A$1, 524 - 1, 97 - 1) = "1" ), 3, 4 ) ) )</f>
        <v>4</v>
      </c>
    </row>
    <row r="525" spans="95:98" ht="13.8" x14ac:dyDescent="0.3">
      <c r="CQ525" s="24">
        <v>7.6043885830594668E-2</v>
      </c>
      <c r="CR525" s="24" t="str">
        <f>"0"</f>
        <v>0</v>
      </c>
      <c r="CS525" t="str">
        <f ca="1">IF((OFFSET($A$1, 525 - 1, 95 - 1)) &gt;= (OFFSET($A$1, 54 - 1, 7 - 1)), "1","0")</f>
        <v>0</v>
      </c>
      <c r="CT525">
        <f ca="1" xml:space="preserve"> IF( AND( OFFSET($A$1, 525 - 1, 96 - 1) = "1", OFFSET($A$1, 525 - 1, 97 - 1) = "1" ), 1, IF( AND( OFFSET($A$1, 525 - 1, 96 - 1) = "1", OFFSET($A$1, 525 - 1, 97 - 1) = "0" ), 2, IF( AND( OFFSET($A$1, 525 - 1, 96 - 1) = "0", OFFSET($A$1, 525 - 1, 97 - 1) = "1" ), 3, 4 ) ) )</f>
        <v>4</v>
      </c>
    </row>
    <row r="526" spans="95:98" ht="13.8" x14ac:dyDescent="0.3">
      <c r="CQ526" s="24">
        <v>0.9804594432991558</v>
      </c>
      <c r="CR526" s="24" t="str">
        <f>"1"</f>
        <v>1</v>
      </c>
      <c r="CS526" t="str">
        <f ca="1">IF((OFFSET($A$1, 526 - 1, 95 - 1)) &gt;= (OFFSET($A$1, 54 - 1, 7 - 1)), "1","0")</f>
        <v>1</v>
      </c>
      <c r="CT526">
        <f ca="1" xml:space="preserve"> IF( AND( OFFSET($A$1, 526 - 1, 96 - 1) = "1", OFFSET($A$1, 526 - 1, 97 - 1) = "1" ), 1, IF( AND( OFFSET($A$1, 526 - 1, 96 - 1) = "1", OFFSET($A$1, 526 - 1, 97 - 1) = "0" ), 2, IF( AND( OFFSET($A$1, 526 - 1, 96 - 1) = "0", OFFSET($A$1, 526 - 1, 97 - 1) = "1" ), 3, 4 ) ) )</f>
        <v>1</v>
      </c>
    </row>
    <row r="527" spans="95:98" ht="13.8" x14ac:dyDescent="0.3">
      <c r="CQ527" s="24">
        <v>0.99185855806246859</v>
      </c>
      <c r="CR527" s="24" t="str">
        <f>"1"</f>
        <v>1</v>
      </c>
      <c r="CS527" t="str">
        <f ca="1">IF((OFFSET($A$1, 527 - 1, 95 - 1)) &gt;= (OFFSET($A$1, 54 - 1, 7 - 1)), "1","0")</f>
        <v>1</v>
      </c>
      <c r="CT527">
        <f ca="1" xml:space="preserve"> IF( AND( OFFSET($A$1, 527 - 1, 96 - 1) = "1", OFFSET($A$1, 527 - 1, 97 - 1) = "1" ), 1, IF( AND( OFFSET($A$1, 527 - 1, 96 - 1) = "1", OFFSET($A$1, 527 - 1, 97 - 1) = "0" ), 2, IF( AND( OFFSET($A$1, 527 - 1, 96 - 1) = "0", OFFSET($A$1, 527 - 1, 97 - 1) = "1" ), 3, 4 ) ) )</f>
        <v>1</v>
      </c>
    </row>
    <row r="528" spans="95:98" ht="13.8" x14ac:dyDescent="0.3">
      <c r="CQ528" s="24">
        <v>0.98021566322686271</v>
      </c>
      <c r="CR528" s="24" t="str">
        <f>"1"</f>
        <v>1</v>
      </c>
      <c r="CS528" t="str">
        <f ca="1">IF((OFFSET($A$1, 528 - 1, 95 - 1)) &gt;= (OFFSET($A$1, 54 - 1, 7 - 1)), "1","0")</f>
        <v>1</v>
      </c>
      <c r="CT528">
        <f ca="1" xml:space="preserve"> IF( AND( OFFSET($A$1, 528 - 1, 96 - 1) = "1", OFFSET($A$1, 528 - 1, 97 - 1) = "1" ), 1, IF( AND( OFFSET($A$1, 528 - 1, 96 - 1) = "1", OFFSET($A$1, 528 - 1, 97 - 1) = "0" ), 2, IF( AND( OFFSET($A$1, 528 - 1, 96 - 1) = "0", OFFSET($A$1, 528 - 1, 97 - 1) = "1" ), 3, 4 ) ) )</f>
        <v>1</v>
      </c>
    </row>
    <row r="529" spans="95:98" ht="13.8" x14ac:dyDescent="0.3">
      <c r="CQ529" s="24">
        <v>2.5811401523181152E-2</v>
      </c>
      <c r="CR529" s="24" t="str">
        <f>"0"</f>
        <v>0</v>
      </c>
      <c r="CS529" t="str">
        <f ca="1">IF((OFFSET($A$1, 529 - 1, 95 - 1)) &gt;= (OFFSET($A$1, 54 - 1, 7 - 1)), "1","0")</f>
        <v>0</v>
      </c>
      <c r="CT529">
        <f ca="1" xml:space="preserve"> IF( AND( OFFSET($A$1, 529 - 1, 96 - 1) = "1", OFFSET($A$1, 529 - 1, 97 - 1) = "1" ), 1, IF( AND( OFFSET($A$1, 529 - 1, 96 - 1) = "1", OFFSET($A$1, 529 - 1, 97 - 1) = "0" ), 2, IF( AND( OFFSET($A$1, 529 - 1, 96 - 1) = "0", OFFSET($A$1, 529 - 1, 97 - 1) = "1" ), 3, 4 ) ) )</f>
        <v>4</v>
      </c>
    </row>
    <row r="530" spans="95:98" ht="13.8" x14ac:dyDescent="0.3">
      <c r="CQ530" s="24">
        <v>0.10252136147403204</v>
      </c>
      <c r="CR530" s="24" t="str">
        <f>"0"</f>
        <v>0</v>
      </c>
      <c r="CS530" t="str">
        <f ca="1">IF((OFFSET($A$1, 530 - 1, 95 - 1)) &gt;= (OFFSET($A$1, 54 - 1, 7 - 1)), "1","0")</f>
        <v>0</v>
      </c>
      <c r="CT530">
        <f ca="1" xml:space="preserve"> IF( AND( OFFSET($A$1, 530 - 1, 96 - 1) = "1", OFFSET($A$1, 530 - 1, 97 - 1) = "1" ), 1, IF( AND( OFFSET($A$1, 530 - 1, 96 - 1) = "1", OFFSET($A$1, 530 - 1, 97 - 1) = "0" ), 2, IF( AND( OFFSET($A$1, 530 - 1, 96 - 1) = "0", OFFSET($A$1, 530 - 1, 97 - 1) = "1" ), 3, 4 ) ) )</f>
        <v>4</v>
      </c>
    </row>
    <row r="531" spans="95:98" ht="13.8" x14ac:dyDescent="0.3">
      <c r="CQ531" s="24">
        <v>0.91688907875480574</v>
      </c>
      <c r="CR531" s="24" t="str">
        <f t="shared" ref="CR531:CR539" si="35">"1"</f>
        <v>1</v>
      </c>
      <c r="CS531" t="str">
        <f ca="1">IF((OFFSET($A$1, 531 - 1, 95 - 1)) &gt;= (OFFSET($A$1, 54 - 1, 7 - 1)), "1","0")</f>
        <v>1</v>
      </c>
      <c r="CT531">
        <f ca="1" xml:space="preserve"> IF( AND( OFFSET($A$1, 531 - 1, 96 - 1) = "1", OFFSET($A$1, 531 - 1, 97 - 1) = "1" ), 1, IF( AND( OFFSET($A$1, 531 - 1, 96 - 1) = "1", OFFSET($A$1, 531 - 1, 97 - 1) = "0" ), 2, IF( AND( OFFSET($A$1, 531 - 1, 96 - 1) = "0", OFFSET($A$1, 531 - 1, 97 - 1) = "1" ), 3, 4 ) ) )</f>
        <v>1</v>
      </c>
    </row>
    <row r="532" spans="95:98" ht="13.8" x14ac:dyDescent="0.3">
      <c r="CQ532" s="24">
        <v>0.97966195633762909</v>
      </c>
      <c r="CR532" s="24" t="str">
        <f t="shared" si="35"/>
        <v>1</v>
      </c>
      <c r="CS532" t="str">
        <f ca="1">IF((OFFSET($A$1, 532 - 1, 95 - 1)) &gt;= (OFFSET($A$1, 54 - 1, 7 - 1)), "1","0")</f>
        <v>1</v>
      </c>
      <c r="CT532">
        <f ca="1" xml:space="preserve"> IF( AND( OFFSET($A$1, 532 - 1, 96 - 1) = "1", OFFSET($A$1, 532 - 1, 97 - 1) = "1" ), 1, IF( AND( OFFSET($A$1, 532 - 1, 96 - 1) = "1", OFFSET($A$1, 532 - 1, 97 - 1) = "0" ), 2, IF( AND( OFFSET($A$1, 532 - 1, 96 - 1) = "0", OFFSET($A$1, 532 - 1, 97 - 1) = "1" ), 3, 4 ) ) )</f>
        <v>1</v>
      </c>
    </row>
    <row r="533" spans="95:98" ht="13.8" x14ac:dyDescent="0.3">
      <c r="CQ533" s="24">
        <v>0.99189525613160279</v>
      </c>
      <c r="CR533" s="24" t="str">
        <f t="shared" si="35"/>
        <v>1</v>
      </c>
      <c r="CS533" t="str">
        <f ca="1">IF((OFFSET($A$1, 533 - 1, 95 - 1)) &gt;= (OFFSET($A$1, 54 - 1, 7 - 1)), "1","0")</f>
        <v>1</v>
      </c>
      <c r="CT533">
        <f ca="1" xml:space="preserve"> IF( AND( OFFSET($A$1, 533 - 1, 96 - 1) = "1", OFFSET($A$1, 533 - 1, 97 - 1) = "1" ), 1, IF( AND( OFFSET($A$1, 533 - 1, 96 - 1) = "1", OFFSET($A$1, 533 - 1, 97 - 1) = "0" ), 2, IF( AND( OFFSET($A$1, 533 - 1, 96 - 1) = "0", OFFSET($A$1, 533 - 1, 97 - 1) = "1" ), 3, 4 ) ) )</f>
        <v>1</v>
      </c>
    </row>
    <row r="534" spans="95:98" ht="13.8" x14ac:dyDescent="0.3">
      <c r="CQ534" s="24">
        <v>0.97167360536246572</v>
      </c>
      <c r="CR534" s="24" t="str">
        <f t="shared" si="35"/>
        <v>1</v>
      </c>
      <c r="CS534" t="str">
        <f ca="1">IF((OFFSET($A$1, 534 - 1, 95 - 1)) &gt;= (OFFSET($A$1, 54 - 1, 7 - 1)), "1","0")</f>
        <v>1</v>
      </c>
      <c r="CT534">
        <f ca="1" xml:space="preserve"> IF( AND( OFFSET($A$1, 534 - 1, 96 - 1) = "1", OFFSET($A$1, 534 - 1, 97 - 1) = "1" ), 1, IF( AND( OFFSET($A$1, 534 - 1, 96 - 1) = "1", OFFSET($A$1, 534 - 1, 97 - 1) = "0" ), 2, IF( AND( OFFSET($A$1, 534 - 1, 96 - 1) = "0", OFFSET($A$1, 534 - 1, 97 - 1) = "1" ), 3, 4 ) ) )</f>
        <v>1</v>
      </c>
    </row>
    <row r="535" spans="95:98" ht="13.8" x14ac:dyDescent="0.3">
      <c r="CQ535" s="24">
        <v>0.99991401380504563</v>
      </c>
      <c r="CR535" s="24" t="str">
        <f t="shared" si="35"/>
        <v>1</v>
      </c>
      <c r="CS535" t="str">
        <f ca="1">IF((OFFSET($A$1, 535 - 1, 95 - 1)) &gt;= (OFFSET($A$1, 54 - 1, 7 - 1)), "1","0")</f>
        <v>1</v>
      </c>
      <c r="CT535">
        <f ca="1" xml:space="preserve"> IF( AND( OFFSET($A$1, 535 - 1, 96 - 1) = "1", OFFSET($A$1, 535 - 1, 97 - 1) = "1" ), 1, IF( AND( OFFSET($A$1, 535 - 1, 96 - 1) = "1", OFFSET($A$1, 535 - 1, 97 - 1) = "0" ), 2, IF( AND( OFFSET($A$1, 535 - 1, 96 - 1) = "0", OFFSET($A$1, 535 - 1, 97 - 1) = "1" ), 3, 4 ) ) )</f>
        <v>1</v>
      </c>
    </row>
    <row r="536" spans="95:98" ht="13.8" x14ac:dyDescent="0.3">
      <c r="CQ536" s="24">
        <v>0.93780061358727029</v>
      </c>
      <c r="CR536" s="24" t="str">
        <f t="shared" si="35"/>
        <v>1</v>
      </c>
      <c r="CS536" t="str">
        <f ca="1">IF((OFFSET($A$1, 536 - 1, 95 - 1)) &gt;= (OFFSET($A$1, 54 - 1, 7 - 1)), "1","0")</f>
        <v>1</v>
      </c>
      <c r="CT536">
        <f ca="1" xml:space="preserve"> IF( AND( OFFSET($A$1, 536 - 1, 96 - 1) = "1", OFFSET($A$1, 536 - 1, 97 - 1) = "1" ), 1, IF( AND( OFFSET($A$1, 536 - 1, 96 - 1) = "1", OFFSET($A$1, 536 - 1, 97 - 1) = "0" ), 2, IF( AND( OFFSET($A$1, 536 - 1, 96 - 1) = "0", OFFSET($A$1, 536 - 1, 97 - 1) = "1" ), 3, 4 ) ) )</f>
        <v>1</v>
      </c>
    </row>
    <row r="537" spans="95:98" ht="13.8" x14ac:dyDescent="0.3">
      <c r="CQ537" s="24">
        <v>0.99994559922445991</v>
      </c>
      <c r="CR537" s="24" t="str">
        <f t="shared" si="35"/>
        <v>1</v>
      </c>
      <c r="CS537" t="str">
        <f ca="1">IF((OFFSET($A$1, 537 - 1, 95 - 1)) &gt;= (OFFSET($A$1, 54 - 1, 7 - 1)), "1","0")</f>
        <v>1</v>
      </c>
      <c r="CT537">
        <f ca="1" xml:space="preserve"> IF( AND( OFFSET($A$1, 537 - 1, 96 - 1) = "1", OFFSET($A$1, 537 - 1, 97 - 1) = "1" ), 1, IF( AND( OFFSET($A$1, 537 - 1, 96 - 1) = "1", OFFSET($A$1, 537 - 1, 97 - 1) = "0" ), 2, IF( AND( OFFSET($A$1, 537 - 1, 96 - 1) = "0", OFFSET($A$1, 537 - 1, 97 - 1) = "1" ), 3, 4 ) ) )</f>
        <v>1</v>
      </c>
    </row>
    <row r="538" spans="95:98" ht="13.8" x14ac:dyDescent="0.3">
      <c r="CQ538" s="24">
        <v>0.99996727248636175</v>
      </c>
      <c r="CR538" s="24" t="str">
        <f t="shared" si="35"/>
        <v>1</v>
      </c>
      <c r="CS538" t="str">
        <f ca="1">IF((OFFSET($A$1, 538 - 1, 95 - 1)) &gt;= (OFFSET($A$1, 54 - 1, 7 - 1)), "1","0")</f>
        <v>1</v>
      </c>
      <c r="CT538">
        <f ca="1" xml:space="preserve"> IF( AND( OFFSET($A$1, 538 - 1, 96 - 1) = "1", OFFSET($A$1, 538 - 1, 97 - 1) = "1" ), 1, IF( AND( OFFSET($A$1, 538 - 1, 96 - 1) = "1", OFFSET($A$1, 538 - 1, 97 - 1) = "0" ), 2, IF( AND( OFFSET($A$1, 538 - 1, 96 - 1) = "0", OFFSET($A$1, 538 - 1, 97 - 1) = "1" ), 3, 4 ) ) )</f>
        <v>1</v>
      </c>
    </row>
    <row r="539" spans="95:98" ht="13.8" x14ac:dyDescent="0.3">
      <c r="CQ539" s="24">
        <v>0.98866427242128119</v>
      </c>
      <c r="CR539" s="24" t="str">
        <f t="shared" si="35"/>
        <v>1</v>
      </c>
      <c r="CS539" t="str">
        <f ca="1">IF((OFFSET($A$1, 539 - 1, 95 - 1)) &gt;= (OFFSET($A$1, 54 - 1, 7 - 1)), "1","0")</f>
        <v>1</v>
      </c>
      <c r="CT539">
        <f ca="1" xml:space="preserve"> IF( AND( OFFSET($A$1, 539 - 1, 96 - 1) = "1", OFFSET($A$1, 539 - 1, 97 - 1) = "1" ), 1, IF( AND( OFFSET($A$1, 539 - 1, 96 - 1) = "1", OFFSET($A$1, 539 - 1, 97 - 1) = "0" ), 2, IF( AND( OFFSET($A$1, 539 - 1, 96 - 1) = "0", OFFSET($A$1, 539 - 1, 97 - 1) = "1" ), 3, 4 ) ) )</f>
        <v>1</v>
      </c>
    </row>
    <row r="540" spans="95:98" ht="13.8" x14ac:dyDescent="0.3">
      <c r="CQ540" s="24">
        <v>0.13719593485760889</v>
      </c>
      <c r="CR540" s="24" t="str">
        <f>"0"</f>
        <v>0</v>
      </c>
      <c r="CS540" t="str">
        <f ca="1">IF((OFFSET($A$1, 540 - 1, 95 - 1)) &gt;= (OFFSET($A$1, 54 - 1, 7 - 1)), "1","0")</f>
        <v>0</v>
      </c>
      <c r="CT540">
        <f ca="1" xml:space="preserve"> IF( AND( OFFSET($A$1, 540 - 1, 96 - 1) = "1", OFFSET($A$1, 540 - 1, 97 - 1) = "1" ), 1, IF( AND( OFFSET($A$1, 540 - 1, 96 - 1) = "1", OFFSET($A$1, 540 - 1, 97 - 1) = "0" ), 2, IF( AND( OFFSET($A$1, 540 - 1, 96 - 1) = "0", OFFSET($A$1, 540 - 1, 97 - 1) = "1" ), 3, 4 ) ) )</f>
        <v>4</v>
      </c>
    </row>
    <row r="541" spans="95:98" ht="13.8" x14ac:dyDescent="0.3">
      <c r="CQ541" s="24">
        <v>0.97749693280683958</v>
      </c>
      <c r="CR541" s="24" t="str">
        <f>"1"</f>
        <v>1</v>
      </c>
      <c r="CS541" t="str">
        <f ca="1">IF((OFFSET($A$1, 541 - 1, 95 - 1)) &gt;= (OFFSET($A$1, 54 - 1, 7 - 1)), "1","0")</f>
        <v>1</v>
      </c>
      <c r="CT541">
        <f ca="1" xml:space="preserve"> IF( AND( OFFSET($A$1, 541 - 1, 96 - 1) = "1", OFFSET($A$1, 541 - 1, 97 - 1) = "1" ), 1, IF( AND( OFFSET($A$1, 541 - 1, 96 - 1) = "1", OFFSET($A$1, 541 - 1, 97 - 1) = "0" ), 2, IF( AND( OFFSET($A$1, 541 - 1, 96 - 1) = "0", OFFSET($A$1, 541 - 1, 97 - 1) = "1" ), 3, 4 ) ) )</f>
        <v>1</v>
      </c>
    </row>
    <row r="542" spans="95:98" ht="13.8" x14ac:dyDescent="0.3">
      <c r="CQ542" s="24">
        <v>0.99256524268958723</v>
      </c>
      <c r="CR542" s="24" t="str">
        <f>"1"</f>
        <v>1</v>
      </c>
      <c r="CS542" t="str">
        <f ca="1">IF((OFFSET($A$1, 542 - 1, 95 - 1)) &gt;= (OFFSET($A$1, 54 - 1, 7 - 1)), "1","0")</f>
        <v>1</v>
      </c>
      <c r="CT542">
        <f ca="1" xml:space="preserve"> IF( AND( OFFSET($A$1, 542 - 1, 96 - 1) = "1", OFFSET($A$1, 542 - 1, 97 - 1) = "1" ), 1, IF( AND( OFFSET($A$1, 542 - 1, 96 - 1) = "1", OFFSET($A$1, 542 - 1, 97 - 1) = "0" ), 2, IF( AND( OFFSET($A$1, 542 - 1, 96 - 1) = "0", OFFSET($A$1, 542 - 1, 97 - 1) = "1" ), 3, 4 ) ) )</f>
        <v>1</v>
      </c>
    </row>
    <row r="543" spans="95:98" ht="13.8" x14ac:dyDescent="0.3">
      <c r="CQ543" s="24">
        <v>0.99999393927495328</v>
      </c>
      <c r="CR543" s="24" t="str">
        <f>"1"</f>
        <v>1</v>
      </c>
      <c r="CS543" t="str">
        <f ca="1">IF((OFFSET($A$1, 543 - 1, 95 - 1)) &gt;= (OFFSET($A$1, 54 - 1, 7 - 1)), "1","0")</f>
        <v>1</v>
      </c>
      <c r="CT543">
        <f ca="1" xml:space="preserve"> IF( AND( OFFSET($A$1, 543 - 1, 96 - 1) = "1", OFFSET($A$1, 543 - 1, 97 - 1) = "1" ), 1, IF( AND( OFFSET($A$1, 543 - 1, 96 - 1) = "1", OFFSET($A$1, 543 - 1, 97 - 1) = "0" ), 2, IF( AND( OFFSET($A$1, 543 - 1, 96 - 1) = "0", OFFSET($A$1, 543 - 1, 97 - 1) = "1" ), 3, 4 ) ) )</f>
        <v>1</v>
      </c>
    </row>
    <row r="544" spans="95:98" ht="13.8" x14ac:dyDescent="0.3">
      <c r="CQ544" s="24">
        <v>0.9535468285646006</v>
      </c>
      <c r="CR544" s="24" t="str">
        <f>"1"</f>
        <v>1</v>
      </c>
      <c r="CS544" t="str">
        <f ca="1">IF((OFFSET($A$1, 544 - 1, 95 - 1)) &gt;= (OFFSET($A$1, 54 - 1, 7 - 1)), "1","0")</f>
        <v>1</v>
      </c>
      <c r="CT544">
        <f ca="1" xml:space="preserve"> IF( AND( OFFSET($A$1, 544 - 1, 96 - 1) = "1", OFFSET($A$1, 544 - 1, 97 - 1) = "1" ), 1, IF( AND( OFFSET($A$1, 544 - 1, 96 - 1) = "1", OFFSET($A$1, 544 - 1, 97 - 1) = "0" ), 2, IF( AND( OFFSET($A$1, 544 - 1, 96 - 1) = "0", OFFSET($A$1, 544 - 1, 97 - 1) = "1" ), 3, 4 ) ) )</f>
        <v>1</v>
      </c>
    </row>
    <row r="545" spans="95:98" ht="13.8" x14ac:dyDescent="0.3">
      <c r="CQ545" s="24">
        <v>3.2578376289841442E-2</v>
      </c>
      <c r="CR545" s="24" t="str">
        <f>"0"</f>
        <v>0</v>
      </c>
      <c r="CS545" t="str">
        <f ca="1">IF((OFFSET($A$1, 545 - 1, 95 - 1)) &gt;= (OFFSET($A$1, 54 - 1, 7 - 1)), "1","0")</f>
        <v>0</v>
      </c>
      <c r="CT545">
        <f ca="1" xml:space="preserve"> IF( AND( OFFSET($A$1, 545 - 1, 96 - 1) = "1", OFFSET($A$1, 545 - 1, 97 - 1) = "1" ), 1, IF( AND( OFFSET($A$1, 545 - 1, 96 - 1) = "1", OFFSET($A$1, 545 - 1, 97 - 1) = "0" ), 2, IF( AND( OFFSET($A$1, 545 - 1, 96 - 1) = "0", OFFSET($A$1, 545 - 1, 97 - 1) = "1" ), 3, 4 ) ) )</f>
        <v>4</v>
      </c>
    </row>
    <row r="546" spans="95:98" ht="13.8" x14ac:dyDescent="0.3">
      <c r="CQ546" s="24">
        <v>0.84536858815276938</v>
      </c>
      <c r="CR546" s="24" t="str">
        <f t="shared" ref="CR546:CR553" si="36">"1"</f>
        <v>1</v>
      </c>
      <c r="CS546" t="str">
        <f ca="1">IF((OFFSET($A$1, 546 - 1, 95 - 1)) &gt;= (OFFSET($A$1, 54 - 1, 7 - 1)), "1","0")</f>
        <v>1</v>
      </c>
      <c r="CT546">
        <f ca="1" xml:space="preserve"> IF( AND( OFFSET($A$1, 546 - 1, 96 - 1) = "1", OFFSET($A$1, 546 - 1, 97 - 1) = "1" ), 1, IF( AND( OFFSET($A$1, 546 - 1, 96 - 1) = "1", OFFSET($A$1, 546 - 1, 97 - 1) = "0" ), 2, IF( AND( OFFSET($A$1, 546 - 1, 96 - 1) = "0", OFFSET($A$1, 546 - 1, 97 - 1) = "1" ), 3, 4 ) ) )</f>
        <v>1</v>
      </c>
    </row>
    <row r="547" spans="95:98" ht="13.8" x14ac:dyDescent="0.3">
      <c r="CQ547" s="24">
        <v>0.99981800828255318</v>
      </c>
      <c r="CR547" s="24" t="str">
        <f t="shared" si="36"/>
        <v>1</v>
      </c>
      <c r="CS547" t="str">
        <f ca="1">IF((OFFSET($A$1, 547 - 1, 95 - 1)) &gt;= (OFFSET($A$1, 54 - 1, 7 - 1)), "1","0")</f>
        <v>1</v>
      </c>
      <c r="CT547">
        <f ca="1" xml:space="preserve"> IF( AND( OFFSET($A$1, 547 - 1, 96 - 1) = "1", OFFSET($A$1, 547 - 1, 97 - 1) = "1" ), 1, IF( AND( OFFSET($A$1, 547 - 1, 96 - 1) = "1", OFFSET($A$1, 547 - 1, 97 - 1) = "0" ), 2, IF( AND( OFFSET($A$1, 547 - 1, 96 - 1) = "0", OFFSET($A$1, 547 - 1, 97 - 1) = "1" ), 3, 4 ) ) )</f>
        <v>1</v>
      </c>
    </row>
    <row r="548" spans="95:98" ht="13.8" x14ac:dyDescent="0.3">
      <c r="CQ548" s="24">
        <v>0.95877923654354524</v>
      </c>
      <c r="CR548" s="24" t="str">
        <f t="shared" si="36"/>
        <v>1</v>
      </c>
      <c r="CS548" t="str">
        <f ca="1">IF((OFFSET($A$1, 548 - 1, 95 - 1)) &gt;= (OFFSET($A$1, 54 - 1, 7 - 1)), "1","0")</f>
        <v>1</v>
      </c>
      <c r="CT548">
        <f ca="1" xml:space="preserve"> IF( AND( OFFSET($A$1, 548 - 1, 96 - 1) = "1", OFFSET($A$1, 548 - 1, 97 - 1) = "1" ), 1, IF( AND( OFFSET($A$1, 548 - 1, 96 - 1) = "1", OFFSET($A$1, 548 - 1, 97 - 1) = "0" ), 2, IF( AND( OFFSET($A$1, 548 - 1, 96 - 1) = "0", OFFSET($A$1, 548 - 1, 97 - 1) = "1" ), 3, 4 ) ) )</f>
        <v>1</v>
      </c>
    </row>
    <row r="549" spans="95:98" ht="13.8" x14ac:dyDescent="0.3">
      <c r="CQ549" s="24">
        <v>0.99939101458357349</v>
      </c>
      <c r="CR549" s="24" t="str">
        <f t="shared" si="36"/>
        <v>1</v>
      </c>
      <c r="CS549" t="str">
        <f ca="1">IF((OFFSET($A$1, 549 - 1, 95 - 1)) &gt;= (OFFSET($A$1, 54 - 1, 7 - 1)), "1","0")</f>
        <v>1</v>
      </c>
      <c r="CT549">
        <f ca="1" xml:space="preserve"> IF( AND( OFFSET($A$1, 549 - 1, 96 - 1) = "1", OFFSET($A$1, 549 - 1, 97 - 1) = "1" ), 1, IF( AND( OFFSET($A$1, 549 - 1, 96 - 1) = "1", OFFSET($A$1, 549 - 1, 97 - 1) = "0" ), 2, IF( AND( OFFSET($A$1, 549 - 1, 96 - 1) = "0", OFFSET($A$1, 549 - 1, 97 - 1) = "1" ), 3, 4 ) ) )</f>
        <v>1</v>
      </c>
    </row>
    <row r="550" spans="95:98" ht="13.8" x14ac:dyDescent="0.3">
      <c r="CQ550" s="24">
        <v>0.97574420173822984</v>
      </c>
      <c r="CR550" s="24" t="str">
        <f t="shared" si="36"/>
        <v>1</v>
      </c>
      <c r="CS550" t="str">
        <f ca="1">IF((OFFSET($A$1, 550 - 1, 95 - 1)) &gt;= (OFFSET($A$1, 54 - 1, 7 - 1)), "1","0")</f>
        <v>1</v>
      </c>
      <c r="CT550">
        <f ca="1" xml:space="preserve"> IF( AND( OFFSET($A$1, 550 - 1, 96 - 1) = "1", OFFSET($A$1, 550 - 1, 97 - 1) = "1" ), 1, IF( AND( OFFSET($A$1, 550 - 1, 96 - 1) = "1", OFFSET($A$1, 550 - 1, 97 - 1) = "0" ), 2, IF( AND( OFFSET($A$1, 550 - 1, 96 - 1) = "0", OFFSET($A$1, 550 - 1, 97 - 1) = "1" ), 3, 4 ) ) )</f>
        <v>1</v>
      </c>
    </row>
    <row r="551" spans="95:98" ht="13.8" x14ac:dyDescent="0.3">
      <c r="CQ551" s="24">
        <v>0.98621181195665886</v>
      </c>
      <c r="CR551" s="24" t="str">
        <f t="shared" si="36"/>
        <v>1</v>
      </c>
      <c r="CS551" t="str">
        <f ca="1">IF((OFFSET($A$1, 551 - 1, 95 - 1)) &gt;= (OFFSET($A$1, 54 - 1, 7 - 1)), "1","0")</f>
        <v>1</v>
      </c>
      <c r="CT551">
        <f ca="1" xml:space="preserve"> IF( AND( OFFSET($A$1, 551 - 1, 96 - 1) = "1", OFFSET($A$1, 551 - 1, 97 - 1) = "1" ), 1, IF( AND( OFFSET($A$1, 551 - 1, 96 - 1) = "1", OFFSET($A$1, 551 - 1, 97 - 1) = "0" ), 2, IF( AND( OFFSET($A$1, 551 - 1, 96 - 1) = "0", OFFSET($A$1, 551 - 1, 97 - 1) = "1" ), 3, 4 ) ) )</f>
        <v>1</v>
      </c>
    </row>
    <row r="552" spans="95:98" ht="13.8" x14ac:dyDescent="0.3">
      <c r="CQ552" s="24">
        <v>0.99825955551711654</v>
      </c>
      <c r="CR552" s="24" t="str">
        <f t="shared" si="36"/>
        <v>1</v>
      </c>
      <c r="CS552" t="str">
        <f ca="1">IF((OFFSET($A$1, 552 - 1, 95 - 1)) &gt;= (OFFSET($A$1, 54 - 1, 7 - 1)), "1","0")</f>
        <v>1</v>
      </c>
      <c r="CT552">
        <f ca="1" xml:space="preserve"> IF( AND( OFFSET($A$1, 552 - 1, 96 - 1) = "1", OFFSET($A$1, 552 - 1, 97 - 1) = "1" ), 1, IF( AND( OFFSET($A$1, 552 - 1, 96 - 1) = "1", OFFSET($A$1, 552 - 1, 97 - 1) = "0" ), 2, IF( AND( OFFSET($A$1, 552 - 1, 96 - 1) = "0", OFFSET($A$1, 552 - 1, 97 - 1) = "1" ), 3, 4 ) ) )</f>
        <v>1</v>
      </c>
    </row>
    <row r="553" spans="95:98" ht="13.8" x14ac:dyDescent="0.3">
      <c r="CQ553" s="24">
        <v>0.80311437740445857</v>
      </c>
      <c r="CR553" s="24" t="str">
        <f t="shared" si="36"/>
        <v>1</v>
      </c>
      <c r="CS553" t="str">
        <f ca="1">IF((OFFSET($A$1, 553 - 1, 95 - 1)) &gt;= (OFFSET($A$1, 54 - 1, 7 - 1)), "1","0")</f>
        <v>1</v>
      </c>
      <c r="CT553">
        <f ca="1" xml:space="preserve"> IF( AND( OFFSET($A$1, 553 - 1, 96 - 1) = "1", OFFSET($A$1, 553 - 1, 97 - 1) = "1" ), 1, IF( AND( OFFSET($A$1, 553 - 1, 96 - 1) = "1", OFFSET($A$1, 553 - 1, 97 - 1) = "0" ), 2, IF( AND( OFFSET($A$1, 553 - 1, 96 - 1) = "0", OFFSET($A$1, 553 - 1, 97 - 1) = "1" ), 3, 4 ) ) )</f>
        <v>1</v>
      </c>
    </row>
    <row r="554" spans="95:98" ht="13.8" x14ac:dyDescent="0.3">
      <c r="CQ554" s="24">
        <v>2.6657956198880846E-2</v>
      </c>
      <c r="CR554" s="24" t="str">
        <f>"0"</f>
        <v>0</v>
      </c>
      <c r="CS554" t="str">
        <f ca="1">IF((OFFSET($A$1, 554 - 1, 95 - 1)) &gt;= (OFFSET($A$1, 54 - 1, 7 - 1)), "1","0")</f>
        <v>0</v>
      </c>
      <c r="CT554">
        <f ca="1" xml:space="preserve"> IF( AND( OFFSET($A$1, 554 - 1, 96 - 1) = "1", OFFSET($A$1, 554 - 1, 97 - 1) = "1" ), 1, IF( AND( OFFSET($A$1, 554 - 1, 96 - 1) = "1", OFFSET($A$1, 554 - 1, 97 - 1) = "0" ), 2, IF( AND( OFFSET($A$1, 554 - 1, 96 - 1) = "0", OFFSET($A$1, 554 - 1, 97 - 1) = "1" ), 3, 4 ) ) )</f>
        <v>4</v>
      </c>
    </row>
    <row r="555" spans="95:98" ht="13.8" x14ac:dyDescent="0.3">
      <c r="CQ555" s="24">
        <v>5.2282308096470807E-3</v>
      </c>
      <c r="CR555" s="24" t="str">
        <f>"0"</f>
        <v>0</v>
      </c>
      <c r="CS555" t="str">
        <f ca="1">IF((OFFSET($A$1, 555 - 1, 95 - 1)) &gt;= (OFFSET($A$1, 54 - 1, 7 - 1)), "1","0")</f>
        <v>0</v>
      </c>
      <c r="CT555">
        <f ca="1" xml:space="preserve"> IF( AND( OFFSET($A$1, 555 - 1, 96 - 1) = "1", OFFSET($A$1, 555 - 1, 97 - 1) = "1" ), 1, IF( AND( OFFSET($A$1, 555 - 1, 96 - 1) = "1", OFFSET($A$1, 555 - 1, 97 - 1) = "0" ), 2, IF( AND( OFFSET($A$1, 555 - 1, 96 - 1) = "0", OFFSET($A$1, 555 - 1, 97 - 1) = "1" ), 3, 4 ) ) )</f>
        <v>4</v>
      </c>
    </row>
    <row r="556" spans="95:98" ht="13.8" x14ac:dyDescent="0.3">
      <c r="CQ556" s="24">
        <v>0.98767925104021304</v>
      </c>
      <c r="CR556" s="24" t="str">
        <f>"1"</f>
        <v>1</v>
      </c>
      <c r="CS556" t="str">
        <f ca="1">IF((OFFSET($A$1, 556 - 1, 95 - 1)) &gt;= (OFFSET($A$1, 54 - 1, 7 - 1)), "1","0")</f>
        <v>1</v>
      </c>
      <c r="CT556">
        <f ca="1" xml:space="preserve"> IF( AND( OFFSET($A$1, 556 - 1, 96 - 1) = "1", OFFSET($A$1, 556 - 1, 97 - 1) = "1" ), 1, IF( AND( OFFSET($A$1, 556 - 1, 96 - 1) = "1", OFFSET($A$1, 556 - 1, 97 - 1) = "0" ), 2, IF( AND( OFFSET($A$1, 556 - 1, 96 - 1) = "0", OFFSET($A$1, 556 - 1, 97 - 1) = "1" ), 3, 4 ) ) )</f>
        <v>1</v>
      </c>
    </row>
    <row r="557" spans="95:98" ht="13.8" x14ac:dyDescent="0.3">
      <c r="CQ557" s="24">
        <v>7.564930756670353E-2</v>
      </c>
      <c r="CR557" s="24" t="str">
        <f>"0"</f>
        <v>0</v>
      </c>
      <c r="CS557" t="str">
        <f ca="1">IF((OFFSET($A$1, 557 - 1, 95 - 1)) &gt;= (OFFSET($A$1, 54 - 1, 7 - 1)), "1","0")</f>
        <v>0</v>
      </c>
      <c r="CT557">
        <f ca="1" xml:space="preserve"> IF( AND( OFFSET($A$1, 557 - 1, 96 - 1) = "1", OFFSET($A$1, 557 - 1, 97 - 1) = "1" ), 1, IF( AND( OFFSET($A$1, 557 - 1, 96 - 1) = "1", OFFSET($A$1, 557 - 1, 97 - 1) = "0" ), 2, IF( AND( OFFSET($A$1, 557 - 1, 96 - 1) = "0", OFFSET($A$1, 557 - 1, 97 - 1) = "1" ), 3, 4 ) ) )</f>
        <v>4</v>
      </c>
    </row>
    <row r="558" spans="95:98" ht="13.8" x14ac:dyDescent="0.3">
      <c r="CQ558" s="24">
        <v>0.95747994402326586</v>
      </c>
      <c r="CR558" s="24" t="str">
        <f>"1"</f>
        <v>1</v>
      </c>
      <c r="CS558" t="str">
        <f ca="1">IF((OFFSET($A$1, 558 - 1, 95 - 1)) &gt;= (OFFSET($A$1, 54 - 1, 7 - 1)), "1","0")</f>
        <v>1</v>
      </c>
      <c r="CT558">
        <f ca="1" xml:space="preserve"> IF( AND( OFFSET($A$1, 558 - 1, 96 - 1) = "1", OFFSET($A$1, 558 - 1, 97 - 1) = "1" ), 1, IF( AND( OFFSET($A$1, 558 - 1, 96 - 1) = "1", OFFSET($A$1, 558 - 1, 97 - 1) = "0" ), 2, IF( AND( OFFSET($A$1, 558 - 1, 96 - 1) = "0", OFFSET($A$1, 558 - 1, 97 - 1) = "1" ), 3, 4 ) ) )</f>
        <v>1</v>
      </c>
    </row>
    <row r="559" spans="95:98" ht="13.8" x14ac:dyDescent="0.3">
      <c r="CQ559" s="24">
        <v>0.99857010133589252</v>
      </c>
      <c r="CR559" s="24" t="str">
        <f>"1"</f>
        <v>1</v>
      </c>
      <c r="CS559" t="str">
        <f ca="1">IF((OFFSET($A$1, 559 - 1, 95 - 1)) &gt;= (OFFSET($A$1, 54 - 1, 7 - 1)), "1","0")</f>
        <v>1</v>
      </c>
      <c r="CT559">
        <f ca="1" xml:space="preserve"> IF( AND( OFFSET($A$1, 559 - 1, 96 - 1) = "1", OFFSET($A$1, 559 - 1, 97 - 1) = "1" ), 1, IF( AND( OFFSET($A$1, 559 - 1, 96 - 1) = "1", OFFSET($A$1, 559 - 1, 97 - 1) = "0" ), 2, IF( AND( OFFSET($A$1, 559 - 1, 96 - 1) = "0", OFFSET($A$1, 559 - 1, 97 - 1) = "1" ), 3, 4 ) ) )</f>
        <v>1</v>
      </c>
    </row>
    <row r="560" spans="95:98" ht="13.8" x14ac:dyDescent="0.3">
      <c r="CQ560" s="24">
        <v>0.99447999686175614</v>
      </c>
      <c r="CR560" s="24" t="str">
        <f>"1"</f>
        <v>1</v>
      </c>
      <c r="CS560" t="str">
        <f ca="1">IF((OFFSET($A$1, 560 - 1, 95 - 1)) &gt;= (OFFSET($A$1, 54 - 1, 7 - 1)), "1","0")</f>
        <v>1</v>
      </c>
      <c r="CT560">
        <f ca="1" xml:space="preserve"> IF( AND( OFFSET($A$1, 560 - 1, 96 - 1) = "1", OFFSET($A$1, 560 - 1, 97 - 1) = "1" ), 1, IF( AND( OFFSET($A$1, 560 - 1, 96 - 1) = "1", OFFSET($A$1, 560 - 1, 97 - 1) = "0" ), 2, IF( AND( OFFSET($A$1, 560 - 1, 96 - 1) = "0", OFFSET($A$1, 560 - 1, 97 - 1) = "1" ), 3, 4 ) ) )</f>
        <v>1</v>
      </c>
    </row>
    <row r="561" spans="95:98" ht="13.8" x14ac:dyDescent="0.3">
      <c r="CQ561" s="24">
        <v>1.4298559251522262E-2</v>
      </c>
      <c r="CR561" s="24" t="str">
        <f>"0"</f>
        <v>0</v>
      </c>
      <c r="CS561" t="str">
        <f ca="1">IF((OFFSET($A$1, 561 - 1, 95 - 1)) &gt;= (OFFSET($A$1, 54 - 1, 7 - 1)), "1","0")</f>
        <v>0</v>
      </c>
      <c r="CT561">
        <f ca="1" xml:space="preserve"> IF( AND( OFFSET($A$1, 561 - 1, 96 - 1) = "1", OFFSET($A$1, 561 - 1, 97 - 1) = "1" ), 1, IF( AND( OFFSET($A$1, 561 - 1, 96 - 1) = "1", OFFSET($A$1, 561 - 1, 97 - 1) = "0" ), 2, IF( AND( OFFSET($A$1, 561 - 1, 96 - 1) = "0", OFFSET($A$1, 561 - 1, 97 - 1) = "1" ), 3, 4 ) ) )</f>
        <v>4</v>
      </c>
    </row>
    <row r="562" spans="95:98" ht="13.8" x14ac:dyDescent="0.3">
      <c r="CQ562" s="24">
        <v>0.99999816323987967</v>
      </c>
      <c r="CR562" s="24" t="str">
        <f>"1"</f>
        <v>1</v>
      </c>
      <c r="CS562" t="str">
        <f ca="1">IF((OFFSET($A$1, 562 - 1, 95 - 1)) &gt;= (OFFSET($A$1, 54 - 1, 7 - 1)), "1","0")</f>
        <v>1</v>
      </c>
      <c r="CT562">
        <f ca="1" xml:space="preserve"> IF( AND( OFFSET($A$1, 562 - 1, 96 - 1) = "1", OFFSET($A$1, 562 - 1, 97 - 1) = "1" ), 1, IF( AND( OFFSET($A$1, 562 - 1, 96 - 1) = "1", OFFSET($A$1, 562 - 1, 97 - 1) = "0" ), 2, IF( AND( OFFSET($A$1, 562 - 1, 96 - 1) = "0", OFFSET($A$1, 562 - 1, 97 - 1) = "1" ), 3, 4 ) ) )</f>
        <v>1</v>
      </c>
    </row>
    <row r="563" spans="95:98" ht="13.8" x14ac:dyDescent="0.3">
      <c r="CQ563" s="24">
        <v>0.98683924551960911</v>
      </c>
      <c r="CR563" s="24" t="str">
        <f>"1"</f>
        <v>1</v>
      </c>
      <c r="CS563" t="str">
        <f ca="1">IF((OFFSET($A$1, 563 - 1, 95 - 1)) &gt;= (OFFSET($A$1, 54 - 1, 7 - 1)), "1","0")</f>
        <v>1</v>
      </c>
      <c r="CT563">
        <f ca="1" xml:space="preserve"> IF( AND( OFFSET($A$1, 563 - 1, 96 - 1) = "1", OFFSET($A$1, 563 - 1, 97 - 1) = "1" ), 1, IF( AND( OFFSET($A$1, 563 - 1, 96 - 1) = "1", OFFSET($A$1, 563 - 1, 97 - 1) = "0" ), 2, IF( AND( OFFSET($A$1, 563 - 1, 96 - 1) = "0", OFFSET($A$1, 563 - 1, 97 - 1) = "1" ), 3, 4 ) ) )</f>
        <v>1</v>
      </c>
    </row>
    <row r="564" spans="95:98" ht="13.8" x14ac:dyDescent="0.3">
      <c r="CQ564" s="24">
        <v>0.99575347025761429</v>
      </c>
      <c r="CR564" s="24" t="str">
        <f>"1"</f>
        <v>1</v>
      </c>
      <c r="CS564" t="str">
        <f ca="1">IF((OFFSET($A$1, 564 - 1, 95 - 1)) &gt;= (OFFSET($A$1, 54 - 1, 7 - 1)), "1","0")</f>
        <v>1</v>
      </c>
      <c r="CT564">
        <f ca="1" xml:space="preserve"> IF( AND( OFFSET($A$1, 564 - 1, 96 - 1) = "1", OFFSET($A$1, 564 - 1, 97 - 1) = "1" ), 1, IF( AND( OFFSET($A$1, 564 - 1, 96 - 1) = "1", OFFSET($A$1, 564 - 1, 97 - 1) = "0" ), 2, IF( AND( OFFSET($A$1, 564 - 1, 96 - 1) = "0", OFFSET($A$1, 564 - 1, 97 - 1) = "1" ), 3, 4 ) ) )</f>
        <v>1</v>
      </c>
    </row>
    <row r="565" spans="95:98" ht="13.8" x14ac:dyDescent="0.3">
      <c r="CQ565" s="24">
        <v>0.12245081513081338</v>
      </c>
      <c r="CR565" s="24" t="str">
        <f>"0"</f>
        <v>0</v>
      </c>
      <c r="CS565" t="str">
        <f ca="1">IF((OFFSET($A$1, 565 - 1, 95 - 1)) &gt;= (OFFSET($A$1, 54 - 1, 7 - 1)), "1","0")</f>
        <v>0</v>
      </c>
      <c r="CT565">
        <f ca="1" xml:space="preserve"> IF( AND( OFFSET($A$1, 565 - 1, 96 - 1) = "1", OFFSET($A$1, 565 - 1, 97 - 1) = "1" ), 1, IF( AND( OFFSET($A$1, 565 - 1, 96 - 1) = "1", OFFSET($A$1, 565 - 1, 97 - 1) = "0" ), 2, IF( AND( OFFSET($A$1, 565 - 1, 96 - 1) = "0", OFFSET($A$1, 565 - 1, 97 - 1) = "1" ), 3, 4 ) ) )</f>
        <v>4</v>
      </c>
    </row>
    <row r="566" spans="95:98" ht="13.8" x14ac:dyDescent="0.3">
      <c r="CQ566" s="24">
        <v>0.99877983719846097</v>
      </c>
      <c r="CR566" s="24" t="str">
        <f>"1"</f>
        <v>1</v>
      </c>
      <c r="CS566" t="str">
        <f ca="1">IF((OFFSET($A$1, 566 - 1, 95 - 1)) &gt;= (OFFSET($A$1, 54 - 1, 7 - 1)), "1","0")</f>
        <v>1</v>
      </c>
      <c r="CT566">
        <f ca="1" xml:space="preserve"> IF( AND( OFFSET($A$1, 566 - 1, 96 - 1) = "1", OFFSET($A$1, 566 - 1, 97 - 1) = "1" ), 1, IF( AND( OFFSET($A$1, 566 - 1, 96 - 1) = "1", OFFSET($A$1, 566 - 1, 97 - 1) = "0" ), 2, IF( AND( OFFSET($A$1, 566 - 1, 96 - 1) = "0", OFFSET($A$1, 566 - 1, 97 - 1) = "1" ), 3, 4 ) ) )</f>
        <v>1</v>
      </c>
    </row>
    <row r="567" spans="95:98" ht="13.8" x14ac:dyDescent="0.3">
      <c r="CQ567" s="24">
        <v>0.91740219082979046</v>
      </c>
      <c r="CR567" s="24" t="str">
        <f>"1"</f>
        <v>1</v>
      </c>
      <c r="CS567" t="str">
        <f ca="1">IF((OFFSET($A$1, 567 - 1, 95 - 1)) &gt;= (OFFSET($A$1, 54 - 1, 7 - 1)), "1","0")</f>
        <v>1</v>
      </c>
      <c r="CT567">
        <f ca="1" xml:space="preserve"> IF( AND( OFFSET($A$1, 567 - 1, 96 - 1) = "1", OFFSET($A$1, 567 - 1, 97 - 1) = "1" ), 1, IF( AND( OFFSET($A$1, 567 - 1, 96 - 1) = "1", OFFSET($A$1, 567 - 1, 97 - 1) = "0" ), 2, IF( AND( OFFSET($A$1, 567 - 1, 96 - 1) = "0", OFFSET($A$1, 567 - 1, 97 - 1) = "1" ), 3, 4 ) ) )</f>
        <v>1</v>
      </c>
    </row>
    <row r="568" spans="95:98" ht="13.8" x14ac:dyDescent="0.3">
      <c r="CQ568" s="24">
        <v>0.11323727368407129</v>
      </c>
      <c r="CR568" s="24" t="str">
        <f>"0"</f>
        <v>0</v>
      </c>
      <c r="CS568" t="str">
        <f ca="1">IF((OFFSET($A$1, 568 - 1, 95 - 1)) &gt;= (OFFSET($A$1, 54 - 1, 7 - 1)), "1","0")</f>
        <v>0</v>
      </c>
      <c r="CT568">
        <f ca="1" xml:space="preserve"> IF( AND( OFFSET($A$1, 568 - 1, 96 - 1) = "1", OFFSET($A$1, 568 - 1, 97 - 1) = "1" ), 1, IF( AND( OFFSET($A$1, 568 - 1, 96 - 1) = "1", OFFSET($A$1, 568 - 1, 97 - 1) = "0" ), 2, IF( AND( OFFSET($A$1, 568 - 1, 96 - 1) = "0", OFFSET($A$1, 568 - 1, 97 - 1) = "1" ), 3, 4 ) ) )</f>
        <v>4</v>
      </c>
    </row>
    <row r="569" spans="95:98" ht="13.8" x14ac:dyDescent="0.3">
      <c r="CQ569" s="24">
        <v>0.97374782821136674</v>
      </c>
      <c r="CR569" s="24" t="str">
        <f>"1"</f>
        <v>1</v>
      </c>
      <c r="CS569" t="str">
        <f ca="1">IF((OFFSET($A$1, 569 - 1, 95 - 1)) &gt;= (OFFSET($A$1, 54 - 1, 7 - 1)), "1","0")</f>
        <v>1</v>
      </c>
      <c r="CT569">
        <f ca="1" xml:space="preserve"> IF( AND( OFFSET($A$1, 569 - 1, 96 - 1) = "1", OFFSET($A$1, 569 - 1, 97 - 1) = "1" ), 1, IF( AND( OFFSET($A$1, 569 - 1, 96 - 1) = "1", OFFSET($A$1, 569 - 1, 97 - 1) = "0" ), 2, IF( AND( OFFSET($A$1, 569 - 1, 96 - 1) = "0", OFFSET($A$1, 569 - 1, 97 - 1) = "1" ), 3, 4 ) ) )</f>
        <v>1</v>
      </c>
    </row>
    <row r="570" spans="95:98" ht="13.8" x14ac:dyDescent="0.3">
      <c r="CQ570" s="24">
        <v>0.99781432173005191</v>
      </c>
      <c r="CR570" s="24" t="str">
        <f>"1"</f>
        <v>1</v>
      </c>
      <c r="CS570" t="str">
        <f ca="1">IF((OFFSET($A$1, 570 - 1, 95 - 1)) &gt;= (OFFSET($A$1, 54 - 1, 7 - 1)), "1","0")</f>
        <v>1</v>
      </c>
      <c r="CT570">
        <f ca="1" xml:space="preserve"> IF( AND( OFFSET($A$1, 570 - 1, 96 - 1) = "1", OFFSET($A$1, 570 - 1, 97 - 1) = "1" ), 1, IF( AND( OFFSET($A$1, 570 - 1, 96 - 1) = "1", OFFSET($A$1, 570 - 1, 97 - 1) = "0" ), 2, IF( AND( OFFSET($A$1, 570 - 1, 96 - 1) = "0", OFFSET($A$1, 570 - 1, 97 - 1) = "1" ), 3, 4 ) ) )</f>
        <v>1</v>
      </c>
    </row>
    <row r="571" spans="95:98" ht="13.8" x14ac:dyDescent="0.3">
      <c r="CQ571" s="24">
        <v>9.1844205706338063E-3</v>
      </c>
      <c r="CR571" s="24" t="str">
        <f>"0"</f>
        <v>0</v>
      </c>
      <c r="CS571" t="str">
        <f ca="1">IF((OFFSET($A$1, 571 - 1, 95 - 1)) &gt;= (OFFSET($A$1, 54 - 1, 7 - 1)), "1","0")</f>
        <v>0</v>
      </c>
      <c r="CT571">
        <f ca="1" xml:space="preserve"> IF( AND( OFFSET($A$1, 571 - 1, 96 - 1) = "1", OFFSET($A$1, 571 - 1, 97 - 1) = "1" ), 1, IF( AND( OFFSET($A$1, 571 - 1, 96 - 1) = "1", OFFSET($A$1, 571 - 1, 97 - 1) = "0" ), 2, IF( AND( OFFSET($A$1, 571 - 1, 96 - 1) = "0", OFFSET($A$1, 571 - 1, 97 - 1) = "1" ), 3, 4 ) ) )</f>
        <v>4</v>
      </c>
    </row>
    <row r="572" spans="95:98" ht="13.8" x14ac:dyDescent="0.3">
      <c r="CQ572" s="24">
        <v>0.94091333807053967</v>
      </c>
      <c r="CR572" s="24" t="str">
        <f>"1"</f>
        <v>1</v>
      </c>
      <c r="CS572" t="str">
        <f ca="1">IF((OFFSET($A$1, 572 - 1, 95 - 1)) &gt;= (OFFSET($A$1, 54 - 1, 7 - 1)), "1","0")</f>
        <v>1</v>
      </c>
      <c r="CT572">
        <f ca="1" xml:space="preserve"> IF( AND( OFFSET($A$1, 572 - 1, 96 - 1) = "1", OFFSET($A$1, 572 - 1, 97 - 1) = "1" ), 1, IF( AND( OFFSET($A$1, 572 - 1, 96 - 1) = "1", OFFSET($A$1, 572 - 1, 97 - 1) = "0" ), 2, IF( AND( OFFSET($A$1, 572 - 1, 96 - 1) = "0", OFFSET($A$1, 572 - 1, 97 - 1) = "1" ), 3, 4 ) ) )</f>
        <v>1</v>
      </c>
    </row>
    <row r="573" spans="95:98" ht="13.8" x14ac:dyDescent="0.3">
      <c r="CQ573" s="24">
        <v>9.3973135579546077E-2</v>
      </c>
      <c r="CR573" s="24" t="str">
        <f>"0"</f>
        <v>0</v>
      </c>
      <c r="CS573" t="str">
        <f ca="1">IF((OFFSET($A$1, 573 - 1, 95 - 1)) &gt;= (OFFSET($A$1, 54 - 1, 7 - 1)), "1","0")</f>
        <v>0</v>
      </c>
      <c r="CT573">
        <f ca="1" xml:space="preserve"> IF( AND( OFFSET($A$1, 573 - 1, 96 - 1) = "1", OFFSET($A$1, 573 - 1, 97 - 1) = "1" ), 1, IF( AND( OFFSET($A$1, 573 - 1, 96 - 1) = "1", OFFSET($A$1, 573 - 1, 97 - 1) = "0" ), 2, IF( AND( OFFSET($A$1, 573 - 1, 96 - 1) = "0", OFFSET($A$1, 573 - 1, 97 - 1) = "1" ), 3, 4 ) ) )</f>
        <v>4</v>
      </c>
    </row>
    <row r="574" spans="95:98" ht="13.8" x14ac:dyDescent="0.3">
      <c r="CQ574" s="24">
        <v>0.86571621297625811</v>
      </c>
      <c r="CR574" s="24" t="str">
        <f>"1"</f>
        <v>1</v>
      </c>
      <c r="CS574" t="str">
        <f ca="1">IF((OFFSET($A$1, 574 - 1, 95 - 1)) &gt;= (OFFSET($A$1, 54 - 1, 7 - 1)), "1","0")</f>
        <v>1</v>
      </c>
      <c r="CT574">
        <f ca="1" xml:space="preserve"> IF( AND( OFFSET($A$1, 574 - 1, 96 - 1) = "1", OFFSET($A$1, 574 - 1, 97 - 1) = "1" ), 1, IF( AND( OFFSET($A$1, 574 - 1, 96 - 1) = "1", OFFSET($A$1, 574 - 1, 97 - 1) = "0" ), 2, IF( AND( OFFSET($A$1, 574 - 1, 96 - 1) = "0", OFFSET($A$1, 574 - 1, 97 - 1) = "1" ), 3, 4 ) ) )</f>
        <v>1</v>
      </c>
    </row>
    <row r="575" spans="95:98" ht="13.8" x14ac:dyDescent="0.3">
      <c r="CQ575" s="24">
        <v>0.99904322058583783</v>
      </c>
      <c r="CR575" s="24" t="str">
        <f>"1"</f>
        <v>1</v>
      </c>
      <c r="CS575" t="str">
        <f ca="1">IF((OFFSET($A$1, 575 - 1, 95 - 1)) &gt;= (OFFSET($A$1, 54 - 1, 7 - 1)), "1","0")</f>
        <v>1</v>
      </c>
      <c r="CT575">
        <f ca="1" xml:space="preserve"> IF( AND( OFFSET($A$1, 575 - 1, 96 - 1) = "1", OFFSET($A$1, 575 - 1, 97 - 1) = "1" ), 1, IF( AND( OFFSET($A$1, 575 - 1, 96 - 1) = "1", OFFSET($A$1, 575 - 1, 97 - 1) = "0" ), 2, IF( AND( OFFSET($A$1, 575 - 1, 96 - 1) = "0", OFFSET($A$1, 575 - 1, 97 - 1) = "1" ), 3, 4 ) ) )</f>
        <v>1</v>
      </c>
    </row>
    <row r="576" spans="95:98" ht="13.8" x14ac:dyDescent="0.3">
      <c r="CQ576" s="24">
        <v>0.99955817811904601</v>
      </c>
      <c r="CR576" s="24" t="str">
        <f>"1"</f>
        <v>1</v>
      </c>
      <c r="CS576" t="str">
        <f ca="1">IF((OFFSET($A$1, 576 - 1, 95 - 1)) &gt;= (OFFSET($A$1, 54 - 1, 7 - 1)), "1","0")</f>
        <v>1</v>
      </c>
      <c r="CT576">
        <f ca="1" xml:space="preserve"> IF( AND( OFFSET($A$1, 576 - 1, 96 - 1) = "1", OFFSET($A$1, 576 - 1, 97 - 1) = "1" ), 1, IF( AND( OFFSET($A$1, 576 - 1, 96 - 1) = "1", OFFSET($A$1, 576 - 1, 97 - 1) = "0" ), 2, IF( AND( OFFSET($A$1, 576 - 1, 96 - 1) = "0", OFFSET($A$1, 576 - 1, 97 - 1) = "1" ), 3, 4 ) ) )</f>
        <v>1</v>
      </c>
    </row>
    <row r="577" spans="95:98" ht="13.8" x14ac:dyDescent="0.3">
      <c r="CQ577" s="24">
        <v>0.74947577159318401</v>
      </c>
      <c r="CR577" s="24" t="str">
        <f>"1"</f>
        <v>1</v>
      </c>
      <c r="CS577" t="str">
        <f ca="1">IF((OFFSET($A$1, 577 - 1, 95 - 1)) &gt;= (OFFSET($A$1, 54 - 1, 7 - 1)), "1","0")</f>
        <v>1</v>
      </c>
      <c r="CT577">
        <f ca="1" xml:space="preserve"> IF( AND( OFFSET($A$1, 577 - 1, 96 - 1) = "1", OFFSET($A$1, 577 - 1, 97 - 1) = "1" ), 1, IF( AND( OFFSET($A$1, 577 - 1, 96 - 1) = "1", OFFSET($A$1, 577 - 1, 97 - 1) = "0" ), 2, IF( AND( OFFSET($A$1, 577 - 1, 96 - 1) = "0", OFFSET($A$1, 577 - 1, 97 - 1) = "1" ), 3, 4 ) ) )</f>
        <v>1</v>
      </c>
    </row>
    <row r="578" spans="95:98" ht="13.8" x14ac:dyDescent="0.3">
      <c r="CQ578" s="24">
        <v>7.2306463782275093E-2</v>
      </c>
      <c r="CR578" s="24" t="str">
        <f>"0"</f>
        <v>0</v>
      </c>
      <c r="CS578" t="str">
        <f ca="1">IF((OFFSET($A$1, 578 - 1, 95 - 1)) &gt;= (OFFSET($A$1, 54 - 1, 7 - 1)), "1","0")</f>
        <v>0</v>
      </c>
      <c r="CT578">
        <f ca="1" xml:space="preserve"> IF( AND( OFFSET($A$1, 578 - 1, 96 - 1) = "1", OFFSET($A$1, 578 - 1, 97 - 1) = "1" ), 1, IF( AND( OFFSET($A$1, 578 - 1, 96 - 1) = "1", OFFSET($A$1, 578 - 1, 97 - 1) = "0" ), 2, IF( AND( OFFSET($A$1, 578 - 1, 96 - 1) = "0", OFFSET($A$1, 578 - 1, 97 - 1) = "1" ), 3, 4 ) ) )</f>
        <v>4</v>
      </c>
    </row>
    <row r="579" spans="95:98" ht="13.8" x14ac:dyDescent="0.3">
      <c r="CQ579" s="24">
        <v>7.9276386483126141E-2</v>
      </c>
      <c r="CR579" s="24" t="str">
        <f>"0"</f>
        <v>0</v>
      </c>
      <c r="CS579" t="str">
        <f ca="1">IF((OFFSET($A$1, 579 - 1, 95 - 1)) &gt;= (OFFSET($A$1, 54 - 1, 7 - 1)), "1","0")</f>
        <v>0</v>
      </c>
      <c r="CT579">
        <f ca="1" xml:space="preserve"> IF( AND( OFFSET($A$1, 579 - 1, 96 - 1) = "1", OFFSET($A$1, 579 - 1, 97 - 1) = "1" ), 1, IF( AND( OFFSET($A$1, 579 - 1, 96 - 1) = "1", OFFSET($A$1, 579 - 1, 97 - 1) = "0" ), 2, IF( AND( OFFSET($A$1, 579 - 1, 96 - 1) = "0", OFFSET($A$1, 579 - 1, 97 - 1) = "1" ), 3, 4 ) ) )</f>
        <v>4</v>
      </c>
    </row>
    <row r="580" spans="95:98" ht="13.8" x14ac:dyDescent="0.3">
      <c r="CQ580" s="24">
        <v>0.99021306637343454</v>
      </c>
      <c r="CR580" s="24" t="str">
        <f t="shared" ref="CR580:CR587" si="37">"1"</f>
        <v>1</v>
      </c>
      <c r="CS580" t="str">
        <f ca="1">IF((OFFSET($A$1, 580 - 1, 95 - 1)) &gt;= (OFFSET($A$1, 54 - 1, 7 - 1)), "1","0")</f>
        <v>1</v>
      </c>
      <c r="CT580">
        <f ca="1" xml:space="preserve"> IF( AND( OFFSET($A$1, 580 - 1, 96 - 1) = "1", OFFSET($A$1, 580 - 1, 97 - 1) = "1" ), 1, IF( AND( OFFSET($A$1, 580 - 1, 96 - 1) = "1", OFFSET($A$1, 580 - 1, 97 - 1) = "0" ), 2, IF( AND( OFFSET($A$1, 580 - 1, 96 - 1) = "0", OFFSET($A$1, 580 - 1, 97 - 1) = "1" ), 3, 4 ) ) )</f>
        <v>1</v>
      </c>
    </row>
    <row r="581" spans="95:98" ht="13.8" x14ac:dyDescent="0.3">
      <c r="CQ581" s="24">
        <v>0.89707785627257874</v>
      </c>
      <c r="CR581" s="24" t="str">
        <f t="shared" si="37"/>
        <v>1</v>
      </c>
      <c r="CS581" t="str">
        <f ca="1">IF((OFFSET($A$1, 581 - 1, 95 - 1)) &gt;= (OFFSET($A$1, 54 - 1, 7 - 1)), "1","0")</f>
        <v>1</v>
      </c>
      <c r="CT581">
        <f ca="1" xml:space="preserve"> IF( AND( OFFSET($A$1, 581 - 1, 96 - 1) = "1", OFFSET($A$1, 581 - 1, 97 - 1) = "1" ), 1, IF( AND( OFFSET($A$1, 581 - 1, 96 - 1) = "1", OFFSET($A$1, 581 - 1, 97 - 1) = "0" ), 2, IF( AND( OFFSET($A$1, 581 - 1, 96 - 1) = "0", OFFSET($A$1, 581 - 1, 97 - 1) = "1" ), 3, 4 ) ) )</f>
        <v>1</v>
      </c>
    </row>
    <row r="582" spans="95:98" ht="13.8" x14ac:dyDescent="0.3">
      <c r="CQ582" s="24">
        <v>0.9957083971795766</v>
      </c>
      <c r="CR582" s="24" t="str">
        <f t="shared" si="37"/>
        <v>1</v>
      </c>
      <c r="CS582" t="str">
        <f ca="1">IF((OFFSET($A$1, 582 - 1, 95 - 1)) &gt;= (OFFSET($A$1, 54 - 1, 7 - 1)), "1","0")</f>
        <v>1</v>
      </c>
      <c r="CT582">
        <f ca="1" xml:space="preserve"> IF( AND( OFFSET($A$1, 582 - 1, 96 - 1) = "1", OFFSET($A$1, 582 - 1, 97 - 1) = "1" ), 1, IF( AND( OFFSET($A$1, 582 - 1, 96 - 1) = "1", OFFSET($A$1, 582 - 1, 97 - 1) = "0" ), 2, IF( AND( OFFSET($A$1, 582 - 1, 96 - 1) = "0", OFFSET($A$1, 582 - 1, 97 - 1) = "1" ), 3, 4 ) ) )</f>
        <v>1</v>
      </c>
    </row>
    <row r="583" spans="95:98" ht="13.8" x14ac:dyDescent="0.3">
      <c r="CQ583" s="24">
        <v>0.88942913181015071</v>
      </c>
      <c r="CR583" s="24" t="str">
        <f t="shared" si="37"/>
        <v>1</v>
      </c>
      <c r="CS583" t="str">
        <f ca="1">IF((OFFSET($A$1, 583 - 1, 95 - 1)) &gt;= (OFFSET($A$1, 54 - 1, 7 - 1)), "1","0")</f>
        <v>1</v>
      </c>
      <c r="CT583">
        <f ca="1" xml:space="preserve"> IF( AND( OFFSET($A$1, 583 - 1, 96 - 1) = "1", OFFSET($A$1, 583 - 1, 97 - 1) = "1" ), 1, IF( AND( OFFSET($A$1, 583 - 1, 96 - 1) = "1", OFFSET($A$1, 583 - 1, 97 - 1) = "0" ), 2, IF( AND( OFFSET($A$1, 583 - 1, 96 - 1) = "0", OFFSET($A$1, 583 - 1, 97 - 1) = "1" ), 3, 4 ) ) )</f>
        <v>1</v>
      </c>
    </row>
    <row r="584" spans="95:98" ht="13.8" x14ac:dyDescent="0.3">
      <c r="CQ584" s="24">
        <v>0.96478448719910304</v>
      </c>
      <c r="CR584" s="24" t="str">
        <f t="shared" si="37"/>
        <v>1</v>
      </c>
      <c r="CS584" t="str">
        <f ca="1">IF((OFFSET($A$1, 584 - 1, 95 - 1)) &gt;= (OFFSET($A$1, 54 - 1, 7 - 1)), "1","0")</f>
        <v>1</v>
      </c>
      <c r="CT584">
        <f ca="1" xml:space="preserve"> IF( AND( OFFSET($A$1, 584 - 1, 96 - 1) = "1", OFFSET($A$1, 584 - 1, 97 - 1) = "1" ), 1, IF( AND( OFFSET($A$1, 584 - 1, 96 - 1) = "1", OFFSET($A$1, 584 - 1, 97 - 1) = "0" ), 2, IF( AND( OFFSET($A$1, 584 - 1, 96 - 1) = "0", OFFSET($A$1, 584 - 1, 97 - 1) = "1" ), 3, 4 ) ) )</f>
        <v>1</v>
      </c>
    </row>
    <row r="585" spans="95:98" ht="13.8" x14ac:dyDescent="0.3">
      <c r="CQ585" s="24">
        <v>0.99988099118551044</v>
      </c>
      <c r="CR585" s="24" t="str">
        <f t="shared" si="37"/>
        <v>1</v>
      </c>
      <c r="CS585" t="str">
        <f ca="1">IF((OFFSET($A$1, 585 - 1, 95 - 1)) &gt;= (OFFSET($A$1, 54 - 1, 7 - 1)), "1","0")</f>
        <v>1</v>
      </c>
      <c r="CT585">
        <f ca="1" xml:space="preserve"> IF( AND( OFFSET($A$1, 585 - 1, 96 - 1) = "1", OFFSET($A$1, 585 - 1, 97 - 1) = "1" ), 1, IF( AND( OFFSET($A$1, 585 - 1, 96 - 1) = "1", OFFSET($A$1, 585 - 1, 97 - 1) = "0" ), 2, IF( AND( OFFSET($A$1, 585 - 1, 96 - 1) = "0", OFFSET($A$1, 585 - 1, 97 - 1) = "1" ), 3, 4 ) ) )</f>
        <v>1</v>
      </c>
    </row>
    <row r="586" spans="95:98" ht="13.8" x14ac:dyDescent="0.3">
      <c r="CQ586" s="24">
        <v>0.91265806201480149</v>
      </c>
      <c r="CR586" s="24" t="str">
        <f t="shared" si="37"/>
        <v>1</v>
      </c>
      <c r="CS586" t="str">
        <f ca="1">IF((OFFSET($A$1, 586 - 1, 95 - 1)) &gt;= (OFFSET($A$1, 54 - 1, 7 - 1)), "1","0")</f>
        <v>1</v>
      </c>
      <c r="CT586">
        <f ca="1" xml:space="preserve"> IF( AND( OFFSET($A$1, 586 - 1, 96 - 1) = "1", OFFSET($A$1, 586 - 1, 97 - 1) = "1" ), 1, IF( AND( OFFSET($A$1, 586 - 1, 96 - 1) = "1", OFFSET($A$1, 586 - 1, 97 - 1) = "0" ), 2, IF( AND( OFFSET($A$1, 586 - 1, 96 - 1) = "0", OFFSET($A$1, 586 - 1, 97 - 1) = "1" ), 3, 4 ) ) )</f>
        <v>1</v>
      </c>
    </row>
    <row r="587" spans="95:98" ht="13.8" x14ac:dyDescent="0.3">
      <c r="CQ587" s="24">
        <v>0.99967848586985941</v>
      </c>
      <c r="CR587" s="24" t="str">
        <f t="shared" si="37"/>
        <v>1</v>
      </c>
      <c r="CS587" t="str">
        <f ca="1">IF((OFFSET($A$1, 587 - 1, 95 - 1)) &gt;= (OFFSET($A$1, 54 - 1, 7 - 1)), "1","0")</f>
        <v>1</v>
      </c>
      <c r="CT587">
        <f ca="1" xml:space="preserve"> IF( AND( OFFSET($A$1, 587 - 1, 96 - 1) = "1", OFFSET($A$1, 587 - 1, 97 - 1) = "1" ), 1, IF( AND( OFFSET($A$1, 587 - 1, 96 - 1) = "1", OFFSET($A$1, 587 - 1, 97 - 1) = "0" ), 2, IF( AND( OFFSET($A$1, 587 - 1, 96 - 1) = "0", OFFSET($A$1, 587 - 1, 97 - 1) = "1" ), 3, 4 ) ) )</f>
        <v>1</v>
      </c>
    </row>
    <row r="588" spans="95:98" ht="13.8" x14ac:dyDescent="0.3">
      <c r="CQ588" s="24">
        <v>5.0457424347753854E-2</v>
      </c>
      <c r="CR588" s="24" t="str">
        <f>"0"</f>
        <v>0</v>
      </c>
      <c r="CS588" t="str">
        <f ca="1">IF((OFFSET($A$1, 588 - 1, 95 - 1)) &gt;= (OFFSET($A$1, 54 - 1, 7 - 1)), "1","0")</f>
        <v>0</v>
      </c>
      <c r="CT588">
        <f ca="1" xml:space="preserve"> IF( AND( OFFSET($A$1, 588 - 1, 96 - 1) = "1", OFFSET($A$1, 588 - 1, 97 - 1) = "1" ), 1, IF( AND( OFFSET($A$1, 588 - 1, 96 - 1) = "1", OFFSET($A$1, 588 - 1, 97 - 1) = "0" ), 2, IF( AND( OFFSET($A$1, 588 - 1, 96 - 1) = "0", OFFSET($A$1, 588 - 1, 97 - 1) = "1" ), 3, 4 ) ) )</f>
        <v>4</v>
      </c>
    </row>
    <row r="589" spans="95:98" ht="13.8" x14ac:dyDescent="0.3">
      <c r="CQ589" s="24">
        <v>1.6846309161728802E-4</v>
      </c>
      <c r="CR589" s="24" t="str">
        <f>"0"</f>
        <v>0</v>
      </c>
      <c r="CS589" t="str">
        <f ca="1">IF((OFFSET($A$1, 589 - 1, 95 - 1)) &gt;= (OFFSET($A$1, 54 - 1, 7 - 1)), "1","0")</f>
        <v>0</v>
      </c>
      <c r="CT589">
        <f ca="1" xml:space="preserve"> IF( AND( OFFSET($A$1, 589 - 1, 96 - 1) = "1", OFFSET($A$1, 589 - 1, 97 - 1) = "1" ), 1, IF( AND( OFFSET($A$1, 589 - 1, 96 - 1) = "1", OFFSET($A$1, 589 - 1, 97 - 1) = "0" ), 2, IF( AND( OFFSET($A$1, 589 - 1, 96 - 1) = "0", OFFSET($A$1, 589 - 1, 97 - 1) = "1" ), 3, 4 ) ) )</f>
        <v>4</v>
      </c>
    </row>
    <row r="590" spans="95:98" ht="13.8" x14ac:dyDescent="0.3">
      <c r="CQ590" s="24">
        <v>0.99435554938898518</v>
      </c>
      <c r="CR590" s="24" t="str">
        <f>"1"</f>
        <v>1</v>
      </c>
      <c r="CS590" t="str">
        <f ca="1">IF((OFFSET($A$1, 590 - 1, 95 - 1)) &gt;= (OFFSET($A$1, 54 - 1, 7 - 1)), "1","0")</f>
        <v>1</v>
      </c>
      <c r="CT590">
        <f ca="1" xml:space="preserve"> IF( AND( OFFSET($A$1, 590 - 1, 96 - 1) = "1", OFFSET($A$1, 590 - 1, 97 - 1) = "1" ), 1, IF( AND( OFFSET($A$1, 590 - 1, 96 - 1) = "1", OFFSET($A$1, 590 - 1, 97 - 1) = "0" ), 2, IF( AND( OFFSET($A$1, 590 - 1, 96 - 1) = "0", OFFSET($A$1, 590 - 1, 97 - 1) = "1" ), 3, 4 ) ) )</f>
        <v>1</v>
      </c>
    </row>
    <row r="591" spans="95:98" ht="13.8" x14ac:dyDescent="0.3">
      <c r="CQ591" s="24">
        <v>0.99999999293789621</v>
      </c>
      <c r="CR591" s="24" t="str">
        <f>"1"</f>
        <v>1</v>
      </c>
      <c r="CS591" t="str">
        <f ca="1">IF((OFFSET($A$1, 591 - 1, 95 - 1)) &gt;= (OFFSET($A$1, 54 - 1, 7 - 1)), "1","0")</f>
        <v>1</v>
      </c>
      <c r="CT591">
        <f ca="1" xml:space="preserve"> IF( AND( OFFSET($A$1, 591 - 1, 96 - 1) = "1", OFFSET($A$1, 591 - 1, 97 - 1) = "1" ), 1, IF( AND( OFFSET($A$1, 591 - 1, 96 - 1) = "1", OFFSET($A$1, 591 - 1, 97 - 1) = "0" ), 2, IF( AND( OFFSET($A$1, 591 - 1, 96 - 1) = "0", OFFSET($A$1, 591 - 1, 97 - 1) = "1" ), 3, 4 ) ) )</f>
        <v>1</v>
      </c>
    </row>
    <row r="592" spans="95:98" ht="13.8" x14ac:dyDescent="0.3">
      <c r="CQ592" s="24">
        <v>6.9685632275687359E-2</v>
      </c>
      <c r="CR592" s="24" t="str">
        <f>"0"</f>
        <v>0</v>
      </c>
      <c r="CS592" t="str">
        <f ca="1">IF((OFFSET($A$1, 592 - 1, 95 - 1)) &gt;= (OFFSET($A$1, 54 - 1, 7 - 1)), "1","0")</f>
        <v>0</v>
      </c>
      <c r="CT592">
        <f ca="1" xml:space="preserve"> IF( AND( OFFSET($A$1, 592 - 1, 96 - 1) = "1", OFFSET($A$1, 592 - 1, 97 - 1) = "1" ), 1, IF( AND( OFFSET($A$1, 592 - 1, 96 - 1) = "1", OFFSET($A$1, 592 - 1, 97 - 1) = "0" ), 2, IF( AND( OFFSET($A$1, 592 - 1, 96 - 1) = "0", OFFSET($A$1, 592 - 1, 97 - 1) = "1" ), 3, 4 ) ) )</f>
        <v>4</v>
      </c>
    </row>
    <row r="593" spans="95:98" ht="13.8" x14ac:dyDescent="0.3">
      <c r="CQ593" s="24">
        <v>0.28447759247787563</v>
      </c>
      <c r="CR593" s="24" t="str">
        <f>"0"</f>
        <v>0</v>
      </c>
      <c r="CS593" t="str">
        <f ca="1">IF((OFFSET($A$1, 593 - 1, 95 - 1)) &gt;= (OFFSET($A$1, 54 - 1, 7 - 1)), "1","0")</f>
        <v>0</v>
      </c>
      <c r="CT593">
        <f ca="1" xml:space="preserve"> IF( AND( OFFSET($A$1, 593 - 1, 96 - 1) = "1", OFFSET($A$1, 593 - 1, 97 - 1) = "1" ), 1, IF( AND( OFFSET($A$1, 593 - 1, 96 - 1) = "1", OFFSET($A$1, 593 - 1, 97 - 1) = "0" ), 2, IF( AND( OFFSET($A$1, 593 - 1, 96 - 1) = "0", OFFSET($A$1, 593 - 1, 97 - 1) = "1" ), 3, 4 ) ) )</f>
        <v>4</v>
      </c>
    </row>
    <row r="594" spans="95:98" ht="13.8" x14ac:dyDescent="0.3">
      <c r="CQ594" s="24">
        <v>0.98850111394413298</v>
      </c>
      <c r="CR594" s="24" t="str">
        <f>"1"</f>
        <v>1</v>
      </c>
      <c r="CS594" t="str">
        <f ca="1">IF((OFFSET($A$1, 594 - 1, 95 - 1)) &gt;= (OFFSET($A$1, 54 - 1, 7 - 1)), "1","0")</f>
        <v>1</v>
      </c>
      <c r="CT594">
        <f ca="1" xml:space="preserve"> IF( AND( OFFSET($A$1, 594 - 1, 96 - 1) = "1", OFFSET($A$1, 594 - 1, 97 - 1) = "1" ), 1, IF( AND( OFFSET($A$1, 594 - 1, 96 - 1) = "1", OFFSET($A$1, 594 - 1, 97 - 1) = "0" ), 2, IF( AND( OFFSET($A$1, 594 - 1, 96 - 1) = "0", OFFSET($A$1, 594 - 1, 97 - 1) = "1" ), 3, 4 ) ) )</f>
        <v>1</v>
      </c>
    </row>
    <row r="595" spans="95:98" ht="13.8" x14ac:dyDescent="0.3">
      <c r="CQ595" s="24">
        <v>3.3340347428802583E-2</v>
      </c>
      <c r="CR595" s="24" t="str">
        <f>"0"</f>
        <v>0</v>
      </c>
      <c r="CS595" t="str">
        <f ca="1">IF((OFFSET($A$1, 595 - 1, 95 - 1)) &gt;= (OFFSET($A$1, 54 - 1, 7 - 1)), "1","0")</f>
        <v>0</v>
      </c>
      <c r="CT595">
        <f ca="1" xml:space="preserve"> IF( AND( OFFSET($A$1, 595 - 1, 96 - 1) = "1", OFFSET($A$1, 595 - 1, 97 - 1) = "1" ), 1, IF( AND( OFFSET($A$1, 595 - 1, 96 - 1) = "1", OFFSET($A$1, 595 - 1, 97 - 1) = "0" ), 2, IF( AND( OFFSET($A$1, 595 - 1, 96 - 1) = "0", OFFSET($A$1, 595 - 1, 97 - 1) = "1" ), 3, 4 ) ) )</f>
        <v>4</v>
      </c>
    </row>
    <row r="596" spans="95:98" ht="13.8" x14ac:dyDescent="0.3">
      <c r="CQ596" s="24">
        <v>0.97666391326088065</v>
      </c>
      <c r="CR596" s="24" t="str">
        <f>"1"</f>
        <v>1</v>
      </c>
      <c r="CS596" t="str">
        <f ca="1">IF((OFFSET($A$1, 596 - 1, 95 - 1)) &gt;= (OFFSET($A$1, 54 - 1, 7 - 1)), "1","0")</f>
        <v>1</v>
      </c>
      <c r="CT596">
        <f ca="1" xml:space="preserve"> IF( AND( OFFSET($A$1, 596 - 1, 96 - 1) = "1", OFFSET($A$1, 596 - 1, 97 - 1) = "1" ), 1, IF( AND( OFFSET($A$1, 596 - 1, 96 - 1) = "1", OFFSET($A$1, 596 - 1, 97 - 1) = "0" ), 2, IF( AND( OFFSET($A$1, 596 - 1, 96 - 1) = "0", OFFSET($A$1, 596 - 1, 97 - 1) = "1" ), 3, 4 ) ) )</f>
        <v>1</v>
      </c>
    </row>
    <row r="597" spans="95:98" ht="13.8" x14ac:dyDescent="0.3">
      <c r="CQ597" s="24">
        <v>0.9973959861746432</v>
      </c>
      <c r="CR597" s="24" t="str">
        <f>"1"</f>
        <v>1</v>
      </c>
      <c r="CS597" t="str">
        <f ca="1">IF((OFFSET($A$1, 597 - 1, 95 - 1)) &gt;= (OFFSET($A$1, 54 - 1, 7 - 1)), "1","0")</f>
        <v>1</v>
      </c>
      <c r="CT597">
        <f ca="1" xml:space="preserve"> IF( AND( OFFSET($A$1, 597 - 1, 96 - 1) = "1", OFFSET($A$1, 597 - 1, 97 - 1) = "1" ), 1, IF( AND( OFFSET($A$1, 597 - 1, 96 - 1) = "1", OFFSET($A$1, 597 - 1, 97 - 1) = "0" ), 2, IF( AND( OFFSET($A$1, 597 - 1, 96 - 1) = "0", OFFSET($A$1, 597 - 1, 97 - 1) = "1" ), 3, 4 ) ) )</f>
        <v>1</v>
      </c>
    </row>
    <row r="598" spans="95:98" ht="13.8" x14ac:dyDescent="0.3">
      <c r="CQ598" s="24">
        <v>1.8139239505328069E-2</v>
      </c>
      <c r="CR598" s="24" t="str">
        <f>"0"</f>
        <v>0</v>
      </c>
      <c r="CS598" t="str">
        <f ca="1">IF((OFFSET($A$1, 598 - 1, 95 - 1)) &gt;= (OFFSET($A$1, 54 - 1, 7 - 1)), "1","0")</f>
        <v>0</v>
      </c>
      <c r="CT598">
        <f ca="1" xml:space="preserve"> IF( AND( OFFSET($A$1, 598 - 1, 96 - 1) = "1", OFFSET($A$1, 598 - 1, 97 - 1) = "1" ), 1, IF( AND( OFFSET($A$1, 598 - 1, 96 - 1) = "1", OFFSET($A$1, 598 - 1, 97 - 1) = "0" ), 2, IF( AND( OFFSET($A$1, 598 - 1, 96 - 1) = "0", OFFSET($A$1, 598 - 1, 97 - 1) = "1" ), 3, 4 ) ) )</f>
        <v>4</v>
      </c>
    </row>
    <row r="599" spans="95:98" ht="13.8" x14ac:dyDescent="0.3">
      <c r="CQ599" s="24">
        <v>0.99002643875556451</v>
      </c>
      <c r="CR599" s="24" t="str">
        <f>"1"</f>
        <v>1</v>
      </c>
      <c r="CS599" t="str">
        <f ca="1">IF((OFFSET($A$1, 599 - 1, 95 - 1)) &gt;= (OFFSET($A$1, 54 - 1, 7 - 1)), "1","0")</f>
        <v>1</v>
      </c>
      <c r="CT599">
        <f ca="1" xml:space="preserve"> IF( AND( OFFSET($A$1, 599 - 1, 96 - 1) = "1", OFFSET($A$1, 599 - 1, 97 - 1) = "1" ), 1, IF( AND( OFFSET($A$1, 599 - 1, 96 - 1) = "1", OFFSET($A$1, 599 - 1, 97 - 1) = "0" ), 2, IF( AND( OFFSET($A$1, 599 - 1, 96 - 1) = "0", OFFSET($A$1, 599 - 1, 97 - 1) = "1" ), 3, 4 ) ) )</f>
        <v>1</v>
      </c>
    </row>
    <row r="600" spans="95:98" ht="13.8" x14ac:dyDescent="0.3">
      <c r="CQ600" s="24">
        <v>8.2908681365988737E-2</v>
      </c>
      <c r="CR600" s="24" t="str">
        <f>"0"</f>
        <v>0</v>
      </c>
      <c r="CS600" t="str">
        <f ca="1">IF((OFFSET($A$1, 600 - 1, 95 - 1)) &gt;= (OFFSET($A$1, 54 - 1, 7 - 1)), "1","0")</f>
        <v>0</v>
      </c>
      <c r="CT600">
        <f ca="1" xml:space="preserve"> IF( AND( OFFSET($A$1, 600 - 1, 96 - 1) = "1", OFFSET($A$1, 600 - 1, 97 - 1) = "1" ), 1, IF( AND( OFFSET($A$1, 600 - 1, 96 - 1) = "1", OFFSET($A$1, 600 - 1, 97 - 1) = "0" ), 2, IF( AND( OFFSET($A$1, 600 - 1, 96 - 1) = "0", OFFSET($A$1, 600 - 1, 97 - 1) = "1" ), 3, 4 ) ) )</f>
        <v>4</v>
      </c>
    </row>
  </sheetData>
  <mergeCells count="78">
    <mergeCell ref="B3:M3"/>
    <mergeCell ref="P3:S3"/>
    <mergeCell ref="C97:D97"/>
    <mergeCell ref="D102:AW102"/>
    <mergeCell ref="D119:Q119"/>
    <mergeCell ref="B4:C4"/>
    <mergeCell ref="D4:E4"/>
    <mergeCell ref="F4:G4"/>
    <mergeCell ref="H4:I4"/>
    <mergeCell ref="J4:K4"/>
    <mergeCell ref="L4:M4"/>
    <mergeCell ref="C86:F86"/>
    <mergeCell ref="C92:E92"/>
    <mergeCell ref="C93:D93"/>
    <mergeCell ref="C94:D94"/>
    <mergeCell ref="D57:E57"/>
    <mergeCell ref="C62:F62"/>
    <mergeCell ref="C68:E68"/>
    <mergeCell ref="C69:D69"/>
    <mergeCell ref="C96:D96"/>
    <mergeCell ref="C72:D72"/>
    <mergeCell ref="C73:D73"/>
    <mergeCell ref="C78:F78"/>
    <mergeCell ref="H78:M78"/>
    <mergeCell ref="C80:E80"/>
    <mergeCell ref="D81:E81"/>
    <mergeCell ref="C95:D95"/>
    <mergeCell ref="C70:D70"/>
    <mergeCell ref="C71:D71"/>
    <mergeCell ref="C39:G39"/>
    <mergeCell ref="C40:G40"/>
    <mergeCell ref="C45:G45"/>
    <mergeCell ref="C54:F54"/>
    <mergeCell ref="C56:E56"/>
    <mergeCell ref="G32:J32"/>
    <mergeCell ref="G33:J33"/>
    <mergeCell ref="G34:J34"/>
    <mergeCell ref="G35:J35"/>
    <mergeCell ref="G36:J36"/>
    <mergeCell ref="C38:G38"/>
    <mergeCell ref="C35:F35"/>
    <mergeCell ref="C36:F36"/>
    <mergeCell ref="G26:J26"/>
    <mergeCell ref="G27:J27"/>
    <mergeCell ref="G28:J28"/>
    <mergeCell ref="G29:J29"/>
    <mergeCell ref="H54:M54"/>
    <mergeCell ref="C33:F33"/>
    <mergeCell ref="C34:F34"/>
    <mergeCell ref="C23:J23"/>
    <mergeCell ref="C24:F24"/>
    <mergeCell ref="C25:F25"/>
    <mergeCell ref="C26:F26"/>
    <mergeCell ref="C27:F27"/>
    <mergeCell ref="C28:F28"/>
    <mergeCell ref="G30:J30"/>
    <mergeCell ref="G31:J31"/>
    <mergeCell ref="C29:F29"/>
    <mergeCell ref="C30:F30"/>
    <mergeCell ref="C31:F31"/>
    <mergeCell ref="C32:F32"/>
    <mergeCell ref="G24:J24"/>
    <mergeCell ref="G25:J25"/>
    <mergeCell ref="C18:AW18"/>
    <mergeCell ref="C19:D19"/>
    <mergeCell ref="C20:D20"/>
    <mergeCell ref="C21:D21"/>
    <mergeCell ref="E19:AW19"/>
    <mergeCell ref="E21:AW21"/>
    <mergeCell ref="C12:K12"/>
    <mergeCell ref="C13:F13"/>
    <mergeCell ref="C14:F14"/>
    <mergeCell ref="C15:F15"/>
    <mergeCell ref="C16:F16"/>
    <mergeCell ref="G13:K13"/>
    <mergeCell ref="G14:K14"/>
    <mergeCell ref="G15:K15"/>
    <mergeCell ref="G16:K16"/>
  </mergeCells>
  <hyperlinks>
    <hyperlink ref="B4" location="'NNC_Output3'!$B$10:$B$10" display="Inputs"/>
    <hyperlink ref="D4" location="'NNC_Output3'!$B$43:$B$43" display="Prior Class Prob."/>
    <hyperlink ref="F4" location="'NNC_Output3'!$B$52:$B$52" display="Train. Score - Summary"/>
    <hyperlink ref="H4" location="'NNC_Output3'!$B$76:$B$76" display="Valid. Score - Summary"/>
    <hyperlink ref="J4" location="'NNC_Output3'!$B$100:$B$100" display="Weights"/>
    <hyperlink ref="L4" location="'NNC_TrainLog3'!$B$10:$B$10" display="Training Log"/>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42"/>
  <sheetViews>
    <sheetView showGridLines="0" workbookViewId="0"/>
  </sheetViews>
  <sheetFormatPr defaultRowHeight="13.2" x14ac:dyDescent="0.25"/>
  <cols>
    <col min="16" max="16" width="13.5546875" bestFit="1" customWidth="1"/>
  </cols>
  <sheetData>
    <row r="1" spans="2:19" ht="18" x14ac:dyDescent="0.35">
      <c r="B1" s="23" t="s">
        <v>691</v>
      </c>
      <c r="N1" t="s">
        <v>756</v>
      </c>
    </row>
    <row r="3" spans="2:19" ht="15.6" x14ac:dyDescent="0.3">
      <c r="B3" s="59" t="s">
        <v>136</v>
      </c>
      <c r="C3" s="60"/>
      <c r="D3" s="60"/>
      <c r="E3" s="60"/>
      <c r="F3" s="60"/>
      <c r="G3" s="60"/>
      <c r="H3" s="60"/>
      <c r="I3" s="60"/>
      <c r="J3" s="60"/>
      <c r="K3" s="60"/>
      <c r="L3" s="60"/>
      <c r="M3" s="61"/>
      <c r="P3" s="59" t="s">
        <v>137</v>
      </c>
      <c r="Q3" s="60"/>
      <c r="R3" s="60"/>
      <c r="S3" s="61"/>
    </row>
    <row r="4" spans="2:19" ht="13.8" x14ac:dyDescent="0.3">
      <c r="B4" s="65" t="s">
        <v>141</v>
      </c>
      <c r="C4" s="66"/>
      <c r="D4" s="65" t="s">
        <v>683</v>
      </c>
      <c r="E4" s="66"/>
      <c r="F4" s="65" t="s">
        <v>684</v>
      </c>
      <c r="G4" s="66"/>
      <c r="H4" s="65" t="s">
        <v>685</v>
      </c>
      <c r="I4" s="66"/>
      <c r="J4" s="65" t="s">
        <v>686</v>
      </c>
      <c r="K4" s="66"/>
      <c r="L4" s="65" t="s">
        <v>687</v>
      </c>
      <c r="M4" s="66"/>
      <c r="P4" s="26" t="s">
        <v>182</v>
      </c>
      <c r="Q4" s="26" t="s">
        <v>183</v>
      </c>
      <c r="R4" s="26" t="s">
        <v>139</v>
      </c>
      <c r="S4" s="26" t="s">
        <v>140</v>
      </c>
    </row>
    <row r="5" spans="2:19" ht="13.8" x14ac:dyDescent="0.3">
      <c r="P5" s="24">
        <v>47</v>
      </c>
      <c r="Q5" s="24">
        <v>172</v>
      </c>
      <c r="R5" s="24">
        <v>141</v>
      </c>
      <c r="S5" s="24">
        <v>360</v>
      </c>
    </row>
    <row r="10" spans="2:19" ht="13.8" x14ac:dyDescent="0.3">
      <c r="B10" s="21" t="s">
        <v>687</v>
      </c>
    </row>
    <row r="12" spans="2:19" ht="13.8" x14ac:dyDescent="0.3">
      <c r="C12" s="26" t="s">
        <v>692</v>
      </c>
      <c r="D12" s="26" t="s">
        <v>693</v>
      </c>
      <c r="E12" s="26" t="s">
        <v>694</v>
      </c>
    </row>
    <row r="13" spans="2:19" ht="13.8" x14ac:dyDescent="0.3">
      <c r="C13" s="24">
        <v>1</v>
      </c>
      <c r="D13" s="24">
        <v>110.98808851446917</v>
      </c>
      <c r="E13" s="24">
        <v>28.666666666666668</v>
      </c>
    </row>
    <row r="14" spans="2:19" ht="13.8" x14ac:dyDescent="0.3">
      <c r="C14" s="24">
        <v>2</v>
      </c>
      <c r="D14" s="24">
        <v>95.985690034158623</v>
      </c>
      <c r="E14" s="24">
        <v>26.166666666666668</v>
      </c>
    </row>
    <row r="15" spans="2:19" ht="13.8" x14ac:dyDescent="0.3">
      <c r="C15" s="24">
        <v>3</v>
      </c>
      <c r="D15" s="24">
        <v>89.734423915475517</v>
      </c>
      <c r="E15" s="24">
        <v>22.833333333333332</v>
      </c>
    </row>
    <row r="16" spans="2:19" ht="13.8" x14ac:dyDescent="0.3">
      <c r="C16" s="24">
        <v>4</v>
      </c>
      <c r="D16" s="24">
        <v>85.140293307839215</v>
      </c>
      <c r="E16" s="24">
        <v>21.166666666666668</v>
      </c>
    </row>
    <row r="17" spans="3:5" ht="13.8" x14ac:dyDescent="0.3">
      <c r="C17" s="24">
        <v>5</v>
      </c>
      <c r="D17" s="24">
        <v>78.491687535469509</v>
      </c>
      <c r="E17" s="24">
        <v>19.333333333333332</v>
      </c>
    </row>
    <row r="18" spans="3:5" ht="13.8" x14ac:dyDescent="0.3">
      <c r="C18" s="24">
        <v>6</v>
      </c>
      <c r="D18" s="24">
        <v>71.870729335344691</v>
      </c>
      <c r="E18" s="24">
        <v>16.833333333333332</v>
      </c>
    </row>
    <row r="19" spans="3:5" ht="13.8" x14ac:dyDescent="0.3">
      <c r="C19" s="24">
        <v>7</v>
      </c>
      <c r="D19" s="24">
        <v>68.182757497582486</v>
      </c>
      <c r="E19" s="24">
        <v>16</v>
      </c>
    </row>
    <row r="20" spans="3:5" ht="13.8" x14ac:dyDescent="0.3">
      <c r="C20" s="24">
        <v>8</v>
      </c>
      <c r="D20" s="24">
        <v>64.589516472927627</v>
      </c>
      <c r="E20" s="24">
        <v>15</v>
      </c>
    </row>
    <row r="21" spans="3:5" ht="13.8" x14ac:dyDescent="0.3">
      <c r="C21" s="24">
        <v>9</v>
      </c>
      <c r="D21" s="24">
        <v>58.839418344523949</v>
      </c>
      <c r="E21" s="24">
        <v>13.166666666666666</v>
      </c>
    </row>
    <row r="22" spans="3:5" ht="13.8" x14ac:dyDescent="0.3">
      <c r="C22" s="24">
        <v>10</v>
      </c>
      <c r="D22" s="24">
        <v>54.577480050170081</v>
      </c>
      <c r="E22" s="24">
        <v>12</v>
      </c>
    </row>
    <row r="23" spans="3:5" ht="13.8" x14ac:dyDescent="0.3">
      <c r="C23" s="24">
        <v>11</v>
      </c>
      <c r="D23" s="24">
        <v>50.667599233118693</v>
      </c>
      <c r="E23" s="24">
        <v>10.333333333333334</v>
      </c>
    </row>
    <row r="24" spans="3:5" ht="13.8" x14ac:dyDescent="0.3">
      <c r="C24" s="24">
        <v>12</v>
      </c>
      <c r="D24" s="24">
        <v>44.302238007318934</v>
      </c>
      <c r="E24" s="24">
        <v>8.5</v>
      </c>
    </row>
    <row r="25" spans="3:5" ht="13.8" x14ac:dyDescent="0.3">
      <c r="C25" s="24">
        <v>13</v>
      </c>
      <c r="D25" s="24">
        <v>40.282955841591097</v>
      </c>
      <c r="E25" s="24">
        <v>7.833333333333333</v>
      </c>
    </row>
    <row r="26" spans="3:5" ht="13.8" x14ac:dyDescent="0.3">
      <c r="C26" s="24">
        <v>14</v>
      </c>
      <c r="D26" s="24">
        <v>36.469992243535458</v>
      </c>
      <c r="E26" s="24">
        <v>6.5</v>
      </c>
    </row>
    <row r="27" spans="3:5" ht="13.8" x14ac:dyDescent="0.3">
      <c r="C27" s="24">
        <v>15</v>
      </c>
      <c r="D27" s="24">
        <v>34.312466666698391</v>
      </c>
      <c r="E27" s="24">
        <v>6.666666666666667</v>
      </c>
    </row>
    <row r="28" spans="3:5" ht="13.8" x14ac:dyDescent="0.3">
      <c r="C28" s="24">
        <v>16</v>
      </c>
      <c r="D28" s="24">
        <v>34.020754008414684</v>
      </c>
      <c r="E28" s="24">
        <v>6.166666666666667</v>
      </c>
    </row>
    <row r="29" spans="3:5" ht="13.8" x14ac:dyDescent="0.3">
      <c r="C29" s="24">
        <v>17</v>
      </c>
      <c r="D29" s="24">
        <v>30.609501548617565</v>
      </c>
      <c r="E29" s="24">
        <v>6</v>
      </c>
    </row>
    <row r="30" spans="3:5" ht="13.8" x14ac:dyDescent="0.3">
      <c r="C30" s="24">
        <v>18</v>
      </c>
      <c r="D30" s="24">
        <v>29.256455512913316</v>
      </c>
      <c r="E30" s="24">
        <v>4.833333333333333</v>
      </c>
    </row>
    <row r="31" spans="3:5" ht="13.8" x14ac:dyDescent="0.3">
      <c r="C31" s="24">
        <v>19</v>
      </c>
      <c r="D31" s="24">
        <v>28.942597350902506</v>
      </c>
      <c r="E31" s="24">
        <v>6</v>
      </c>
    </row>
    <row r="32" spans="3:5" ht="13.8" x14ac:dyDescent="0.3">
      <c r="C32" s="24">
        <v>20</v>
      </c>
      <c r="D32" s="24">
        <v>25.544880747720988</v>
      </c>
      <c r="E32" s="24">
        <v>4.333333333333333</v>
      </c>
    </row>
    <row r="33" spans="3:5" ht="13.8" x14ac:dyDescent="0.3">
      <c r="C33" s="24">
        <v>21</v>
      </c>
      <c r="D33" s="24">
        <v>25.490220268045039</v>
      </c>
      <c r="E33" s="24">
        <v>4.166666666666667</v>
      </c>
    </row>
    <row r="34" spans="3:5" ht="13.8" x14ac:dyDescent="0.3">
      <c r="C34" s="24">
        <v>22</v>
      </c>
      <c r="D34" s="24">
        <v>19.539199898491578</v>
      </c>
      <c r="E34" s="24">
        <v>3.1666666666666665</v>
      </c>
    </row>
    <row r="35" spans="3:5" ht="13.8" x14ac:dyDescent="0.3">
      <c r="C35" s="24">
        <v>23</v>
      </c>
      <c r="D35" s="24">
        <v>19.0421115391005</v>
      </c>
      <c r="E35" s="24">
        <v>3.1666666666666665</v>
      </c>
    </row>
    <row r="36" spans="3:5" ht="13.8" x14ac:dyDescent="0.3">
      <c r="C36" s="24">
        <v>24</v>
      </c>
      <c r="D36" s="24">
        <v>16.372127395886007</v>
      </c>
      <c r="E36" s="24">
        <v>2.5</v>
      </c>
    </row>
    <row r="37" spans="3:5" ht="13.8" x14ac:dyDescent="0.3">
      <c r="C37" s="24">
        <v>25</v>
      </c>
      <c r="D37" s="24">
        <v>14.509756966127318</v>
      </c>
      <c r="E37" s="24">
        <v>2.1666666666666665</v>
      </c>
    </row>
    <row r="38" spans="3:5" ht="13.8" x14ac:dyDescent="0.3">
      <c r="C38" s="24">
        <v>26</v>
      </c>
      <c r="D38" s="24">
        <v>13.876867331033511</v>
      </c>
      <c r="E38" s="24">
        <v>2.1666666666666665</v>
      </c>
    </row>
    <row r="39" spans="3:5" ht="13.8" x14ac:dyDescent="0.3">
      <c r="C39" s="24">
        <v>27</v>
      </c>
      <c r="D39" s="24">
        <v>13.466112683725656</v>
      </c>
      <c r="E39" s="24">
        <v>2.1666666666666665</v>
      </c>
    </row>
    <row r="40" spans="3:5" ht="13.8" x14ac:dyDescent="0.3">
      <c r="C40" s="24">
        <v>28</v>
      </c>
      <c r="D40" s="24">
        <v>12.884271850484426</v>
      </c>
      <c r="E40" s="24">
        <v>2</v>
      </c>
    </row>
    <row r="41" spans="3:5" ht="13.8" x14ac:dyDescent="0.3">
      <c r="C41" s="24">
        <v>29</v>
      </c>
      <c r="D41" s="24">
        <v>11.969843091006313</v>
      </c>
      <c r="E41" s="24">
        <v>1.8333333333333333</v>
      </c>
    </row>
    <row r="42" spans="3:5" ht="13.8" x14ac:dyDescent="0.3">
      <c r="C42" s="24">
        <v>30</v>
      </c>
      <c r="D42" s="24">
        <v>11.397043389751044</v>
      </c>
      <c r="E42" s="24">
        <v>1.6666666666666667</v>
      </c>
    </row>
  </sheetData>
  <mergeCells count="8">
    <mergeCell ref="B3:M3"/>
    <mergeCell ref="P3:S3"/>
    <mergeCell ref="B4:C4"/>
    <mergeCell ref="D4:E4"/>
    <mergeCell ref="F4:G4"/>
    <mergeCell ref="H4:I4"/>
    <mergeCell ref="J4:K4"/>
    <mergeCell ref="L4:M4"/>
  </mergeCells>
  <hyperlinks>
    <hyperlink ref="B4" location="'NNC_Output3'!$B$10:$B$10" display="Inputs"/>
    <hyperlink ref="D4" location="'NNC_Output3'!$B$43:$B$43" display="Prior Class Prob."/>
    <hyperlink ref="F4" location="'NNC_Output3'!$B$52:$B$52" display="Train. Score - Summary"/>
    <hyperlink ref="H4" location="'NNC_Output3'!$B$76:$B$76" display="Valid. Score - Summary"/>
    <hyperlink ref="J4" location="'NNC_Output3'!$B$100:$B$100" display="Weights"/>
    <hyperlink ref="L4" location="'NNC_TrainLog3'!$B$10:$B$10" display="Training Log"/>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1"/>
  <sheetViews>
    <sheetView showGridLines="0" workbookViewId="0"/>
  </sheetViews>
  <sheetFormatPr defaultRowHeight="13.2" x14ac:dyDescent="0.25"/>
  <cols>
    <col min="1" max="1" width="26.77734375" bestFit="1" customWidth="1"/>
    <col min="2" max="2" width="26.88671875" bestFit="1" customWidth="1"/>
  </cols>
  <sheetData>
    <row r="1" spans="1:49" x14ac:dyDescent="0.25">
      <c r="M1" t="s">
        <v>756</v>
      </c>
    </row>
    <row r="2" spans="1:49" ht="13.8" x14ac:dyDescent="0.3">
      <c r="A2" s="25" t="s">
        <v>637</v>
      </c>
      <c r="B2" s="24" t="s">
        <v>638</v>
      </c>
    </row>
    <row r="3" spans="1:49" ht="13.8" x14ac:dyDescent="0.3">
      <c r="A3" s="25" t="s">
        <v>639</v>
      </c>
      <c r="B3" s="24">
        <v>45</v>
      </c>
    </row>
    <row r="4" spans="1:49" ht="13.8" x14ac:dyDescent="0.3">
      <c r="A4" s="25" t="s">
        <v>151</v>
      </c>
      <c r="B4" s="24" t="s">
        <v>640</v>
      </c>
      <c r="D4" s="24" t="s">
        <v>0</v>
      </c>
      <c r="E4" s="24" t="s">
        <v>68</v>
      </c>
      <c r="F4" s="24" t="s">
        <v>69</v>
      </c>
      <c r="G4" s="24" t="s">
        <v>70</v>
      </c>
      <c r="H4" s="24" t="s">
        <v>71</v>
      </c>
      <c r="I4" s="24" t="s">
        <v>81</v>
      </c>
      <c r="J4" s="24" t="s">
        <v>72</v>
      </c>
      <c r="K4" s="24" t="s">
        <v>2</v>
      </c>
      <c r="L4" s="24" t="s">
        <v>6</v>
      </c>
      <c r="M4" s="24" t="s">
        <v>74</v>
      </c>
      <c r="N4" s="24" t="s">
        <v>75</v>
      </c>
      <c r="O4" s="24" t="s">
        <v>76</v>
      </c>
      <c r="P4" s="24" t="s">
        <v>73</v>
      </c>
      <c r="Q4" s="24" t="s">
        <v>77</v>
      </c>
      <c r="R4" s="24" t="s">
        <v>78</v>
      </c>
      <c r="S4" s="24" t="s">
        <v>82</v>
      </c>
      <c r="T4" s="24" t="s">
        <v>8</v>
      </c>
      <c r="U4" s="24" t="s">
        <v>79</v>
      </c>
      <c r="V4" s="24" t="s">
        <v>80</v>
      </c>
      <c r="W4" s="24" t="s">
        <v>83</v>
      </c>
      <c r="X4" s="24" t="s">
        <v>9</v>
      </c>
      <c r="Y4" s="24" t="s">
        <v>11</v>
      </c>
      <c r="Z4" s="24" t="s">
        <v>12</v>
      </c>
      <c r="AA4" s="24" t="s">
        <v>13</v>
      </c>
      <c r="AB4" s="24" t="s">
        <v>152</v>
      </c>
      <c r="AC4" s="24" t="s">
        <v>153</v>
      </c>
      <c r="AD4" s="24" t="s">
        <v>154</v>
      </c>
      <c r="AE4" s="24" t="s">
        <v>156</v>
      </c>
      <c r="AF4" s="24" t="s">
        <v>157</v>
      </c>
      <c r="AG4" s="24" t="s">
        <v>158</v>
      </c>
      <c r="AH4" s="24" t="s">
        <v>159</v>
      </c>
      <c r="AI4" s="24" t="s">
        <v>161</v>
      </c>
      <c r="AJ4" s="24" t="s">
        <v>162</v>
      </c>
      <c r="AK4" s="24" t="s">
        <v>163</v>
      </c>
      <c r="AL4" s="24" t="s">
        <v>164</v>
      </c>
      <c r="AM4" s="24" t="s">
        <v>166</v>
      </c>
      <c r="AN4" s="24" t="s">
        <v>167</v>
      </c>
      <c r="AO4" s="24" t="s">
        <v>168</v>
      </c>
      <c r="AP4" s="24" t="s">
        <v>169</v>
      </c>
      <c r="AQ4" s="24" t="s">
        <v>171</v>
      </c>
      <c r="AR4" s="24" t="s">
        <v>172</v>
      </c>
      <c r="AS4" s="24" t="s">
        <v>173</v>
      </c>
      <c r="AT4" s="24" t="s">
        <v>176</v>
      </c>
      <c r="AU4" s="24" t="s">
        <v>177</v>
      </c>
      <c r="AV4" s="24" t="s">
        <v>178</v>
      </c>
      <c r="AW4" s="24" t="s">
        <v>14</v>
      </c>
    </row>
    <row r="5" spans="1:49" ht="13.8" x14ac:dyDescent="0.3">
      <c r="A5" s="25" t="s">
        <v>641</v>
      </c>
      <c r="B5" s="24" t="s">
        <v>642</v>
      </c>
      <c r="D5" s="24">
        <v>1</v>
      </c>
      <c r="E5" s="24">
        <v>2</v>
      </c>
      <c r="F5" s="24">
        <v>3</v>
      </c>
      <c r="G5" s="24">
        <v>4</v>
      </c>
      <c r="H5" s="24">
        <v>5</v>
      </c>
      <c r="I5" s="24">
        <v>6</v>
      </c>
      <c r="J5" s="24">
        <v>7</v>
      </c>
      <c r="K5" s="24">
        <v>8</v>
      </c>
      <c r="L5" s="24">
        <v>9</v>
      </c>
      <c r="M5" s="24">
        <v>10</v>
      </c>
      <c r="N5" s="24">
        <v>11</v>
      </c>
      <c r="O5" s="24">
        <v>12</v>
      </c>
      <c r="P5" s="24">
        <v>13</v>
      </c>
      <c r="Q5" s="24">
        <v>14</v>
      </c>
      <c r="R5" s="24">
        <v>15</v>
      </c>
      <c r="S5" s="24">
        <v>16</v>
      </c>
      <c r="T5" s="24">
        <v>17</v>
      </c>
      <c r="U5" s="24">
        <v>18</v>
      </c>
      <c r="V5" s="24">
        <v>19</v>
      </c>
      <c r="W5" s="24">
        <v>20</v>
      </c>
      <c r="X5" s="24">
        <v>21</v>
      </c>
      <c r="Y5" s="24">
        <v>22</v>
      </c>
      <c r="Z5" s="24">
        <v>23</v>
      </c>
      <c r="AA5" s="24">
        <v>24</v>
      </c>
      <c r="AB5" s="24">
        <v>26</v>
      </c>
      <c r="AC5" s="24">
        <v>27</v>
      </c>
      <c r="AD5" s="24">
        <v>28</v>
      </c>
      <c r="AE5" s="24">
        <v>30</v>
      </c>
      <c r="AF5" s="24">
        <v>31</v>
      </c>
      <c r="AG5" s="24">
        <v>32</v>
      </c>
      <c r="AH5" s="24">
        <v>33</v>
      </c>
      <c r="AI5" s="24">
        <v>35</v>
      </c>
      <c r="AJ5" s="24">
        <v>36</v>
      </c>
      <c r="AK5" s="24">
        <v>37</v>
      </c>
      <c r="AL5" s="24">
        <v>38</v>
      </c>
      <c r="AM5" s="24">
        <v>40</v>
      </c>
      <c r="AN5" s="24">
        <v>41</v>
      </c>
      <c r="AO5" s="24">
        <v>42</v>
      </c>
      <c r="AP5" s="24">
        <v>43</v>
      </c>
      <c r="AQ5" s="24">
        <v>45</v>
      </c>
      <c r="AR5" s="24">
        <v>46</v>
      </c>
      <c r="AS5" s="24">
        <v>47</v>
      </c>
      <c r="AT5" s="24">
        <v>49</v>
      </c>
      <c r="AU5" s="24">
        <v>50</v>
      </c>
      <c r="AV5" s="24">
        <v>51</v>
      </c>
      <c r="AW5" s="24">
        <v>25</v>
      </c>
    </row>
    <row r="6" spans="1:49" ht="13.8" x14ac:dyDescent="0.3">
      <c r="A6" s="25" t="s">
        <v>643</v>
      </c>
      <c r="B6" s="24" t="s">
        <v>644</v>
      </c>
      <c r="D6" s="24" t="s">
        <v>645</v>
      </c>
      <c r="E6" s="24" t="s">
        <v>645</v>
      </c>
      <c r="F6" s="24" t="s">
        <v>645</v>
      </c>
      <c r="G6" s="24" t="s">
        <v>645</v>
      </c>
      <c r="H6" s="24" t="s">
        <v>645</v>
      </c>
      <c r="I6" s="24" t="s">
        <v>645</v>
      </c>
      <c r="J6" s="24" t="s">
        <v>645</v>
      </c>
      <c r="K6" s="24" t="s">
        <v>645</v>
      </c>
      <c r="L6" s="24" t="s">
        <v>645</v>
      </c>
      <c r="M6" s="24" t="s">
        <v>645</v>
      </c>
      <c r="N6" s="24" t="s">
        <v>645</v>
      </c>
      <c r="O6" s="24" t="s">
        <v>645</v>
      </c>
      <c r="P6" s="24" t="s">
        <v>645</v>
      </c>
      <c r="Q6" s="24" t="s">
        <v>645</v>
      </c>
      <c r="R6" s="24" t="s">
        <v>645</v>
      </c>
      <c r="S6" s="24" t="s">
        <v>645</v>
      </c>
      <c r="T6" s="24" t="s">
        <v>645</v>
      </c>
      <c r="U6" s="24" t="s">
        <v>645</v>
      </c>
      <c r="V6" s="24" t="s">
        <v>645</v>
      </c>
      <c r="W6" s="24" t="s">
        <v>645</v>
      </c>
      <c r="X6" s="24" t="s">
        <v>645</v>
      </c>
      <c r="Y6" s="24" t="s">
        <v>645</v>
      </c>
      <c r="Z6" s="24" t="s">
        <v>645</v>
      </c>
      <c r="AA6" s="24" t="s">
        <v>645</v>
      </c>
      <c r="AB6" s="24" t="s">
        <v>645</v>
      </c>
      <c r="AC6" s="24" t="s">
        <v>645</v>
      </c>
      <c r="AD6" s="24" t="s">
        <v>645</v>
      </c>
      <c r="AE6" s="24" t="s">
        <v>645</v>
      </c>
      <c r="AF6" s="24" t="s">
        <v>645</v>
      </c>
      <c r="AG6" s="24" t="s">
        <v>645</v>
      </c>
      <c r="AH6" s="24" t="s">
        <v>645</v>
      </c>
      <c r="AI6" s="24" t="s">
        <v>645</v>
      </c>
      <c r="AJ6" s="24" t="s">
        <v>645</v>
      </c>
      <c r="AK6" s="24" t="s">
        <v>645</v>
      </c>
      <c r="AL6" s="24" t="s">
        <v>645</v>
      </c>
      <c r="AM6" s="24" t="s">
        <v>645</v>
      </c>
      <c r="AN6" s="24" t="s">
        <v>645</v>
      </c>
      <c r="AO6" s="24" t="s">
        <v>645</v>
      </c>
      <c r="AP6" s="24" t="s">
        <v>645</v>
      </c>
      <c r="AQ6" s="24" t="s">
        <v>645</v>
      </c>
      <c r="AR6" s="24" t="s">
        <v>645</v>
      </c>
      <c r="AS6" s="24" t="s">
        <v>645</v>
      </c>
      <c r="AT6" s="24" t="s">
        <v>645</v>
      </c>
      <c r="AU6" s="24" t="s">
        <v>645</v>
      </c>
      <c r="AV6" s="24" t="s">
        <v>645</v>
      </c>
      <c r="AW6" s="24" t="s">
        <v>666</v>
      </c>
    </row>
    <row r="7" spans="1:49" ht="13.8" x14ac:dyDescent="0.3">
      <c r="A7" s="25" t="s">
        <v>17</v>
      </c>
      <c r="B7" s="24" t="s">
        <v>646</v>
      </c>
      <c r="D7" s="24" t="s">
        <v>647</v>
      </c>
      <c r="E7" s="24" t="s">
        <v>647</v>
      </c>
      <c r="F7" s="24" t="s">
        <v>647</v>
      </c>
      <c r="G7" s="24" t="s">
        <v>647</v>
      </c>
      <c r="H7" s="24" t="s">
        <v>647</v>
      </c>
      <c r="I7" s="24" t="s">
        <v>647</v>
      </c>
      <c r="J7" s="24" t="s">
        <v>647</v>
      </c>
      <c r="K7" s="24" t="s">
        <v>647</v>
      </c>
      <c r="L7" s="24" t="s">
        <v>647</v>
      </c>
      <c r="M7" s="24" t="s">
        <v>647</v>
      </c>
      <c r="N7" s="24" t="s">
        <v>647</v>
      </c>
      <c r="O7" s="24" t="s">
        <v>647</v>
      </c>
      <c r="P7" s="24" t="s">
        <v>647</v>
      </c>
      <c r="Q7" s="24" t="s">
        <v>647</v>
      </c>
      <c r="R7" s="24" t="s">
        <v>647</v>
      </c>
      <c r="S7" s="24" t="s">
        <v>647</v>
      </c>
      <c r="T7" s="24" t="s">
        <v>647</v>
      </c>
      <c r="U7" s="24" t="s">
        <v>647</v>
      </c>
      <c r="V7" s="24" t="s">
        <v>647</v>
      </c>
      <c r="W7" s="24" t="s">
        <v>647</v>
      </c>
      <c r="X7" s="24" t="s">
        <v>647</v>
      </c>
      <c r="Y7" s="24" t="s">
        <v>647</v>
      </c>
      <c r="Z7" s="24" t="s">
        <v>647</v>
      </c>
      <c r="AA7" s="24" t="s">
        <v>647</v>
      </c>
      <c r="AB7" s="24" t="s">
        <v>647</v>
      </c>
      <c r="AC7" s="24" t="s">
        <v>647</v>
      </c>
      <c r="AD7" s="24" t="s">
        <v>647</v>
      </c>
      <c r="AE7" s="24" t="s">
        <v>647</v>
      </c>
      <c r="AF7" s="24" t="s">
        <v>647</v>
      </c>
      <c r="AG7" s="24" t="s">
        <v>647</v>
      </c>
      <c r="AH7" s="24" t="s">
        <v>647</v>
      </c>
      <c r="AI7" s="24" t="s">
        <v>647</v>
      </c>
      <c r="AJ7" s="24" t="s">
        <v>647</v>
      </c>
      <c r="AK7" s="24" t="s">
        <v>647</v>
      </c>
      <c r="AL7" s="24" t="s">
        <v>647</v>
      </c>
      <c r="AM7" s="24" t="s">
        <v>647</v>
      </c>
      <c r="AN7" s="24" t="s">
        <v>647</v>
      </c>
      <c r="AO7" s="24" t="s">
        <v>647</v>
      </c>
      <c r="AP7" s="24" t="s">
        <v>647</v>
      </c>
      <c r="AQ7" s="24" t="s">
        <v>647</v>
      </c>
      <c r="AR7" s="24" t="s">
        <v>647</v>
      </c>
      <c r="AS7" s="24" t="s">
        <v>647</v>
      </c>
      <c r="AT7" s="24" t="s">
        <v>647</v>
      </c>
      <c r="AU7" s="24" t="s">
        <v>647</v>
      </c>
      <c r="AV7" s="24" t="s">
        <v>647</v>
      </c>
      <c r="AW7" s="24"/>
    </row>
    <row r="8" spans="1:49" ht="13.8" x14ac:dyDescent="0.3">
      <c r="A8" s="25" t="s">
        <v>648</v>
      </c>
      <c r="B8" s="24" t="s">
        <v>649</v>
      </c>
      <c r="D8" s="24">
        <v>0</v>
      </c>
      <c r="E8" s="24">
        <v>1</v>
      </c>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row>
    <row r="9" spans="1:49" ht="13.8" x14ac:dyDescent="0.3">
      <c r="A9" s="25" t="s">
        <v>650</v>
      </c>
      <c r="B9" s="24">
        <v>1</v>
      </c>
      <c r="D9">
        <v>13</v>
      </c>
    </row>
    <row r="10" spans="1:49" ht="13.8" x14ac:dyDescent="0.3">
      <c r="A10" s="25" t="s">
        <v>651</v>
      </c>
      <c r="B10" s="24">
        <v>0.5</v>
      </c>
      <c r="D10" s="24">
        <v>20.905000000000001</v>
      </c>
      <c r="E10" s="24">
        <v>0.23</v>
      </c>
      <c r="F10" s="24">
        <v>9.1666666666666674E-2</v>
      </c>
      <c r="G10" s="24">
        <v>0.18500000000000003</v>
      </c>
      <c r="H10" s="24">
        <v>0.28500000000000003</v>
      </c>
      <c r="I10" s="24">
        <v>5.8333333333333334E-2</v>
      </c>
      <c r="J10" s="24">
        <v>8.666666666666667E-2</v>
      </c>
      <c r="K10" s="24">
        <v>3212.7466666666669</v>
      </c>
      <c r="L10" s="24">
        <v>2.996666666666667</v>
      </c>
      <c r="M10" s="24">
        <v>0.05</v>
      </c>
      <c r="N10" s="24">
        <v>0.53333333333333333</v>
      </c>
      <c r="O10" s="24">
        <v>9.1666666666666674E-2</v>
      </c>
      <c r="P10" s="24">
        <v>4.1666666666666671E-2</v>
      </c>
      <c r="Q10" s="24">
        <v>0.05</v>
      </c>
      <c r="R10" s="24">
        <v>0.28166666666666668</v>
      </c>
      <c r="S10" s="24">
        <v>0.13</v>
      </c>
      <c r="T10" s="24">
        <v>35.375</v>
      </c>
      <c r="U10" s="24">
        <v>0.19333333333333336</v>
      </c>
      <c r="V10" s="24">
        <v>0.18000000000000002</v>
      </c>
      <c r="W10" s="24">
        <v>0.72833333333333339</v>
      </c>
      <c r="X10" s="24">
        <v>1.385</v>
      </c>
      <c r="Y10" s="24">
        <v>1.1500000000000001</v>
      </c>
      <c r="Z10" s="24">
        <v>0.40166666666666667</v>
      </c>
      <c r="AA10" s="24">
        <v>3.8333333333333337E-2</v>
      </c>
      <c r="AB10" s="24">
        <v>0.30333333333333334</v>
      </c>
      <c r="AC10" s="24">
        <v>0.24833333333333335</v>
      </c>
      <c r="AD10" s="24">
        <v>6.1666666666666668E-2</v>
      </c>
      <c r="AE10" s="24">
        <v>2.6666666666666668E-2</v>
      </c>
      <c r="AF10" s="24">
        <v>0.05</v>
      </c>
      <c r="AG10" s="24">
        <v>0.54833333333333334</v>
      </c>
      <c r="AH10" s="24">
        <v>7.8333333333333338E-2</v>
      </c>
      <c r="AI10" s="24">
        <v>0.61166666666666669</v>
      </c>
      <c r="AJ10" s="24">
        <v>9.6666666666666679E-2</v>
      </c>
      <c r="AK10" s="24">
        <v>6.8333333333333343E-2</v>
      </c>
      <c r="AL10" s="24">
        <v>0.04</v>
      </c>
      <c r="AM10" s="24">
        <v>6.1666666666666668E-2</v>
      </c>
      <c r="AN10" s="24">
        <v>0.17166666666666669</v>
      </c>
      <c r="AO10" s="24">
        <v>0.33833333333333337</v>
      </c>
      <c r="AP10" s="24">
        <v>0.17166666666666669</v>
      </c>
      <c r="AQ10" s="24">
        <v>0.13</v>
      </c>
      <c r="AR10" s="24">
        <v>0.3116666666666667</v>
      </c>
      <c r="AS10" s="24">
        <v>0.15000000000000002</v>
      </c>
      <c r="AT10" s="24">
        <v>0.02</v>
      </c>
      <c r="AU10" s="24">
        <v>0.19833333333333333</v>
      </c>
      <c r="AV10" s="24">
        <v>0.62833333333333341</v>
      </c>
    </row>
    <row r="11" spans="1:49" ht="13.8" x14ac:dyDescent="0.3">
      <c r="A11" s="25" t="s">
        <v>652</v>
      </c>
      <c r="B11" s="24">
        <v>1</v>
      </c>
      <c r="D11" s="24">
        <v>11.899382357955998</v>
      </c>
      <c r="E11" s="24">
        <v>0.42118364098381827</v>
      </c>
      <c r="F11" s="24">
        <v>0.28879559157255369</v>
      </c>
      <c r="G11" s="24">
        <v>0.38862155265156118</v>
      </c>
      <c r="H11" s="24">
        <v>0.45179109330158984</v>
      </c>
      <c r="I11" s="24">
        <v>0.23456824022252351</v>
      </c>
      <c r="J11" s="24">
        <v>0.28158071973254489</v>
      </c>
      <c r="K11" s="24">
        <v>2738.2396656611136</v>
      </c>
      <c r="L11" s="24">
        <v>1.1054526666570852</v>
      </c>
      <c r="M11" s="24">
        <v>0.21812679530810955</v>
      </c>
      <c r="N11" s="24">
        <v>0.49930391167696198</v>
      </c>
      <c r="O11" s="24">
        <v>0.28879559157255347</v>
      </c>
      <c r="P11" s="24">
        <v>0.19999304384118813</v>
      </c>
      <c r="Q11" s="24">
        <v>0.21812679530811013</v>
      </c>
      <c r="R11" s="24">
        <v>0.4501870012736377</v>
      </c>
      <c r="S11" s="24">
        <v>0.33658403808135673</v>
      </c>
      <c r="T11" s="24">
        <v>11.564050058533144</v>
      </c>
      <c r="U11" s="24">
        <v>0.39524159120034369</v>
      </c>
      <c r="V11" s="24">
        <v>0.38450801120974598</v>
      </c>
      <c r="W11" s="24">
        <v>0.44519008589198761</v>
      </c>
      <c r="X11" s="24">
        <v>0.56032574594540885</v>
      </c>
      <c r="Y11" s="24">
        <v>0.35736935341174569</v>
      </c>
      <c r="Z11" s="24">
        <v>0.49064424502979515</v>
      </c>
      <c r="AA11" s="24">
        <v>0.19215991068468552</v>
      </c>
      <c r="AB11" s="24">
        <v>0.46008152963586263</v>
      </c>
      <c r="AC11" s="24">
        <v>0.43240665437386838</v>
      </c>
      <c r="AD11" s="24">
        <v>0.24074984881628569</v>
      </c>
      <c r="AE11" s="24">
        <v>0.16124170376780711</v>
      </c>
      <c r="AF11" s="24">
        <v>0.21812679530810983</v>
      </c>
      <c r="AG11" s="24">
        <v>0.49807364027901496</v>
      </c>
      <c r="AH11" s="24">
        <v>0.26891960101221679</v>
      </c>
      <c r="AI11" s="24">
        <v>0.48777771650971358</v>
      </c>
      <c r="AJ11" s="24">
        <v>0.29574989809961394</v>
      </c>
      <c r="AK11" s="24">
        <v>0.25252756782129554</v>
      </c>
      <c r="AL11" s="24">
        <v>0.19612268314690448</v>
      </c>
      <c r="AM11" s="24">
        <v>0.24074984881628569</v>
      </c>
      <c r="AN11" s="24">
        <v>0.37740510495261731</v>
      </c>
      <c r="AO11" s="24">
        <v>0.47353734620686555</v>
      </c>
      <c r="AP11" s="24">
        <v>0.37740510495261731</v>
      </c>
      <c r="AQ11" s="24">
        <v>0.33658403808135678</v>
      </c>
      <c r="AR11" s="24">
        <v>0.46356089502302389</v>
      </c>
      <c r="AS11" s="24">
        <v>0.35736935341174525</v>
      </c>
      <c r="AT11" s="24">
        <v>0.14011681270284301</v>
      </c>
      <c r="AU11" s="24">
        <v>0.39907726067626459</v>
      </c>
      <c r="AV11" s="24">
        <v>0.48365320522777661</v>
      </c>
    </row>
    <row r="12" spans="1:49" ht="13.8" x14ac:dyDescent="0.3">
      <c r="A12" s="25" t="s">
        <v>653</v>
      </c>
      <c r="B12" s="24" t="s">
        <v>654</v>
      </c>
    </row>
    <row r="13" spans="1:49" ht="13.8" x14ac:dyDescent="0.3">
      <c r="A13" s="25" t="s">
        <v>655</v>
      </c>
      <c r="B13" s="24" t="s">
        <v>656</v>
      </c>
    </row>
    <row r="14" spans="1:49" ht="13.8" x14ac:dyDescent="0.3">
      <c r="A14" s="25" t="s">
        <v>657</v>
      </c>
      <c r="B14" s="24" t="s">
        <v>656</v>
      </c>
    </row>
    <row r="15" spans="1:49" ht="13.8" x14ac:dyDescent="0.3">
      <c r="A15" s="25" t="s">
        <v>658</v>
      </c>
      <c r="B15" s="24" t="s">
        <v>659</v>
      </c>
      <c r="D15" s="24">
        <v>-0.49881422135595155</v>
      </c>
      <c r="E15" s="24">
        <v>1.9968145401270327</v>
      </c>
      <c r="F15" s="24">
        <v>0.79081882998935504</v>
      </c>
      <c r="G15" s="24">
        <v>-0.31650335907091071</v>
      </c>
      <c r="H15" s="24">
        <v>-1.0228063311306888</v>
      </c>
      <c r="I15" s="24">
        <v>-0.31990861233447554</v>
      </c>
      <c r="J15" s="24">
        <v>-3.6301870578426501E-2</v>
      </c>
      <c r="K15" s="24">
        <v>-1.4214527820771738</v>
      </c>
      <c r="L15" s="24">
        <v>2.0216487067803275</v>
      </c>
      <c r="M15" s="24">
        <v>-1.0637172757674163</v>
      </c>
      <c r="N15" s="24">
        <v>-0.49048062852142638</v>
      </c>
      <c r="O15" s="24">
        <v>-0.81601606448606401</v>
      </c>
      <c r="P15" s="24">
        <v>-0.85695536221151491</v>
      </c>
      <c r="Q15" s="24">
        <v>-0.23244354284321395</v>
      </c>
      <c r="R15" s="24">
        <v>0.61503036476082085</v>
      </c>
      <c r="S15" s="24">
        <v>-0.60202784522191388</v>
      </c>
      <c r="T15" s="24">
        <v>-0.29859319535786183</v>
      </c>
      <c r="U15" s="24">
        <v>-1.3278063834549065</v>
      </c>
      <c r="V15" s="24">
        <v>1.7415641212783388</v>
      </c>
      <c r="W15" s="24">
        <v>-8.3210822613620491E-2</v>
      </c>
      <c r="X15" s="24">
        <v>-0.27490746113718856</v>
      </c>
      <c r="Y15" s="24">
        <v>0.1560010011093752</v>
      </c>
      <c r="Z15" s="24">
        <v>5.5748202082402991E-2</v>
      </c>
      <c r="AA15" s="24">
        <v>0.73165261746282262</v>
      </c>
      <c r="AB15" s="24">
        <v>-2.1583528619169408</v>
      </c>
      <c r="AC15" s="24">
        <v>0.23543312712888623</v>
      </c>
      <c r="AD15" s="24">
        <v>-0.90356593840326116</v>
      </c>
      <c r="AE15" s="24">
        <v>-1.5117991007621736</v>
      </c>
      <c r="AF15" s="24">
        <v>1.3775282016638393</v>
      </c>
      <c r="AG15" s="24">
        <v>-0.90424153254651018</v>
      </c>
      <c r="AH15" s="24">
        <v>0.92388597311865051</v>
      </c>
      <c r="AI15" s="24">
        <v>-2.2456426638115583</v>
      </c>
      <c r="AJ15" s="24">
        <v>0.47606320774148692</v>
      </c>
      <c r="AK15" s="24">
        <v>2.2921842871231335</v>
      </c>
      <c r="AL15" s="24">
        <v>0.57395519865175715</v>
      </c>
      <c r="AM15" s="24">
        <v>-1.6477546957961053</v>
      </c>
      <c r="AN15" s="24">
        <v>0.76135524701467394</v>
      </c>
      <c r="AO15" s="24">
        <v>0.52245567369244528</v>
      </c>
      <c r="AP15" s="24">
        <v>-0.73383132298686138</v>
      </c>
      <c r="AQ15" s="24">
        <v>-0.72008904941091723</v>
      </c>
      <c r="AR15" s="24">
        <v>0.13812987761303622</v>
      </c>
      <c r="AS15" s="24">
        <v>1.108499407589312</v>
      </c>
      <c r="AT15" s="24">
        <v>8.0249480165838438E-2</v>
      </c>
      <c r="AU15" s="24">
        <v>-6.841224156984882E-2</v>
      </c>
      <c r="AV15" s="24">
        <v>1.6728410078785216</v>
      </c>
      <c r="AW15" s="24">
        <v>-2.2607910828091136</v>
      </c>
    </row>
    <row r="16" spans="1:49" ht="13.8" x14ac:dyDescent="0.3">
      <c r="A16" s="25"/>
      <c r="B16" s="24" t="s">
        <v>660</v>
      </c>
      <c r="D16" s="24">
        <v>0.40956250111675574</v>
      </c>
      <c r="E16" s="24">
        <v>0.11106447859357829</v>
      </c>
      <c r="F16" s="24">
        <v>0.43761426402685649</v>
      </c>
      <c r="G16" s="24">
        <v>-0.92450385628306775</v>
      </c>
      <c r="H16" s="24">
        <v>0.57214669070194923</v>
      </c>
      <c r="I16" s="24">
        <v>-1.7987067397542829</v>
      </c>
      <c r="J16" s="24">
        <v>1.1263695789251815</v>
      </c>
      <c r="K16" s="24">
        <v>-1.182872539298764</v>
      </c>
      <c r="L16" s="24">
        <v>1.0862743294653234</v>
      </c>
      <c r="M16" s="24">
        <v>0.18654322337347165</v>
      </c>
      <c r="N16" s="24">
        <v>-0.2973200986200159</v>
      </c>
      <c r="O16" s="24">
        <v>-0.96746624445501384</v>
      </c>
      <c r="P16" s="24">
        <v>-3.9255793858043876E-2</v>
      </c>
      <c r="Q16" s="24">
        <v>8.3638714904186104E-2</v>
      </c>
      <c r="R16" s="24">
        <v>0.83628445900824866</v>
      </c>
      <c r="S16" s="24">
        <v>-0.96933659946871276</v>
      </c>
      <c r="T16" s="24">
        <v>1.6435416235473004</v>
      </c>
      <c r="U16" s="24">
        <v>0.61902085124894934</v>
      </c>
      <c r="V16" s="24">
        <v>-0.8271705473857307</v>
      </c>
      <c r="W16" s="24">
        <v>1.2122625419801958</v>
      </c>
      <c r="X16" s="24">
        <v>0.18204357229117701</v>
      </c>
      <c r="Y16" s="24">
        <v>-0.77529170848619888</v>
      </c>
      <c r="Z16" s="24">
        <v>2.1204157354417554</v>
      </c>
      <c r="AA16" s="24">
        <v>0.15534534402182343</v>
      </c>
      <c r="AB16" s="24">
        <v>-0.81807545959173023</v>
      </c>
      <c r="AC16" s="24">
        <v>-0.78064494955967023</v>
      </c>
      <c r="AD16" s="24">
        <v>1.6045251470533166</v>
      </c>
      <c r="AE16" s="24">
        <v>-1.1873901633933905</v>
      </c>
      <c r="AF16" s="24">
        <v>1.3844140796670505</v>
      </c>
      <c r="AG16" s="24">
        <v>-0.25000873884177471</v>
      </c>
      <c r="AH16" s="24">
        <v>-1.2051426557479989</v>
      </c>
      <c r="AI16" s="24">
        <v>-0.27391344934509865</v>
      </c>
      <c r="AJ16" s="24">
        <v>1.0560604019483222</v>
      </c>
      <c r="AK16" s="24">
        <v>0.4392256221583738</v>
      </c>
      <c r="AL16" s="24">
        <v>0.63419293906744567</v>
      </c>
      <c r="AM16" s="24">
        <v>0.20510905431131321</v>
      </c>
      <c r="AN16" s="24">
        <v>0.56797066717254618</v>
      </c>
      <c r="AO16" s="24">
        <v>-1.1841847670631804</v>
      </c>
      <c r="AP16" s="24">
        <v>-0.24497040820775959</v>
      </c>
      <c r="AQ16" s="24">
        <v>0.50541306391841501</v>
      </c>
      <c r="AR16" s="24">
        <v>-0.53850920300350491</v>
      </c>
      <c r="AS16" s="24">
        <v>-1.104165819974672</v>
      </c>
      <c r="AT16" s="24">
        <v>0.2213989688819227</v>
      </c>
      <c r="AU16" s="24">
        <v>0.66133144095749197</v>
      </c>
      <c r="AV16" s="24">
        <v>-1.4046452781759893</v>
      </c>
      <c r="AW16" s="24">
        <v>-1.061974536230863</v>
      </c>
    </row>
    <row r="17" spans="1:49" ht="13.8" x14ac:dyDescent="0.3">
      <c r="A17" s="25" t="s">
        <v>661</v>
      </c>
      <c r="B17" s="24" t="b">
        <v>1</v>
      </c>
      <c r="D17" s="24">
        <v>0.58601117942900061</v>
      </c>
      <c r="E17" s="24">
        <v>0.23977300653390277</v>
      </c>
      <c r="F17" s="24">
        <v>1.754234621424325</v>
      </c>
      <c r="G17" s="24">
        <v>0.56793980104586772</v>
      </c>
      <c r="H17" s="24">
        <v>-1.2431867009467654</v>
      </c>
      <c r="I17" s="24">
        <v>-0.73054760914092631</v>
      </c>
      <c r="J17" s="24">
        <v>0.19632475244202971</v>
      </c>
      <c r="K17" s="24">
        <v>-0.58439757119704949</v>
      </c>
      <c r="L17" s="24">
        <v>-0.65621507682228075</v>
      </c>
      <c r="M17" s="24">
        <v>1.0795895282143346</v>
      </c>
      <c r="N17" s="24">
        <v>1.9707127913666564</v>
      </c>
      <c r="O17" s="24">
        <v>1.4976085779991888</v>
      </c>
      <c r="P17" s="24">
        <v>0.2266982780354618</v>
      </c>
      <c r="Q17" s="24">
        <v>0.77644940511811533</v>
      </c>
      <c r="R17" s="24">
        <v>1.3250324341863393</v>
      </c>
      <c r="S17" s="24">
        <v>-1.0426449340857318</v>
      </c>
      <c r="T17" s="24">
        <v>1.3399903887750284</v>
      </c>
      <c r="U17" s="24">
        <v>0.5641725171801476</v>
      </c>
      <c r="V17" s="24">
        <v>1.4135323787671186</v>
      </c>
      <c r="W17" s="24">
        <v>0.20054302481130032</v>
      </c>
      <c r="X17" s="24">
        <v>-0.35824619144785508</v>
      </c>
      <c r="Y17" s="24">
        <v>-0.8373410668046799</v>
      </c>
      <c r="Z17" s="24">
        <v>-1.2017040402490169</v>
      </c>
      <c r="AA17" s="24">
        <v>0.3265553690378391</v>
      </c>
      <c r="AB17" s="24">
        <v>-2.7455389730343156</v>
      </c>
      <c r="AC17" s="24">
        <v>0.45131491927651346</v>
      </c>
      <c r="AD17" s="24">
        <v>-1.1596193140114284</v>
      </c>
      <c r="AE17" s="24">
        <v>7.0516953174970878E-2</v>
      </c>
      <c r="AF17" s="24">
        <v>0.11518527197791605</v>
      </c>
      <c r="AG17" s="24">
        <v>-0.39002588250529485</v>
      </c>
      <c r="AH17" s="24">
        <v>0.83501391845226525</v>
      </c>
      <c r="AI17" s="24">
        <v>-2.5414645011499846</v>
      </c>
      <c r="AJ17" s="24">
        <v>0.58199298326400184</v>
      </c>
      <c r="AK17" s="24">
        <v>1.5892297991147732</v>
      </c>
      <c r="AL17" s="24">
        <v>0.48069264705169323</v>
      </c>
      <c r="AM17" s="24">
        <v>0.26890063113931123</v>
      </c>
      <c r="AN17" s="24">
        <v>-0.9031844984254791</v>
      </c>
      <c r="AO17" s="24">
        <v>0.58983150960273867</v>
      </c>
      <c r="AP17" s="24">
        <v>2.1555649756701181</v>
      </c>
      <c r="AQ17" s="24">
        <v>-1.3524195295197121</v>
      </c>
      <c r="AR17" s="24">
        <v>1.7085451803612186</v>
      </c>
      <c r="AS17" s="24">
        <v>1.7868007068059519</v>
      </c>
      <c r="AT17" s="24">
        <v>1.0282084261608024</v>
      </c>
      <c r="AU17" s="24">
        <v>3.6711533397572893</v>
      </c>
      <c r="AV17" s="24">
        <v>0.31935751484053815</v>
      </c>
      <c r="AW17" s="24">
        <v>-2.7221876628397559</v>
      </c>
    </row>
    <row r="18" spans="1:49" ht="13.8" x14ac:dyDescent="0.3">
      <c r="A18" s="25" t="s">
        <v>662</v>
      </c>
      <c r="B18" s="24" t="s">
        <v>663</v>
      </c>
      <c r="D18" s="24">
        <v>0.56198569343151084</v>
      </c>
      <c r="E18" s="24">
        <v>-1.8677290233856381</v>
      </c>
      <c r="F18" s="24">
        <v>-0.3294271807790401</v>
      </c>
      <c r="G18" s="24">
        <v>1.6668816049773363</v>
      </c>
      <c r="H18" s="24">
        <v>0.25962762096090153</v>
      </c>
      <c r="I18" s="24">
        <v>1.3195163112985822</v>
      </c>
      <c r="J18" s="24">
        <v>1.5043677201379295</v>
      </c>
      <c r="K18" s="24">
        <v>-2.0368260782739664</v>
      </c>
      <c r="L18" s="24">
        <v>1.6835953502604775</v>
      </c>
      <c r="M18" s="24">
        <v>-0.46575523213639075</v>
      </c>
      <c r="N18" s="24">
        <v>0.3064417383947276</v>
      </c>
      <c r="O18" s="24">
        <v>-1.4572180782365678</v>
      </c>
      <c r="P18" s="24">
        <v>-0.57705818433143807</v>
      </c>
      <c r="Q18" s="24">
        <v>0.91772737825472783</v>
      </c>
      <c r="R18" s="24">
        <v>-2.3990544356587584</v>
      </c>
      <c r="S18" s="24">
        <v>0.61992988586256192</v>
      </c>
      <c r="T18" s="24">
        <v>-0.69403852713102498</v>
      </c>
      <c r="U18" s="24">
        <v>0.33109589745586693</v>
      </c>
      <c r="V18" s="24">
        <v>-0.64825067918842016</v>
      </c>
      <c r="W18" s="24">
        <v>1.4130153072097362</v>
      </c>
      <c r="X18" s="24">
        <v>-0.51826729393104531</v>
      </c>
      <c r="Y18" s="24">
        <v>0.54156116792322007</v>
      </c>
      <c r="Z18" s="24">
        <v>2.5641572253932274</v>
      </c>
      <c r="AA18" s="24">
        <v>8.6600293991546048E-2</v>
      </c>
      <c r="AB18" s="24">
        <v>-1.9316178662414281</v>
      </c>
      <c r="AC18" s="24">
        <v>-0.27353752925435226</v>
      </c>
      <c r="AD18" s="24">
        <v>-0.92214431985260026</v>
      </c>
      <c r="AE18" s="24">
        <v>-0.76506810155402483</v>
      </c>
      <c r="AF18" s="24">
        <v>-1.6290070164549111</v>
      </c>
      <c r="AG18" s="24">
        <v>2.0630228526659451</v>
      </c>
      <c r="AH18" s="24">
        <v>-1.8308913355185847</v>
      </c>
      <c r="AI18" s="24">
        <v>0.26882620519607814</v>
      </c>
      <c r="AJ18" s="24">
        <v>-1.3760431316746415</v>
      </c>
      <c r="AK18" s="24">
        <v>-1.5861075367657287</v>
      </c>
      <c r="AL18" s="24">
        <v>0.68749490179360606</v>
      </c>
      <c r="AM18" s="24">
        <v>0.14092348662333093</v>
      </c>
      <c r="AN18" s="24">
        <v>-1.1876445444440999</v>
      </c>
      <c r="AO18" s="24">
        <v>-1.1283374177509151</v>
      </c>
      <c r="AP18" s="24">
        <v>0.47284745898635622</v>
      </c>
      <c r="AQ18" s="24">
        <v>-1.3500675765512482</v>
      </c>
      <c r="AR18" s="24">
        <v>2.2063285104756223</v>
      </c>
      <c r="AS18" s="24">
        <v>-0.32945278266821448</v>
      </c>
      <c r="AT18" s="24">
        <v>-0.72639499799274077</v>
      </c>
      <c r="AU18" s="24">
        <v>-2.0034357812535495</v>
      </c>
      <c r="AV18" s="24">
        <v>-1.0789931847017644</v>
      </c>
      <c r="AW18" s="24">
        <v>-2.1867153043004608</v>
      </c>
    </row>
    <row r="19" spans="1:49" ht="13.8" x14ac:dyDescent="0.3">
      <c r="A19" s="25" t="s">
        <v>664</v>
      </c>
      <c r="B19" s="24" t="s">
        <v>665</v>
      </c>
      <c r="D19" s="24">
        <v>-0.33389320134954303</v>
      </c>
      <c r="E19" s="24">
        <v>1.7553917480199808</v>
      </c>
      <c r="F19" s="24">
        <v>0.10988598796799055</v>
      </c>
      <c r="G19" s="24">
        <v>0.2867111292907491</v>
      </c>
      <c r="H19" s="24">
        <v>-0.52405603172604431</v>
      </c>
      <c r="I19" s="24">
        <v>0.95007290490233298</v>
      </c>
      <c r="J19" s="24">
        <v>-3.1203713781792284</v>
      </c>
      <c r="K19" s="24">
        <v>0.48492711770625124</v>
      </c>
      <c r="L19" s="24">
        <v>-2.3431117491498417</v>
      </c>
      <c r="M19" s="24">
        <v>-2.093329090709541</v>
      </c>
      <c r="N19" s="24">
        <v>2.6270318175040335</v>
      </c>
      <c r="O19" s="24">
        <v>0.1612799048315405</v>
      </c>
      <c r="P19" s="24">
        <v>-1.9686455583228528</v>
      </c>
      <c r="Q19" s="24">
        <v>-0.57930590235471524</v>
      </c>
      <c r="R19" s="24">
        <v>3.1164318665646822</v>
      </c>
      <c r="S19" s="24">
        <v>9.9612378797903883E-2</v>
      </c>
      <c r="T19" s="24">
        <v>1.6926901628122304</v>
      </c>
      <c r="U19" s="24">
        <v>-2.8331443243849157</v>
      </c>
      <c r="V19" s="24">
        <v>-1.9809968858034865</v>
      </c>
      <c r="W19" s="24">
        <v>-0.99128833704533603</v>
      </c>
      <c r="X19" s="24">
        <v>-0.51039505265853669</v>
      </c>
      <c r="Y19" s="24">
        <v>0.85708797228082345</v>
      </c>
      <c r="Z19" s="24">
        <v>2.5164489929162945</v>
      </c>
      <c r="AA19" s="24">
        <v>5.3062023811373323E-2</v>
      </c>
      <c r="AB19" s="24">
        <v>-3.6643179228881686</v>
      </c>
      <c r="AC19" s="24">
        <v>-2.0065017795561704</v>
      </c>
      <c r="AD19" s="24">
        <v>2.3563987516691878</v>
      </c>
      <c r="AE19" s="24">
        <v>-0.91585389620116908</v>
      </c>
      <c r="AF19" s="24">
        <v>-3.4637016910284846</v>
      </c>
      <c r="AG19" s="24">
        <v>0.62703931530847912</v>
      </c>
      <c r="AH19" s="24">
        <v>1.6918656088709254</v>
      </c>
      <c r="AI19" s="24">
        <v>-1.94039718336915</v>
      </c>
      <c r="AJ19" s="24">
        <v>1.6454757960628548</v>
      </c>
      <c r="AK19" s="24">
        <v>0.16557594900110686</v>
      </c>
      <c r="AL19" s="24">
        <v>0.95086266488320859</v>
      </c>
      <c r="AM19" s="24">
        <v>1.8149796378915528</v>
      </c>
      <c r="AN19" s="24">
        <v>-0.15320456143019873</v>
      </c>
      <c r="AO19" s="24">
        <v>0.83744602811774249</v>
      </c>
      <c r="AP19" s="24">
        <v>0.80050888921372187</v>
      </c>
      <c r="AQ19" s="24">
        <v>0.56056856412525002</v>
      </c>
      <c r="AR19" s="24">
        <v>0.14504935250513437</v>
      </c>
      <c r="AS19" s="24">
        <v>-7.1961902130343813E-2</v>
      </c>
      <c r="AT19" s="24">
        <v>0.61380046381002384</v>
      </c>
      <c r="AU19" s="24">
        <v>-0.49178189409063944</v>
      </c>
      <c r="AV19" s="24">
        <v>0.53555743441512638</v>
      </c>
      <c r="AW19" s="24">
        <v>-1.1185961491283087</v>
      </c>
    </row>
    <row r="20" spans="1:49" ht="13.8" x14ac:dyDescent="0.3">
      <c r="D20" s="24">
        <v>2.699787757657742</v>
      </c>
      <c r="E20" s="24">
        <v>1.856717342877074</v>
      </c>
      <c r="F20" s="24">
        <v>-0.55205719001371756</v>
      </c>
      <c r="G20" s="24">
        <v>-0.13384090394646586</v>
      </c>
      <c r="H20" s="24">
        <v>-2.6801547484288815</v>
      </c>
      <c r="I20" s="24">
        <v>1.8874997391223634</v>
      </c>
      <c r="J20" s="24">
        <v>0.70904365492205623</v>
      </c>
      <c r="K20" s="24">
        <v>2.3068679266518548</v>
      </c>
      <c r="L20" s="24">
        <v>-2.0694472398031512E-2</v>
      </c>
      <c r="M20" s="24">
        <v>0.49401481340917303</v>
      </c>
      <c r="N20" s="24">
        <v>0.90468331575192207</v>
      </c>
      <c r="O20" s="24">
        <v>-1.6317882129487824</v>
      </c>
      <c r="P20" s="24">
        <v>-1.7204089696023324</v>
      </c>
      <c r="Q20" s="24">
        <v>7.0905490117617154E-2</v>
      </c>
      <c r="R20" s="24">
        <v>-1.5143092102590923</v>
      </c>
      <c r="S20" s="24">
        <v>-1.6626108123179102</v>
      </c>
      <c r="T20" s="24">
        <v>1.2637548427240544</v>
      </c>
      <c r="U20" s="24">
        <v>-7.8707708680463243E-2</v>
      </c>
      <c r="V20" s="24">
        <v>0.16157566009278218</v>
      </c>
      <c r="W20" s="24">
        <v>4.9208961807148434E-2</v>
      </c>
      <c r="X20" s="24">
        <v>0.69550054713829701</v>
      </c>
      <c r="Y20" s="24">
        <v>1.4679927262609553</v>
      </c>
      <c r="Z20" s="24">
        <v>-0.18481616373991078</v>
      </c>
      <c r="AA20" s="24">
        <v>-0.18567010203115622</v>
      </c>
      <c r="AB20" s="24">
        <v>1.1440685108905817</v>
      </c>
      <c r="AC20" s="24">
        <v>3.1879657339310898</v>
      </c>
      <c r="AD20" s="24">
        <v>-0.54659140447499899</v>
      </c>
      <c r="AE20" s="24">
        <v>-1.0006230082667629</v>
      </c>
      <c r="AF20" s="24">
        <v>0.40938560657390027</v>
      </c>
      <c r="AG20" s="24">
        <v>0.23849243062967468</v>
      </c>
      <c r="AH20" s="24">
        <v>3.353304606717656E-2</v>
      </c>
      <c r="AI20" s="24">
        <v>-0.9910752004698552</v>
      </c>
      <c r="AJ20" s="24">
        <v>0.46905540769252552</v>
      </c>
      <c r="AK20" s="24">
        <v>1.3463650736206532</v>
      </c>
      <c r="AL20" s="24">
        <v>2.1386998531639487E-2</v>
      </c>
      <c r="AM20" s="24">
        <v>0.32829044863957602</v>
      </c>
      <c r="AN20" s="24">
        <v>0.84278231332834386</v>
      </c>
      <c r="AO20" s="24">
        <v>-1.285634889045334</v>
      </c>
      <c r="AP20" s="24">
        <v>0.22645572868664049</v>
      </c>
      <c r="AQ20" s="24">
        <v>-0.79101217184827066</v>
      </c>
      <c r="AR20" s="24">
        <v>2.483267717508308</v>
      </c>
      <c r="AS20" s="24">
        <v>1.9195395943914055</v>
      </c>
      <c r="AT20" s="24">
        <v>-0.97386754344759685</v>
      </c>
      <c r="AU20" s="24">
        <v>-0.70219731656479412</v>
      </c>
      <c r="AV20" s="24">
        <v>0.24148958010355071</v>
      </c>
      <c r="AW20" s="24">
        <v>-1.8391433251718783</v>
      </c>
    </row>
    <row r="21" spans="1:49" ht="13.8" x14ac:dyDescent="0.3">
      <c r="D21" s="24">
        <v>0.46069208418274782</v>
      </c>
      <c r="E21" s="24">
        <v>0.23851628459701701</v>
      </c>
      <c r="F21" s="24">
        <v>-0.2371502570207753</v>
      </c>
      <c r="G21" s="24">
        <v>0.60939686613501909</v>
      </c>
      <c r="H21" s="24">
        <v>-0.26824129200447938</v>
      </c>
      <c r="I21" s="24">
        <v>0.79665165552200157</v>
      </c>
      <c r="J21" s="24">
        <v>0.13937815347391555</v>
      </c>
      <c r="K21" s="24">
        <v>-2.0982015306842507</v>
      </c>
      <c r="L21" s="24">
        <v>0.96591993862103553</v>
      </c>
      <c r="M21" s="24">
        <v>-0.46244320363054203</v>
      </c>
      <c r="N21" s="24">
        <v>0.32832958588555156</v>
      </c>
      <c r="O21" s="24">
        <v>-0.37154118712683076</v>
      </c>
      <c r="P21" s="24">
        <v>-0.60266646664981116</v>
      </c>
      <c r="Q21" s="24">
        <v>0.53284112530334116</v>
      </c>
      <c r="R21" s="24">
        <v>0.64065256132905202</v>
      </c>
      <c r="S21" s="24">
        <v>-0.21751899287400775</v>
      </c>
      <c r="T21" s="24">
        <v>-0.19390410958129684</v>
      </c>
      <c r="U21" s="24">
        <v>0.56026135817011702</v>
      </c>
      <c r="V21" s="24">
        <v>-0.82347798847988329</v>
      </c>
      <c r="W21" s="24">
        <v>1.2775900127295028</v>
      </c>
      <c r="X21" s="24">
        <v>-0.69248281398172307</v>
      </c>
      <c r="Y21" s="24">
        <v>0.52260184684643107</v>
      </c>
      <c r="Z21" s="24">
        <v>0.15542704448792224</v>
      </c>
      <c r="AA21" s="24">
        <v>-6.0794737330399432E-2</v>
      </c>
      <c r="AB21" s="24">
        <v>-1.7243762100932123</v>
      </c>
      <c r="AC21" s="24">
        <v>1.5973333147396744</v>
      </c>
      <c r="AD21" s="24">
        <v>0.69083621588592437</v>
      </c>
      <c r="AE21" s="24">
        <v>8.945179288704852E-2</v>
      </c>
      <c r="AF21" s="24">
        <v>0.47824618560456889</v>
      </c>
      <c r="AG21" s="24">
        <v>0.64405642560670318</v>
      </c>
      <c r="AH21" s="24">
        <v>-0.13676460946884952</v>
      </c>
      <c r="AI21" s="24">
        <v>0.7934630249727419</v>
      </c>
      <c r="AJ21" s="24">
        <v>0.43299001335737325</v>
      </c>
      <c r="AK21" s="24">
        <v>-0.36778836899226192</v>
      </c>
      <c r="AL21" s="24">
        <v>5.8877332061340749E-2</v>
      </c>
      <c r="AM21" s="24">
        <v>-0.14266257169646829</v>
      </c>
      <c r="AN21" s="24">
        <v>0.91155125853692964</v>
      </c>
      <c r="AO21" s="24">
        <v>-0.55787076551191106</v>
      </c>
      <c r="AP21" s="24">
        <v>0.42248908172226646</v>
      </c>
      <c r="AQ21" s="24">
        <v>-0.71289266929015116</v>
      </c>
      <c r="AR21" s="24">
        <v>1.0188811728201272</v>
      </c>
      <c r="AS21" s="24">
        <v>-0.96360552174301295</v>
      </c>
      <c r="AT21" s="24">
        <v>-0.18592523248525625</v>
      </c>
      <c r="AU21" s="24">
        <v>1.0289959581240102</v>
      </c>
      <c r="AV21" s="24">
        <v>-0.77172787137027798</v>
      </c>
      <c r="AW21" s="24">
        <v>-2.5073995273025185</v>
      </c>
    </row>
    <row r="22" spans="1:49" ht="13.8" x14ac:dyDescent="0.3">
      <c r="D22" s="24">
        <v>-0.89311747928653762</v>
      </c>
      <c r="E22" s="24">
        <v>-0.72349557067293824</v>
      </c>
      <c r="F22" s="24">
        <v>0.74136800204669984</v>
      </c>
      <c r="G22" s="24">
        <v>0.74529378646928945</v>
      </c>
      <c r="H22" s="24">
        <v>-0.52101407360420815</v>
      </c>
      <c r="I22" s="24">
        <v>9.9680327628793863E-2</v>
      </c>
      <c r="J22" s="24">
        <v>1.3436275883955333</v>
      </c>
      <c r="K22" s="24">
        <v>-1.4072908711266194</v>
      </c>
      <c r="L22" s="24">
        <v>-0.30104299695545456</v>
      </c>
      <c r="M22" s="24">
        <v>-1.432431989039386</v>
      </c>
      <c r="N22" s="24">
        <v>-0.12205985318050412</v>
      </c>
      <c r="O22" s="24">
        <v>2.6842935223759062E-2</v>
      </c>
      <c r="P22" s="24">
        <v>-1.3272836072501295</v>
      </c>
      <c r="Q22" s="24">
        <v>1.466583939417095</v>
      </c>
      <c r="R22" s="24">
        <v>-0.66193859700619284</v>
      </c>
      <c r="S22" s="24">
        <v>-0.36593434779963024</v>
      </c>
      <c r="T22" s="24">
        <v>0.30868237248819214</v>
      </c>
      <c r="U22" s="24">
        <v>-1.4703850545025865</v>
      </c>
      <c r="V22" s="24">
        <v>-0.91023921013054365</v>
      </c>
      <c r="W22" s="24">
        <v>1.3412113603964197</v>
      </c>
      <c r="X22" s="24">
        <v>3.0123751413258648</v>
      </c>
      <c r="Y22" s="24">
        <v>3.7138122981378113E-2</v>
      </c>
      <c r="Z22" s="24">
        <v>-0.2606631145695093</v>
      </c>
      <c r="AA22" s="24">
        <v>2.0494991112614036</v>
      </c>
      <c r="AB22" s="24">
        <v>-1.3333490713069314</v>
      </c>
      <c r="AC22" s="24">
        <v>0.12585783059425229</v>
      </c>
      <c r="AD22" s="24">
        <v>-1.4088570299656233</v>
      </c>
      <c r="AE22" s="24">
        <v>-1.0785810093333823</v>
      </c>
      <c r="AF22" s="24">
        <v>-1.3518796365070711</v>
      </c>
      <c r="AG22" s="24">
        <v>-1.3122861406850828</v>
      </c>
      <c r="AH22" s="24">
        <v>-1.7865687053084089</v>
      </c>
      <c r="AI22" s="24">
        <v>0.94136875928373609</v>
      </c>
      <c r="AJ22" s="24">
        <v>-1.1450395498577044</v>
      </c>
      <c r="AK22" s="24">
        <v>-1.0389872475675319</v>
      </c>
      <c r="AL22" s="24">
        <v>0.80480218675315718</v>
      </c>
      <c r="AM22" s="24">
        <v>-7.6555638407532003E-2</v>
      </c>
      <c r="AN22" s="24">
        <v>-1.1796263843985781</v>
      </c>
      <c r="AO22" s="24">
        <v>-0.89193542363887379</v>
      </c>
      <c r="AP22" s="24">
        <v>0.15993253241022079</v>
      </c>
      <c r="AQ22" s="24">
        <v>1.0425443399403951</v>
      </c>
      <c r="AR22" s="24">
        <v>-1.0725842185429315</v>
      </c>
      <c r="AS22" s="24">
        <v>2.2044141253710463</v>
      </c>
      <c r="AT22" s="24">
        <v>-0.71633414070580403</v>
      </c>
      <c r="AU22" s="24">
        <v>-2.6379741446451815E-2</v>
      </c>
      <c r="AV22" s="24">
        <v>1.5840579105870705E-2</v>
      </c>
      <c r="AW22" s="24">
        <v>-2.9611628136283681</v>
      </c>
    </row>
    <row r="23" spans="1:49" ht="13.8" x14ac:dyDescent="0.3">
      <c r="D23" s="24">
        <v>-3.23404673792295E-2</v>
      </c>
      <c r="E23" s="24">
        <v>-1.0449717877634765</v>
      </c>
      <c r="F23" s="24">
        <v>0.30389485248079551</v>
      </c>
      <c r="G23" s="24">
        <v>0.50549025603827014</v>
      </c>
      <c r="H23" s="24">
        <v>0.25049488566564954</v>
      </c>
      <c r="I23" s="24">
        <v>-1.3481598534538779</v>
      </c>
      <c r="J23" s="24">
        <v>1.1873940586626581</v>
      </c>
      <c r="K23" s="24">
        <v>-0.26338899907332269</v>
      </c>
      <c r="L23" s="24">
        <v>0.80157032684661167</v>
      </c>
      <c r="M23" s="24">
        <v>-1.243109049503996</v>
      </c>
      <c r="N23" s="24">
        <v>-4.5890607431719743E-2</v>
      </c>
      <c r="O23" s="24">
        <v>0.90145974541642671</v>
      </c>
      <c r="P23" s="24">
        <v>0.22485972090105968</v>
      </c>
      <c r="Q23" s="24">
        <v>0.39903031167329955</v>
      </c>
      <c r="R23" s="24">
        <v>2.7441915058814603E-2</v>
      </c>
      <c r="S23" s="24">
        <v>-3.1864164693918756E-2</v>
      </c>
      <c r="T23" s="24">
        <v>0.53561262709229962</v>
      </c>
      <c r="U23" s="24">
        <v>0.25233360914877773</v>
      </c>
      <c r="V23" s="24">
        <v>-0.49176243845104223</v>
      </c>
      <c r="W23" s="24">
        <v>0.47091233110167074</v>
      </c>
      <c r="X23" s="24">
        <v>1.1043418406214622</v>
      </c>
      <c r="Y23" s="24">
        <v>-1.3655393688832247</v>
      </c>
      <c r="Z23" s="24">
        <v>-0.27563925123089483</v>
      </c>
      <c r="AA23" s="24">
        <v>-0.22483902656357641</v>
      </c>
      <c r="AB23" s="24">
        <v>-0.69301904703718564</v>
      </c>
      <c r="AC23" s="24">
        <v>-0.91875832194468898</v>
      </c>
      <c r="AD23" s="24">
        <v>0.2439117207052196</v>
      </c>
      <c r="AE23" s="24">
        <v>-1.0381118365005131</v>
      </c>
      <c r="AF23" s="24">
        <v>-1.6218118557001566</v>
      </c>
      <c r="AG23" s="24">
        <v>0.53693117530971479</v>
      </c>
      <c r="AH23" s="24">
        <v>-0.10057795368375615</v>
      </c>
      <c r="AI23" s="24">
        <v>-2.6714460378226863</v>
      </c>
      <c r="AJ23" s="24">
        <v>2.5167125923267409E-2</v>
      </c>
      <c r="AK23" s="24">
        <v>1.033097749046112</v>
      </c>
      <c r="AL23" s="24">
        <v>0.66045065547599158</v>
      </c>
      <c r="AM23" s="24">
        <v>-0.35776463947639248</v>
      </c>
      <c r="AN23" s="24">
        <v>-0.5446308858034794</v>
      </c>
      <c r="AO23" s="24">
        <v>6.2372159155250573E-2</v>
      </c>
      <c r="AP23" s="24">
        <v>1.6760419981942798</v>
      </c>
      <c r="AQ23" s="24">
        <v>-0.36528694416054963</v>
      </c>
      <c r="AR23" s="24">
        <v>0.47413049170233462</v>
      </c>
      <c r="AS23" s="24">
        <v>-0.49228018383069283</v>
      </c>
      <c r="AT23" s="24">
        <v>-0.52348733030635319</v>
      </c>
      <c r="AU23" s="24">
        <v>1.36945518039901</v>
      </c>
      <c r="AV23" s="24">
        <v>-0.48500367563708585</v>
      </c>
      <c r="AW23" s="24">
        <v>-1.721341702566032</v>
      </c>
    </row>
    <row r="24" spans="1:49" ht="13.8" x14ac:dyDescent="0.3">
      <c r="D24" s="24">
        <v>0.61389405961365584</v>
      </c>
      <c r="E24" s="24">
        <v>0.90977850249911973</v>
      </c>
      <c r="F24" s="24">
        <v>-1.2730299506649176</v>
      </c>
      <c r="G24" s="24">
        <v>-1.4544738618581308</v>
      </c>
      <c r="H24" s="24">
        <v>-0.34498407338863951</v>
      </c>
      <c r="I24" s="24">
        <v>-0.79610666056529888</v>
      </c>
      <c r="J24" s="24">
        <v>1.3255762285669892</v>
      </c>
      <c r="K24" s="24">
        <v>-0.9948558478171613</v>
      </c>
      <c r="L24" s="24">
        <v>1.085587398345633</v>
      </c>
      <c r="M24" s="24">
        <v>-1.6909909639328025</v>
      </c>
      <c r="N24" s="24">
        <v>-1.6415820718761713</v>
      </c>
      <c r="O24" s="24">
        <v>-3.0488651156864846</v>
      </c>
      <c r="P24" s="24">
        <v>-1.01199926264392</v>
      </c>
      <c r="Q24" s="24">
        <v>-0.72878860191531758</v>
      </c>
      <c r="R24" s="24">
        <v>-0.43133853234679093</v>
      </c>
      <c r="S24" s="24">
        <v>0.55071183611306573</v>
      </c>
      <c r="T24" s="24">
        <v>-0.87195415108556251</v>
      </c>
      <c r="U24" s="24">
        <v>-1.0554984106480825</v>
      </c>
      <c r="V24" s="24">
        <v>-1.7366774215400436</v>
      </c>
      <c r="W24" s="24">
        <v>0.78027313172936841</v>
      </c>
      <c r="X24" s="24">
        <v>-1.0101879042495188</v>
      </c>
      <c r="Y24" s="24">
        <v>-9.5888064958611172E-2</v>
      </c>
      <c r="Z24" s="24">
        <v>-0.53398942393103588</v>
      </c>
      <c r="AA24" s="24">
        <v>-0.55310512909015297</v>
      </c>
      <c r="AB24" s="24">
        <v>-1.1821808671600087</v>
      </c>
      <c r="AC24" s="24">
        <v>2.3657945477052098</v>
      </c>
      <c r="AD24" s="24">
        <v>0.79570325250326379</v>
      </c>
      <c r="AE24" s="24">
        <v>-0.81406808238950068</v>
      </c>
      <c r="AF24" s="24">
        <v>1.498011648266887</v>
      </c>
      <c r="AG24" s="24">
        <v>-1.6826884817225169</v>
      </c>
      <c r="AH24" s="24">
        <v>1.2699209504335531</v>
      </c>
      <c r="AI24" s="24">
        <v>-2.3505890199994468</v>
      </c>
      <c r="AJ24" s="24">
        <v>3.0211848280063314</v>
      </c>
      <c r="AK24" s="24">
        <v>-6.0933376309200024E-2</v>
      </c>
      <c r="AL24" s="24">
        <v>-0.61139548278734124</v>
      </c>
      <c r="AM24" s="24">
        <v>3.9398223200034686E-2</v>
      </c>
      <c r="AN24" s="24">
        <v>0.16676268760613305</v>
      </c>
      <c r="AO24" s="24">
        <v>-0.12686420708812113</v>
      </c>
      <c r="AP24" s="24">
        <v>0.46622058688563023</v>
      </c>
      <c r="AQ24" s="24">
        <v>0.28754607877826732</v>
      </c>
      <c r="AR24" s="24">
        <v>1.5238959609463192</v>
      </c>
      <c r="AS24" s="24">
        <v>0.8155413186521705</v>
      </c>
      <c r="AT24" s="24">
        <v>1.143634776934831</v>
      </c>
      <c r="AU24" s="24">
        <v>3.1570391706864612E-2</v>
      </c>
      <c r="AV24" s="24">
        <v>0.54631854966812099</v>
      </c>
      <c r="AW24" s="24">
        <v>0.72795540221503285</v>
      </c>
    </row>
    <row r="25" spans="1:49" ht="13.8" x14ac:dyDescent="0.3">
      <c r="D25" s="24">
        <v>-1.3339109421532809</v>
      </c>
      <c r="E25" s="24">
        <v>-2.6335135529327065</v>
      </c>
      <c r="F25" s="24">
        <v>-0.98237792117051448</v>
      </c>
      <c r="G25" s="24">
        <v>1.2280862395276002</v>
      </c>
      <c r="H25" s="24">
        <v>2.2719341242880176</v>
      </c>
      <c r="I25" s="24">
        <v>-0.21047882268448301</v>
      </c>
      <c r="J25" s="24">
        <v>1.5941318338910231</v>
      </c>
      <c r="K25" s="24">
        <v>0.20918959988342625</v>
      </c>
      <c r="L25" s="24">
        <v>-1.8239797752865121</v>
      </c>
      <c r="M25" s="24">
        <v>-1.737884122851338</v>
      </c>
      <c r="N25" s="24">
        <v>-0.60856303385157939</v>
      </c>
      <c r="O25" s="24">
        <v>1.0988933043405291</v>
      </c>
      <c r="P25" s="24">
        <v>1.2614602876262393</v>
      </c>
      <c r="Q25" s="24">
        <v>0.28302136115588478</v>
      </c>
      <c r="R25" s="24">
        <v>-2.7622139533995584</v>
      </c>
      <c r="S25" s="24">
        <v>0.24991752555986113</v>
      </c>
      <c r="T25" s="24">
        <v>-0.58248424177712577</v>
      </c>
      <c r="U25" s="24">
        <v>0.91000194054013372</v>
      </c>
      <c r="V25" s="24">
        <v>-1.0058098428703213</v>
      </c>
      <c r="W25" s="24">
        <v>1.4291131851803025</v>
      </c>
      <c r="X25" s="24">
        <v>0.25954169872091248</v>
      </c>
      <c r="Y25" s="24">
        <v>-0.87166077596584335</v>
      </c>
      <c r="Z25" s="24">
        <v>-1.1972550449462571</v>
      </c>
      <c r="AA25" s="24">
        <v>0.64784613519372602</v>
      </c>
      <c r="AB25" s="24">
        <v>-2.1645187209185912</v>
      </c>
      <c r="AC25" s="24">
        <v>-0.96031766101017646</v>
      </c>
      <c r="AD25" s="24">
        <v>-1.0016307137916962</v>
      </c>
      <c r="AE25" s="24">
        <v>-0.22558009457403397</v>
      </c>
      <c r="AF25" s="24">
        <v>-0.81928979696151683</v>
      </c>
      <c r="AG25" s="24">
        <v>-5.5998645587957405E-2</v>
      </c>
      <c r="AH25" s="24">
        <v>1.7110802492641497</v>
      </c>
      <c r="AI25" s="24">
        <v>-2.2002008914181652</v>
      </c>
      <c r="AJ25" s="24">
        <v>-1.4475047570808917</v>
      </c>
      <c r="AK25" s="24">
        <v>-2.0649792724701226</v>
      </c>
      <c r="AL25" s="24">
        <v>0.92601531013440153</v>
      </c>
      <c r="AM25" s="24">
        <v>-2.4898642500955912</v>
      </c>
      <c r="AN25" s="24">
        <v>-1.6230568532033922</v>
      </c>
      <c r="AO25" s="24">
        <v>-1.5771449128505488</v>
      </c>
      <c r="AP25" s="24">
        <v>1.8459346331004878</v>
      </c>
      <c r="AQ25" s="24">
        <v>3.5194449704600803</v>
      </c>
      <c r="AR25" s="24">
        <v>0.19331959359507281</v>
      </c>
      <c r="AS25" s="24">
        <v>-1.7889928794431624</v>
      </c>
      <c r="AT25" s="24">
        <v>-0.14857096030516229</v>
      </c>
      <c r="AU25" s="24">
        <v>7.6877129281841122E-2</v>
      </c>
      <c r="AV25" s="24">
        <v>1.1826258225470194</v>
      </c>
      <c r="AW25" s="24">
        <v>-1.8916719859604496</v>
      </c>
    </row>
    <row r="26" spans="1:49" ht="13.8" x14ac:dyDescent="0.3">
      <c r="D26" s="24">
        <v>9.528884163685078E-2</v>
      </c>
      <c r="E26" s="24">
        <v>0.19514263639229887</v>
      </c>
      <c r="F26" s="24">
        <v>0.12978266654131113</v>
      </c>
      <c r="G26" s="24">
        <v>-8.071093777906195E-2</v>
      </c>
      <c r="H26" s="24">
        <v>-0.51216935023629584</v>
      </c>
      <c r="I26" s="24">
        <v>1.3973620414066179</v>
      </c>
      <c r="J26" s="24">
        <v>-0.16047088815985369</v>
      </c>
      <c r="K26" s="24">
        <v>-0.80942559786508284</v>
      </c>
      <c r="L26" s="24">
        <v>0.98733497224390621</v>
      </c>
      <c r="M26" s="24">
        <v>-1.0240963364659836</v>
      </c>
      <c r="N26" s="24">
        <v>-0.24673442466954276</v>
      </c>
      <c r="O26" s="24">
        <v>-1.0529834021005289</v>
      </c>
      <c r="P26" s="24">
        <v>6.0985936795078799E-2</v>
      </c>
      <c r="Q26" s="24">
        <v>-0.53067111193056404</v>
      </c>
      <c r="R26" s="24">
        <v>1.6441575897513105E-2</v>
      </c>
      <c r="S26" s="24">
        <v>-1.3151600744222509</v>
      </c>
      <c r="T26" s="24">
        <v>-1.3512048454243364</v>
      </c>
      <c r="U26" s="24">
        <v>3.0904161416902096E-2</v>
      </c>
      <c r="V26" s="24">
        <v>1.0609289013475667</v>
      </c>
      <c r="W26" s="24">
        <v>-0.40449175404518356</v>
      </c>
      <c r="X26" s="24">
        <v>-0.29716802599583281</v>
      </c>
      <c r="Y26" s="24">
        <v>0.75672954648093627</v>
      </c>
      <c r="Z26" s="24">
        <v>-0.91849241509422086</v>
      </c>
      <c r="AA26" s="24">
        <v>-0.27694466041581178</v>
      </c>
      <c r="AB26" s="24">
        <v>-1.3528022335877066E-2</v>
      </c>
      <c r="AC26" s="24">
        <v>1.3278653073283506</v>
      </c>
      <c r="AD26" s="24">
        <v>1.5329256417532435</v>
      </c>
      <c r="AE26" s="24">
        <v>-0.21031534075465105</v>
      </c>
      <c r="AF26" s="24">
        <v>1.0643332953376821</v>
      </c>
      <c r="AG26" s="24">
        <v>-1.2788363765718189</v>
      </c>
      <c r="AH26" s="24">
        <v>1.0198083708320886</v>
      </c>
      <c r="AI26" s="24">
        <v>0.55551270117930995</v>
      </c>
      <c r="AJ26" s="24">
        <v>0.65715356010379256</v>
      </c>
      <c r="AK26" s="24">
        <v>0.80180676316137311</v>
      </c>
      <c r="AL26" s="24">
        <v>-0.16558609677662742</v>
      </c>
      <c r="AM26" s="24">
        <v>5.8565533859829572E-2</v>
      </c>
      <c r="AN26" s="24">
        <v>0.28937779675857689</v>
      </c>
      <c r="AO26" s="24">
        <v>-9.8516139635166609E-3</v>
      </c>
      <c r="AP26" s="24">
        <v>-9.1000444958457924E-2</v>
      </c>
      <c r="AQ26" s="24">
        <v>-1.9646107317732802</v>
      </c>
      <c r="AR26" s="24">
        <v>0.5758522054673032</v>
      </c>
      <c r="AS26" s="24">
        <v>-0.17490767759726286</v>
      </c>
      <c r="AT26" s="24">
        <v>0.26683108125665622</v>
      </c>
      <c r="AU26" s="24">
        <v>-7.3075768762305107E-2</v>
      </c>
      <c r="AV26" s="24">
        <v>0.6255963234668388</v>
      </c>
      <c r="AW26" s="24">
        <v>-0.87083364132978014</v>
      </c>
    </row>
    <row r="27" spans="1:49" ht="13.8" x14ac:dyDescent="0.3">
      <c r="D27" s="24">
        <v>-2.0126546628057747</v>
      </c>
      <c r="E27" s="24">
        <v>-0.53561081138461342</v>
      </c>
      <c r="F27" s="24">
        <v>0.88933522747596438</v>
      </c>
      <c r="G27" s="24">
        <v>0.33821066214441925</v>
      </c>
      <c r="H27" s="24">
        <v>0.34417886838696249</v>
      </c>
      <c r="I27" s="24">
        <v>-2.2620460611779913</v>
      </c>
      <c r="J27" s="24">
        <v>1.5620061042788211</v>
      </c>
      <c r="K27" s="24">
        <v>0.23107666370240068</v>
      </c>
      <c r="L27" s="24">
        <v>0.14767298787995478</v>
      </c>
      <c r="M27" s="24">
        <v>9.1368206891956558E-2</v>
      </c>
      <c r="N27" s="24">
        <v>0.52943862499985928</v>
      </c>
      <c r="O27" s="24">
        <v>-0.26667777998906472</v>
      </c>
      <c r="P27" s="24">
        <v>-0.99331588693906225</v>
      </c>
      <c r="Q27" s="24">
        <v>1.371510328016101</v>
      </c>
      <c r="R27" s="24">
        <v>0.32147350088384519</v>
      </c>
      <c r="S27" s="24">
        <v>-1.8612103219251039</v>
      </c>
      <c r="T27" s="24">
        <v>0.13066527080205376</v>
      </c>
      <c r="U27" s="24">
        <v>-1.4291377785040742</v>
      </c>
      <c r="V27" s="24">
        <v>-0.74020794262142786</v>
      </c>
      <c r="W27" s="24">
        <v>1.6605345146527521</v>
      </c>
      <c r="X27" s="24">
        <v>2.3273648772037414</v>
      </c>
      <c r="Y27" s="24">
        <v>9.3655664949534229E-2</v>
      </c>
      <c r="Z27" s="24">
        <v>-0.39494978827390131</v>
      </c>
      <c r="AA27" s="24">
        <v>0.41269758294912356</v>
      </c>
      <c r="AB27" s="24">
        <v>-3.0997677303946727</v>
      </c>
      <c r="AC27" s="24">
        <v>0.20369543911403928</v>
      </c>
      <c r="AD27" s="24">
        <v>2.4328957258864579</v>
      </c>
      <c r="AE27" s="24">
        <v>0.13138962738980636</v>
      </c>
      <c r="AF27" s="24">
        <v>-0.15615925782891946</v>
      </c>
      <c r="AG27" s="24">
        <v>-1.3828000164067522</v>
      </c>
      <c r="AH27" s="24">
        <v>-1.3193812230073796</v>
      </c>
      <c r="AI27" s="24">
        <v>-1.6620898308341099</v>
      </c>
      <c r="AJ27" s="24">
        <v>0.30513919296997571</v>
      </c>
      <c r="AK27" s="24">
        <v>-0.55856887711840353</v>
      </c>
      <c r="AL27" s="24">
        <v>1.010643342289836</v>
      </c>
      <c r="AM27" s="24">
        <v>-0.24942187702452431</v>
      </c>
      <c r="AN27" s="24">
        <v>0.11695926683708315</v>
      </c>
      <c r="AO27" s="24">
        <v>-0.71850879530746192</v>
      </c>
      <c r="AP27" s="24">
        <v>-6.4587394834356021E-2</v>
      </c>
      <c r="AQ27" s="24">
        <v>-0.43091837972399</v>
      </c>
      <c r="AR27" s="24">
        <v>-0.30775217359148077</v>
      </c>
      <c r="AS27" s="24">
        <v>-1.1616138405113905</v>
      </c>
      <c r="AT27" s="24">
        <v>-0.17122335410089873</v>
      </c>
      <c r="AU27" s="24">
        <v>1.2494118981884224</v>
      </c>
      <c r="AV27" s="24">
        <v>-1.3545022158864923</v>
      </c>
      <c r="AW27" s="24">
        <v>-2.577800331302909</v>
      </c>
    </row>
    <row r="30" spans="1:49" ht="13.8" x14ac:dyDescent="0.3">
      <c r="D30" s="24">
        <v>-3.7326596267921039</v>
      </c>
      <c r="E30" s="24">
        <v>-2.4339829251897163</v>
      </c>
      <c r="F30" s="24">
        <v>-3.7242477900371824</v>
      </c>
      <c r="G30" s="24">
        <v>-3.4090842833338404</v>
      </c>
      <c r="H30" s="24">
        <v>-3.6070156555563284</v>
      </c>
      <c r="I30" s="24">
        <v>3.0158507851468173</v>
      </c>
      <c r="J30" s="24">
        <v>2.6485295655170811</v>
      </c>
      <c r="K30" s="24">
        <v>-2.7037971834854306</v>
      </c>
      <c r="L30" s="24">
        <v>3.1622683337334836</v>
      </c>
      <c r="M30" s="24">
        <v>3.425868404264969</v>
      </c>
      <c r="N30" s="24">
        <v>-3.5791406762771927</v>
      </c>
      <c r="O30" s="24">
        <v>0.94589886340101537</v>
      </c>
      <c r="P30" s="24">
        <v>-2.080420192779092</v>
      </c>
      <c r="Q30" s="24">
        <v>1.5710616229961034</v>
      </c>
    </row>
    <row r="31" spans="1:49" ht="13.8" x14ac:dyDescent="0.3">
      <c r="D31" s="24">
        <v>3.7358297805418639</v>
      </c>
      <c r="E31" s="24">
        <v>2.432256886138279</v>
      </c>
      <c r="F31" s="24">
        <v>3.7245001426788784</v>
      </c>
      <c r="G31" s="24">
        <v>3.409569828964595</v>
      </c>
      <c r="H31" s="24">
        <v>3.606170965319242</v>
      </c>
      <c r="I31" s="24">
        <v>-3.0153078140746339</v>
      </c>
      <c r="J31" s="24">
        <v>-2.6488876302925566</v>
      </c>
      <c r="K31" s="24">
        <v>2.7012530909929535</v>
      </c>
      <c r="L31" s="24">
        <v>-3.1638213716724799</v>
      </c>
      <c r="M31" s="24">
        <v>-3.4265605529727758</v>
      </c>
      <c r="N31" s="24">
        <v>3.5792007830625696</v>
      </c>
      <c r="O31" s="24">
        <v>-0.94869476295452049</v>
      </c>
      <c r="P31" s="24">
        <v>2.0859325963339801</v>
      </c>
      <c r="Q31" s="24">
        <v>-1.5704494035138177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Y600"/>
  <sheetViews>
    <sheetView showGridLines="0" topLeftCell="A72" workbookViewId="0">
      <selection activeCell="H98" sqref="H98"/>
    </sheetView>
  </sheetViews>
  <sheetFormatPr defaultRowHeight="13.2" x14ac:dyDescent="0.25"/>
  <cols>
    <col min="3" max="3" width="14.21875" bestFit="1" customWidth="1"/>
    <col min="16" max="16" width="13.5546875" bestFit="1" customWidth="1"/>
  </cols>
  <sheetData>
    <row r="1" spans="2:103" ht="18" x14ac:dyDescent="0.35">
      <c r="B1" s="23" t="s">
        <v>180</v>
      </c>
      <c r="N1" t="s">
        <v>755</v>
      </c>
      <c r="CQ1" s="24">
        <v>0.99884898512583942</v>
      </c>
      <c r="CR1" s="24" t="str">
        <f>"1"</f>
        <v>1</v>
      </c>
      <c r="CS1" t="str">
        <f ca="1">IF((OFFSET($A$1, 1 - 1, 95 - 1)) &gt;= (OFFSET($A$1, 54 - 1, 7 - 1)), "1","0")</f>
        <v>1</v>
      </c>
      <c r="CT1">
        <f ca="1" xml:space="preserve"> IF( AND( OFFSET($A$1, 1 - 1, 96 - 1) = "1", OFFSET($A$1, 1 - 1, 97 - 1) = "1" ), 1, IF( AND( OFFSET($A$1, 1 - 1, 96 - 1) = "1", OFFSET($A$1, 1 - 1, 97 - 1) = "0" ), 2, IF( AND( OFFSET($A$1, 1 - 1, 96 - 1) = "0", OFFSET($A$1, 1 - 1, 97 - 1) = "1" ), 3, 4 ) ) )</f>
        <v>1</v>
      </c>
      <c r="CV1" s="24">
        <v>0.89724521707547966</v>
      </c>
      <c r="CW1" s="24" t="str">
        <f t="shared" ref="CW1:CW10" si="0">"1"</f>
        <v>1</v>
      </c>
      <c r="CX1" t="str">
        <f ca="1">IF((OFFSET($A$1, 1 - 1, 100 - 1)) &gt;= (OFFSET($A$1, 78 - 1, 7 - 1)), "1","0")</f>
        <v>0</v>
      </c>
      <c r="CY1">
        <f ca="1" xml:space="preserve"> IF( AND( OFFSET($A$1, 1 - 1, 101 - 1) = "1", OFFSET($A$1, 1 - 1, 102 - 1) = "1" ), 1, IF( AND( OFFSET($A$1, 1 - 1, 101 - 1) = "1", OFFSET($A$1, 1 - 1, 102 - 1) = "0" ), 2, IF( AND( OFFSET($A$1, 1 - 1, 101 - 1) = "0", OFFSET($A$1, 1 - 1, 102 - 1) = "1" ), 3, 4 ) ) )</f>
        <v>2</v>
      </c>
    </row>
    <row r="2" spans="2:103" ht="13.8" x14ac:dyDescent="0.3">
      <c r="CQ2" s="24">
        <v>0.13681294057360385</v>
      </c>
      <c r="CR2" s="24" t="str">
        <f>"0"</f>
        <v>0</v>
      </c>
      <c r="CS2" t="str">
        <f ca="1">IF((OFFSET($A$1, 2 - 1, 95 - 1)) &gt;= (OFFSET($A$1, 54 - 1, 7 - 1)), "1","0")</f>
        <v>0</v>
      </c>
      <c r="CT2">
        <f ca="1" xml:space="preserve"> IF( AND( OFFSET($A$1, 2 - 1, 96 - 1) = "1", OFFSET($A$1, 2 - 1, 97 - 1) = "1" ), 1, IF( AND( OFFSET($A$1, 2 - 1, 96 - 1) = "1", OFFSET($A$1, 2 - 1, 97 - 1) = "0" ), 2, IF( AND( OFFSET($A$1, 2 - 1, 96 - 1) = "0", OFFSET($A$1, 2 - 1, 97 - 1) = "1" ), 3, 4 ) ) )</f>
        <v>4</v>
      </c>
      <c r="CV2" s="24">
        <v>0.71077294602594088</v>
      </c>
      <c r="CW2" s="24" t="str">
        <f t="shared" si="0"/>
        <v>1</v>
      </c>
      <c r="CX2" t="str">
        <f ca="1">IF((OFFSET($A$1, 2 - 1, 100 - 1)) &gt;= (OFFSET($A$1, 78 - 1, 7 - 1)), "1","0")</f>
        <v>0</v>
      </c>
      <c r="CY2">
        <f ca="1" xml:space="preserve"> IF( AND( OFFSET($A$1, 2 - 1, 101 - 1) = "1", OFFSET($A$1, 2 - 1, 102 - 1) = "1" ), 1, IF( AND( OFFSET($A$1, 2 - 1, 101 - 1) = "1", OFFSET($A$1, 2 - 1, 102 - 1) = "0" ), 2, IF( AND( OFFSET($A$1, 2 - 1, 101 - 1) = "0", OFFSET($A$1, 2 - 1, 102 - 1) = "1" ), 3, 4 ) ) )</f>
        <v>2</v>
      </c>
    </row>
    <row r="3" spans="2:103" ht="15.6" x14ac:dyDescent="0.3">
      <c r="B3" s="59" t="s">
        <v>136</v>
      </c>
      <c r="C3" s="60"/>
      <c r="D3" s="60"/>
      <c r="E3" s="60"/>
      <c r="F3" s="60"/>
      <c r="G3" s="60"/>
      <c r="H3" s="60"/>
      <c r="I3" s="60"/>
      <c r="J3" s="60"/>
      <c r="K3" s="60"/>
      <c r="L3" s="60"/>
      <c r="M3" s="61"/>
      <c r="P3" s="59" t="s">
        <v>137</v>
      </c>
      <c r="Q3" s="60"/>
      <c r="R3" s="60"/>
      <c r="S3" s="61"/>
      <c r="CQ3" s="24">
        <v>0.97936922862819564</v>
      </c>
      <c r="CR3" s="24" t="str">
        <f>"1"</f>
        <v>1</v>
      </c>
      <c r="CS3" t="str">
        <f ca="1">IF((OFFSET($A$1, 3 - 1, 95 - 1)) &gt;= (OFFSET($A$1, 54 - 1, 7 - 1)), "1","0")</f>
        <v>1</v>
      </c>
      <c r="CT3">
        <f ca="1" xml:space="preserve"> IF( AND( OFFSET($A$1, 3 - 1, 96 - 1) = "1", OFFSET($A$1, 3 - 1, 97 - 1) = "1" ), 1, IF( AND( OFFSET($A$1, 3 - 1, 96 - 1) = "1", OFFSET($A$1, 3 - 1, 97 - 1) = "0" ), 2, IF( AND( OFFSET($A$1, 3 - 1, 96 - 1) = "0", OFFSET($A$1, 3 - 1, 97 - 1) = "1" ), 3, 4 ) ) )</f>
        <v>1</v>
      </c>
      <c r="CV3" s="24">
        <v>0.98057467619706928</v>
      </c>
      <c r="CW3" s="24" t="str">
        <f t="shared" si="0"/>
        <v>1</v>
      </c>
      <c r="CX3" t="str">
        <f ca="1">IF((OFFSET($A$1, 3 - 1, 100 - 1)) &gt;= (OFFSET($A$1, 78 - 1, 7 - 1)), "1","0")</f>
        <v>1</v>
      </c>
      <c r="CY3">
        <f ca="1" xml:space="preserve"> IF( AND( OFFSET($A$1, 3 - 1, 101 - 1) = "1", OFFSET($A$1, 3 - 1, 102 - 1) = "1" ), 1, IF( AND( OFFSET($A$1, 3 - 1, 101 - 1) = "1", OFFSET($A$1, 3 - 1, 102 - 1) = "0" ), 2, IF( AND( OFFSET($A$1, 3 - 1, 101 - 1) = "0", OFFSET($A$1, 3 - 1, 102 - 1) = "1" ), 3, 4 ) ) )</f>
        <v>1</v>
      </c>
    </row>
    <row r="4" spans="2:103" ht="13.8" x14ac:dyDescent="0.3">
      <c r="B4" s="65" t="s">
        <v>141</v>
      </c>
      <c r="C4" s="66"/>
      <c r="D4" s="65" t="s">
        <v>683</v>
      </c>
      <c r="E4" s="66"/>
      <c r="F4" s="65" t="s">
        <v>684</v>
      </c>
      <c r="G4" s="66"/>
      <c r="H4" s="65" t="s">
        <v>685</v>
      </c>
      <c r="I4" s="66"/>
      <c r="J4" s="65" t="s">
        <v>686</v>
      </c>
      <c r="K4" s="66"/>
      <c r="L4" s="65" t="s">
        <v>687</v>
      </c>
      <c r="M4" s="66"/>
      <c r="P4" s="26" t="s">
        <v>182</v>
      </c>
      <c r="Q4" s="26" t="s">
        <v>183</v>
      </c>
      <c r="R4" s="26" t="s">
        <v>139</v>
      </c>
      <c r="S4" s="26" t="s">
        <v>140</v>
      </c>
      <c r="CQ4" s="24">
        <v>9.7988839299488914E-2</v>
      </c>
      <c r="CR4" s="24" t="str">
        <f>"0"</f>
        <v>0</v>
      </c>
      <c r="CS4" t="str">
        <f ca="1">IF((OFFSET($A$1, 4 - 1, 95 - 1)) &gt;= (OFFSET($A$1, 54 - 1, 7 - 1)), "1","0")</f>
        <v>0</v>
      </c>
      <c r="CT4">
        <f ca="1" xml:space="preserve"> IF( AND( OFFSET($A$1, 4 - 1, 96 - 1) = "1", OFFSET($A$1, 4 - 1, 97 - 1) = "1" ), 1, IF( AND( OFFSET($A$1, 4 - 1, 96 - 1) = "1", OFFSET($A$1, 4 - 1, 97 - 1) = "0" ), 2, IF( AND( OFFSET($A$1, 4 - 1, 96 - 1) = "0", OFFSET($A$1, 4 - 1, 97 - 1) = "1" ), 3, 4 ) ) )</f>
        <v>4</v>
      </c>
      <c r="CV4" s="24">
        <v>0.97145204436235022</v>
      </c>
      <c r="CW4" s="24" t="str">
        <f t="shared" si="0"/>
        <v>1</v>
      </c>
      <c r="CX4" t="str">
        <f ca="1">IF((OFFSET($A$1, 4 - 1, 100 - 1)) &gt;= (OFFSET($A$1, 78 - 1, 7 - 1)), "1","0")</f>
        <v>1</v>
      </c>
      <c r="CY4">
        <f ca="1" xml:space="preserve"> IF( AND( OFFSET($A$1, 4 - 1, 101 - 1) = "1", OFFSET($A$1, 4 - 1, 102 - 1) = "1" ), 1, IF( AND( OFFSET($A$1, 4 - 1, 101 - 1) = "1", OFFSET($A$1, 4 - 1, 102 - 1) = "0" ), 2, IF( AND( OFFSET($A$1, 4 - 1, 101 - 1) = "0", OFFSET($A$1, 4 - 1, 102 - 1) = "1" ), 3, 4 ) ) )</f>
        <v>1</v>
      </c>
    </row>
    <row r="5" spans="2:103" ht="13.8" x14ac:dyDescent="0.3">
      <c r="P5" s="24">
        <v>62</v>
      </c>
      <c r="Q5" s="24">
        <v>292</v>
      </c>
      <c r="R5" s="24">
        <v>141</v>
      </c>
      <c r="S5" s="24">
        <v>495</v>
      </c>
      <c r="CQ5" s="24">
        <v>1.3100817028787149E-2</v>
      </c>
      <c r="CR5" s="24" t="str">
        <f>"0"</f>
        <v>0</v>
      </c>
      <c r="CS5" t="str">
        <f ca="1">IF((OFFSET($A$1, 5 - 1, 95 - 1)) &gt;= (OFFSET($A$1, 54 - 1, 7 - 1)), "1","0")</f>
        <v>0</v>
      </c>
      <c r="CT5">
        <f ca="1" xml:space="preserve"> IF( AND( OFFSET($A$1, 5 - 1, 96 - 1) = "1", OFFSET($A$1, 5 - 1, 97 - 1) = "1" ), 1, IF( AND( OFFSET($A$1, 5 - 1, 96 - 1) = "1", OFFSET($A$1, 5 - 1, 97 - 1) = "0" ), 2, IF( AND( OFFSET($A$1, 5 - 1, 96 - 1) = "0", OFFSET($A$1, 5 - 1, 97 - 1) = "1" ), 3, 4 ) ) )</f>
        <v>4</v>
      </c>
      <c r="CV5" s="24">
        <v>0.92732222382335983</v>
      </c>
      <c r="CW5" s="24" t="str">
        <f t="shared" si="0"/>
        <v>1</v>
      </c>
      <c r="CX5" t="str">
        <f ca="1">IF((OFFSET($A$1, 5 - 1, 100 - 1)) &gt;= (OFFSET($A$1, 78 - 1, 7 - 1)), "1","0")</f>
        <v>1</v>
      </c>
      <c r="CY5">
        <f ca="1" xml:space="preserve"> IF( AND( OFFSET($A$1, 5 - 1, 101 - 1) = "1", OFFSET($A$1, 5 - 1, 102 - 1) = "1" ), 1, IF( AND( OFFSET($A$1, 5 - 1, 101 - 1) = "1", OFFSET($A$1, 5 - 1, 102 - 1) = "0" ), 2, IF( AND( OFFSET($A$1, 5 - 1, 101 - 1) = "0", OFFSET($A$1, 5 - 1, 102 - 1) = "1" ), 3, 4 ) ) )</f>
        <v>1</v>
      </c>
    </row>
    <row r="6" spans="2:103" ht="13.8" x14ac:dyDescent="0.3">
      <c r="CQ6" s="24">
        <v>9.4009438421435429E-2</v>
      </c>
      <c r="CR6" s="24" t="str">
        <f>"1"</f>
        <v>1</v>
      </c>
      <c r="CS6" t="str">
        <f ca="1">IF((OFFSET($A$1, 6 - 1, 95 - 1)) &gt;= (OFFSET($A$1, 54 - 1, 7 - 1)), "1","0")</f>
        <v>0</v>
      </c>
      <c r="CT6">
        <f ca="1" xml:space="preserve"> IF( AND( OFFSET($A$1, 6 - 1, 96 - 1) = "1", OFFSET($A$1, 6 - 1, 97 - 1) = "1" ), 1, IF( AND( OFFSET($A$1, 6 - 1, 96 - 1) = "1", OFFSET($A$1, 6 - 1, 97 - 1) = "0" ), 2, IF( AND( OFFSET($A$1, 6 - 1, 96 - 1) = "0", OFFSET($A$1, 6 - 1, 97 - 1) = "1" ), 3, 4 ) ) )</f>
        <v>2</v>
      </c>
      <c r="CV6" s="24">
        <v>0.99615776537427236</v>
      </c>
      <c r="CW6" s="24" t="str">
        <f t="shared" si="0"/>
        <v>1</v>
      </c>
      <c r="CX6" t="str">
        <f ca="1">IF((OFFSET($A$1, 6 - 1, 100 - 1)) &gt;= (OFFSET($A$1, 78 - 1, 7 - 1)), "1","0")</f>
        <v>1</v>
      </c>
      <c r="CY6">
        <f ca="1" xml:space="preserve"> IF( AND( OFFSET($A$1, 6 - 1, 101 - 1) = "1", OFFSET($A$1, 6 - 1, 102 - 1) = "1" ), 1, IF( AND( OFFSET($A$1, 6 - 1, 101 - 1) = "1", OFFSET($A$1, 6 - 1, 102 - 1) = "0" ), 2, IF( AND( OFFSET($A$1, 6 - 1, 101 - 1) = "0", OFFSET($A$1, 6 - 1, 102 - 1) = "1" ), 3, 4 ) ) )</f>
        <v>1</v>
      </c>
    </row>
    <row r="7" spans="2:103" ht="13.8" x14ac:dyDescent="0.3">
      <c r="CQ7" s="24">
        <v>6.5117133579365272E-2</v>
      </c>
      <c r="CR7" s="24" t="str">
        <f>"0"</f>
        <v>0</v>
      </c>
      <c r="CS7" t="str">
        <f ca="1">IF((OFFSET($A$1, 7 - 1, 95 - 1)) &gt;= (OFFSET($A$1, 54 - 1, 7 - 1)), "1","0")</f>
        <v>0</v>
      </c>
      <c r="CT7">
        <f ca="1" xml:space="preserve"> IF( AND( OFFSET($A$1, 7 - 1, 96 - 1) = "1", OFFSET($A$1, 7 - 1, 97 - 1) = "1" ), 1, IF( AND( OFFSET($A$1, 7 - 1, 96 - 1) = "1", OFFSET($A$1, 7 - 1, 97 - 1) = "0" ), 2, IF( AND( OFFSET($A$1, 7 - 1, 96 - 1) = "0", OFFSET($A$1, 7 - 1, 97 - 1) = "1" ), 3, 4 ) ) )</f>
        <v>4</v>
      </c>
      <c r="CV7" s="24">
        <v>0.94738862246572764</v>
      </c>
      <c r="CW7" s="24" t="str">
        <f t="shared" si="0"/>
        <v>1</v>
      </c>
      <c r="CX7" t="str">
        <f ca="1">IF((OFFSET($A$1, 7 - 1, 100 - 1)) &gt;= (OFFSET($A$1, 78 - 1, 7 - 1)), "1","0")</f>
        <v>1</v>
      </c>
      <c r="CY7">
        <f ca="1" xml:space="preserve"> IF( AND( OFFSET($A$1, 7 - 1, 101 - 1) = "1", OFFSET($A$1, 7 - 1, 102 - 1) = "1" ), 1, IF( AND( OFFSET($A$1, 7 - 1, 101 - 1) = "1", OFFSET($A$1, 7 - 1, 102 - 1) = "0" ), 2, IF( AND( OFFSET($A$1, 7 - 1, 101 - 1) = "0", OFFSET($A$1, 7 - 1, 102 - 1) = "1" ), 3, 4 ) ) )</f>
        <v>1</v>
      </c>
    </row>
    <row r="8" spans="2:103" ht="13.8" x14ac:dyDescent="0.3">
      <c r="CQ8" s="24">
        <v>0.95062576790688114</v>
      </c>
      <c r="CR8" s="24" t="str">
        <f t="shared" ref="CR8:CR24" si="1">"1"</f>
        <v>1</v>
      </c>
      <c r="CS8" t="str">
        <f ca="1">IF((OFFSET($A$1, 8 - 1, 95 - 1)) &gt;= (OFFSET($A$1, 54 - 1, 7 - 1)), "1","0")</f>
        <v>0</v>
      </c>
      <c r="CT8">
        <f ca="1" xml:space="preserve"> IF( AND( OFFSET($A$1, 8 - 1, 96 - 1) = "1", OFFSET($A$1, 8 - 1, 97 - 1) = "1" ), 1, IF( AND( OFFSET($A$1, 8 - 1, 96 - 1) = "1", OFFSET($A$1, 8 - 1, 97 - 1) = "0" ), 2, IF( AND( OFFSET($A$1, 8 - 1, 96 - 1) = "0", OFFSET($A$1, 8 - 1, 97 - 1) = "1" ), 3, 4 ) ) )</f>
        <v>2</v>
      </c>
      <c r="CV8" s="24">
        <v>0.99579108917974768</v>
      </c>
      <c r="CW8" s="24" t="str">
        <f t="shared" si="0"/>
        <v>1</v>
      </c>
      <c r="CX8" t="str">
        <f ca="1">IF((OFFSET($A$1, 8 - 1, 100 - 1)) &gt;= (OFFSET($A$1, 78 - 1, 7 - 1)), "1","0")</f>
        <v>1</v>
      </c>
      <c r="CY8">
        <f ca="1" xml:space="preserve"> IF( AND( OFFSET($A$1, 8 - 1, 101 - 1) = "1", OFFSET($A$1, 8 - 1, 102 - 1) = "1" ), 1, IF( AND( OFFSET($A$1, 8 - 1, 101 - 1) = "1", OFFSET($A$1, 8 - 1, 102 - 1) = "0" ), 2, IF( AND( OFFSET($A$1, 8 - 1, 101 - 1) = "0", OFFSET($A$1, 8 - 1, 102 - 1) = "1" ), 3, 4 ) ) )</f>
        <v>1</v>
      </c>
    </row>
    <row r="9" spans="2:103" ht="13.8" x14ac:dyDescent="0.3">
      <c r="CQ9" s="24">
        <v>0.99434024251387221</v>
      </c>
      <c r="CR9" s="24" t="str">
        <f t="shared" si="1"/>
        <v>1</v>
      </c>
      <c r="CS9" t="str">
        <f ca="1">IF((OFFSET($A$1, 9 - 1, 95 - 1)) &gt;= (OFFSET($A$1, 54 - 1, 7 - 1)), "1","0")</f>
        <v>1</v>
      </c>
      <c r="CT9">
        <f ca="1" xml:space="preserve"> IF( AND( OFFSET($A$1, 9 - 1, 96 - 1) = "1", OFFSET($A$1, 9 - 1, 97 - 1) = "1" ), 1, IF( AND( OFFSET($A$1, 9 - 1, 96 - 1) = "1", OFFSET($A$1, 9 - 1, 97 - 1) = "0" ), 2, IF( AND( OFFSET($A$1, 9 - 1, 96 - 1) = "0", OFFSET($A$1, 9 - 1, 97 - 1) = "1" ), 3, 4 ) ) )</f>
        <v>1</v>
      </c>
      <c r="CV9" s="24">
        <v>0.75151916822121134</v>
      </c>
      <c r="CW9" s="24" t="str">
        <f t="shared" si="0"/>
        <v>1</v>
      </c>
      <c r="CX9" t="str">
        <f ca="1">IF((OFFSET($A$1, 9 - 1, 100 - 1)) &gt;= (OFFSET($A$1, 78 - 1, 7 - 1)), "1","0")</f>
        <v>0</v>
      </c>
      <c r="CY9">
        <f ca="1" xml:space="preserve"> IF( AND( OFFSET($A$1, 9 - 1, 101 - 1) = "1", OFFSET($A$1, 9 - 1, 102 - 1) = "1" ), 1, IF( AND( OFFSET($A$1, 9 - 1, 101 - 1) = "1", OFFSET($A$1, 9 - 1, 102 - 1) = "0" ), 2, IF( AND( OFFSET($A$1, 9 - 1, 101 - 1) = "0", OFFSET($A$1, 9 - 1, 102 - 1) = "1" ), 3, 4 ) ) )</f>
        <v>2</v>
      </c>
    </row>
    <row r="10" spans="2:103" ht="18" x14ac:dyDescent="0.35">
      <c r="B10" s="22" t="s">
        <v>141</v>
      </c>
      <c r="CQ10" s="24">
        <v>0.99905275672558791</v>
      </c>
      <c r="CR10" s="24" t="str">
        <f t="shared" si="1"/>
        <v>1</v>
      </c>
      <c r="CS10" t="str">
        <f ca="1">IF((OFFSET($A$1, 10 - 1, 95 - 1)) &gt;= (OFFSET($A$1, 54 - 1, 7 - 1)), "1","0")</f>
        <v>1</v>
      </c>
      <c r="CT10">
        <f ca="1" xml:space="preserve"> IF( AND( OFFSET($A$1, 10 - 1, 96 - 1) = "1", OFFSET($A$1, 10 - 1, 97 - 1) = "1" ), 1, IF( AND( OFFSET($A$1, 10 - 1, 96 - 1) = "1", OFFSET($A$1, 10 - 1, 97 - 1) = "0" ), 2, IF( AND( OFFSET($A$1, 10 - 1, 96 - 1) = "0", OFFSET($A$1, 10 - 1, 97 - 1) = "1" ), 3, 4 ) ) )</f>
        <v>1</v>
      </c>
      <c r="CV10" s="24">
        <v>0.99497556823724687</v>
      </c>
      <c r="CW10" s="24" t="str">
        <f t="shared" si="0"/>
        <v>1</v>
      </c>
      <c r="CX10" t="str">
        <f ca="1">IF((OFFSET($A$1, 10 - 1, 100 - 1)) &gt;= (OFFSET($A$1, 78 - 1, 7 - 1)), "1","0")</f>
        <v>1</v>
      </c>
      <c r="CY10">
        <f ca="1" xml:space="preserve"> IF( AND( OFFSET($A$1, 10 - 1, 101 - 1) = "1", OFFSET($A$1, 10 - 1, 102 - 1) = "1" ), 1, IF( AND( OFFSET($A$1, 10 - 1, 101 - 1) = "1", OFFSET($A$1, 10 - 1, 102 - 1) = "0" ), 2, IF( AND( OFFSET($A$1, 10 - 1, 101 - 1) = "0", OFFSET($A$1, 10 - 1, 102 - 1) = "1" ), 3, 4 ) ) )</f>
        <v>1</v>
      </c>
    </row>
    <row r="11" spans="2:103" ht="13.8" x14ac:dyDescent="0.3">
      <c r="CQ11" s="24">
        <v>0.99437763966350412</v>
      </c>
      <c r="CR11" s="24" t="str">
        <f t="shared" si="1"/>
        <v>1</v>
      </c>
      <c r="CS11" t="str">
        <f ca="1">IF((OFFSET($A$1, 11 - 1, 95 - 1)) &gt;= (OFFSET($A$1, 54 - 1, 7 - 1)), "1","0")</f>
        <v>1</v>
      </c>
      <c r="CT11">
        <f ca="1" xml:space="preserve"> IF( AND( OFFSET($A$1, 11 - 1, 96 - 1) = "1", OFFSET($A$1, 11 - 1, 97 - 1) = "1" ), 1, IF( AND( OFFSET($A$1, 11 - 1, 96 - 1) = "1", OFFSET($A$1, 11 - 1, 97 - 1) = "0" ), 2, IF( AND( OFFSET($A$1, 11 - 1, 96 - 1) = "0", OFFSET($A$1, 11 - 1, 97 - 1) = "1" ), 3, 4 ) ) )</f>
        <v>1</v>
      </c>
      <c r="CV11" s="24">
        <v>0.41395184104856386</v>
      </c>
      <c r="CW11" s="24" t="str">
        <f>"0"</f>
        <v>0</v>
      </c>
      <c r="CX11" t="str">
        <f ca="1">IF((OFFSET($A$1, 11 - 1, 100 - 1)) &gt;= (OFFSET($A$1, 78 - 1, 7 - 1)), "1","0")</f>
        <v>0</v>
      </c>
      <c r="CY11">
        <f ca="1" xml:space="preserve"> IF( AND( OFFSET($A$1, 11 - 1, 101 - 1) = "1", OFFSET($A$1, 11 - 1, 102 - 1) = "1" ), 1, IF( AND( OFFSET($A$1, 11 - 1, 101 - 1) = "1", OFFSET($A$1, 11 - 1, 102 - 1) = "0" ), 2, IF( AND( OFFSET($A$1, 11 - 1, 101 - 1) = "0", OFFSET($A$1, 11 - 1, 102 - 1) = "1" ), 3, 4 ) ) )</f>
        <v>4</v>
      </c>
    </row>
    <row r="12" spans="2:103" ht="15.6" x14ac:dyDescent="0.3">
      <c r="C12" s="59" t="s">
        <v>142</v>
      </c>
      <c r="D12" s="60"/>
      <c r="E12" s="60"/>
      <c r="F12" s="60"/>
      <c r="G12" s="60"/>
      <c r="H12" s="60"/>
      <c r="I12" s="60"/>
      <c r="J12" s="60"/>
      <c r="K12" s="61"/>
      <c r="CQ12" s="24">
        <v>0.9975937185490712</v>
      </c>
      <c r="CR12" s="24" t="str">
        <f t="shared" si="1"/>
        <v>1</v>
      </c>
      <c r="CS12" t="str">
        <f ca="1">IF((OFFSET($A$1, 12 - 1, 95 - 1)) &gt;= (OFFSET($A$1, 54 - 1, 7 - 1)), "1","0")</f>
        <v>1</v>
      </c>
      <c r="CT12">
        <f ca="1" xml:space="preserve"> IF( AND( OFFSET($A$1, 12 - 1, 96 - 1) = "1", OFFSET($A$1, 12 - 1, 97 - 1) = "1" ), 1, IF( AND( OFFSET($A$1, 12 - 1, 96 - 1) = "1", OFFSET($A$1, 12 - 1, 97 - 1) = "0" ), 2, IF( AND( OFFSET($A$1, 12 - 1, 96 - 1) = "0", OFFSET($A$1, 12 - 1, 97 - 1) = "1" ), 3, 4 ) ) )</f>
        <v>1</v>
      </c>
      <c r="CV12" s="24">
        <v>0.9998532071642241</v>
      </c>
      <c r="CW12" s="24" t="str">
        <f>"1"</f>
        <v>1</v>
      </c>
      <c r="CX12" t="str">
        <f ca="1">IF((OFFSET($A$1, 12 - 1, 100 - 1)) &gt;= (OFFSET($A$1, 78 - 1, 7 - 1)), "1","0")</f>
        <v>1</v>
      </c>
      <c r="CY12">
        <f ca="1" xml:space="preserve"> IF( AND( OFFSET($A$1, 12 - 1, 101 - 1) = "1", OFFSET($A$1, 12 - 1, 102 - 1) = "1" ), 1, IF( AND( OFFSET($A$1, 12 - 1, 101 - 1) = "1", OFFSET($A$1, 12 - 1, 102 - 1) = "0" ), 2, IF( AND( OFFSET($A$1, 12 - 1, 101 - 1) = "0", OFFSET($A$1, 12 - 1, 102 - 1) = "1" ), 3, 4 ) ) )</f>
        <v>1</v>
      </c>
    </row>
    <row r="13" spans="2:103" ht="13.8" x14ac:dyDescent="0.3">
      <c r="C13" s="62" t="s">
        <v>143</v>
      </c>
      <c r="D13" s="63"/>
      <c r="E13" s="63"/>
      <c r="F13" s="64"/>
      <c r="G13" s="69" t="s">
        <v>144</v>
      </c>
      <c r="H13" s="70"/>
      <c r="I13" s="70"/>
      <c r="J13" s="70"/>
      <c r="K13" s="71"/>
      <c r="CQ13" s="24">
        <v>0.99907311231513574</v>
      </c>
      <c r="CR13" s="24" t="str">
        <f t="shared" si="1"/>
        <v>1</v>
      </c>
      <c r="CS13" t="str">
        <f ca="1">IF((OFFSET($A$1, 13 - 1, 95 - 1)) &gt;= (OFFSET($A$1, 54 - 1, 7 - 1)), "1","0")</f>
        <v>1</v>
      </c>
      <c r="CT13">
        <f ca="1" xml:space="preserve"> IF( AND( OFFSET($A$1, 13 - 1, 96 - 1) = "1", OFFSET($A$1, 13 - 1, 97 - 1) = "1" ), 1, IF( AND( OFFSET($A$1, 13 - 1, 96 - 1) = "1", OFFSET($A$1, 13 - 1, 97 - 1) = "0" ), 2, IF( AND( OFFSET($A$1, 13 - 1, 96 - 1) = "0", OFFSET($A$1, 13 - 1, 97 - 1) = "1" ), 3, 4 ) ) )</f>
        <v>1</v>
      </c>
      <c r="CV13" s="24">
        <v>0.98508542878556071</v>
      </c>
      <c r="CW13" s="24" t="str">
        <f>"1"</f>
        <v>1</v>
      </c>
      <c r="CX13" t="str">
        <f ca="1">IF((OFFSET($A$1, 13 - 1, 100 - 1)) &gt;= (OFFSET($A$1, 78 - 1, 7 - 1)), "1","0")</f>
        <v>1</v>
      </c>
      <c r="CY13">
        <f ca="1" xml:space="preserve"> IF( AND( OFFSET($A$1, 13 - 1, 101 - 1) = "1", OFFSET($A$1, 13 - 1, 102 - 1) = "1" ), 1, IF( AND( OFFSET($A$1, 13 - 1, 101 - 1) = "1", OFFSET($A$1, 13 - 1, 102 - 1) = "0" ), 2, IF( AND( OFFSET($A$1, 13 - 1, 101 - 1) = "0", OFFSET($A$1, 13 - 1, 102 - 1) = "1" ), 3, 4 ) ) )</f>
        <v>1</v>
      </c>
    </row>
    <row r="14" spans="2:103" ht="13.8" x14ac:dyDescent="0.3">
      <c r="C14" s="62" t="s">
        <v>145</v>
      </c>
      <c r="D14" s="63"/>
      <c r="E14" s="63"/>
      <c r="F14" s="64"/>
      <c r="G14" s="69" t="s">
        <v>184</v>
      </c>
      <c r="H14" s="70"/>
      <c r="I14" s="70"/>
      <c r="J14" s="70"/>
      <c r="K14" s="71"/>
      <c r="CQ14" s="24">
        <v>0.9997887955013619</v>
      </c>
      <c r="CR14" s="24" t="str">
        <f t="shared" si="1"/>
        <v>1</v>
      </c>
      <c r="CS14" t="str">
        <f ca="1">IF((OFFSET($A$1, 14 - 1, 95 - 1)) &gt;= (OFFSET($A$1, 54 - 1, 7 - 1)), "1","0")</f>
        <v>1</v>
      </c>
      <c r="CT14">
        <f ca="1" xml:space="preserve"> IF( AND( OFFSET($A$1, 14 - 1, 96 - 1) = "1", OFFSET($A$1, 14 - 1, 97 - 1) = "1" ), 1, IF( AND( OFFSET($A$1, 14 - 1, 96 - 1) = "1", OFFSET($A$1, 14 - 1, 97 - 1) = "0" ), 2, IF( AND( OFFSET($A$1, 14 - 1, 96 - 1) = "0", OFFSET($A$1, 14 - 1, 97 - 1) = "1" ), 3, 4 ) ) )</f>
        <v>1</v>
      </c>
      <c r="CV14" s="24">
        <v>0.93600271055383855</v>
      </c>
      <c r="CW14" s="24" t="str">
        <f>"0"</f>
        <v>0</v>
      </c>
      <c r="CX14" t="str">
        <f ca="1">IF((OFFSET($A$1, 14 - 1, 100 - 1)) &gt;= (OFFSET($A$1, 78 - 1, 7 - 1)), "1","0")</f>
        <v>1</v>
      </c>
      <c r="CY14">
        <f ca="1" xml:space="preserve"> IF( AND( OFFSET($A$1, 14 - 1, 101 - 1) = "1", OFFSET($A$1, 14 - 1, 102 - 1) = "1" ), 1, IF( AND( OFFSET($A$1, 14 - 1, 101 - 1) = "1", OFFSET($A$1, 14 - 1, 102 - 1) = "0" ), 2, IF( AND( OFFSET($A$1, 14 - 1, 101 - 1) = "0", OFFSET($A$1, 14 - 1, 102 - 1) = "1" ), 3, 4 ) ) )</f>
        <v>3</v>
      </c>
    </row>
    <row r="15" spans="2:103" ht="13.8" x14ac:dyDescent="0.3">
      <c r="C15" s="62" t="s">
        <v>185</v>
      </c>
      <c r="D15" s="63"/>
      <c r="E15" s="63"/>
      <c r="F15" s="64"/>
      <c r="G15" s="69">
        <v>600</v>
      </c>
      <c r="H15" s="70"/>
      <c r="I15" s="70"/>
      <c r="J15" s="70"/>
      <c r="K15" s="71"/>
      <c r="CQ15" s="24">
        <v>0.83413643606473986</v>
      </c>
      <c r="CR15" s="24" t="str">
        <f t="shared" si="1"/>
        <v>1</v>
      </c>
      <c r="CS15" t="str">
        <f ca="1">IF((OFFSET($A$1, 15 - 1, 95 - 1)) &gt;= (OFFSET($A$1, 54 - 1, 7 - 1)), "1","0")</f>
        <v>0</v>
      </c>
      <c r="CT15">
        <f ca="1" xml:space="preserve"> IF( AND( OFFSET($A$1, 15 - 1, 96 - 1) = "1", OFFSET($A$1, 15 - 1, 97 - 1) = "1" ), 1, IF( AND( OFFSET($A$1, 15 - 1, 96 - 1) = "1", OFFSET($A$1, 15 - 1, 97 - 1) = "0" ), 2, IF( AND( OFFSET($A$1, 15 - 1, 96 - 1) = "0", OFFSET($A$1, 15 - 1, 97 - 1) = "1" ), 3, 4 ) ) )</f>
        <v>2</v>
      </c>
      <c r="CV15" s="24">
        <v>0.85021349008058633</v>
      </c>
      <c r="CW15" s="24" t="str">
        <f>"1"</f>
        <v>1</v>
      </c>
      <c r="CX15" t="str">
        <f ca="1">IF((OFFSET($A$1, 15 - 1, 100 - 1)) &gt;= (OFFSET($A$1, 78 - 1, 7 - 1)), "1","0")</f>
        <v>0</v>
      </c>
      <c r="CY15">
        <f ca="1" xml:space="preserve"> IF( AND( OFFSET($A$1, 15 - 1, 101 - 1) = "1", OFFSET($A$1, 15 - 1, 102 - 1) = "1" ), 1, IF( AND( OFFSET($A$1, 15 - 1, 101 - 1) = "1", OFFSET($A$1, 15 - 1, 102 - 1) = "0" ), 2, IF( AND( OFFSET($A$1, 15 - 1, 101 - 1) = "0", OFFSET($A$1, 15 - 1, 102 - 1) = "1" ), 3, 4 ) ) )</f>
        <v>2</v>
      </c>
    </row>
    <row r="16" spans="2:103" ht="13.8" x14ac:dyDescent="0.3">
      <c r="C16" s="62" t="s">
        <v>186</v>
      </c>
      <c r="D16" s="63"/>
      <c r="E16" s="63"/>
      <c r="F16" s="64"/>
      <c r="G16" s="69">
        <v>400</v>
      </c>
      <c r="H16" s="70"/>
      <c r="I16" s="70"/>
      <c r="J16" s="70"/>
      <c r="K16" s="71"/>
      <c r="CQ16" s="24">
        <v>0.99076226579558557</v>
      </c>
      <c r="CR16" s="24" t="str">
        <f t="shared" si="1"/>
        <v>1</v>
      </c>
      <c r="CS16" t="str">
        <f ca="1">IF((OFFSET($A$1, 16 - 1, 95 - 1)) &gt;= (OFFSET($A$1, 54 - 1, 7 - 1)), "1","0")</f>
        <v>1</v>
      </c>
      <c r="CT16">
        <f ca="1" xml:space="preserve"> IF( AND( OFFSET($A$1, 16 - 1, 96 - 1) = "1", OFFSET($A$1, 16 - 1, 97 - 1) = "1" ), 1, IF( AND( OFFSET($A$1, 16 - 1, 96 - 1) = "1", OFFSET($A$1, 16 - 1, 97 - 1) = "0" ), 2, IF( AND( OFFSET($A$1, 16 - 1, 96 - 1) = "0", OFFSET($A$1, 16 - 1, 97 - 1) = "1" ), 3, 4 ) ) )</f>
        <v>1</v>
      </c>
      <c r="CV16" s="24">
        <v>0.9997557308723084</v>
      </c>
      <c r="CW16" s="24" t="str">
        <f>"1"</f>
        <v>1</v>
      </c>
      <c r="CX16" t="str">
        <f ca="1">IF((OFFSET($A$1, 16 - 1, 100 - 1)) &gt;= (OFFSET($A$1, 78 - 1, 7 - 1)), "1","0")</f>
        <v>1</v>
      </c>
      <c r="CY16">
        <f ca="1" xml:space="preserve"> IF( AND( OFFSET($A$1, 16 - 1, 101 - 1) = "1", OFFSET($A$1, 16 - 1, 102 - 1) = "1" ), 1, IF( AND( OFFSET($A$1, 16 - 1, 101 - 1) = "1", OFFSET($A$1, 16 - 1, 102 - 1) = "0" ), 2, IF( AND( OFFSET($A$1, 16 - 1, 101 - 1) = "0", OFFSET($A$1, 16 - 1, 102 - 1) = "1" ), 3, 4 ) ) )</f>
        <v>1</v>
      </c>
    </row>
    <row r="17" spans="3:103" ht="13.8" x14ac:dyDescent="0.3">
      <c r="CQ17" s="24">
        <v>0.99269059762219347</v>
      </c>
      <c r="CR17" s="24" t="str">
        <f t="shared" si="1"/>
        <v>1</v>
      </c>
      <c r="CS17" t="str">
        <f ca="1">IF((OFFSET($A$1, 17 - 1, 95 - 1)) &gt;= (OFFSET($A$1, 54 - 1, 7 - 1)), "1","0")</f>
        <v>1</v>
      </c>
      <c r="CT17">
        <f ca="1" xml:space="preserve"> IF( AND( OFFSET($A$1, 17 - 1, 96 - 1) = "1", OFFSET($A$1, 17 - 1, 97 - 1) = "1" ), 1, IF( AND( OFFSET($A$1, 17 - 1, 96 - 1) = "1", OFFSET($A$1, 17 - 1, 97 - 1) = "0" ), 2, IF( AND( OFFSET($A$1, 17 - 1, 96 - 1) = "0", OFFSET($A$1, 17 - 1, 97 - 1) = "1" ), 3, 4 ) ) )</f>
        <v>1</v>
      </c>
      <c r="CV17" s="24">
        <v>0.86458003394249772</v>
      </c>
      <c r="CW17" s="24" t="str">
        <f>"1"</f>
        <v>1</v>
      </c>
      <c r="CX17" t="str">
        <f ca="1">IF((OFFSET($A$1, 17 - 1, 100 - 1)) &gt;= (OFFSET($A$1, 78 - 1, 7 - 1)), "1","0")</f>
        <v>0</v>
      </c>
      <c r="CY17">
        <f ca="1" xml:space="preserve"> IF( AND( OFFSET($A$1, 17 - 1, 101 - 1) = "1", OFFSET($A$1, 17 - 1, 102 - 1) = "1" ), 1, IF( AND( OFFSET($A$1, 17 - 1, 101 - 1) = "1", OFFSET($A$1, 17 - 1, 102 - 1) = "0" ), 2, IF( AND( OFFSET($A$1, 17 - 1, 101 - 1) = "0", OFFSET($A$1, 17 - 1, 102 - 1) = "1" ), 3, 4 ) ) )</f>
        <v>2</v>
      </c>
    </row>
    <row r="18" spans="3:103" ht="15.6" x14ac:dyDescent="0.3">
      <c r="C18" s="59" t="s">
        <v>187</v>
      </c>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1"/>
      <c r="CQ18" s="24">
        <v>0.82031468143299602</v>
      </c>
      <c r="CR18" s="24" t="str">
        <f t="shared" si="1"/>
        <v>1</v>
      </c>
      <c r="CS18" t="str">
        <f ca="1">IF((OFFSET($A$1, 18 - 1, 95 - 1)) &gt;= (OFFSET($A$1, 54 - 1, 7 - 1)), "1","0")</f>
        <v>0</v>
      </c>
      <c r="CT18">
        <f ca="1" xml:space="preserve"> IF( AND( OFFSET($A$1, 18 - 1, 96 - 1) = "1", OFFSET($A$1, 18 - 1, 97 - 1) = "1" ), 1, IF( AND( OFFSET($A$1, 18 - 1, 96 - 1) = "1", OFFSET($A$1, 18 - 1, 97 - 1) = "0" ), 2, IF( AND( OFFSET($A$1, 18 - 1, 96 - 1) = "0", OFFSET($A$1, 18 - 1, 97 - 1) = "1" ), 3, 4 ) ) )</f>
        <v>2</v>
      </c>
      <c r="CV18" s="24">
        <v>0.99877013365921452</v>
      </c>
      <c r="CW18" s="24" t="str">
        <f>"0"</f>
        <v>0</v>
      </c>
      <c r="CX18" t="str">
        <f ca="1">IF((OFFSET($A$1, 18 - 1, 100 - 1)) &gt;= (OFFSET($A$1, 78 - 1, 7 - 1)), "1","0")</f>
        <v>1</v>
      </c>
      <c r="CY18">
        <f ca="1" xml:space="preserve"> IF( AND( OFFSET($A$1, 18 - 1, 101 - 1) = "1", OFFSET($A$1, 18 - 1, 102 - 1) = "1" ), 1, IF( AND( OFFSET($A$1, 18 - 1, 101 - 1) = "1", OFFSET($A$1, 18 - 1, 102 - 1) = "0" ), 2, IF( AND( OFFSET($A$1, 18 - 1, 101 - 1) = "0", OFFSET($A$1, 18 - 1, 102 - 1) = "1" ), 3, 4 ) ) )</f>
        <v>3</v>
      </c>
    </row>
    <row r="19" spans="3:103" ht="13.8" x14ac:dyDescent="0.3">
      <c r="C19" s="62" t="s">
        <v>188</v>
      </c>
      <c r="D19" s="64"/>
      <c r="E19" s="69">
        <v>45</v>
      </c>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1"/>
      <c r="CQ19" s="24">
        <v>0.87061569687411822</v>
      </c>
      <c r="CR19" s="24" t="str">
        <f t="shared" si="1"/>
        <v>1</v>
      </c>
      <c r="CS19" t="str">
        <f ca="1">IF((OFFSET($A$1, 19 - 1, 95 - 1)) &gt;= (OFFSET($A$1, 54 - 1, 7 - 1)), "1","0")</f>
        <v>0</v>
      </c>
      <c r="CT19">
        <f ca="1" xml:space="preserve"> IF( AND( OFFSET($A$1, 19 - 1, 96 - 1) = "1", OFFSET($A$1, 19 - 1, 97 - 1) = "1" ), 1, IF( AND( OFFSET($A$1, 19 - 1, 96 - 1) = "1", OFFSET($A$1, 19 - 1, 97 - 1) = "0" ), 2, IF( AND( OFFSET($A$1, 19 - 1, 96 - 1) = "0", OFFSET($A$1, 19 - 1, 97 - 1) = "1" ), 3, 4 ) ) )</f>
        <v>2</v>
      </c>
      <c r="CV19" s="24">
        <v>0.74845695237091736</v>
      </c>
      <c r="CW19" s="24" t="str">
        <f t="shared" ref="CW19:CW24" si="2">"1"</f>
        <v>1</v>
      </c>
      <c r="CX19" t="str">
        <f ca="1">IF((OFFSET($A$1, 19 - 1, 100 - 1)) &gt;= (OFFSET($A$1, 78 - 1, 7 - 1)), "1","0")</f>
        <v>0</v>
      </c>
      <c r="CY19">
        <f ca="1" xml:space="preserve"> IF( AND( OFFSET($A$1, 19 - 1, 101 - 1) = "1", OFFSET($A$1, 19 - 1, 102 - 1) = "1" ), 1, IF( AND( OFFSET($A$1, 19 - 1, 101 - 1) = "1", OFFSET($A$1, 19 - 1, 102 - 1) = "0" ), 2, IF( AND( OFFSET($A$1, 19 - 1, 101 - 1) = "0", OFFSET($A$1, 19 - 1, 102 - 1) = "1" ), 3, 4 ) ) )</f>
        <v>2</v>
      </c>
    </row>
    <row r="20" spans="3:103" ht="13.8" x14ac:dyDescent="0.3">
      <c r="C20" s="62" t="s">
        <v>189</v>
      </c>
      <c r="D20" s="64"/>
      <c r="E20" s="24" t="s">
        <v>0</v>
      </c>
      <c r="F20" s="24" t="s">
        <v>68</v>
      </c>
      <c r="G20" s="24" t="s">
        <v>69</v>
      </c>
      <c r="H20" s="24" t="s">
        <v>70</v>
      </c>
      <c r="I20" s="24" t="s">
        <v>71</v>
      </c>
      <c r="J20" s="24" t="s">
        <v>81</v>
      </c>
      <c r="K20" s="24" t="s">
        <v>72</v>
      </c>
      <c r="L20" s="24" t="s">
        <v>2</v>
      </c>
      <c r="M20" s="24" t="s">
        <v>6</v>
      </c>
      <c r="N20" s="24" t="s">
        <v>74</v>
      </c>
      <c r="O20" s="24" t="s">
        <v>75</v>
      </c>
      <c r="P20" s="24" t="s">
        <v>76</v>
      </c>
      <c r="Q20" s="24" t="s">
        <v>73</v>
      </c>
      <c r="R20" s="24" t="s">
        <v>77</v>
      </c>
      <c r="S20" s="24" t="s">
        <v>78</v>
      </c>
      <c r="T20" s="24" t="s">
        <v>82</v>
      </c>
      <c r="U20" s="24" t="s">
        <v>8</v>
      </c>
      <c r="V20" s="24" t="s">
        <v>79</v>
      </c>
      <c r="W20" s="24" t="s">
        <v>80</v>
      </c>
      <c r="X20" s="24" t="s">
        <v>83</v>
      </c>
      <c r="Y20" s="24" t="s">
        <v>9</v>
      </c>
      <c r="Z20" s="24" t="s">
        <v>11</v>
      </c>
      <c r="AA20" s="24" t="s">
        <v>12</v>
      </c>
      <c r="AB20" s="24" t="s">
        <v>13</v>
      </c>
      <c r="AC20" s="24" t="s">
        <v>152</v>
      </c>
      <c r="AD20" s="24" t="s">
        <v>153</v>
      </c>
      <c r="AE20" s="24" t="s">
        <v>154</v>
      </c>
      <c r="AF20" s="24" t="s">
        <v>156</v>
      </c>
      <c r="AG20" s="24" t="s">
        <v>157</v>
      </c>
      <c r="AH20" s="24" t="s">
        <v>158</v>
      </c>
      <c r="AI20" s="24" t="s">
        <v>159</v>
      </c>
      <c r="AJ20" s="24" t="s">
        <v>161</v>
      </c>
      <c r="AK20" s="24" t="s">
        <v>162</v>
      </c>
      <c r="AL20" s="24" t="s">
        <v>163</v>
      </c>
      <c r="AM20" s="24" t="s">
        <v>164</v>
      </c>
      <c r="AN20" s="24" t="s">
        <v>166</v>
      </c>
      <c r="AO20" s="24" t="s">
        <v>167</v>
      </c>
      <c r="AP20" s="24" t="s">
        <v>168</v>
      </c>
      <c r="AQ20" s="24" t="s">
        <v>169</v>
      </c>
      <c r="AR20" s="24" t="s">
        <v>171</v>
      </c>
      <c r="AS20" s="24" t="s">
        <v>172</v>
      </c>
      <c r="AT20" s="24" t="s">
        <v>173</v>
      </c>
      <c r="AU20" s="24" t="s">
        <v>176</v>
      </c>
      <c r="AV20" s="24" t="s">
        <v>177</v>
      </c>
      <c r="AW20" s="24" t="s">
        <v>178</v>
      </c>
      <c r="CQ20" s="24">
        <v>0.97616187926935238</v>
      </c>
      <c r="CR20" s="24" t="str">
        <f t="shared" si="1"/>
        <v>1</v>
      </c>
      <c r="CS20" t="str">
        <f ca="1">IF((OFFSET($A$1, 20 - 1, 95 - 1)) &gt;= (OFFSET($A$1, 54 - 1, 7 - 1)), "1","0")</f>
        <v>1</v>
      </c>
      <c r="CT20">
        <f ca="1" xml:space="preserve"> IF( AND( OFFSET($A$1, 20 - 1, 96 - 1) = "1", OFFSET($A$1, 20 - 1, 97 - 1) = "1" ), 1, IF( AND( OFFSET($A$1, 20 - 1, 96 - 1) = "1", OFFSET($A$1, 20 - 1, 97 - 1) = "0" ), 2, IF( AND( OFFSET($A$1, 20 - 1, 96 - 1) = "0", OFFSET($A$1, 20 - 1, 97 - 1) = "1" ), 3, 4 ) ) )</f>
        <v>1</v>
      </c>
      <c r="CV20" s="24">
        <v>0.1000691286978674</v>
      </c>
      <c r="CW20" s="24" t="str">
        <f t="shared" si="2"/>
        <v>1</v>
      </c>
      <c r="CX20" t="str">
        <f ca="1">IF((OFFSET($A$1, 20 - 1, 100 - 1)) &gt;= (OFFSET($A$1, 78 - 1, 7 - 1)), "1","0")</f>
        <v>0</v>
      </c>
      <c r="CY20">
        <f ca="1" xml:space="preserve"> IF( AND( OFFSET($A$1, 20 - 1, 101 - 1) = "1", OFFSET($A$1, 20 - 1, 102 - 1) = "1" ), 1, IF( AND( OFFSET($A$1, 20 - 1, 101 - 1) = "1", OFFSET($A$1, 20 - 1, 102 - 1) = "0" ), 2, IF( AND( OFFSET($A$1, 20 - 1, 101 - 1) = "0", OFFSET($A$1, 20 - 1, 102 - 1) = "1" ), 3, 4 ) ) )</f>
        <v>2</v>
      </c>
    </row>
    <row r="21" spans="3:103" ht="13.8" x14ac:dyDescent="0.3">
      <c r="C21" s="62" t="s">
        <v>190</v>
      </c>
      <c r="D21" s="64"/>
      <c r="E21" s="67" t="s">
        <v>14</v>
      </c>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6"/>
      <c r="CQ21" s="24">
        <v>0.89051016237790226</v>
      </c>
      <c r="CR21" s="24" t="str">
        <f t="shared" si="1"/>
        <v>1</v>
      </c>
      <c r="CS21" t="str">
        <f ca="1">IF((OFFSET($A$1, 21 - 1, 95 - 1)) &gt;= (OFFSET($A$1, 54 - 1, 7 - 1)), "1","0")</f>
        <v>0</v>
      </c>
      <c r="CT21">
        <f ca="1" xml:space="preserve"> IF( AND( OFFSET($A$1, 21 - 1, 96 - 1) = "1", OFFSET($A$1, 21 - 1, 97 - 1) = "1" ), 1, IF( AND( OFFSET($A$1, 21 - 1, 96 - 1) = "1", OFFSET($A$1, 21 - 1, 97 - 1) = "0" ), 2, IF( AND( OFFSET($A$1, 21 - 1, 96 - 1) = "0", OFFSET($A$1, 21 - 1, 97 - 1) = "1" ), 3, 4 ) ) )</f>
        <v>2</v>
      </c>
      <c r="CV21" s="24">
        <v>0.90391064666213383</v>
      </c>
      <c r="CW21" s="24" t="str">
        <f t="shared" si="2"/>
        <v>1</v>
      </c>
      <c r="CX21" t="str">
        <f ca="1">IF((OFFSET($A$1, 21 - 1, 100 - 1)) &gt;= (OFFSET($A$1, 78 - 1, 7 - 1)), "1","0")</f>
        <v>1</v>
      </c>
      <c r="CY21">
        <f ca="1" xml:space="preserve"> IF( AND( OFFSET($A$1, 21 - 1, 101 - 1) = "1", OFFSET($A$1, 21 - 1, 102 - 1) = "1" ), 1, IF( AND( OFFSET($A$1, 21 - 1, 101 - 1) = "1", OFFSET($A$1, 21 - 1, 102 - 1) = "0" ), 2, IF( AND( OFFSET($A$1, 21 - 1, 101 - 1) = "0", OFFSET($A$1, 21 - 1, 102 - 1) = "1" ), 3, 4 ) ) )</f>
        <v>1</v>
      </c>
    </row>
    <row r="22" spans="3:103" ht="13.8" x14ac:dyDescent="0.3">
      <c r="CQ22" s="24">
        <v>0.99932019642111014</v>
      </c>
      <c r="CR22" s="24" t="str">
        <f t="shared" si="1"/>
        <v>1</v>
      </c>
      <c r="CS22" t="str">
        <f ca="1">IF((OFFSET($A$1, 22 - 1, 95 - 1)) &gt;= (OFFSET($A$1, 54 - 1, 7 - 1)), "1","0")</f>
        <v>1</v>
      </c>
      <c r="CT22">
        <f ca="1" xml:space="preserve"> IF( AND( OFFSET($A$1, 22 - 1, 96 - 1) = "1", OFFSET($A$1, 22 - 1, 97 - 1) = "1" ), 1, IF( AND( OFFSET($A$1, 22 - 1, 96 - 1) = "1", OFFSET($A$1, 22 - 1, 97 - 1) = "0" ), 2, IF( AND( OFFSET($A$1, 22 - 1, 96 - 1) = "0", OFFSET($A$1, 22 - 1, 97 - 1) = "1" ), 3, 4 ) ) )</f>
        <v>1</v>
      </c>
      <c r="CV22" s="24">
        <v>6.657739601334099E-3</v>
      </c>
      <c r="CW22" s="24" t="str">
        <f t="shared" si="2"/>
        <v>1</v>
      </c>
      <c r="CX22" t="str">
        <f ca="1">IF((OFFSET($A$1, 22 - 1, 100 - 1)) &gt;= (OFFSET($A$1, 78 - 1, 7 - 1)), "1","0")</f>
        <v>0</v>
      </c>
      <c r="CY22">
        <f ca="1" xml:space="preserve"> IF( AND( OFFSET($A$1, 22 - 1, 101 - 1) = "1", OFFSET($A$1, 22 - 1, 102 - 1) = "1" ), 1, IF( AND( OFFSET($A$1, 22 - 1, 101 - 1) = "1", OFFSET($A$1, 22 - 1, 102 - 1) = "0" ), 2, IF( AND( OFFSET($A$1, 22 - 1, 101 - 1) = "0", OFFSET($A$1, 22 - 1, 102 - 1) = "1" ), 3, 4 ) ) )</f>
        <v>2</v>
      </c>
    </row>
    <row r="23" spans="3:103" ht="15.6" x14ac:dyDescent="0.3">
      <c r="C23" s="59" t="s">
        <v>191</v>
      </c>
      <c r="D23" s="60"/>
      <c r="E23" s="60"/>
      <c r="F23" s="60"/>
      <c r="G23" s="60"/>
      <c r="H23" s="60"/>
      <c r="I23" s="60"/>
      <c r="J23" s="61"/>
      <c r="CQ23" s="24">
        <v>0.95583610803307062</v>
      </c>
      <c r="CR23" s="24" t="str">
        <f t="shared" si="1"/>
        <v>1</v>
      </c>
      <c r="CS23" t="str">
        <f ca="1">IF((OFFSET($A$1, 23 - 1, 95 - 1)) &gt;= (OFFSET($A$1, 54 - 1, 7 - 1)), "1","0")</f>
        <v>0</v>
      </c>
      <c r="CT23">
        <f ca="1" xml:space="preserve"> IF( AND( OFFSET($A$1, 23 - 1, 96 - 1) = "1", OFFSET($A$1, 23 - 1, 97 - 1) = "1" ), 1, IF( AND( OFFSET($A$1, 23 - 1, 96 - 1) = "1", OFFSET($A$1, 23 - 1, 97 - 1) = "0" ), 2, IF( AND( OFFSET($A$1, 23 - 1, 96 - 1) = "0", OFFSET($A$1, 23 - 1, 97 - 1) = "1" ), 3, 4 ) ) )</f>
        <v>2</v>
      </c>
      <c r="CV23" s="24">
        <v>0.88355381000056732</v>
      </c>
      <c r="CW23" s="24" t="str">
        <f t="shared" si="2"/>
        <v>1</v>
      </c>
      <c r="CX23" t="str">
        <f ca="1">IF((OFFSET($A$1, 23 - 1, 100 - 1)) &gt;= (OFFSET($A$1, 78 - 1, 7 - 1)), "1","0")</f>
        <v>0</v>
      </c>
      <c r="CY23">
        <f ca="1" xml:space="preserve"> IF( AND( OFFSET($A$1, 23 - 1, 101 - 1) = "1", OFFSET($A$1, 23 - 1, 102 - 1) = "1" ), 1, IF( AND( OFFSET($A$1, 23 - 1, 101 - 1) = "1", OFFSET($A$1, 23 - 1, 102 - 1) = "0" ), 2, IF( AND( OFFSET($A$1, 23 - 1, 101 - 1) = "0", OFFSET($A$1, 23 - 1, 102 - 1) = "1" ), 3, 4 ) ) )</f>
        <v>2</v>
      </c>
    </row>
    <row r="24" spans="3:103" ht="13.8" x14ac:dyDescent="0.3">
      <c r="C24" s="62" t="s">
        <v>192</v>
      </c>
      <c r="D24" s="63"/>
      <c r="E24" s="63"/>
      <c r="F24" s="64"/>
      <c r="G24" s="69" t="s">
        <v>193</v>
      </c>
      <c r="H24" s="70"/>
      <c r="I24" s="70"/>
      <c r="J24" s="71"/>
      <c r="CQ24" s="24">
        <v>0.88808819504519487</v>
      </c>
      <c r="CR24" s="24" t="str">
        <f t="shared" si="1"/>
        <v>1</v>
      </c>
      <c r="CS24" t="str">
        <f ca="1">IF((OFFSET($A$1, 24 - 1, 95 - 1)) &gt;= (OFFSET($A$1, 54 - 1, 7 - 1)), "1","0")</f>
        <v>0</v>
      </c>
      <c r="CT24">
        <f ca="1" xml:space="preserve"> IF( AND( OFFSET($A$1, 24 - 1, 96 - 1) = "1", OFFSET($A$1, 24 - 1, 97 - 1) = "1" ), 1, IF( AND( OFFSET($A$1, 24 - 1, 96 - 1) = "1", OFFSET($A$1, 24 - 1, 97 - 1) = "0" ), 2, IF( AND( OFFSET($A$1, 24 - 1, 96 - 1) = "0", OFFSET($A$1, 24 - 1, 97 - 1) = "1" ), 3, 4 ) ) )</f>
        <v>2</v>
      </c>
      <c r="CV24" s="24">
        <v>0.49696144936454562</v>
      </c>
      <c r="CW24" s="24" t="str">
        <f t="shared" si="2"/>
        <v>1</v>
      </c>
      <c r="CX24" t="str">
        <f ca="1">IF((OFFSET($A$1, 24 - 1, 100 - 1)) &gt;= (OFFSET($A$1, 78 - 1, 7 - 1)), "1","0")</f>
        <v>0</v>
      </c>
      <c r="CY24">
        <f ca="1" xml:space="preserve"> IF( AND( OFFSET($A$1, 24 - 1, 101 - 1) = "1", OFFSET($A$1, 24 - 1, 102 - 1) = "1" ), 1, IF( AND( OFFSET($A$1, 24 - 1, 101 - 1) = "1", OFFSET($A$1, 24 - 1, 102 - 1) = "0" ), 2, IF( AND( OFFSET($A$1, 24 - 1, 101 - 1) = "0", OFFSET($A$1, 24 - 1, 102 - 1) = "1" ), 3, 4 ) ) )</f>
        <v>2</v>
      </c>
    </row>
    <row r="25" spans="3:103" ht="13.8" x14ac:dyDescent="0.3">
      <c r="C25" s="62" t="s">
        <v>194</v>
      </c>
      <c r="D25" s="63"/>
      <c r="E25" s="63"/>
      <c r="F25" s="64"/>
      <c r="G25" s="69" t="s">
        <v>695</v>
      </c>
      <c r="H25" s="70"/>
      <c r="I25" s="70"/>
      <c r="J25" s="71"/>
      <c r="CQ25" s="24">
        <v>0.10427111303121427</v>
      </c>
      <c r="CR25" s="24" t="str">
        <f>"0"</f>
        <v>0</v>
      </c>
      <c r="CS25" t="str">
        <f ca="1">IF((OFFSET($A$1, 25 - 1, 95 - 1)) &gt;= (OFFSET($A$1, 54 - 1, 7 - 1)), "1","0")</f>
        <v>0</v>
      </c>
      <c r="CT25">
        <f ca="1" xml:space="preserve"> IF( AND( OFFSET($A$1, 25 - 1, 96 - 1) = "1", OFFSET($A$1, 25 - 1, 97 - 1) = "1" ), 1, IF( AND( OFFSET($A$1, 25 - 1, 96 - 1) = "1", OFFSET($A$1, 25 - 1, 97 - 1) = "0" ), 2, IF( AND( OFFSET($A$1, 25 - 1, 96 - 1) = "0", OFFSET($A$1, 25 - 1, 97 - 1) = "1" ), 3, 4 ) ) )</f>
        <v>4</v>
      </c>
      <c r="CV25" s="24">
        <v>3.9626926221060441E-2</v>
      </c>
      <c r="CW25" s="24" t="str">
        <f>"0"</f>
        <v>0</v>
      </c>
      <c r="CX25" t="str">
        <f ca="1">IF((OFFSET($A$1, 25 - 1, 100 - 1)) &gt;= (OFFSET($A$1, 78 - 1, 7 - 1)), "1","0")</f>
        <v>0</v>
      </c>
      <c r="CY25">
        <f ca="1" xml:space="preserve"> IF( AND( OFFSET($A$1, 25 - 1, 101 - 1) = "1", OFFSET($A$1, 25 - 1, 102 - 1) = "1" ), 1, IF( AND( OFFSET($A$1, 25 - 1, 101 - 1) = "1", OFFSET($A$1, 25 - 1, 102 - 1) = "0" ), 2, IF( AND( OFFSET($A$1, 25 - 1, 101 - 1) = "0", OFFSET($A$1, 25 - 1, 102 - 1) = "1" ), 3, 4 ) ) )</f>
        <v>4</v>
      </c>
    </row>
    <row r="26" spans="3:103" ht="13.8" x14ac:dyDescent="0.3">
      <c r="C26" s="62" t="s">
        <v>196</v>
      </c>
      <c r="D26" s="63"/>
      <c r="E26" s="63"/>
      <c r="F26" s="64"/>
      <c r="G26" s="69">
        <v>12345</v>
      </c>
      <c r="H26" s="70"/>
      <c r="I26" s="70"/>
      <c r="J26" s="71"/>
      <c r="CQ26" s="24">
        <v>0.99930203798884998</v>
      </c>
      <c r="CR26" s="24" t="str">
        <f>"1"</f>
        <v>1</v>
      </c>
      <c r="CS26" t="str">
        <f ca="1">IF((OFFSET($A$1, 26 - 1, 95 - 1)) &gt;= (OFFSET($A$1, 54 - 1, 7 - 1)), "1","0")</f>
        <v>1</v>
      </c>
      <c r="CT26">
        <f ca="1" xml:space="preserve"> IF( AND( OFFSET($A$1, 26 - 1, 96 - 1) = "1", OFFSET($A$1, 26 - 1, 97 - 1) = "1" ), 1, IF( AND( OFFSET($A$1, 26 - 1, 96 - 1) = "1", OFFSET($A$1, 26 - 1, 97 - 1) = "0" ), 2, IF( AND( OFFSET($A$1, 26 - 1, 96 - 1) = "0", OFFSET($A$1, 26 - 1, 97 - 1) = "1" ), 3, 4 ) ) )</f>
        <v>1</v>
      </c>
      <c r="CV26" s="24">
        <v>0.99556438609412445</v>
      </c>
      <c r="CW26" s="24" t="str">
        <f>"0"</f>
        <v>0</v>
      </c>
      <c r="CX26" t="str">
        <f ca="1">IF((OFFSET($A$1, 26 - 1, 100 - 1)) &gt;= (OFFSET($A$1, 78 - 1, 7 - 1)), "1","0")</f>
        <v>1</v>
      </c>
      <c r="CY26">
        <f ca="1" xml:space="preserve"> IF( AND( OFFSET($A$1, 26 - 1, 101 - 1) = "1", OFFSET($A$1, 26 - 1, 102 - 1) = "1" ), 1, IF( AND( OFFSET($A$1, 26 - 1, 101 - 1) = "1", OFFSET($A$1, 26 - 1, 102 - 1) = "0" ), 2, IF( AND( OFFSET($A$1, 26 - 1, 101 - 1) = "0", OFFSET($A$1, 26 - 1, 102 - 1) = "1" ), 3, 4 ) ) )</f>
        <v>3</v>
      </c>
    </row>
    <row r="27" spans="3:103" ht="13.8" x14ac:dyDescent="0.3">
      <c r="C27" s="62" t="s">
        <v>652</v>
      </c>
      <c r="D27" s="63"/>
      <c r="E27" s="63"/>
      <c r="F27" s="64"/>
      <c r="G27" s="69">
        <v>1</v>
      </c>
      <c r="H27" s="70"/>
      <c r="I27" s="70"/>
      <c r="J27" s="71"/>
      <c r="CQ27" s="24">
        <v>0.99158102147478766</v>
      </c>
      <c r="CR27" s="24" t="str">
        <f>"1"</f>
        <v>1</v>
      </c>
      <c r="CS27" t="str">
        <f ca="1">IF((OFFSET($A$1, 27 - 1, 95 - 1)) &gt;= (OFFSET($A$1, 54 - 1, 7 - 1)), "1","0")</f>
        <v>1</v>
      </c>
      <c r="CT27">
        <f ca="1" xml:space="preserve"> IF( AND( OFFSET($A$1, 27 - 1, 96 - 1) = "1", OFFSET($A$1, 27 - 1, 97 - 1) = "1" ), 1, IF( AND( OFFSET($A$1, 27 - 1, 96 - 1) = "1", OFFSET($A$1, 27 - 1, 97 - 1) = "0" ), 2, IF( AND( OFFSET($A$1, 27 - 1, 96 - 1) = "0", OFFSET($A$1, 27 - 1, 97 - 1) = "1" ), 3, 4 ) ) )</f>
        <v>1</v>
      </c>
      <c r="CV27" s="24">
        <v>0.99609914129365451</v>
      </c>
      <c r="CW27" s="24" t="str">
        <f>"1"</f>
        <v>1</v>
      </c>
      <c r="CX27" t="str">
        <f ca="1">IF((OFFSET($A$1, 27 - 1, 100 - 1)) &gt;= (OFFSET($A$1, 78 - 1, 7 - 1)), "1","0")</f>
        <v>1</v>
      </c>
      <c r="CY27">
        <f ca="1" xml:space="preserve"> IF( AND( OFFSET($A$1, 27 - 1, 101 - 1) = "1", OFFSET($A$1, 27 - 1, 102 - 1) = "1" ), 1, IF( AND( OFFSET($A$1, 27 - 1, 101 - 1) = "1", OFFSET($A$1, 27 - 1, 102 - 1) = "0" ), 2, IF( AND( OFFSET($A$1, 27 - 1, 101 - 1) = "0", OFFSET($A$1, 27 - 1, 102 - 1) = "1" ), 3, 4 ) ) )</f>
        <v>1</v>
      </c>
    </row>
    <row r="28" spans="3:103" ht="13.8" x14ac:dyDescent="0.3">
      <c r="C28" s="62" t="s">
        <v>696</v>
      </c>
      <c r="D28" s="63"/>
      <c r="E28" s="63"/>
      <c r="F28" s="64"/>
      <c r="G28" s="69">
        <v>13</v>
      </c>
      <c r="H28" s="70"/>
      <c r="I28" s="70"/>
      <c r="J28" s="71"/>
      <c r="CQ28" s="24">
        <v>0.99367765963708576</v>
      </c>
      <c r="CR28" s="24" t="str">
        <f>"1"</f>
        <v>1</v>
      </c>
      <c r="CS28" t="str">
        <f ca="1">IF((OFFSET($A$1, 28 - 1, 95 - 1)) &gt;= (OFFSET($A$1, 54 - 1, 7 - 1)), "1","0")</f>
        <v>1</v>
      </c>
      <c r="CT28">
        <f ca="1" xml:space="preserve"> IF( AND( OFFSET($A$1, 28 - 1, 96 - 1) = "1", OFFSET($A$1, 28 - 1, 97 - 1) = "1" ), 1, IF( AND( OFFSET($A$1, 28 - 1, 96 - 1) = "1", OFFSET($A$1, 28 - 1, 97 - 1) = "0" ), 2, IF( AND( OFFSET($A$1, 28 - 1, 96 - 1) = "0", OFFSET($A$1, 28 - 1, 97 - 1) = "1" ), 3, 4 ) ) )</f>
        <v>1</v>
      </c>
      <c r="CV28" s="24">
        <v>0.12327095428460627</v>
      </c>
      <c r="CW28" s="24" t="str">
        <f>"0"</f>
        <v>0</v>
      </c>
      <c r="CX28" t="str">
        <f ca="1">IF((OFFSET($A$1, 28 - 1, 100 - 1)) &gt;= (OFFSET($A$1, 78 - 1, 7 - 1)), "1","0")</f>
        <v>0</v>
      </c>
      <c r="CY28">
        <f ca="1" xml:space="preserve"> IF( AND( OFFSET($A$1, 28 - 1, 101 - 1) = "1", OFFSET($A$1, 28 - 1, 102 - 1) = "1" ), 1, IF( AND( OFFSET($A$1, 28 - 1, 101 - 1) = "1", OFFSET($A$1, 28 - 1, 102 - 1) = "0" ), 2, IF( AND( OFFSET($A$1, 28 - 1, 101 - 1) = "0", OFFSET($A$1, 28 - 1, 102 - 1) = "1" ), 3, 4 ) ) )</f>
        <v>4</v>
      </c>
    </row>
    <row r="29" spans="3:103" ht="13.8" x14ac:dyDescent="0.3">
      <c r="C29" s="62" t="s">
        <v>200</v>
      </c>
      <c r="D29" s="63"/>
      <c r="E29" s="63"/>
      <c r="F29" s="64"/>
      <c r="G29" s="69">
        <v>40</v>
      </c>
      <c r="H29" s="70"/>
      <c r="I29" s="70"/>
      <c r="J29" s="71"/>
      <c r="CQ29" s="24">
        <v>0.99987439304046988</v>
      </c>
      <c r="CR29" s="24" t="str">
        <f>"1"</f>
        <v>1</v>
      </c>
      <c r="CS29" t="str">
        <f ca="1">IF((OFFSET($A$1, 29 - 1, 95 - 1)) &gt;= (OFFSET($A$1, 54 - 1, 7 - 1)), "1","0")</f>
        <v>1</v>
      </c>
      <c r="CT29">
        <f ca="1" xml:space="preserve"> IF( AND( OFFSET($A$1, 29 - 1, 96 - 1) = "1", OFFSET($A$1, 29 - 1, 97 - 1) = "1" ), 1, IF( AND( OFFSET($A$1, 29 - 1, 96 - 1) = "1", OFFSET($A$1, 29 - 1, 97 - 1) = "0" ), 2, IF( AND( OFFSET($A$1, 29 - 1, 96 - 1) = "0", OFFSET($A$1, 29 - 1, 97 - 1) = "1" ), 3, 4 ) ) )</f>
        <v>1</v>
      </c>
      <c r="CV29" s="24">
        <v>0.99977980835304836</v>
      </c>
      <c r="CW29" s="24" t="str">
        <f>"1"</f>
        <v>1</v>
      </c>
      <c r="CX29" t="str">
        <f ca="1">IF((OFFSET($A$1, 29 - 1, 100 - 1)) &gt;= (OFFSET($A$1, 78 - 1, 7 - 1)), "1","0")</f>
        <v>1</v>
      </c>
      <c r="CY29">
        <f ca="1" xml:space="preserve"> IF( AND( OFFSET($A$1, 29 - 1, 101 - 1) = "1", OFFSET($A$1, 29 - 1, 102 - 1) = "1" ), 1, IF( AND( OFFSET($A$1, 29 - 1, 101 - 1) = "1", OFFSET($A$1, 29 - 1, 102 - 1) = "0" ), 2, IF( AND( OFFSET($A$1, 29 - 1, 101 - 1) = "0", OFFSET($A$1, 29 - 1, 102 - 1) = "1" ), 3, 4 ) ) )</f>
        <v>1</v>
      </c>
    </row>
    <row r="30" spans="3:103" ht="13.8" x14ac:dyDescent="0.3">
      <c r="C30" s="62" t="s">
        <v>201</v>
      </c>
      <c r="D30" s="63"/>
      <c r="E30" s="63"/>
      <c r="F30" s="64"/>
      <c r="G30" s="69">
        <v>0.1</v>
      </c>
      <c r="H30" s="70"/>
      <c r="I30" s="70"/>
      <c r="J30" s="71"/>
      <c r="CQ30" s="24">
        <v>0.86584384787064073</v>
      </c>
      <c r="CR30" s="24" t="str">
        <f>"1"</f>
        <v>1</v>
      </c>
      <c r="CS30" t="str">
        <f ca="1">IF((OFFSET($A$1, 30 - 1, 95 - 1)) &gt;= (OFFSET($A$1, 54 - 1, 7 - 1)), "1","0")</f>
        <v>0</v>
      </c>
      <c r="CT30">
        <f ca="1" xml:space="preserve"> IF( AND( OFFSET($A$1, 30 - 1, 96 - 1) = "1", OFFSET($A$1, 30 - 1, 97 - 1) = "1" ), 1, IF( AND( OFFSET($A$1, 30 - 1, 96 - 1) = "1", OFFSET($A$1, 30 - 1, 97 - 1) = "0" ), 2, IF( AND( OFFSET($A$1, 30 - 1, 96 - 1) = "0", OFFSET($A$1, 30 - 1, 97 - 1) = "1" ), 3, 4 ) ) )</f>
        <v>2</v>
      </c>
      <c r="CV30" s="24">
        <v>0.95837268994371139</v>
      </c>
      <c r="CW30" s="24" t="str">
        <f>"1"</f>
        <v>1</v>
      </c>
      <c r="CX30" t="str">
        <f ca="1">IF((OFFSET($A$1, 30 - 1, 100 - 1)) &gt;= (OFFSET($A$1, 78 - 1, 7 - 1)), "1","0")</f>
        <v>1</v>
      </c>
      <c r="CY30">
        <f ca="1" xml:space="preserve"> IF( AND( OFFSET($A$1, 30 - 1, 101 - 1) = "1", OFFSET($A$1, 30 - 1, 102 - 1) = "1" ), 1, IF( AND( OFFSET($A$1, 30 - 1, 101 - 1) = "1", OFFSET($A$1, 30 - 1, 102 - 1) = "0" ), 2, IF( AND( OFFSET($A$1, 30 - 1, 101 - 1) = "0", OFFSET($A$1, 30 - 1, 102 - 1) = "1" ), 3, 4 ) ) )</f>
        <v>1</v>
      </c>
    </row>
    <row r="31" spans="3:103" ht="13.8" x14ac:dyDescent="0.3">
      <c r="C31" s="62" t="s">
        <v>202</v>
      </c>
      <c r="D31" s="63"/>
      <c r="E31" s="63"/>
      <c r="F31" s="64"/>
      <c r="G31" s="69">
        <v>0.6</v>
      </c>
      <c r="H31" s="70"/>
      <c r="I31" s="70"/>
      <c r="J31" s="71"/>
      <c r="CQ31" s="24">
        <v>0.47419045549594785</v>
      </c>
      <c r="CR31" s="24" t="str">
        <f>"0"</f>
        <v>0</v>
      </c>
      <c r="CS31" t="str">
        <f ca="1">IF((OFFSET($A$1, 31 - 1, 95 - 1)) &gt;= (OFFSET($A$1, 54 - 1, 7 - 1)), "1","0")</f>
        <v>0</v>
      </c>
      <c r="CT31">
        <f ca="1" xml:space="preserve"> IF( AND( OFFSET($A$1, 31 - 1, 96 - 1) = "1", OFFSET($A$1, 31 - 1, 97 - 1) = "1" ), 1, IF( AND( OFFSET($A$1, 31 - 1, 96 - 1) = "1", OFFSET($A$1, 31 - 1, 97 - 1) = "0" ), 2, IF( AND( OFFSET($A$1, 31 - 1, 96 - 1) = "0", OFFSET($A$1, 31 - 1, 97 - 1) = "1" ), 3, 4 ) ) )</f>
        <v>4</v>
      </c>
      <c r="CV31" s="24">
        <v>0.8712733620558305</v>
      </c>
      <c r="CW31" s="24" t="str">
        <f>"0"</f>
        <v>0</v>
      </c>
      <c r="CX31" t="str">
        <f ca="1">IF((OFFSET($A$1, 31 - 1, 100 - 1)) &gt;= (OFFSET($A$1, 78 - 1, 7 - 1)), "1","0")</f>
        <v>0</v>
      </c>
      <c r="CY31">
        <f ca="1" xml:space="preserve"> IF( AND( OFFSET($A$1, 31 - 1, 101 - 1) = "1", OFFSET($A$1, 31 - 1, 102 - 1) = "1" ), 1, IF( AND( OFFSET($A$1, 31 - 1, 101 - 1) = "1", OFFSET($A$1, 31 - 1, 102 - 1) = "0" ), 2, IF( AND( OFFSET($A$1, 31 - 1, 101 - 1) = "0", OFFSET($A$1, 31 - 1, 102 - 1) = "1" ), 3, 4 ) ) )</f>
        <v>4</v>
      </c>
    </row>
    <row r="32" spans="3:103" ht="13.8" x14ac:dyDescent="0.3">
      <c r="C32" s="62" t="s">
        <v>203</v>
      </c>
      <c r="D32" s="63"/>
      <c r="E32" s="63"/>
      <c r="F32" s="64"/>
      <c r="G32" s="69">
        <v>0.01</v>
      </c>
      <c r="H32" s="70"/>
      <c r="I32" s="70"/>
      <c r="J32" s="71"/>
      <c r="CQ32" s="24">
        <v>0.87748412673470899</v>
      </c>
      <c r="CR32" s="24" t="str">
        <f>"1"</f>
        <v>1</v>
      </c>
      <c r="CS32" t="str">
        <f ca="1">IF((OFFSET($A$1, 32 - 1, 95 - 1)) &gt;= (OFFSET($A$1, 54 - 1, 7 - 1)), "1","0")</f>
        <v>0</v>
      </c>
      <c r="CT32">
        <f ca="1" xml:space="preserve"> IF( AND( OFFSET($A$1, 32 - 1, 96 - 1) = "1", OFFSET($A$1, 32 - 1, 97 - 1) = "1" ), 1, IF( AND( OFFSET($A$1, 32 - 1, 96 - 1) = "1", OFFSET($A$1, 32 - 1, 97 - 1) = "0" ), 2, IF( AND( OFFSET($A$1, 32 - 1, 96 - 1) = "0", OFFSET($A$1, 32 - 1, 97 - 1) = "1" ), 3, 4 ) ) )</f>
        <v>2</v>
      </c>
      <c r="CV32" s="24">
        <v>0.99997618533208732</v>
      </c>
      <c r="CW32" s="24" t="str">
        <f>"1"</f>
        <v>1</v>
      </c>
      <c r="CX32" t="str">
        <f ca="1">IF((OFFSET($A$1, 32 - 1, 100 - 1)) &gt;= (OFFSET($A$1, 78 - 1, 7 - 1)), "1","0")</f>
        <v>1</v>
      </c>
      <c r="CY32">
        <f ca="1" xml:space="preserve"> IF( AND( OFFSET($A$1, 32 - 1, 101 - 1) = "1", OFFSET($A$1, 32 - 1, 102 - 1) = "1" ), 1, IF( AND( OFFSET($A$1, 32 - 1, 101 - 1) = "1", OFFSET($A$1, 32 - 1, 102 - 1) = "0" ), 2, IF( AND( OFFSET($A$1, 32 - 1, 101 - 1) = "0", OFFSET($A$1, 32 - 1, 102 - 1) = "1" ), 3, 4 ) ) )</f>
        <v>1</v>
      </c>
    </row>
    <row r="33" spans="2:103" ht="13.8" x14ac:dyDescent="0.3">
      <c r="C33" s="62" t="s">
        <v>204</v>
      </c>
      <c r="D33" s="63"/>
      <c r="E33" s="63"/>
      <c r="F33" s="64"/>
      <c r="G33" s="69">
        <v>0</v>
      </c>
      <c r="H33" s="70"/>
      <c r="I33" s="70"/>
      <c r="J33" s="71"/>
      <c r="CQ33" s="24">
        <v>1.9396367543160743E-2</v>
      </c>
      <c r="CR33" s="24" t="str">
        <f>"0"</f>
        <v>0</v>
      </c>
      <c r="CS33" t="str">
        <f ca="1">IF((OFFSET($A$1, 33 - 1, 95 - 1)) &gt;= (OFFSET($A$1, 54 - 1, 7 - 1)), "1","0")</f>
        <v>0</v>
      </c>
      <c r="CT33">
        <f ca="1" xml:space="preserve"> IF( AND( OFFSET($A$1, 33 - 1, 96 - 1) = "1", OFFSET($A$1, 33 - 1, 97 - 1) = "1" ), 1, IF( AND( OFFSET($A$1, 33 - 1, 96 - 1) = "1", OFFSET($A$1, 33 - 1, 97 - 1) = "0" ), 2, IF( AND( OFFSET($A$1, 33 - 1, 96 - 1) = "0", OFFSET($A$1, 33 - 1, 97 - 1) = "1" ), 3, 4 ) ) )</f>
        <v>4</v>
      </c>
      <c r="CV33" s="24">
        <v>0.49504918502707046</v>
      </c>
      <c r="CW33" s="24" t="str">
        <f>"0"</f>
        <v>0</v>
      </c>
      <c r="CX33" t="str">
        <f ca="1">IF((OFFSET($A$1, 33 - 1, 100 - 1)) &gt;= (OFFSET($A$1, 78 - 1, 7 - 1)), "1","0")</f>
        <v>0</v>
      </c>
      <c r="CY33">
        <f ca="1" xml:space="preserve"> IF( AND( OFFSET($A$1, 33 - 1, 101 - 1) = "1", OFFSET($A$1, 33 - 1, 102 - 1) = "1" ), 1, IF( AND( OFFSET($A$1, 33 - 1, 101 - 1) = "1", OFFSET($A$1, 33 - 1, 102 - 1) = "0" ), 2, IF( AND( OFFSET($A$1, 33 - 1, 101 - 1) = "0", OFFSET($A$1, 33 - 1, 102 - 1) = "1" ), 3, 4 ) ) )</f>
        <v>4</v>
      </c>
    </row>
    <row r="34" spans="2:103" ht="13.8" x14ac:dyDescent="0.3">
      <c r="C34" s="62" t="s">
        <v>205</v>
      </c>
      <c r="D34" s="63"/>
      <c r="E34" s="63"/>
      <c r="F34" s="64"/>
      <c r="G34" s="69" t="s">
        <v>206</v>
      </c>
      <c r="H34" s="70"/>
      <c r="I34" s="70"/>
      <c r="J34" s="71"/>
      <c r="CQ34" s="24">
        <v>0.98934757425015563</v>
      </c>
      <c r="CR34" s="24" t="str">
        <f t="shared" ref="CR34:CR43" si="3">"1"</f>
        <v>1</v>
      </c>
      <c r="CS34" t="str">
        <f ca="1">IF((OFFSET($A$1, 34 - 1, 95 - 1)) &gt;= (OFFSET($A$1, 54 - 1, 7 - 1)), "1","0")</f>
        <v>1</v>
      </c>
      <c r="CT34">
        <f ca="1" xml:space="preserve"> IF( AND( OFFSET($A$1, 34 - 1, 96 - 1) = "1", OFFSET($A$1, 34 - 1, 97 - 1) = "1" ), 1, IF( AND( OFFSET($A$1, 34 - 1, 96 - 1) = "1", OFFSET($A$1, 34 - 1, 97 - 1) = "0" ), 2, IF( AND( OFFSET($A$1, 34 - 1, 96 - 1) = "0", OFFSET($A$1, 34 - 1, 97 - 1) = "1" ), 3, 4 ) ) )</f>
        <v>1</v>
      </c>
      <c r="CV34" s="24">
        <v>0.57958885348919564</v>
      </c>
      <c r="CW34" s="24" t="str">
        <f>"1"</f>
        <v>1</v>
      </c>
      <c r="CX34" t="str">
        <f ca="1">IF((OFFSET($A$1, 34 - 1, 100 - 1)) &gt;= (OFFSET($A$1, 78 - 1, 7 - 1)), "1","0")</f>
        <v>0</v>
      </c>
      <c r="CY34">
        <f ca="1" xml:space="preserve"> IF( AND( OFFSET($A$1, 34 - 1, 101 - 1) = "1", OFFSET($A$1, 34 - 1, 102 - 1) = "1" ), 1, IF( AND( OFFSET($A$1, 34 - 1, 101 - 1) = "1", OFFSET($A$1, 34 - 1, 102 - 1) = "0" ), 2, IF( AND( OFFSET($A$1, 34 - 1, 101 - 1) = "0", OFFSET($A$1, 34 - 1, 102 - 1) = "1" ), 3, 4 ) ) )</f>
        <v>2</v>
      </c>
    </row>
    <row r="35" spans="2:103" ht="13.8" x14ac:dyDescent="0.3">
      <c r="C35" s="62" t="s">
        <v>207</v>
      </c>
      <c r="D35" s="63"/>
      <c r="E35" s="63"/>
      <c r="F35" s="64"/>
      <c r="G35" s="69" t="s">
        <v>208</v>
      </c>
      <c r="H35" s="70"/>
      <c r="I35" s="70"/>
      <c r="J35" s="71"/>
      <c r="CQ35" s="24">
        <v>0.9999340357213522</v>
      </c>
      <c r="CR35" s="24" t="str">
        <f t="shared" si="3"/>
        <v>1</v>
      </c>
      <c r="CS35" t="str">
        <f ca="1">IF((OFFSET($A$1, 35 - 1, 95 - 1)) &gt;= (OFFSET($A$1, 54 - 1, 7 - 1)), "1","0")</f>
        <v>1</v>
      </c>
      <c r="CT35">
        <f ca="1" xml:space="preserve"> IF( AND( OFFSET($A$1, 35 - 1, 96 - 1) = "1", OFFSET($A$1, 35 - 1, 97 - 1) = "1" ), 1, IF( AND( OFFSET($A$1, 35 - 1, 96 - 1) = "1", OFFSET($A$1, 35 - 1, 97 - 1) = "0" ), 2, IF( AND( OFFSET($A$1, 35 - 1, 96 - 1) = "0", OFFSET($A$1, 35 - 1, 97 - 1) = "1" ), 3, 4 ) ) )</f>
        <v>1</v>
      </c>
      <c r="CV35" s="24">
        <v>0.99488838393192913</v>
      </c>
      <c r="CW35" s="24" t="str">
        <f>"1"</f>
        <v>1</v>
      </c>
      <c r="CX35" t="str">
        <f ca="1">IF((OFFSET($A$1, 35 - 1, 100 - 1)) &gt;= (OFFSET($A$1, 78 - 1, 7 - 1)), "1","0")</f>
        <v>1</v>
      </c>
      <c r="CY35">
        <f ca="1" xml:space="preserve"> IF( AND( OFFSET($A$1, 35 - 1, 101 - 1) = "1", OFFSET($A$1, 35 - 1, 102 - 1) = "1" ), 1, IF( AND( OFFSET($A$1, 35 - 1, 101 - 1) = "1", OFFSET($A$1, 35 - 1, 102 - 1) = "0" ), 2, IF( AND( OFFSET($A$1, 35 - 1, 101 - 1) = "0", OFFSET($A$1, 35 - 1, 102 - 1) = "1" ), 3, 4 ) ) )</f>
        <v>1</v>
      </c>
    </row>
    <row r="36" spans="2:103" ht="13.8" x14ac:dyDescent="0.3">
      <c r="C36" s="62" t="s">
        <v>209</v>
      </c>
      <c r="D36" s="63"/>
      <c r="E36" s="63"/>
      <c r="F36" s="64"/>
      <c r="G36" s="69" t="s">
        <v>208</v>
      </c>
      <c r="H36" s="70"/>
      <c r="I36" s="70"/>
      <c r="J36" s="71"/>
      <c r="CQ36" s="24">
        <v>0.87655420127126471</v>
      </c>
      <c r="CR36" s="24" t="str">
        <f t="shared" si="3"/>
        <v>1</v>
      </c>
      <c r="CS36" t="str">
        <f ca="1">IF((OFFSET($A$1, 36 - 1, 95 - 1)) &gt;= (OFFSET($A$1, 54 - 1, 7 - 1)), "1","0")</f>
        <v>0</v>
      </c>
      <c r="CT36">
        <f ca="1" xml:space="preserve"> IF( AND( OFFSET($A$1, 36 - 1, 96 - 1) = "1", OFFSET($A$1, 36 - 1, 97 - 1) = "1" ), 1, IF( AND( OFFSET($A$1, 36 - 1, 96 - 1) = "1", OFFSET($A$1, 36 - 1, 97 - 1) = "0" ), 2, IF( AND( OFFSET($A$1, 36 - 1, 96 - 1) = "0", OFFSET($A$1, 36 - 1, 97 - 1) = "1" ), 3, 4 ) ) )</f>
        <v>2</v>
      </c>
      <c r="CV36" s="24">
        <v>0.999658695321195</v>
      </c>
      <c r="CW36" s="24" t="str">
        <f>"1"</f>
        <v>1</v>
      </c>
      <c r="CX36" t="str">
        <f ca="1">IF((OFFSET($A$1, 36 - 1, 100 - 1)) &gt;= (OFFSET($A$1, 78 - 1, 7 - 1)), "1","0")</f>
        <v>1</v>
      </c>
      <c r="CY36">
        <f ca="1" xml:space="preserve"> IF( AND( OFFSET($A$1, 36 - 1, 101 - 1) = "1", OFFSET($A$1, 36 - 1, 102 - 1) = "1" ), 1, IF( AND( OFFSET($A$1, 36 - 1, 101 - 1) = "1", OFFSET($A$1, 36 - 1, 102 - 1) = "0" ), 2, IF( AND( OFFSET($A$1, 36 - 1, 101 - 1) = "0", OFFSET($A$1, 36 - 1, 102 - 1) = "1" ), 3, 4 ) ) )</f>
        <v>1</v>
      </c>
    </row>
    <row r="37" spans="2:103" ht="13.8" x14ac:dyDescent="0.3">
      <c r="CQ37" s="24">
        <v>0.99985987462542947</v>
      </c>
      <c r="CR37" s="24" t="str">
        <f t="shared" si="3"/>
        <v>1</v>
      </c>
      <c r="CS37" t="str">
        <f ca="1">IF((OFFSET($A$1, 37 - 1, 95 - 1)) &gt;= (OFFSET($A$1, 54 - 1, 7 - 1)), "1","0")</f>
        <v>1</v>
      </c>
      <c r="CT37">
        <f ca="1" xml:space="preserve"> IF( AND( OFFSET($A$1, 37 - 1, 96 - 1) = "1", OFFSET($A$1, 37 - 1, 97 - 1) = "1" ), 1, IF( AND( OFFSET($A$1, 37 - 1, 96 - 1) = "1", OFFSET($A$1, 37 - 1, 97 - 1) = "0" ), 2, IF( AND( OFFSET($A$1, 37 - 1, 96 - 1) = "0", OFFSET($A$1, 37 - 1, 97 - 1) = "1" ), 3, 4 ) ) )</f>
        <v>1</v>
      </c>
      <c r="CV37" s="24">
        <v>0.96604870112584873</v>
      </c>
      <c r="CW37" s="24" t="str">
        <f>"1"</f>
        <v>1</v>
      </c>
      <c r="CX37" t="str">
        <f ca="1">IF((OFFSET($A$1, 37 - 1, 100 - 1)) &gt;= (OFFSET($A$1, 78 - 1, 7 - 1)), "1","0")</f>
        <v>1</v>
      </c>
      <c r="CY37">
        <f ca="1" xml:space="preserve"> IF( AND( OFFSET($A$1, 37 - 1, 101 - 1) = "1", OFFSET($A$1, 37 - 1, 102 - 1) = "1" ), 1, IF( AND( OFFSET($A$1, 37 - 1, 101 - 1) = "1", OFFSET($A$1, 37 - 1, 102 - 1) = "0" ), 2, IF( AND( OFFSET($A$1, 37 - 1, 101 - 1) = "0", OFFSET($A$1, 37 - 1, 102 - 1) = "1" ), 3, 4 ) ) )</f>
        <v>1</v>
      </c>
    </row>
    <row r="38" spans="2:103" ht="15.6" x14ac:dyDescent="0.3">
      <c r="C38" s="59" t="s">
        <v>697</v>
      </c>
      <c r="D38" s="60"/>
      <c r="E38" s="60"/>
      <c r="F38" s="60"/>
      <c r="G38" s="61"/>
      <c r="CQ38" s="24">
        <v>0.97436920317527287</v>
      </c>
      <c r="CR38" s="24" t="str">
        <f t="shared" si="3"/>
        <v>1</v>
      </c>
      <c r="CS38" t="str">
        <f ca="1">IF((OFFSET($A$1, 38 - 1, 95 - 1)) &gt;= (OFFSET($A$1, 54 - 1, 7 - 1)), "1","0")</f>
        <v>1</v>
      </c>
      <c r="CT38">
        <f ca="1" xml:space="preserve"> IF( AND( OFFSET($A$1, 38 - 1, 96 - 1) = "1", OFFSET($A$1, 38 - 1, 97 - 1) = "1" ), 1, IF( AND( OFFSET($A$1, 38 - 1, 96 - 1) = "1", OFFSET($A$1, 38 - 1, 97 - 1) = "0" ), 2, IF( AND( OFFSET($A$1, 38 - 1, 96 - 1) = "0", OFFSET($A$1, 38 - 1, 97 - 1) = "1" ), 3, 4 ) ) )</f>
        <v>1</v>
      </c>
      <c r="CV38" s="24">
        <v>7.2331250444421513E-2</v>
      </c>
      <c r="CW38" s="24" t="str">
        <f>"0"</f>
        <v>0</v>
      </c>
      <c r="CX38" t="str">
        <f ca="1">IF((OFFSET($A$1, 38 - 1, 100 - 1)) &gt;= (OFFSET($A$1, 78 - 1, 7 - 1)), "1","0")</f>
        <v>0</v>
      </c>
      <c r="CY38">
        <f ca="1" xml:space="preserve"> IF( AND( OFFSET($A$1, 38 - 1, 101 - 1) = "1", OFFSET($A$1, 38 - 1, 102 - 1) = "1" ), 1, IF( AND( OFFSET($A$1, 38 - 1, 101 - 1) = "1", OFFSET($A$1, 38 - 1, 102 - 1) = "0" ), 2, IF( AND( OFFSET($A$1, 38 - 1, 101 - 1) = "0", OFFSET($A$1, 38 - 1, 102 - 1) = "1" ), 3, 4 ) ) )</f>
        <v>4</v>
      </c>
    </row>
    <row r="39" spans="2:103" ht="13.8" x14ac:dyDescent="0.3">
      <c r="C39" s="67" t="s">
        <v>698</v>
      </c>
      <c r="D39" s="68"/>
      <c r="E39" s="68"/>
      <c r="F39" s="68"/>
      <c r="G39" s="66"/>
      <c r="CQ39" s="24">
        <v>0.8420512462943045</v>
      </c>
      <c r="CR39" s="24" t="str">
        <f t="shared" si="3"/>
        <v>1</v>
      </c>
      <c r="CS39" t="str">
        <f ca="1">IF((OFFSET($A$1, 39 - 1, 95 - 1)) &gt;= (OFFSET($A$1, 54 - 1, 7 - 1)), "1","0")</f>
        <v>0</v>
      </c>
      <c r="CT39">
        <f ca="1" xml:space="preserve"> IF( AND( OFFSET($A$1, 39 - 1, 96 - 1) = "1", OFFSET($A$1, 39 - 1, 97 - 1) = "1" ), 1, IF( AND( OFFSET($A$1, 39 - 1, 96 - 1) = "1", OFFSET($A$1, 39 - 1, 97 - 1) = "0" ), 2, IF( AND( OFFSET($A$1, 39 - 1, 96 - 1) = "0", OFFSET($A$1, 39 - 1, 97 - 1) = "1" ), 3, 4 ) ) )</f>
        <v>2</v>
      </c>
      <c r="CV39" s="24">
        <v>0.99993657221764531</v>
      </c>
      <c r="CW39" s="24" t="str">
        <f>"1"</f>
        <v>1</v>
      </c>
      <c r="CX39" t="str">
        <f ca="1">IF((OFFSET($A$1, 39 - 1, 100 - 1)) &gt;= (OFFSET($A$1, 78 - 1, 7 - 1)), "1","0")</f>
        <v>1</v>
      </c>
      <c r="CY39">
        <f ca="1" xml:space="preserve"> IF( AND( OFFSET($A$1, 39 - 1, 101 - 1) = "1", OFFSET($A$1, 39 - 1, 102 - 1) = "1" ), 1, IF( AND( OFFSET($A$1, 39 - 1, 101 - 1) = "1", OFFSET($A$1, 39 - 1, 102 - 1) = "0" ), 2, IF( AND( OFFSET($A$1, 39 - 1, 101 - 1) = "0", OFFSET($A$1, 39 - 1, 102 - 1) = "1" ), 3, 4 ) ) )</f>
        <v>1</v>
      </c>
    </row>
    <row r="40" spans="2:103" ht="13.8" x14ac:dyDescent="0.3">
      <c r="C40" s="67" t="s">
        <v>700</v>
      </c>
      <c r="D40" s="68"/>
      <c r="E40" s="68"/>
      <c r="F40" s="68"/>
      <c r="G40" s="66"/>
      <c r="CQ40" s="24">
        <v>0.90547860836785976</v>
      </c>
      <c r="CR40" s="24" t="str">
        <f t="shared" si="3"/>
        <v>1</v>
      </c>
      <c r="CS40" t="str">
        <f ca="1">IF((OFFSET($A$1, 40 - 1, 95 - 1)) &gt;= (OFFSET($A$1, 54 - 1, 7 - 1)), "1","0")</f>
        <v>0</v>
      </c>
      <c r="CT40">
        <f ca="1" xml:space="preserve"> IF( AND( OFFSET($A$1, 40 - 1, 96 - 1) = "1", OFFSET($A$1, 40 - 1, 97 - 1) = "1" ), 1, IF( AND( OFFSET($A$1, 40 - 1, 96 - 1) = "1", OFFSET($A$1, 40 - 1, 97 - 1) = "0" ), 2, IF( AND( OFFSET($A$1, 40 - 1, 96 - 1) = "0", OFFSET($A$1, 40 - 1, 97 - 1) = "1" ), 3, 4 ) ) )</f>
        <v>2</v>
      </c>
      <c r="CV40" s="24">
        <v>0.66557654319397519</v>
      </c>
      <c r="CW40" s="24" t="str">
        <f>"1"</f>
        <v>1</v>
      </c>
      <c r="CX40" t="str">
        <f ca="1">IF((OFFSET($A$1, 40 - 1, 100 - 1)) &gt;= (OFFSET($A$1, 78 - 1, 7 - 1)), "1","0")</f>
        <v>0</v>
      </c>
      <c r="CY40">
        <f ca="1" xml:space="preserve"> IF( AND( OFFSET($A$1, 40 - 1, 101 - 1) = "1", OFFSET($A$1, 40 - 1, 102 - 1) = "1" ), 1, IF( AND( OFFSET($A$1, 40 - 1, 101 - 1) = "1", OFFSET($A$1, 40 - 1, 102 - 1) = "0" ), 2, IF( AND( OFFSET($A$1, 40 - 1, 101 - 1) = "0", OFFSET($A$1, 40 - 1, 102 - 1) = "1" ), 3, 4 ) ) )</f>
        <v>2</v>
      </c>
    </row>
    <row r="41" spans="2:103" ht="13.8" x14ac:dyDescent="0.3">
      <c r="CQ41" s="24">
        <v>0.93152465477415614</v>
      </c>
      <c r="CR41" s="24" t="str">
        <f t="shared" si="3"/>
        <v>1</v>
      </c>
      <c r="CS41" t="str">
        <f ca="1">IF((OFFSET($A$1, 41 - 1, 95 - 1)) &gt;= (OFFSET($A$1, 54 - 1, 7 - 1)), "1","0")</f>
        <v>0</v>
      </c>
      <c r="CT41">
        <f ca="1" xml:space="preserve"> IF( AND( OFFSET($A$1, 41 - 1, 96 - 1) = "1", OFFSET($A$1, 41 - 1, 97 - 1) = "1" ), 1, IF( AND( OFFSET($A$1, 41 - 1, 96 - 1) = "1", OFFSET($A$1, 41 - 1, 97 - 1) = "0" ), 2, IF( AND( OFFSET($A$1, 41 - 1, 96 - 1) = "0", OFFSET($A$1, 41 - 1, 97 - 1) = "1" ), 3, 4 ) ) )</f>
        <v>2</v>
      </c>
      <c r="CV41" s="24">
        <v>0.74637904834044744</v>
      </c>
      <c r="CW41" s="24" t="str">
        <f>"1"</f>
        <v>1</v>
      </c>
      <c r="CX41" t="str">
        <f ca="1">IF((OFFSET($A$1, 41 - 1, 100 - 1)) &gt;= (OFFSET($A$1, 78 - 1, 7 - 1)), "1","0")</f>
        <v>0</v>
      </c>
      <c r="CY41">
        <f ca="1" xml:space="preserve"> IF( AND( OFFSET($A$1, 41 - 1, 101 - 1) = "1", OFFSET($A$1, 41 - 1, 102 - 1) = "1" ), 1, IF( AND( OFFSET($A$1, 41 - 1, 101 - 1) = "1", OFFSET($A$1, 41 - 1, 102 - 1) = "0" ), 2, IF( AND( OFFSET($A$1, 41 - 1, 101 - 1) = "0", OFFSET($A$1, 41 - 1, 102 - 1) = "1" ), 3, 4 ) ) )</f>
        <v>2</v>
      </c>
    </row>
    <row r="42" spans="2:103" ht="13.8" x14ac:dyDescent="0.3">
      <c r="CQ42" s="24">
        <v>0.98111201056041542</v>
      </c>
      <c r="CR42" s="24" t="str">
        <f t="shared" si="3"/>
        <v>1</v>
      </c>
      <c r="CS42" t="str">
        <f ca="1">IF((OFFSET($A$1, 42 - 1, 95 - 1)) &gt;= (OFFSET($A$1, 54 - 1, 7 - 1)), "1","0")</f>
        <v>1</v>
      </c>
      <c r="CT42">
        <f ca="1" xml:space="preserve"> IF( AND( OFFSET($A$1, 42 - 1, 96 - 1) = "1", OFFSET($A$1, 42 - 1, 97 - 1) = "1" ), 1, IF( AND( OFFSET($A$1, 42 - 1, 96 - 1) = "1", OFFSET($A$1, 42 - 1, 97 - 1) = "0" ), 2, IF( AND( OFFSET($A$1, 42 - 1, 96 - 1) = "0", OFFSET($A$1, 42 - 1, 97 - 1) = "1" ), 3, 4 ) ) )</f>
        <v>1</v>
      </c>
      <c r="CV42" s="24">
        <v>0.91260443704539207</v>
      </c>
      <c r="CW42" s="24" t="str">
        <f>"1"</f>
        <v>1</v>
      </c>
      <c r="CX42" t="str">
        <f ca="1">IF((OFFSET($A$1, 42 - 1, 100 - 1)) &gt;= (OFFSET($A$1, 78 - 1, 7 - 1)), "1","0")</f>
        <v>1</v>
      </c>
      <c r="CY42">
        <f ca="1" xml:space="preserve"> IF( AND( OFFSET($A$1, 42 - 1, 101 - 1) = "1", OFFSET($A$1, 42 - 1, 102 - 1) = "1" ), 1, IF( AND( OFFSET($A$1, 42 - 1, 101 - 1) = "1", OFFSET($A$1, 42 - 1, 102 - 1) = "0" ), 2, IF( AND( OFFSET($A$1, 42 - 1, 101 - 1) = "0", OFFSET($A$1, 42 - 1, 102 - 1) = "1" ), 3, 4 ) ) )</f>
        <v>1</v>
      </c>
    </row>
    <row r="43" spans="2:103" ht="18" x14ac:dyDescent="0.35">
      <c r="B43" s="22" t="s">
        <v>702</v>
      </c>
      <c r="CQ43" s="24">
        <v>0.837574250910883</v>
      </c>
      <c r="CR43" s="24" t="str">
        <f t="shared" si="3"/>
        <v>1</v>
      </c>
      <c r="CS43" t="str">
        <f ca="1">IF((OFFSET($A$1, 43 - 1, 95 - 1)) &gt;= (OFFSET($A$1, 54 - 1, 7 - 1)), "1","0")</f>
        <v>0</v>
      </c>
      <c r="CT43">
        <f ca="1" xml:space="preserve"> IF( AND( OFFSET($A$1, 43 - 1, 96 - 1) = "1", OFFSET($A$1, 43 - 1, 97 - 1) = "1" ), 1, IF( AND( OFFSET($A$1, 43 - 1, 96 - 1) = "1", OFFSET($A$1, 43 - 1, 97 - 1) = "0" ), 2, IF( AND( OFFSET($A$1, 43 - 1, 96 - 1) = "0", OFFSET($A$1, 43 - 1, 97 - 1) = "1" ), 3, 4 ) ) )</f>
        <v>2</v>
      </c>
      <c r="CV43" s="24">
        <v>6.4270962679718359E-3</v>
      </c>
      <c r="CW43" s="24" t="str">
        <f>"0"</f>
        <v>0</v>
      </c>
      <c r="CX43" t="str">
        <f ca="1">IF((OFFSET($A$1, 43 - 1, 100 - 1)) &gt;= (OFFSET($A$1, 78 - 1, 7 - 1)), "1","0")</f>
        <v>0</v>
      </c>
      <c r="CY43">
        <f ca="1" xml:space="preserve"> IF( AND( OFFSET($A$1, 43 - 1, 101 - 1) = "1", OFFSET($A$1, 43 - 1, 102 - 1) = "1" ), 1, IF( AND( OFFSET($A$1, 43 - 1, 101 - 1) = "1", OFFSET($A$1, 43 - 1, 102 - 1) = "0" ), 2, IF( AND( OFFSET($A$1, 43 - 1, 101 - 1) = "0", OFFSET($A$1, 43 - 1, 102 - 1) = "1" ), 3, 4 ) ) )</f>
        <v>4</v>
      </c>
    </row>
    <row r="44" spans="2:103" ht="13.8" x14ac:dyDescent="0.3">
      <c r="CQ44" s="24">
        <v>0.9927019916308647</v>
      </c>
      <c r="CR44" s="24" t="str">
        <f>"0"</f>
        <v>0</v>
      </c>
      <c r="CS44" t="str">
        <f ca="1">IF((OFFSET($A$1, 44 - 1, 95 - 1)) &gt;= (OFFSET($A$1, 54 - 1, 7 - 1)), "1","0")</f>
        <v>1</v>
      </c>
      <c r="CT44">
        <f ca="1" xml:space="preserve"> IF( AND( OFFSET($A$1, 44 - 1, 96 - 1) = "1", OFFSET($A$1, 44 - 1, 97 - 1) = "1" ), 1, IF( AND( OFFSET($A$1, 44 - 1, 96 - 1) = "1", OFFSET($A$1, 44 - 1, 97 - 1) = "0" ), 2, IF( AND( OFFSET($A$1, 44 - 1, 96 - 1) = "0", OFFSET($A$1, 44 - 1, 97 - 1) = "1" ), 3, 4 ) ) )</f>
        <v>3</v>
      </c>
      <c r="CV44" s="24">
        <v>7.9070846021940575E-2</v>
      </c>
      <c r="CW44" s="24" t="str">
        <f>"1"</f>
        <v>1</v>
      </c>
      <c r="CX44" t="str">
        <f ca="1">IF((OFFSET($A$1, 44 - 1, 100 - 1)) &gt;= (OFFSET($A$1, 78 - 1, 7 - 1)), "1","0")</f>
        <v>0</v>
      </c>
      <c r="CY44">
        <f ca="1" xml:space="preserve"> IF( AND( OFFSET($A$1, 44 - 1, 101 - 1) = "1", OFFSET($A$1, 44 - 1, 102 - 1) = "1" ), 1, IF( AND( OFFSET($A$1, 44 - 1, 101 - 1) = "1", OFFSET($A$1, 44 - 1, 102 - 1) = "0" ), 2, IF( AND( OFFSET($A$1, 44 - 1, 101 - 1) = "0", OFFSET($A$1, 44 - 1, 102 - 1) = "1" ), 3, 4 ) ) )</f>
        <v>2</v>
      </c>
    </row>
    <row r="45" spans="2:103" ht="13.8" x14ac:dyDescent="0.3">
      <c r="C45" s="67" t="s">
        <v>703</v>
      </c>
      <c r="D45" s="68"/>
      <c r="E45" s="68"/>
      <c r="F45" s="68"/>
      <c r="G45" s="66"/>
      <c r="CQ45" s="24">
        <v>0.99925803484351172</v>
      </c>
      <c r="CR45" s="24" t="str">
        <f>"1"</f>
        <v>1</v>
      </c>
      <c r="CS45" t="str">
        <f ca="1">IF((OFFSET($A$1, 45 - 1, 95 - 1)) &gt;= (OFFSET($A$1, 54 - 1, 7 - 1)), "1","0")</f>
        <v>1</v>
      </c>
      <c r="CT45">
        <f ca="1" xml:space="preserve"> IF( AND( OFFSET($A$1, 45 - 1, 96 - 1) = "1", OFFSET($A$1, 45 - 1, 97 - 1) = "1" ), 1, IF( AND( OFFSET($A$1, 45 - 1, 96 - 1) = "1", OFFSET($A$1, 45 - 1, 97 - 1) = "0" ), 2, IF( AND( OFFSET($A$1, 45 - 1, 96 - 1) = "0", OFFSET($A$1, 45 - 1, 97 - 1) = "1" ), 3, 4 ) ) )</f>
        <v>1</v>
      </c>
      <c r="CV45" s="24">
        <v>0.99810600769266367</v>
      </c>
      <c r="CW45" s="24" t="str">
        <f>"1"</f>
        <v>1</v>
      </c>
      <c r="CX45" t="str">
        <f ca="1">IF((OFFSET($A$1, 45 - 1, 100 - 1)) &gt;= (OFFSET($A$1, 78 - 1, 7 - 1)), "1","0")</f>
        <v>1</v>
      </c>
      <c r="CY45">
        <f ca="1" xml:space="preserve"> IF( AND( OFFSET($A$1, 45 - 1, 101 - 1) = "1", OFFSET($A$1, 45 - 1, 102 - 1) = "1" ), 1, IF( AND( OFFSET($A$1, 45 - 1, 101 - 1) = "1", OFFSET($A$1, 45 - 1, 102 - 1) = "0" ), 2, IF( AND( OFFSET($A$1, 45 - 1, 101 - 1) = "0", OFFSET($A$1, 45 - 1, 102 - 1) = "1" ), 3, 4 ) ) )</f>
        <v>1</v>
      </c>
    </row>
    <row r="46" spans="2:103" ht="13.8" x14ac:dyDescent="0.3">
      <c r="CQ46" s="24">
        <v>0.88356068001277921</v>
      </c>
      <c r="CR46" s="24" t="str">
        <f>"1"</f>
        <v>1</v>
      </c>
      <c r="CS46" t="str">
        <f ca="1">IF((OFFSET($A$1, 46 - 1, 95 - 1)) &gt;= (OFFSET($A$1, 54 - 1, 7 - 1)), "1","0")</f>
        <v>0</v>
      </c>
      <c r="CT46">
        <f ca="1" xml:space="preserve"> IF( AND( OFFSET($A$1, 46 - 1, 96 - 1) = "1", OFFSET($A$1, 46 - 1, 97 - 1) = "1" ), 1, IF( AND( OFFSET($A$1, 46 - 1, 96 - 1) = "1", OFFSET($A$1, 46 - 1, 97 - 1) = "0" ), 2, IF( AND( OFFSET($A$1, 46 - 1, 96 - 1) = "0", OFFSET($A$1, 46 - 1, 97 - 1) = "1" ), 3, 4 ) ) )</f>
        <v>2</v>
      </c>
      <c r="CV46" s="24">
        <v>0.84536873284365166</v>
      </c>
      <c r="CW46" s="24" t="str">
        <f>"0"</f>
        <v>0</v>
      </c>
      <c r="CX46" t="str">
        <f ca="1">IF((OFFSET($A$1, 46 - 1, 100 - 1)) &gt;= (OFFSET($A$1, 78 - 1, 7 - 1)), "1","0")</f>
        <v>0</v>
      </c>
      <c r="CY46">
        <f ca="1" xml:space="preserve"> IF( AND( OFFSET($A$1, 46 - 1, 101 - 1) = "1", OFFSET($A$1, 46 - 1, 102 - 1) = "1" ), 1, IF( AND( OFFSET($A$1, 46 - 1, 101 - 1) = "1", OFFSET($A$1, 46 - 1, 102 - 1) = "0" ), 2, IF( AND( OFFSET($A$1, 46 - 1, 101 - 1) = "0", OFFSET($A$1, 46 - 1, 102 - 1) = "1" ), 3, 4 ) ) )</f>
        <v>4</v>
      </c>
    </row>
    <row r="47" spans="2:103" ht="13.8" x14ac:dyDescent="0.3">
      <c r="C47" s="26" t="s">
        <v>332</v>
      </c>
      <c r="D47" s="26" t="s">
        <v>704</v>
      </c>
      <c r="CQ47" s="24">
        <v>0.91538375295236274</v>
      </c>
      <c r="CR47" s="24" t="str">
        <f>"1"</f>
        <v>1</v>
      </c>
      <c r="CS47" t="str">
        <f ca="1">IF((OFFSET($A$1, 47 - 1, 95 - 1)) &gt;= (OFFSET($A$1, 54 - 1, 7 - 1)), "1","0")</f>
        <v>0</v>
      </c>
      <c r="CT47">
        <f ca="1" xml:space="preserve"> IF( AND( OFFSET($A$1, 47 - 1, 96 - 1) = "1", OFFSET($A$1, 47 - 1, 97 - 1) = "1" ), 1, IF( AND( OFFSET($A$1, 47 - 1, 96 - 1) = "1", OFFSET($A$1, 47 - 1, 97 - 1) = "0" ), 2, IF( AND( OFFSET($A$1, 47 - 1, 96 - 1) = "0", OFFSET($A$1, 47 - 1, 97 - 1) = "1" ), 3, 4 ) ) )</f>
        <v>2</v>
      </c>
      <c r="CV47" s="24">
        <v>8.5396326283121521E-2</v>
      </c>
      <c r="CW47" s="24" t="str">
        <f>"0"</f>
        <v>0</v>
      </c>
      <c r="CX47" t="str">
        <f ca="1">IF((OFFSET($A$1, 47 - 1, 100 - 1)) &gt;= (OFFSET($A$1, 78 - 1, 7 - 1)), "1","0")</f>
        <v>0</v>
      </c>
      <c r="CY47">
        <f ca="1" xml:space="preserve"> IF( AND( OFFSET($A$1, 47 - 1, 101 - 1) = "1", OFFSET($A$1, 47 - 1, 102 - 1) = "1" ), 1, IF( AND( OFFSET($A$1, 47 - 1, 101 - 1) = "1", OFFSET($A$1, 47 - 1, 102 - 1) = "0" ), 2, IF( AND( OFFSET($A$1, 47 - 1, 101 - 1) = "0", OFFSET($A$1, 47 - 1, 102 - 1) = "1" ), 3, 4 ) ) )</f>
        <v>4</v>
      </c>
    </row>
    <row r="48" spans="2:103" ht="13.8" x14ac:dyDescent="0.3">
      <c r="C48" s="25">
        <v>0</v>
      </c>
      <c r="D48" s="24">
        <v>0.28500000000000003</v>
      </c>
      <c r="CQ48" s="24">
        <v>4.8053649173359018E-2</v>
      </c>
      <c r="CR48" s="24" t="str">
        <f>"0"</f>
        <v>0</v>
      </c>
      <c r="CS48" t="str">
        <f ca="1">IF((OFFSET($A$1, 48 - 1, 95 - 1)) &gt;= (OFFSET($A$1, 54 - 1, 7 - 1)), "1","0")</f>
        <v>0</v>
      </c>
      <c r="CT48">
        <f ca="1" xml:space="preserve"> IF( AND( OFFSET($A$1, 48 - 1, 96 - 1) = "1", OFFSET($A$1, 48 - 1, 97 - 1) = "1" ), 1, IF( AND( OFFSET($A$1, 48 - 1, 96 - 1) = "1", OFFSET($A$1, 48 - 1, 97 - 1) = "0" ), 2, IF( AND( OFFSET($A$1, 48 - 1, 96 - 1) = "0", OFFSET($A$1, 48 - 1, 97 - 1) = "1" ), 3, 4 ) ) )</f>
        <v>4</v>
      </c>
      <c r="CV48" s="24">
        <v>0.98944952420293952</v>
      </c>
      <c r="CW48" s="24" t="str">
        <f>"1"</f>
        <v>1</v>
      </c>
      <c r="CX48" t="str">
        <f ca="1">IF((OFFSET($A$1, 48 - 1, 100 - 1)) &gt;= (OFFSET($A$1, 78 - 1, 7 - 1)), "1","0")</f>
        <v>1</v>
      </c>
      <c r="CY48">
        <f ca="1" xml:space="preserve"> IF( AND( OFFSET($A$1, 48 - 1, 101 - 1) = "1", OFFSET($A$1, 48 - 1, 102 - 1) = "1" ), 1, IF( AND( OFFSET($A$1, 48 - 1, 101 - 1) = "1", OFFSET($A$1, 48 - 1, 102 - 1) = "0" ), 2, IF( AND( OFFSET($A$1, 48 - 1, 101 - 1) = "0", OFFSET($A$1, 48 - 1, 102 - 1) = "1" ), 3, 4 ) ) )</f>
        <v>1</v>
      </c>
    </row>
    <row r="49" spans="2:103" ht="13.8" x14ac:dyDescent="0.3">
      <c r="C49" s="25">
        <v>1</v>
      </c>
      <c r="D49" s="24">
        <v>0.71500000000000008</v>
      </c>
      <c r="CQ49" s="24">
        <v>0.94618972495552034</v>
      </c>
      <c r="CR49" s="24" t="str">
        <f t="shared" ref="CR49:CR55" si="4">"1"</f>
        <v>1</v>
      </c>
      <c r="CS49" t="str">
        <f ca="1">IF((OFFSET($A$1, 49 - 1, 95 - 1)) &gt;= (OFFSET($A$1, 54 - 1, 7 - 1)), "1","0")</f>
        <v>0</v>
      </c>
      <c r="CT49">
        <f ca="1" xml:space="preserve"> IF( AND( OFFSET($A$1, 49 - 1, 96 - 1) = "1", OFFSET($A$1, 49 - 1, 97 - 1) = "1" ), 1, IF( AND( OFFSET($A$1, 49 - 1, 96 - 1) = "1", OFFSET($A$1, 49 - 1, 97 - 1) = "0" ), 2, IF( AND( OFFSET($A$1, 49 - 1, 96 - 1) = "0", OFFSET($A$1, 49 - 1, 97 - 1) = "1" ), 3, 4 ) ) )</f>
        <v>2</v>
      </c>
      <c r="CV49" s="24">
        <v>0.99950041820075819</v>
      </c>
      <c r="CW49" s="24" t="str">
        <f>"1"</f>
        <v>1</v>
      </c>
      <c r="CX49" t="str">
        <f ca="1">IF((OFFSET($A$1, 49 - 1, 100 - 1)) &gt;= (OFFSET($A$1, 78 - 1, 7 - 1)), "1","0")</f>
        <v>1</v>
      </c>
      <c r="CY49">
        <f ca="1" xml:space="preserve"> IF( AND( OFFSET($A$1, 49 - 1, 101 - 1) = "1", OFFSET($A$1, 49 - 1, 102 - 1) = "1" ), 1, IF( AND( OFFSET($A$1, 49 - 1, 101 - 1) = "1", OFFSET($A$1, 49 - 1, 102 - 1) = "0" ), 2, IF( AND( OFFSET($A$1, 49 - 1, 101 - 1) = "0", OFFSET($A$1, 49 - 1, 102 - 1) = "1" ), 3, 4 ) ) )</f>
        <v>1</v>
      </c>
    </row>
    <row r="50" spans="2:103" ht="13.8" x14ac:dyDescent="0.3">
      <c r="CQ50" s="24">
        <v>0.99965797463065109</v>
      </c>
      <c r="CR50" s="24" t="str">
        <f t="shared" si="4"/>
        <v>1</v>
      </c>
      <c r="CS50" t="str">
        <f ca="1">IF((OFFSET($A$1, 50 - 1, 95 - 1)) &gt;= (OFFSET($A$1, 54 - 1, 7 - 1)), "1","0")</f>
        <v>1</v>
      </c>
      <c r="CT50">
        <f ca="1" xml:space="preserve"> IF( AND( OFFSET($A$1, 50 - 1, 96 - 1) = "1", OFFSET($A$1, 50 - 1, 97 - 1) = "1" ), 1, IF( AND( OFFSET($A$1, 50 - 1, 96 - 1) = "1", OFFSET($A$1, 50 - 1, 97 - 1) = "0" ), 2, IF( AND( OFFSET($A$1, 50 - 1, 96 - 1) = "0", OFFSET($A$1, 50 - 1, 97 - 1) = "1" ), 3, 4 ) ) )</f>
        <v>1</v>
      </c>
      <c r="CV50" s="24">
        <v>0.78146758022522433</v>
      </c>
      <c r="CW50" s="24" t="str">
        <f>"0"</f>
        <v>0</v>
      </c>
      <c r="CX50" t="str">
        <f ca="1">IF((OFFSET($A$1, 50 - 1, 100 - 1)) &gt;= (OFFSET($A$1, 78 - 1, 7 - 1)), "1","0")</f>
        <v>0</v>
      </c>
      <c r="CY50">
        <f ca="1" xml:space="preserve"> IF( AND( OFFSET($A$1, 50 - 1, 101 - 1) = "1", OFFSET($A$1, 50 - 1, 102 - 1) = "1" ), 1, IF( AND( OFFSET($A$1, 50 - 1, 101 - 1) = "1", OFFSET($A$1, 50 - 1, 102 - 1) = "0" ), 2, IF( AND( OFFSET($A$1, 50 - 1, 101 - 1) = "0", OFFSET($A$1, 50 - 1, 102 - 1) = "1" ), 3, 4 ) ) )</f>
        <v>4</v>
      </c>
    </row>
    <row r="51" spans="2:103" ht="13.8" x14ac:dyDescent="0.3">
      <c r="CQ51" s="24">
        <v>0.95267661572273266</v>
      </c>
      <c r="CR51" s="24" t="str">
        <f t="shared" si="4"/>
        <v>1</v>
      </c>
      <c r="CS51" t="str">
        <f ca="1">IF((OFFSET($A$1, 51 - 1, 95 - 1)) &gt;= (OFFSET($A$1, 54 - 1, 7 - 1)), "1","0")</f>
        <v>0</v>
      </c>
      <c r="CT51">
        <f ca="1" xml:space="preserve"> IF( AND( OFFSET($A$1, 51 - 1, 96 - 1) = "1", OFFSET($A$1, 51 - 1, 97 - 1) = "1" ), 1, IF( AND( OFFSET($A$1, 51 - 1, 96 - 1) = "1", OFFSET($A$1, 51 - 1, 97 - 1) = "0" ), 2, IF( AND( OFFSET($A$1, 51 - 1, 96 - 1) = "0", OFFSET($A$1, 51 - 1, 97 - 1) = "1" ), 3, 4 ) ) )</f>
        <v>2</v>
      </c>
      <c r="CV51" s="24">
        <v>0.85913296920419124</v>
      </c>
      <c r="CW51" s="24" t="str">
        <f>"1"</f>
        <v>1</v>
      </c>
      <c r="CX51" t="str">
        <f ca="1">IF((OFFSET($A$1, 51 - 1, 100 - 1)) &gt;= (OFFSET($A$1, 78 - 1, 7 - 1)), "1","0")</f>
        <v>0</v>
      </c>
      <c r="CY51">
        <f ca="1" xml:space="preserve"> IF( AND( OFFSET($A$1, 51 - 1, 101 - 1) = "1", OFFSET($A$1, 51 - 1, 102 - 1) = "1" ), 1, IF( AND( OFFSET($A$1, 51 - 1, 101 - 1) = "1", OFFSET($A$1, 51 - 1, 102 - 1) = "0" ), 2, IF( AND( OFFSET($A$1, 51 - 1, 101 - 1) = "0", OFFSET($A$1, 51 - 1, 102 - 1) = "1" ), 3, 4 ) ) )</f>
        <v>2</v>
      </c>
    </row>
    <row r="52" spans="2:103" ht="18" x14ac:dyDescent="0.35">
      <c r="B52" s="22" t="s">
        <v>705</v>
      </c>
      <c r="CQ52" s="24">
        <v>0.99848592621460763</v>
      </c>
      <c r="CR52" s="24" t="str">
        <f t="shared" si="4"/>
        <v>1</v>
      </c>
      <c r="CS52" t="str">
        <f ca="1">IF((OFFSET($A$1, 52 - 1, 95 - 1)) &gt;= (OFFSET($A$1, 54 - 1, 7 - 1)), "1","0")</f>
        <v>1</v>
      </c>
      <c r="CT52">
        <f ca="1" xml:space="preserve"> IF( AND( OFFSET($A$1, 52 - 1, 96 - 1) = "1", OFFSET($A$1, 52 - 1, 97 - 1) = "1" ), 1, IF( AND( OFFSET($A$1, 52 - 1, 96 - 1) = "1", OFFSET($A$1, 52 - 1, 97 - 1) = "0" ), 2, IF( AND( OFFSET($A$1, 52 - 1, 96 - 1) = "0", OFFSET($A$1, 52 - 1, 97 - 1) = "1" ), 3, 4 ) ) )</f>
        <v>1</v>
      </c>
      <c r="CV52" s="24">
        <v>0.99834543246738161</v>
      </c>
      <c r="CW52" s="24" t="str">
        <f>"0"</f>
        <v>0</v>
      </c>
      <c r="CX52" t="str">
        <f ca="1">IF((OFFSET($A$1, 52 - 1, 100 - 1)) &gt;= (OFFSET($A$1, 78 - 1, 7 - 1)), "1","0")</f>
        <v>1</v>
      </c>
      <c r="CY52">
        <f ca="1" xml:space="preserve"> IF( AND( OFFSET($A$1, 52 - 1, 101 - 1) = "1", OFFSET($A$1, 52 - 1, 102 - 1) = "1" ), 1, IF( AND( OFFSET($A$1, 52 - 1, 101 - 1) = "1", OFFSET($A$1, 52 - 1, 102 - 1) = "0" ), 2, IF( AND( OFFSET($A$1, 52 - 1, 101 - 1) = "0", OFFSET($A$1, 52 - 1, 102 - 1) = "1" ), 3, 4 ) ) )</f>
        <v>3</v>
      </c>
    </row>
    <row r="53" spans="2:103" ht="13.8" x14ac:dyDescent="0.3">
      <c r="CQ53" s="24">
        <v>0.97422883806673422</v>
      </c>
      <c r="CR53" s="24" t="str">
        <f t="shared" si="4"/>
        <v>1</v>
      </c>
      <c r="CS53" t="str">
        <f ca="1">IF((OFFSET($A$1, 53 - 1, 95 - 1)) &gt;= (OFFSET($A$1, 54 - 1, 7 - 1)), "1","0")</f>
        <v>1</v>
      </c>
      <c r="CT53">
        <f ca="1" xml:space="preserve"> IF( AND( OFFSET($A$1, 53 - 1, 96 - 1) = "1", OFFSET($A$1, 53 - 1, 97 - 1) = "1" ), 1, IF( AND( OFFSET($A$1, 53 - 1, 96 - 1) = "1", OFFSET($A$1, 53 - 1, 97 - 1) = "0" ), 2, IF( AND( OFFSET($A$1, 53 - 1, 96 - 1) = "0", OFFSET($A$1, 53 - 1, 97 - 1) = "1" ), 3, 4 ) ) )</f>
        <v>1</v>
      </c>
      <c r="CV53" s="24">
        <v>0.9786989856514533</v>
      </c>
      <c r="CW53" s="24" t="str">
        <f>"0"</f>
        <v>0</v>
      </c>
      <c r="CX53" t="str">
        <f ca="1">IF((OFFSET($A$1, 53 - 1, 100 - 1)) &gt;= (OFFSET($A$1, 78 - 1, 7 - 1)), "1","0")</f>
        <v>1</v>
      </c>
      <c r="CY53">
        <f ca="1" xml:space="preserve"> IF( AND( OFFSET($A$1, 53 - 1, 101 - 1) = "1", OFFSET($A$1, 53 - 1, 102 - 1) = "1" ), 1, IF( AND( OFFSET($A$1, 53 - 1, 101 - 1) = "1", OFFSET($A$1, 53 - 1, 102 - 1) = "0" ), 2, IF( AND( OFFSET($A$1, 53 - 1, 101 - 1) = "0", OFFSET($A$1, 53 - 1, 102 - 1) = "1" ), 3, 4 ) ) )</f>
        <v>3</v>
      </c>
    </row>
    <row r="54" spans="2:103" ht="13.8" x14ac:dyDescent="0.3">
      <c r="C54" s="72" t="s">
        <v>706</v>
      </c>
      <c r="D54" s="73"/>
      <c r="E54" s="73"/>
      <c r="F54" s="74"/>
      <c r="G54" s="35">
        <v>0.96289999999999998</v>
      </c>
      <c r="H54" s="72" t="s">
        <v>707</v>
      </c>
      <c r="I54" s="73"/>
      <c r="J54" s="73"/>
      <c r="K54" s="73"/>
      <c r="L54" s="73"/>
      <c r="M54" s="74"/>
      <c r="CQ54" s="24">
        <v>0.93589092138823982</v>
      </c>
      <c r="CR54" s="24" t="str">
        <f t="shared" si="4"/>
        <v>1</v>
      </c>
      <c r="CS54" t="str">
        <f ca="1">IF((OFFSET($A$1, 54 - 1, 95 - 1)) &gt;= (OFFSET($A$1, 54 - 1, 7 - 1)), "1","0")</f>
        <v>0</v>
      </c>
      <c r="CT54">
        <f ca="1" xml:space="preserve"> IF( AND( OFFSET($A$1, 54 - 1, 96 - 1) = "1", OFFSET($A$1, 54 - 1, 97 - 1) = "1" ), 1, IF( AND( OFFSET($A$1, 54 - 1, 96 - 1) = "1", OFFSET($A$1, 54 - 1, 97 - 1) = "0" ), 2, IF( AND( OFFSET($A$1, 54 - 1, 96 - 1) = "0", OFFSET($A$1, 54 - 1, 97 - 1) = "1" ), 3, 4 ) ) )</f>
        <v>2</v>
      </c>
      <c r="CV54" s="24">
        <v>0.94976434020214118</v>
      </c>
      <c r="CW54" s="24" t="str">
        <f>"1"</f>
        <v>1</v>
      </c>
      <c r="CX54" t="str">
        <f ca="1">IF((OFFSET($A$1, 54 - 1, 100 - 1)) &gt;= (OFFSET($A$1, 78 - 1, 7 - 1)), "1","0")</f>
        <v>1</v>
      </c>
      <c r="CY54">
        <f ca="1" xml:space="preserve"> IF( AND( OFFSET($A$1, 54 - 1, 101 - 1) = "1", OFFSET($A$1, 54 - 1, 102 - 1) = "1" ), 1, IF( AND( OFFSET($A$1, 54 - 1, 101 - 1) = "1", OFFSET($A$1, 54 - 1, 102 - 1) = "0" ), 2, IF( AND( OFFSET($A$1, 54 - 1, 101 - 1) = "0", OFFSET($A$1, 54 - 1, 102 - 1) = "1" ), 3, 4 ) ) )</f>
        <v>1</v>
      </c>
    </row>
    <row r="55" spans="2:103" ht="13.8" x14ac:dyDescent="0.3">
      <c r="CQ55" s="24">
        <v>0.89791644992165831</v>
      </c>
      <c r="CR55" s="24" t="str">
        <f t="shared" si="4"/>
        <v>1</v>
      </c>
      <c r="CS55" t="str">
        <f ca="1">IF((OFFSET($A$1, 55 - 1, 95 - 1)) &gt;= (OFFSET($A$1, 54 - 1, 7 - 1)), "1","0")</f>
        <v>0</v>
      </c>
      <c r="CT55">
        <f ca="1" xml:space="preserve"> IF( AND( OFFSET($A$1, 55 - 1, 96 - 1) = "1", OFFSET($A$1, 55 - 1, 97 - 1) = "1" ), 1, IF( AND( OFFSET($A$1, 55 - 1, 96 - 1) = "1", OFFSET($A$1, 55 - 1, 97 - 1) = "0" ), 2, IF( AND( OFFSET($A$1, 55 - 1, 96 - 1) = "0", OFFSET($A$1, 55 - 1, 97 - 1) = "1" ), 3, 4 ) ) )</f>
        <v>2</v>
      </c>
      <c r="CV55" s="24">
        <v>0.77719770941571376</v>
      </c>
      <c r="CW55" s="24" t="str">
        <f>"0"</f>
        <v>0</v>
      </c>
      <c r="CX55" t="str">
        <f ca="1">IF((OFFSET($A$1, 55 - 1, 100 - 1)) &gt;= (OFFSET($A$1, 78 - 1, 7 - 1)), "1","0")</f>
        <v>0</v>
      </c>
      <c r="CY55">
        <f ca="1" xml:space="preserve"> IF( AND( OFFSET($A$1, 55 - 1, 101 - 1) = "1", OFFSET($A$1, 55 - 1, 102 - 1) = "1" ), 1, IF( AND( OFFSET($A$1, 55 - 1, 101 - 1) = "1", OFFSET($A$1, 55 - 1, 102 - 1) = "0" ), 2, IF( AND( OFFSET($A$1, 55 - 1, 101 - 1) = "0", OFFSET($A$1, 55 - 1, 102 - 1) = "1" ), 3, 4 ) ) )</f>
        <v>4</v>
      </c>
    </row>
    <row r="56" spans="2:103" ht="15.6" x14ac:dyDescent="0.3">
      <c r="C56" s="59" t="s">
        <v>329</v>
      </c>
      <c r="D56" s="60"/>
      <c r="E56" s="61"/>
      <c r="CQ56" s="24">
        <v>9.4146394547702822E-2</v>
      </c>
      <c r="CR56" s="24" t="str">
        <f>"0"</f>
        <v>0</v>
      </c>
      <c r="CS56" t="str">
        <f ca="1">IF((OFFSET($A$1, 56 - 1, 95 - 1)) &gt;= (OFFSET($A$1, 54 - 1, 7 - 1)), "1","0")</f>
        <v>0</v>
      </c>
      <c r="CT56">
        <f ca="1" xml:space="preserve"> IF( AND( OFFSET($A$1, 56 - 1, 96 - 1) = "1", OFFSET($A$1, 56 - 1, 97 - 1) = "1" ), 1, IF( AND( OFFSET($A$1, 56 - 1, 96 - 1) = "1", OFFSET($A$1, 56 - 1, 97 - 1) = "0" ), 2, IF( AND( OFFSET($A$1, 56 - 1, 96 - 1) = "0", OFFSET($A$1, 56 - 1, 97 - 1) = "1" ), 3, 4 ) ) )</f>
        <v>4</v>
      </c>
      <c r="CV56" s="24">
        <v>0.99573940662171523</v>
      </c>
      <c r="CW56" s="24" t="str">
        <f>"0"</f>
        <v>0</v>
      </c>
      <c r="CX56" t="str">
        <f ca="1">IF((OFFSET($A$1, 56 - 1, 100 - 1)) &gt;= (OFFSET($A$1, 78 - 1, 7 - 1)), "1","0")</f>
        <v>1</v>
      </c>
      <c r="CY56">
        <f ca="1" xml:space="preserve"> IF( AND( OFFSET($A$1, 56 - 1, 101 - 1) = "1", OFFSET($A$1, 56 - 1, 102 - 1) = "1" ), 1, IF( AND( OFFSET($A$1, 56 - 1, 101 - 1) = "1", OFFSET($A$1, 56 - 1, 102 - 1) = "0" ), 2, IF( AND( OFFSET($A$1, 56 - 1, 101 - 1) = "0", OFFSET($A$1, 56 - 1, 102 - 1) = "1" ), 3, 4 ) ) )</f>
        <v>3</v>
      </c>
    </row>
    <row r="57" spans="2:103" ht="13.8" x14ac:dyDescent="0.3">
      <c r="C57" s="26"/>
      <c r="D57" s="75" t="s">
        <v>330</v>
      </c>
      <c r="E57" s="76"/>
      <c r="CQ57" s="24">
        <v>7.2213957386275646E-2</v>
      </c>
      <c r="CR57" s="24" t="str">
        <f>"0"</f>
        <v>0</v>
      </c>
      <c r="CS57" t="str">
        <f ca="1">IF((OFFSET($A$1, 57 - 1, 95 - 1)) &gt;= (OFFSET($A$1, 54 - 1, 7 - 1)), "1","0")</f>
        <v>0</v>
      </c>
      <c r="CT57">
        <f ca="1" xml:space="preserve"> IF( AND( OFFSET($A$1, 57 - 1, 96 - 1) = "1", OFFSET($A$1, 57 - 1, 97 - 1) = "1" ), 1, IF( AND( OFFSET($A$1, 57 - 1, 96 - 1) = "1", OFFSET($A$1, 57 - 1, 97 - 1) = "0" ), 2, IF( AND( OFFSET($A$1, 57 - 1, 96 - 1) = "0", OFFSET($A$1, 57 - 1, 97 - 1) = "1" ), 3, 4 ) ) )</f>
        <v>4</v>
      </c>
      <c r="CV57" s="24">
        <v>0.42519192716909637</v>
      </c>
      <c r="CW57" s="24" t="str">
        <f>"0"</f>
        <v>0</v>
      </c>
      <c r="CX57" t="str">
        <f ca="1">IF((OFFSET($A$1, 57 - 1, 100 - 1)) &gt;= (OFFSET($A$1, 78 - 1, 7 - 1)), "1","0")</f>
        <v>0</v>
      </c>
      <c r="CY57">
        <f ca="1" xml:space="preserve"> IF( AND( OFFSET($A$1, 57 - 1, 101 - 1) = "1", OFFSET($A$1, 57 - 1, 102 - 1) = "1" ), 1, IF( AND( OFFSET($A$1, 57 - 1, 101 - 1) = "1", OFFSET($A$1, 57 - 1, 102 - 1) = "0" ), 2, IF( AND( OFFSET($A$1, 57 - 1, 101 - 1) = "0", OFFSET($A$1, 57 - 1, 102 - 1) = "1" ), 3, 4 ) ) )</f>
        <v>4</v>
      </c>
    </row>
    <row r="58" spans="2:103" ht="13.8" x14ac:dyDescent="0.3">
      <c r="C58" s="25" t="s">
        <v>331</v>
      </c>
      <c r="D58" s="26">
        <v>1</v>
      </c>
      <c r="E58" s="26">
        <v>0</v>
      </c>
      <c r="CQ58" s="24">
        <v>0.83137922195749625</v>
      </c>
      <c r="CR58" s="24" t="str">
        <f>"1"</f>
        <v>1</v>
      </c>
      <c r="CS58" t="str">
        <f ca="1">IF((OFFSET($A$1, 58 - 1, 95 - 1)) &gt;= (OFFSET($A$1, 54 - 1, 7 - 1)), "1","0")</f>
        <v>0</v>
      </c>
      <c r="CT58">
        <f ca="1" xml:space="preserve"> IF( AND( OFFSET($A$1, 58 - 1, 96 - 1) = "1", OFFSET($A$1, 58 - 1, 97 - 1) = "1" ), 1, IF( AND( OFFSET($A$1, 58 - 1, 96 - 1) = "1", OFFSET($A$1, 58 - 1, 97 - 1) = "0" ), 2, IF( AND( OFFSET($A$1, 58 - 1, 96 - 1) = "0", OFFSET($A$1, 58 - 1, 97 - 1) = "1" ), 3, 4 ) ) )</f>
        <v>2</v>
      </c>
      <c r="CV58" s="24">
        <v>0.9990312860158107</v>
      </c>
      <c r="CW58" s="24" t="str">
        <f>"1"</f>
        <v>1</v>
      </c>
      <c r="CX58" t="str">
        <f ca="1">IF((OFFSET($A$1, 58 - 1, 100 - 1)) &gt;= (OFFSET($A$1, 78 - 1, 7 - 1)), "1","0")</f>
        <v>1</v>
      </c>
      <c r="CY58">
        <f ca="1" xml:space="preserve"> IF( AND( OFFSET($A$1, 58 - 1, 101 - 1) = "1", OFFSET($A$1, 58 - 1, 102 - 1) = "1" ), 1, IF( AND( OFFSET($A$1, 58 - 1, 101 - 1) = "1", OFFSET($A$1, 58 - 1, 102 - 1) = "0" ), 2, IF( AND( OFFSET($A$1, 58 - 1, 101 - 1) = "0", OFFSET($A$1, 58 - 1, 102 - 1) = "1" ), 3, 4 ) ) )</f>
        <v>1</v>
      </c>
    </row>
    <row r="59" spans="2:103" ht="13.8" x14ac:dyDescent="0.3">
      <c r="C59" s="25">
        <v>1</v>
      </c>
      <c r="D59" s="24">
        <f ca="1" xml:space="preserve"> COUNTIF( OFFSET($A$1, 1 - 1, 98 - 1, 601, 1), 1 )</f>
        <v>224</v>
      </c>
      <c r="E59" s="24">
        <f ca="1" xml:space="preserve"> COUNTIF( OFFSET($A$1, 1 - 1, 98 - 1, 601, 1), 2 )</f>
        <v>205</v>
      </c>
      <c r="CQ59" s="24">
        <v>0.97621979839167417</v>
      </c>
      <c r="CR59" s="24" t="str">
        <f>"1"</f>
        <v>1</v>
      </c>
      <c r="CS59" t="str">
        <f ca="1">IF((OFFSET($A$1, 59 - 1, 95 - 1)) &gt;= (OFFSET($A$1, 54 - 1, 7 - 1)), "1","0")</f>
        <v>1</v>
      </c>
      <c r="CT59">
        <f ca="1" xml:space="preserve"> IF( AND( OFFSET($A$1, 59 - 1, 96 - 1) = "1", OFFSET($A$1, 59 - 1, 97 - 1) = "1" ), 1, IF( AND( OFFSET($A$1, 59 - 1, 96 - 1) = "1", OFFSET($A$1, 59 - 1, 97 - 1) = "0" ), 2, IF( AND( OFFSET($A$1, 59 - 1, 96 - 1) = "0", OFFSET($A$1, 59 - 1, 97 - 1) = "1" ), 3, 4 ) ) )</f>
        <v>1</v>
      </c>
      <c r="CV59" s="24">
        <v>0.97675394773085011</v>
      </c>
      <c r="CW59" s="24" t="str">
        <f>"1"</f>
        <v>1</v>
      </c>
      <c r="CX59" t="str">
        <f ca="1">IF((OFFSET($A$1, 59 - 1, 100 - 1)) &gt;= (OFFSET($A$1, 78 - 1, 7 - 1)), "1","0")</f>
        <v>1</v>
      </c>
      <c r="CY59">
        <f ca="1" xml:space="preserve"> IF( AND( OFFSET($A$1, 59 - 1, 101 - 1) = "1", OFFSET($A$1, 59 - 1, 102 - 1) = "1" ), 1, IF( AND( OFFSET($A$1, 59 - 1, 101 - 1) = "1", OFFSET($A$1, 59 - 1, 102 - 1) = "0" ), 2, IF( AND( OFFSET($A$1, 59 - 1, 101 - 1) = "0", OFFSET($A$1, 59 - 1, 102 - 1) = "1" ), 3, 4 ) ) )</f>
        <v>1</v>
      </c>
    </row>
    <row r="60" spans="2:103" ht="13.8" x14ac:dyDescent="0.3">
      <c r="C60" s="25">
        <v>0</v>
      </c>
      <c r="D60" s="24">
        <f ca="1" xml:space="preserve"> COUNTIF( OFFSET($A$1, 1 - 1, 98 - 1, 601, 1), 3 )</f>
        <v>7</v>
      </c>
      <c r="E60" s="24">
        <f ca="1" xml:space="preserve"> COUNTIF( OFFSET($A$1, 1 - 1, 98 - 1, 601, 1), 4 )</f>
        <v>164</v>
      </c>
      <c r="CQ60" s="24">
        <v>0.99773959402613188</v>
      </c>
      <c r="CR60" s="24" t="str">
        <f>"1"</f>
        <v>1</v>
      </c>
      <c r="CS60" t="str">
        <f ca="1">IF((OFFSET($A$1, 60 - 1, 95 - 1)) &gt;= (OFFSET($A$1, 54 - 1, 7 - 1)), "1","0")</f>
        <v>1</v>
      </c>
      <c r="CT60">
        <f ca="1" xml:space="preserve"> IF( AND( OFFSET($A$1, 60 - 1, 96 - 1) = "1", OFFSET($A$1, 60 - 1, 97 - 1) = "1" ), 1, IF( AND( OFFSET($A$1, 60 - 1, 96 - 1) = "1", OFFSET($A$1, 60 - 1, 97 - 1) = "0" ), 2, IF( AND( OFFSET($A$1, 60 - 1, 96 - 1) = "0", OFFSET($A$1, 60 - 1, 97 - 1) = "1" ), 3, 4 ) ) )</f>
        <v>1</v>
      </c>
      <c r="CV60" s="24">
        <v>4.181049223984149E-3</v>
      </c>
      <c r="CW60" s="24" t="str">
        <f>"0"</f>
        <v>0</v>
      </c>
      <c r="CX60" t="str">
        <f ca="1">IF((OFFSET($A$1, 60 - 1, 100 - 1)) &gt;= (OFFSET($A$1, 78 - 1, 7 - 1)), "1","0")</f>
        <v>0</v>
      </c>
      <c r="CY60">
        <f ca="1" xml:space="preserve"> IF( AND( OFFSET($A$1, 60 - 1, 101 - 1) = "1", OFFSET($A$1, 60 - 1, 102 - 1) = "1" ), 1, IF( AND( OFFSET($A$1, 60 - 1, 101 - 1) = "1", OFFSET($A$1, 60 - 1, 102 - 1) = "0" ), 2, IF( AND( OFFSET($A$1, 60 - 1, 101 - 1) = "0", OFFSET($A$1, 60 - 1, 102 - 1) = "1" ), 3, 4 ) ) )</f>
        <v>4</v>
      </c>
    </row>
    <row r="61" spans="2:103" ht="13.8" x14ac:dyDescent="0.3">
      <c r="CQ61" s="24">
        <v>0.89355795858796516</v>
      </c>
      <c r="CR61" s="24" t="str">
        <f>"1"</f>
        <v>1</v>
      </c>
      <c r="CS61" t="str">
        <f ca="1">IF((OFFSET($A$1, 61 - 1, 95 - 1)) &gt;= (OFFSET($A$1, 54 - 1, 7 - 1)), "1","0")</f>
        <v>0</v>
      </c>
      <c r="CT61">
        <f ca="1" xml:space="preserve"> IF( AND( OFFSET($A$1, 61 - 1, 96 - 1) = "1", OFFSET($A$1, 61 - 1, 97 - 1) = "1" ), 1, IF( AND( OFFSET($A$1, 61 - 1, 96 - 1) = "1", OFFSET($A$1, 61 - 1, 97 - 1) = "0" ), 2, IF( AND( OFFSET($A$1, 61 - 1, 96 - 1) = "0", OFFSET($A$1, 61 - 1, 97 - 1) = "1" ), 3, 4 ) ) )</f>
        <v>2</v>
      </c>
      <c r="CV61" s="24">
        <v>0.96318279931768591</v>
      </c>
      <c r="CW61" s="24" t="str">
        <f>"0"</f>
        <v>0</v>
      </c>
      <c r="CX61" t="str">
        <f ca="1">IF((OFFSET($A$1, 61 - 1, 100 - 1)) &gt;= (OFFSET($A$1, 78 - 1, 7 - 1)), "1","0")</f>
        <v>1</v>
      </c>
      <c r="CY61">
        <f ca="1" xml:space="preserve"> IF( AND( OFFSET($A$1, 61 - 1, 101 - 1) = "1", OFFSET($A$1, 61 - 1, 102 - 1) = "1" ), 1, IF( AND( OFFSET($A$1, 61 - 1, 101 - 1) = "1", OFFSET($A$1, 61 - 1, 102 - 1) = "0" ), 2, IF( AND( OFFSET($A$1, 61 - 1, 101 - 1) = "0", OFFSET($A$1, 61 - 1, 102 - 1) = "1" ), 3, 4 ) ) )</f>
        <v>3</v>
      </c>
    </row>
    <row r="62" spans="2:103" ht="15.6" x14ac:dyDescent="0.3">
      <c r="C62" s="59" t="s">
        <v>210</v>
      </c>
      <c r="D62" s="60"/>
      <c r="E62" s="60"/>
      <c r="F62" s="61"/>
      <c r="CQ62" s="24">
        <v>0.91373069377037586</v>
      </c>
      <c r="CR62" s="24" t="str">
        <f>"1"</f>
        <v>1</v>
      </c>
      <c r="CS62" t="str">
        <f ca="1">IF((OFFSET($A$1, 62 - 1, 95 - 1)) &gt;= (OFFSET($A$1, 54 - 1, 7 - 1)), "1","0")</f>
        <v>0</v>
      </c>
      <c r="CT62">
        <f ca="1" xml:space="preserve"> IF( AND( OFFSET($A$1, 62 - 1, 96 - 1) = "1", OFFSET($A$1, 62 - 1, 97 - 1) = "1" ), 1, IF( AND( OFFSET($A$1, 62 - 1, 96 - 1) = "1", OFFSET($A$1, 62 - 1, 97 - 1) = "0" ), 2, IF( AND( OFFSET($A$1, 62 - 1, 96 - 1) = "0", OFFSET($A$1, 62 - 1, 97 - 1) = "1" ), 3, 4 ) ) )</f>
        <v>2</v>
      </c>
      <c r="CV62" s="24">
        <v>0.63568145707525781</v>
      </c>
      <c r="CW62" s="24" t="str">
        <f>"1"</f>
        <v>1</v>
      </c>
      <c r="CX62" t="str">
        <f ca="1">IF((OFFSET($A$1, 62 - 1, 100 - 1)) &gt;= (OFFSET($A$1, 78 - 1, 7 - 1)), "1","0")</f>
        <v>0</v>
      </c>
      <c r="CY62">
        <f ca="1" xml:space="preserve"> IF( AND( OFFSET($A$1, 62 - 1, 101 - 1) = "1", OFFSET($A$1, 62 - 1, 102 - 1) = "1" ), 1, IF( AND( OFFSET($A$1, 62 - 1, 101 - 1) = "1", OFFSET($A$1, 62 - 1, 102 - 1) = "0" ), 2, IF( AND( OFFSET($A$1, 62 - 1, 101 - 1) = "0", OFFSET($A$1, 62 - 1, 102 - 1) = "1" ), 3, 4 ) ) )</f>
        <v>2</v>
      </c>
    </row>
    <row r="63" spans="2:103" ht="13.8" x14ac:dyDescent="0.3">
      <c r="C63" s="26" t="s">
        <v>332</v>
      </c>
      <c r="D63" s="26" t="s">
        <v>333</v>
      </c>
      <c r="E63" s="26" t="s">
        <v>334</v>
      </c>
      <c r="F63" s="26" t="s">
        <v>335</v>
      </c>
      <c r="CQ63" s="24">
        <v>9.17777012976526E-2</v>
      </c>
      <c r="CR63" s="24" t="str">
        <f>"0"</f>
        <v>0</v>
      </c>
      <c r="CS63" t="str">
        <f ca="1">IF((OFFSET($A$1, 63 - 1, 95 - 1)) &gt;= (OFFSET($A$1, 54 - 1, 7 - 1)), "1","0")</f>
        <v>0</v>
      </c>
      <c r="CT63">
        <f ca="1" xml:space="preserve"> IF( AND( OFFSET($A$1, 63 - 1, 96 - 1) = "1", OFFSET($A$1, 63 - 1, 97 - 1) = "1" ), 1, IF( AND( OFFSET($A$1, 63 - 1, 96 - 1) = "1", OFFSET($A$1, 63 - 1, 97 - 1) = "0" ), 2, IF( AND( OFFSET($A$1, 63 - 1, 96 - 1) = "0", OFFSET($A$1, 63 - 1, 97 - 1) = "1" ), 3, 4 ) ) )</f>
        <v>4</v>
      </c>
      <c r="CV63" s="24">
        <v>0.39553481790445644</v>
      </c>
      <c r="CW63" s="24" t="str">
        <f>"0"</f>
        <v>0</v>
      </c>
      <c r="CX63" t="str">
        <f ca="1">IF((OFFSET($A$1, 63 - 1, 100 - 1)) &gt;= (OFFSET($A$1, 78 - 1, 7 - 1)), "1","0")</f>
        <v>0</v>
      </c>
      <c r="CY63">
        <f ca="1" xml:space="preserve"> IF( AND( OFFSET($A$1, 63 - 1, 101 - 1) = "1", OFFSET($A$1, 63 - 1, 102 - 1) = "1" ), 1, IF( AND( OFFSET($A$1, 63 - 1, 101 - 1) = "1", OFFSET($A$1, 63 - 1, 102 - 1) = "0" ), 2, IF( AND( OFFSET($A$1, 63 - 1, 101 - 1) = "0", OFFSET($A$1, 63 - 1, 102 - 1) = "1" ), 3, 4 ) ) )</f>
        <v>4</v>
      </c>
    </row>
    <row r="64" spans="2:103" ht="13.8" x14ac:dyDescent="0.3">
      <c r="C64" s="25">
        <v>1</v>
      </c>
      <c r="D64" s="24">
        <f ca="1">SUM(OFFSET($A$1, 59 - 1, 4 - 1, 1, 2))</f>
        <v>429</v>
      </c>
      <c r="E64" s="24">
        <f ca="1">SUM(OFFSET($A$1, 59 - 1, 4 - 1, 1, 2)) - OFFSET($A$1, 59 - 1, 4 - 1)</f>
        <v>205</v>
      </c>
      <c r="F64" s="24">
        <f ca="1">IF(OFFSET($A$1, 64 - 1, 4 - 1)=0,"Undefined",((OFFSET($A$1, 64 - 1, 5 - 1))*100) / (OFFSET($A$1, 64 - 1, 4 - 1)))</f>
        <v>47.785547785547784</v>
      </c>
      <c r="CQ64" s="24">
        <v>0.96262491651971593</v>
      </c>
      <c r="CR64" s="24" t="str">
        <f>"1"</f>
        <v>1</v>
      </c>
      <c r="CS64" t="str">
        <f ca="1">IF((OFFSET($A$1, 64 - 1, 95 - 1)) &gt;= (OFFSET($A$1, 54 - 1, 7 - 1)), "1","0")</f>
        <v>0</v>
      </c>
      <c r="CT64">
        <f ca="1" xml:space="preserve"> IF( AND( OFFSET($A$1, 64 - 1, 96 - 1) = "1", OFFSET($A$1, 64 - 1, 97 - 1) = "1" ), 1, IF( AND( OFFSET($A$1, 64 - 1, 96 - 1) = "1", OFFSET($A$1, 64 - 1, 97 - 1) = "0" ), 2, IF( AND( OFFSET($A$1, 64 - 1, 96 - 1) = "0", OFFSET($A$1, 64 - 1, 97 - 1) = "1" ), 3, 4 ) ) )</f>
        <v>2</v>
      </c>
      <c r="CV64" s="24">
        <v>2.4035511067084885E-2</v>
      </c>
      <c r="CW64" s="24" t="str">
        <f>"0"</f>
        <v>0</v>
      </c>
      <c r="CX64" t="str">
        <f ca="1">IF((OFFSET($A$1, 64 - 1, 100 - 1)) &gt;= (OFFSET($A$1, 78 - 1, 7 - 1)), "1","0")</f>
        <v>0</v>
      </c>
      <c r="CY64">
        <f ca="1" xml:space="preserve"> IF( AND( OFFSET($A$1, 64 - 1, 101 - 1) = "1", OFFSET($A$1, 64 - 1, 102 - 1) = "1" ), 1, IF( AND( OFFSET($A$1, 64 - 1, 101 - 1) = "1", OFFSET($A$1, 64 - 1, 102 - 1) = "0" ), 2, IF( AND( OFFSET($A$1, 64 - 1, 101 - 1) = "0", OFFSET($A$1, 64 - 1, 102 - 1) = "1" ), 3, 4 ) ) )</f>
        <v>4</v>
      </c>
    </row>
    <row r="65" spans="2:103" ht="13.8" x14ac:dyDescent="0.3">
      <c r="C65" s="25">
        <v>0</v>
      </c>
      <c r="D65" s="24">
        <f ca="1">SUM(OFFSET($A$1, 60 - 1, 4 - 1, 1, 2))</f>
        <v>171</v>
      </c>
      <c r="E65" s="24">
        <f ca="1">SUM(OFFSET($A$1, 60 - 1, 4 - 1, 1, 2)) - OFFSET($A$1, 60 - 1, 5 - 1)</f>
        <v>7</v>
      </c>
      <c r="F65" s="24">
        <f ca="1">IF(OFFSET($A$1, 65 - 1, 4 - 1)=0,"Undefined",((OFFSET($A$1, 65 - 1, 5 - 1))*100) / (OFFSET($A$1, 65 - 1, 4 - 1)))</f>
        <v>4.0935672514619883</v>
      </c>
      <c r="CQ65" s="24">
        <v>0.92444167553426693</v>
      </c>
      <c r="CR65" s="24" t="str">
        <f>"1"</f>
        <v>1</v>
      </c>
      <c r="CS65" t="str">
        <f ca="1">IF((OFFSET($A$1, 65 - 1, 95 - 1)) &gt;= (OFFSET($A$1, 54 - 1, 7 - 1)), "1","0")</f>
        <v>0</v>
      </c>
      <c r="CT65">
        <f ca="1" xml:space="preserve"> IF( AND( OFFSET($A$1, 65 - 1, 96 - 1) = "1", OFFSET($A$1, 65 - 1, 97 - 1) = "1" ), 1, IF( AND( OFFSET($A$1, 65 - 1, 96 - 1) = "1", OFFSET($A$1, 65 - 1, 97 - 1) = "0" ), 2, IF( AND( OFFSET($A$1, 65 - 1, 96 - 1) = "0", OFFSET($A$1, 65 - 1, 97 - 1) = "1" ), 3, 4 ) ) )</f>
        <v>2</v>
      </c>
      <c r="CV65" s="24">
        <v>0.9938126402819254</v>
      </c>
      <c r="CW65" s="24" t="str">
        <f>"1"</f>
        <v>1</v>
      </c>
      <c r="CX65" t="str">
        <f ca="1">IF((OFFSET($A$1, 65 - 1, 100 - 1)) &gt;= (OFFSET($A$1, 78 - 1, 7 - 1)), "1","0")</f>
        <v>1</v>
      </c>
      <c r="CY65">
        <f ca="1" xml:space="preserve"> IF( AND( OFFSET($A$1, 65 - 1, 101 - 1) = "1", OFFSET($A$1, 65 - 1, 102 - 1) = "1" ), 1, IF( AND( OFFSET($A$1, 65 - 1, 101 - 1) = "1", OFFSET($A$1, 65 - 1, 102 - 1) = "0" ), 2, IF( AND( OFFSET($A$1, 65 - 1, 101 - 1) = "0", OFFSET($A$1, 65 - 1, 102 - 1) = "1" ), 3, 4 ) ) )</f>
        <v>1</v>
      </c>
    </row>
    <row r="66" spans="2:103" ht="13.8" x14ac:dyDescent="0.3">
      <c r="C66" s="25" t="s">
        <v>336</v>
      </c>
      <c r="D66" s="24">
        <f ca="1">SUM(OFFSET($A$1, 64 - 1, 4 - 1, 2, 1))</f>
        <v>600</v>
      </c>
      <c r="E66" s="24">
        <f ca="1">SUM(OFFSET($A$1, 64 - 1, 5 - 1, 2, 1))</f>
        <v>212</v>
      </c>
      <c r="F66" s="24">
        <f ca="1">IF(OFFSET($A$1, 66 - 1, 4 - 1)=0,"Undefined",((OFFSET($A$1, 66 - 1, 5 - 1))*100) / (OFFSET($A$1, 66 - 1, 4 - 1)))</f>
        <v>35.333333333333336</v>
      </c>
      <c r="CQ66" s="24">
        <v>7.2251418181048771E-2</v>
      </c>
      <c r="CR66" s="24" t="str">
        <f>"0"</f>
        <v>0</v>
      </c>
      <c r="CS66" t="str">
        <f ca="1">IF((OFFSET($A$1, 66 - 1, 95 - 1)) &gt;= (OFFSET($A$1, 54 - 1, 7 - 1)), "1","0")</f>
        <v>0</v>
      </c>
      <c r="CT66">
        <f ca="1" xml:space="preserve"> IF( AND( OFFSET($A$1, 66 - 1, 96 - 1) = "1", OFFSET($A$1, 66 - 1, 97 - 1) = "1" ), 1, IF( AND( OFFSET($A$1, 66 - 1, 96 - 1) = "1", OFFSET($A$1, 66 - 1, 97 - 1) = "0" ), 2, IF( AND( OFFSET($A$1, 66 - 1, 96 - 1) = "0", OFFSET($A$1, 66 - 1, 97 - 1) = "1" ), 3, 4 ) ) )</f>
        <v>4</v>
      </c>
      <c r="CV66" s="24">
        <v>0.99571364460424139</v>
      </c>
      <c r="CW66" s="24" t="str">
        <f>"1"</f>
        <v>1</v>
      </c>
      <c r="CX66" t="str">
        <f ca="1">IF((OFFSET($A$1, 66 - 1, 100 - 1)) &gt;= (OFFSET($A$1, 78 - 1, 7 - 1)), "1","0")</f>
        <v>1</v>
      </c>
      <c r="CY66">
        <f ca="1" xml:space="preserve"> IF( AND( OFFSET($A$1, 66 - 1, 101 - 1) = "1", OFFSET($A$1, 66 - 1, 102 - 1) = "1" ), 1, IF( AND( OFFSET($A$1, 66 - 1, 101 - 1) = "1", OFFSET($A$1, 66 - 1, 102 - 1) = "0" ), 2, IF( AND( OFFSET($A$1, 66 - 1, 101 - 1) = "0", OFFSET($A$1, 66 - 1, 102 - 1) = "1" ), 3, 4 ) ) )</f>
        <v>1</v>
      </c>
    </row>
    <row r="67" spans="2:103" ht="13.8" x14ac:dyDescent="0.3">
      <c r="CQ67" s="24">
        <v>0.86235545140865566</v>
      </c>
      <c r="CR67" s="24" t="str">
        <f>"1"</f>
        <v>1</v>
      </c>
      <c r="CS67" t="str">
        <f ca="1">IF((OFFSET($A$1, 67 - 1, 95 - 1)) &gt;= (OFFSET($A$1, 54 - 1, 7 - 1)), "1","0")</f>
        <v>0</v>
      </c>
      <c r="CT67">
        <f ca="1" xml:space="preserve"> IF( AND( OFFSET($A$1, 67 - 1, 96 - 1) = "1", OFFSET($A$1, 67 - 1, 97 - 1) = "1" ), 1, IF( AND( OFFSET($A$1, 67 - 1, 96 - 1) = "1", OFFSET($A$1, 67 - 1, 97 - 1) = "0" ), 2, IF( AND( OFFSET($A$1, 67 - 1, 96 - 1) = "0", OFFSET($A$1, 67 - 1, 97 - 1) = "1" ), 3, 4 ) ) )</f>
        <v>2</v>
      </c>
      <c r="CV67" s="24">
        <v>0.97985698379628483</v>
      </c>
      <c r="CW67" s="24" t="str">
        <f>"1"</f>
        <v>1</v>
      </c>
      <c r="CX67" t="str">
        <f ca="1">IF((OFFSET($A$1, 67 - 1, 100 - 1)) &gt;= (OFFSET($A$1, 78 - 1, 7 - 1)), "1","0")</f>
        <v>1</v>
      </c>
      <c r="CY67">
        <f ca="1" xml:space="preserve"> IF( AND( OFFSET($A$1, 67 - 1, 101 - 1) = "1", OFFSET($A$1, 67 - 1, 102 - 1) = "1" ), 1, IF( AND( OFFSET($A$1, 67 - 1, 101 - 1) = "1", OFFSET($A$1, 67 - 1, 102 - 1) = "0" ), 2, IF( AND( OFFSET($A$1, 67 - 1, 101 - 1) = "0", OFFSET($A$1, 67 - 1, 102 - 1) = "1" ), 3, 4 ) ) )</f>
        <v>1</v>
      </c>
    </row>
    <row r="68" spans="2:103" ht="15.6" x14ac:dyDescent="0.3">
      <c r="C68" s="59" t="s">
        <v>708</v>
      </c>
      <c r="D68" s="60"/>
      <c r="E68" s="61"/>
      <c r="CQ68" s="24">
        <v>0.98870575450486342</v>
      </c>
      <c r="CR68" s="24" t="str">
        <f>"1"</f>
        <v>1</v>
      </c>
      <c r="CS68" t="str">
        <f ca="1">IF((OFFSET($A$1, 68 - 1, 95 - 1)) &gt;= (OFFSET($A$1, 54 - 1, 7 - 1)), "1","0")</f>
        <v>1</v>
      </c>
      <c r="CT68">
        <f ca="1" xml:space="preserve"> IF( AND( OFFSET($A$1, 68 - 1, 96 - 1) = "1", OFFSET($A$1, 68 - 1, 97 - 1) = "1" ), 1, IF( AND( OFFSET($A$1, 68 - 1, 96 - 1) = "1", OFFSET($A$1, 68 - 1, 97 - 1) = "0" ), 2, IF( AND( OFFSET($A$1, 68 - 1, 96 - 1) = "0", OFFSET($A$1, 68 - 1, 97 - 1) = "1" ), 3, 4 ) ) )</f>
        <v>1</v>
      </c>
      <c r="CV68" s="24">
        <v>0.11109405663167782</v>
      </c>
      <c r="CW68" s="24" t="str">
        <f>"0"</f>
        <v>0</v>
      </c>
      <c r="CX68" t="str">
        <f ca="1">IF((OFFSET($A$1, 68 - 1, 100 - 1)) &gt;= (OFFSET($A$1, 78 - 1, 7 - 1)), "1","0")</f>
        <v>0</v>
      </c>
      <c r="CY68">
        <f ca="1" xml:space="preserve"> IF( AND( OFFSET($A$1, 68 - 1, 101 - 1) = "1", OFFSET($A$1, 68 - 1, 102 - 1) = "1" ), 1, IF( AND( OFFSET($A$1, 68 - 1, 101 - 1) = "1", OFFSET($A$1, 68 - 1, 102 - 1) = "0" ), 2, IF( AND( OFFSET($A$1, 68 - 1, 101 - 1) = "0", OFFSET($A$1, 68 - 1, 102 - 1) = "1" ), 3, 4 ) ) )</f>
        <v>4</v>
      </c>
    </row>
    <row r="69" spans="2:103" ht="13.8" x14ac:dyDescent="0.3">
      <c r="C69" s="62" t="s">
        <v>709</v>
      </c>
      <c r="D69" s="64"/>
      <c r="E69" s="34">
        <v>1</v>
      </c>
      <c r="CQ69" s="24">
        <v>0.81956171984320747</v>
      </c>
      <c r="CR69" s="24" t="str">
        <f>"1"</f>
        <v>1</v>
      </c>
      <c r="CS69" t="str">
        <f ca="1">IF((OFFSET($A$1, 69 - 1, 95 - 1)) &gt;= (OFFSET($A$1, 54 - 1, 7 - 1)), "1","0")</f>
        <v>0</v>
      </c>
      <c r="CT69">
        <f ca="1" xml:space="preserve"> IF( AND( OFFSET($A$1, 69 - 1, 96 - 1) = "1", OFFSET($A$1, 69 - 1, 97 - 1) = "1" ), 1, IF( AND( OFFSET($A$1, 69 - 1, 96 - 1) = "1", OFFSET($A$1, 69 - 1, 97 - 1) = "0" ), 2, IF( AND( OFFSET($A$1, 69 - 1, 96 - 1) = "0", OFFSET($A$1, 69 - 1, 97 - 1) = "1" ), 3, 4 ) ) )</f>
        <v>2</v>
      </c>
      <c r="CV69" s="24">
        <v>0.99988871145521019</v>
      </c>
      <c r="CW69" s="24" t="str">
        <f>"1"</f>
        <v>1</v>
      </c>
      <c r="CX69" t="str">
        <f ca="1">IF((OFFSET($A$1, 69 - 1, 100 - 1)) &gt;= (OFFSET($A$1, 78 - 1, 7 - 1)), "1","0")</f>
        <v>1</v>
      </c>
      <c r="CY69">
        <f ca="1" xml:space="preserve"> IF( AND( OFFSET($A$1, 69 - 1, 101 - 1) = "1", OFFSET($A$1, 69 - 1, 102 - 1) = "1" ), 1, IF( AND( OFFSET($A$1, 69 - 1, 101 - 1) = "1", OFFSET($A$1, 69 - 1, 102 - 1) = "0" ), 2, IF( AND( OFFSET($A$1, 69 - 1, 101 - 1) = "0", OFFSET($A$1, 69 - 1, 102 - 1) = "1" ), 3, 4 ) ) )</f>
        <v>1</v>
      </c>
    </row>
    <row r="70" spans="2:103" ht="13.8" x14ac:dyDescent="0.3">
      <c r="C70" s="62" t="s">
        <v>710</v>
      </c>
      <c r="D70" s="64"/>
      <c r="E70" s="34">
        <f ca="1">IF((OFFSET($A$1, 59 - 1, 4 - 1) + OFFSET($A$1, 60 - 1, 4 - 1)) = 0,"Undefined",OFFSET($A$1, 59 - 1, 4 - 1)/(OFFSET($A$1, 59 - 1, 4 - 1) + OFFSET($A$1, 60 - 1, 4 - 1)))</f>
        <v>0.96969696969696972</v>
      </c>
      <c r="CQ70" s="24">
        <v>7.4342978407518426E-2</v>
      </c>
      <c r="CR70" s="24" t="str">
        <f>"0"</f>
        <v>0</v>
      </c>
      <c r="CS70" t="str">
        <f ca="1">IF((OFFSET($A$1, 70 - 1, 95 - 1)) &gt;= (OFFSET($A$1, 54 - 1, 7 - 1)), "1","0")</f>
        <v>0</v>
      </c>
      <c r="CT70">
        <f ca="1" xml:space="preserve"> IF( AND( OFFSET($A$1, 70 - 1, 96 - 1) = "1", OFFSET($A$1, 70 - 1, 97 - 1) = "1" ), 1, IF( AND( OFFSET($A$1, 70 - 1, 96 - 1) = "1", OFFSET($A$1, 70 - 1, 97 - 1) = "0" ), 2, IF( AND( OFFSET($A$1, 70 - 1, 96 - 1) = "0", OFFSET($A$1, 70 - 1, 97 - 1) = "1" ), 3, 4 ) ) )</f>
        <v>4</v>
      </c>
      <c r="CV70" s="24">
        <v>0.92076468191483252</v>
      </c>
      <c r="CW70" s="24" t="str">
        <f>"0"</f>
        <v>0</v>
      </c>
      <c r="CX70" t="str">
        <f ca="1">IF((OFFSET($A$1, 70 - 1, 100 - 1)) &gt;= (OFFSET($A$1, 78 - 1, 7 - 1)), "1","0")</f>
        <v>1</v>
      </c>
      <c r="CY70">
        <f ca="1" xml:space="preserve"> IF( AND( OFFSET($A$1, 70 - 1, 101 - 1) = "1", OFFSET($A$1, 70 - 1, 102 - 1) = "1" ), 1, IF( AND( OFFSET($A$1, 70 - 1, 101 - 1) = "1", OFFSET($A$1, 70 - 1, 102 - 1) = "0" ), 2, IF( AND( OFFSET($A$1, 70 - 1, 101 - 1) = "0", OFFSET($A$1, 70 - 1, 102 - 1) = "1" ), 3, 4 ) ) )</f>
        <v>3</v>
      </c>
    </row>
    <row r="71" spans="2:103" ht="13.8" x14ac:dyDescent="0.3">
      <c r="C71" s="62" t="s">
        <v>711</v>
      </c>
      <c r="D71" s="64"/>
      <c r="E71" s="34">
        <f ca="1">IF((OFFSET($A$1, 59 - 1, 4 - 1) + OFFSET($A$1, 59 - 1, 5 - 1)) = 0,"Undefined",OFFSET($A$1, 59 - 1, 4 - 1)/(OFFSET($A$1, 59 - 1, 4 - 1) + OFFSET($A$1, 59 - 1, 5 - 1)))</f>
        <v>0.52214452214452212</v>
      </c>
      <c r="CQ71" s="24">
        <v>0.96402119138057607</v>
      </c>
      <c r="CR71" s="24" t="str">
        <f>"1"</f>
        <v>1</v>
      </c>
      <c r="CS71" t="str">
        <f ca="1">IF((OFFSET($A$1, 71 - 1, 95 - 1)) &gt;= (OFFSET($A$1, 54 - 1, 7 - 1)), "1","0")</f>
        <v>1</v>
      </c>
      <c r="CT71">
        <f ca="1" xml:space="preserve"> IF( AND( OFFSET($A$1, 71 - 1, 96 - 1) = "1", OFFSET($A$1, 71 - 1, 97 - 1) = "1" ), 1, IF( AND( OFFSET($A$1, 71 - 1, 96 - 1) = "1", OFFSET($A$1, 71 - 1, 97 - 1) = "0" ), 2, IF( AND( OFFSET($A$1, 71 - 1, 96 - 1) = "0", OFFSET($A$1, 71 - 1, 97 - 1) = "1" ), 3, 4 ) ) )</f>
        <v>1</v>
      </c>
      <c r="CV71" s="24">
        <v>0.86792209961841793</v>
      </c>
      <c r="CW71" s="24" t="str">
        <f>"1"</f>
        <v>1</v>
      </c>
      <c r="CX71" t="str">
        <f ca="1">IF((OFFSET($A$1, 71 - 1, 100 - 1)) &gt;= (OFFSET($A$1, 78 - 1, 7 - 1)), "1","0")</f>
        <v>0</v>
      </c>
      <c r="CY71">
        <f ca="1" xml:space="preserve"> IF( AND( OFFSET($A$1, 71 - 1, 101 - 1) = "1", OFFSET($A$1, 71 - 1, 102 - 1) = "1" ), 1, IF( AND( OFFSET($A$1, 71 - 1, 101 - 1) = "1", OFFSET($A$1, 71 - 1, 102 - 1) = "0" ), 2, IF( AND( OFFSET($A$1, 71 - 1, 101 - 1) = "0", OFFSET($A$1, 71 - 1, 102 - 1) = "1" ), 3, 4 ) ) )</f>
        <v>2</v>
      </c>
    </row>
    <row r="72" spans="2:103" ht="13.8" x14ac:dyDescent="0.3">
      <c r="C72" s="62" t="s">
        <v>712</v>
      </c>
      <c r="D72" s="64"/>
      <c r="E72" s="34">
        <f ca="1">IF((OFFSET($A$1, 60 - 1, 4 - 1) + OFFSET($A$1, 60 - 1, 5 - 1)) = 0,"Undefined",OFFSET($A$1, 60 - 1, 5 - 1)/(OFFSET($A$1, 60 - 1, 4 - 1) + OFFSET($A$1, 60 - 1, 5 - 1)))</f>
        <v>0.95906432748538006</v>
      </c>
      <c r="CQ72" s="24">
        <v>8.4807045893496039E-2</v>
      </c>
      <c r="CR72" s="24" t="str">
        <f>"0"</f>
        <v>0</v>
      </c>
      <c r="CS72" t="str">
        <f ca="1">IF((OFFSET($A$1, 72 - 1, 95 - 1)) &gt;= (OFFSET($A$1, 54 - 1, 7 - 1)), "1","0")</f>
        <v>0</v>
      </c>
      <c r="CT72">
        <f ca="1" xml:space="preserve"> IF( AND( OFFSET($A$1, 72 - 1, 96 - 1) = "1", OFFSET($A$1, 72 - 1, 97 - 1) = "1" ), 1, IF( AND( OFFSET($A$1, 72 - 1, 96 - 1) = "1", OFFSET($A$1, 72 - 1, 97 - 1) = "0" ), 2, IF( AND( OFFSET($A$1, 72 - 1, 96 - 1) = "0", OFFSET($A$1, 72 - 1, 97 - 1) = "1" ), 3, 4 ) ) )</f>
        <v>4</v>
      </c>
      <c r="CV72" s="24">
        <v>0.99825542471764483</v>
      </c>
      <c r="CW72" s="24" t="str">
        <f>"0"</f>
        <v>0</v>
      </c>
      <c r="CX72" t="str">
        <f ca="1">IF((OFFSET($A$1, 72 - 1, 100 - 1)) &gt;= (OFFSET($A$1, 78 - 1, 7 - 1)), "1","0")</f>
        <v>1</v>
      </c>
      <c r="CY72">
        <f ca="1" xml:space="preserve"> IF( AND( OFFSET($A$1, 72 - 1, 101 - 1) = "1", OFFSET($A$1, 72 - 1, 102 - 1) = "1" ), 1, IF( AND( OFFSET($A$1, 72 - 1, 101 - 1) = "1", OFFSET($A$1, 72 - 1, 102 - 1) = "0" ), 2, IF( AND( OFFSET($A$1, 72 - 1, 101 - 1) = "0", OFFSET($A$1, 72 - 1, 102 - 1) = "1" ), 3, 4 ) ) )</f>
        <v>3</v>
      </c>
    </row>
    <row r="73" spans="2:103" ht="13.8" x14ac:dyDescent="0.3">
      <c r="C73" s="62" t="s">
        <v>713</v>
      </c>
      <c r="D73" s="64"/>
      <c r="E73" s="34">
        <f ca="1">IF(OR(OFFSET($A$1, 70 - 1, 5 - 1)="Undefined",OFFSET($A$1, 71 - 1, 5 - 1)="Undefined"),"Undefined",IF((OFFSET($A$1, 70 - 1, 5 - 1) + OFFSET($A$1, 71 - 1, 5 - 1))=0,"Undefined",2*OFFSET($A$1, 70 - 1, 5 - 1)*OFFSET($A$1, 71 - 1, 5 - 1)/(OFFSET($A$1, 70 - 1, 5 - 1)+OFFSET($A$1, 71 - 1, 5 - 1))))</f>
        <v>0.67878787878787872</v>
      </c>
      <c r="CQ73" s="24">
        <v>7.5008069908318847E-2</v>
      </c>
      <c r="CR73" s="24" t="str">
        <f>"0"</f>
        <v>0</v>
      </c>
      <c r="CS73" t="str">
        <f ca="1">IF((OFFSET($A$1, 73 - 1, 95 - 1)) &gt;= (OFFSET($A$1, 54 - 1, 7 - 1)), "1","0")</f>
        <v>0</v>
      </c>
      <c r="CT73">
        <f ca="1" xml:space="preserve"> IF( AND( OFFSET($A$1, 73 - 1, 96 - 1) = "1", OFFSET($A$1, 73 - 1, 97 - 1) = "1" ), 1, IF( AND( OFFSET($A$1, 73 - 1, 96 - 1) = "1", OFFSET($A$1, 73 - 1, 97 - 1) = "0" ), 2, IF( AND( OFFSET($A$1, 73 - 1, 96 - 1) = "0", OFFSET($A$1, 73 - 1, 97 - 1) = "1" ), 3, 4 ) ) )</f>
        <v>4</v>
      </c>
      <c r="CV73" s="24">
        <v>0.99922704234065451</v>
      </c>
      <c r="CW73" s="24" t="str">
        <f>"1"</f>
        <v>1</v>
      </c>
      <c r="CX73" t="str">
        <f ca="1">IF((OFFSET($A$1, 73 - 1, 100 - 1)) &gt;= (OFFSET($A$1, 78 - 1, 7 - 1)), "1","0")</f>
        <v>1</v>
      </c>
      <c r="CY73">
        <f ca="1" xml:space="preserve"> IF( AND( OFFSET($A$1, 73 - 1, 101 - 1) = "1", OFFSET($A$1, 73 - 1, 102 - 1) = "1" ), 1, IF( AND( OFFSET($A$1, 73 - 1, 101 - 1) = "1", OFFSET($A$1, 73 - 1, 102 - 1) = "0" ), 2, IF( AND( OFFSET($A$1, 73 - 1, 101 - 1) = "0", OFFSET($A$1, 73 - 1, 102 - 1) = "1" ), 3, 4 ) ) )</f>
        <v>1</v>
      </c>
    </row>
    <row r="74" spans="2:103" ht="13.8" x14ac:dyDescent="0.3">
      <c r="CQ74" s="24">
        <v>0.94938434286993678</v>
      </c>
      <c r="CR74" s="24" t="str">
        <f t="shared" ref="CR74:CR84" si="5">"1"</f>
        <v>1</v>
      </c>
      <c r="CS74" t="str">
        <f ca="1">IF((OFFSET($A$1, 74 - 1, 95 - 1)) &gt;= (OFFSET($A$1, 54 - 1, 7 - 1)), "1","0")</f>
        <v>0</v>
      </c>
      <c r="CT74">
        <f ca="1" xml:space="preserve"> IF( AND( OFFSET($A$1, 74 - 1, 96 - 1) = "1", OFFSET($A$1, 74 - 1, 97 - 1) = "1" ), 1, IF( AND( OFFSET($A$1, 74 - 1, 96 - 1) = "1", OFFSET($A$1, 74 - 1, 97 - 1) = "0" ), 2, IF( AND( OFFSET($A$1, 74 - 1, 96 - 1) = "0", OFFSET($A$1, 74 - 1, 97 - 1) = "1" ), 3, 4 ) ) )</f>
        <v>2</v>
      </c>
      <c r="CV74" s="24">
        <v>0.35301223641026258</v>
      </c>
      <c r="CW74" s="24" t="str">
        <f>"0"</f>
        <v>0</v>
      </c>
      <c r="CX74" t="str">
        <f ca="1">IF((OFFSET($A$1, 74 - 1, 100 - 1)) &gt;= (OFFSET($A$1, 78 - 1, 7 - 1)), "1","0")</f>
        <v>0</v>
      </c>
      <c r="CY74">
        <f ca="1" xml:space="preserve"> IF( AND( OFFSET($A$1, 74 - 1, 101 - 1) = "1", OFFSET($A$1, 74 - 1, 102 - 1) = "1" ), 1, IF( AND( OFFSET($A$1, 74 - 1, 101 - 1) = "1", OFFSET($A$1, 74 - 1, 102 - 1) = "0" ), 2, IF( AND( OFFSET($A$1, 74 - 1, 101 - 1) = "0", OFFSET($A$1, 74 - 1, 102 - 1) = "1" ), 3, 4 ) ) )</f>
        <v>4</v>
      </c>
    </row>
    <row r="75" spans="2:103" ht="13.8" x14ac:dyDescent="0.3">
      <c r="CQ75" s="24">
        <v>0.89573108208409369</v>
      </c>
      <c r="CR75" s="24" t="str">
        <f t="shared" si="5"/>
        <v>1</v>
      </c>
      <c r="CS75" t="str">
        <f ca="1">IF((OFFSET($A$1, 75 - 1, 95 - 1)) &gt;= (OFFSET($A$1, 54 - 1, 7 - 1)), "1","0")</f>
        <v>0</v>
      </c>
      <c r="CT75">
        <f ca="1" xml:space="preserve"> IF( AND( OFFSET($A$1, 75 - 1, 96 - 1) = "1", OFFSET($A$1, 75 - 1, 97 - 1) = "1" ), 1, IF( AND( OFFSET($A$1, 75 - 1, 96 - 1) = "1", OFFSET($A$1, 75 - 1, 97 - 1) = "0" ), 2, IF( AND( OFFSET($A$1, 75 - 1, 96 - 1) = "0", OFFSET($A$1, 75 - 1, 97 - 1) = "1" ), 3, 4 ) ) )</f>
        <v>2</v>
      </c>
      <c r="CV75" s="24">
        <v>0.83200366318739383</v>
      </c>
      <c r="CW75" s="24" t="str">
        <f t="shared" ref="CW75:CW84" si="6">"1"</f>
        <v>1</v>
      </c>
      <c r="CX75" t="str">
        <f ca="1">IF((OFFSET($A$1, 75 - 1, 100 - 1)) &gt;= (OFFSET($A$1, 78 - 1, 7 - 1)), "1","0")</f>
        <v>0</v>
      </c>
      <c r="CY75">
        <f ca="1" xml:space="preserve"> IF( AND( OFFSET($A$1, 75 - 1, 101 - 1) = "1", OFFSET($A$1, 75 - 1, 102 - 1) = "1" ), 1, IF( AND( OFFSET($A$1, 75 - 1, 101 - 1) = "1", OFFSET($A$1, 75 - 1, 102 - 1) = "0" ), 2, IF( AND( OFFSET($A$1, 75 - 1, 101 - 1) = "0", OFFSET($A$1, 75 - 1, 102 - 1) = "1" ), 3, 4 ) ) )</f>
        <v>2</v>
      </c>
    </row>
    <row r="76" spans="2:103" ht="18" x14ac:dyDescent="0.35">
      <c r="B76" s="22" t="s">
        <v>714</v>
      </c>
      <c r="CQ76" s="24">
        <v>0.99766244733919207</v>
      </c>
      <c r="CR76" s="24" t="str">
        <f t="shared" si="5"/>
        <v>1</v>
      </c>
      <c r="CS76" t="str">
        <f ca="1">IF((OFFSET($A$1, 76 - 1, 95 - 1)) &gt;= (OFFSET($A$1, 54 - 1, 7 - 1)), "1","0")</f>
        <v>1</v>
      </c>
      <c r="CT76">
        <f ca="1" xml:space="preserve"> IF( AND( OFFSET($A$1, 76 - 1, 96 - 1) = "1", OFFSET($A$1, 76 - 1, 97 - 1) = "1" ), 1, IF( AND( OFFSET($A$1, 76 - 1, 96 - 1) = "1", OFFSET($A$1, 76 - 1, 97 - 1) = "0" ), 2, IF( AND( OFFSET($A$1, 76 - 1, 96 - 1) = "0", OFFSET($A$1, 76 - 1, 97 - 1) = "1" ), 3, 4 ) ) )</f>
        <v>1</v>
      </c>
      <c r="CV76" s="24">
        <v>0.95064628032939857</v>
      </c>
      <c r="CW76" s="24" t="str">
        <f t="shared" si="6"/>
        <v>1</v>
      </c>
      <c r="CX76" t="str">
        <f ca="1">IF((OFFSET($A$1, 76 - 1, 100 - 1)) &gt;= (OFFSET($A$1, 78 - 1, 7 - 1)), "1","0")</f>
        <v>1</v>
      </c>
      <c r="CY76">
        <f ca="1" xml:space="preserve"> IF( AND( OFFSET($A$1, 76 - 1, 101 - 1) = "1", OFFSET($A$1, 76 - 1, 102 - 1) = "1" ), 1, IF( AND( OFFSET($A$1, 76 - 1, 101 - 1) = "1", OFFSET($A$1, 76 - 1, 102 - 1) = "0" ), 2, IF( AND( OFFSET($A$1, 76 - 1, 101 - 1) = "0", OFFSET($A$1, 76 - 1, 102 - 1) = "1" ), 3, 4 ) ) )</f>
        <v>1</v>
      </c>
    </row>
    <row r="77" spans="2:103" ht="13.8" x14ac:dyDescent="0.3">
      <c r="CQ77" s="24">
        <v>0.99997101854892989</v>
      </c>
      <c r="CR77" s="24" t="str">
        <f t="shared" si="5"/>
        <v>1</v>
      </c>
      <c r="CS77" t="str">
        <f ca="1">IF((OFFSET($A$1, 77 - 1, 95 - 1)) &gt;= (OFFSET($A$1, 54 - 1, 7 - 1)), "1","0")</f>
        <v>1</v>
      </c>
      <c r="CT77">
        <f ca="1" xml:space="preserve"> IF( AND( OFFSET($A$1, 77 - 1, 96 - 1) = "1", OFFSET($A$1, 77 - 1, 97 - 1) = "1" ), 1, IF( AND( OFFSET($A$1, 77 - 1, 96 - 1) = "1", OFFSET($A$1, 77 - 1, 97 - 1) = "0" ), 2, IF( AND( OFFSET($A$1, 77 - 1, 96 - 1) = "0", OFFSET($A$1, 77 - 1, 97 - 1) = "1" ), 3, 4 ) ) )</f>
        <v>1</v>
      </c>
      <c r="CV77" s="24">
        <v>0.40553544617762971</v>
      </c>
      <c r="CW77" s="24" t="str">
        <f t="shared" si="6"/>
        <v>1</v>
      </c>
      <c r="CX77" t="str">
        <f ca="1">IF((OFFSET($A$1, 77 - 1, 100 - 1)) &gt;= (OFFSET($A$1, 78 - 1, 7 - 1)), "1","0")</f>
        <v>0</v>
      </c>
      <c r="CY77">
        <f ca="1" xml:space="preserve"> IF( AND( OFFSET($A$1, 77 - 1, 101 - 1) = "1", OFFSET($A$1, 77 - 1, 102 - 1) = "1" ), 1, IF( AND( OFFSET($A$1, 77 - 1, 101 - 1) = "1", OFFSET($A$1, 77 - 1, 102 - 1) = "0" ), 2, IF( AND( OFFSET($A$1, 77 - 1, 101 - 1) = "0", OFFSET($A$1, 77 - 1, 102 - 1) = "1" ), 3, 4 ) ) )</f>
        <v>2</v>
      </c>
    </row>
    <row r="78" spans="2:103" ht="13.8" x14ac:dyDescent="0.3">
      <c r="C78" s="72" t="s">
        <v>706</v>
      </c>
      <c r="D78" s="73"/>
      <c r="E78" s="73"/>
      <c r="F78" s="74"/>
      <c r="G78" s="35">
        <v>0.9</v>
      </c>
      <c r="H78" s="72" t="s">
        <v>707</v>
      </c>
      <c r="I78" s="73"/>
      <c r="J78" s="73"/>
      <c r="K78" s="73"/>
      <c r="L78" s="73"/>
      <c r="M78" s="74"/>
      <c r="CQ78" s="24">
        <v>0.93433448232583083</v>
      </c>
      <c r="CR78" s="24" t="str">
        <f t="shared" si="5"/>
        <v>1</v>
      </c>
      <c r="CS78" t="str">
        <f ca="1">IF((OFFSET($A$1, 78 - 1, 95 - 1)) &gt;= (OFFSET($A$1, 54 - 1, 7 - 1)), "1","0")</f>
        <v>0</v>
      </c>
      <c r="CT78">
        <f ca="1" xml:space="preserve"> IF( AND( OFFSET($A$1, 78 - 1, 96 - 1) = "1", OFFSET($A$1, 78 - 1, 97 - 1) = "1" ), 1, IF( AND( OFFSET($A$1, 78 - 1, 96 - 1) = "1", OFFSET($A$1, 78 - 1, 97 - 1) = "0" ), 2, IF( AND( OFFSET($A$1, 78 - 1, 96 - 1) = "0", OFFSET($A$1, 78 - 1, 97 - 1) = "1" ), 3, 4 ) ) )</f>
        <v>2</v>
      </c>
      <c r="CV78" s="24">
        <v>0.57261246904197349</v>
      </c>
      <c r="CW78" s="24" t="str">
        <f t="shared" si="6"/>
        <v>1</v>
      </c>
      <c r="CX78" t="str">
        <f ca="1">IF((OFFSET($A$1, 78 - 1, 100 - 1)) &gt;= (OFFSET($A$1, 78 - 1, 7 - 1)), "1","0")</f>
        <v>0</v>
      </c>
      <c r="CY78">
        <f ca="1" xml:space="preserve"> IF( AND( OFFSET($A$1, 78 - 1, 101 - 1) = "1", OFFSET($A$1, 78 - 1, 102 - 1) = "1" ), 1, IF( AND( OFFSET($A$1, 78 - 1, 101 - 1) = "1", OFFSET($A$1, 78 - 1, 102 - 1) = "0" ), 2, IF( AND( OFFSET($A$1, 78 - 1, 101 - 1) = "0", OFFSET($A$1, 78 - 1, 102 - 1) = "1" ), 3, 4 ) ) )</f>
        <v>2</v>
      </c>
    </row>
    <row r="79" spans="2:103" ht="13.8" x14ac:dyDescent="0.3">
      <c r="CQ79" s="24">
        <v>0.80563475551471508</v>
      </c>
      <c r="CR79" s="24" t="str">
        <f t="shared" si="5"/>
        <v>1</v>
      </c>
      <c r="CS79" t="str">
        <f ca="1">IF((OFFSET($A$1, 79 - 1, 95 - 1)) &gt;= (OFFSET($A$1, 54 - 1, 7 - 1)), "1","0")</f>
        <v>0</v>
      </c>
      <c r="CT79">
        <f ca="1" xml:space="preserve"> IF( AND( OFFSET($A$1, 79 - 1, 96 - 1) = "1", OFFSET($A$1, 79 - 1, 97 - 1) = "1" ), 1, IF( AND( OFFSET($A$1, 79 - 1, 96 - 1) = "1", OFFSET($A$1, 79 - 1, 97 - 1) = "0" ), 2, IF( AND( OFFSET($A$1, 79 - 1, 96 - 1) = "0", OFFSET($A$1, 79 - 1, 97 - 1) = "1" ), 3, 4 ) ) )</f>
        <v>2</v>
      </c>
      <c r="CV79" s="24">
        <v>0.99698445458988816</v>
      </c>
      <c r="CW79" s="24" t="str">
        <f t="shared" si="6"/>
        <v>1</v>
      </c>
      <c r="CX79" t="str">
        <f ca="1">IF((OFFSET($A$1, 79 - 1, 100 - 1)) &gt;= (OFFSET($A$1, 78 - 1, 7 - 1)), "1","0")</f>
        <v>1</v>
      </c>
      <c r="CY79">
        <f ca="1" xml:space="preserve"> IF( AND( OFFSET($A$1, 79 - 1, 101 - 1) = "1", OFFSET($A$1, 79 - 1, 102 - 1) = "1" ), 1, IF( AND( OFFSET($A$1, 79 - 1, 101 - 1) = "1", OFFSET($A$1, 79 - 1, 102 - 1) = "0" ), 2, IF( AND( OFFSET($A$1, 79 - 1, 101 - 1) = "0", OFFSET($A$1, 79 - 1, 102 - 1) = "1" ), 3, 4 ) ) )</f>
        <v>1</v>
      </c>
    </row>
    <row r="80" spans="2:103" ht="15.6" x14ac:dyDescent="0.3">
      <c r="C80" s="59" t="s">
        <v>329</v>
      </c>
      <c r="D80" s="60"/>
      <c r="E80" s="61"/>
      <c r="CQ80" s="24">
        <v>0.9915201723487046</v>
      </c>
      <c r="CR80" s="24" t="str">
        <f t="shared" si="5"/>
        <v>1</v>
      </c>
      <c r="CS80" t="str">
        <f ca="1">IF((OFFSET($A$1, 80 - 1, 95 - 1)) &gt;= (OFFSET($A$1, 54 - 1, 7 - 1)), "1","0")</f>
        <v>1</v>
      </c>
      <c r="CT80">
        <f ca="1" xml:space="preserve"> IF( AND( OFFSET($A$1, 80 - 1, 96 - 1) = "1", OFFSET($A$1, 80 - 1, 97 - 1) = "1" ), 1, IF( AND( OFFSET($A$1, 80 - 1, 96 - 1) = "1", OFFSET($A$1, 80 - 1, 97 - 1) = "0" ), 2, IF( AND( OFFSET($A$1, 80 - 1, 96 - 1) = "0", OFFSET($A$1, 80 - 1, 97 - 1) = "1" ), 3, 4 ) ) )</f>
        <v>1</v>
      </c>
      <c r="CV80" s="24">
        <v>0.99953475144308634</v>
      </c>
      <c r="CW80" s="24" t="str">
        <f t="shared" si="6"/>
        <v>1</v>
      </c>
      <c r="CX80" t="str">
        <f ca="1">IF((OFFSET($A$1, 80 - 1, 100 - 1)) &gt;= (OFFSET($A$1, 78 - 1, 7 - 1)), "1","0")</f>
        <v>1</v>
      </c>
      <c r="CY80">
        <f ca="1" xml:space="preserve"> IF( AND( OFFSET($A$1, 80 - 1, 101 - 1) = "1", OFFSET($A$1, 80 - 1, 102 - 1) = "1" ), 1, IF( AND( OFFSET($A$1, 80 - 1, 101 - 1) = "1", OFFSET($A$1, 80 - 1, 102 - 1) = "0" ), 2, IF( AND( OFFSET($A$1, 80 - 1, 101 - 1) = "0", OFFSET($A$1, 80 - 1, 102 - 1) = "1" ), 3, 4 ) ) )</f>
        <v>1</v>
      </c>
    </row>
    <row r="81" spans="3:103" ht="13.8" x14ac:dyDescent="0.3">
      <c r="C81" s="26"/>
      <c r="D81" s="75" t="s">
        <v>330</v>
      </c>
      <c r="E81" s="76"/>
      <c r="CQ81" s="24">
        <v>0.86333231920920228</v>
      </c>
      <c r="CR81" s="24" t="str">
        <f t="shared" si="5"/>
        <v>1</v>
      </c>
      <c r="CS81" t="str">
        <f ca="1">IF((OFFSET($A$1, 81 - 1, 95 - 1)) &gt;= (OFFSET($A$1, 54 - 1, 7 - 1)), "1","0")</f>
        <v>0</v>
      </c>
      <c r="CT81">
        <f ca="1" xml:space="preserve"> IF( AND( OFFSET($A$1, 81 - 1, 96 - 1) = "1", OFFSET($A$1, 81 - 1, 97 - 1) = "1" ), 1, IF( AND( OFFSET($A$1, 81 - 1, 96 - 1) = "1", OFFSET($A$1, 81 - 1, 97 - 1) = "0" ), 2, IF( AND( OFFSET($A$1, 81 - 1, 96 - 1) = "0", OFFSET($A$1, 81 - 1, 97 - 1) = "1" ), 3, 4 ) ) )</f>
        <v>2</v>
      </c>
      <c r="CV81" s="24">
        <v>0.95353706846351816</v>
      </c>
      <c r="CW81" s="24" t="str">
        <f t="shared" si="6"/>
        <v>1</v>
      </c>
      <c r="CX81" t="str">
        <f ca="1">IF((OFFSET($A$1, 81 - 1, 100 - 1)) &gt;= (OFFSET($A$1, 78 - 1, 7 - 1)), "1","0")</f>
        <v>1</v>
      </c>
      <c r="CY81">
        <f ca="1" xml:space="preserve"> IF( AND( OFFSET($A$1, 81 - 1, 101 - 1) = "1", OFFSET($A$1, 81 - 1, 102 - 1) = "1" ), 1, IF( AND( OFFSET($A$1, 81 - 1, 101 - 1) = "1", OFFSET($A$1, 81 - 1, 102 - 1) = "0" ), 2, IF( AND( OFFSET($A$1, 81 - 1, 101 - 1) = "0", OFFSET($A$1, 81 - 1, 102 - 1) = "1" ), 3, 4 ) ) )</f>
        <v>1</v>
      </c>
    </row>
    <row r="82" spans="3:103" ht="13.8" x14ac:dyDescent="0.3">
      <c r="C82" s="25" t="s">
        <v>331</v>
      </c>
      <c r="D82" s="26">
        <v>1</v>
      </c>
      <c r="E82" s="26">
        <v>0</v>
      </c>
      <c r="CQ82" s="24">
        <v>0.99945355722621843</v>
      </c>
      <c r="CR82" s="24" t="str">
        <f t="shared" si="5"/>
        <v>1</v>
      </c>
      <c r="CS82" t="str">
        <f ca="1">IF((OFFSET($A$1, 82 - 1, 95 - 1)) &gt;= (OFFSET($A$1, 54 - 1, 7 - 1)), "1","0")</f>
        <v>1</v>
      </c>
      <c r="CT82">
        <f ca="1" xml:space="preserve"> IF( AND( OFFSET($A$1, 82 - 1, 96 - 1) = "1", OFFSET($A$1, 82 - 1, 97 - 1) = "1" ), 1, IF( AND( OFFSET($A$1, 82 - 1, 96 - 1) = "1", OFFSET($A$1, 82 - 1, 97 - 1) = "0" ), 2, IF( AND( OFFSET($A$1, 82 - 1, 96 - 1) = "0", OFFSET($A$1, 82 - 1, 97 - 1) = "1" ), 3, 4 ) ) )</f>
        <v>1</v>
      </c>
      <c r="CV82" s="24">
        <v>0.998164328954392</v>
      </c>
      <c r="CW82" s="24" t="str">
        <f t="shared" si="6"/>
        <v>1</v>
      </c>
      <c r="CX82" t="str">
        <f ca="1">IF((OFFSET($A$1, 82 - 1, 100 - 1)) &gt;= (OFFSET($A$1, 78 - 1, 7 - 1)), "1","0")</f>
        <v>1</v>
      </c>
      <c r="CY82">
        <f ca="1" xml:space="preserve"> IF( AND( OFFSET($A$1, 82 - 1, 101 - 1) = "1", OFFSET($A$1, 82 - 1, 102 - 1) = "1" ), 1, IF( AND( OFFSET($A$1, 82 - 1, 101 - 1) = "1", OFFSET($A$1, 82 - 1, 102 - 1) = "0" ), 2, IF( AND( OFFSET($A$1, 82 - 1, 101 - 1) = "0", OFFSET($A$1, 82 - 1, 102 - 1) = "1" ), 3, 4 ) ) )</f>
        <v>1</v>
      </c>
    </row>
    <row r="83" spans="3:103" ht="13.8" x14ac:dyDescent="0.3">
      <c r="C83" s="25">
        <v>1</v>
      </c>
      <c r="D83" s="24">
        <f ca="1" xml:space="preserve"> COUNTIF( OFFSET($A$1, 1 - 1, 103 - 1, 401, 1), 1 )</f>
        <v>175</v>
      </c>
      <c r="E83" s="24">
        <f ca="1" xml:space="preserve"> COUNTIF( OFFSET($A$1, 1 - 1, 103 - 1, 401, 1), 2 )</f>
        <v>96</v>
      </c>
      <c r="CQ83" s="24">
        <v>0.99971085443199126</v>
      </c>
      <c r="CR83" s="24" t="str">
        <f t="shared" si="5"/>
        <v>1</v>
      </c>
      <c r="CS83" t="str">
        <f ca="1">IF((OFFSET($A$1, 83 - 1, 95 - 1)) &gt;= (OFFSET($A$1, 54 - 1, 7 - 1)), "1","0")</f>
        <v>1</v>
      </c>
      <c r="CT83">
        <f ca="1" xml:space="preserve"> IF( AND( OFFSET($A$1, 83 - 1, 96 - 1) = "1", OFFSET($A$1, 83 - 1, 97 - 1) = "1" ), 1, IF( AND( OFFSET($A$1, 83 - 1, 96 - 1) = "1", OFFSET($A$1, 83 - 1, 97 - 1) = "0" ), 2, IF( AND( OFFSET($A$1, 83 - 1, 96 - 1) = "0", OFFSET($A$1, 83 - 1, 97 - 1) = "1" ), 3, 4 ) ) )</f>
        <v>1</v>
      </c>
      <c r="CV83" s="24">
        <v>0.99927377887221558</v>
      </c>
      <c r="CW83" s="24" t="str">
        <f t="shared" si="6"/>
        <v>1</v>
      </c>
      <c r="CX83" t="str">
        <f ca="1">IF((OFFSET($A$1, 83 - 1, 100 - 1)) &gt;= (OFFSET($A$1, 78 - 1, 7 - 1)), "1","0")</f>
        <v>1</v>
      </c>
      <c r="CY83">
        <f ca="1" xml:space="preserve"> IF( AND( OFFSET($A$1, 83 - 1, 101 - 1) = "1", OFFSET($A$1, 83 - 1, 102 - 1) = "1" ), 1, IF( AND( OFFSET($A$1, 83 - 1, 101 - 1) = "1", OFFSET($A$1, 83 - 1, 102 - 1) = "0" ), 2, IF( AND( OFFSET($A$1, 83 - 1, 101 - 1) = "0", OFFSET($A$1, 83 - 1, 102 - 1) = "1" ), 3, 4 ) ) )</f>
        <v>1</v>
      </c>
    </row>
    <row r="84" spans="3:103" ht="13.8" x14ac:dyDescent="0.3">
      <c r="C84" s="25">
        <v>0</v>
      </c>
      <c r="D84" s="24">
        <f ca="1" xml:space="preserve"> COUNTIF( OFFSET($A$1, 1 - 1, 103 - 1, 401, 1), 3 )</f>
        <v>34</v>
      </c>
      <c r="E84" s="24">
        <f ca="1" xml:space="preserve"> COUNTIF( OFFSET($A$1, 1 - 1, 103 - 1, 401, 1), 4 )</f>
        <v>95</v>
      </c>
      <c r="CQ84" s="24">
        <v>0.98217838634586041</v>
      </c>
      <c r="CR84" s="24" t="str">
        <f t="shared" si="5"/>
        <v>1</v>
      </c>
      <c r="CS84" t="str">
        <f ca="1">IF((OFFSET($A$1, 84 - 1, 95 - 1)) &gt;= (OFFSET($A$1, 54 - 1, 7 - 1)), "1","0")</f>
        <v>1</v>
      </c>
      <c r="CT84">
        <f ca="1" xml:space="preserve"> IF( AND( OFFSET($A$1, 84 - 1, 96 - 1) = "1", OFFSET($A$1, 84 - 1, 97 - 1) = "1" ), 1, IF( AND( OFFSET($A$1, 84 - 1, 96 - 1) = "1", OFFSET($A$1, 84 - 1, 97 - 1) = "0" ), 2, IF( AND( OFFSET($A$1, 84 - 1, 96 - 1) = "0", OFFSET($A$1, 84 - 1, 97 - 1) = "1" ), 3, 4 ) ) )</f>
        <v>1</v>
      </c>
      <c r="CV84" s="24">
        <v>0.83611508289984504</v>
      </c>
      <c r="CW84" s="24" t="str">
        <f t="shared" si="6"/>
        <v>1</v>
      </c>
      <c r="CX84" t="str">
        <f ca="1">IF((OFFSET($A$1, 84 - 1, 100 - 1)) &gt;= (OFFSET($A$1, 78 - 1, 7 - 1)), "1","0")</f>
        <v>0</v>
      </c>
      <c r="CY84">
        <f ca="1" xml:space="preserve"> IF( AND( OFFSET($A$1, 84 - 1, 101 - 1) = "1", OFFSET($A$1, 84 - 1, 102 - 1) = "1" ), 1, IF( AND( OFFSET($A$1, 84 - 1, 101 - 1) = "1", OFFSET($A$1, 84 - 1, 102 - 1) = "0" ), 2, IF( AND( OFFSET($A$1, 84 - 1, 101 - 1) = "0", OFFSET($A$1, 84 - 1, 102 - 1) = "1" ), 3, 4 ) ) )</f>
        <v>2</v>
      </c>
    </row>
    <row r="85" spans="3:103" ht="13.8" x14ac:dyDescent="0.3">
      <c r="CQ85" s="24">
        <v>6.6466182416618974E-2</v>
      </c>
      <c r="CR85" s="24" t="str">
        <f>"0"</f>
        <v>0</v>
      </c>
      <c r="CS85" t="str">
        <f ca="1">IF((OFFSET($A$1, 85 - 1, 95 - 1)) &gt;= (OFFSET($A$1, 54 - 1, 7 - 1)), "1","0")</f>
        <v>0</v>
      </c>
      <c r="CT85">
        <f ca="1" xml:space="preserve"> IF( AND( OFFSET($A$1, 85 - 1, 96 - 1) = "1", OFFSET($A$1, 85 - 1, 97 - 1) = "1" ), 1, IF( AND( OFFSET($A$1, 85 - 1, 96 - 1) = "1", OFFSET($A$1, 85 - 1, 97 - 1) = "0" ), 2, IF( AND( OFFSET($A$1, 85 - 1, 96 - 1) = "0", OFFSET($A$1, 85 - 1, 97 - 1) = "1" ), 3, 4 ) ) )</f>
        <v>4</v>
      </c>
      <c r="CV85" s="24">
        <v>9.8685631497328147E-2</v>
      </c>
      <c r="CW85" s="24" t="str">
        <f>"0"</f>
        <v>0</v>
      </c>
      <c r="CX85" t="str">
        <f ca="1">IF((OFFSET($A$1, 85 - 1, 100 - 1)) &gt;= (OFFSET($A$1, 78 - 1, 7 - 1)), "1","0")</f>
        <v>0</v>
      </c>
      <c r="CY85">
        <f ca="1" xml:space="preserve"> IF( AND( OFFSET($A$1, 85 - 1, 101 - 1) = "1", OFFSET($A$1, 85 - 1, 102 - 1) = "1" ), 1, IF( AND( OFFSET($A$1, 85 - 1, 101 - 1) = "1", OFFSET($A$1, 85 - 1, 102 - 1) = "0" ), 2, IF( AND( OFFSET($A$1, 85 - 1, 101 - 1) = "0", OFFSET($A$1, 85 - 1, 102 - 1) = "1" ), 3, 4 ) ) )</f>
        <v>4</v>
      </c>
    </row>
    <row r="86" spans="3:103" ht="15.6" x14ac:dyDescent="0.3">
      <c r="C86" s="59" t="s">
        <v>210</v>
      </c>
      <c r="D86" s="60"/>
      <c r="E86" s="60"/>
      <c r="F86" s="61"/>
      <c r="CQ86" s="24">
        <v>0.99944286606688815</v>
      </c>
      <c r="CR86" s="24" t="str">
        <f>"1"</f>
        <v>1</v>
      </c>
      <c r="CS86" t="str">
        <f ca="1">IF((OFFSET($A$1, 86 - 1, 95 - 1)) &gt;= (OFFSET($A$1, 54 - 1, 7 - 1)), "1","0")</f>
        <v>1</v>
      </c>
      <c r="CT86">
        <f ca="1" xml:space="preserve"> IF( AND( OFFSET($A$1, 86 - 1, 96 - 1) = "1", OFFSET($A$1, 86 - 1, 97 - 1) = "1" ), 1, IF( AND( OFFSET($A$1, 86 - 1, 96 - 1) = "1", OFFSET($A$1, 86 - 1, 97 - 1) = "0" ), 2, IF( AND( OFFSET($A$1, 86 - 1, 96 - 1) = "0", OFFSET($A$1, 86 - 1, 97 - 1) = "1" ), 3, 4 ) ) )</f>
        <v>1</v>
      </c>
      <c r="CV86" s="24">
        <v>0.93440123408572107</v>
      </c>
      <c r="CW86" s="24" t="str">
        <f>"1"</f>
        <v>1</v>
      </c>
      <c r="CX86" t="str">
        <f ca="1">IF((OFFSET($A$1, 86 - 1, 100 - 1)) &gt;= (OFFSET($A$1, 78 - 1, 7 - 1)), "1","0")</f>
        <v>1</v>
      </c>
      <c r="CY86">
        <f ca="1" xml:space="preserve"> IF( AND( OFFSET($A$1, 86 - 1, 101 - 1) = "1", OFFSET($A$1, 86 - 1, 102 - 1) = "1" ), 1, IF( AND( OFFSET($A$1, 86 - 1, 101 - 1) = "1", OFFSET($A$1, 86 - 1, 102 - 1) = "0" ), 2, IF( AND( OFFSET($A$1, 86 - 1, 101 - 1) = "0", OFFSET($A$1, 86 - 1, 102 - 1) = "1" ), 3, 4 ) ) )</f>
        <v>1</v>
      </c>
    </row>
    <row r="87" spans="3:103" ht="13.8" x14ac:dyDescent="0.3">
      <c r="C87" s="26" t="s">
        <v>332</v>
      </c>
      <c r="D87" s="26" t="s">
        <v>333</v>
      </c>
      <c r="E87" s="26" t="s">
        <v>334</v>
      </c>
      <c r="F87" s="26" t="s">
        <v>335</v>
      </c>
      <c r="CQ87" s="24">
        <v>0.98736771430770687</v>
      </c>
      <c r="CR87" s="24" t="str">
        <f>"1"</f>
        <v>1</v>
      </c>
      <c r="CS87" t="str">
        <f ca="1">IF((OFFSET($A$1, 87 - 1, 95 - 1)) &gt;= (OFFSET($A$1, 54 - 1, 7 - 1)), "1","0")</f>
        <v>1</v>
      </c>
      <c r="CT87">
        <f ca="1" xml:space="preserve"> IF( AND( OFFSET($A$1, 87 - 1, 96 - 1) = "1", OFFSET($A$1, 87 - 1, 97 - 1) = "1" ), 1, IF( AND( OFFSET($A$1, 87 - 1, 96 - 1) = "1", OFFSET($A$1, 87 - 1, 97 - 1) = "0" ), 2, IF( AND( OFFSET($A$1, 87 - 1, 96 - 1) = "0", OFFSET($A$1, 87 - 1, 97 - 1) = "1" ), 3, 4 ) ) )</f>
        <v>1</v>
      </c>
      <c r="CV87" s="24">
        <v>0.96145844604483199</v>
      </c>
      <c r="CW87" s="24" t="str">
        <f>"1"</f>
        <v>1</v>
      </c>
      <c r="CX87" t="str">
        <f ca="1">IF((OFFSET($A$1, 87 - 1, 100 - 1)) &gt;= (OFFSET($A$1, 78 - 1, 7 - 1)), "1","0")</f>
        <v>1</v>
      </c>
      <c r="CY87">
        <f ca="1" xml:space="preserve"> IF( AND( OFFSET($A$1, 87 - 1, 101 - 1) = "1", OFFSET($A$1, 87 - 1, 102 - 1) = "1" ), 1, IF( AND( OFFSET($A$1, 87 - 1, 101 - 1) = "1", OFFSET($A$1, 87 - 1, 102 - 1) = "0" ), 2, IF( AND( OFFSET($A$1, 87 - 1, 101 - 1) = "0", OFFSET($A$1, 87 - 1, 102 - 1) = "1" ), 3, 4 ) ) )</f>
        <v>1</v>
      </c>
    </row>
    <row r="88" spans="3:103" ht="13.8" x14ac:dyDescent="0.3">
      <c r="C88" s="25">
        <v>1</v>
      </c>
      <c r="D88" s="24">
        <f ca="1">SUM(OFFSET($A$1, 83 - 1, 4 - 1, 1, 2))</f>
        <v>271</v>
      </c>
      <c r="E88" s="24">
        <f ca="1">SUM(OFFSET($A$1, 83 - 1, 4 - 1, 1, 2)) - OFFSET($A$1, 83 - 1, 4 - 1)</f>
        <v>96</v>
      </c>
      <c r="F88" s="24">
        <f ca="1">IF(OFFSET($A$1, 88 - 1, 4 - 1)=0,"Undefined",((OFFSET($A$1, 88 - 1, 5 - 1))*100) / (OFFSET($A$1, 88 - 1, 4 - 1)))</f>
        <v>35.424354243542439</v>
      </c>
      <c r="CQ88" s="24">
        <v>0.97947898656543886</v>
      </c>
      <c r="CR88" s="24" t="str">
        <f>"1"</f>
        <v>1</v>
      </c>
      <c r="CS88" t="str">
        <f ca="1">IF((OFFSET($A$1, 88 - 1, 95 - 1)) &gt;= (OFFSET($A$1, 54 - 1, 7 - 1)), "1","0")</f>
        <v>1</v>
      </c>
      <c r="CT88">
        <f ca="1" xml:space="preserve"> IF( AND( OFFSET($A$1, 88 - 1, 96 - 1) = "1", OFFSET($A$1, 88 - 1, 97 - 1) = "1" ), 1, IF( AND( OFFSET($A$1, 88 - 1, 96 - 1) = "1", OFFSET($A$1, 88 - 1, 97 - 1) = "0" ), 2, IF( AND( OFFSET($A$1, 88 - 1, 96 - 1) = "0", OFFSET($A$1, 88 - 1, 97 - 1) = "1" ), 3, 4 ) ) )</f>
        <v>1</v>
      </c>
      <c r="CV88" s="24">
        <v>0.31449851919936328</v>
      </c>
      <c r="CW88" s="24" t="str">
        <f>"1"</f>
        <v>1</v>
      </c>
      <c r="CX88" t="str">
        <f ca="1">IF((OFFSET($A$1, 88 - 1, 100 - 1)) &gt;= (OFFSET($A$1, 78 - 1, 7 - 1)), "1","0")</f>
        <v>0</v>
      </c>
      <c r="CY88">
        <f ca="1" xml:space="preserve"> IF( AND( OFFSET($A$1, 88 - 1, 101 - 1) = "1", OFFSET($A$1, 88 - 1, 102 - 1) = "1" ), 1, IF( AND( OFFSET($A$1, 88 - 1, 101 - 1) = "1", OFFSET($A$1, 88 - 1, 102 - 1) = "0" ), 2, IF( AND( OFFSET($A$1, 88 - 1, 101 - 1) = "0", OFFSET($A$1, 88 - 1, 102 - 1) = "1" ), 3, 4 ) ) )</f>
        <v>2</v>
      </c>
    </row>
    <row r="89" spans="3:103" ht="13.8" x14ac:dyDescent="0.3">
      <c r="C89" s="25">
        <v>0</v>
      </c>
      <c r="D89" s="24">
        <f ca="1">SUM(OFFSET($A$1, 84 - 1, 4 - 1, 1, 2))</f>
        <v>129</v>
      </c>
      <c r="E89" s="24">
        <f ca="1">SUM(OFFSET($A$1, 84 - 1, 4 - 1, 1, 2)) - OFFSET($A$1, 84 - 1, 5 - 1)</f>
        <v>34</v>
      </c>
      <c r="F89" s="24">
        <f ca="1">IF(OFFSET($A$1, 89 - 1, 4 - 1)=0,"Undefined",((OFFSET($A$1, 89 - 1, 5 - 1))*100) / (OFFSET($A$1, 89 - 1, 4 - 1)))</f>
        <v>26.356589147286822</v>
      </c>
      <c r="CQ89" s="24">
        <v>0.79227431125670345</v>
      </c>
      <c r="CR89" s="24" t="str">
        <f>"1"</f>
        <v>1</v>
      </c>
      <c r="CS89" t="str">
        <f ca="1">IF((OFFSET($A$1, 89 - 1, 95 - 1)) &gt;= (OFFSET($A$1, 54 - 1, 7 - 1)), "1","0")</f>
        <v>0</v>
      </c>
      <c r="CT89">
        <f ca="1" xml:space="preserve"> IF( AND( OFFSET($A$1, 89 - 1, 96 - 1) = "1", OFFSET($A$1, 89 - 1, 97 - 1) = "1" ), 1, IF( AND( OFFSET($A$1, 89 - 1, 96 - 1) = "1", OFFSET($A$1, 89 - 1, 97 - 1) = "0" ), 2, IF( AND( OFFSET($A$1, 89 - 1, 96 - 1) = "0", OFFSET($A$1, 89 - 1, 97 - 1) = "1" ), 3, 4 ) ) )</f>
        <v>2</v>
      </c>
      <c r="CV89" s="24">
        <v>0.96478375831041641</v>
      </c>
      <c r="CW89" s="24" t="str">
        <f>"0"</f>
        <v>0</v>
      </c>
      <c r="CX89" t="str">
        <f ca="1">IF((OFFSET($A$1, 89 - 1, 100 - 1)) &gt;= (OFFSET($A$1, 78 - 1, 7 - 1)), "1","0")</f>
        <v>1</v>
      </c>
      <c r="CY89">
        <f ca="1" xml:space="preserve"> IF( AND( OFFSET($A$1, 89 - 1, 101 - 1) = "1", OFFSET($A$1, 89 - 1, 102 - 1) = "1" ), 1, IF( AND( OFFSET($A$1, 89 - 1, 101 - 1) = "1", OFFSET($A$1, 89 - 1, 102 - 1) = "0" ), 2, IF( AND( OFFSET($A$1, 89 - 1, 101 - 1) = "0", OFFSET($A$1, 89 - 1, 102 - 1) = "1" ), 3, 4 ) ) )</f>
        <v>3</v>
      </c>
    </row>
    <row r="90" spans="3:103" ht="13.8" x14ac:dyDescent="0.3">
      <c r="C90" s="25" t="s">
        <v>336</v>
      </c>
      <c r="D90" s="24">
        <f ca="1">SUM(OFFSET($A$1, 88 - 1, 4 - 1, 2, 1))</f>
        <v>400</v>
      </c>
      <c r="E90" s="24">
        <f ca="1">SUM(OFFSET($A$1, 88 - 1, 5 - 1, 2, 1))</f>
        <v>130</v>
      </c>
      <c r="F90" s="24">
        <f ca="1">IF(OFFSET($A$1, 90 - 1, 4 - 1)=0,"Undefined",((OFFSET($A$1, 90 - 1, 5 - 1))*100) / (OFFSET($A$1, 90 - 1, 4 - 1)))</f>
        <v>32.5</v>
      </c>
      <c r="CQ90" s="24">
        <v>0.99830459553271456</v>
      </c>
      <c r="CR90" s="24" t="str">
        <f>"1"</f>
        <v>1</v>
      </c>
      <c r="CS90" t="str">
        <f ca="1">IF((OFFSET($A$1, 90 - 1, 95 - 1)) &gt;= (OFFSET($A$1, 54 - 1, 7 - 1)), "1","0")</f>
        <v>1</v>
      </c>
      <c r="CT90">
        <f ca="1" xml:space="preserve"> IF( AND( OFFSET($A$1, 90 - 1, 96 - 1) = "1", OFFSET($A$1, 90 - 1, 97 - 1) = "1" ), 1, IF( AND( OFFSET($A$1, 90 - 1, 96 - 1) = "1", OFFSET($A$1, 90 - 1, 97 - 1) = "0" ), 2, IF( AND( OFFSET($A$1, 90 - 1, 96 - 1) = "0", OFFSET($A$1, 90 - 1, 97 - 1) = "1" ), 3, 4 ) ) )</f>
        <v>1</v>
      </c>
      <c r="CV90" s="24">
        <v>0.11589536894142274</v>
      </c>
      <c r="CW90" s="24" t="str">
        <f>"0"</f>
        <v>0</v>
      </c>
      <c r="CX90" t="str">
        <f ca="1">IF((OFFSET($A$1, 90 - 1, 100 - 1)) &gt;= (OFFSET($A$1, 78 - 1, 7 - 1)), "1","0")</f>
        <v>0</v>
      </c>
      <c r="CY90">
        <f ca="1" xml:space="preserve"> IF( AND( OFFSET($A$1, 90 - 1, 101 - 1) = "1", OFFSET($A$1, 90 - 1, 102 - 1) = "1" ), 1, IF( AND( OFFSET($A$1, 90 - 1, 101 - 1) = "1", OFFSET($A$1, 90 - 1, 102 - 1) = "0" ), 2, IF( AND( OFFSET($A$1, 90 - 1, 101 - 1) = "0", OFFSET($A$1, 90 - 1, 102 - 1) = "1" ), 3, 4 ) ) )</f>
        <v>4</v>
      </c>
    </row>
    <row r="91" spans="3:103" ht="13.8" x14ac:dyDescent="0.3">
      <c r="CQ91" s="24">
        <v>6.8415032669555495E-2</v>
      </c>
      <c r="CR91" s="24" t="str">
        <f>"0"</f>
        <v>0</v>
      </c>
      <c r="CS91" t="str">
        <f ca="1">IF((OFFSET($A$1, 91 - 1, 95 - 1)) &gt;= (OFFSET($A$1, 54 - 1, 7 - 1)), "1","0")</f>
        <v>0</v>
      </c>
      <c r="CT91">
        <f ca="1" xml:space="preserve"> IF( AND( OFFSET($A$1, 91 - 1, 96 - 1) = "1", OFFSET($A$1, 91 - 1, 97 - 1) = "1" ), 1, IF( AND( OFFSET($A$1, 91 - 1, 96 - 1) = "1", OFFSET($A$1, 91 - 1, 97 - 1) = "0" ), 2, IF( AND( OFFSET($A$1, 91 - 1, 96 - 1) = "0", OFFSET($A$1, 91 - 1, 97 - 1) = "1" ), 3, 4 ) ) )</f>
        <v>4</v>
      </c>
      <c r="CV91" s="24">
        <v>0.98373555006582902</v>
      </c>
      <c r="CW91" s="24" t="str">
        <f>"1"</f>
        <v>1</v>
      </c>
      <c r="CX91" t="str">
        <f ca="1">IF((OFFSET($A$1, 91 - 1, 100 - 1)) &gt;= (OFFSET($A$1, 78 - 1, 7 - 1)), "1","0")</f>
        <v>1</v>
      </c>
      <c r="CY91">
        <f ca="1" xml:space="preserve"> IF( AND( OFFSET($A$1, 91 - 1, 101 - 1) = "1", OFFSET($A$1, 91 - 1, 102 - 1) = "1" ), 1, IF( AND( OFFSET($A$1, 91 - 1, 101 - 1) = "1", OFFSET($A$1, 91 - 1, 102 - 1) = "0" ), 2, IF( AND( OFFSET($A$1, 91 - 1, 101 - 1) = "0", OFFSET($A$1, 91 - 1, 102 - 1) = "1" ), 3, 4 ) ) )</f>
        <v>1</v>
      </c>
    </row>
    <row r="92" spans="3:103" ht="15.6" x14ac:dyDescent="0.3">
      <c r="C92" s="59" t="s">
        <v>708</v>
      </c>
      <c r="D92" s="60"/>
      <c r="E92" s="61"/>
      <c r="CQ92" s="24">
        <v>0.9970402054578692</v>
      </c>
      <c r="CR92" s="24" t="str">
        <f>"1"</f>
        <v>1</v>
      </c>
      <c r="CS92" t="str">
        <f ca="1">IF((OFFSET($A$1, 92 - 1, 95 - 1)) &gt;= (OFFSET($A$1, 54 - 1, 7 - 1)), "1","0")</f>
        <v>1</v>
      </c>
      <c r="CT92">
        <f ca="1" xml:space="preserve"> IF( AND( OFFSET($A$1, 92 - 1, 96 - 1) = "1", OFFSET($A$1, 92 - 1, 97 - 1) = "1" ), 1, IF( AND( OFFSET($A$1, 92 - 1, 96 - 1) = "1", OFFSET($A$1, 92 - 1, 97 - 1) = "0" ), 2, IF( AND( OFFSET($A$1, 92 - 1, 96 - 1) = "0", OFFSET($A$1, 92 - 1, 97 - 1) = "1" ), 3, 4 ) ) )</f>
        <v>1</v>
      </c>
      <c r="CV92" s="24">
        <v>0.64262960203342845</v>
      </c>
      <c r="CW92" s="24" t="str">
        <f>"0"</f>
        <v>0</v>
      </c>
      <c r="CX92" t="str">
        <f ca="1">IF((OFFSET($A$1, 92 - 1, 100 - 1)) &gt;= (OFFSET($A$1, 78 - 1, 7 - 1)), "1","0")</f>
        <v>0</v>
      </c>
      <c r="CY92">
        <f ca="1" xml:space="preserve"> IF( AND( OFFSET($A$1, 92 - 1, 101 - 1) = "1", OFFSET($A$1, 92 - 1, 102 - 1) = "1" ), 1, IF( AND( OFFSET($A$1, 92 - 1, 101 - 1) = "1", OFFSET($A$1, 92 - 1, 102 - 1) = "0" ), 2, IF( AND( OFFSET($A$1, 92 - 1, 101 - 1) = "0", OFFSET($A$1, 92 - 1, 102 - 1) = "1" ), 3, 4 ) ) )</f>
        <v>4</v>
      </c>
    </row>
    <row r="93" spans="3:103" ht="13.8" x14ac:dyDescent="0.3">
      <c r="C93" s="62" t="s">
        <v>709</v>
      </c>
      <c r="D93" s="64"/>
      <c r="E93" s="34">
        <v>1</v>
      </c>
      <c r="CQ93" s="24">
        <v>0.89008047022918546</v>
      </c>
      <c r="CR93" s="24" t="str">
        <f>"1"</f>
        <v>1</v>
      </c>
      <c r="CS93" t="str">
        <f ca="1">IF((OFFSET($A$1, 93 - 1, 95 - 1)) &gt;= (OFFSET($A$1, 54 - 1, 7 - 1)), "1","0")</f>
        <v>0</v>
      </c>
      <c r="CT93">
        <f ca="1" xml:space="preserve"> IF( AND( OFFSET($A$1, 93 - 1, 96 - 1) = "1", OFFSET($A$1, 93 - 1, 97 - 1) = "1" ), 1, IF( AND( OFFSET($A$1, 93 - 1, 96 - 1) = "1", OFFSET($A$1, 93 - 1, 97 - 1) = "0" ), 2, IF( AND( OFFSET($A$1, 93 - 1, 96 - 1) = "0", OFFSET($A$1, 93 - 1, 97 - 1) = "1" ), 3, 4 ) ) )</f>
        <v>2</v>
      </c>
      <c r="CV93" s="24">
        <v>0.99970688707231337</v>
      </c>
      <c r="CW93" s="24" t="str">
        <f>"1"</f>
        <v>1</v>
      </c>
      <c r="CX93" t="str">
        <f ca="1">IF((OFFSET($A$1, 93 - 1, 100 - 1)) &gt;= (OFFSET($A$1, 78 - 1, 7 - 1)), "1","0")</f>
        <v>1</v>
      </c>
      <c r="CY93">
        <f ca="1" xml:space="preserve"> IF( AND( OFFSET($A$1, 93 - 1, 101 - 1) = "1", OFFSET($A$1, 93 - 1, 102 - 1) = "1" ), 1, IF( AND( OFFSET($A$1, 93 - 1, 101 - 1) = "1", OFFSET($A$1, 93 - 1, 102 - 1) = "0" ), 2, IF( AND( OFFSET($A$1, 93 - 1, 101 - 1) = "0", OFFSET($A$1, 93 - 1, 102 - 1) = "1" ), 3, 4 ) ) )</f>
        <v>1</v>
      </c>
    </row>
    <row r="94" spans="3:103" ht="13.8" x14ac:dyDescent="0.3">
      <c r="C94" s="62" t="s">
        <v>710</v>
      </c>
      <c r="D94" s="64"/>
      <c r="E94" s="34">
        <f ca="1">IF((OFFSET($A$1, 83 - 1, 4 - 1) + OFFSET($A$1, 84 - 1, 4 - 1)) = 0,"Undefined",OFFSET($A$1, 83 - 1, 4 - 1)/(OFFSET($A$1, 83 - 1, 4 - 1) + OFFSET($A$1, 84 - 1, 4 - 1)))</f>
        <v>0.83732057416267947</v>
      </c>
      <c r="CQ94" s="24">
        <v>4.7827730568723012E-2</v>
      </c>
      <c r="CR94" s="24" t="str">
        <f>"0"</f>
        <v>0</v>
      </c>
      <c r="CS94" t="str">
        <f ca="1">IF((OFFSET($A$1, 94 - 1, 95 - 1)) &gt;= (OFFSET($A$1, 54 - 1, 7 - 1)), "1","0")</f>
        <v>0</v>
      </c>
      <c r="CT94">
        <f ca="1" xml:space="preserve"> IF( AND( OFFSET($A$1, 94 - 1, 96 - 1) = "1", OFFSET($A$1, 94 - 1, 97 - 1) = "1" ), 1, IF( AND( OFFSET($A$1, 94 - 1, 96 - 1) = "1", OFFSET($A$1, 94 - 1, 97 - 1) = "0" ), 2, IF( AND( OFFSET($A$1, 94 - 1, 96 - 1) = "0", OFFSET($A$1, 94 - 1, 97 - 1) = "1" ), 3, 4 ) ) )</f>
        <v>4</v>
      </c>
      <c r="CV94" s="24">
        <v>0.74474836117770193</v>
      </c>
      <c r="CW94" s="24" t="str">
        <f>"0"</f>
        <v>0</v>
      </c>
      <c r="CX94" t="str">
        <f ca="1">IF((OFFSET($A$1, 94 - 1, 100 - 1)) &gt;= (OFFSET($A$1, 78 - 1, 7 - 1)), "1","0")</f>
        <v>0</v>
      </c>
      <c r="CY94">
        <f ca="1" xml:space="preserve"> IF( AND( OFFSET($A$1, 94 - 1, 101 - 1) = "1", OFFSET($A$1, 94 - 1, 102 - 1) = "1" ), 1, IF( AND( OFFSET($A$1, 94 - 1, 101 - 1) = "1", OFFSET($A$1, 94 - 1, 102 - 1) = "0" ), 2, IF( AND( OFFSET($A$1, 94 - 1, 101 - 1) = "0", OFFSET($A$1, 94 - 1, 102 - 1) = "1" ), 3, 4 ) ) )</f>
        <v>4</v>
      </c>
    </row>
    <row r="95" spans="3:103" ht="13.8" x14ac:dyDescent="0.3">
      <c r="C95" s="62" t="s">
        <v>711</v>
      </c>
      <c r="D95" s="64"/>
      <c r="E95" s="34">
        <f ca="1">IF((OFFSET($A$1, 83 - 1, 4 - 1) + OFFSET($A$1, 83 - 1, 5 - 1)) = 0,"Undefined",OFFSET($A$1, 83 - 1, 4 - 1)/(OFFSET($A$1, 83 - 1, 4 - 1) + OFFSET($A$1, 83 - 1, 5 - 1)))</f>
        <v>0.64575645756457567</v>
      </c>
      <c r="CQ95" s="24">
        <v>0.99872137587585275</v>
      </c>
      <c r="CR95" s="24" t="str">
        <f>"1"</f>
        <v>1</v>
      </c>
      <c r="CS95" t="str">
        <f ca="1">IF((OFFSET($A$1, 95 - 1, 95 - 1)) &gt;= (OFFSET($A$1, 54 - 1, 7 - 1)), "1","0")</f>
        <v>1</v>
      </c>
      <c r="CT95">
        <f ca="1" xml:space="preserve"> IF( AND( OFFSET($A$1, 95 - 1, 96 - 1) = "1", OFFSET($A$1, 95 - 1, 97 - 1) = "1" ), 1, IF( AND( OFFSET($A$1, 95 - 1, 96 - 1) = "1", OFFSET($A$1, 95 - 1, 97 - 1) = "0" ), 2, IF( AND( OFFSET($A$1, 95 - 1, 96 - 1) = "0", OFFSET($A$1, 95 - 1, 97 - 1) = "1" ), 3, 4 ) ) )</f>
        <v>1</v>
      </c>
      <c r="CV95" s="24">
        <v>0.88845001947431301</v>
      </c>
      <c r="CW95" s="24" t="str">
        <f>"1"</f>
        <v>1</v>
      </c>
      <c r="CX95" t="str">
        <f ca="1">IF((OFFSET($A$1, 95 - 1, 100 - 1)) &gt;= (OFFSET($A$1, 78 - 1, 7 - 1)), "1","0")</f>
        <v>0</v>
      </c>
      <c r="CY95">
        <f ca="1" xml:space="preserve"> IF( AND( OFFSET($A$1, 95 - 1, 101 - 1) = "1", OFFSET($A$1, 95 - 1, 102 - 1) = "1" ), 1, IF( AND( OFFSET($A$1, 95 - 1, 101 - 1) = "1", OFFSET($A$1, 95 - 1, 102 - 1) = "0" ), 2, IF( AND( OFFSET($A$1, 95 - 1, 101 - 1) = "0", OFFSET($A$1, 95 - 1, 102 - 1) = "1" ), 3, 4 ) ) )</f>
        <v>2</v>
      </c>
    </row>
    <row r="96" spans="3:103" ht="13.8" x14ac:dyDescent="0.3">
      <c r="C96" s="62" t="s">
        <v>712</v>
      </c>
      <c r="D96" s="64"/>
      <c r="E96" s="34">
        <f ca="1">IF((OFFSET($A$1, 84 - 1, 4 - 1) + OFFSET($A$1, 84 - 1, 5 - 1)) = 0,"Undefined",OFFSET($A$1, 84 - 1, 5 - 1)/(OFFSET($A$1, 84 - 1, 4 - 1) + OFFSET($A$1, 84 - 1, 5 - 1)))</f>
        <v>0.73643410852713176</v>
      </c>
      <c r="CQ96" s="24">
        <v>0.99856345791215773</v>
      </c>
      <c r="CR96" s="24" t="str">
        <f>"1"</f>
        <v>1</v>
      </c>
      <c r="CS96" t="str">
        <f ca="1">IF((OFFSET($A$1, 96 - 1, 95 - 1)) &gt;= (OFFSET($A$1, 54 - 1, 7 - 1)), "1","0")</f>
        <v>1</v>
      </c>
      <c r="CT96">
        <f ca="1" xml:space="preserve"> IF( AND( OFFSET($A$1, 96 - 1, 96 - 1) = "1", OFFSET($A$1, 96 - 1, 97 - 1) = "1" ), 1, IF( AND( OFFSET($A$1, 96 - 1, 96 - 1) = "1", OFFSET($A$1, 96 - 1, 97 - 1) = "0" ), 2, IF( AND( OFFSET($A$1, 96 - 1, 96 - 1) = "0", OFFSET($A$1, 96 - 1, 97 - 1) = "1" ), 3, 4 ) ) )</f>
        <v>1</v>
      </c>
      <c r="CV96" s="24">
        <v>0.46249864414960284</v>
      </c>
      <c r="CW96" s="24" t="str">
        <f>"0"</f>
        <v>0</v>
      </c>
      <c r="CX96" t="str">
        <f ca="1">IF((OFFSET($A$1, 96 - 1, 100 - 1)) &gt;= (OFFSET($A$1, 78 - 1, 7 - 1)), "1","0")</f>
        <v>0</v>
      </c>
      <c r="CY96">
        <f ca="1" xml:space="preserve"> IF( AND( OFFSET($A$1, 96 - 1, 101 - 1) = "1", OFFSET($A$1, 96 - 1, 102 - 1) = "1" ), 1, IF( AND( OFFSET($A$1, 96 - 1, 101 - 1) = "1", OFFSET($A$1, 96 - 1, 102 - 1) = "0" ), 2, IF( AND( OFFSET($A$1, 96 - 1, 101 - 1) = "0", OFFSET($A$1, 96 - 1, 102 - 1) = "1" ), 3, 4 ) ) )</f>
        <v>4</v>
      </c>
    </row>
    <row r="97" spans="2:103" ht="13.8" x14ac:dyDescent="0.3">
      <c r="C97" s="62" t="s">
        <v>713</v>
      </c>
      <c r="D97" s="64"/>
      <c r="E97" s="34">
        <f ca="1">IF(OR(OFFSET($A$1, 94 - 1, 5 - 1)="Undefined",OFFSET($A$1, 95 - 1, 5 - 1)="Undefined"),"Undefined",IF((OFFSET($A$1, 94 - 1, 5 - 1) + OFFSET($A$1, 95 - 1, 5 - 1))=0,"Undefined",2*OFFSET($A$1, 94 - 1, 5 - 1)*OFFSET($A$1, 95 - 1, 5 - 1)/(OFFSET($A$1, 94 - 1, 5 - 1)+OFFSET($A$1, 95 - 1, 5 - 1))))</f>
        <v>0.72916666666666663</v>
      </c>
      <c r="CQ97" s="24">
        <v>7.0607613599440636E-2</v>
      </c>
      <c r="CR97" s="24" t="str">
        <f>"0"</f>
        <v>0</v>
      </c>
      <c r="CS97" t="str">
        <f ca="1">IF((OFFSET($A$1, 97 - 1, 95 - 1)) &gt;= (OFFSET($A$1, 54 - 1, 7 - 1)), "1","0")</f>
        <v>0</v>
      </c>
      <c r="CT97">
        <f ca="1" xml:space="preserve"> IF( AND( OFFSET($A$1, 97 - 1, 96 - 1) = "1", OFFSET($A$1, 97 - 1, 97 - 1) = "1" ), 1, IF( AND( OFFSET($A$1, 97 - 1, 96 - 1) = "1", OFFSET($A$1, 97 - 1, 97 - 1) = "0" ), 2, IF( AND( OFFSET($A$1, 97 - 1, 96 - 1) = "0", OFFSET($A$1, 97 - 1, 97 - 1) = "1" ), 3, 4 ) ) )</f>
        <v>4</v>
      </c>
      <c r="CV97" s="24">
        <v>0.85923786070054553</v>
      </c>
      <c r="CW97" s="24" t="str">
        <f>"1"</f>
        <v>1</v>
      </c>
      <c r="CX97" t="str">
        <f ca="1">IF((OFFSET($A$1, 97 - 1, 100 - 1)) &gt;= (OFFSET($A$1, 78 - 1, 7 - 1)), "1","0")</f>
        <v>0</v>
      </c>
      <c r="CY97">
        <f ca="1" xml:space="preserve"> IF( AND( OFFSET($A$1, 97 - 1, 101 - 1) = "1", OFFSET($A$1, 97 - 1, 102 - 1) = "1" ), 1, IF( AND( OFFSET($A$1, 97 - 1, 101 - 1) = "1", OFFSET($A$1, 97 - 1, 102 - 1) = "0" ), 2, IF( AND( OFFSET($A$1, 97 - 1, 101 - 1) = "0", OFFSET($A$1, 97 - 1, 102 - 1) = "1" ), 3, 4 ) ) )</f>
        <v>2</v>
      </c>
    </row>
    <row r="98" spans="2:103" ht="13.8" x14ac:dyDescent="0.3">
      <c r="CQ98" s="24">
        <v>4.1113898512188551E-2</v>
      </c>
      <c r="CR98" s="24" t="str">
        <f>"0"</f>
        <v>0</v>
      </c>
      <c r="CS98" t="str">
        <f ca="1">IF((OFFSET($A$1, 98 - 1, 95 - 1)) &gt;= (OFFSET($A$1, 54 - 1, 7 - 1)), "1","0")</f>
        <v>0</v>
      </c>
      <c r="CT98">
        <f ca="1" xml:space="preserve"> IF( AND( OFFSET($A$1, 98 - 1, 96 - 1) = "1", OFFSET($A$1, 98 - 1, 97 - 1) = "1" ), 1, IF( AND( OFFSET($A$1, 98 - 1, 96 - 1) = "1", OFFSET($A$1, 98 - 1, 97 - 1) = "0" ), 2, IF( AND( OFFSET($A$1, 98 - 1, 96 - 1) = "0", OFFSET($A$1, 98 - 1, 97 - 1) = "1" ), 3, 4 ) ) )</f>
        <v>4</v>
      </c>
      <c r="CV98" s="24">
        <v>0.9976049480989746</v>
      </c>
      <c r="CW98" s="24" t="str">
        <f>"1"</f>
        <v>1</v>
      </c>
      <c r="CX98" t="str">
        <f ca="1">IF((OFFSET($A$1, 98 - 1, 100 - 1)) &gt;= (OFFSET($A$1, 78 - 1, 7 - 1)), "1","0")</f>
        <v>1</v>
      </c>
      <c r="CY98">
        <f ca="1" xml:space="preserve"> IF( AND( OFFSET($A$1, 98 - 1, 101 - 1) = "1", OFFSET($A$1, 98 - 1, 102 - 1) = "1" ), 1, IF( AND( OFFSET($A$1, 98 - 1, 101 - 1) = "1", OFFSET($A$1, 98 - 1, 102 - 1) = "0" ), 2, IF( AND( OFFSET($A$1, 98 - 1, 101 - 1) = "0", OFFSET($A$1, 98 - 1, 102 - 1) = "1" ), 3, 4 ) ) )</f>
        <v>1</v>
      </c>
    </row>
    <row r="99" spans="2:103" ht="13.8" x14ac:dyDescent="0.3">
      <c r="CQ99" s="24">
        <v>5.179915980010899E-2</v>
      </c>
      <c r="CR99" s="24" t="str">
        <f>"0"</f>
        <v>0</v>
      </c>
      <c r="CS99" t="str">
        <f ca="1">IF((OFFSET($A$1, 99 - 1, 95 - 1)) &gt;= (OFFSET($A$1, 54 - 1, 7 - 1)), "1","0")</f>
        <v>0</v>
      </c>
      <c r="CT99">
        <f ca="1" xml:space="preserve"> IF( AND( OFFSET($A$1, 99 - 1, 96 - 1) = "1", OFFSET($A$1, 99 - 1, 97 - 1) = "1" ), 1, IF( AND( OFFSET($A$1, 99 - 1, 96 - 1) = "1", OFFSET($A$1, 99 - 1, 97 - 1) = "0" ), 2, IF( AND( OFFSET($A$1, 99 - 1, 96 - 1) = "0", OFFSET($A$1, 99 - 1, 97 - 1) = "1" ), 3, 4 ) ) )</f>
        <v>4</v>
      </c>
      <c r="CV99" s="24">
        <v>0.92968358658181982</v>
      </c>
      <c r="CW99" s="24" t="str">
        <f>"0"</f>
        <v>0</v>
      </c>
      <c r="CX99" t="str">
        <f ca="1">IF((OFFSET($A$1, 99 - 1, 100 - 1)) &gt;= (OFFSET($A$1, 78 - 1, 7 - 1)), "1","0")</f>
        <v>1</v>
      </c>
      <c r="CY99">
        <f ca="1" xml:space="preserve"> IF( AND( OFFSET($A$1, 99 - 1, 101 - 1) = "1", OFFSET($A$1, 99 - 1, 102 - 1) = "1" ), 1, IF( AND( OFFSET($A$1, 99 - 1, 101 - 1) = "1", OFFSET($A$1, 99 - 1, 102 - 1) = "0" ), 2, IF( AND( OFFSET($A$1, 99 - 1, 101 - 1) = "0", OFFSET($A$1, 99 - 1, 102 - 1) = "1" ), 3, 4 ) ) )</f>
        <v>3</v>
      </c>
    </row>
    <row r="100" spans="2:103" ht="18" x14ac:dyDescent="0.35">
      <c r="B100" s="22" t="s">
        <v>715</v>
      </c>
      <c r="CQ100" s="24">
        <v>0.98374231320891636</v>
      </c>
      <c r="CR100" s="24" t="str">
        <f>"1"</f>
        <v>1</v>
      </c>
      <c r="CS100" t="str">
        <f ca="1">IF((OFFSET($A$1, 100 - 1, 95 - 1)) &gt;= (OFFSET($A$1, 54 - 1, 7 - 1)), "1","0")</f>
        <v>1</v>
      </c>
      <c r="CT100">
        <f ca="1" xml:space="preserve"> IF( AND( OFFSET($A$1, 100 - 1, 96 - 1) = "1", OFFSET($A$1, 100 - 1, 97 - 1) = "1" ), 1, IF( AND( OFFSET($A$1, 100 - 1, 96 - 1) = "1", OFFSET($A$1, 100 - 1, 97 - 1) = "0" ), 2, IF( AND( OFFSET($A$1, 100 - 1, 96 - 1) = "0", OFFSET($A$1, 100 - 1, 97 - 1) = "1" ), 3, 4 ) ) )</f>
        <v>1</v>
      </c>
      <c r="CV100" s="24">
        <v>0.91675175491528726</v>
      </c>
      <c r="CW100" s="24" t="str">
        <f>"0"</f>
        <v>0</v>
      </c>
      <c r="CX100" t="str">
        <f ca="1">IF((OFFSET($A$1, 100 - 1, 100 - 1)) &gt;= (OFFSET($A$1, 78 - 1, 7 - 1)), "1","0")</f>
        <v>1</v>
      </c>
      <c r="CY100">
        <f ca="1" xml:space="preserve"> IF( AND( OFFSET($A$1, 100 - 1, 101 - 1) = "1", OFFSET($A$1, 100 - 1, 102 - 1) = "1" ), 1, IF( AND( OFFSET($A$1, 100 - 1, 101 - 1) = "1", OFFSET($A$1, 100 - 1, 102 - 1) = "0" ), 2, IF( AND( OFFSET($A$1, 100 - 1, 101 - 1) = "0", OFFSET($A$1, 100 - 1, 102 - 1) = "1" ), 3, 4 ) ) )</f>
        <v>3</v>
      </c>
    </row>
    <row r="101" spans="2:103" ht="13.8" x14ac:dyDescent="0.3">
      <c r="CQ101" s="24">
        <v>4.2541751747328979E-2</v>
      </c>
      <c r="CR101" s="24" t="str">
        <f>"0"</f>
        <v>0</v>
      </c>
      <c r="CS101" t="str">
        <f ca="1">IF((OFFSET($A$1, 101 - 1, 95 - 1)) &gt;= (OFFSET($A$1, 54 - 1, 7 - 1)), "1","0")</f>
        <v>0</v>
      </c>
      <c r="CT101">
        <f ca="1" xml:space="preserve"> IF( AND( OFFSET($A$1, 101 - 1, 96 - 1) = "1", OFFSET($A$1, 101 - 1, 97 - 1) = "1" ), 1, IF( AND( OFFSET($A$1, 101 - 1, 96 - 1) = "1", OFFSET($A$1, 101 - 1, 97 - 1) = "0" ), 2, IF( AND( OFFSET($A$1, 101 - 1, 96 - 1) = "0", OFFSET($A$1, 101 - 1, 97 - 1) = "1" ), 3, 4 ) ) )</f>
        <v>4</v>
      </c>
      <c r="CV101" s="24">
        <v>6.169264097967337E-2</v>
      </c>
      <c r="CW101" s="24" t="str">
        <f>"0"</f>
        <v>0</v>
      </c>
      <c r="CX101" t="str">
        <f ca="1">IF((OFFSET($A$1, 101 - 1, 100 - 1)) &gt;= (OFFSET($A$1, 78 - 1, 7 - 1)), "1","0")</f>
        <v>0</v>
      </c>
      <c r="CY101">
        <f ca="1" xml:space="preserve"> IF( AND( OFFSET($A$1, 101 - 1, 101 - 1) = "1", OFFSET($A$1, 101 - 1, 102 - 1) = "1" ), 1, IF( AND( OFFSET($A$1, 101 - 1, 101 - 1) = "1", OFFSET($A$1, 101 - 1, 102 - 1) = "0" ), 2, IF( AND( OFFSET($A$1, 101 - 1, 101 - 1) = "0", OFFSET($A$1, 101 - 1, 102 - 1) = "1" ), 3, 4 ) ) )</f>
        <v>4</v>
      </c>
    </row>
    <row r="102" spans="2:103" ht="13.8" x14ac:dyDescent="0.3">
      <c r="D102" s="77" t="s">
        <v>716</v>
      </c>
      <c r="E102" s="77"/>
      <c r="F102" s="77"/>
      <c r="G102" s="77"/>
      <c r="H102" s="77"/>
      <c r="I102" s="77"/>
      <c r="J102" s="77"/>
      <c r="K102" s="77"/>
      <c r="L102" s="77"/>
      <c r="M102" s="77"/>
      <c r="N102" s="77"/>
      <c r="O102" s="77"/>
      <c r="P102" s="77"/>
      <c r="Q102" s="77"/>
      <c r="R102" s="77"/>
      <c r="S102" s="77"/>
      <c r="T102" s="77"/>
      <c r="U102" s="77"/>
      <c r="V102" s="77"/>
      <c r="W102" s="77"/>
      <c r="X102" s="77"/>
      <c r="Y102" s="77"/>
      <c r="Z102" s="77"/>
      <c r="AA102" s="77"/>
      <c r="AB102" s="77"/>
      <c r="AC102" s="77"/>
      <c r="AD102" s="77"/>
      <c r="AE102" s="77"/>
      <c r="AF102" s="77"/>
      <c r="AG102" s="77"/>
      <c r="AH102" s="77"/>
      <c r="AI102" s="77"/>
      <c r="AJ102" s="77"/>
      <c r="AK102" s="77"/>
      <c r="AL102" s="77"/>
      <c r="AM102" s="77"/>
      <c r="AN102" s="77"/>
      <c r="AO102" s="77"/>
      <c r="AP102" s="77"/>
      <c r="AQ102" s="77"/>
      <c r="AR102" s="77"/>
      <c r="AS102" s="77"/>
      <c r="AT102" s="77"/>
      <c r="AU102" s="77"/>
      <c r="AV102" s="77"/>
      <c r="AW102" s="77"/>
      <c r="CQ102" s="24">
        <v>0.9860583613065067</v>
      </c>
      <c r="CR102" s="24" t="str">
        <f>"1"</f>
        <v>1</v>
      </c>
      <c r="CS102" t="str">
        <f ca="1">IF((OFFSET($A$1, 102 - 1, 95 - 1)) &gt;= (OFFSET($A$1, 54 - 1, 7 - 1)), "1","0")</f>
        <v>1</v>
      </c>
      <c r="CT102">
        <f ca="1" xml:space="preserve"> IF( AND( OFFSET($A$1, 102 - 1, 96 - 1) = "1", OFFSET($A$1, 102 - 1, 97 - 1) = "1" ), 1, IF( AND( OFFSET($A$1, 102 - 1, 96 - 1) = "1", OFFSET($A$1, 102 - 1, 97 - 1) = "0" ), 2, IF( AND( OFFSET($A$1, 102 - 1, 96 - 1) = "0", OFFSET($A$1, 102 - 1, 97 - 1) = "1" ), 3, 4 ) ) )</f>
        <v>1</v>
      </c>
      <c r="CV102" s="24">
        <v>0.9960646438107329</v>
      </c>
      <c r="CW102" s="24" t="str">
        <f>"1"</f>
        <v>1</v>
      </c>
      <c r="CX102" t="str">
        <f ca="1">IF((OFFSET($A$1, 102 - 1, 100 - 1)) &gt;= (OFFSET($A$1, 78 - 1, 7 - 1)), "1","0")</f>
        <v>1</v>
      </c>
      <c r="CY102">
        <f ca="1" xml:space="preserve"> IF( AND( OFFSET($A$1, 102 - 1, 101 - 1) = "1", OFFSET($A$1, 102 - 1, 102 - 1) = "1" ), 1, IF( AND( OFFSET($A$1, 102 - 1, 101 - 1) = "1", OFFSET($A$1, 102 - 1, 102 - 1) = "0" ), 2, IF( AND( OFFSET($A$1, 102 - 1, 101 - 1) = "0", OFFSET($A$1, 102 - 1, 102 - 1) = "1" ), 3, 4 ) ) )</f>
        <v>1</v>
      </c>
    </row>
    <row r="103" spans="2:103" ht="13.8" x14ac:dyDescent="0.3">
      <c r="C103" s="36" t="s">
        <v>717</v>
      </c>
      <c r="D103" s="26" t="s">
        <v>0</v>
      </c>
      <c r="E103" s="26" t="s">
        <v>68</v>
      </c>
      <c r="F103" s="26" t="s">
        <v>69</v>
      </c>
      <c r="G103" s="26" t="s">
        <v>70</v>
      </c>
      <c r="H103" s="26" t="s">
        <v>71</v>
      </c>
      <c r="I103" s="26" t="s">
        <v>81</v>
      </c>
      <c r="J103" s="26" t="s">
        <v>72</v>
      </c>
      <c r="K103" s="26" t="s">
        <v>2</v>
      </c>
      <c r="L103" s="26" t="s">
        <v>6</v>
      </c>
      <c r="M103" s="26" t="s">
        <v>74</v>
      </c>
      <c r="N103" s="26" t="s">
        <v>75</v>
      </c>
      <c r="O103" s="26" t="s">
        <v>76</v>
      </c>
      <c r="P103" s="26" t="s">
        <v>73</v>
      </c>
      <c r="Q103" s="26" t="s">
        <v>77</v>
      </c>
      <c r="R103" s="26" t="s">
        <v>78</v>
      </c>
      <c r="S103" s="26" t="s">
        <v>82</v>
      </c>
      <c r="T103" s="26" t="s">
        <v>8</v>
      </c>
      <c r="U103" s="26" t="s">
        <v>79</v>
      </c>
      <c r="V103" s="26" t="s">
        <v>80</v>
      </c>
      <c r="W103" s="26" t="s">
        <v>83</v>
      </c>
      <c r="X103" s="26" t="s">
        <v>9</v>
      </c>
      <c r="Y103" s="26" t="s">
        <v>11</v>
      </c>
      <c r="Z103" s="26" t="s">
        <v>12</v>
      </c>
      <c r="AA103" s="26" t="s">
        <v>13</v>
      </c>
      <c r="AB103" s="26" t="s">
        <v>152</v>
      </c>
      <c r="AC103" s="26" t="s">
        <v>153</v>
      </c>
      <c r="AD103" s="26" t="s">
        <v>154</v>
      </c>
      <c r="AE103" s="26" t="s">
        <v>156</v>
      </c>
      <c r="AF103" s="26" t="s">
        <v>157</v>
      </c>
      <c r="AG103" s="26" t="s">
        <v>158</v>
      </c>
      <c r="AH103" s="26" t="s">
        <v>159</v>
      </c>
      <c r="AI103" s="26" t="s">
        <v>161</v>
      </c>
      <c r="AJ103" s="26" t="s">
        <v>162</v>
      </c>
      <c r="AK103" s="26" t="s">
        <v>163</v>
      </c>
      <c r="AL103" s="26" t="s">
        <v>164</v>
      </c>
      <c r="AM103" s="26" t="s">
        <v>166</v>
      </c>
      <c r="AN103" s="26" t="s">
        <v>167</v>
      </c>
      <c r="AO103" s="26" t="s">
        <v>168</v>
      </c>
      <c r="AP103" s="26" t="s">
        <v>169</v>
      </c>
      <c r="AQ103" s="26" t="s">
        <v>171</v>
      </c>
      <c r="AR103" s="26" t="s">
        <v>172</v>
      </c>
      <c r="AS103" s="26" t="s">
        <v>173</v>
      </c>
      <c r="AT103" s="26" t="s">
        <v>176</v>
      </c>
      <c r="AU103" s="26" t="s">
        <v>177</v>
      </c>
      <c r="AV103" s="26" t="s">
        <v>178</v>
      </c>
      <c r="AW103" s="26" t="s">
        <v>732</v>
      </c>
      <c r="CQ103" s="24">
        <v>3.4340891050558028E-2</v>
      </c>
      <c r="CR103" s="24" t="str">
        <f>"0"</f>
        <v>0</v>
      </c>
      <c r="CS103" t="str">
        <f ca="1">IF((OFFSET($A$1, 103 - 1, 95 - 1)) &gt;= (OFFSET($A$1, 54 - 1, 7 - 1)), "1","0")</f>
        <v>0</v>
      </c>
      <c r="CT103">
        <f ca="1" xml:space="preserve"> IF( AND( OFFSET($A$1, 103 - 1, 96 - 1) = "1", OFFSET($A$1, 103 - 1, 97 - 1) = "1" ), 1, IF( AND( OFFSET($A$1, 103 - 1, 96 - 1) = "1", OFFSET($A$1, 103 - 1, 97 - 1) = "0" ), 2, IF( AND( OFFSET($A$1, 103 - 1, 96 - 1) = "0", OFFSET($A$1, 103 - 1, 97 - 1) = "1" ), 3, 4 ) ) )</f>
        <v>4</v>
      </c>
      <c r="CV103" s="24">
        <v>0.99816113671540496</v>
      </c>
      <c r="CW103" s="24" t="str">
        <f>"1"</f>
        <v>1</v>
      </c>
      <c r="CX103" t="str">
        <f ca="1">IF((OFFSET($A$1, 103 - 1, 100 - 1)) &gt;= (OFFSET($A$1, 78 - 1, 7 - 1)), "1","0")</f>
        <v>1</v>
      </c>
      <c r="CY103">
        <f ca="1" xml:space="preserve"> IF( AND( OFFSET($A$1, 103 - 1, 101 - 1) = "1", OFFSET($A$1, 103 - 1, 102 - 1) = "1" ), 1, IF( AND( OFFSET($A$1, 103 - 1, 101 - 1) = "1", OFFSET($A$1, 103 - 1, 102 - 1) = "0" ), 2, IF( AND( OFFSET($A$1, 103 - 1, 101 - 1) = "0", OFFSET($A$1, 103 - 1, 102 - 1) = "1" ), 3, 4 ) ) )</f>
        <v>1</v>
      </c>
    </row>
    <row r="104" spans="2:103" ht="13.8" x14ac:dyDescent="0.3">
      <c r="C104" s="26" t="s">
        <v>718</v>
      </c>
      <c r="D104" s="24">
        <v>-0.88236973160624821</v>
      </c>
      <c r="E104" s="24">
        <v>-0.22182147615247663</v>
      </c>
      <c r="F104" s="24">
        <v>-2.9288002575155493E-2</v>
      </c>
      <c r="G104" s="24">
        <v>0.4137334070817224</v>
      </c>
      <c r="H104" s="24">
        <v>0.66146463669765787</v>
      </c>
      <c r="I104" s="24">
        <v>-0.10541760983078413</v>
      </c>
      <c r="J104" s="24">
        <v>0.26810779752964831</v>
      </c>
      <c r="K104" s="24">
        <v>-0.55970728500259259</v>
      </c>
      <c r="L104" s="24">
        <v>-0.29128796503858778</v>
      </c>
      <c r="M104" s="24">
        <v>-0.25283158900999902</v>
      </c>
      <c r="N104" s="24">
        <v>0.61659225059892087</v>
      </c>
      <c r="O104" s="24">
        <v>7.3032946075596558E-2</v>
      </c>
      <c r="P104" s="24">
        <v>-8.3872507927192433E-2</v>
      </c>
      <c r="Q104" s="24">
        <v>-0.1884651393684881</v>
      </c>
      <c r="R104" s="24">
        <v>-0.27977138872377455</v>
      </c>
      <c r="S104" s="24">
        <v>-0.10877470447303635</v>
      </c>
      <c r="T104" s="24">
        <v>0.17761946830400155</v>
      </c>
      <c r="U104" s="24">
        <v>8.1321731778312548E-2</v>
      </c>
      <c r="V104" s="24">
        <v>-0.72222211504457001</v>
      </c>
      <c r="W104" s="24">
        <v>0.50719727799270475</v>
      </c>
      <c r="X104" s="24">
        <v>0.15048989218059985</v>
      </c>
      <c r="Y104" s="24">
        <v>1.1240556649017333E-2</v>
      </c>
      <c r="Z104" s="24">
        <v>-0.59947157570509912</v>
      </c>
      <c r="AA104" s="24">
        <v>0.2786979460693661</v>
      </c>
      <c r="AB104" s="24">
        <v>-9.6757300503253638E-2</v>
      </c>
      <c r="AC104" s="24">
        <v>-1.1989453834017418</v>
      </c>
      <c r="AD104" s="24">
        <v>0.4022100843532222</v>
      </c>
      <c r="AE104" s="24">
        <v>-0.34673124171701564</v>
      </c>
      <c r="AF104" s="24">
        <v>-0.75370441950017419</v>
      </c>
      <c r="AG104" s="24">
        <v>0.76177471927562057</v>
      </c>
      <c r="AH104" s="24">
        <v>-8.6663956853921156E-2</v>
      </c>
      <c r="AI104" s="24">
        <v>-0.43361761760281187</v>
      </c>
      <c r="AJ104" s="24">
        <v>-0.32992250567636922</v>
      </c>
      <c r="AK104" s="24">
        <v>0.36400651132484202</v>
      </c>
      <c r="AL104" s="24">
        <v>0.22509539682133384</v>
      </c>
      <c r="AM104" s="24">
        <v>0.19065548687275305</v>
      </c>
      <c r="AN104" s="24">
        <v>0.14724165052730021</v>
      </c>
      <c r="AO104" s="24">
        <v>1.2354579510576934E-2</v>
      </c>
      <c r="AP104" s="24">
        <v>-0.26207410866038111</v>
      </c>
      <c r="AQ104" s="24">
        <v>0.20095504806871425</v>
      </c>
      <c r="AR104" s="24">
        <v>0.12675667320248071</v>
      </c>
      <c r="AS104" s="24">
        <v>-0.13417348598206855</v>
      </c>
      <c r="AT104" s="24">
        <v>-0.12266908131876859</v>
      </c>
      <c r="AU104" s="24">
        <v>0.26555960410479573</v>
      </c>
      <c r="AV104" s="24">
        <v>0.1849340489080511</v>
      </c>
      <c r="AW104" s="24">
        <v>-0.42917957164430492</v>
      </c>
      <c r="CQ104" s="24">
        <v>0.83251302431490293</v>
      </c>
      <c r="CR104" s="24" t="str">
        <f>"1"</f>
        <v>1</v>
      </c>
      <c r="CS104" t="str">
        <f ca="1">IF((OFFSET($A$1, 104 - 1, 95 - 1)) &gt;= (OFFSET($A$1, 54 - 1, 7 - 1)), "1","0")</f>
        <v>0</v>
      </c>
      <c r="CT104">
        <f ca="1" xml:space="preserve"> IF( AND( OFFSET($A$1, 104 - 1, 96 - 1) = "1", OFFSET($A$1, 104 - 1, 97 - 1) = "1" ), 1, IF( AND( OFFSET($A$1, 104 - 1, 96 - 1) = "1", OFFSET($A$1, 104 - 1, 97 - 1) = "0" ), 2, IF( AND( OFFSET($A$1, 104 - 1, 96 - 1) = "0", OFFSET($A$1, 104 - 1, 97 - 1) = "1" ), 3, 4 ) ) )</f>
        <v>2</v>
      </c>
      <c r="CV104" s="24">
        <v>0.20577044105569903</v>
      </c>
      <c r="CW104" s="24" t="str">
        <f>"0"</f>
        <v>0</v>
      </c>
      <c r="CX104" t="str">
        <f ca="1">IF((OFFSET($A$1, 104 - 1, 100 - 1)) &gt;= (OFFSET($A$1, 78 - 1, 7 - 1)), "1","0")</f>
        <v>0</v>
      </c>
      <c r="CY104">
        <f ca="1" xml:space="preserve"> IF( AND( OFFSET($A$1, 104 - 1, 101 - 1) = "1", OFFSET($A$1, 104 - 1, 102 - 1) = "1" ), 1, IF( AND( OFFSET($A$1, 104 - 1, 101 - 1) = "1", OFFSET($A$1, 104 - 1, 102 - 1) = "0" ), 2, IF( AND( OFFSET($A$1, 104 - 1, 101 - 1) = "0", OFFSET($A$1, 104 - 1, 102 - 1) = "1" ), 3, 4 ) ) )</f>
        <v>4</v>
      </c>
    </row>
    <row r="105" spans="2:103" ht="13.8" x14ac:dyDescent="0.3">
      <c r="C105" s="26" t="s">
        <v>719</v>
      </c>
      <c r="D105" s="24">
        <v>5.2834701331159119E-2</v>
      </c>
      <c r="E105" s="24">
        <v>-0.22433770120528068</v>
      </c>
      <c r="F105" s="24">
        <v>3.7740707842942346E-2</v>
      </c>
      <c r="G105" s="24">
        <v>0.42043548711378742</v>
      </c>
      <c r="H105" s="24">
        <v>-0.2882929078910092</v>
      </c>
      <c r="I105" s="24">
        <v>-0.31185666360720465</v>
      </c>
      <c r="J105" s="24">
        <v>-0.18625561206486613</v>
      </c>
      <c r="K105" s="24">
        <v>-0.31089129601115023</v>
      </c>
      <c r="L105" s="24">
        <v>0.50392758420890216</v>
      </c>
      <c r="M105" s="24">
        <v>-0.41677670908233588</v>
      </c>
      <c r="N105" s="24">
        <v>-0.20894975112210962</v>
      </c>
      <c r="O105" s="24">
        <v>-0.51520978770286807</v>
      </c>
      <c r="P105" s="24">
        <v>0.3217050618877737</v>
      </c>
      <c r="Q105" s="24">
        <v>0.15103359706767666</v>
      </c>
      <c r="R105" s="24">
        <v>0.95201749978542849</v>
      </c>
      <c r="S105" s="24">
        <v>-0.21138748289106124</v>
      </c>
      <c r="T105" s="24">
        <v>8.6569169257030029E-4</v>
      </c>
      <c r="U105" s="24">
        <v>7.818185822567264E-2</v>
      </c>
      <c r="V105" s="24">
        <v>-1.0827778531435288</v>
      </c>
      <c r="W105" s="24">
        <v>0.41902321219936417</v>
      </c>
      <c r="X105" s="24">
        <v>-0.3817892002745939</v>
      </c>
      <c r="Y105" s="24">
        <v>0.59312854001991111</v>
      </c>
      <c r="Z105" s="24">
        <v>-1.0310527238679486</v>
      </c>
      <c r="AA105" s="24">
        <v>-6.1234208295293066E-2</v>
      </c>
      <c r="AB105" s="24">
        <v>-0.75983748466388357</v>
      </c>
      <c r="AC105" s="24">
        <v>-1.2848835301714496</v>
      </c>
      <c r="AD105" s="24">
        <v>0.58191661325017885</v>
      </c>
      <c r="AE105" s="24">
        <v>-0.38196799592783531</v>
      </c>
      <c r="AF105" s="24">
        <v>-0.45488212413951712</v>
      </c>
      <c r="AG105" s="24">
        <v>0.98471187330666021</v>
      </c>
      <c r="AH105" s="24">
        <v>-1.3561285167559984</v>
      </c>
      <c r="AI105" s="24">
        <v>0.77505473663994451</v>
      </c>
      <c r="AJ105" s="24">
        <v>-0.67857244809734907</v>
      </c>
      <c r="AK105" s="24">
        <v>-0.33180142108004856</v>
      </c>
      <c r="AL105" s="24">
        <v>0.28234258379581956</v>
      </c>
      <c r="AM105" s="24">
        <v>0.80365397008967743</v>
      </c>
      <c r="AN105" s="24">
        <v>0.37693497041453039</v>
      </c>
      <c r="AO105" s="24">
        <v>-0.78875301893292915</v>
      </c>
      <c r="AP105" s="24">
        <v>0.44082353276362651</v>
      </c>
      <c r="AQ105" s="24">
        <v>0.15463661597001943</v>
      </c>
      <c r="AR105" s="24">
        <v>1.6955751933525942E-2</v>
      </c>
      <c r="AS105" s="24">
        <v>-1.1599833061787796</v>
      </c>
      <c r="AT105" s="24">
        <v>0.36196014358691792</v>
      </c>
      <c r="AU105" s="24">
        <v>0.96448060578884232</v>
      </c>
      <c r="AV105" s="24">
        <v>-1.6608389099748797</v>
      </c>
      <c r="AW105" s="24">
        <v>0.39644223048911115</v>
      </c>
      <c r="CQ105" s="24">
        <v>7.1791981194271853E-2</v>
      </c>
      <c r="CR105" s="24" t="str">
        <f>"0"</f>
        <v>0</v>
      </c>
      <c r="CS105" t="str">
        <f ca="1">IF((OFFSET($A$1, 105 - 1, 95 - 1)) &gt;= (OFFSET($A$1, 54 - 1, 7 - 1)), "1","0")</f>
        <v>0</v>
      </c>
      <c r="CT105">
        <f ca="1" xml:space="preserve"> IF( AND( OFFSET($A$1, 105 - 1, 96 - 1) = "1", OFFSET($A$1, 105 - 1, 97 - 1) = "1" ), 1, IF( AND( OFFSET($A$1, 105 - 1, 96 - 1) = "1", OFFSET($A$1, 105 - 1, 97 - 1) = "0" ), 2, IF( AND( OFFSET($A$1, 105 - 1, 96 - 1) = "0", OFFSET($A$1, 105 - 1, 97 - 1) = "1" ), 3, 4 ) ) )</f>
        <v>4</v>
      </c>
      <c r="CV105" s="24">
        <v>0.9928786160343066</v>
      </c>
      <c r="CW105" s="24" t="str">
        <f>"1"</f>
        <v>1</v>
      </c>
      <c r="CX105" t="str">
        <f ca="1">IF((OFFSET($A$1, 105 - 1, 100 - 1)) &gt;= (OFFSET($A$1, 78 - 1, 7 - 1)), "1","0")</f>
        <v>1</v>
      </c>
      <c r="CY105">
        <f ca="1" xml:space="preserve"> IF( AND( OFFSET($A$1, 105 - 1, 101 - 1) = "1", OFFSET($A$1, 105 - 1, 102 - 1) = "1" ), 1, IF( AND( OFFSET($A$1, 105 - 1, 101 - 1) = "1", OFFSET($A$1, 105 - 1, 102 - 1) = "0" ), 2, IF( AND( OFFSET($A$1, 105 - 1, 101 - 1) = "0", OFFSET($A$1, 105 - 1, 102 - 1) = "1" ), 3, 4 ) ) )</f>
        <v>1</v>
      </c>
    </row>
    <row r="106" spans="2:103" ht="13.8" x14ac:dyDescent="0.3">
      <c r="C106" s="26" t="s">
        <v>720</v>
      </c>
      <c r="D106" s="24">
        <v>1.0999254716482449</v>
      </c>
      <c r="E106" s="24">
        <v>0.77292950449086517</v>
      </c>
      <c r="F106" s="24">
        <v>0.79433224612457165</v>
      </c>
      <c r="G106" s="24">
        <v>-0.37503862041057123</v>
      </c>
      <c r="H106" s="24">
        <v>1.3435238613704187E-3</v>
      </c>
      <c r="I106" s="24">
        <v>0.89078690994935217</v>
      </c>
      <c r="J106" s="24">
        <v>-8.2797185238159779E-2</v>
      </c>
      <c r="K106" s="24">
        <v>-0.93457018914551093</v>
      </c>
      <c r="L106" s="24">
        <v>-1.2189244424185506</v>
      </c>
      <c r="M106" s="24">
        <v>1.1256024627887036</v>
      </c>
      <c r="N106" s="24">
        <v>1.578934273552941</v>
      </c>
      <c r="O106" s="24">
        <v>0.22052643902575689</v>
      </c>
      <c r="P106" s="24">
        <v>-0.21742471490666201</v>
      </c>
      <c r="Q106" s="24">
        <v>2.2436104475345351</v>
      </c>
      <c r="R106" s="24">
        <v>0.13245571430840747</v>
      </c>
      <c r="S106" s="24">
        <v>-1.4918964775093959</v>
      </c>
      <c r="T106" s="24">
        <v>0.70739664276994807</v>
      </c>
      <c r="U106" s="24">
        <v>0.83256520895437269</v>
      </c>
      <c r="V106" s="24">
        <v>1.0098804890462345</v>
      </c>
      <c r="W106" s="24">
        <v>-0.54767750045700936</v>
      </c>
      <c r="X106" s="24">
        <v>-0.69407257349788731</v>
      </c>
      <c r="Y106" s="24">
        <v>0.79830817135440568</v>
      </c>
      <c r="Z106" s="24">
        <v>-0.11673895998055678</v>
      </c>
      <c r="AA106" s="24">
        <v>-3.6547341097089348E-2</v>
      </c>
      <c r="AB106" s="24">
        <v>-1.4782714356924043</v>
      </c>
      <c r="AC106" s="24">
        <v>-1.118355889886931</v>
      </c>
      <c r="AD106" s="24">
        <v>-0.87259374137020718</v>
      </c>
      <c r="AE106" s="24">
        <v>-0.12086612984657269</v>
      </c>
      <c r="AF106" s="24">
        <v>-0.30138617434142884</v>
      </c>
      <c r="AG106" s="24">
        <v>-0.76190448169727454</v>
      </c>
      <c r="AH106" s="24">
        <v>0.10474339290390698</v>
      </c>
      <c r="AI106" s="24">
        <v>-1.2291825119576265</v>
      </c>
      <c r="AJ106" s="24">
        <v>1.1190141853769862</v>
      </c>
      <c r="AK106" s="24">
        <v>0.45286956509338866</v>
      </c>
      <c r="AL106" s="24">
        <v>-0.11067331538136103</v>
      </c>
      <c r="AM106" s="24">
        <v>-0.79551274067820166</v>
      </c>
      <c r="AN106" s="24">
        <v>-0.70058496518265112</v>
      </c>
      <c r="AO106" s="24">
        <v>1.7423532805400068</v>
      </c>
      <c r="AP106" s="24">
        <v>0.89441981172141793</v>
      </c>
      <c r="AQ106" s="24">
        <v>-0.73490227550211706</v>
      </c>
      <c r="AR106" s="24">
        <v>1.0975565286034066</v>
      </c>
      <c r="AS106" s="24">
        <v>-0.10063430765668718</v>
      </c>
      <c r="AT106" s="24">
        <v>0.97553925007040387</v>
      </c>
      <c r="AU106" s="24">
        <v>1.0948221956924602</v>
      </c>
      <c r="AV106" s="24">
        <v>-0.16744283580551023</v>
      </c>
      <c r="AW106" s="24">
        <v>-0.27178625355295633</v>
      </c>
      <c r="CQ106" s="24">
        <v>7.5309150381794629E-2</v>
      </c>
      <c r="CR106" s="24" t="str">
        <f>"0"</f>
        <v>0</v>
      </c>
      <c r="CS106" t="str">
        <f ca="1">IF((OFFSET($A$1, 106 - 1, 95 - 1)) &gt;= (OFFSET($A$1, 54 - 1, 7 - 1)), "1","0")</f>
        <v>0</v>
      </c>
      <c r="CT106">
        <f ca="1" xml:space="preserve"> IF( AND( OFFSET($A$1, 106 - 1, 96 - 1) = "1", OFFSET($A$1, 106 - 1, 97 - 1) = "1" ), 1, IF( AND( OFFSET($A$1, 106 - 1, 96 - 1) = "1", OFFSET($A$1, 106 - 1, 97 - 1) = "0" ), 2, IF( AND( OFFSET($A$1, 106 - 1, 96 - 1) = "0", OFFSET($A$1, 106 - 1, 97 - 1) = "1" ), 3, 4 ) ) )</f>
        <v>4</v>
      </c>
      <c r="CV106" s="24">
        <v>0.86302997645940338</v>
      </c>
      <c r="CW106" s="24" t="str">
        <f>"1"</f>
        <v>1</v>
      </c>
      <c r="CX106" t="str">
        <f ca="1">IF((OFFSET($A$1, 106 - 1, 100 - 1)) &gt;= (OFFSET($A$1, 78 - 1, 7 - 1)), "1","0")</f>
        <v>0</v>
      </c>
      <c r="CY106">
        <f ca="1" xml:space="preserve"> IF( AND( OFFSET($A$1, 106 - 1, 101 - 1) = "1", OFFSET($A$1, 106 - 1, 102 - 1) = "1" ), 1, IF( AND( OFFSET($A$1, 106 - 1, 101 - 1) = "1", OFFSET($A$1, 106 - 1, 102 - 1) = "0" ), 2, IF( AND( OFFSET($A$1, 106 - 1, 101 - 1) = "0", OFFSET($A$1, 106 - 1, 102 - 1) = "1" ), 3, 4 ) ) )</f>
        <v>2</v>
      </c>
    </row>
    <row r="107" spans="2:103" ht="13.8" x14ac:dyDescent="0.3">
      <c r="C107" s="26" t="s">
        <v>721</v>
      </c>
      <c r="D107" s="24">
        <v>0.46708494882753449</v>
      </c>
      <c r="E107" s="24">
        <v>-0.33094068005774269</v>
      </c>
      <c r="F107" s="24">
        <v>0.21176495049411451</v>
      </c>
      <c r="G107" s="24">
        <v>3.1841679855159906E-2</v>
      </c>
      <c r="H107" s="24">
        <v>-0.37856582718993037</v>
      </c>
      <c r="I107" s="24">
        <v>0.27725675730726984</v>
      </c>
      <c r="J107" s="24">
        <v>1.4475900047416E-3</v>
      </c>
      <c r="K107" s="24">
        <v>-0.36759125791161124</v>
      </c>
      <c r="L107" s="24">
        <v>0.29528135396345062</v>
      </c>
      <c r="M107" s="24">
        <v>-0.40745769911277757</v>
      </c>
      <c r="N107" s="24">
        <v>-0.83867634012472836</v>
      </c>
      <c r="O107" s="24">
        <v>-0.1118176199320122</v>
      </c>
      <c r="P107" s="24">
        <v>-0.15189691837627439</v>
      </c>
      <c r="Q107" s="24">
        <v>0.20262529471163618</v>
      </c>
      <c r="R107" s="24">
        <v>-0.62546695130767727</v>
      </c>
      <c r="S107" s="24">
        <v>-0.14905510949380132</v>
      </c>
      <c r="T107" s="24">
        <v>0.34391616058685409</v>
      </c>
      <c r="U107" s="24">
        <v>-8.396746633740132E-2</v>
      </c>
      <c r="V107" s="24">
        <v>0.25016406842927202</v>
      </c>
      <c r="W107" s="24">
        <v>-0.31414456193100493</v>
      </c>
      <c r="X107" s="24">
        <v>0.44157474922938761</v>
      </c>
      <c r="Y107" s="24">
        <v>-0.19895549077552799</v>
      </c>
      <c r="Z107" s="24">
        <v>1.0877947935545962</v>
      </c>
      <c r="AA107" s="24">
        <v>-0.15531999550683917</v>
      </c>
      <c r="AB107" s="24">
        <v>-0.82524500211030449</v>
      </c>
      <c r="AC107" s="24">
        <v>8.6338171021946936E-2</v>
      </c>
      <c r="AD107" s="24">
        <v>-4.6710335949700914E-2</v>
      </c>
      <c r="AE107" s="24">
        <v>0.33600631288142263</v>
      </c>
      <c r="AF107" s="24">
        <v>-0.80670893979810876</v>
      </c>
      <c r="AG107" s="24">
        <v>0.26039695522338713</v>
      </c>
      <c r="AH107" s="24">
        <v>0.42756201329690602</v>
      </c>
      <c r="AI107" s="24">
        <v>-2.6026790428110159E-2</v>
      </c>
      <c r="AJ107" s="24">
        <v>-0.72239699821197767</v>
      </c>
      <c r="AK107" s="24">
        <v>-0.36089336294322466</v>
      </c>
      <c r="AL107" s="24">
        <v>0.14727261643324721</v>
      </c>
      <c r="AM107" s="24">
        <v>-0.29589674701065621</v>
      </c>
      <c r="AN107" s="24">
        <v>-0.4013295059950534</v>
      </c>
      <c r="AO107" s="24">
        <v>-0.52559681114217982</v>
      </c>
      <c r="AP107" s="24">
        <v>0.19304790046198017</v>
      </c>
      <c r="AQ107" s="24">
        <v>-0.51161973566819818</v>
      </c>
      <c r="AR107" s="24">
        <v>0.45469047067122254</v>
      </c>
      <c r="AS107" s="24">
        <v>0.34161531419118868</v>
      </c>
      <c r="AT107" s="24">
        <v>-2.2882775900574828E-2</v>
      </c>
      <c r="AU107" s="24">
        <v>-0.77285443953649646</v>
      </c>
      <c r="AV107" s="24">
        <v>-0.69420120325547729</v>
      </c>
      <c r="AW107" s="24">
        <v>-0.53705923597657645</v>
      </c>
      <c r="CQ107" s="24">
        <v>4.4541429723100753E-2</v>
      </c>
      <c r="CR107" s="24" t="str">
        <f>"0"</f>
        <v>0</v>
      </c>
      <c r="CS107" t="str">
        <f ca="1">IF((OFFSET($A$1, 107 - 1, 95 - 1)) &gt;= (OFFSET($A$1, 54 - 1, 7 - 1)), "1","0")</f>
        <v>0</v>
      </c>
      <c r="CT107">
        <f ca="1" xml:space="preserve"> IF( AND( OFFSET($A$1, 107 - 1, 96 - 1) = "1", OFFSET($A$1, 107 - 1, 97 - 1) = "1" ), 1, IF( AND( OFFSET($A$1, 107 - 1, 96 - 1) = "1", OFFSET($A$1, 107 - 1, 97 - 1) = "0" ), 2, IF( AND( OFFSET($A$1, 107 - 1, 96 - 1) = "0", OFFSET($A$1, 107 - 1, 97 - 1) = "1" ), 3, 4 ) ) )</f>
        <v>4</v>
      </c>
      <c r="CV107" s="24">
        <v>6.6647880810519713E-2</v>
      </c>
      <c r="CW107" s="24" t="str">
        <f>"0"</f>
        <v>0</v>
      </c>
      <c r="CX107" t="str">
        <f ca="1">IF((OFFSET($A$1, 107 - 1, 100 - 1)) &gt;= (OFFSET($A$1, 78 - 1, 7 - 1)), "1","0")</f>
        <v>0</v>
      </c>
      <c r="CY107">
        <f ca="1" xml:space="preserve"> IF( AND( OFFSET($A$1, 107 - 1, 101 - 1) = "1", OFFSET($A$1, 107 - 1, 102 - 1) = "1" ), 1, IF( AND( OFFSET($A$1, 107 - 1, 101 - 1) = "1", OFFSET($A$1, 107 - 1, 102 - 1) = "0" ), 2, IF( AND( OFFSET($A$1, 107 - 1, 101 - 1) = "0", OFFSET($A$1, 107 - 1, 102 - 1) = "1" ), 3, 4 ) ) )</f>
        <v>4</v>
      </c>
    </row>
    <row r="108" spans="2:103" ht="13.8" x14ac:dyDescent="0.3">
      <c r="C108" s="26" t="s">
        <v>722</v>
      </c>
      <c r="D108" s="24">
        <v>-0.63542383630026245</v>
      </c>
      <c r="E108" s="24">
        <v>1.0855524009242719</v>
      </c>
      <c r="F108" s="24">
        <v>0.11776241949678709</v>
      </c>
      <c r="G108" s="24">
        <v>-0.15084050132047597</v>
      </c>
      <c r="H108" s="24">
        <v>-0.21546618388646679</v>
      </c>
      <c r="I108" s="24">
        <v>0.28557670089845116</v>
      </c>
      <c r="J108" s="24">
        <v>-1.4594178224154322</v>
      </c>
      <c r="K108" s="24">
        <v>0.17405159860520514</v>
      </c>
      <c r="L108" s="24">
        <v>-1.5952936530554287</v>
      </c>
      <c r="M108" s="24">
        <v>-1.333498412648461</v>
      </c>
      <c r="N108" s="24">
        <v>1.1063560813550466</v>
      </c>
      <c r="O108" s="24">
        <v>-0.2841011187139616</v>
      </c>
      <c r="P108" s="24">
        <v>-0.76360810326559536</v>
      </c>
      <c r="Q108" s="24">
        <v>-1.2399446189622378</v>
      </c>
      <c r="R108" s="24">
        <v>1.6571009156752434</v>
      </c>
      <c r="S108" s="24">
        <v>2.748679868424218E-2</v>
      </c>
      <c r="T108" s="24">
        <v>1.5603913187049046</v>
      </c>
      <c r="U108" s="24">
        <v>-2.7677518475065241</v>
      </c>
      <c r="V108" s="24">
        <v>-0.9875719682163695</v>
      </c>
      <c r="W108" s="24">
        <v>-1.0737140309618933</v>
      </c>
      <c r="X108" s="24">
        <v>-1.0106137746146833</v>
      </c>
      <c r="Y108" s="24">
        <v>0.63700353334184168</v>
      </c>
      <c r="Z108" s="24">
        <v>1.1676812495436861</v>
      </c>
      <c r="AA108" s="24">
        <v>0.13648733010280795</v>
      </c>
      <c r="AB108" s="24">
        <v>-2.4841452852484065</v>
      </c>
      <c r="AC108" s="24">
        <v>-0.71685696759093842</v>
      </c>
      <c r="AD108" s="24">
        <v>-0.53398768402974128</v>
      </c>
      <c r="AE108" s="24">
        <v>-0.76326439435535753</v>
      </c>
      <c r="AF108" s="24">
        <v>-1.9014380890288902</v>
      </c>
      <c r="AG108" s="24">
        <v>2.9998947454431244E-2</v>
      </c>
      <c r="AH108" s="24">
        <v>0.95624330923694933</v>
      </c>
      <c r="AI108" s="24">
        <v>-1.8952709273832327</v>
      </c>
      <c r="AJ108" s="24">
        <v>0.56106005960776506</v>
      </c>
      <c r="AK108" s="24">
        <v>0.4625507504483824</v>
      </c>
      <c r="AL108" s="24">
        <v>0.78850483195587995</v>
      </c>
      <c r="AM108" s="24">
        <v>0.63892407827777886</v>
      </c>
      <c r="AN108" s="24">
        <v>-0.41532029384706476</v>
      </c>
      <c r="AO108" s="24">
        <v>-7.3660289354169402E-3</v>
      </c>
      <c r="AP108" s="24">
        <v>-0.32466082856736372</v>
      </c>
      <c r="AQ108" s="24">
        <v>1.178356288717235</v>
      </c>
      <c r="AR108" s="24">
        <v>0.45715276840537883</v>
      </c>
      <c r="AS108" s="24">
        <v>-0.11315988347118366</v>
      </c>
      <c r="AT108" s="24">
        <v>-0.10893639428500977</v>
      </c>
      <c r="AU108" s="24">
        <v>-0.99441270072525068</v>
      </c>
      <c r="AV108" s="24">
        <v>0.11471419724448641</v>
      </c>
      <c r="AW108" s="24">
        <v>-1.3753425261324435</v>
      </c>
      <c r="CQ108" s="24">
        <v>7.5517977971686731E-2</v>
      </c>
      <c r="CR108" s="24" t="str">
        <f>"0"</f>
        <v>0</v>
      </c>
      <c r="CS108" t="str">
        <f ca="1">IF((OFFSET($A$1, 108 - 1, 95 - 1)) &gt;= (OFFSET($A$1, 54 - 1, 7 - 1)), "1","0")</f>
        <v>0</v>
      </c>
      <c r="CT108">
        <f ca="1" xml:space="preserve"> IF( AND( OFFSET($A$1, 108 - 1, 96 - 1) = "1", OFFSET($A$1, 108 - 1, 97 - 1) = "1" ), 1, IF( AND( OFFSET($A$1, 108 - 1, 96 - 1) = "1", OFFSET($A$1, 108 - 1, 97 - 1) = "0" ), 2, IF( AND( OFFSET($A$1, 108 - 1, 96 - 1) = "0", OFFSET($A$1, 108 - 1, 97 - 1) = "1" ), 3, 4 ) ) )</f>
        <v>4</v>
      </c>
      <c r="CV108" s="24">
        <v>0.4677984804226954</v>
      </c>
      <c r="CW108" s="24" t="str">
        <f>"1"</f>
        <v>1</v>
      </c>
      <c r="CX108" t="str">
        <f ca="1">IF((OFFSET($A$1, 108 - 1, 100 - 1)) &gt;= (OFFSET($A$1, 78 - 1, 7 - 1)), "1","0")</f>
        <v>0</v>
      </c>
      <c r="CY108">
        <f ca="1" xml:space="preserve"> IF( AND( OFFSET($A$1, 108 - 1, 101 - 1) = "1", OFFSET($A$1, 108 - 1, 102 - 1) = "1" ), 1, IF( AND( OFFSET($A$1, 108 - 1, 101 - 1) = "1", OFFSET($A$1, 108 - 1, 102 - 1) = "0" ), 2, IF( AND( OFFSET($A$1, 108 - 1, 101 - 1) = "0", OFFSET($A$1, 108 - 1, 102 - 1) = "1" ), 3, 4 ) ) )</f>
        <v>2</v>
      </c>
    </row>
    <row r="109" spans="2:103" ht="13.8" x14ac:dyDescent="0.3">
      <c r="C109" s="26" t="s">
        <v>723</v>
      </c>
      <c r="D109" s="24">
        <v>2.3036890906635139</v>
      </c>
      <c r="E109" s="24">
        <v>1.5950126309514334</v>
      </c>
      <c r="F109" s="24">
        <v>-0.63623396809402399</v>
      </c>
      <c r="G109" s="24">
        <v>9.6852392863774159E-2</v>
      </c>
      <c r="H109" s="24">
        <v>-2.1692862583496133</v>
      </c>
      <c r="I109" s="24">
        <v>1.1842395968952357</v>
      </c>
      <c r="J109" s="24">
        <v>0.19188619040617844</v>
      </c>
      <c r="K109" s="24">
        <v>1.4166017932652613</v>
      </c>
      <c r="L109" s="24">
        <v>-1.0956611048701272</v>
      </c>
      <c r="M109" s="24">
        <v>0.66641658702277518</v>
      </c>
      <c r="N109" s="24">
        <v>0.63884083219196497</v>
      </c>
      <c r="O109" s="24">
        <v>-0.76019147026170808</v>
      </c>
      <c r="P109" s="24">
        <v>0.11950565717935643</v>
      </c>
      <c r="Q109" s="24">
        <v>6.7370116150809192E-2</v>
      </c>
      <c r="R109" s="24">
        <v>-0.64823836421876535</v>
      </c>
      <c r="S109" s="24">
        <v>-1.4288077166898021E-2</v>
      </c>
      <c r="T109" s="24">
        <v>-0.99669211478751396</v>
      </c>
      <c r="U109" s="24">
        <v>0.22628882355401203</v>
      </c>
      <c r="V109" s="24">
        <v>1.0891958228382423</v>
      </c>
      <c r="W109" s="24">
        <v>-0.64030460617011709</v>
      </c>
      <c r="X109" s="24">
        <v>-0.56763444071488711</v>
      </c>
      <c r="Y109" s="24">
        <v>0.73538457295810977</v>
      </c>
      <c r="Z109" s="24">
        <v>-0.58662243281978566</v>
      </c>
      <c r="AA109" s="24">
        <v>-0.52163005942709362</v>
      </c>
      <c r="AB109" s="24">
        <v>0.47921631664765557</v>
      </c>
      <c r="AC109" s="24">
        <v>1.4674587813470021</v>
      </c>
      <c r="AD109" s="24">
        <v>-0.79523128969923385</v>
      </c>
      <c r="AE109" s="24">
        <v>-0.59348391562101543</v>
      </c>
      <c r="AF109" s="24">
        <v>3.4435668982042192E-3</v>
      </c>
      <c r="AG109" s="24">
        <v>-0.23156233730442627</v>
      </c>
      <c r="AH109" s="24">
        <v>0.3921507459270408</v>
      </c>
      <c r="AI109" s="24">
        <v>-1.4631995428393367</v>
      </c>
      <c r="AJ109" s="24">
        <v>0.3033143486843855</v>
      </c>
      <c r="AK109" s="24">
        <v>-0.3999255546599661</v>
      </c>
      <c r="AL109" s="24">
        <v>-5.088524201216952E-2</v>
      </c>
      <c r="AM109" s="24">
        <v>1.8071073609542567</v>
      </c>
      <c r="AN109" s="24">
        <v>-0.96138441532072638</v>
      </c>
      <c r="AO109" s="24">
        <v>0.27470899075403232</v>
      </c>
      <c r="AP109" s="24">
        <v>0.70168342535978323</v>
      </c>
      <c r="AQ109" s="24">
        <v>-0.58812644156280836</v>
      </c>
      <c r="AR109" s="24">
        <v>0.83762831275140526</v>
      </c>
      <c r="AS109" s="24">
        <v>-0.10712720400224472</v>
      </c>
      <c r="AT109" s="24">
        <v>-1.7095057356407433</v>
      </c>
      <c r="AU109" s="24">
        <v>0.35500609096181018</v>
      </c>
      <c r="AV109" s="24">
        <v>-0.61662264750227513</v>
      </c>
      <c r="AW109" s="24">
        <v>-0.41225317531563527</v>
      </c>
      <c r="CQ109" s="24">
        <v>3.6942170316165224E-3</v>
      </c>
      <c r="CR109" s="24" t="str">
        <f>"0"</f>
        <v>0</v>
      </c>
      <c r="CS109" t="str">
        <f ca="1">IF((OFFSET($A$1, 109 - 1, 95 - 1)) &gt;= (OFFSET($A$1, 54 - 1, 7 - 1)), "1","0")</f>
        <v>0</v>
      </c>
      <c r="CT109">
        <f ca="1" xml:space="preserve"> IF( AND( OFFSET($A$1, 109 - 1, 96 - 1) = "1", OFFSET($A$1, 109 - 1, 97 - 1) = "1" ), 1, IF( AND( OFFSET($A$1, 109 - 1, 96 - 1) = "1", OFFSET($A$1, 109 - 1, 97 - 1) = "0" ), 2, IF( AND( OFFSET($A$1, 109 - 1, 96 - 1) = "0", OFFSET($A$1, 109 - 1, 97 - 1) = "1" ), 3, 4 ) ) )</f>
        <v>4</v>
      </c>
      <c r="CV109" s="24">
        <v>0.9971441551231387</v>
      </c>
      <c r="CW109" s="24" t="str">
        <f>"1"</f>
        <v>1</v>
      </c>
      <c r="CX109" t="str">
        <f ca="1">IF((OFFSET($A$1, 109 - 1, 100 - 1)) &gt;= (OFFSET($A$1, 78 - 1, 7 - 1)), "1","0")</f>
        <v>1</v>
      </c>
      <c r="CY109">
        <f ca="1" xml:space="preserve"> IF( AND( OFFSET($A$1, 109 - 1, 101 - 1) = "1", OFFSET($A$1, 109 - 1, 102 - 1) = "1" ), 1, IF( AND( OFFSET($A$1, 109 - 1, 101 - 1) = "1", OFFSET($A$1, 109 - 1, 102 - 1) = "0" ), 2, IF( AND( OFFSET($A$1, 109 - 1, 101 - 1) = "0", OFFSET($A$1, 109 - 1, 102 - 1) = "1" ), 3, 4 ) ) )</f>
        <v>1</v>
      </c>
    </row>
    <row r="110" spans="2:103" ht="13.8" x14ac:dyDescent="0.3">
      <c r="C110" s="26" t="s">
        <v>724</v>
      </c>
      <c r="D110" s="24">
        <v>0.56276363075449753</v>
      </c>
      <c r="E110" s="24">
        <v>0.75012263452707051</v>
      </c>
      <c r="F110" s="24">
        <v>0.46837151189136977</v>
      </c>
      <c r="G110" s="24">
        <v>-1.8554101049888576</v>
      </c>
      <c r="H110" s="24">
        <v>-0.69476454902842233</v>
      </c>
      <c r="I110" s="24">
        <v>1.2435932886474177</v>
      </c>
      <c r="J110" s="24">
        <v>9.57485917778024E-2</v>
      </c>
      <c r="K110" s="24">
        <v>-6.4645702595509211E-2</v>
      </c>
      <c r="L110" s="24">
        <v>-0.21587824956892387</v>
      </c>
      <c r="M110" s="24">
        <v>-0.41990832863043281</v>
      </c>
      <c r="N110" s="24">
        <v>-4.4912837070225628E-2</v>
      </c>
      <c r="O110" s="24">
        <v>-2.3550011250687315</v>
      </c>
      <c r="P110" s="24">
        <v>-0.52673950975087125</v>
      </c>
      <c r="Q110" s="24">
        <v>-0.65995517017132854</v>
      </c>
      <c r="R110" s="24">
        <v>0.88064060129253818</v>
      </c>
      <c r="S110" s="24">
        <v>-0.20625908359029238</v>
      </c>
      <c r="T110" s="24">
        <v>-0.11349998968470987</v>
      </c>
      <c r="U110" s="24">
        <v>-0.12683970448455015</v>
      </c>
      <c r="V110" s="24">
        <v>1.0576093539850273</v>
      </c>
      <c r="W110" s="24">
        <v>-1.7253734429032415</v>
      </c>
      <c r="X110" s="24">
        <v>-0.15140975734350948</v>
      </c>
      <c r="Y110" s="24">
        <v>-0.79492391045064137</v>
      </c>
      <c r="Z110" s="24">
        <v>0.75660886631220703</v>
      </c>
      <c r="AA110" s="24">
        <v>0.1742752522849996</v>
      </c>
      <c r="AB110" s="24">
        <v>-0.17671284051585673</v>
      </c>
      <c r="AC110" s="24">
        <v>-0.52197009363723745</v>
      </c>
      <c r="AD110" s="24">
        <v>-2.0718565180177853E-2</v>
      </c>
      <c r="AE110" s="24">
        <v>0.75128545848623896</v>
      </c>
      <c r="AF110" s="24">
        <v>-0.33279480344025469</v>
      </c>
      <c r="AG110" s="24">
        <v>1.0895735693598532</v>
      </c>
      <c r="AH110" s="24">
        <v>0.46334145742239036</v>
      </c>
      <c r="AI110" s="24">
        <v>1.0370856086788536</v>
      </c>
      <c r="AJ110" s="24">
        <v>-0.52836818995305967</v>
      </c>
      <c r="AK110" s="24">
        <v>-1.2370398160967979E-4</v>
      </c>
      <c r="AL110" s="24">
        <v>-0.59427469052818116</v>
      </c>
      <c r="AM110" s="24">
        <v>6.7972733557467246E-2</v>
      </c>
      <c r="AN110" s="24">
        <v>0.43019337689925941</v>
      </c>
      <c r="AO110" s="24">
        <v>0.90444207786306963</v>
      </c>
      <c r="AP110" s="24">
        <v>1.410435543949955</v>
      </c>
      <c r="AQ110" s="24">
        <v>-0.71970747217654785</v>
      </c>
      <c r="AR110" s="24">
        <v>1.0004212615395742</v>
      </c>
      <c r="AS110" s="24">
        <v>-1.1868044999414384</v>
      </c>
      <c r="AT110" s="24">
        <v>0.26940913393047033</v>
      </c>
      <c r="AU110" s="24">
        <v>1.3065674365173638</v>
      </c>
      <c r="AV110" s="24">
        <v>-1.3100832798924675</v>
      </c>
      <c r="AW110" s="24">
        <v>0.21913883609761745</v>
      </c>
      <c r="CQ110" s="24">
        <v>0.91489132163416786</v>
      </c>
      <c r="CR110" s="24" t="str">
        <f t="shared" ref="CR110:CR126" si="7">"1"</f>
        <v>1</v>
      </c>
      <c r="CS110" t="str">
        <f ca="1">IF((OFFSET($A$1, 110 - 1, 95 - 1)) &gt;= (OFFSET($A$1, 54 - 1, 7 - 1)), "1","0")</f>
        <v>0</v>
      </c>
      <c r="CT110">
        <f ca="1" xml:space="preserve"> IF( AND( OFFSET($A$1, 110 - 1, 96 - 1) = "1", OFFSET($A$1, 110 - 1, 97 - 1) = "1" ), 1, IF( AND( OFFSET($A$1, 110 - 1, 96 - 1) = "1", OFFSET($A$1, 110 - 1, 97 - 1) = "0" ), 2, IF( AND( OFFSET($A$1, 110 - 1, 96 - 1) = "0", OFFSET($A$1, 110 - 1, 97 - 1) = "1" ), 3, 4 ) ) )</f>
        <v>2</v>
      </c>
      <c r="CV110" s="24">
        <v>0.64676557114039368</v>
      </c>
      <c r="CW110" s="24" t="str">
        <f>"0"</f>
        <v>0</v>
      </c>
      <c r="CX110" t="str">
        <f ca="1">IF((OFFSET($A$1, 110 - 1, 100 - 1)) &gt;= (OFFSET($A$1, 78 - 1, 7 - 1)), "1","0")</f>
        <v>0</v>
      </c>
      <c r="CY110">
        <f ca="1" xml:space="preserve"> IF( AND( OFFSET($A$1, 110 - 1, 101 - 1) = "1", OFFSET($A$1, 110 - 1, 102 - 1) = "1" ), 1, IF( AND( OFFSET($A$1, 110 - 1, 101 - 1) = "1", OFFSET($A$1, 110 - 1, 102 - 1) = "0" ), 2, IF( AND( OFFSET($A$1, 110 - 1, 101 - 1) = "0", OFFSET($A$1, 110 - 1, 102 - 1) = "1" ), 3, 4 ) ) )</f>
        <v>4</v>
      </c>
    </row>
    <row r="111" spans="2:103" ht="13.8" x14ac:dyDescent="0.3">
      <c r="C111" s="26" t="s">
        <v>725</v>
      </c>
      <c r="D111" s="24">
        <v>-0.10941499036225766</v>
      </c>
      <c r="E111" s="24">
        <v>3.7941469309301819E-2</v>
      </c>
      <c r="F111" s="24">
        <v>0.72758359425893959</v>
      </c>
      <c r="G111" s="24">
        <v>0.55585735202859476</v>
      </c>
      <c r="H111" s="24">
        <v>-1.1055497762236717</v>
      </c>
      <c r="I111" s="24">
        <v>0.42267214347072263</v>
      </c>
      <c r="J111" s="24">
        <v>9.3258525870520803E-2</v>
      </c>
      <c r="K111" s="24">
        <v>-0.58074400482871902</v>
      </c>
      <c r="L111" s="24">
        <v>-1.1559744535443595</v>
      </c>
      <c r="M111" s="24">
        <v>-0.3167593362075003</v>
      </c>
      <c r="N111" s="24">
        <v>0.13880855872085926</v>
      </c>
      <c r="O111" s="24">
        <v>8.6314674275430985E-4</v>
      </c>
      <c r="P111" s="24">
        <v>-0.49591640777637264</v>
      </c>
      <c r="Q111" s="24">
        <v>-0.49446156038977512</v>
      </c>
      <c r="R111" s="24">
        <v>-0.21641114402084541</v>
      </c>
      <c r="S111" s="24">
        <v>-0.13756676091840173</v>
      </c>
      <c r="T111" s="24">
        <v>-0.53818147474649225</v>
      </c>
      <c r="U111" s="24">
        <v>-0.66841260485481235</v>
      </c>
      <c r="V111" s="24">
        <v>-0.28408155915021305</v>
      </c>
      <c r="W111" s="24">
        <v>0.16841217817367576</v>
      </c>
      <c r="X111" s="24">
        <v>0.47989945537391238</v>
      </c>
      <c r="Y111" s="24">
        <v>-0.18264760819972381</v>
      </c>
      <c r="Z111" s="24">
        <v>0.62694567018484226</v>
      </c>
      <c r="AA111" s="24">
        <v>0.44877845765790197</v>
      </c>
      <c r="AB111" s="24">
        <v>0.47602078952374371</v>
      </c>
      <c r="AC111" s="24">
        <v>-0.57250781315687094</v>
      </c>
      <c r="AD111" s="24">
        <v>-0.16447572986449535</v>
      </c>
      <c r="AE111" s="24">
        <v>0.48574231095224624</v>
      </c>
      <c r="AF111" s="24">
        <v>-0.17247535829315119</v>
      </c>
      <c r="AG111" s="24">
        <v>-0.13223888005722476</v>
      </c>
      <c r="AH111" s="24">
        <v>-0.30018714336288799</v>
      </c>
      <c r="AI111" s="24">
        <v>-0.41593294289084071</v>
      </c>
      <c r="AJ111" s="24">
        <v>-0.37770625468412322</v>
      </c>
      <c r="AK111" s="24">
        <v>0.58409579538859802</v>
      </c>
      <c r="AL111" s="24">
        <v>-6.5105316027245109E-3</v>
      </c>
      <c r="AM111" s="24">
        <v>-0.64448776070913449</v>
      </c>
      <c r="AN111" s="24">
        <v>-0.2449107547620378</v>
      </c>
      <c r="AO111" s="24">
        <v>0.16003500388835512</v>
      </c>
      <c r="AP111" s="24">
        <v>0.15937784744915898</v>
      </c>
      <c r="AQ111" s="24">
        <v>2.0866344940848179E-2</v>
      </c>
      <c r="AR111" s="24">
        <v>-6.2250623938605865E-2</v>
      </c>
      <c r="AS111" s="24">
        <v>0.35580689879535526</v>
      </c>
      <c r="AT111" s="24">
        <v>-0.38534251041194995</v>
      </c>
      <c r="AU111" s="24">
        <v>-0.71487885974437526</v>
      </c>
      <c r="AV111" s="24">
        <v>-4.6695698537027375E-2</v>
      </c>
      <c r="AW111" s="24">
        <v>0.14820004754092733</v>
      </c>
      <c r="CQ111" s="24">
        <v>0.92292706417100112</v>
      </c>
      <c r="CR111" s="24" t="str">
        <f t="shared" si="7"/>
        <v>1</v>
      </c>
      <c r="CS111" t="str">
        <f ca="1">IF((OFFSET($A$1, 111 - 1, 95 - 1)) &gt;= (OFFSET($A$1, 54 - 1, 7 - 1)), "1","0")</f>
        <v>0</v>
      </c>
      <c r="CT111">
        <f ca="1" xml:space="preserve"> IF( AND( OFFSET($A$1, 111 - 1, 96 - 1) = "1", OFFSET($A$1, 111 - 1, 97 - 1) = "1" ), 1, IF( AND( OFFSET($A$1, 111 - 1, 96 - 1) = "1", OFFSET($A$1, 111 - 1, 97 - 1) = "0" ), 2, IF( AND( OFFSET($A$1, 111 - 1, 96 - 1) = "0", OFFSET($A$1, 111 - 1, 97 - 1) = "1" ), 3, 4 ) ) )</f>
        <v>2</v>
      </c>
      <c r="CV111" s="24">
        <v>0.91009436949243083</v>
      </c>
      <c r="CW111" s="24" t="str">
        <f>"0"</f>
        <v>0</v>
      </c>
      <c r="CX111" t="str">
        <f ca="1">IF((OFFSET($A$1, 111 - 1, 100 - 1)) &gt;= (OFFSET($A$1, 78 - 1, 7 - 1)), "1","0")</f>
        <v>1</v>
      </c>
      <c r="CY111">
        <f ca="1" xml:space="preserve"> IF( AND( OFFSET($A$1, 111 - 1, 101 - 1) = "1", OFFSET($A$1, 111 - 1, 102 - 1) = "1" ), 1, IF( AND( OFFSET($A$1, 111 - 1, 101 - 1) = "1", OFFSET($A$1, 111 - 1, 102 - 1) = "0" ), 2, IF( AND( OFFSET($A$1, 111 - 1, 101 - 1) = "0", OFFSET($A$1, 111 - 1, 102 - 1) = "1" ), 3, 4 ) ) )</f>
        <v>3</v>
      </c>
    </row>
    <row r="112" spans="2:103" ht="13.8" x14ac:dyDescent="0.3">
      <c r="C112" s="26" t="s">
        <v>726</v>
      </c>
      <c r="D112" s="24">
        <v>-0.21352962892383631</v>
      </c>
      <c r="E112" s="24">
        <v>-1.0381320519531225</v>
      </c>
      <c r="F112" s="24">
        <v>0.56872131411057747</v>
      </c>
      <c r="G112" s="24">
        <v>-0.89529064087172128</v>
      </c>
      <c r="H112" s="24">
        <v>-4.0108030719888874E-2</v>
      </c>
      <c r="I112" s="24">
        <v>-0.77035289966383802</v>
      </c>
      <c r="J112" s="24">
        <v>0.89105945615759585</v>
      </c>
      <c r="K112" s="24">
        <v>1.6186419170059814</v>
      </c>
      <c r="L112" s="24">
        <v>-0.5465238144533977</v>
      </c>
      <c r="M112" s="24">
        <v>0.59250587755139961</v>
      </c>
      <c r="N112" s="24">
        <v>8.9937064775068798E-2</v>
      </c>
      <c r="O112" s="24">
        <v>-0.59419853212925711</v>
      </c>
      <c r="P112" s="24">
        <v>0.79663804465327637</v>
      </c>
      <c r="Q112" s="24">
        <v>0.2111222230061473</v>
      </c>
      <c r="R112" s="24">
        <v>0.17441038685243557</v>
      </c>
      <c r="S112" s="24">
        <v>-1.0055911368244124</v>
      </c>
      <c r="T112" s="24">
        <v>-0.64567583722301924</v>
      </c>
      <c r="U112" s="24">
        <v>9.4839805951597633E-2</v>
      </c>
      <c r="V112" s="24">
        <v>-7.2791765015339335E-2</v>
      </c>
      <c r="W112" s="24">
        <v>1.0607516921684568</v>
      </c>
      <c r="X112" s="24">
        <v>0.77132076019424123</v>
      </c>
      <c r="Y112" s="24">
        <v>0.33874395163620119</v>
      </c>
      <c r="Z112" s="24">
        <v>0.11886454967577778</v>
      </c>
      <c r="AA112" s="24">
        <v>0.34761028574785974</v>
      </c>
      <c r="AB112" s="24">
        <v>0.54889493815597179</v>
      </c>
      <c r="AC112" s="24">
        <v>0.31651456980934767</v>
      </c>
      <c r="AD112" s="24">
        <v>-0.34759377936492647</v>
      </c>
      <c r="AE112" s="24">
        <v>-0.25094639438327576</v>
      </c>
      <c r="AF112" s="24">
        <v>0.83996008258287103</v>
      </c>
      <c r="AG112" s="24">
        <v>-0.49209640167281771</v>
      </c>
      <c r="AH112" s="24">
        <v>0.7799710143604095</v>
      </c>
      <c r="AI112" s="24">
        <v>0.38645155069536208</v>
      </c>
      <c r="AJ112" s="24">
        <v>1.5294091620557764E-2</v>
      </c>
      <c r="AK112" s="24">
        <v>9.5372990056724422E-2</v>
      </c>
      <c r="AL112" s="24">
        <v>0.52152771906908113</v>
      </c>
      <c r="AM112" s="24">
        <v>-0.31254991528642295</v>
      </c>
      <c r="AN112" s="24">
        <v>-0.42984858891443523</v>
      </c>
      <c r="AO112" s="24">
        <v>0.50295826032112068</v>
      </c>
      <c r="AP112" s="24">
        <v>0.20797377432100614</v>
      </c>
      <c r="AQ112" s="24">
        <v>0.29135981772407898</v>
      </c>
      <c r="AR112" s="24">
        <v>0.59472167214977545</v>
      </c>
      <c r="AS112" s="24">
        <v>5.0876547572754623E-2</v>
      </c>
      <c r="AT112" s="24">
        <v>-2.6177227658479088E-3</v>
      </c>
      <c r="AU112" s="24">
        <v>0.40469516136861805</v>
      </c>
      <c r="AV112" s="24">
        <v>0.17237268820608873</v>
      </c>
      <c r="AW112" s="24">
        <v>-1.0775341497482105</v>
      </c>
      <c r="CQ112" s="24">
        <v>0.99882360573015172</v>
      </c>
      <c r="CR112" s="24" t="str">
        <f t="shared" si="7"/>
        <v>1</v>
      </c>
      <c r="CS112" t="str">
        <f ca="1">IF((OFFSET($A$1, 112 - 1, 95 - 1)) &gt;= (OFFSET($A$1, 54 - 1, 7 - 1)), "1","0")</f>
        <v>1</v>
      </c>
      <c r="CT112">
        <f ca="1" xml:space="preserve"> IF( AND( OFFSET($A$1, 112 - 1, 96 - 1) = "1", OFFSET($A$1, 112 - 1, 97 - 1) = "1" ), 1, IF( AND( OFFSET($A$1, 112 - 1, 96 - 1) = "1", OFFSET($A$1, 112 - 1, 97 - 1) = "0" ), 2, IF( AND( OFFSET($A$1, 112 - 1, 96 - 1) = "0", OFFSET($A$1, 112 - 1, 97 - 1) = "1" ), 3, 4 ) ) )</f>
        <v>1</v>
      </c>
      <c r="CV112" s="24">
        <v>0.61909232799503977</v>
      </c>
      <c r="CW112" s="24" t="str">
        <f>"1"</f>
        <v>1</v>
      </c>
      <c r="CX112" t="str">
        <f ca="1">IF((OFFSET($A$1, 112 - 1, 100 - 1)) &gt;= (OFFSET($A$1, 78 - 1, 7 - 1)), "1","0")</f>
        <v>0</v>
      </c>
      <c r="CY112">
        <f ca="1" xml:space="preserve"> IF( AND( OFFSET($A$1, 112 - 1, 101 - 1) = "1", OFFSET($A$1, 112 - 1, 102 - 1) = "1" ), 1, IF( AND( OFFSET($A$1, 112 - 1, 101 - 1) = "1", OFFSET($A$1, 112 - 1, 102 - 1) = "0" ), 2, IF( AND( OFFSET($A$1, 112 - 1, 101 - 1) = "0", OFFSET($A$1, 112 - 1, 102 - 1) = "1" ), 3, 4 ) ) )</f>
        <v>2</v>
      </c>
    </row>
    <row r="113" spans="3:103" ht="13.8" x14ac:dyDescent="0.3">
      <c r="C113" s="26" t="s">
        <v>727</v>
      </c>
      <c r="D113" s="24">
        <v>0.49824098924315868</v>
      </c>
      <c r="E113" s="24">
        <v>3.1057163197391921E-2</v>
      </c>
      <c r="F113" s="24">
        <v>0.54667327683179245</v>
      </c>
      <c r="G113" s="24">
        <v>-1.2770164778992188</v>
      </c>
      <c r="H113" s="24">
        <v>-0.8388852279347736</v>
      </c>
      <c r="I113" s="24">
        <v>0.3977388363452472</v>
      </c>
      <c r="J113" s="24">
        <v>0.95981249247422951</v>
      </c>
      <c r="K113" s="24">
        <v>1.2458706894130904</v>
      </c>
      <c r="L113" s="24">
        <v>-0.32843980546482854</v>
      </c>
      <c r="M113" s="24">
        <v>0.24121354719416577</v>
      </c>
      <c r="N113" s="24">
        <v>-6.9155520528604797E-2</v>
      </c>
      <c r="O113" s="24">
        <v>-0.80465190621345484</v>
      </c>
      <c r="P113" s="24">
        <v>-0.58408908693122596</v>
      </c>
      <c r="Q113" s="24">
        <v>-0.7249181338505033</v>
      </c>
      <c r="R113" s="24">
        <v>-1.4160467995430566</v>
      </c>
      <c r="S113" s="24">
        <v>-0.14444141745047376</v>
      </c>
      <c r="T113" s="24">
        <v>0.37518007553580696</v>
      </c>
      <c r="U113" s="24">
        <v>-0.51009336131795302</v>
      </c>
      <c r="V113" s="24">
        <v>-0.12150669755170572</v>
      </c>
      <c r="W113" s="24">
        <v>1.1482370647035649</v>
      </c>
      <c r="X113" s="24">
        <v>0.2849993746134824</v>
      </c>
      <c r="Y113" s="24">
        <v>-0.42302370736162714</v>
      </c>
      <c r="Z113" s="24">
        <v>-1.4746315079234305</v>
      </c>
      <c r="AA113" s="24">
        <v>3.6057124355194009E-2</v>
      </c>
      <c r="AB113" s="24">
        <v>0.20820219702127735</v>
      </c>
      <c r="AC113" s="24">
        <v>1.9070265510324724</v>
      </c>
      <c r="AD113" s="24">
        <v>-1.165894504216372</v>
      </c>
      <c r="AE113" s="24">
        <v>0.32019293355825951</v>
      </c>
      <c r="AF113" s="24">
        <v>0.32624664507148049</v>
      </c>
      <c r="AG113" s="24">
        <v>-1.5079199756453636</v>
      </c>
      <c r="AH113" s="24">
        <v>0.60163700864409742</v>
      </c>
      <c r="AI113" s="24">
        <v>-1.7779379280139767</v>
      </c>
      <c r="AJ113" s="24">
        <v>1.3081842111088362</v>
      </c>
      <c r="AK113" s="24">
        <v>-0.13422135636874807</v>
      </c>
      <c r="AL113" s="24">
        <v>-0.44640036293367225</v>
      </c>
      <c r="AM113" s="24">
        <v>-0.10711343662316607</v>
      </c>
      <c r="AN113" s="24">
        <v>0.60626327437484329</v>
      </c>
      <c r="AO113" s="24">
        <v>-1.2054690500031715</v>
      </c>
      <c r="AP113" s="24">
        <v>0.8241309123224535</v>
      </c>
      <c r="AQ113" s="24">
        <v>0.22257440614581644</v>
      </c>
      <c r="AR113" s="24">
        <v>1.6551602887757559</v>
      </c>
      <c r="AS113" s="24">
        <v>0.95312787484257966</v>
      </c>
      <c r="AT113" s="24">
        <v>0.81116205625905047</v>
      </c>
      <c r="AU113" s="24">
        <v>-1.0909867534530788</v>
      </c>
      <c r="AV113" s="24">
        <v>1.0608973038835194</v>
      </c>
      <c r="AW113" s="24">
        <v>0.41243785630979501</v>
      </c>
      <c r="CQ113" s="24">
        <v>0.86261264348888644</v>
      </c>
      <c r="CR113" s="24" t="str">
        <f t="shared" si="7"/>
        <v>1</v>
      </c>
      <c r="CS113" t="str">
        <f ca="1">IF((OFFSET($A$1, 113 - 1, 95 - 1)) &gt;= (OFFSET($A$1, 54 - 1, 7 - 1)), "1","0")</f>
        <v>0</v>
      </c>
      <c r="CT113">
        <f ca="1" xml:space="preserve"> IF( AND( OFFSET($A$1, 113 - 1, 96 - 1) = "1", OFFSET($A$1, 113 - 1, 97 - 1) = "1" ), 1, IF( AND( OFFSET($A$1, 113 - 1, 96 - 1) = "1", OFFSET($A$1, 113 - 1, 97 - 1) = "0" ), 2, IF( AND( OFFSET($A$1, 113 - 1, 96 - 1) = "0", OFFSET($A$1, 113 - 1, 97 - 1) = "1" ), 3, 4 ) ) )</f>
        <v>2</v>
      </c>
      <c r="CV113" s="24">
        <v>1.7969441436241176E-3</v>
      </c>
      <c r="CW113" s="24" t="str">
        <f>"0"</f>
        <v>0</v>
      </c>
      <c r="CX113" t="str">
        <f ca="1">IF((OFFSET($A$1, 113 - 1, 100 - 1)) &gt;= (OFFSET($A$1, 78 - 1, 7 - 1)), "1","0")</f>
        <v>0</v>
      </c>
      <c r="CY113">
        <f ca="1" xml:space="preserve"> IF( AND( OFFSET($A$1, 113 - 1, 101 - 1) = "1", OFFSET($A$1, 113 - 1, 102 - 1) = "1" ), 1, IF( AND( OFFSET($A$1, 113 - 1, 101 - 1) = "1", OFFSET($A$1, 113 - 1, 102 - 1) = "0" ), 2, IF( AND( OFFSET($A$1, 113 - 1, 101 - 1) = "0", OFFSET($A$1, 113 - 1, 102 - 1) = "1" ), 3, 4 ) ) )</f>
        <v>4</v>
      </c>
    </row>
    <row r="114" spans="3:103" ht="13.8" x14ac:dyDescent="0.3">
      <c r="C114" s="26" t="s">
        <v>728</v>
      </c>
      <c r="D114" s="24">
        <v>0.14875410908704559</v>
      </c>
      <c r="E114" s="24">
        <v>-1.1830665669552098</v>
      </c>
      <c r="F114" s="24">
        <v>0.28297052346889801</v>
      </c>
      <c r="G114" s="24">
        <v>-0.58225251224271091</v>
      </c>
      <c r="H114" s="24">
        <v>1.3440520174195292</v>
      </c>
      <c r="I114" s="24">
        <v>9.5033358439028118E-2</v>
      </c>
      <c r="J114" s="24">
        <v>1.4309953030114724</v>
      </c>
      <c r="K114" s="24">
        <v>-0.47611703334900451</v>
      </c>
      <c r="L114" s="24">
        <v>-0.74412783773444735</v>
      </c>
      <c r="M114" s="24">
        <v>-1.2623882698655786</v>
      </c>
      <c r="N114" s="24">
        <v>0.58583134421331762</v>
      </c>
      <c r="O114" s="24">
        <v>-0.60051368971311725</v>
      </c>
      <c r="P114" s="24">
        <v>-0.72982619413472227</v>
      </c>
      <c r="Q114" s="24">
        <v>-0.70836006751197589</v>
      </c>
      <c r="R114" s="24">
        <v>-1.954174651124277</v>
      </c>
      <c r="S114" s="24">
        <v>0.94316650869496454</v>
      </c>
      <c r="T114" s="24">
        <v>-0.30741978586707752</v>
      </c>
      <c r="U114" s="24">
        <v>8.9644353841239338E-2</v>
      </c>
      <c r="V114" s="24">
        <v>0.34564330413250383</v>
      </c>
      <c r="W114" s="24">
        <v>-0.76824930785479617</v>
      </c>
      <c r="X114" s="24">
        <v>0.34134094597999143</v>
      </c>
      <c r="Y114" s="24">
        <v>-1.8306144020276351</v>
      </c>
      <c r="Z114" s="24">
        <v>-0.16211192581062225</v>
      </c>
      <c r="AA114" s="24">
        <v>0.89289900133232702</v>
      </c>
      <c r="AB114" s="24">
        <v>-1.2479257627072964</v>
      </c>
      <c r="AC114" s="24">
        <v>8.271632786562727E-2</v>
      </c>
      <c r="AD114" s="24">
        <v>0.21819246063949646</v>
      </c>
      <c r="AE114" s="24">
        <v>-0.20985689373314736</v>
      </c>
      <c r="AF114" s="24">
        <v>-0.76539393031627179</v>
      </c>
      <c r="AG114" s="24">
        <v>4.6394065151153366E-2</v>
      </c>
      <c r="AH114" s="24">
        <v>1.0726210369440534</v>
      </c>
      <c r="AI114" s="24">
        <v>-0.90634472536905653</v>
      </c>
      <c r="AJ114" s="24">
        <v>-1.9680249870313749</v>
      </c>
      <c r="AK114" s="24">
        <v>-1.1253784408531655</v>
      </c>
      <c r="AL114" s="24">
        <v>0.14733748633925106</v>
      </c>
      <c r="AM114" s="24">
        <v>-0.16836940167100409</v>
      </c>
      <c r="AN114" s="24">
        <v>-0.26562492120737441</v>
      </c>
      <c r="AO114" s="24">
        <v>-1.3357658633355012</v>
      </c>
      <c r="AP114" s="24">
        <v>0.31312138483560831</v>
      </c>
      <c r="AQ114" s="24">
        <v>0.45673276352154485</v>
      </c>
      <c r="AR114" s="24">
        <v>-0.66891154502171102</v>
      </c>
      <c r="AS114" s="24">
        <v>-1.8729113846316741</v>
      </c>
      <c r="AT114" s="24">
        <v>-0.34179142346045543</v>
      </c>
      <c r="AU114" s="24">
        <v>-0.92155318367863737</v>
      </c>
      <c r="AV114" s="24">
        <v>0.20608049419604552</v>
      </c>
      <c r="AW114" s="24">
        <v>0.41038982521169048</v>
      </c>
      <c r="CQ114" s="24">
        <v>0.99996851044719526</v>
      </c>
      <c r="CR114" s="24" t="str">
        <f t="shared" si="7"/>
        <v>1</v>
      </c>
      <c r="CS114" t="str">
        <f ca="1">IF((OFFSET($A$1, 114 - 1, 95 - 1)) &gt;= (OFFSET($A$1, 54 - 1, 7 - 1)), "1","0")</f>
        <v>1</v>
      </c>
      <c r="CT114">
        <f ca="1" xml:space="preserve"> IF( AND( OFFSET($A$1, 114 - 1, 96 - 1) = "1", OFFSET($A$1, 114 - 1, 97 - 1) = "1" ), 1, IF( AND( OFFSET($A$1, 114 - 1, 96 - 1) = "1", OFFSET($A$1, 114 - 1, 97 - 1) = "0" ), 2, IF( AND( OFFSET($A$1, 114 - 1, 96 - 1) = "0", OFFSET($A$1, 114 - 1, 97 - 1) = "1" ), 3, 4 ) ) )</f>
        <v>1</v>
      </c>
      <c r="CV114" s="24">
        <v>0.99858593060308454</v>
      </c>
      <c r="CW114" s="24" t="str">
        <f>"1"</f>
        <v>1</v>
      </c>
      <c r="CX114" t="str">
        <f ca="1">IF((OFFSET($A$1, 114 - 1, 100 - 1)) &gt;= (OFFSET($A$1, 78 - 1, 7 - 1)), "1","0")</f>
        <v>1</v>
      </c>
      <c r="CY114">
        <f ca="1" xml:space="preserve"> IF( AND( OFFSET($A$1, 114 - 1, 101 - 1) = "1", OFFSET($A$1, 114 - 1, 102 - 1) = "1" ), 1, IF( AND( OFFSET($A$1, 114 - 1, 101 - 1) = "1", OFFSET($A$1, 114 - 1, 102 - 1) = "0" ), 2, IF( AND( OFFSET($A$1, 114 - 1, 101 - 1) = "0", OFFSET($A$1, 114 - 1, 102 - 1) = "1" ), 3, 4 ) ) )</f>
        <v>1</v>
      </c>
    </row>
    <row r="115" spans="3:103" ht="13.8" x14ac:dyDescent="0.3">
      <c r="C115" s="26" t="s">
        <v>729</v>
      </c>
      <c r="D115" s="24">
        <v>0.48049793907426358</v>
      </c>
      <c r="E115" s="24">
        <v>-0.43748752353251746</v>
      </c>
      <c r="F115" s="24">
        <v>0.68933108680345967</v>
      </c>
      <c r="G115" s="24">
        <v>-0.2095024080606793</v>
      </c>
      <c r="H115" s="24">
        <v>0.28089030847772528</v>
      </c>
      <c r="I115" s="24">
        <v>-0.55947211828602683</v>
      </c>
      <c r="J115" s="24">
        <v>-0.66751684318549309</v>
      </c>
      <c r="K115" s="24">
        <v>1.1021484128268872</v>
      </c>
      <c r="L115" s="24">
        <v>0.42958392545859769</v>
      </c>
      <c r="M115" s="24">
        <v>1.6571439910817938</v>
      </c>
      <c r="N115" s="24">
        <v>1.1789840166555832</v>
      </c>
      <c r="O115" s="24">
        <v>-0.99618971797009714</v>
      </c>
      <c r="P115" s="24">
        <v>0.17688120070580432</v>
      </c>
      <c r="Q115" s="24">
        <v>0.48955261445916382</v>
      </c>
      <c r="R115" s="24">
        <v>0.80474468508850383</v>
      </c>
      <c r="S115" s="24">
        <v>-5.8623828962927456E-2</v>
      </c>
      <c r="T115" s="24">
        <v>-5.7897793921711724E-2</v>
      </c>
      <c r="U115" s="24">
        <v>1.1431156312965851</v>
      </c>
      <c r="V115" s="24">
        <v>0.28320279770048318</v>
      </c>
      <c r="W115" s="24">
        <v>-0.23071566311321604</v>
      </c>
      <c r="X115" s="24">
        <v>-0.3338401838456046</v>
      </c>
      <c r="Y115" s="24">
        <v>-0.2931113285730288</v>
      </c>
      <c r="Z115" s="24">
        <v>-0.38385797019314877</v>
      </c>
      <c r="AA115" s="24">
        <v>-0.38634474959434983</v>
      </c>
      <c r="AB115" s="24">
        <v>-0.55913796455320752</v>
      </c>
      <c r="AC115" s="24">
        <v>0.56365509274479353</v>
      </c>
      <c r="AD115" s="24">
        <v>-0.29026379166493754</v>
      </c>
      <c r="AE115" s="24">
        <v>0.41389577681503126</v>
      </c>
      <c r="AF115" s="24">
        <v>0.79806013888460992</v>
      </c>
      <c r="AG115" s="24">
        <v>-0.279611129795866</v>
      </c>
      <c r="AH115" s="24">
        <v>0.11660530405419113</v>
      </c>
      <c r="AI115" s="24">
        <v>2.2217194636291571E-2</v>
      </c>
      <c r="AJ115" s="24">
        <v>-0.17356430103977585</v>
      </c>
      <c r="AK115" s="24">
        <v>0.8685786022668992</v>
      </c>
      <c r="AL115" s="24">
        <v>-0.34773782918747947</v>
      </c>
      <c r="AM115" s="24">
        <v>0.99292907664030106</v>
      </c>
      <c r="AN115" s="24">
        <v>0.25068875343807068</v>
      </c>
      <c r="AO115" s="24">
        <v>0.96632962331860484</v>
      </c>
      <c r="AP115" s="24">
        <v>-0.47460909491645387</v>
      </c>
      <c r="AQ115" s="24">
        <v>-0.92680421542263869</v>
      </c>
      <c r="AR115" s="24">
        <v>1.4669261303407901</v>
      </c>
      <c r="AS115" s="24">
        <v>-1.8575278154616561</v>
      </c>
      <c r="AT115" s="24">
        <v>0.36733349510045715</v>
      </c>
      <c r="AU115" s="24">
        <v>-1.1126073787322777E-2</v>
      </c>
      <c r="AV115" s="24">
        <v>8.7208521753397841E-2</v>
      </c>
      <c r="AW115" s="24">
        <v>0.46886596858711344</v>
      </c>
      <c r="CQ115" s="24">
        <v>0.99887558348750971</v>
      </c>
      <c r="CR115" s="24" t="str">
        <f t="shared" si="7"/>
        <v>1</v>
      </c>
      <c r="CS115" t="str">
        <f ca="1">IF((OFFSET($A$1, 115 - 1, 95 - 1)) &gt;= (OFFSET($A$1, 54 - 1, 7 - 1)), "1","0")</f>
        <v>1</v>
      </c>
      <c r="CT115">
        <f ca="1" xml:space="preserve"> IF( AND( OFFSET($A$1, 115 - 1, 96 - 1) = "1", OFFSET($A$1, 115 - 1, 97 - 1) = "1" ), 1, IF( AND( OFFSET($A$1, 115 - 1, 96 - 1) = "1", OFFSET($A$1, 115 - 1, 97 - 1) = "0" ), 2, IF( AND( OFFSET($A$1, 115 - 1, 96 - 1) = "0", OFFSET($A$1, 115 - 1, 97 - 1) = "1" ), 3, 4 ) ) )</f>
        <v>1</v>
      </c>
      <c r="CV115" s="24">
        <v>0.99987431149701489</v>
      </c>
      <c r="CW115" s="24" t="str">
        <f>"1"</f>
        <v>1</v>
      </c>
      <c r="CX115" t="str">
        <f ca="1">IF((OFFSET($A$1, 115 - 1, 100 - 1)) &gt;= (OFFSET($A$1, 78 - 1, 7 - 1)), "1","0")</f>
        <v>1</v>
      </c>
      <c r="CY115">
        <f ca="1" xml:space="preserve"> IF( AND( OFFSET($A$1, 115 - 1, 101 - 1) = "1", OFFSET($A$1, 115 - 1, 102 - 1) = "1" ), 1, IF( AND( OFFSET($A$1, 115 - 1, 101 - 1) = "1", OFFSET($A$1, 115 - 1, 102 - 1) = "0" ), 2, IF( AND( OFFSET($A$1, 115 - 1, 101 - 1) = "0", OFFSET($A$1, 115 - 1, 102 - 1) = "1" ), 3, 4 ) ) )</f>
        <v>1</v>
      </c>
    </row>
    <row r="116" spans="3:103" ht="13.8" x14ac:dyDescent="0.3">
      <c r="C116" s="26" t="s">
        <v>730</v>
      </c>
      <c r="D116" s="24">
        <v>-0.83052471164284802</v>
      </c>
      <c r="E116" s="24">
        <v>-0.2561499221788574</v>
      </c>
      <c r="F116" s="24">
        <v>0.99070205602945449</v>
      </c>
      <c r="G116" s="24">
        <v>0.49364460999846083</v>
      </c>
      <c r="H116" s="24">
        <v>-0.20352021641520573</v>
      </c>
      <c r="I116" s="24">
        <v>-1.7867668162245951</v>
      </c>
      <c r="J116" s="24">
        <v>1.0457150919971168</v>
      </c>
      <c r="K116" s="24">
        <v>-1.0214244964438473E-2</v>
      </c>
      <c r="L116" s="24">
        <v>-0.27901296071038739</v>
      </c>
      <c r="M116" s="24">
        <v>0.49137462926643422</v>
      </c>
      <c r="N116" s="24">
        <v>1.8736112037446495</v>
      </c>
      <c r="O116" s="24">
        <v>-0.48239965150331732</v>
      </c>
      <c r="P116" s="24">
        <v>-0.47975015716550656</v>
      </c>
      <c r="Q116" s="24">
        <v>0.13619459398675288</v>
      </c>
      <c r="R116" s="24">
        <v>0.11129932404616084</v>
      </c>
      <c r="S116" s="24">
        <v>-1.1713101914523973</v>
      </c>
      <c r="T116" s="24">
        <v>0.24530170002408413</v>
      </c>
      <c r="U116" s="24">
        <v>-0.21411674022416499</v>
      </c>
      <c r="V116" s="24">
        <v>-0.30374863070665709</v>
      </c>
      <c r="W116" s="24">
        <v>1.0121861412560822</v>
      </c>
      <c r="X116" s="24">
        <v>1.5324438536146849</v>
      </c>
      <c r="Y116" s="24">
        <v>-1.1301626299898619</v>
      </c>
      <c r="Z116" s="24">
        <v>-1.0715772345352792</v>
      </c>
      <c r="AA116" s="24">
        <v>0.74518314498357541</v>
      </c>
      <c r="AB116" s="24">
        <v>-0.66474379829157537</v>
      </c>
      <c r="AC116" s="24">
        <v>-1.3119029933239226</v>
      </c>
      <c r="AD116" s="24">
        <v>0.86320333236418556</v>
      </c>
      <c r="AE116" s="24">
        <v>0.40820649307204443</v>
      </c>
      <c r="AF116" s="24">
        <v>-0.59531401654479377</v>
      </c>
      <c r="AG116" s="24">
        <v>-0.45095830372715845</v>
      </c>
      <c r="AH116" s="24">
        <v>-1.5934908227366746</v>
      </c>
      <c r="AI116" s="24">
        <v>-7.9933045003939746E-2</v>
      </c>
      <c r="AJ116" s="24">
        <v>0.40591851352418751</v>
      </c>
      <c r="AK116" s="24">
        <v>0.25768056727101579</v>
      </c>
      <c r="AL116" s="24">
        <v>0.55184325379781141</v>
      </c>
      <c r="AM116" s="24">
        <v>1.2857863369585272</v>
      </c>
      <c r="AN116" s="24">
        <v>-0.85236792856054011</v>
      </c>
      <c r="AO116" s="24">
        <v>-7.3098804994178465E-2</v>
      </c>
      <c r="AP116" s="24">
        <v>-0.19021954801438085</v>
      </c>
      <c r="AQ116" s="24">
        <v>-0.99837915604217198</v>
      </c>
      <c r="AR116" s="24">
        <v>0.5544028042879684</v>
      </c>
      <c r="AS116" s="24">
        <v>1.1280299957017861</v>
      </c>
      <c r="AT116" s="24">
        <v>0.73954566180484049</v>
      </c>
      <c r="AU116" s="24">
        <v>1.2213051830091155</v>
      </c>
      <c r="AV116" s="24">
        <v>-2.5927384866041337E-2</v>
      </c>
      <c r="AW116" s="24">
        <v>-0.31199536434020497</v>
      </c>
      <c r="CQ116" s="24">
        <v>0.99964310082555496</v>
      </c>
      <c r="CR116" s="24" t="str">
        <f t="shared" si="7"/>
        <v>1</v>
      </c>
      <c r="CS116" t="str">
        <f ca="1">IF((OFFSET($A$1, 116 - 1, 95 - 1)) &gt;= (OFFSET($A$1, 54 - 1, 7 - 1)), "1","0")</f>
        <v>1</v>
      </c>
      <c r="CT116">
        <f ca="1" xml:space="preserve"> IF( AND( OFFSET($A$1, 116 - 1, 96 - 1) = "1", OFFSET($A$1, 116 - 1, 97 - 1) = "1" ), 1, IF( AND( OFFSET($A$1, 116 - 1, 96 - 1) = "1", OFFSET($A$1, 116 - 1, 97 - 1) = "0" ), 2, IF( AND( OFFSET($A$1, 116 - 1, 96 - 1) = "0", OFFSET($A$1, 116 - 1, 97 - 1) = "1" ), 3, 4 ) ) )</f>
        <v>1</v>
      </c>
      <c r="CV116" s="24">
        <v>0.83844512876734678</v>
      </c>
      <c r="CW116" s="24" t="str">
        <f>"0"</f>
        <v>0</v>
      </c>
      <c r="CX116" t="str">
        <f ca="1">IF((OFFSET($A$1, 116 - 1, 100 - 1)) &gt;= (OFFSET($A$1, 78 - 1, 7 - 1)), "1","0")</f>
        <v>0</v>
      </c>
      <c r="CY116">
        <f ca="1" xml:space="preserve"> IF( AND( OFFSET($A$1, 116 - 1, 101 - 1) = "1", OFFSET($A$1, 116 - 1, 102 - 1) = "1" ), 1, IF( AND( OFFSET($A$1, 116 - 1, 101 - 1) = "1", OFFSET($A$1, 116 - 1, 102 - 1) = "0" ), 2, IF( AND( OFFSET($A$1, 116 - 1, 101 - 1) = "0", OFFSET($A$1, 116 - 1, 102 - 1) = "1" ), 3, 4 ) ) )</f>
        <v>4</v>
      </c>
    </row>
    <row r="117" spans="3:103" ht="13.8" x14ac:dyDescent="0.3">
      <c r="CQ117" s="24">
        <v>0.99896471643759321</v>
      </c>
      <c r="CR117" s="24" t="str">
        <f t="shared" si="7"/>
        <v>1</v>
      </c>
      <c r="CS117" t="str">
        <f ca="1">IF((OFFSET($A$1, 117 - 1, 95 - 1)) &gt;= (OFFSET($A$1, 54 - 1, 7 - 1)), "1","0")</f>
        <v>1</v>
      </c>
      <c r="CT117">
        <f ca="1" xml:space="preserve"> IF( AND( OFFSET($A$1, 117 - 1, 96 - 1) = "1", OFFSET($A$1, 117 - 1, 97 - 1) = "1" ), 1, IF( AND( OFFSET($A$1, 117 - 1, 96 - 1) = "1", OFFSET($A$1, 117 - 1, 97 - 1) = "0" ), 2, IF( AND( OFFSET($A$1, 117 - 1, 96 - 1) = "0", OFFSET($A$1, 117 - 1, 97 - 1) = "1" ), 3, 4 ) ) )</f>
        <v>1</v>
      </c>
      <c r="CV117" s="24">
        <v>0.99692944011705276</v>
      </c>
      <c r="CW117" s="24" t="str">
        <f>"0"</f>
        <v>0</v>
      </c>
      <c r="CX117" t="str">
        <f ca="1">IF((OFFSET($A$1, 117 - 1, 100 - 1)) &gt;= (OFFSET($A$1, 78 - 1, 7 - 1)), "1","0")</f>
        <v>1</v>
      </c>
      <c r="CY117">
        <f ca="1" xml:space="preserve"> IF( AND( OFFSET($A$1, 117 - 1, 101 - 1) = "1", OFFSET($A$1, 117 - 1, 102 - 1) = "1" ), 1, IF( AND( OFFSET($A$1, 117 - 1, 101 - 1) = "1", OFFSET($A$1, 117 - 1, 102 - 1) = "0" ), 2, IF( AND( OFFSET($A$1, 117 - 1, 101 - 1) = "0", OFFSET($A$1, 117 - 1, 102 - 1) = "1" ), 3, 4 ) ) )</f>
        <v>3</v>
      </c>
    </row>
    <row r="118" spans="3:103" ht="13.8" x14ac:dyDescent="0.3">
      <c r="CQ118" s="24">
        <v>0.85726563691705082</v>
      </c>
      <c r="CR118" s="24" t="str">
        <f t="shared" si="7"/>
        <v>1</v>
      </c>
      <c r="CS118" t="str">
        <f ca="1">IF((OFFSET($A$1, 118 - 1, 95 - 1)) &gt;= (OFFSET($A$1, 54 - 1, 7 - 1)), "1","0")</f>
        <v>0</v>
      </c>
      <c r="CT118">
        <f ca="1" xml:space="preserve"> IF( AND( OFFSET($A$1, 118 - 1, 96 - 1) = "1", OFFSET($A$1, 118 - 1, 97 - 1) = "1" ), 1, IF( AND( OFFSET($A$1, 118 - 1, 96 - 1) = "1", OFFSET($A$1, 118 - 1, 97 - 1) = "0" ), 2, IF( AND( OFFSET($A$1, 118 - 1, 96 - 1) = "0", OFFSET($A$1, 118 - 1, 97 - 1) = "1" ), 3, 4 ) ) )</f>
        <v>2</v>
      </c>
      <c r="CV118" s="24">
        <v>4.9938458616414862E-2</v>
      </c>
      <c r="CW118" s="24" t="str">
        <f>"0"</f>
        <v>0</v>
      </c>
      <c r="CX118" t="str">
        <f ca="1">IF((OFFSET($A$1, 118 - 1, 100 - 1)) &gt;= (OFFSET($A$1, 78 - 1, 7 - 1)), "1","0")</f>
        <v>0</v>
      </c>
      <c r="CY118">
        <f ca="1" xml:space="preserve"> IF( AND( OFFSET($A$1, 118 - 1, 101 - 1) = "1", OFFSET($A$1, 118 - 1, 102 - 1) = "1" ), 1, IF( AND( OFFSET($A$1, 118 - 1, 101 - 1) = "1", OFFSET($A$1, 118 - 1, 102 - 1) = "0" ), 2, IF( AND( OFFSET($A$1, 118 - 1, 101 - 1) = "0", OFFSET($A$1, 118 - 1, 102 - 1) = "1" ), 3, 4 ) ) )</f>
        <v>4</v>
      </c>
    </row>
    <row r="119" spans="3:103" ht="13.8" x14ac:dyDescent="0.3">
      <c r="D119" s="77" t="s">
        <v>717</v>
      </c>
      <c r="E119" s="77"/>
      <c r="F119" s="77"/>
      <c r="G119" s="77"/>
      <c r="H119" s="77"/>
      <c r="I119" s="77"/>
      <c r="J119" s="77"/>
      <c r="K119" s="77"/>
      <c r="L119" s="77"/>
      <c r="M119" s="77"/>
      <c r="N119" s="77"/>
      <c r="O119" s="77"/>
      <c r="P119" s="77"/>
      <c r="Q119" s="77"/>
      <c r="CQ119" s="24">
        <v>0.69874302918042952</v>
      </c>
      <c r="CR119" s="24" t="str">
        <f t="shared" si="7"/>
        <v>1</v>
      </c>
      <c r="CS119" t="str">
        <f ca="1">IF((OFFSET($A$1, 119 - 1, 95 - 1)) &gt;= (OFFSET($A$1, 54 - 1, 7 - 1)), "1","0")</f>
        <v>0</v>
      </c>
      <c r="CT119">
        <f ca="1" xml:space="preserve"> IF( AND( OFFSET($A$1, 119 - 1, 96 - 1) = "1", OFFSET($A$1, 119 - 1, 97 - 1) = "1" ), 1, IF( AND( OFFSET($A$1, 119 - 1, 96 - 1) = "1", OFFSET($A$1, 119 - 1, 97 - 1) = "0" ), 2, IF( AND( OFFSET($A$1, 119 - 1, 96 - 1) = "0", OFFSET($A$1, 119 - 1, 97 - 1) = "1" ), 3, 4 ) ) )</f>
        <v>2</v>
      </c>
      <c r="CV119" s="24">
        <v>0.99488105138820804</v>
      </c>
      <c r="CW119" s="24" t="str">
        <f t="shared" ref="CW119:CW124" si="8">"1"</f>
        <v>1</v>
      </c>
      <c r="CX119" t="str">
        <f ca="1">IF((OFFSET($A$1, 119 - 1, 100 - 1)) &gt;= (OFFSET($A$1, 78 - 1, 7 - 1)), "1","0")</f>
        <v>1</v>
      </c>
      <c r="CY119">
        <f ca="1" xml:space="preserve"> IF( AND( OFFSET($A$1, 119 - 1, 101 - 1) = "1", OFFSET($A$1, 119 - 1, 102 - 1) = "1" ), 1, IF( AND( OFFSET($A$1, 119 - 1, 101 - 1) = "1", OFFSET($A$1, 119 - 1, 102 - 1) = "0" ), 2, IF( AND( OFFSET($A$1, 119 - 1, 101 - 1) = "0", OFFSET($A$1, 119 - 1, 102 - 1) = "1" ), 3, 4 ) ) )</f>
        <v>1</v>
      </c>
    </row>
    <row r="120" spans="3:103" ht="13.8" x14ac:dyDescent="0.3">
      <c r="C120" s="36" t="s">
        <v>731</v>
      </c>
      <c r="D120" s="26" t="s">
        <v>718</v>
      </c>
      <c r="E120" s="26" t="s">
        <v>719</v>
      </c>
      <c r="F120" s="26" t="s">
        <v>720</v>
      </c>
      <c r="G120" s="26" t="s">
        <v>721</v>
      </c>
      <c r="H120" s="26" t="s">
        <v>722</v>
      </c>
      <c r="I120" s="26" t="s">
        <v>723</v>
      </c>
      <c r="J120" s="26" t="s">
        <v>724</v>
      </c>
      <c r="K120" s="26" t="s">
        <v>725</v>
      </c>
      <c r="L120" s="26" t="s">
        <v>726</v>
      </c>
      <c r="M120" s="26" t="s">
        <v>727</v>
      </c>
      <c r="N120" s="26" t="s">
        <v>728</v>
      </c>
      <c r="O120" s="26" t="s">
        <v>729</v>
      </c>
      <c r="P120" s="26" t="s">
        <v>730</v>
      </c>
      <c r="Q120" s="26" t="s">
        <v>732</v>
      </c>
      <c r="CQ120" s="24">
        <v>0.99057283554530873</v>
      </c>
      <c r="CR120" s="24" t="str">
        <f t="shared" si="7"/>
        <v>1</v>
      </c>
      <c r="CS120" t="str">
        <f ca="1">IF((OFFSET($A$1, 120 - 1, 95 - 1)) &gt;= (OFFSET($A$1, 54 - 1, 7 - 1)), "1","0")</f>
        <v>1</v>
      </c>
      <c r="CT120">
        <f ca="1" xml:space="preserve"> IF( AND( OFFSET($A$1, 120 - 1, 96 - 1) = "1", OFFSET($A$1, 120 - 1, 97 - 1) = "1" ), 1, IF( AND( OFFSET($A$1, 120 - 1, 96 - 1) = "1", OFFSET($A$1, 120 - 1, 97 - 1) = "0" ), 2, IF( AND( OFFSET($A$1, 120 - 1, 96 - 1) = "0", OFFSET($A$1, 120 - 1, 97 - 1) = "1" ), 3, 4 ) ) )</f>
        <v>1</v>
      </c>
      <c r="CV120" s="24">
        <v>0.99531770841156886</v>
      </c>
      <c r="CW120" s="24" t="str">
        <f t="shared" si="8"/>
        <v>1</v>
      </c>
      <c r="CX120" t="str">
        <f ca="1">IF((OFFSET($A$1, 120 - 1, 100 - 1)) &gt;= (OFFSET($A$1, 78 - 1, 7 - 1)), "1","0")</f>
        <v>1</v>
      </c>
      <c r="CY120">
        <f ca="1" xml:space="preserve"> IF( AND( OFFSET($A$1, 120 - 1, 101 - 1) = "1", OFFSET($A$1, 120 - 1, 102 - 1) = "1" ), 1, IF( AND( OFFSET($A$1, 120 - 1, 101 - 1) = "1", OFFSET($A$1, 120 - 1, 102 - 1) = "0" ), 2, IF( AND( OFFSET($A$1, 120 - 1, 101 - 1) = "0", OFFSET($A$1, 120 - 1, 102 - 1) = "1" ), 3, 4 ) ) )</f>
        <v>1</v>
      </c>
    </row>
    <row r="121" spans="3:103" ht="13.8" x14ac:dyDescent="0.3">
      <c r="C121" s="26">
        <v>0</v>
      </c>
      <c r="D121" s="24">
        <v>2.061508145518669</v>
      </c>
      <c r="E121" s="24">
        <v>-2.0164684483929571</v>
      </c>
      <c r="F121" s="24">
        <v>-3.5144943036546255</v>
      </c>
      <c r="G121" s="24">
        <v>-1.0950801249458304</v>
      </c>
      <c r="H121" s="24">
        <v>-4.2137243659273418</v>
      </c>
      <c r="I121" s="24">
        <v>2.4568775072176723</v>
      </c>
      <c r="J121" s="24">
        <v>3.3245496942662949</v>
      </c>
      <c r="K121" s="24">
        <v>-1.0406184930395916</v>
      </c>
      <c r="L121" s="24">
        <v>-2.2669563700014774</v>
      </c>
      <c r="M121" s="24">
        <v>3.1392479149722061</v>
      </c>
      <c r="N121" s="24">
        <v>-3.4572175357656434</v>
      </c>
      <c r="O121" s="24">
        <v>2.0983491199941477</v>
      </c>
      <c r="P121" s="24">
        <v>-2.4863696897316068</v>
      </c>
      <c r="Q121" s="24">
        <v>0.93726995562462623</v>
      </c>
      <c r="CQ121" s="24">
        <v>0.89232242345884827</v>
      </c>
      <c r="CR121" s="24" t="str">
        <f t="shared" si="7"/>
        <v>1</v>
      </c>
      <c r="CS121" t="str">
        <f ca="1">IF((OFFSET($A$1, 121 - 1, 95 - 1)) &gt;= (OFFSET($A$1, 54 - 1, 7 - 1)), "1","0")</f>
        <v>0</v>
      </c>
      <c r="CT121">
        <f ca="1" xml:space="preserve"> IF( AND( OFFSET($A$1, 121 - 1, 96 - 1) = "1", OFFSET($A$1, 121 - 1, 97 - 1) = "1" ), 1, IF( AND( OFFSET($A$1, 121 - 1, 96 - 1) = "1", OFFSET($A$1, 121 - 1, 97 - 1) = "0" ), 2, IF( AND( OFFSET($A$1, 121 - 1, 96 - 1) = "0", OFFSET($A$1, 121 - 1, 97 - 1) = "1" ), 3, 4 ) ) )</f>
        <v>2</v>
      </c>
      <c r="CV121" s="24">
        <v>0.21712623662750288</v>
      </c>
      <c r="CW121" s="24" t="str">
        <f t="shared" si="8"/>
        <v>1</v>
      </c>
      <c r="CX121" t="str">
        <f ca="1">IF((OFFSET($A$1, 121 - 1, 100 - 1)) &gt;= (OFFSET($A$1, 78 - 1, 7 - 1)), "1","0")</f>
        <v>0</v>
      </c>
      <c r="CY121">
        <f ca="1" xml:space="preserve"> IF( AND( OFFSET($A$1, 121 - 1, 101 - 1) = "1", OFFSET($A$1, 121 - 1, 102 - 1) = "1" ), 1, IF( AND( OFFSET($A$1, 121 - 1, 101 - 1) = "1", OFFSET($A$1, 121 - 1, 102 - 1) = "0" ), 2, IF( AND( OFFSET($A$1, 121 - 1, 101 - 1) = "0", OFFSET($A$1, 121 - 1, 102 - 1) = "1" ), 3, 4 ) ) )</f>
        <v>2</v>
      </c>
    </row>
    <row r="122" spans="3:103" ht="13.8" x14ac:dyDescent="0.3">
      <c r="C122" s="26">
        <v>1</v>
      </c>
      <c r="D122" s="24">
        <v>-2.0583399635843671</v>
      </c>
      <c r="E122" s="24">
        <v>1.9554955301518098</v>
      </c>
      <c r="F122" s="24">
        <v>3.5102140031391209</v>
      </c>
      <c r="G122" s="24">
        <v>1.105683217957518</v>
      </c>
      <c r="H122" s="24">
        <v>4.23112176376923</v>
      </c>
      <c r="I122" s="24">
        <v>-2.4597533861742287</v>
      </c>
      <c r="J122" s="24">
        <v>-3.3295806493182485</v>
      </c>
      <c r="K122" s="24">
        <v>0.98820386007384564</v>
      </c>
      <c r="L122" s="24">
        <v>2.2749685998651792</v>
      </c>
      <c r="M122" s="24">
        <v>-3.1744760864595598</v>
      </c>
      <c r="N122" s="24">
        <v>3.4523126842766025</v>
      </c>
      <c r="O122" s="24">
        <v>-2.1162824108653986</v>
      </c>
      <c r="P122" s="24">
        <v>2.5173747924968368</v>
      </c>
      <c r="Q122" s="24">
        <v>-0.87245170604766764</v>
      </c>
      <c r="CQ122" s="24">
        <v>0.87670955109318516</v>
      </c>
      <c r="CR122" s="24" t="str">
        <f t="shared" si="7"/>
        <v>1</v>
      </c>
      <c r="CS122" t="str">
        <f ca="1">IF((OFFSET($A$1, 122 - 1, 95 - 1)) &gt;= (OFFSET($A$1, 54 - 1, 7 - 1)), "1","0")</f>
        <v>0</v>
      </c>
      <c r="CT122">
        <f ca="1" xml:space="preserve"> IF( AND( OFFSET($A$1, 122 - 1, 96 - 1) = "1", OFFSET($A$1, 122 - 1, 97 - 1) = "1" ), 1, IF( AND( OFFSET($A$1, 122 - 1, 96 - 1) = "1", OFFSET($A$1, 122 - 1, 97 - 1) = "0" ), 2, IF( AND( OFFSET($A$1, 122 - 1, 96 - 1) = "0", OFFSET($A$1, 122 - 1, 97 - 1) = "1" ), 3, 4 ) ) )</f>
        <v>2</v>
      </c>
      <c r="CV122" s="24">
        <v>0.99720740978591493</v>
      </c>
      <c r="CW122" s="24" t="str">
        <f t="shared" si="8"/>
        <v>1</v>
      </c>
      <c r="CX122" t="str">
        <f ca="1">IF((OFFSET($A$1, 122 - 1, 100 - 1)) &gt;= (OFFSET($A$1, 78 - 1, 7 - 1)), "1","0")</f>
        <v>1</v>
      </c>
      <c r="CY122">
        <f ca="1" xml:space="preserve"> IF( AND( OFFSET($A$1, 122 - 1, 101 - 1) = "1", OFFSET($A$1, 122 - 1, 102 - 1) = "1" ), 1, IF( AND( OFFSET($A$1, 122 - 1, 101 - 1) = "1", OFFSET($A$1, 122 - 1, 102 - 1) = "0" ), 2, IF( AND( OFFSET($A$1, 122 - 1, 101 - 1) = "0", OFFSET($A$1, 122 - 1, 102 - 1) = "1" ), 3, 4 ) ) )</f>
        <v>1</v>
      </c>
    </row>
    <row r="123" spans="3:103" ht="13.8" x14ac:dyDescent="0.3">
      <c r="CQ123" s="24">
        <v>0.99628194264608161</v>
      </c>
      <c r="CR123" s="24" t="str">
        <f t="shared" si="7"/>
        <v>1</v>
      </c>
      <c r="CS123" t="str">
        <f ca="1">IF((OFFSET($A$1, 123 - 1, 95 - 1)) &gt;= (OFFSET($A$1, 54 - 1, 7 - 1)), "1","0")</f>
        <v>1</v>
      </c>
      <c r="CT123">
        <f ca="1" xml:space="preserve"> IF( AND( OFFSET($A$1, 123 - 1, 96 - 1) = "1", OFFSET($A$1, 123 - 1, 97 - 1) = "1" ), 1, IF( AND( OFFSET($A$1, 123 - 1, 96 - 1) = "1", OFFSET($A$1, 123 - 1, 97 - 1) = "0" ), 2, IF( AND( OFFSET($A$1, 123 - 1, 96 - 1) = "0", OFFSET($A$1, 123 - 1, 97 - 1) = "1" ), 3, 4 ) ) )</f>
        <v>1</v>
      </c>
      <c r="CV123" s="24">
        <v>0.99438278859815721</v>
      </c>
      <c r="CW123" s="24" t="str">
        <f t="shared" si="8"/>
        <v>1</v>
      </c>
      <c r="CX123" t="str">
        <f ca="1">IF((OFFSET($A$1, 123 - 1, 100 - 1)) &gt;= (OFFSET($A$1, 78 - 1, 7 - 1)), "1","0")</f>
        <v>1</v>
      </c>
      <c r="CY123">
        <f ca="1" xml:space="preserve"> IF( AND( OFFSET($A$1, 123 - 1, 101 - 1) = "1", OFFSET($A$1, 123 - 1, 102 - 1) = "1" ), 1, IF( AND( OFFSET($A$1, 123 - 1, 101 - 1) = "1", OFFSET($A$1, 123 - 1, 102 - 1) = "0" ), 2, IF( AND( OFFSET($A$1, 123 - 1, 101 - 1) = "0", OFFSET($A$1, 123 - 1, 102 - 1) = "1" ), 3, 4 ) ) )</f>
        <v>1</v>
      </c>
    </row>
    <row r="124" spans="3:103" ht="13.8" x14ac:dyDescent="0.3">
      <c r="CQ124" s="24">
        <v>0.96348280220843219</v>
      </c>
      <c r="CR124" s="24" t="str">
        <f t="shared" si="7"/>
        <v>1</v>
      </c>
      <c r="CS124" t="str">
        <f ca="1">IF((OFFSET($A$1, 124 - 1, 95 - 1)) &gt;= (OFFSET($A$1, 54 - 1, 7 - 1)), "1","0")</f>
        <v>1</v>
      </c>
      <c r="CT124">
        <f ca="1" xml:space="preserve"> IF( AND( OFFSET($A$1, 124 - 1, 96 - 1) = "1", OFFSET($A$1, 124 - 1, 97 - 1) = "1" ), 1, IF( AND( OFFSET($A$1, 124 - 1, 96 - 1) = "1", OFFSET($A$1, 124 - 1, 97 - 1) = "0" ), 2, IF( AND( OFFSET($A$1, 124 - 1, 96 - 1) = "0", OFFSET($A$1, 124 - 1, 97 - 1) = "1" ), 3, 4 ) ) )</f>
        <v>1</v>
      </c>
      <c r="CV124" s="24">
        <v>0.44816182022789874</v>
      </c>
      <c r="CW124" s="24" t="str">
        <f t="shared" si="8"/>
        <v>1</v>
      </c>
      <c r="CX124" t="str">
        <f ca="1">IF((OFFSET($A$1, 124 - 1, 100 - 1)) &gt;= (OFFSET($A$1, 78 - 1, 7 - 1)), "1","0")</f>
        <v>0</v>
      </c>
      <c r="CY124">
        <f ca="1" xml:space="preserve"> IF( AND( OFFSET($A$1, 124 - 1, 101 - 1) = "1", OFFSET($A$1, 124 - 1, 102 - 1) = "1" ), 1, IF( AND( OFFSET($A$1, 124 - 1, 101 - 1) = "1", OFFSET($A$1, 124 - 1, 102 - 1) = "0" ), 2, IF( AND( OFFSET($A$1, 124 - 1, 101 - 1) = "0", OFFSET($A$1, 124 - 1, 102 - 1) = "1" ), 3, 4 ) ) )</f>
        <v>2</v>
      </c>
    </row>
    <row r="125" spans="3:103" ht="13.8" x14ac:dyDescent="0.3">
      <c r="CQ125" s="24">
        <v>0.88208735778323999</v>
      </c>
      <c r="CR125" s="24" t="str">
        <f t="shared" si="7"/>
        <v>1</v>
      </c>
      <c r="CS125" t="str">
        <f ca="1">IF((OFFSET($A$1, 125 - 1, 95 - 1)) &gt;= (OFFSET($A$1, 54 - 1, 7 - 1)), "1","0")</f>
        <v>0</v>
      </c>
      <c r="CT125">
        <f ca="1" xml:space="preserve"> IF( AND( OFFSET($A$1, 125 - 1, 96 - 1) = "1", OFFSET($A$1, 125 - 1, 97 - 1) = "1" ), 1, IF( AND( OFFSET($A$1, 125 - 1, 96 - 1) = "1", OFFSET($A$1, 125 - 1, 97 - 1) = "0" ), 2, IF( AND( OFFSET($A$1, 125 - 1, 96 - 1) = "0", OFFSET($A$1, 125 - 1, 97 - 1) = "1" ), 3, 4 ) ) )</f>
        <v>2</v>
      </c>
      <c r="CV125" s="24">
        <v>0.36366457492026416</v>
      </c>
      <c r="CW125" s="24" t="str">
        <f>"0"</f>
        <v>0</v>
      </c>
      <c r="CX125" t="str">
        <f ca="1">IF((OFFSET($A$1, 125 - 1, 100 - 1)) &gt;= (OFFSET($A$1, 78 - 1, 7 - 1)), "1","0")</f>
        <v>0</v>
      </c>
      <c r="CY125">
        <f ca="1" xml:space="preserve"> IF( AND( OFFSET($A$1, 125 - 1, 101 - 1) = "1", OFFSET($A$1, 125 - 1, 102 - 1) = "1" ), 1, IF( AND( OFFSET($A$1, 125 - 1, 101 - 1) = "1", OFFSET($A$1, 125 - 1, 102 - 1) = "0" ), 2, IF( AND( OFFSET($A$1, 125 - 1, 101 - 1) = "0", OFFSET($A$1, 125 - 1, 102 - 1) = "1" ), 3, 4 ) ) )</f>
        <v>4</v>
      </c>
    </row>
    <row r="126" spans="3:103" ht="13.8" x14ac:dyDescent="0.3">
      <c r="CQ126" s="24">
        <v>0.9934823572176531</v>
      </c>
      <c r="CR126" s="24" t="str">
        <f t="shared" si="7"/>
        <v>1</v>
      </c>
      <c r="CS126" t="str">
        <f ca="1">IF((OFFSET($A$1, 126 - 1, 95 - 1)) &gt;= (OFFSET($A$1, 54 - 1, 7 - 1)), "1","0")</f>
        <v>1</v>
      </c>
      <c r="CT126">
        <f ca="1" xml:space="preserve"> IF( AND( OFFSET($A$1, 126 - 1, 96 - 1) = "1", OFFSET($A$1, 126 - 1, 97 - 1) = "1" ), 1, IF( AND( OFFSET($A$1, 126 - 1, 96 - 1) = "1", OFFSET($A$1, 126 - 1, 97 - 1) = "0" ), 2, IF( AND( OFFSET($A$1, 126 - 1, 96 - 1) = "0", OFFSET($A$1, 126 - 1, 97 - 1) = "1" ), 3, 4 ) ) )</f>
        <v>1</v>
      </c>
      <c r="CV126" s="24">
        <v>0.94813801671779174</v>
      </c>
      <c r="CW126" s="24" t="str">
        <f>"1"</f>
        <v>1</v>
      </c>
      <c r="CX126" t="str">
        <f ca="1">IF((OFFSET($A$1, 126 - 1, 100 - 1)) &gt;= (OFFSET($A$1, 78 - 1, 7 - 1)), "1","0")</f>
        <v>1</v>
      </c>
      <c r="CY126">
        <f ca="1" xml:space="preserve"> IF( AND( OFFSET($A$1, 126 - 1, 101 - 1) = "1", OFFSET($A$1, 126 - 1, 102 - 1) = "1" ), 1, IF( AND( OFFSET($A$1, 126 - 1, 101 - 1) = "1", OFFSET($A$1, 126 - 1, 102 - 1) = "0" ), 2, IF( AND( OFFSET($A$1, 126 - 1, 101 - 1) = "0", OFFSET($A$1, 126 - 1, 102 - 1) = "1" ), 3, 4 ) ) )</f>
        <v>1</v>
      </c>
    </row>
    <row r="127" spans="3:103" ht="13.8" x14ac:dyDescent="0.3">
      <c r="CQ127" s="24">
        <v>1.2557550750561129E-3</v>
      </c>
      <c r="CR127" s="24" t="str">
        <f>"0"</f>
        <v>0</v>
      </c>
      <c r="CS127" t="str">
        <f ca="1">IF((OFFSET($A$1, 127 - 1, 95 - 1)) &gt;= (OFFSET($A$1, 54 - 1, 7 - 1)), "1","0")</f>
        <v>0</v>
      </c>
      <c r="CT127">
        <f ca="1" xml:space="preserve"> IF( AND( OFFSET($A$1, 127 - 1, 96 - 1) = "1", OFFSET($A$1, 127 - 1, 97 - 1) = "1" ), 1, IF( AND( OFFSET($A$1, 127 - 1, 96 - 1) = "1", OFFSET($A$1, 127 - 1, 97 - 1) = "0" ), 2, IF( AND( OFFSET($A$1, 127 - 1, 96 - 1) = "0", OFFSET($A$1, 127 - 1, 97 - 1) = "1" ), 3, 4 ) ) )</f>
        <v>4</v>
      </c>
      <c r="CV127" s="24">
        <v>0.99566922059521978</v>
      </c>
      <c r="CW127" s="24" t="str">
        <f>"1"</f>
        <v>1</v>
      </c>
      <c r="CX127" t="str">
        <f ca="1">IF((OFFSET($A$1, 127 - 1, 100 - 1)) &gt;= (OFFSET($A$1, 78 - 1, 7 - 1)), "1","0")</f>
        <v>1</v>
      </c>
      <c r="CY127">
        <f ca="1" xml:space="preserve"> IF( AND( OFFSET($A$1, 127 - 1, 101 - 1) = "1", OFFSET($A$1, 127 - 1, 102 - 1) = "1" ), 1, IF( AND( OFFSET($A$1, 127 - 1, 101 - 1) = "1", OFFSET($A$1, 127 - 1, 102 - 1) = "0" ), 2, IF( AND( OFFSET($A$1, 127 - 1, 101 - 1) = "0", OFFSET($A$1, 127 - 1, 102 - 1) = "1" ), 3, 4 ) ) )</f>
        <v>1</v>
      </c>
    </row>
    <row r="128" spans="3:103" ht="13.8" x14ac:dyDescent="0.3">
      <c r="CQ128" s="24">
        <v>0.99910240231524994</v>
      </c>
      <c r="CR128" s="24" t="str">
        <f>"1"</f>
        <v>1</v>
      </c>
      <c r="CS128" t="str">
        <f ca="1">IF((OFFSET($A$1, 128 - 1, 95 - 1)) &gt;= (OFFSET($A$1, 54 - 1, 7 - 1)), "1","0")</f>
        <v>1</v>
      </c>
      <c r="CT128">
        <f ca="1" xml:space="preserve"> IF( AND( OFFSET($A$1, 128 - 1, 96 - 1) = "1", OFFSET($A$1, 128 - 1, 97 - 1) = "1" ), 1, IF( AND( OFFSET($A$1, 128 - 1, 96 - 1) = "1", OFFSET($A$1, 128 - 1, 97 - 1) = "0" ), 2, IF( AND( OFFSET($A$1, 128 - 1, 96 - 1) = "0", OFFSET($A$1, 128 - 1, 97 - 1) = "1" ), 3, 4 ) ) )</f>
        <v>1</v>
      </c>
      <c r="CV128" s="24">
        <v>0.1926516946938307</v>
      </c>
      <c r="CW128" s="24" t="str">
        <f>"0"</f>
        <v>0</v>
      </c>
      <c r="CX128" t="str">
        <f ca="1">IF((OFFSET($A$1, 128 - 1, 100 - 1)) &gt;= (OFFSET($A$1, 78 - 1, 7 - 1)), "1","0")</f>
        <v>0</v>
      </c>
      <c r="CY128">
        <f ca="1" xml:space="preserve"> IF( AND( OFFSET($A$1, 128 - 1, 101 - 1) = "1", OFFSET($A$1, 128 - 1, 102 - 1) = "1" ), 1, IF( AND( OFFSET($A$1, 128 - 1, 101 - 1) = "1", OFFSET($A$1, 128 - 1, 102 - 1) = "0" ), 2, IF( AND( OFFSET($A$1, 128 - 1, 101 - 1) = "0", OFFSET($A$1, 128 - 1, 102 - 1) = "1" ), 3, 4 ) ) )</f>
        <v>4</v>
      </c>
    </row>
    <row r="129" spans="95:103" ht="13.8" x14ac:dyDescent="0.3">
      <c r="CQ129" s="24">
        <v>0.83898735207812736</v>
      </c>
      <c r="CR129" s="24" t="str">
        <f>"1"</f>
        <v>1</v>
      </c>
      <c r="CS129" t="str">
        <f ca="1">IF((OFFSET($A$1, 129 - 1, 95 - 1)) &gt;= (OFFSET($A$1, 54 - 1, 7 - 1)), "1","0")</f>
        <v>0</v>
      </c>
      <c r="CT129">
        <f ca="1" xml:space="preserve"> IF( AND( OFFSET($A$1, 129 - 1, 96 - 1) = "1", OFFSET($A$1, 129 - 1, 97 - 1) = "1" ), 1, IF( AND( OFFSET($A$1, 129 - 1, 96 - 1) = "1", OFFSET($A$1, 129 - 1, 97 - 1) = "0" ), 2, IF( AND( OFFSET($A$1, 129 - 1, 96 - 1) = "0", OFFSET($A$1, 129 - 1, 97 - 1) = "1" ), 3, 4 ) ) )</f>
        <v>2</v>
      </c>
      <c r="CV129" s="24">
        <v>0.9978051989558987</v>
      </c>
      <c r="CW129" s="24" t="str">
        <f>"1"</f>
        <v>1</v>
      </c>
      <c r="CX129" t="str">
        <f ca="1">IF((OFFSET($A$1, 129 - 1, 100 - 1)) &gt;= (OFFSET($A$1, 78 - 1, 7 - 1)), "1","0")</f>
        <v>1</v>
      </c>
      <c r="CY129">
        <f ca="1" xml:space="preserve"> IF( AND( OFFSET($A$1, 129 - 1, 101 - 1) = "1", OFFSET($A$1, 129 - 1, 102 - 1) = "1" ), 1, IF( AND( OFFSET($A$1, 129 - 1, 101 - 1) = "1", OFFSET($A$1, 129 - 1, 102 - 1) = "0" ), 2, IF( AND( OFFSET($A$1, 129 - 1, 101 - 1) = "0", OFFSET($A$1, 129 - 1, 102 - 1) = "1" ), 3, 4 ) ) )</f>
        <v>1</v>
      </c>
    </row>
    <row r="130" spans="95:103" ht="13.8" x14ac:dyDescent="0.3">
      <c r="CQ130" s="24">
        <v>0.99842278883472591</v>
      </c>
      <c r="CR130" s="24" t="str">
        <f>"1"</f>
        <v>1</v>
      </c>
      <c r="CS130" t="str">
        <f ca="1">IF((OFFSET($A$1, 130 - 1, 95 - 1)) &gt;= (OFFSET($A$1, 54 - 1, 7 - 1)), "1","0")</f>
        <v>1</v>
      </c>
      <c r="CT130">
        <f ca="1" xml:space="preserve"> IF( AND( OFFSET($A$1, 130 - 1, 96 - 1) = "1", OFFSET($A$1, 130 - 1, 97 - 1) = "1" ), 1, IF( AND( OFFSET($A$1, 130 - 1, 96 - 1) = "1", OFFSET($A$1, 130 - 1, 97 - 1) = "0" ), 2, IF( AND( OFFSET($A$1, 130 - 1, 96 - 1) = "0", OFFSET($A$1, 130 - 1, 97 - 1) = "1" ), 3, 4 ) ) )</f>
        <v>1</v>
      </c>
      <c r="CV130" s="24">
        <v>0.13068763659597443</v>
      </c>
      <c r="CW130" s="24" t="str">
        <f>"0"</f>
        <v>0</v>
      </c>
      <c r="CX130" t="str">
        <f ca="1">IF((OFFSET($A$1, 130 - 1, 100 - 1)) &gt;= (OFFSET($A$1, 78 - 1, 7 - 1)), "1","0")</f>
        <v>0</v>
      </c>
      <c r="CY130">
        <f ca="1" xml:space="preserve"> IF( AND( OFFSET($A$1, 130 - 1, 101 - 1) = "1", OFFSET($A$1, 130 - 1, 102 - 1) = "1" ), 1, IF( AND( OFFSET($A$1, 130 - 1, 101 - 1) = "1", OFFSET($A$1, 130 - 1, 102 - 1) = "0" ), 2, IF( AND( OFFSET($A$1, 130 - 1, 101 - 1) = "0", OFFSET($A$1, 130 - 1, 102 - 1) = "1" ), 3, 4 ) ) )</f>
        <v>4</v>
      </c>
    </row>
    <row r="131" spans="95:103" ht="13.8" x14ac:dyDescent="0.3">
      <c r="CQ131" s="24">
        <v>0.99892097212882169</v>
      </c>
      <c r="CR131" s="24" t="str">
        <f>"1"</f>
        <v>1</v>
      </c>
      <c r="CS131" t="str">
        <f ca="1">IF((OFFSET($A$1, 131 - 1, 95 - 1)) &gt;= (OFFSET($A$1, 54 - 1, 7 - 1)), "1","0")</f>
        <v>1</v>
      </c>
      <c r="CT131">
        <f ca="1" xml:space="preserve"> IF( AND( OFFSET($A$1, 131 - 1, 96 - 1) = "1", OFFSET($A$1, 131 - 1, 97 - 1) = "1" ), 1, IF( AND( OFFSET($A$1, 131 - 1, 96 - 1) = "1", OFFSET($A$1, 131 - 1, 97 - 1) = "0" ), 2, IF( AND( OFFSET($A$1, 131 - 1, 96 - 1) = "0", OFFSET($A$1, 131 - 1, 97 - 1) = "1" ), 3, 4 ) ) )</f>
        <v>1</v>
      </c>
      <c r="CV131" s="24">
        <v>0.96143257299467877</v>
      </c>
      <c r="CW131" s="24" t="str">
        <f>"0"</f>
        <v>0</v>
      </c>
      <c r="CX131" t="str">
        <f ca="1">IF((OFFSET($A$1, 131 - 1, 100 - 1)) &gt;= (OFFSET($A$1, 78 - 1, 7 - 1)), "1","0")</f>
        <v>1</v>
      </c>
      <c r="CY131">
        <f ca="1" xml:space="preserve"> IF( AND( OFFSET($A$1, 131 - 1, 101 - 1) = "1", OFFSET($A$1, 131 - 1, 102 - 1) = "1" ), 1, IF( AND( OFFSET($A$1, 131 - 1, 101 - 1) = "1", OFFSET($A$1, 131 - 1, 102 - 1) = "0" ), 2, IF( AND( OFFSET($A$1, 131 - 1, 101 - 1) = "0", OFFSET($A$1, 131 - 1, 102 - 1) = "1" ), 3, 4 ) ) )</f>
        <v>3</v>
      </c>
    </row>
    <row r="132" spans="95:103" ht="13.8" x14ac:dyDescent="0.3">
      <c r="CQ132" s="24">
        <v>0.98445709161297723</v>
      </c>
      <c r="CR132" s="24" t="str">
        <f>"1"</f>
        <v>1</v>
      </c>
      <c r="CS132" t="str">
        <f ca="1">IF((OFFSET($A$1, 132 - 1, 95 - 1)) &gt;= (OFFSET($A$1, 54 - 1, 7 - 1)), "1","0")</f>
        <v>1</v>
      </c>
      <c r="CT132">
        <f ca="1" xml:space="preserve"> IF( AND( OFFSET($A$1, 132 - 1, 96 - 1) = "1", OFFSET($A$1, 132 - 1, 97 - 1) = "1" ), 1, IF( AND( OFFSET($A$1, 132 - 1, 96 - 1) = "1", OFFSET($A$1, 132 - 1, 97 - 1) = "0" ), 2, IF( AND( OFFSET($A$1, 132 - 1, 96 - 1) = "0", OFFSET($A$1, 132 - 1, 97 - 1) = "1" ), 3, 4 ) ) )</f>
        <v>1</v>
      </c>
      <c r="CV132" s="24">
        <v>0.99999442188061161</v>
      </c>
      <c r="CW132" s="24" t="str">
        <f>"1"</f>
        <v>1</v>
      </c>
      <c r="CX132" t="str">
        <f ca="1">IF((OFFSET($A$1, 132 - 1, 100 - 1)) &gt;= (OFFSET($A$1, 78 - 1, 7 - 1)), "1","0")</f>
        <v>1</v>
      </c>
      <c r="CY132">
        <f ca="1" xml:space="preserve"> IF( AND( OFFSET($A$1, 132 - 1, 101 - 1) = "1", OFFSET($A$1, 132 - 1, 102 - 1) = "1" ), 1, IF( AND( OFFSET($A$1, 132 - 1, 101 - 1) = "1", OFFSET($A$1, 132 - 1, 102 - 1) = "0" ), 2, IF( AND( OFFSET($A$1, 132 - 1, 101 - 1) = "0", OFFSET($A$1, 132 - 1, 102 - 1) = "1" ), 3, 4 ) ) )</f>
        <v>1</v>
      </c>
    </row>
    <row r="133" spans="95:103" ht="13.8" x14ac:dyDescent="0.3">
      <c r="CQ133" s="24">
        <v>8.2292050091288232E-2</v>
      </c>
      <c r="CR133" s="24" t="str">
        <f>"0"</f>
        <v>0</v>
      </c>
      <c r="CS133" t="str">
        <f ca="1">IF((OFFSET($A$1, 133 - 1, 95 - 1)) &gt;= (OFFSET($A$1, 54 - 1, 7 - 1)), "1","0")</f>
        <v>0</v>
      </c>
      <c r="CT133">
        <f ca="1" xml:space="preserve"> IF( AND( OFFSET($A$1, 133 - 1, 96 - 1) = "1", OFFSET($A$1, 133 - 1, 97 - 1) = "1" ), 1, IF( AND( OFFSET($A$1, 133 - 1, 96 - 1) = "1", OFFSET($A$1, 133 - 1, 97 - 1) = "0" ), 2, IF( AND( OFFSET($A$1, 133 - 1, 96 - 1) = "0", OFFSET($A$1, 133 - 1, 97 - 1) = "1" ), 3, 4 ) ) )</f>
        <v>4</v>
      </c>
      <c r="CV133" s="24">
        <v>0.9036065169166716</v>
      </c>
      <c r="CW133" s="24" t="str">
        <f>"1"</f>
        <v>1</v>
      </c>
      <c r="CX133" t="str">
        <f ca="1">IF((OFFSET($A$1, 133 - 1, 100 - 1)) &gt;= (OFFSET($A$1, 78 - 1, 7 - 1)), "1","0")</f>
        <v>1</v>
      </c>
      <c r="CY133">
        <f ca="1" xml:space="preserve"> IF( AND( OFFSET($A$1, 133 - 1, 101 - 1) = "1", OFFSET($A$1, 133 - 1, 102 - 1) = "1" ), 1, IF( AND( OFFSET($A$1, 133 - 1, 101 - 1) = "1", OFFSET($A$1, 133 - 1, 102 - 1) = "0" ), 2, IF( AND( OFFSET($A$1, 133 - 1, 101 - 1) = "0", OFFSET($A$1, 133 - 1, 102 - 1) = "1" ), 3, 4 ) ) )</f>
        <v>1</v>
      </c>
    </row>
    <row r="134" spans="95:103" ht="13.8" x14ac:dyDescent="0.3">
      <c r="CQ134" s="24">
        <v>0.99629782700841574</v>
      </c>
      <c r="CR134" s="24" t="str">
        <f t="shared" ref="CR134:CR139" si="9">"1"</f>
        <v>1</v>
      </c>
      <c r="CS134" t="str">
        <f ca="1">IF((OFFSET($A$1, 134 - 1, 95 - 1)) &gt;= (OFFSET($A$1, 54 - 1, 7 - 1)), "1","0")</f>
        <v>1</v>
      </c>
      <c r="CT134">
        <f ca="1" xml:space="preserve"> IF( AND( OFFSET($A$1, 134 - 1, 96 - 1) = "1", OFFSET($A$1, 134 - 1, 97 - 1) = "1" ), 1, IF( AND( OFFSET($A$1, 134 - 1, 96 - 1) = "1", OFFSET($A$1, 134 - 1, 97 - 1) = "0" ), 2, IF( AND( OFFSET($A$1, 134 - 1, 96 - 1) = "0", OFFSET($A$1, 134 - 1, 97 - 1) = "1" ), 3, 4 ) ) )</f>
        <v>1</v>
      </c>
      <c r="CV134" s="24">
        <v>0.96413523452661221</v>
      </c>
      <c r="CW134" s="24" t="str">
        <f>"0"</f>
        <v>0</v>
      </c>
      <c r="CX134" t="str">
        <f ca="1">IF((OFFSET($A$1, 134 - 1, 100 - 1)) &gt;= (OFFSET($A$1, 78 - 1, 7 - 1)), "1","0")</f>
        <v>1</v>
      </c>
      <c r="CY134">
        <f ca="1" xml:space="preserve"> IF( AND( OFFSET($A$1, 134 - 1, 101 - 1) = "1", OFFSET($A$1, 134 - 1, 102 - 1) = "1" ), 1, IF( AND( OFFSET($A$1, 134 - 1, 101 - 1) = "1", OFFSET($A$1, 134 - 1, 102 - 1) = "0" ), 2, IF( AND( OFFSET($A$1, 134 - 1, 101 - 1) = "0", OFFSET($A$1, 134 - 1, 102 - 1) = "1" ), 3, 4 ) ) )</f>
        <v>3</v>
      </c>
    </row>
    <row r="135" spans="95:103" ht="13.8" x14ac:dyDescent="0.3">
      <c r="CQ135" s="24">
        <v>0.8430082157164599</v>
      </c>
      <c r="CR135" s="24" t="str">
        <f t="shared" si="9"/>
        <v>1</v>
      </c>
      <c r="CS135" t="str">
        <f ca="1">IF((OFFSET($A$1, 135 - 1, 95 - 1)) &gt;= (OFFSET($A$1, 54 - 1, 7 - 1)), "1","0")</f>
        <v>0</v>
      </c>
      <c r="CT135">
        <f ca="1" xml:space="preserve"> IF( AND( OFFSET($A$1, 135 - 1, 96 - 1) = "1", OFFSET($A$1, 135 - 1, 97 - 1) = "1" ), 1, IF( AND( OFFSET($A$1, 135 - 1, 96 - 1) = "1", OFFSET($A$1, 135 - 1, 97 - 1) = "0" ), 2, IF( AND( OFFSET($A$1, 135 - 1, 96 - 1) = "0", OFFSET($A$1, 135 - 1, 97 - 1) = "1" ), 3, 4 ) ) )</f>
        <v>2</v>
      </c>
      <c r="CV135" s="24">
        <v>0.34813220943906736</v>
      </c>
      <c r="CW135" s="24" t="str">
        <f>"0"</f>
        <v>0</v>
      </c>
      <c r="CX135" t="str">
        <f ca="1">IF((OFFSET($A$1, 135 - 1, 100 - 1)) &gt;= (OFFSET($A$1, 78 - 1, 7 - 1)), "1","0")</f>
        <v>0</v>
      </c>
      <c r="CY135">
        <f ca="1" xml:space="preserve"> IF( AND( OFFSET($A$1, 135 - 1, 101 - 1) = "1", OFFSET($A$1, 135 - 1, 102 - 1) = "1" ), 1, IF( AND( OFFSET($A$1, 135 - 1, 101 - 1) = "1", OFFSET($A$1, 135 - 1, 102 - 1) = "0" ), 2, IF( AND( OFFSET($A$1, 135 - 1, 101 - 1) = "0", OFFSET($A$1, 135 - 1, 102 - 1) = "1" ), 3, 4 ) ) )</f>
        <v>4</v>
      </c>
    </row>
    <row r="136" spans="95:103" ht="13.8" x14ac:dyDescent="0.3">
      <c r="CQ136" s="24">
        <v>0.94806313029794631</v>
      </c>
      <c r="CR136" s="24" t="str">
        <f t="shared" si="9"/>
        <v>1</v>
      </c>
      <c r="CS136" t="str">
        <f ca="1">IF((OFFSET($A$1, 136 - 1, 95 - 1)) &gt;= (OFFSET($A$1, 54 - 1, 7 - 1)), "1","0")</f>
        <v>0</v>
      </c>
      <c r="CT136">
        <f ca="1" xml:space="preserve"> IF( AND( OFFSET($A$1, 136 - 1, 96 - 1) = "1", OFFSET($A$1, 136 - 1, 97 - 1) = "1" ), 1, IF( AND( OFFSET($A$1, 136 - 1, 96 - 1) = "1", OFFSET($A$1, 136 - 1, 97 - 1) = "0" ), 2, IF( AND( OFFSET($A$1, 136 - 1, 96 - 1) = "0", OFFSET($A$1, 136 - 1, 97 - 1) = "1" ), 3, 4 ) ) )</f>
        <v>2</v>
      </c>
      <c r="CV136" s="24">
        <v>0.34896032789565362</v>
      </c>
      <c r="CW136" s="24" t="str">
        <f>"0"</f>
        <v>0</v>
      </c>
      <c r="CX136" t="str">
        <f ca="1">IF((OFFSET($A$1, 136 - 1, 100 - 1)) &gt;= (OFFSET($A$1, 78 - 1, 7 - 1)), "1","0")</f>
        <v>0</v>
      </c>
      <c r="CY136">
        <f ca="1" xml:space="preserve"> IF( AND( OFFSET($A$1, 136 - 1, 101 - 1) = "1", OFFSET($A$1, 136 - 1, 102 - 1) = "1" ), 1, IF( AND( OFFSET($A$1, 136 - 1, 101 - 1) = "1", OFFSET($A$1, 136 - 1, 102 - 1) = "0" ), 2, IF( AND( OFFSET($A$1, 136 - 1, 101 - 1) = "0", OFFSET($A$1, 136 - 1, 102 - 1) = "1" ), 3, 4 ) ) )</f>
        <v>4</v>
      </c>
    </row>
    <row r="137" spans="95:103" ht="13.8" x14ac:dyDescent="0.3">
      <c r="CQ137" s="24">
        <v>0.90854820905543243</v>
      </c>
      <c r="CR137" s="24" t="str">
        <f t="shared" si="9"/>
        <v>1</v>
      </c>
      <c r="CS137" t="str">
        <f ca="1">IF((OFFSET($A$1, 137 - 1, 95 - 1)) &gt;= (OFFSET($A$1, 54 - 1, 7 - 1)), "1","0")</f>
        <v>0</v>
      </c>
      <c r="CT137">
        <f ca="1" xml:space="preserve"> IF( AND( OFFSET($A$1, 137 - 1, 96 - 1) = "1", OFFSET($A$1, 137 - 1, 97 - 1) = "1" ), 1, IF( AND( OFFSET($A$1, 137 - 1, 96 - 1) = "1", OFFSET($A$1, 137 - 1, 97 - 1) = "0" ), 2, IF( AND( OFFSET($A$1, 137 - 1, 96 - 1) = "0", OFFSET($A$1, 137 - 1, 97 - 1) = "1" ), 3, 4 ) ) )</f>
        <v>2</v>
      </c>
      <c r="CV137" s="24">
        <v>0.943609467590108</v>
      </c>
      <c r="CW137" s="24" t="str">
        <f>"1"</f>
        <v>1</v>
      </c>
      <c r="CX137" t="str">
        <f ca="1">IF((OFFSET($A$1, 137 - 1, 100 - 1)) &gt;= (OFFSET($A$1, 78 - 1, 7 - 1)), "1","0")</f>
        <v>1</v>
      </c>
      <c r="CY137">
        <f ca="1" xml:space="preserve"> IF( AND( OFFSET($A$1, 137 - 1, 101 - 1) = "1", OFFSET($A$1, 137 - 1, 102 - 1) = "1" ), 1, IF( AND( OFFSET($A$1, 137 - 1, 101 - 1) = "1", OFFSET($A$1, 137 - 1, 102 - 1) = "0" ), 2, IF( AND( OFFSET($A$1, 137 - 1, 101 - 1) = "0", OFFSET($A$1, 137 - 1, 102 - 1) = "1" ), 3, 4 ) ) )</f>
        <v>1</v>
      </c>
    </row>
    <row r="138" spans="95:103" ht="13.8" x14ac:dyDescent="0.3">
      <c r="CQ138" s="24">
        <v>0.87755552831324424</v>
      </c>
      <c r="CR138" s="24" t="str">
        <f t="shared" si="9"/>
        <v>1</v>
      </c>
      <c r="CS138" t="str">
        <f ca="1">IF((OFFSET($A$1, 138 - 1, 95 - 1)) &gt;= (OFFSET($A$1, 54 - 1, 7 - 1)), "1","0")</f>
        <v>0</v>
      </c>
      <c r="CT138">
        <f ca="1" xml:space="preserve"> IF( AND( OFFSET($A$1, 138 - 1, 96 - 1) = "1", OFFSET($A$1, 138 - 1, 97 - 1) = "1" ), 1, IF( AND( OFFSET($A$1, 138 - 1, 96 - 1) = "1", OFFSET($A$1, 138 - 1, 97 - 1) = "0" ), 2, IF( AND( OFFSET($A$1, 138 - 1, 96 - 1) = "0", OFFSET($A$1, 138 - 1, 97 - 1) = "1" ), 3, 4 ) ) )</f>
        <v>2</v>
      </c>
      <c r="CV138" s="24">
        <v>0.9995925356970865</v>
      </c>
      <c r="CW138" s="24" t="str">
        <f>"0"</f>
        <v>0</v>
      </c>
      <c r="CX138" t="str">
        <f ca="1">IF((OFFSET($A$1, 138 - 1, 100 - 1)) &gt;= (OFFSET($A$1, 78 - 1, 7 - 1)), "1","0")</f>
        <v>1</v>
      </c>
      <c r="CY138">
        <f ca="1" xml:space="preserve"> IF( AND( OFFSET($A$1, 138 - 1, 101 - 1) = "1", OFFSET($A$1, 138 - 1, 102 - 1) = "1" ), 1, IF( AND( OFFSET($A$1, 138 - 1, 101 - 1) = "1", OFFSET($A$1, 138 - 1, 102 - 1) = "0" ), 2, IF( AND( OFFSET($A$1, 138 - 1, 101 - 1) = "0", OFFSET($A$1, 138 - 1, 102 - 1) = "1" ), 3, 4 ) ) )</f>
        <v>3</v>
      </c>
    </row>
    <row r="139" spans="95:103" ht="13.8" x14ac:dyDescent="0.3">
      <c r="CQ139" s="24">
        <v>0.87375741783099459</v>
      </c>
      <c r="CR139" s="24" t="str">
        <f t="shared" si="9"/>
        <v>1</v>
      </c>
      <c r="CS139" t="str">
        <f ca="1">IF((OFFSET($A$1, 139 - 1, 95 - 1)) &gt;= (OFFSET($A$1, 54 - 1, 7 - 1)), "1","0")</f>
        <v>0</v>
      </c>
      <c r="CT139">
        <f ca="1" xml:space="preserve"> IF( AND( OFFSET($A$1, 139 - 1, 96 - 1) = "1", OFFSET($A$1, 139 - 1, 97 - 1) = "1" ), 1, IF( AND( OFFSET($A$1, 139 - 1, 96 - 1) = "1", OFFSET($A$1, 139 - 1, 97 - 1) = "0" ), 2, IF( AND( OFFSET($A$1, 139 - 1, 96 - 1) = "0", OFFSET($A$1, 139 - 1, 97 - 1) = "1" ), 3, 4 ) ) )</f>
        <v>2</v>
      </c>
      <c r="CV139" s="24">
        <v>3.2301208144684505E-2</v>
      </c>
      <c r="CW139" s="24" t="str">
        <f>"0"</f>
        <v>0</v>
      </c>
      <c r="CX139" t="str">
        <f ca="1">IF((OFFSET($A$1, 139 - 1, 100 - 1)) &gt;= (OFFSET($A$1, 78 - 1, 7 - 1)), "1","0")</f>
        <v>0</v>
      </c>
      <c r="CY139">
        <f ca="1" xml:space="preserve"> IF( AND( OFFSET($A$1, 139 - 1, 101 - 1) = "1", OFFSET($A$1, 139 - 1, 102 - 1) = "1" ), 1, IF( AND( OFFSET($A$1, 139 - 1, 101 - 1) = "1", OFFSET($A$1, 139 - 1, 102 - 1) = "0" ), 2, IF( AND( OFFSET($A$1, 139 - 1, 101 - 1) = "0", OFFSET($A$1, 139 - 1, 102 - 1) = "1" ), 3, 4 ) ) )</f>
        <v>4</v>
      </c>
    </row>
    <row r="140" spans="95:103" ht="13.8" x14ac:dyDescent="0.3">
      <c r="CQ140" s="24">
        <v>0.13318550090284356</v>
      </c>
      <c r="CR140" s="24" t="str">
        <f>"0"</f>
        <v>0</v>
      </c>
      <c r="CS140" t="str">
        <f ca="1">IF((OFFSET($A$1, 140 - 1, 95 - 1)) &gt;= (OFFSET($A$1, 54 - 1, 7 - 1)), "1","0")</f>
        <v>0</v>
      </c>
      <c r="CT140">
        <f ca="1" xml:space="preserve"> IF( AND( OFFSET($A$1, 140 - 1, 96 - 1) = "1", OFFSET($A$1, 140 - 1, 97 - 1) = "1" ), 1, IF( AND( OFFSET($A$1, 140 - 1, 96 - 1) = "1", OFFSET($A$1, 140 - 1, 97 - 1) = "0" ), 2, IF( AND( OFFSET($A$1, 140 - 1, 96 - 1) = "0", OFFSET($A$1, 140 - 1, 97 - 1) = "1" ), 3, 4 ) ) )</f>
        <v>4</v>
      </c>
      <c r="CV140" s="24">
        <v>0.97370487879014833</v>
      </c>
      <c r="CW140" s="24" t="str">
        <f>"1"</f>
        <v>1</v>
      </c>
      <c r="CX140" t="str">
        <f ca="1">IF((OFFSET($A$1, 140 - 1, 100 - 1)) &gt;= (OFFSET($A$1, 78 - 1, 7 - 1)), "1","0")</f>
        <v>1</v>
      </c>
      <c r="CY140">
        <f ca="1" xml:space="preserve"> IF( AND( OFFSET($A$1, 140 - 1, 101 - 1) = "1", OFFSET($A$1, 140 - 1, 102 - 1) = "1" ), 1, IF( AND( OFFSET($A$1, 140 - 1, 101 - 1) = "1", OFFSET($A$1, 140 - 1, 102 - 1) = "0" ), 2, IF( AND( OFFSET($A$1, 140 - 1, 101 - 1) = "0", OFFSET($A$1, 140 - 1, 102 - 1) = "1" ), 3, 4 ) ) )</f>
        <v>1</v>
      </c>
    </row>
    <row r="141" spans="95:103" ht="13.8" x14ac:dyDescent="0.3">
      <c r="CQ141" s="24">
        <v>0.96813211680082967</v>
      </c>
      <c r="CR141" s="24" t="str">
        <f>"1"</f>
        <v>1</v>
      </c>
      <c r="CS141" t="str">
        <f ca="1">IF((OFFSET($A$1, 141 - 1, 95 - 1)) &gt;= (OFFSET($A$1, 54 - 1, 7 - 1)), "1","0")</f>
        <v>1</v>
      </c>
      <c r="CT141">
        <f ca="1" xml:space="preserve"> IF( AND( OFFSET($A$1, 141 - 1, 96 - 1) = "1", OFFSET($A$1, 141 - 1, 97 - 1) = "1" ), 1, IF( AND( OFFSET($A$1, 141 - 1, 96 - 1) = "1", OFFSET($A$1, 141 - 1, 97 - 1) = "0" ), 2, IF( AND( OFFSET($A$1, 141 - 1, 96 - 1) = "0", OFFSET($A$1, 141 - 1, 97 - 1) = "1" ), 3, 4 ) ) )</f>
        <v>1</v>
      </c>
      <c r="CV141" s="24">
        <v>0.87713989029919759</v>
      </c>
      <c r="CW141" s="24" t="str">
        <f>"0"</f>
        <v>0</v>
      </c>
      <c r="CX141" t="str">
        <f ca="1">IF((OFFSET($A$1, 141 - 1, 100 - 1)) &gt;= (OFFSET($A$1, 78 - 1, 7 - 1)), "1","0")</f>
        <v>0</v>
      </c>
      <c r="CY141">
        <f ca="1" xml:space="preserve"> IF( AND( OFFSET($A$1, 141 - 1, 101 - 1) = "1", OFFSET($A$1, 141 - 1, 102 - 1) = "1" ), 1, IF( AND( OFFSET($A$1, 141 - 1, 101 - 1) = "1", OFFSET($A$1, 141 - 1, 102 - 1) = "0" ), 2, IF( AND( OFFSET($A$1, 141 - 1, 101 - 1) = "0", OFFSET($A$1, 141 - 1, 102 - 1) = "1" ), 3, 4 ) ) )</f>
        <v>4</v>
      </c>
    </row>
    <row r="142" spans="95:103" ht="13.8" x14ac:dyDescent="0.3">
      <c r="CQ142" s="24">
        <v>3.5753735530771637E-2</v>
      </c>
      <c r="CR142" s="24" t="str">
        <f>"0"</f>
        <v>0</v>
      </c>
      <c r="CS142" t="str">
        <f ca="1">IF((OFFSET($A$1, 142 - 1, 95 - 1)) &gt;= (OFFSET($A$1, 54 - 1, 7 - 1)), "1","0")</f>
        <v>0</v>
      </c>
      <c r="CT142">
        <f ca="1" xml:space="preserve"> IF( AND( OFFSET($A$1, 142 - 1, 96 - 1) = "1", OFFSET($A$1, 142 - 1, 97 - 1) = "1" ), 1, IF( AND( OFFSET($A$1, 142 - 1, 96 - 1) = "1", OFFSET($A$1, 142 - 1, 97 - 1) = "0" ), 2, IF( AND( OFFSET($A$1, 142 - 1, 96 - 1) = "0", OFFSET($A$1, 142 - 1, 97 - 1) = "1" ), 3, 4 ) ) )</f>
        <v>4</v>
      </c>
      <c r="CV142" s="24">
        <v>0.99922827427692129</v>
      </c>
      <c r="CW142" s="24" t="str">
        <f t="shared" ref="CW142:CW150" si="10">"1"</f>
        <v>1</v>
      </c>
      <c r="CX142" t="str">
        <f ca="1">IF((OFFSET($A$1, 142 - 1, 100 - 1)) &gt;= (OFFSET($A$1, 78 - 1, 7 - 1)), "1","0")</f>
        <v>1</v>
      </c>
      <c r="CY142">
        <f ca="1" xml:space="preserve"> IF( AND( OFFSET($A$1, 142 - 1, 101 - 1) = "1", OFFSET($A$1, 142 - 1, 102 - 1) = "1" ), 1, IF( AND( OFFSET($A$1, 142 - 1, 101 - 1) = "1", OFFSET($A$1, 142 - 1, 102 - 1) = "0" ), 2, IF( AND( OFFSET($A$1, 142 - 1, 101 - 1) = "0", OFFSET($A$1, 142 - 1, 102 - 1) = "1" ), 3, 4 ) ) )</f>
        <v>1</v>
      </c>
    </row>
    <row r="143" spans="95:103" ht="13.8" x14ac:dyDescent="0.3">
      <c r="CQ143" s="24">
        <v>0.98729802354969343</v>
      </c>
      <c r="CR143" s="24" t="str">
        <f>"1"</f>
        <v>1</v>
      </c>
      <c r="CS143" t="str">
        <f ca="1">IF((OFFSET($A$1, 143 - 1, 95 - 1)) &gt;= (OFFSET($A$1, 54 - 1, 7 - 1)), "1","0")</f>
        <v>1</v>
      </c>
      <c r="CT143">
        <f ca="1" xml:space="preserve"> IF( AND( OFFSET($A$1, 143 - 1, 96 - 1) = "1", OFFSET($A$1, 143 - 1, 97 - 1) = "1" ), 1, IF( AND( OFFSET($A$1, 143 - 1, 96 - 1) = "1", OFFSET($A$1, 143 - 1, 97 - 1) = "0" ), 2, IF( AND( OFFSET($A$1, 143 - 1, 96 - 1) = "0", OFFSET($A$1, 143 - 1, 97 - 1) = "1" ), 3, 4 ) ) )</f>
        <v>1</v>
      </c>
      <c r="CV143" s="24">
        <v>0.79224393381354741</v>
      </c>
      <c r="CW143" s="24" t="str">
        <f t="shared" si="10"/>
        <v>1</v>
      </c>
      <c r="CX143" t="str">
        <f ca="1">IF((OFFSET($A$1, 143 - 1, 100 - 1)) &gt;= (OFFSET($A$1, 78 - 1, 7 - 1)), "1","0")</f>
        <v>0</v>
      </c>
      <c r="CY143">
        <f ca="1" xml:space="preserve"> IF( AND( OFFSET($A$1, 143 - 1, 101 - 1) = "1", OFFSET($A$1, 143 - 1, 102 - 1) = "1" ), 1, IF( AND( OFFSET($A$1, 143 - 1, 101 - 1) = "1", OFFSET($A$1, 143 - 1, 102 - 1) = "0" ), 2, IF( AND( OFFSET($A$1, 143 - 1, 101 - 1) = "0", OFFSET($A$1, 143 - 1, 102 - 1) = "1" ), 3, 4 ) ) )</f>
        <v>2</v>
      </c>
    </row>
    <row r="144" spans="95:103" ht="13.8" x14ac:dyDescent="0.3">
      <c r="CQ144" s="24">
        <v>0.99906239145306086</v>
      </c>
      <c r="CR144" s="24" t="str">
        <f>"1"</f>
        <v>1</v>
      </c>
      <c r="CS144" t="str">
        <f ca="1">IF((OFFSET($A$1, 144 - 1, 95 - 1)) &gt;= (OFFSET($A$1, 54 - 1, 7 - 1)), "1","0")</f>
        <v>1</v>
      </c>
      <c r="CT144">
        <f ca="1" xml:space="preserve"> IF( AND( OFFSET($A$1, 144 - 1, 96 - 1) = "1", OFFSET($A$1, 144 - 1, 97 - 1) = "1" ), 1, IF( AND( OFFSET($A$1, 144 - 1, 96 - 1) = "1", OFFSET($A$1, 144 - 1, 97 - 1) = "0" ), 2, IF( AND( OFFSET($A$1, 144 - 1, 96 - 1) = "0", OFFSET($A$1, 144 - 1, 97 - 1) = "1" ), 3, 4 ) ) )</f>
        <v>1</v>
      </c>
      <c r="CV144" s="24">
        <v>0.97034542347353436</v>
      </c>
      <c r="CW144" s="24" t="str">
        <f t="shared" si="10"/>
        <v>1</v>
      </c>
      <c r="CX144" t="str">
        <f ca="1">IF((OFFSET($A$1, 144 - 1, 100 - 1)) &gt;= (OFFSET($A$1, 78 - 1, 7 - 1)), "1","0")</f>
        <v>1</v>
      </c>
      <c r="CY144">
        <f ca="1" xml:space="preserve"> IF( AND( OFFSET($A$1, 144 - 1, 101 - 1) = "1", OFFSET($A$1, 144 - 1, 102 - 1) = "1" ), 1, IF( AND( OFFSET($A$1, 144 - 1, 101 - 1) = "1", OFFSET($A$1, 144 - 1, 102 - 1) = "0" ), 2, IF( AND( OFFSET($A$1, 144 - 1, 101 - 1) = "0", OFFSET($A$1, 144 - 1, 102 - 1) = "1" ), 3, 4 ) ) )</f>
        <v>1</v>
      </c>
    </row>
    <row r="145" spans="95:103" ht="13.8" x14ac:dyDescent="0.3">
      <c r="CQ145" s="24">
        <v>9.23287847084686E-2</v>
      </c>
      <c r="CR145" s="24" t="str">
        <f>"0"</f>
        <v>0</v>
      </c>
      <c r="CS145" t="str">
        <f ca="1">IF((OFFSET($A$1, 145 - 1, 95 - 1)) &gt;= (OFFSET($A$1, 54 - 1, 7 - 1)), "1","0")</f>
        <v>0</v>
      </c>
      <c r="CT145">
        <f ca="1" xml:space="preserve"> IF( AND( OFFSET($A$1, 145 - 1, 96 - 1) = "1", OFFSET($A$1, 145 - 1, 97 - 1) = "1" ), 1, IF( AND( OFFSET($A$1, 145 - 1, 96 - 1) = "1", OFFSET($A$1, 145 - 1, 97 - 1) = "0" ), 2, IF( AND( OFFSET($A$1, 145 - 1, 96 - 1) = "0", OFFSET($A$1, 145 - 1, 97 - 1) = "1" ), 3, 4 ) ) )</f>
        <v>4</v>
      </c>
      <c r="CV145" s="24">
        <v>0.99947226600839645</v>
      </c>
      <c r="CW145" s="24" t="str">
        <f t="shared" si="10"/>
        <v>1</v>
      </c>
      <c r="CX145" t="str">
        <f ca="1">IF((OFFSET($A$1, 145 - 1, 100 - 1)) &gt;= (OFFSET($A$1, 78 - 1, 7 - 1)), "1","0")</f>
        <v>1</v>
      </c>
      <c r="CY145">
        <f ca="1" xml:space="preserve"> IF( AND( OFFSET($A$1, 145 - 1, 101 - 1) = "1", OFFSET($A$1, 145 - 1, 102 - 1) = "1" ), 1, IF( AND( OFFSET($A$1, 145 - 1, 101 - 1) = "1", OFFSET($A$1, 145 - 1, 102 - 1) = "0" ), 2, IF( AND( OFFSET($A$1, 145 - 1, 101 - 1) = "0", OFFSET($A$1, 145 - 1, 102 - 1) = "1" ), 3, 4 ) ) )</f>
        <v>1</v>
      </c>
    </row>
    <row r="146" spans="95:103" ht="13.8" x14ac:dyDescent="0.3">
      <c r="CQ146" s="24">
        <v>0.96899734785310576</v>
      </c>
      <c r="CR146" s="24" t="str">
        <f t="shared" ref="CR146:CR151" si="11">"1"</f>
        <v>1</v>
      </c>
      <c r="CS146" t="str">
        <f ca="1">IF((OFFSET($A$1, 146 - 1, 95 - 1)) &gt;= (OFFSET($A$1, 54 - 1, 7 - 1)), "1","0")</f>
        <v>1</v>
      </c>
      <c r="CT146">
        <f ca="1" xml:space="preserve"> IF( AND( OFFSET($A$1, 146 - 1, 96 - 1) = "1", OFFSET($A$1, 146 - 1, 97 - 1) = "1" ), 1, IF( AND( OFFSET($A$1, 146 - 1, 96 - 1) = "1", OFFSET($A$1, 146 - 1, 97 - 1) = "0" ), 2, IF( AND( OFFSET($A$1, 146 - 1, 96 - 1) = "0", OFFSET($A$1, 146 - 1, 97 - 1) = "1" ), 3, 4 ) ) )</f>
        <v>1</v>
      </c>
      <c r="CV146" s="24">
        <v>0.90945126620166061</v>
      </c>
      <c r="CW146" s="24" t="str">
        <f t="shared" si="10"/>
        <v>1</v>
      </c>
      <c r="CX146" t="str">
        <f ca="1">IF((OFFSET($A$1, 146 - 1, 100 - 1)) &gt;= (OFFSET($A$1, 78 - 1, 7 - 1)), "1","0")</f>
        <v>1</v>
      </c>
      <c r="CY146">
        <f ca="1" xml:space="preserve"> IF( AND( OFFSET($A$1, 146 - 1, 101 - 1) = "1", OFFSET($A$1, 146 - 1, 102 - 1) = "1" ), 1, IF( AND( OFFSET($A$1, 146 - 1, 101 - 1) = "1", OFFSET($A$1, 146 - 1, 102 - 1) = "0" ), 2, IF( AND( OFFSET($A$1, 146 - 1, 101 - 1) = "0", OFFSET($A$1, 146 - 1, 102 - 1) = "1" ), 3, 4 ) ) )</f>
        <v>1</v>
      </c>
    </row>
    <row r="147" spans="95:103" ht="13.8" x14ac:dyDescent="0.3">
      <c r="CQ147" s="24">
        <v>0.93795068271184467</v>
      </c>
      <c r="CR147" s="24" t="str">
        <f t="shared" si="11"/>
        <v>1</v>
      </c>
      <c r="CS147" t="str">
        <f ca="1">IF((OFFSET($A$1, 147 - 1, 95 - 1)) &gt;= (OFFSET($A$1, 54 - 1, 7 - 1)), "1","0")</f>
        <v>0</v>
      </c>
      <c r="CT147">
        <f ca="1" xml:space="preserve"> IF( AND( OFFSET($A$1, 147 - 1, 96 - 1) = "1", OFFSET($A$1, 147 - 1, 97 - 1) = "1" ), 1, IF( AND( OFFSET($A$1, 147 - 1, 96 - 1) = "1", OFFSET($A$1, 147 - 1, 97 - 1) = "0" ), 2, IF( AND( OFFSET($A$1, 147 - 1, 96 - 1) = "0", OFFSET($A$1, 147 - 1, 97 - 1) = "1" ), 3, 4 ) ) )</f>
        <v>2</v>
      </c>
      <c r="CV147" s="24">
        <v>0.99698228603340311</v>
      </c>
      <c r="CW147" s="24" t="str">
        <f t="shared" si="10"/>
        <v>1</v>
      </c>
      <c r="CX147" t="str">
        <f ca="1">IF((OFFSET($A$1, 147 - 1, 100 - 1)) &gt;= (OFFSET($A$1, 78 - 1, 7 - 1)), "1","0")</f>
        <v>1</v>
      </c>
      <c r="CY147">
        <f ca="1" xml:space="preserve"> IF( AND( OFFSET($A$1, 147 - 1, 101 - 1) = "1", OFFSET($A$1, 147 - 1, 102 - 1) = "1" ), 1, IF( AND( OFFSET($A$1, 147 - 1, 101 - 1) = "1", OFFSET($A$1, 147 - 1, 102 - 1) = "0" ), 2, IF( AND( OFFSET($A$1, 147 - 1, 101 - 1) = "0", OFFSET($A$1, 147 - 1, 102 - 1) = "1" ), 3, 4 ) ) )</f>
        <v>1</v>
      </c>
    </row>
    <row r="148" spans="95:103" ht="13.8" x14ac:dyDescent="0.3">
      <c r="CQ148" s="24">
        <v>0.97795846733966085</v>
      </c>
      <c r="CR148" s="24" t="str">
        <f t="shared" si="11"/>
        <v>1</v>
      </c>
      <c r="CS148" t="str">
        <f ca="1">IF((OFFSET($A$1, 148 - 1, 95 - 1)) &gt;= (OFFSET($A$1, 54 - 1, 7 - 1)), "1","0")</f>
        <v>1</v>
      </c>
      <c r="CT148">
        <f ca="1" xml:space="preserve"> IF( AND( OFFSET($A$1, 148 - 1, 96 - 1) = "1", OFFSET($A$1, 148 - 1, 97 - 1) = "1" ), 1, IF( AND( OFFSET($A$1, 148 - 1, 96 - 1) = "1", OFFSET($A$1, 148 - 1, 97 - 1) = "0" ), 2, IF( AND( OFFSET($A$1, 148 - 1, 96 - 1) = "0", OFFSET($A$1, 148 - 1, 97 - 1) = "1" ), 3, 4 ) ) )</f>
        <v>1</v>
      </c>
      <c r="CV148" s="24">
        <v>0.8893812617130975</v>
      </c>
      <c r="CW148" s="24" t="str">
        <f t="shared" si="10"/>
        <v>1</v>
      </c>
      <c r="CX148" t="str">
        <f ca="1">IF((OFFSET($A$1, 148 - 1, 100 - 1)) &gt;= (OFFSET($A$1, 78 - 1, 7 - 1)), "1","0")</f>
        <v>0</v>
      </c>
      <c r="CY148">
        <f ca="1" xml:space="preserve"> IF( AND( OFFSET($A$1, 148 - 1, 101 - 1) = "1", OFFSET($A$1, 148 - 1, 102 - 1) = "1" ), 1, IF( AND( OFFSET($A$1, 148 - 1, 101 - 1) = "1", OFFSET($A$1, 148 - 1, 102 - 1) = "0" ), 2, IF( AND( OFFSET($A$1, 148 - 1, 101 - 1) = "0", OFFSET($A$1, 148 - 1, 102 - 1) = "1" ), 3, 4 ) ) )</f>
        <v>2</v>
      </c>
    </row>
    <row r="149" spans="95:103" ht="13.8" x14ac:dyDescent="0.3">
      <c r="CQ149" s="24">
        <v>0.99814209101395368</v>
      </c>
      <c r="CR149" s="24" t="str">
        <f t="shared" si="11"/>
        <v>1</v>
      </c>
      <c r="CS149" t="str">
        <f ca="1">IF((OFFSET($A$1, 149 - 1, 95 - 1)) &gt;= (OFFSET($A$1, 54 - 1, 7 - 1)), "1","0")</f>
        <v>1</v>
      </c>
      <c r="CT149">
        <f ca="1" xml:space="preserve"> IF( AND( OFFSET($A$1, 149 - 1, 96 - 1) = "1", OFFSET($A$1, 149 - 1, 97 - 1) = "1" ), 1, IF( AND( OFFSET($A$1, 149 - 1, 96 - 1) = "1", OFFSET($A$1, 149 - 1, 97 - 1) = "0" ), 2, IF( AND( OFFSET($A$1, 149 - 1, 96 - 1) = "0", OFFSET($A$1, 149 - 1, 97 - 1) = "1" ), 3, 4 ) ) )</f>
        <v>1</v>
      </c>
      <c r="CV149" s="24">
        <v>0.26190110423784008</v>
      </c>
      <c r="CW149" s="24" t="str">
        <f t="shared" si="10"/>
        <v>1</v>
      </c>
      <c r="CX149" t="str">
        <f ca="1">IF((OFFSET($A$1, 149 - 1, 100 - 1)) &gt;= (OFFSET($A$1, 78 - 1, 7 - 1)), "1","0")</f>
        <v>0</v>
      </c>
      <c r="CY149">
        <f ca="1" xml:space="preserve"> IF( AND( OFFSET($A$1, 149 - 1, 101 - 1) = "1", OFFSET($A$1, 149 - 1, 102 - 1) = "1" ), 1, IF( AND( OFFSET($A$1, 149 - 1, 101 - 1) = "1", OFFSET($A$1, 149 - 1, 102 - 1) = "0" ), 2, IF( AND( OFFSET($A$1, 149 - 1, 101 - 1) = "0", OFFSET($A$1, 149 - 1, 102 - 1) = "1" ), 3, 4 ) ) )</f>
        <v>2</v>
      </c>
    </row>
    <row r="150" spans="95:103" ht="13.8" x14ac:dyDescent="0.3">
      <c r="CQ150" s="24">
        <v>0.89311497085529723</v>
      </c>
      <c r="CR150" s="24" t="str">
        <f t="shared" si="11"/>
        <v>1</v>
      </c>
      <c r="CS150" t="str">
        <f ca="1">IF((OFFSET($A$1, 150 - 1, 95 - 1)) &gt;= (OFFSET($A$1, 54 - 1, 7 - 1)), "1","0")</f>
        <v>0</v>
      </c>
      <c r="CT150">
        <f ca="1" xml:space="preserve"> IF( AND( OFFSET($A$1, 150 - 1, 96 - 1) = "1", OFFSET($A$1, 150 - 1, 97 - 1) = "1" ), 1, IF( AND( OFFSET($A$1, 150 - 1, 96 - 1) = "1", OFFSET($A$1, 150 - 1, 97 - 1) = "0" ), 2, IF( AND( OFFSET($A$1, 150 - 1, 96 - 1) = "0", OFFSET($A$1, 150 - 1, 97 - 1) = "1" ), 3, 4 ) ) )</f>
        <v>2</v>
      </c>
      <c r="CV150" s="24">
        <v>0.99582773912671629</v>
      </c>
      <c r="CW150" s="24" t="str">
        <f t="shared" si="10"/>
        <v>1</v>
      </c>
      <c r="CX150" t="str">
        <f ca="1">IF((OFFSET($A$1, 150 - 1, 100 - 1)) &gt;= (OFFSET($A$1, 78 - 1, 7 - 1)), "1","0")</f>
        <v>1</v>
      </c>
      <c r="CY150">
        <f ca="1" xml:space="preserve"> IF( AND( OFFSET($A$1, 150 - 1, 101 - 1) = "1", OFFSET($A$1, 150 - 1, 102 - 1) = "1" ), 1, IF( AND( OFFSET($A$1, 150 - 1, 101 - 1) = "1", OFFSET($A$1, 150 - 1, 102 - 1) = "0" ), 2, IF( AND( OFFSET($A$1, 150 - 1, 101 - 1) = "0", OFFSET($A$1, 150 - 1, 102 - 1) = "1" ), 3, 4 ) ) )</f>
        <v>1</v>
      </c>
    </row>
    <row r="151" spans="95:103" ht="13.8" x14ac:dyDescent="0.3">
      <c r="CQ151" s="24">
        <v>0.95626017045444056</v>
      </c>
      <c r="CR151" s="24" t="str">
        <f t="shared" si="11"/>
        <v>1</v>
      </c>
      <c r="CS151" t="str">
        <f ca="1">IF((OFFSET($A$1, 151 - 1, 95 - 1)) &gt;= (OFFSET($A$1, 54 - 1, 7 - 1)), "1","0")</f>
        <v>0</v>
      </c>
      <c r="CT151">
        <f ca="1" xml:space="preserve"> IF( AND( OFFSET($A$1, 151 - 1, 96 - 1) = "1", OFFSET($A$1, 151 - 1, 97 - 1) = "1" ), 1, IF( AND( OFFSET($A$1, 151 - 1, 96 - 1) = "1", OFFSET($A$1, 151 - 1, 97 - 1) = "0" ), 2, IF( AND( OFFSET($A$1, 151 - 1, 96 - 1) = "0", OFFSET($A$1, 151 - 1, 97 - 1) = "1" ), 3, 4 ) ) )</f>
        <v>2</v>
      </c>
      <c r="CV151" s="24">
        <v>0.92216305080008187</v>
      </c>
      <c r="CW151" s="24" t="str">
        <f>"0"</f>
        <v>0</v>
      </c>
      <c r="CX151" t="str">
        <f ca="1">IF((OFFSET($A$1, 151 - 1, 100 - 1)) &gt;= (OFFSET($A$1, 78 - 1, 7 - 1)), "1","0")</f>
        <v>1</v>
      </c>
      <c r="CY151">
        <f ca="1" xml:space="preserve"> IF( AND( OFFSET($A$1, 151 - 1, 101 - 1) = "1", OFFSET($A$1, 151 - 1, 102 - 1) = "1" ), 1, IF( AND( OFFSET($A$1, 151 - 1, 101 - 1) = "1", OFFSET($A$1, 151 - 1, 102 - 1) = "0" ), 2, IF( AND( OFFSET($A$1, 151 - 1, 101 - 1) = "0", OFFSET($A$1, 151 - 1, 102 - 1) = "1" ), 3, 4 ) ) )</f>
        <v>3</v>
      </c>
    </row>
    <row r="152" spans="95:103" ht="13.8" x14ac:dyDescent="0.3">
      <c r="CQ152" s="24">
        <v>3.5227651355986163E-2</v>
      </c>
      <c r="CR152" s="24" t="str">
        <f>"0"</f>
        <v>0</v>
      </c>
      <c r="CS152" t="str">
        <f ca="1">IF((OFFSET($A$1, 152 - 1, 95 - 1)) &gt;= (OFFSET($A$1, 54 - 1, 7 - 1)), "1","0")</f>
        <v>0</v>
      </c>
      <c r="CT152">
        <f ca="1" xml:space="preserve"> IF( AND( OFFSET($A$1, 152 - 1, 96 - 1) = "1", OFFSET($A$1, 152 - 1, 97 - 1) = "1" ), 1, IF( AND( OFFSET($A$1, 152 - 1, 96 - 1) = "1", OFFSET($A$1, 152 - 1, 97 - 1) = "0" ), 2, IF( AND( OFFSET($A$1, 152 - 1, 96 - 1) = "0", OFFSET($A$1, 152 - 1, 97 - 1) = "1" ), 3, 4 ) ) )</f>
        <v>4</v>
      </c>
      <c r="CV152" s="24">
        <v>0.49304512639115433</v>
      </c>
      <c r="CW152" s="24" t="str">
        <f>"0"</f>
        <v>0</v>
      </c>
      <c r="CX152" t="str">
        <f ca="1">IF((OFFSET($A$1, 152 - 1, 100 - 1)) &gt;= (OFFSET($A$1, 78 - 1, 7 - 1)), "1","0")</f>
        <v>0</v>
      </c>
      <c r="CY152">
        <f ca="1" xml:space="preserve"> IF( AND( OFFSET($A$1, 152 - 1, 101 - 1) = "1", OFFSET($A$1, 152 - 1, 102 - 1) = "1" ), 1, IF( AND( OFFSET($A$1, 152 - 1, 101 - 1) = "1", OFFSET($A$1, 152 - 1, 102 - 1) = "0" ), 2, IF( AND( OFFSET($A$1, 152 - 1, 101 - 1) = "0", OFFSET($A$1, 152 - 1, 102 - 1) = "1" ), 3, 4 ) ) )</f>
        <v>4</v>
      </c>
    </row>
    <row r="153" spans="95:103" ht="13.8" x14ac:dyDescent="0.3">
      <c r="CQ153" s="24">
        <v>0.99424086582101578</v>
      </c>
      <c r="CR153" s="24" t="str">
        <f>"1"</f>
        <v>1</v>
      </c>
      <c r="CS153" t="str">
        <f ca="1">IF((OFFSET($A$1, 153 - 1, 95 - 1)) &gt;= (OFFSET($A$1, 54 - 1, 7 - 1)), "1","0")</f>
        <v>1</v>
      </c>
      <c r="CT153">
        <f ca="1" xml:space="preserve"> IF( AND( OFFSET($A$1, 153 - 1, 96 - 1) = "1", OFFSET($A$1, 153 - 1, 97 - 1) = "1" ), 1, IF( AND( OFFSET($A$1, 153 - 1, 96 - 1) = "1", OFFSET($A$1, 153 - 1, 97 - 1) = "0" ), 2, IF( AND( OFFSET($A$1, 153 - 1, 96 - 1) = "0", OFFSET($A$1, 153 - 1, 97 - 1) = "1" ), 3, 4 ) ) )</f>
        <v>1</v>
      </c>
      <c r="CV153" s="24">
        <v>0.20612191483277847</v>
      </c>
      <c r="CW153" s="24" t="str">
        <f>"1"</f>
        <v>1</v>
      </c>
      <c r="CX153" t="str">
        <f ca="1">IF((OFFSET($A$1, 153 - 1, 100 - 1)) &gt;= (OFFSET($A$1, 78 - 1, 7 - 1)), "1","0")</f>
        <v>0</v>
      </c>
      <c r="CY153">
        <f ca="1" xml:space="preserve"> IF( AND( OFFSET($A$1, 153 - 1, 101 - 1) = "1", OFFSET($A$1, 153 - 1, 102 - 1) = "1" ), 1, IF( AND( OFFSET($A$1, 153 - 1, 101 - 1) = "1", OFFSET($A$1, 153 - 1, 102 - 1) = "0" ), 2, IF( AND( OFFSET($A$1, 153 - 1, 101 - 1) = "0", OFFSET($A$1, 153 - 1, 102 - 1) = "1" ), 3, 4 ) ) )</f>
        <v>2</v>
      </c>
    </row>
    <row r="154" spans="95:103" ht="13.8" x14ac:dyDescent="0.3">
      <c r="CQ154" s="24">
        <v>0.73556131513274736</v>
      </c>
      <c r="CR154" s="24" t="str">
        <f>"1"</f>
        <v>1</v>
      </c>
      <c r="CS154" t="str">
        <f ca="1">IF((OFFSET($A$1, 154 - 1, 95 - 1)) &gt;= (OFFSET($A$1, 54 - 1, 7 - 1)), "1","0")</f>
        <v>0</v>
      </c>
      <c r="CT154">
        <f ca="1" xml:space="preserve"> IF( AND( OFFSET($A$1, 154 - 1, 96 - 1) = "1", OFFSET($A$1, 154 - 1, 97 - 1) = "1" ), 1, IF( AND( OFFSET($A$1, 154 - 1, 96 - 1) = "1", OFFSET($A$1, 154 - 1, 97 - 1) = "0" ), 2, IF( AND( OFFSET($A$1, 154 - 1, 96 - 1) = "0", OFFSET($A$1, 154 - 1, 97 - 1) = "1" ), 3, 4 ) ) )</f>
        <v>2</v>
      </c>
      <c r="CV154" s="24">
        <v>0.98118358197172983</v>
      </c>
      <c r="CW154" s="24" t="str">
        <f>"1"</f>
        <v>1</v>
      </c>
      <c r="CX154" t="str">
        <f ca="1">IF((OFFSET($A$1, 154 - 1, 100 - 1)) &gt;= (OFFSET($A$1, 78 - 1, 7 - 1)), "1","0")</f>
        <v>1</v>
      </c>
      <c r="CY154">
        <f ca="1" xml:space="preserve"> IF( AND( OFFSET($A$1, 154 - 1, 101 - 1) = "1", OFFSET($A$1, 154 - 1, 102 - 1) = "1" ), 1, IF( AND( OFFSET($A$1, 154 - 1, 101 - 1) = "1", OFFSET($A$1, 154 - 1, 102 - 1) = "0" ), 2, IF( AND( OFFSET($A$1, 154 - 1, 101 - 1) = "0", OFFSET($A$1, 154 - 1, 102 - 1) = "1" ), 3, 4 ) ) )</f>
        <v>1</v>
      </c>
    </row>
    <row r="155" spans="95:103" ht="13.8" x14ac:dyDescent="0.3">
      <c r="CQ155" s="24">
        <v>0.99827035524751828</v>
      </c>
      <c r="CR155" s="24" t="str">
        <f>"1"</f>
        <v>1</v>
      </c>
      <c r="CS155" t="str">
        <f ca="1">IF((OFFSET($A$1, 155 - 1, 95 - 1)) &gt;= (OFFSET($A$1, 54 - 1, 7 - 1)), "1","0")</f>
        <v>1</v>
      </c>
      <c r="CT155">
        <f ca="1" xml:space="preserve"> IF( AND( OFFSET($A$1, 155 - 1, 96 - 1) = "1", OFFSET($A$1, 155 - 1, 97 - 1) = "1" ), 1, IF( AND( OFFSET($A$1, 155 - 1, 96 - 1) = "1", OFFSET($A$1, 155 - 1, 97 - 1) = "0" ), 2, IF( AND( OFFSET($A$1, 155 - 1, 96 - 1) = "0", OFFSET($A$1, 155 - 1, 97 - 1) = "1" ), 3, 4 ) ) )</f>
        <v>1</v>
      </c>
      <c r="CV155" s="24">
        <v>0.84944204786762001</v>
      </c>
      <c r="CW155" s="24" t="str">
        <f>"1"</f>
        <v>1</v>
      </c>
      <c r="CX155" t="str">
        <f ca="1">IF((OFFSET($A$1, 155 - 1, 100 - 1)) &gt;= (OFFSET($A$1, 78 - 1, 7 - 1)), "1","0")</f>
        <v>0</v>
      </c>
      <c r="CY155">
        <f ca="1" xml:space="preserve"> IF( AND( OFFSET($A$1, 155 - 1, 101 - 1) = "1", OFFSET($A$1, 155 - 1, 102 - 1) = "1" ), 1, IF( AND( OFFSET($A$1, 155 - 1, 101 - 1) = "1", OFFSET($A$1, 155 - 1, 102 - 1) = "0" ), 2, IF( AND( OFFSET($A$1, 155 - 1, 101 - 1) = "0", OFFSET($A$1, 155 - 1, 102 - 1) = "1" ), 3, 4 ) ) )</f>
        <v>2</v>
      </c>
    </row>
    <row r="156" spans="95:103" ht="13.8" x14ac:dyDescent="0.3">
      <c r="CQ156" s="24">
        <v>0.99965935335949174</v>
      </c>
      <c r="CR156" s="24" t="str">
        <f>"1"</f>
        <v>1</v>
      </c>
      <c r="CS156" t="str">
        <f ca="1">IF((OFFSET($A$1, 156 - 1, 95 - 1)) &gt;= (OFFSET($A$1, 54 - 1, 7 - 1)), "1","0")</f>
        <v>1</v>
      </c>
      <c r="CT156">
        <f ca="1" xml:space="preserve"> IF( AND( OFFSET($A$1, 156 - 1, 96 - 1) = "1", OFFSET($A$1, 156 - 1, 97 - 1) = "1" ), 1, IF( AND( OFFSET($A$1, 156 - 1, 96 - 1) = "1", OFFSET($A$1, 156 - 1, 97 - 1) = "0" ), 2, IF( AND( OFFSET($A$1, 156 - 1, 96 - 1) = "0", OFFSET($A$1, 156 - 1, 97 - 1) = "1" ), 3, 4 ) ) )</f>
        <v>1</v>
      </c>
      <c r="CV156" s="24">
        <v>0.99756960383996274</v>
      </c>
      <c r="CW156" s="24" t="str">
        <f>"1"</f>
        <v>1</v>
      </c>
      <c r="CX156" t="str">
        <f ca="1">IF((OFFSET($A$1, 156 - 1, 100 - 1)) &gt;= (OFFSET($A$1, 78 - 1, 7 - 1)), "1","0")</f>
        <v>1</v>
      </c>
      <c r="CY156">
        <f ca="1" xml:space="preserve"> IF( AND( OFFSET($A$1, 156 - 1, 101 - 1) = "1", OFFSET($A$1, 156 - 1, 102 - 1) = "1" ), 1, IF( AND( OFFSET($A$1, 156 - 1, 101 - 1) = "1", OFFSET($A$1, 156 - 1, 102 - 1) = "0" ), 2, IF( AND( OFFSET($A$1, 156 - 1, 101 - 1) = "0", OFFSET($A$1, 156 - 1, 102 - 1) = "1" ), 3, 4 ) ) )</f>
        <v>1</v>
      </c>
    </row>
    <row r="157" spans="95:103" ht="13.8" x14ac:dyDescent="0.3">
      <c r="CQ157" s="24">
        <v>8.9592469043214884E-2</v>
      </c>
      <c r="CR157" s="24" t="str">
        <f>"0"</f>
        <v>0</v>
      </c>
      <c r="CS157" t="str">
        <f ca="1">IF((OFFSET($A$1, 157 - 1, 95 - 1)) &gt;= (OFFSET($A$1, 54 - 1, 7 - 1)), "1","0")</f>
        <v>0</v>
      </c>
      <c r="CT157">
        <f ca="1" xml:space="preserve"> IF( AND( OFFSET($A$1, 157 - 1, 96 - 1) = "1", OFFSET($A$1, 157 - 1, 97 - 1) = "1" ), 1, IF( AND( OFFSET($A$1, 157 - 1, 96 - 1) = "1", OFFSET($A$1, 157 - 1, 97 - 1) = "0" ), 2, IF( AND( OFFSET($A$1, 157 - 1, 96 - 1) = "0", OFFSET($A$1, 157 - 1, 97 - 1) = "1" ), 3, 4 ) ) )</f>
        <v>4</v>
      </c>
      <c r="CV157" s="24">
        <v>0.5571451839791004</v>
      </c>
      <c r="CW157" s="24" t="str">
        <f>"0"</f>
        <v>0</v>
      </c>
      <c r="CX157" t="str">
        <f ca="1">IF((OFFSET($A$1, 157 - 1, 100 - 1)) &gt;= (OFFSET($A$1, 78 - 1, 7 - 1)), "1","0")</f>
        <v>0</v>
      </c>
      <c r="CY157">
        <f ca="1" xml:space="preserve"> IF( AND( OFFSET($A$1, 157 - 1, 101 - 1) = "1", OFFSET($A$1, 157 - 1, 102 - 1) = "1" ), 1, IF( AND( OFFSET($A$1, 157 - 1, 101 - 1) = "1", OFFSET($A$1, 157 - 1, 102 - 1) = "0" ), 2, IF( AND( OFFSET($A$1, 157 - 1, 101 - 1) = "0", OFFSET($A$1, 157 - 1, 102 - 1) = "1" ), 3, 4 ) ) )</f>
        <v>4</v>
      </c>
    </row>
    <row r="158" spans="95:103" ht="13.8" x14ac:dyDescent="0.3">
      <c r="CQ158" s="24">
        <v>0.12655871002530086</v>
      </c>
      <c r="CR158" s="24" t="str">
        <f>"0"</f>
        <v>0</v>
      </c>
      <c r="CS158" t="str">
        <f ca="1">IF((OFFSET($A$1, 158 - 1, 95 - 1)) &gt;= (OFFSET($A$1, 54 - 1, 7 - 1)), "1","0")</f>
        <v>0</v>
      </c>
      <c r="CT158">
        <f ca="1" xml:space="preserve"> IF( AND( OFFSET($A$1, 158 - 1, 96 - 1) = "1", OFFSET($A$1, 158 - 1, 97 - 1) = "1" ), 1, IF( AND( OFFSET($A$1, 158 - 1, 96 - 1) = "1", OFFSET($A$1, 158 - 1, 97 - 1) = "0" ), 2, IF( AND( OFFSET($A$1, 158 - 1, 96 - 1) = "0", OFFSET($A$1, 158 - 1, 97 - 1) = "1" ), 3, 4 ) ) )</f>
        <v>4</v>
      </c>
      <c r="CV158" s="24">
        <v>0.97057936548236268</v>
      </c>
      <c r="CW158" s="24" t="str">
        <f>"1"</f>
        <v>1</v>
      </c>
      <c r="CX158" t="str">
        <f ca="1">IF((OFFSET($A$1, 158 - 1, 100 - 1)) &gt;= (OFFSET($A$1, 78 - 1, 7 - 1)), "1","0")</f>
        <v>1</v>
      </c>
      <c r="CY158">
        <f ca="1" xml:space="preserve"> IF( AND( OFFSET($A$1, 158 - 1, 101 - 1) = "1", OFFSET($A$1, 158 - 1, 102 - 1) = "1" ), 1, IF( AND( OFFSET($A$1, 158 - 1, 101 - 1) = "1", OFFSET($A$1, 158 - 1, 102 - 1) = "0" ), 2, IF( AND( OFFSET($A$1, 158 - 1, 101 - 1) = "0", OFFSET($A$1, 158 - 1, 102 - 1) = "1" ), 3, 4 ) ) )</f>
        <v>1</v>
      </c>
    </row>
    <row r="159" spans="95:103" ht="13.8" x14ac:dyDescent="0.3">
      <c r="CQ159" s="24">
        <v>0.85413032191023697</v>
      </c>
      <c r="CR159" s="24" t="str">
        <f>"1"</f>
        <v>1</v>
      </c>
      <c r="CS159" t="str">
        <f ca="1">IF((OFFSET($A$1, 159 - 1, 95 - 1)) &gt;= (OFFSET($A$1, 54 - 1, 7 - 1)), "1","0")</f>
        <v>0</v>
      </c>
      <c r="CT159">
        <f ca="1" xml:space="preserve"> IF( AND( OFFSET($A$1, 159 - 1, 96 - 1) = "1", OFFSET($A$1, 159 - 1, 97 - 1) = "1" ), 1, IF( AND( OFFSET($A$1, 159 - 1, 96 - 1) = "1", OFFSET($A$1, 159 - 1, 97 - 1) = "0" ), 2, IF( AND( OFFSET($A$1, 159 - 1, 96 - 1) = "0", OFFSET($A$1, 159 - 1, 97 - 1) = "1" ), 3, 4 ) ) )</f>
        <v>2</v>
      </c>
      <c r="CV159" s="24">
        <v>0.90429796796070705</v>
      </c>
      <c r="CW159" s="24" t="str">
        <f>"1"</f>
        <v>1</v>
      </c>
      <c r="CX159" t="str">
        <f ca="1">IF((OFFSET($A$1, 159 - 1, 100 - 1)) &gt;= (OFFSET($A$1, 78 - 1, 7 - 1)), "1","0")</f>
        <v>1</v>
      </c>
      <c r="CY159">
        <f ca="1" xml:space="preserve"> IF( AND( OFFSET($A$1, 159 - 1, 101 - 1) = "1", OFFSET($A$1, 159 - 1, 102 - 1) = "1" ), 1, IF( AND( OFFSET($A$1, 159 - 1, 101 - 1) = "1", OFFSET($A$1, 159 - 1, 102 - 1) = "0" ), 2, IF( AND( OFFSET($A$1, 159 - 1, 101 - 1) = "0", OFFSET($A$1, 159 - 1, 102 - 1) = "1" ), 3, 4 ) ) )</f>
        <v>1</v>
      </c>
    </row>
    <row r="160" spans="95:103" ht="13.8" x14ac:dyDescent="0.3">
      <c r="CQ160" s="24">
        <v>6.4391116413451341E-2</v>
      </c>
      <c r="CR160" s="24" t="str">
        <f>"0"</f>
        <v>0</v>
      </c>
      <c r="CS160" t="str">
        <f ca="1">IF((OFFSET($A$1, 160 - 1, 95 - 1)) &gt;= (OFFSET($A$1, 54 - 1, 7 - 1)), "1","0")</f>
        <v>0</v>
      </c>
      <c r="CT160">
        <f ca="1" xml:space="preserve"> IF( AND( OFFSET($A$1, 160 - 1, 96 - 1) = "1", OFFSET($A$1, 160 - 1, 97 - 1) = "1" ), 1, IF( AND( OFFSET($A$1, 160 - 1, 96 - 1) = "1", OFFSET($A$1, 160 - 1, 97 - 1) = "0" ), 2, IF( AND( OFFSET($A$1, 160 - 1, 96 - 1) = "0", OFFSET($A$1, 160 - 1, 97 - 1) = "1" ), 3, 4 ) ) )</f>
        <v>4</v>
      </c>
      <c r="CV160" s="24">
        <v>0.99697415467873607</v>
      </c>
      <c r="CW160" s="24" t="str">
        <f>"1"</f>
        <v>1</v>
      </c>
      <c r="CX160" t="str">
        <f ca="1">IF((OFFSET($A$1, 160 - 1, 100 - 1)) &gt;= (OFFSET($A$1, 78 - 1, 7 - 1)), "1","0")</f>
        <v>1</v>
      </c>
      <c r="CY160">
        <f ca="1" xml:space="preserve"> IF( AND( OFFSET($A$1, 160 - 1, 101 - 1) = "1", OFFSET($A$1, 160 - 1, 102 - 1) = "1" ), 1, IF( AND( OFFSET($A$1, 160 - 1, 101 - 1) = "1", OFFSET($A$1, 160 - 1, 102 - 1) = "0" ), 2, IF( AND( OFFSET($A$1, 160 - 1, 101 - 1) = "0", OFFSET($A$1, 160 - 1, 102 - 1) = "1" ), 3, 4 ) ) )</f>
        <v>1</v>
      </c>
    </row>
    <row r="161" spans="95:103" ht="13.8" x14ac:dyDescent="0.3">
      <c r="CQ161" s="24">
        <v>0.88970757974211134</v>
      </c>
      <c r="CR161" s="24" t="str">
        <f>"1"</f>
        <v>1</v>
      </c>
      <c r="CS161" t="str">
        <f ca="1">IF((OFFSET($A$1, 161 - 1, 95 - 1)) &gt;= (OFFSET($A$1, 54 - 1, 7 - 1)), "1","0")</f>
        <v>0</v>
      </c>
      <c r="CT161">
        <f ca="1" xml:space="preserve"> IF( AND( OFFSET($A$1, 161 - 1, 96 - 1) = "1", OFFSET($A$1, 161 - 1, 97 - 1) = "1" ), 1, IF( AND( OFFSET($A$1, 161 - 1, 96 - 1) = "1", OFFSET($A$1, 161 - 1, 97 - 1) = "0" ), 2, IF( AND( OFFSET($A$1, 161 - 1, 96 - 1) = "0", OFFSET($A$1, 161 - 1, 97 - 1) = "1" ), 3, 4 ) ) )</f>
        <v>2</v>
      </c>
      <c r="CV161" s="24">
        <v>0.95959109185389746</v>
      </c>
      <c r="CW161" s="24" t="str">
        <f>"1"</f>
        <v>1</v>
      </c>
      <c r="CX161" t="str">
        <f ca="1">IF((OFFSET($A$1, 161 - 1, 100 - 1)) &gt;= (OFFSET($A$1, 78 - 1, 7 - 1)), "1","0")</f>
        <v>1</v>
      </c>
      <c r="CY161">
        <f ca="1" xml:space="preserve"> IF( AND( OFFSET($A$1, 161 - 1, 101 - 1) = "1", OFFSET($A$1, 161 - 1, 102 - 1) = "1" ), 1, IF( AND( OFFSET($A$1, 161 - 1, 101 - 1) = "1", OFFSET($A$1, 161 - 1, 102 - 1) = "0" ), 2, IF( AND( OFFSET($A$1, 161 - 1, 101 - 1) = "0", OFFSET($A$1, 161 - 1, 102 - 1) = "1" ), 3, 4 ) ) )</f>
        <v>1</v>
      </c>
    </row>
    <row r="162" spans="95:103" ht="13.8" x14ac:dyDescent="0.3">
      <c r="CQ162" s="24">
        <v>0.9986765129059052</v>
      </c>
      <c r="CR162" s="24" t="str">
        <f>"1"</f>
        <v>1</v>
      </c>
      <c r="CS162" t="str">
        <f ca="1">IF((OFFSET($A$1, 162 - 1, 95 - 1)) &gt;= (OFFSET($A$1, 54 - 1, 7 - 1)), "1","0")</f>
        <v>1</v>
      </c>
      <c r="CT162">
        <f ca="1" xml:space="preserve"> IF( AND( OFFSET($A$1, 162 - 1, 96 - 1) = "1", OFFSET($A$1, 162 - 1, 97 - 1) = "1" ), 1, IF( AND( OFFSET($A$1, 162 - 1, 96 - 1) = "1", OFFSET($A$1, 162 - 1, 97 - 1) = "0" ), 2, IF( AND( OFFSET($A$1, 162 - 1, 96 - 1) = "0", OFFSET($A$1, 162 - 1, 97 - 1) = "1" ), 3, 4 ) ) )</f>
        <v>1</v>
      </c>
      <c r="CV162" s="24">
        <v>2.7980721474399034E-2</v>
      </c>
      <c r="CW162" s="24" t="str">
        <f>"0"</f>
        <v>0</v>
      </c>
      <c r="CX162" t="str">
        <f ca="1">IF((OFFSET($A$1, 162 - 1, 100 - 1)) &gt;= (OFFSET($A$1, 78 - 1, 7 - 1)), "1","0")</f>
        <v>0</v>
      </c>
      <c r="CY162">
        <f ca="1" xml:space="preserve"> IF( AND( OFFSET($A$1, 162 - 1, 101 - 1) = "1", OFFSET($A$1, 162 - 1, 102 - 1) = "1" ), 1, IF( AND( OFFSET($A$1, 162 - 1, 101 - 1) = "1", OFFSET($A$1, 162 - 1, 102 - 1) = "0" ), 2, IF( AND( OFFSET($A$1, 162 - 1, 101 - 1) = "0", OFFSET($A$1, 162 - 1, 102 - 1) = "1" ), 3, 4 ) ) )</f>
        <v>4</v>
      </c>
    </row>
    <row r="163" spans="95:103" ht="13.8" x14ac:dyDescent="0.3">
      <c r="CQ163" s="24">
        <v>3.9221866165879776E-2</v>
      </c>
      <c r="CR163" s="24" t="str">
        <f>"0"</f>
        <v>0</v>
      </c>
      <c r="CS163" t="str">
        <f ca="1">IF((OFFSET($A$1, 163 - 1, 95 - 1)) &gt;= (OFFSET($A$1, 54 - 1, 7 - 1)), "1","0")</f>
        <v>0</v>
      </c>
      <c r="CT163">
        <f ca="1" xml:space="preserve"> IF( AND( OFFSET($A$1, 163 - 1, 96 - 1) = "1", OFFSET($A$1, 163 - 1, 97 - 1) = "1" ), 1, IF( AND( OFFSET($A$1, 163 - 1, 96 - 1) = "1", OFFSET($A$1, 163 - 1, 97 - 1) = "0" ), 2, IF( AND( OFFSET($A$1, 163 - 1, 96 - 1) = "0", OFFSET($A$1, 163 - 1, 97 - 1) = "1" ), 3, 4 ) ) )</f>
        <v>4</v>
      </c>
      <c r="CV163" s="24">
        <v>0.47976712024231699</v>
      </c>
      <c r="CW163" s="24" t="str">
        <f>"1"</f>
        <v>1</v>
      </c>
      <c r="CX163" t="str">
        <f ca="1">IF((OFFSET($A$1, 163 - 1, 100 - 1)) &gt;= (OFFSET($A$1, 78 - 1, 7 - 1)), "1","0")</f>
        <v>0</v>
      </c>
      <c r="CY163">
        <f ca="1" xml:space="preserve"> IF( AND( OFFSET($A$1, 163 - 1, 101 - 1) = "1", OFFSET($A$1, 163 - 1, 102 - 1) = "1" ), 1, IF( AND( OFFSET($A$1, 163 - 1, 101 - 1) = "1", OFFSET($A$1, 163 - 1, 102 - 1) = "0" ), 2, IF( AND( OFFSET($A$1, 163 - 1, 101 - 1) = "0", OFFSET($A$1, 163 - 1, 102 - 1) = "1" ), 3, 4 ) ) )</f>
        <v>2</v>
      </c>
    </row>
    <row r="164" spans="95:103" ht="13.8" x14ac:dyDescent="0.3">
      <c r="CQ164" s="24">
        <v>0.99369974813217243</v>
      </c>
      <c r="CR164" s="24" t="str">
        <f>"1"</f>
        <v>1</v>
      </c>
      <c r="CS164" t="str">
        <f ca="1">IF((OFFSET($A$1, 164 - 1, 95 - 1)) &gt;= (OFFSET($A$1, 54 - 1, 7 - 1)), "1","0")</f>
        <v>1</v>
      </c>
      <c r="CT164">
        <f ca="1" xml:space="preserve"> IF( AND( OFFSET($A$1, 164 - 1, 96 - 1) = "1", OFFSET($A$1, 164 - 1, 97 - 1) = "1" ), 1, IF( AND( OFFSET($A$1, 164 - 1, 96 - 1) = "1", OFFSET($A$1, 164 - 1, 97 - 1) = "0" ), 2, IF( AND( OFFSET($A$1, 164 - 1, 96 - 1) = "0", OFFSET($A$1, 164 - 1, 97 - 1) = "1" ), 3, 4 ) ) )</f>
        <v>1</v>
      </c>
      <c r="CV164" s="24">
        <v>0.83029244802397495</v>
      </c>
      <c r="CW164" s="24" t="str">
        <f>"1"</f>
        <v>1</v>
      </c>
      <c r="CX164" t="str">
        <f ca="1">IF((OFFSET($A$1, 164 - 1, 100 - 1)) &gt;= (OFFSET($A$1, 78 - 1, 7 - 1)), "1","0")</f>
        <v>0</v>
      </c>
      <c r="CY164">
        <f ca="1" xml:space="preserve"> IF( AND( OFFSET($A$1, 164 - 1, 101 - 1) = "1", OFFSET($A$1, 164 - 1, 102 - 1) = "1" ), 1, IF( AND( OFFSET($A$1, 164 - 1, 101 - 1) = "1", OFFSET($A$1, 164 - 1, 102 - 1) = "0" ), 2, IF( AND( OFFSET($A$1, 164 - 1, 101 - 1) = "0", OFFSET($A$1, 164 - 1, 102 - 1) = "1" ), 3, 4 ) ) )</f>
        <v>2</v>
      </c>
    </row>
    <row r="165" spans="95:103" ht="13.8" x14ac:dyDescent="0.3">
      <c r="CQ165" s="24">
        <v>0.97126220072518499</v>
      </c>
      <c r="CR165" s="24" t="str">
        <f>"1"</f>
        <v>1</v>
      </c>
      <c r="CS165" t="str">
        <f ca="1">IF((OFFSET($A$1, 165 - 1, 95 - 1)) &gt;= (OFFSET($A$1, 54 - 1, 7 - 1)), "1","0")</f>
        <v>1</v>
      </c>
      <c r="CT165">
        <f ca="1" xml:space="preserve"> IF( AND( OFFSET($A$1, 165 - 1, 96 - 1) = "1", OFFSET($A$1, 165 - 1, 97 - 1) = "1" ), 1, IF( AND( OFFSET($A$1, 165 - 1, 96 - 1) = "1", OFFSET($A$1, 165 - 1, 97 - 1) = "0" ), 2, IF( AND( OFFSET($A$1, 165 - 1, 96 - 1) = "0", OFFSET($A$1, 165 - 1, 97 - 1) = "1" ), 3, 4 ) ) )</f>
        <v>1</v>
      </c>
      <c r="CV165" s="24">
        <v>0.99936455439977911</v>
      </c>
      <c r="CW165" s="24" t="str">
        <f>"0"</f>
        <v>0</v>
      </c>
      <c r="CX165" t="str">
        <f ca="1">IF((OFFSET($A$1, 165 - 1, 100 - 1)) &gt;= (OFFSET($A$1, 78 - 1, 7 - 1)), "1","0")</f>
        <v>1</v>
      </c>
      <c r="CY165">
        <f ca="1" xml:space="preserve"> IF( AND( OFFSET($A$1, 165 - 1, 101 - 1) = "1", OFFSET($A$1, 165 - 1, 102 - 1) = "1" ), 1, IF( AND( OFFSET($A$1, 165 - 1, 101 - 1) = "1", OFFSET($A$1, 165 - 1, 102 - 1) = "0" ), 2, IF( AND( OFFSET($A$1, 165 - 1, 101 - 1) = "0", OFFSET($A$1, 165 - 1, 102 - 1) = "1" ), 3, 4 ) ) )</f>
        <v>3</v>
      </c>
    </row>
    <row r="166" spans="95:103" ht="13.8" x14ac:dyDescent="0.3">
      <c r="CQ166" s="24">
        <v>5.2288221749926769E-2</v>
      </c>
      <c r="CR166" s="24" t="str">
        <f>"0"</f>
        <v>0</v>
      </c>
      <c r="CS166" t="str">
        <f ca="1">IF((OFFSET($A$1, 166 - 1, 95 - 1)) &gt;= (OFFSET($A$1, 54 - 1, 7 - 1)), "1","0")</f>
        <v>0</v>
      </c>
      <c r="CT166">
        <f ca="1" xml:space="preserve"> IF( AND( OFFSET($A$1, 166 - 1, 96 - 1) = "1", OFFSET($A$1, 166 - 1, 97 - 1) = "1" ), 1, IF( AND( OFFSET($A$1, 166 - 1, 96 - 1) = "1", OFFSET($A$1, 166 - 1, 97 - 1) = "0" ), 2, IF( AND( OFFSET($A$1, 166 - 1, 96 - 1) = "0", OFFSET($A$1, 166 - 1, 97 - 1) = "1" ), 3, 4 ) ) )</f>
        <v>4</v>
      </c>
      <c r="CV166" s="24">
        <v>0.71847569927526378</v>
      </c>
      <c r="CW166" s="24" t="str">
        <f>"1"</f>
        <v>1</v>
      </c>
      <c r="CX166" t="str">
        <f ca="1">IF((OFFSET($A$1, 166 - 1, 100 - 1)) &gt;= (OFFSET($A$1, 78 - 1, 7 - 1)), "1","0")</f>
        <v>0</v>
      </c>
      <c r="CY166">
        <f ca="1" xml:space="preserve"> IF( AND( OFFSET($A$1, 166 - 1, 101 - 1) = "1", OFFSET($A$1, 166 - 1, 102 - 1) = "1" ), 1, IF( AND( OFFSET($A$1, 166 - 1, 101 - 1) = "1", OFFSET($A$1, 166 - 1, 102 - 1) = "0" ), 2, IF( AND( OFFSET($A$1, 166 - 1, 101 - 1) = "0", OFFSET($A$1, 166 - 1, 102 - 1) = "1" ), 3, 4 ) ) )</f>
        <v>2</v>
      </c>
    </row>
    <row r="167" spans="95:103" ht="13.8" x14ac:dyDescent="0.3">
      <c r="CQ167" s="24">
        <v>1.4221296521724167E-2</v>
      </c>
      <c r="CR167" s="24" t="str">
        <f>"0"</f>
        <v>0</v>
      </c>
      <c r="CS167" t="str">
        <f ca="1">IF((OFFSET($A$1, 167 - 1, 95 - 1)) &gt;= (OFFSET($A$1, 54 - 1, 7 - 1)), "1","0")</f>
        <v>0</v>
      </c>
      <c r="CT167">
        <f ca="1" xml:space="preserve"> IF( AND( OFFSET($A$1, 167 - 1, 96 - 1) = "1", OFFSET($A$1, 167 - 1, 97 - 1) = "1" ), 1, IF( AND( OFFSET($A$1, 167 - 1, 96 - 1) = "1", OFFSET($A$1, 167 - 1, 97 - 1) = "0" ), 2, IF( AND( OFFSET($A$1, 167 - 1, 96 - 1) = "0", OFFSET($A$1, 167 - 1, 97 - 1) = "1" ), 3, 4 ) ) )</f>
        <v>4</v>
      </c>
      <c r="CV167" s="24">
        <v>0.99997566208407129</v>
      </c>
      <c r="CW167" s="24" t="str">
        <f>"0"</f>
        <v>0</v>
      </c>
      <c r="CX167" t="str">
        <f ca="1">IF((OFFSET($A$1, 167 - 1, 100 - 1)) &gt;= (OFFSET($A$1, 78 - 1, 7 - 1)), "1","0")</f>
        <v>1</v>
      </c>
      <c r="CY167">
        <f ca="1" xml:space="preserve"> IF( AND( OFFSET($A$1, 167 - 1, 101 - 1) = "1", OFFSET($A$1, 167 - 1, 102 - 1) = "1" ), 1, IF( AND( OFFSET($A$1, 167 - 1, 101 - 1) = "1", OFFSET($A$1, 167 - 1, 102 - 1) = "0" ), 2, IF( AND( OFFSET($A$1, 167 - 1, 101 - 1) = "0", OFFSET($A$1, 167 - 1, 102 - 1) = "1" ), 3, 4 ) ) )</f>
        <v>3</v>
      </c>
    </row>
    <row r="168" spans="95:103" ht="13.8" x14ac:dyDescent="0.3">
      <c r="CQ168" s="24">
        <v>0.9974192386555345</v>
      </c>
      <c r="CR168" s="24" t="str">
        <f>"1"</f>
        <v>1</v>
      </c>
      <c r="CS168" t="str">
        <f ca="1">IF((OFFSET($A$1, 168 - 1, 95 - 1)) &gt;= (OFFSET($A$1, 54 - 1, 7 - 1)), "1","0")</f>
        <v>1</v>
      </c>
      <c r="CT168">
        <f ca="1" xml:space="preserve"> IF( AND( OFFSET($A$1, 168 - 1, 96 - 1) = "1", OFFSET($A$1, 168 - 1, 97 - 1) = "1" ), 1, IF( AND( OFFSET($A$1, 168 - 1, 96 - 1) = "1", OFFSET($A$1, 168 - 1, 97 - 1) = "0" ), 2, IF( AND( OFFSET($A$1, 168 - 1, 96 - 1) = "0", OFFSET($A$1, 168 - 1, 97 - 1) = "1" ), 3, 4 ) ) )</f>
        <v>1</v>
      </c>
      <c r="CV168" s="24">
        <v>0.84887839168464674</v>
      </c>
      <c r="CW168" s="24" t="str">
        <f>"0"</f>
        <v>0</v>
      </c>
      <c r="CX168" t="str">
        <f ca="1">IF((OFFSET($A$1, 168 - 1, 100 - 1)) &gt;= (OFFSET($A$1, 78 - 1, 7 - 1)), "1","0")</f>
        <v>0</v>
      </c>
      <c r="CY168">
        <f ca="1" xml:space="preserve"> IF( AND( OFFSET($A$1, 168 - 1, 101 - 1) = "1", OFFSET($A$1, 168 - 1, 102 - 1) = "1" ), 1, IF( AND( OFFSET($A$1, 168 - 1, 101 - 1) = "1", OFFSET($A$1, 168 - 1, 102 - 1) = "0" ), 2, IF( AND( OFFSET($A$1, 168 - 1, 101 - 1) = "0", OFFSET($A$1, 168 - 1, 102 - 1) = "1" ), 3, 4 ) ) )</f>
        <v>4</v>
      </c>
    </row>
    <row r="169" spans="95:103" ht="13.8" x14ac:dyDescent="0.3">
      <c r="CQ169" s="24">
        <v>0.98845388723098127</v>
      </c>
      <c r="CR169" s="24" t="str">
        <f>"1"</f>
        <v>1</v>
      </c>
      <c r="CS169" t="str">
        <f ca="1">IF((OFFSET($A$1, 169 - 1, 95 - 1)) &gt;= (OFFSET($A$1, 54 - 1, 7 - 1)), "1","0")</f>
        <v>1</v>
      </c>
      <c r="CT169">
        <f ca="1" xml:space="preserve"> IF( AND( OFFSET($A$1, 169 - 1, 96 - 1) = "1", OFFSET($A$1, 169 - 1, 97 - 1) = "1" ), 1, IF( AND( OFFSET($A$1, 169 - 1, 96 - 1) = "1", OFFSET($A$1, 169 - 1, 97 - 1) = "0" ), 2, IF( AND( OFFSET($A$1, 169 - 1, 96 - 1) = "0", OFFSET($A$1, 169 - 1, 97 - 1) = "1" ), 3, 4 ) ) )</f>
        <v>1</v>
      </c>
      <c r="CV169" s="24">
        <v>0.94770016774134602</v>
      </c>
      <c r="CW169" s="24" t="str">
        <f t="shared" ref="CW169:CW174" si="12">"1"</f>
        <v>1</v>
      </c>
      <c r="CX169" t="str">
        <f ca="1">IF((OFFSET($A$1, 169 - 1, 100 - 1)) &gt;= (OFFSET($A$1, 78 - 1, 7 - 1)), "1","0")</f>
        <v>1</v>
      </c>
      <c r="CY169">
        <f ca="1" xml:space="preserve"> IF( AND( OFFSET($A$1, 169 - 1, 101 - 1) = "1", OFFSET($A$1, 169 - 1, 102 - 1) = "1" ), 1, IF( AND( OFFSET($A$1, 169 - 1, 101 - 1) = "1", OFFSET($A$1, 169 - 1, 102 - 1) = "0" ), 2, IF( AND( OFFSET($A$1, 169 - 1, 101 - 1) = "0", OFFSET($A$1, 169 - 1, 102 - 1) = "1" ), 3, 4 ) ) )</f>
        <v>1</v>
      </c>
    </row>
    <row r="170" spans="95:103" ht="13.8" x14ac:dyDescent="0.3">
      <c r="CQ170" s="24">
        <v>0.99479610821846609</v>
      </c>
      <c r="CR170" s="24" t="str">
        <f>"1"</f>
        <v>1</v>
      </c>
      <c r="CS170" t="str">
        <f ca="1">IF((OFFSET($A$1, 170 - 1, 95 - 1)) &gt;= (OFFSET($A$1, 54 - 1, 7 - 1)), "1","0")</f>
        <v>1</v>
      </c>
      <c r="CT170">
        <f ca="1" xml:space="preserve"> IF( AND( OFFSET($A$1, 170 - 1, 96 - 1) = "1", OFFSET($A$1, 170 - 1, 97 - 1) = "1" ), 1, IF( AND( OFFSET($A$1, 170 - 1, 96 - 1) = "1", OFFSET($A$1, 170 - 1, 97 - 1) = "0" ), 2, IF( AND( OFFSET($A$1, 170 - 1, 96 - 1) = "0", OFFSET($A$1, 170 - 1, 97 - 1) = "1" ), 3, 4 ) ) )</f>
        <v>1</v>
      </c>
      <c r="CV170" s="24">
        <v>0.99959128249312446</v>
      </c>
      <c r="CW170" s="24" t="str">
        <f t="shared" si="12"/>
        <v>1</v>
      </c>
      <c r="CX170" t="str">
        <f ca="1">IF((OFFSET($A$1, 170 - 1, 100 - 1)) &gt;= (OFFSET($A$1, 78 - 1, 7 - 1)), "1","0")</f>
        <v>1</v>
      </c>
      <c r="CY170">
        <f ca="1" xml:space="preserve"> IF( AND( OFFSET($A$1, 170 - 1, 101 - 1) = "1", OFFSET($A$1, 170 - 1, 102 - 1) = "1" ), 1, IF( AND( OFFSET($A$1, 170 - 1, 101 - 1) = "1", OFFSET($A$1, 170 - 1, 102 - 1) = "0" ), 2, IF( AND( OFFSET($A$1, 170 - 1, 101 - 1) = "0", OFFSET($A$1, 170 - 1, 102 - 1) = "1" ), 3, 4 ) ) )</f>
        <v>1</v>
      </c>
    </row>
    <row r="171" spans="95:103" ht="13.8" x14ac:dyDescent="0.3">
      <c r="CQ171" s="24">
        <v>0.99979531972972469</v>
      </c>
      <c r="CR171" s="24" t="str">
        <f>"1"</f>
        <v>1</v>
      </c>
      <c r="CS171" t="str">
        <f ca="1">IF((OFFSET($A$1, 171 - 1, 95 - 1)) &gt;= (OFFSET($A$1, 54 - 1, 7 - 1)), "1","0")</f>
        <v>1</v>
      </c>
      <c r="CT171">
        <f ca="1" xml:space="preserve"> IF( AND( OFFSET($A$1, 171 - 1, 96 - 1) = "1", OFFSET($A$1, 171 - 1, 97 - 1) = "1" ), 1, IF( AND( OFFSET($A$1, 171 - 1, 96 - 1) = "1", OFFSET($A$1, 171 - 1, 97 - 1) = "0" ), 2, IF( AND( OFFSET($A$1, 171 - 1, 96 - 1) = "0", OFFSET($A$1, 171 - 1, 97 - 1) = "1" ), 3, 4 ) ) )</f>
        <v>1</v>
      </c>
      <c r="CV171" s="24">
        <v>0.996039044099716</v>
      </c>
      <c r="CW171" s="24" t="str">
        <f t="shared" si="12"/>
        <v>1</v>
      </c>
      <c r="CX171" t="str">
        <f ca="1">IF((OFFSET($A$1, 171 - 1, 100 - 1)) &gt;= (OFFSET($A$1, 78 - 1, 7 - 1)), "1","0")</f>
        <v>1</v>
      </c>
      <c r="CY171">
        <f ca="1" xml:space="preserve"> IF( AND( OFFSET($A$1, 171 - 1, 101 - 1) = "1", OFFSET($A$1, 171 - 1, 102 - 1) = "1" ), 1, IF( AND( OFFSET($A$1, 171 - 1, 101 - 1) = "1", OFFSET($A$1, 171 - 1, 102 - 1) = "0" ), 2, IF( AND( OFFSET($A$1, 171 - 1, 101 - 1) = "0", OFFSET($A$1, 171 - 1, 102 - 1) = "1" ), 3, 4 ) ) )</f>
        <v>1</v>
      </c>
    </row>
    <row r="172" spans="95:103" ht="13.8" x14ac:dyDescent="0.3">
      <c r="CQ172" s="24">
        <v>0.87554189047969377</v>
      </c>
      <c r="CR172" s="24" t="str">
        <f>"1"</f>
        <v>1</v>
      </c>
      <c r="CS172" t="str">
        <f ca="1">IF((OFFSET($A$1, 172 - 1, 95 - 1)) &gt;= (OFFSET($A$1, 54 - 1, 7 - 1)), "1","0")</f>
        <v>0</v>
      </c>
      <c r="CT172">
        <f ca="1" xml:space="preserve"> IF( AND( OFFSET($A$1, 172 - 1, 96 - 1) = "1", OFFSET($A$1, 172 - 1, 97 - 1) = "1" ), 1, IF( AND( OFFSET($A$1, 172 - 1, 96 - 1) = "1", OFFSET($A$1, 172 - 1, 97 - 1) = "0" ), 2, IF( AND( OFFSET($A$1, 172 - 1, 96 - 1) = "0", OFFSET($A$1, 172 - 1, 97 - 1) = "1" ), 3, 4 ) ) )</f>
        <v>2</v>
      </c>
      <c r="CV172" s="24">
        <v>0.9999544213965923</v>
      </c>
      <c r="CW172" s="24" t="str">
        <f t="shared" si="12"/>
        <v>1</v>
      </c>
      <c r="CX172" t="str">
        <f ca="1">IF((OFFSET($A$1, 172 - 1, 100 - 1)) &gt;= (OFFSET($A$1, 78 - 1, 7 - 1)), "1","0")</f>
        <v>1</v>
      </c>
      <c r="CY172">
        <f ca="1" xml:space="preserve"> IF( AND( OFFSET($A$1, 172 - 1, 101 - 1) = "1", OFFSET($A$1, 172 - 1, 102 - 1) = "1" ), 1, IF( AND( OFFSET($A$1, 172 - 1, 101 - 1) = "1", OFFSET($A$1, 172 - 1, 102 - 1) = "0" ), 2, IF( AND( OFFSET($A$1, 172 - 1, 101 - 1) = "0", OFFSET($A$1, 172 - 1, 102 - 1) = "1" ), 3, 4 ) ) )</f>
        <v>1</v>
      </c>
    </row>
    <row r="173" spans="95:103" ht="13.8" x14ac:dyDescent="0.3">
      <c r="CQ173" s="24">
        <v>8.5852527438790321E-2</v>
      </c>
      <c r="CR173" s="24" t="str">
        <f>"0"</f>
        <v>0</v>
      </c>
      <c r="CS173" t="str">
        <f ca="1">IF((OFFSET($A$1, 173 - 1, 95 - 1)) &gt;= (OFFSET($A$1, 54 - 1, 7 - 1)), "1","0")</f>
        <v>0</v>
      </c>
      <c r="CT173">
        <f ca="1" xml:space="preserve"> IF( AND( OFFSET($A$1, 173 - 1, 96 - 1) = "1", OFFSET($A$1, 173 - 1, 97 - 1) = "1" ), 1, IF( AND( OFFSET($A$1, 173 - 1, 96 - 1) = "1", OFFSET($A$1, 173 - 1, 97 - 1) = "0" ), 2, IF( AND( OFFSET($A$1, 173 - 1, 96 - 1) = "0", OFFSET($A$1, 173 - 1, 97 - 1) = "1" ), 3, 4 ) ) )</f>
        <v>4</v>
      </c>
      <c r="CV173" s="24">
        <v>0.40612534636207687</v>
      </c>
      <c r="CW173" s="24" t="str">
        <f t="shared" si="12"/>
        <v>1</v>
      </c>
      <c r="CX173" t="str">
        <f ca="1">IF((OFFSET($A$1, 173 - 1, 100 - 1)) &gt;= (OFFSET($A$1, 78 - 1, 7 - 1)), "1","0")</f>
        <v>0</v>
      </c>
      <c r="CY173">
        <f ca="1" xml:space="preserve"> IF( AND( OFFSET($A$1, 173 - 1, 101 - 1) = "1", OFFSET($A$1, 173 - 1, 102 - 1) = "1" ), 1, IF( AND( OFFSET($A$1, 173 - 1, 101 - 1) = "1", OFFSET($A$1, 173 - 1, 102 - 1) = "0" ), 2, IF( AND( OFFSET($A$1, 173 - 1, 101 - 1) = "0", OFFSET($A$1, 173 - 1, 102 - 1) = "1" ), 3, 4 ) ) )</f>
        <v>2</v>
      </c>
    </row>
    <row r="174" spans="95:103" ht="13.8" x14ac:dyDescent="0.3">
      <c r="CQ174" s="24">
        <v>6.4845242709988787E-2</v>
      </c>
      <c r="CR174" s="24" t="str">
        <f>"0"</f>
        <v>0</v>
      </c>
      <c r="CS174" t="str">
        <f ca="1">IF((OFFSET($A$1, 174 - 1, 95 - 1)) &gt;= (OFFSET($A$1, 54 - 1, 7 - 1)), "1","0")</f>
        <v>0</v>
      </c>
      <c r="CT174">
        <f ca="1" xml:space="preserve"> IF( AND( OFFSET($A$1, 174 - 1, 96 - 1) = "1", OFFSET($A$1, 174 - 1, 97 - 1) = "1" ), 1, IF( AND( OFFSET($A$1, 174 - 1, 96 - 1) = "1", OFFSET($A$1, 174 - 1, 97 - 1) = "0" ), 2, IF( AND( OFFSET($A$1, 174 - 1, 96 - 1) = "0", OFFSET($A$1, 174 - 1, 97 - 1) = "1" ), 3, 4 ) ) )</f>
        <v>4</v>
      </c>
      <c r="CV174" s="24">
        <v>0.90384508043495715</v>
      </c>
      <c r="CW174" s="24" t="str">
        <f t="shared" si="12"/>
        <v>1</v>
      </c>
      <c r="CX174" t="str">
        <f ca="1">IF((OFFSET($A$1, 174 - 1, 100 - 1)) &gt;= (OFFSET($A$1, 78 - 1, 7 - 1)), "1","0")</f>
        <v>1</v>
      </c>
      <c r="CY174">
        <f ca="1" xml:space="preserve"> IF( AND( OFFSET($A$1, 174 - 1, 101 - 1) = "1", OFFSET($A$1, 174 - 1, 102 - 1) = "1" ), 1, IF( AND( OFFSET($A$1, 174 - 1, 101 - 1) = "1", OFFSET($A$1, 174 - 1, 102 - 1) = "0" ), 2, IF( AND( OFFSET($A$1, 174 - 1, 101 - 1) = "0", OFFSET($A$1, 174 - 1, 102 - 1) = "1" ), 3, 4 ) ) )</f>
        <v>1</v>
      </c>
    </row>
    <row r="175" spans="95:103" ht="13.8" x14ac:dyDescent="0.3">
      <c r="CQ175" s="24">
        <v>0.10154167874909426</v>
      </c>
      <c r="CR175" s="24" t="str">
        <f>"0"</f>
        <v>0</v>
      </c>
      <c r="CS175" t="str">
        <f ca="1">IF((OFFSET($A$1, 175 - 1, 95 - 1)) &gt;= (OFFSET($A$1, 54 - 1, 7 - 1)), "1","0")</f>
        <v>0</v>
      </c>
      <c r="CT175">
        <f ca="1" xml:space="preserve"> IF( AND( OFFSET($A$1, 175 - 1, 96 - 1) = "1", OFFSET($A$1, 175 - 1, 97 - 1) = "1" ), 1, IF( AND( OFFSET($A$1, 175 - 1, 96 - 1) = "1", OFFSET($A$1, 175 - 1, 97 - 1) = "0" ), 2, IF( AND( OFFSET($A$1, 175 - 1, 96 - 1) = "0", OFFSET($A$1, 175 - 1, 97 - 1) = "1" ), 3, 4 ) ) )</f>
        <v>4</v>
      </c>
      <c r="CV175" s="24">
        <v>0.83332546905757876</v>
      </c>
      <c r="CW175" s="24" t="str">
        <f>"0"</f>
        <v>0</v>
      </c>
      <c r="CX175" t="str">
        <f ca="1">IF((OFFSET($A$1, 175 - 1, 100 - 1)) &gt;= (OFFSET($A$1, 78 - 1, 7 - 1)), "1","0")</f>
        <v>0</v>
      </c>
      <c r="CY175">
        <f ca="1" xml:space="preserve"> IF( AND( OFFSET($A$1, 175 - 1, 101 - 1) = "1", OFFSET($A$1, 175 - 1, 102 - 1) = "1" ), 1, IF( AND( OFFSET($A$1, 175 - 1, 101 - 1) = "1", OFFSET($A$1, 175 - 1, 102 - 1) = "0" ), 2, IF( AND( OFFSET($A$1, 175 - 1, 101 - 1) = "0", OFFSET($A$1, 175 - 1, 102 - 1) = "1" ), 3, 4 ) ) )</f>
        <v>4</v>
      </c>
    </row>
    <row r="176" spans="95:103" ht="13.8" x14ac:dyDescent="0.3">
      <c r="CQ176" s="24">
        <v>1.645651494085679E-2</v>
      </c>
      <c r="CR176" s="24" t="str">
        <f>"0"</f>
        <v>0</v>
      </c>
      <c r="CS176" t="str">
        <f ca="1">IF((OFFSET($A$1, 176 - 1, 95 - 1)) &gt;= (OFFSET($A$1, 54 - 1, 7 - 1)), "1","0")</f>
        <v>0</v>
      </c>
      <c r="CT176">
        <f ca="1" xml:space="preserve"> IF( AND( OFFSET($A$1, 176 - 1, 96 - 1) = "1", OFFSET($A$1, 176 - 1, 97 - 1) = "1" ), 1, IF( AND( OFFSET($A$1, 176 - 1, 96 - 1) = "1", OFFSET($A$1, 176 - 1, 97 - 1) = "0" ), 2, IF( AND( OFFSET($A$1, 176 - 1, 96 - 1) = "0", OFFSET($A$1, 176 - 1, 97 - 1) = "1" ), 3, 4 ) ) )</f>
        <v>4</v>
      </c>
      <c r="CV176" s="24">
        <v>0.98051138649168212</v>
      </c>
      <c r="CW176" s="24" t="str">
        <f>"1"</f>
        <v>1</v>
      </c>
      <c r="CX176" t="str">
        <f ca="1">IF((OFFSET($A$1, 176 - 1, 100 - 1)) &gt;= (OFFSET($A$1, 78 - 1, 7 - 1)), "1","0")</f>
        <v>1</v>
      </c>
      <c r="CY176">
        <f ca="1" xml:space="preserve"> IF( AND( OFFSET($A$1, 176 - 1, 101 - 1) = "1", OFFSET($A$1, 176 - 1, 102 - 1) = "1" ), 1, IF( AND( OFFSET($A$1, 176 - 1, 101 - 1) = "1", OFFSET($A$1, 176 - 1, 102 - 1) = "0" ), 2, IF( AND( OFFSET($A$1, 176 - 1, 101 - 1) = "0", OFFSET($A$1, 176 - 1, 102 - 1) = "1" ), 3, 4 ) ) )</f>
        <v>1</v>
      </c>
    </row>
    <row r="177" spans="95:103" ht="13.8" x14ac:dyDescent="0.3">
      <c r="CQ177" s="24">
        <v>0.77997720891891642</v>
      </c>
      <c r="CR177" s="24" t="str">
        <f t="shared" ref="CR177:CR184" si="13">"1"</f>
        <v>1</v>
      </c>
      <c r="CS177" t="str">
        <f ca="1">IF((OFFSET($A$1, 177 - 1, 95 - 1)) &gt;= (OFFSET($A$1, 54 - 1, 7 - 1)), "1","0")</f>
        <v>0</v>
      </c>
      <c r="CT177">
        <f ca="1" xml:space="preserve"> IF( AND( OFFSET($A$1, 177 - 1, 96 - 1) = "1", OFFSET($A$1, 177 - 1, 97 - 1) = "1" ), 1, IF( AND( OFFSET($A$1, 177 - 1, 96 - 1) = "1", OFFSET($A$1, 177 - 1, 97 - 1) = "0" ), 2, IF( AND( OFFSET($A$1, 177 - 1, 96 - 1) = "0", OFFSET($A$1, 177 - 1, 97 - 1) = "1" ), 3, 4 ) ) )</f>
        <v>2</v>
      </c>
      <c r="CV177" s="24">
        <v>0.99859328249902246</v>
      </c>
      <c r="CW177" s="24" t="str">
        <f>"1"</f>
        <v>1</v>
      </c>
      <c r="CX177" t="str">
        <f ca="1">IF((OFFSET($A$1, 177 - 1, 100 - 1)) &gt;= (OFFSET($A$1, 78 - 1, 7 - 1)), "1","0")</f>
        <v>1</v>
      </c>
      <c r="CY177">
        <f ca="1" xml:space="preserve"> IF( AND( OFFSET($A$1, 177 - 1, 101 - 1) = "1", OFFSET($A$1, 177 - 1, 102 - 1) = "1" ), 1, IF( AND( OFFSET($A$1, 177 - 1, 101 - 1) = "1", OFFSET($A$1, 177 - 1, 102 - 1) = "0" ), 2, IF( AND( OFFSET($A$1, 177 - 1, 101 - 1) = "0", OFFSET($A$1, 177 - 1, 102 - 1) = "1" ), 3, 4 ) ) )</f>
        <v>1</v>
      </c>
    </row>
    <row r="178" spans="95:103" ht="13.8" x14ac:dyDescent="0.3">
      <c r="CQ178" s="24">
        <v>0.87318642680767145</v>
      </c>
      <c r="CR178" s="24" t="str">
        <f t="shared" si="13"/>
        <v>1</v>
      </c>
      <c r="CS178" t="str">
        <f ca="1">IF((OFFSET($A$1, 178 - 1, 95 - 1)) &gt;= (OFFSET($A$1, 54 - 1, 7 - 1)), "1","0")</f>
        <v>0</v>
      </c>
      <c r="CT178">
        <f ca="1" xml:space="preserve"> IF( AND( OFFSET($A$1, 178 - 1, 96 - 1) = "1", OFFSET($A$1, 178 - 1, 97 - 1) = "1" ), 1, IF( AND( OFFSET($A$1, 178 - 1, 96 - 1) = "1", OFFSET($A$1, 178 - 1, 97 - 1) = "0" ), 2, IF( AND( OFFSET($A$1, 178 - 1, 96 - 1) = "0", OFFSET($A$1, 178 - 1, 97 - 1) = "1" ), 3, 4 ) ) )</f>
        <v>2</v>
      </c>
      <c r="CV178" s="24">
        <v>0.87768746748542004</v>
      </c>
      <c r="CW178" s="24" t="str">
        <f>"1"</f>
        <v>1</v>
      </c>
      <c r="CX178" t="str">
        <f ca="1">IF((OFFSET($A$1, 178 - 1, 100 - 1)) &gt;= (OFFSET($A$1, 78 - 1, 7 - 1)), "1","0")</f>
        <v>0</v>
      </c>
      <c r="CY178">
        <f ca="1" xml:space="preserve"> IF( AND( OFFSET($A$1, 178 - 1, 101 - 1) = "1", OFFSET($A$1, 178 - 1, 102 - 1) = "1" ), 1, IF( AND( OFFSET($A$1, 178 - 1, 101 - 1) = "1", OFFSET($A$1, 178 - 1, 102 - 1) = "0" ), 2, IF( AND( OFFSET($A$1, 178 - 1, 101 - 1) = "0", OFFSET($A$1, 178 - 1, 102 - 1) = "1" ), 3, 4 ) ) )</f>
        <v>2</v>
      </c>
    </row>
    <row r="179" spans="95:103" ht="13.8" x14ac:dyDescent="0.3">
      <c r="CQ179" s="24">
        <v>0.89482313895847598</v>
      </c>
      <c r="CR179" s="24" t="str">
        <f t="shared" si="13"/>
        <v>1</v>
      </c>
      <c r="CS179" t="str">
        <f ca="1">IF((OFFSET($A$1, 179 - 1, 95 - 1)) &gt;= (OFFSET($A$1, 54 - 1, 7 - 1)), "1","0")</f>
        <v>0</v>
      </c>
      <c r="CT179">
        <f ca="1" xml:space="preserve"> IF( AND( OFFSET($A$1, 179 - 1, 96 - 1) = "1", OFFSET($A$1, 179 - 1, 97 - 1) = "1" ), 1, IF( AND( OFFSET($A$1, 179 - 1, 96 - 1) = "1", OFFSET($A$1, 179 - 1, 97 - 1) = "0" ), 2, IF( AND( OFFSET($A$1, 179 - 1, 96 - 1) = "0", OFFSET($A$1, 179 - 1, 97 - 1) = "1" ), 3, 4 ) ) )</f>
        <v>2</v>
      </c>
      <c r="CV179" s="24">
        <v>4.0198837182585406E-2</v>
      </c>
      <c r="CW179" s="24" t="str">
        <f>"0"</f>
        <v>0</v>
      </c>
      <c r="CX179" t="str">
        <f ca="1">IF((OFFSET($A$1, 179 - 1, 100 - 1)) &gt;= (OFFSET($A$1, 78 - 1, 7 - 1)), "1","0")</f>
        <v>0</v>
      </c>
      <c r="CY179">
        <f ca="1" xml:space="preserve"> IF( AND( OFFSET($A$1, 179 - 1, 101 - 1) = "1", OFFSET($A$1, 179 - 1, 102 - 1) = "1" ), 1, IF( AND( OFFSET($A$1, 179 - 1, 101 - 1) = "1", OFFSET($A$1, 179 - 1, 102 - 1) = "0" ), 2, IF( AND( OFFSET($A$1, 179 - 1, 101 - 1) = "0", OFFSET($A$1, 179 - 1, 102 - 1) = "1" ), 3, 4 ) ) )</f>
        <v>4</v>
      </c>
    </row>
    <row r="180" spans="95:103" ht="13.8" x14ac:dyDescent="0.3">
      <c r="CQ180" s="24">
        <v>0.92645865518240111</v>
      </c>
      <c r="CR180" s="24" t="str">
        <f t="shared" si="13"/>
        <v>1</v>
      </c>
      <c r="CS180" t="str">
        <f ca="1">IF((OFFSET($A$1, 180 - 1, 95 - 1)) &gt;= (OFFSET($A$1, 54 - 1, 7 - 1)), "1","0")</f>
        <v>0</v>
      </c>
      <c r="CT180">
        <f ca="1" xml:space="preserve"> IF( AND( OFFSET($A$1, 180 - 1, 96 - 1) = "1", OFFSET($A$1, 180 - 1, 97 - 1) = "1" ), 1, IF( AND( OFFSET($A$1, 180 - 1, 96 - 1) = "1", OFFSET($A$1, 180 - 1, 97 - 1) = "0" ), 2, IF( AND( OFFSET($A$1, 180 - 1, 96 - 1) = "0", OFFSET($A$1, 180 - 1, 97 - 1) = "1" ), 3, 4 ) ) )</f>
        <v>2</v>
      </c>
      <c r="CV180" s="24">
        <v>0.16785467813254035</v>
      </c>
      <c r="CW180" s="24" t="str">
        <f>"0"</f>
        <v>0</v>
      </c>
      <c r="CX180" t="str">
        <f ca="1">IF((OFFSET($A$1, 180 - 1, 100 - 1)) &gt;= (OFFSET($A$1, 78 - 1, 7 - 1)), "1","0")</f>
        <v>0</v>
      </c>
      <c r="CY180">
        <f ca="1" xml:space="preserve"> IF( AND( OFFSET($A$1, 180 - 1, 101 - 1) = "1", OFFSET($A$1, 180 - 1, 102 - 1) = "1" ), 1, IF( AND( OFFSET($A$1, 180 - 1, 101 - 1) = "1", OFFSET($A$1, 180 - 1, 102 - 1) = "0" ), 2, IF( AND( OFFSET($A$1, 180 - 1, 101 - 1) = "0", OFFSET($A$1, 180 - 1, 102 - 1) = "1" ), 3, 4 ) ) )</f>
        <v>4</v>
      </c>
    </row>
    <row r="181" spans="95:103" ht="13.8" x14ac:dyDescent="0.3">
      <c r="CQ181" s="24">
        <v>0.87197594133565615</v>
      </c>
      <c r="CR181" s="24" t="str">
        <f t="shared" si="13"/>
        <v>1</v>
      </c>
      <c r="CS181" t="str">
        <f ca="1">IF((OFFSET($A$1, 181 - 1, 95 - 1)) &gt;= (OFFSET($A$1, 54 - 1, 7 - 1)), "1","0")</f>
        <v>0</v>
      </c>
      <c r="CT181">
        <f ca="1" xml:space="preserve"> IF( AND( OFFSET($A$1, 181 - 1, 96 - 1) = "1", OFFSET($A$1, 181 - 1, 97 - 1) = "1" ), 1, IF( AND( OFFSET($A$1, 181 - 1, 96 - 1) = "1", OFFSET($A$1, 181 - 1, 97 - 1) = "0" ), 2, IF( AND( OFFSET($A$1, 181 - 1, 96 - 1) = "0", OFFSET($A$1, 181 - 1, 97 - 1) = "1" ), 3, 4 ) ) )</f>
        <v>2</v>
      </c>
      <c r="CV181" s="24">
        <v>0.25899959092109859</v>
      </c>
      <c r="CW181" s="24" t="str">
        <f>"0"</f>
        <v>0</v>
      </c>
      <c r="CX181" t="str">
        <f ca="1">IF((OFFSET($A$1, 181 - 1, 100 - 1)) &gt;= (OFFSET($A$1, 78 - 1, 7 - 1)), "1","0")</f>
        <v>0</v>
      </c>
      <c r="CY181">
        <f ca="1" xml:space="preserve"> IF( AND( OFFSET($A$1, 181 - 1, 101 - 1) = "1", OFFSET($A$1, 181 - 1, 102 - 1) = "1" ), 1, IF( AND( OFFSET($A$1, 181 - 1, 101 - 1) = "1", OFFSET($A$1, 181 - 1, 102 - 1) = "0" ), 2, IF( AND( OFFSET($A$1, 181 - 1, 101 - 1) = "0", OFFSET($A$1, 181 - 1, 102 - 1) = "1" ), 3, 4 ) ) )</f>
        <v>4</v>
      </c>
    </row>
    <row r="182" spans="95:103" ht="13.8" x14ac:dyDescent="0.3">
      <c r="CQ182" s="24">
        <v>0.85525499316130216</v>
      </c>
      <c r="CR182" s="24" t="str">
        <f t="shared" si="13"/>
        <v>1</v>
      </c>
      <c r="CS182" t="str">
        <f ca="1">IF((OFFSET($A$1, 182 - 1, 95 - 1)) &gt;= (OFFSET($A$1, 54 - 1, 7 - 1)), "1","0")</f>
        <v>0</v>
      </c>
      <c r="CT182">
        <f ca="1" xml:space="preserve"> IF( AND( OFFSET($A$1, 182 - 1, 96 - 1) = "1", OFFSET($A$1, 182 - 1, 97 - 1) = "1" ), 1, IF( AND( OFFSET($A$1, 182 - 1, 96 - 1) = "1", OFFSET($A$1, 182 - 1, 97 - 1) = "0" ), 2, IF( AND( OFFSET($A$1, 182 - 1, 96 - 1) = "0", OFFSET($A$1, 182 - 1, 97 - 1) = "1" ), 3, 4 ) ) )</f>
        <v>2</v>
      </c>
      <c r="CV182" s="24">
        <v>0.99853561988372808</v>
      </c>
      <c r="CW182" s="24" t="str">
        <f>"0"</f>
        <v>0</v>
      </c>
      <c r="CX182" t="str">
        <f ca="1">IF((OFFSET($A$1, 182 - 1, 100 - 1)) &gt;= (OFFSET($A$1, 78 - 1, 7 - 1)), "1","0")</f>
        <v>1</v>
      </c>
      <c r="CY182">
        <f ca="1" xml:space="preserve"> IF( AND( OFFSET($A$1, 182 - 1, 101 - 1) = "1", OFFSET($A$1, 182 - 1, 102 - 1) = "1" ), 1, IF( AND( OFFSET($A$1, 182 - 1, 101 - 1) = "1", OFFSET($A$1, 182 - 1, 102 - 1) = "0" ), 2, IF( AND( OFFSET($A$1, 182 - 1, 101 - 1) = "0", OFFSET($A$1, 182 - 1, 102 - 1) = "1" ), 3, 4 ) ) )</f>
        <v>3</v>
      </c>
    </row>
    <row r="183" spans="95:103" ht="13.8" x14ac:dyDescent="0.3">
      <c r="CQ183" s="24">
        <v>0.9971672389974261</v>
      </c>
      <c r="CR183" s="24" t="str">
        <f t="shared" si="13"/>
        <v>1</v>
      </c>
      <c r="CS183" t="str">
        <f ca="1">IF((OFFSET($A$1, 183 - 1, 95 - 1)) &gt;= (OFFSET($A$1, 54 - 1, 7 - 1)), "1","0")</f>
        <v>1</v>
      </c>
      <c r="CT183">
        <f ca="1" xml:space="preserve"> IF( AND( OFFSET($A$1, 183 - 1, 96 - 1) = "1", OFFSET($A$1, 183 - 1, 97 - 1) = "1" ), 1, IF( AND( OFFSET($A$1, 183 - 1, 96 - 1) = "1", OFFSET($A$1, 183 - 1, 97 - 1) = "0" ), 2, IF( AND( OFFSET($A$1, 183 - 1, 96 - 1) = "0", OFFSET($A$1, 183 - 1, 97 - 1) = "1" ), 3, 4 ) ) )</f>
        <v>1</v>
      </c>
      <c r="CV183" s="24">
        <v>0.90928541280900255</v>
      </c>
      <c r="CW183" s="24" t="str">
        <f>"1"</f>
        <v>1</v>
      </c>
      <c r="CX183" t="str">
        <f ca="1">IF((OFFSET($A$1, 183 - 1, 100 - 1)) &gt;= (OFFSET($A$1, 78 - 1, 7 - 1)), "1","0")</f>
        <v>1</v>
      </c>
      <c r="CY183">
        <f ca="1" xml:space="preserve"> IF( AND( OFFSET($A$1, 183 - 1, 101 - 1) = "1", OFFSET($A$1, 183 - 1, 102 - 1) = "1" ), 1, IF( AND( OFFSET($A$1, 183 - 1, 101 - 1) = "1", OFFSET($A$1, 183 - 1, 102 - 1) = "0" ), 2, IF( AND( OFFSET($A$1, 183 - 1, 101 - 1) = "0", OFFSET($A$1, 183 - 1, 102 - 1) = "1" ), 3, 4 ) ) )</f>
        <v>1</v>
      </c>
    </row>
    <row r="184" spans="95:103" ht="13.8" x14ac:dyDescent="0.3">
      <c r="CQ184" s="24">
        <v>0.9901010800242267</v>
      </c>
      <c r="CR184" s="24" t="str">
        <f t="shared" si="13"/>
        <v>1</v>
      </c>
      <c r="CS184" t="str">
        <f ca="1">IF((OFFSET($A$1, 184 - 1, 95 - 1)) &gt;= (OFFSET($A$1, 54 - 1, 7 - 1)), "1","0")</f>
        <v>1</v>
      </c>
      <c r="CT184">
        <f ca="1" xml:space="preserve"> IF( AND( OFFSET($A$1, 184 - 1, 96 - 1) = "1", OFFSET($A$1, 184 - 1, 97 - 1) = "1" ), 1, IF( AND( OFFSET($A$1, 184 - 1, 96 - 1) = "1", OFFSET($A$1, 184 - 1, 97 - 1) = "0" ), 2, IF( AND( OFFSET($A$1, 184 - 1, 96 - 1) = "0", OFFSET($A$1, 184 - 1, 97 - 1) = "1" ), 3, 4 ) ) )</f>
        <v>1</v>
      </c>
      <c r="CV184" s="24">
        <v>0.93962671414520527</v>
      </c>
      <c r="CW184" s="24" t="str">
        <f>"1"</f>
        <v>1</v>
      </c>
      <c r="CX184" t="str">
        <f ca="1">IF((OFFSET($A$1, 184 - 1, 100 - 1)) &gt;= (OFFSET($A$1, 78 - 1, 7 - 1)), "1","0")</f>
        <v>1</v>
      </c>
      <c r="CY184">
        <f ca="1" xml:space="preserve"> IF( AND( OFFSET($A$1, 184 - 1, 101 - 1) = "1", OFFSET($A$1, 184 - 1, 102 - 1) = "1" ), 1, IF( AND( OFFSET($A$1, 184 - 1, 101 - 1) = "1", OFFSET($A$1, 184 - 1, 102 - 1) = "0" ), 2, IF( AND( OFFSET($A$1, 184 - 1, 101 - 1) = "0", OFFSET($A$1, 184 - 1, 102 - 1) = "1" ), 3, 4 ) ) )</f>
        <v>1</v>
      </c>
    </row>
    <row r="185" spans="95:103" ht="13.8" x14ac:dyDescent="0.3">
      <c r="CQ185" s="24">
        <v>1.4189777329224424E-2</v>
      </c>
      <c r="CR185" s="24" t="str">
        <f>"0"</f>
        <v>0</v>
      </c>
      <c r="CS185" t="str">
        <f ca="1">IF((OFFSET($A$1, 185 - 1, 95 - 1)) &gt;= (OFFSET($A$1, 54 - 1, 7 - 1)), "1","0")</f>
        <v>0</v>
      </c>
      <c r="CT185">
        <f ca="1" xml:space="preserve"> IF( AND( OFFSET($A$1, 185 - 1, 96 - 1) = "1", OFFSET($A$1, 185 - 1, 97 - 1) = "1" ), 1, IF( AND( OFFSET($A$1, 185 - 1, 96 - 1) = "1", OFFSET($A$1, 185 - 1, 97 - 1) = "0" ), 2, IF( AND( OFFSET($A$1, 185 - 1, 96 - 1) = "0", OFFSET($A$1, 185 - 1, 97 - 1) = "1" ), 3, 4 ) ) )</f>
        <v>4</v>
      </c>
      <c r="CV185" s="24">
        <v>0.58603870522342238</v>
      </c>
      <c r="CW185" s="24" t="str">
        <f>"0"</f>
        <v>0</v>
      </c>
      <c r="CX185" t="str">
        <f ca="1">IF((OFFSET($A$1, 185 - 1, 100 - 1)) &gt;= (OFFSET($A$1, 78 - 1, 7 - 1)), "1","0")</f>
        <v>0</v>
      </c>
      <c r="CY185">
        <f ca="1" xml:space="preserve"> IF( AND( OFFSET($A$1, 185 - 1, 101 - 1) = "1", OFFSET($A$1, 185 - 1, 102 - 1) = "1" ), 1, IF( AND( OFFSET($A$1, 185 - 1, 101 - 1) = "1", OFFSET($A$1, 185 - 1, 102 - 1) = "0" ), 2, IF( AND( OFFSET($A$1, 185 - 1, 101 - 1) = "0", OFFSET($A$1, 185 - 1, 102 - 1) = "1" ), 3, 4 ) ) )</f>
        <v>4</v>
      </c>
    </row>
    <row r="186" spans="95:103" ht="13.8" x14ac:dyDescent="0.3">
      <c r="CQ186" s="24">
        <v>0.99998548562035938</v>
      </c>
      <c r="CR186" s="24" t="str">
        <f>"1"</f>
        <v>1</v>
      </c>
      <c r="CS186" t="str">
        <f ca="1">IF((OFFSET($A$1, 186 - 1, 95 - 1)) &gt;= (OFFSET($A$1, 54 - 1, 7 - 1)), "1","0")</f>
        <v>1</v>
      </c>
      <c r="CT186">
        <f ca="1" xml:space="preserve"> IF( AND( OFFSET($A$1, 186 - 1, 96 - 1) = "1", OFFSET($A$1, 186 - 1, 97 - 1) = "1" ), 1, IF( AND( OFFSET($A$1, 186 - 1, 96 - 1) = "1", OFFSET($A$1, 186 - 1, 97 - 1) = "0" ), 2, IF( AND( OFFSET($A$1, 186 - 1, 96 - 1) = "0", OFFSET($A$1, 186 - 1, 97 - 1) = "1" ), 3, 4 ) ) )</f>
        <v>1</v>
      </c>
      <c r="CV186" s="24">
        <v>0.99976307290303268</v>
      </c>
      <c r="CW186" s="24" t="str">
        <f>"1"</f>
        <v>1</v>
      </c>
      <c r="CX186" t="str">
        <f ca="1">IF((OFFSET($A$1, 186 - 1, 100 - 1)) &gt;= (OFFSET($A$1, 78 - 1, 7 - 1)), "1","0")</f>
        <v>1</v>
      </c>
      <c r="CY186">
        <f ca="1" xml:space="preserve"> IF( AND( OFFSET($A$1, 186 - 1, 101 - 1) = "1", OFFSET($A$1, 186 - 1, 102 - 1) = "1" ), 1, IF( AND( OFFSET($A$1, 186 - 1, 101 - 1) = "1", OFFSET($A$1, 186 - 1, 102 - 1) = "0" ), 2, IF( AND( OFFSET($A$1, 186 - 1, 101 - 1) = "0", OFFSET($A$1, 186 - 1, 102 - 1) = "1" ), 3, 4 ) ) )</f>
        <v>1</v>
      </c>
    </row>
    <row r="187" spans="95:103" ht="13.8" x14ac:dyDescent="0.3">
      <c r="CQ187" s="24">
        <v>0.95755148337220175</v>
      </c>
      <c r="CR187" s="24" t="str">
        <f>"1"</f>
        <v>1</v>
      </c>
      <c r="CS187" t="str">
        <f ca="1">IF((OFFSET($A$1, 187 - 1, 95 - 1)) &gt;= (OFFSET($A$1, 54 - 1, 7 - 1)), "1","0")</f>
        <v>0</v>
      </c>
      <c r="CT187">
        <f ca="1" xml:space="preserve"> IF( AND( OFFSET($A$1, 187 - 1, 96 - 1) = "1", OFFSET($A$1, 187 - 1, 97 - 1) = "1" ), 1, IF( AND( OFFSET($A$1, 187 - 1, 96 - 1) = "1", OFFSET($A$1, 187 - 1, 97 - 1) = "0" ), 2, IF( AND( OFFSET($A$1, 187 - 1, 96 - 1) = "0", OFFSET($A$1, 187 - 1, 97 - 1) = "1" ), 3, 4 ) ) )</f>
        <v>2</v>
      </c>
      <c r="CV187" s="24">
        <v>1.0350215928094755E-2</v>
      </c>
      <c r="CW187" s="24" t="str">
        <f>"0"</f>
        <v>0</v>
      </c>
      <c r="CX187" t="str">
        <f ca="1">IF((OFFSET($A$1, 187 - 1, 100 - 1)) &gt;= (OFFSET($A$1, 78 - 1, 7 - 1)), "1","0")</f>
        <v>0</v>
      </c>
      <c r="CY187">
        <f ca="1" xml:space="preserve"> IF( AND( OFFSET($A$1, 187 - 1, 101 - 1) = "1", OFFSET($A$1, 187 - 1, 102 - 1) = "1" ), 1, IF( AND( OFFSET($A$1, 187 - 1, 101 - 1) = "1", OFFSET($A$1, 187 - 1, 102 - 1) = "0" ), 2, IF( AND( OFFSET($A$1, 187 - 1, 101 - 1) = "0", OFFSET($A$1, 187 - 1, 102 - 1) = "1" ), 3, 4 ) ) )</f>
        <v>4</v>
      </c>
    </row>
    <row r="188" spans="95:103" ht="13.8" x14ac:dyDescent="0.3">
      <c r="CQ188" s="24">
        <v>0.99111194742679509</v>
      </c>
      <c r="CR188" s="24" t="str">
        <f>"1"</f>
        <v>1</v>
      </c>
      <c r="CS188" t="str">
        <f ca="1">IF((OFFSET($A$1, 188 - 1, 95 - 1)) &gt;= (OFFSET($A$1, 54 - 1, 7 - 1)), "1","0")</f>
        <v>1</v>
      </c>
      <c r="CT188">
        <f ca="1" xml:space="preserve"> IF( AND( OFFSET($A$1, 188 - 1, 96 - 1) = "1", OFFSET($A$1, 188 - 1, 97 - 1) = "1" ), 1, IF( AND( OFFSET($A$1, 188 - 1, 96 - 1) = "1", OFFSET($A$1, 188 - 1, 97 - 1) = "0" ), 2, IF( AND( OFFSET($A$1, 188 - 1, 96 - 1) = "0", OFFSET($A$1, 188 - 1, 97 - 1) = "1" ), 3, 4 ) ) )</f>
        <v>1</v>
      </c>
      <c r="CV188" s="24">
        <v>0.86895783884263489</v>
      </c>
      <c r="CW188" s="24" t="str">
        <f>"1"</f>
        <v>1</v>
      </c>
      <c r="CX188" t="str">
        <f ca="1">IF((OFFSET($A$1, 188 - 1, 100 - 1)) &gt;= (OFFSET($A$1, 78 - 1, 7 - 1)), "1","0")</f>
        <v>0</v>
      </c>
      <c r="CY188">
        <f ca="1" xml:space="preserve"> IF( AND( OFFSET($A$1, 188 - 1, 101 - 1) = "1", OFFSET($A$1, 188 - 1, 102 - 1) = "1" ), 1, IF( AND( OFFSET($A$1, 188 - 1, 101 - 1) = "1", OFFSET($A$1, 188 - 1, 102 - 1) = "0" ), 2, IF( AND( OFFSET($A$1, 188 - 1, 101 - 1) = "0", OFFSET($A$1, 188 - 1, 102 - 1) = "1" ), 3, 4 ) ) )</f>
        <v>2</v>
      </c>
    </row>
    <row r="189" spans="95:103" ht="13.8" x14ac:dyDescent="0.3">
      <c r="CQ189" s="24">
        <v>1.4422601130574678E-2</v>
      </c>
      <c r="CR189" s="24" t="str">
        <f>"0"</f>
        <v>0</v>
      </c>
      <c r="CS189" t="str">
        <f ca="1">IF((OFFSET($A$1, 189 - 1, 95 - 1)) &gt;= (OFFSET($A$1, 54 - 1, 7 - 1)), "1","0")</f>
        <v>0</v>
      </c>
      <c r="CT189">
        <f ca="1" xml:space="preserve"> IF( AND( OFFSET($A$1, 189 - 1, 96 - 1) = "1", OFFSET($A$1, 189 - 1, 97 - 1) = "1" ), 1, IF( AND( OFFSET($A$1, 189 - 1, 96 - 1) = "1", OFFSET($A$1, 189 - 1, 97 - 1) = "0" ), 2, IF( AND( OFFSET($A$1, 189 - 1, 96 - 1) = "0", OFFSET($A$1, 189 - 1, 97 - 1) = "1" ), 3, 4 ) ) )</f>
        <v>4</v>
      </c>
      <c r="CV189" s="24">
        <v>0.9983201772247875</v>
      </c>
      <c r="CW189" s="24" t="str">
        <f>"1"</f>
        <v>1</v>
      </c>
      <c r="CX189" t="str">
        <f ca="1">IF((OFFSET($A$1, 189 - 1, 100 - 1)) &gt;= (OFFSET($A$1, 78 - 1, 7 - 1)), "1","0")</f>
        <v>1</v>
      </c>
      <c r="CY189">
        <f ca="1" xml:space="preserve"> IF( AND( OFFSET($A$1, 189 - 1, 101 - 1) = "1", OFFSET($A$1, 189 - 1, 102 - 1) = "1" ), 1, IF( AND( OFFSET($A$1, 189 - 1, 101 - 1) = "1", OFFSET($A$1, 189 - 1, 102 - 1) = "0" ), 2, IF( AND( OFFSET($A$1, 189 - 1, 101 - 1) = "0", OFFSET($A$1, 189 - 1, 102 - 1) = "1" ), 3, 4 ) ) )</f>
        <v>1</v>
      </c>
    </row>
    <row r="190" spans="95:103" ht="13.8" x14ac:dyDescent="0.3">
      <c r="CQ190" s="24">
        <v>0.85483749901013084</v>
      </c>
      <c r="CR190" s="24" t="str">
        <f>"1"</f>
        <v>1</v>
      </c>
      <c r="CS190" t="str">
        <f ca="1">IF((OFFSET($A$1, 190 - 1, 95 - 1)) &gt;= (OFFSET($A$1, 54 - 1, 7 - 1)), "1","0")</f>
        <v>0</v>
      </c>
      <c r="CT190">
        <f ca="1" xml:space="preserve"> IF( AND( OFFSET($A$1, 190 - 1, 96 - 1) = "1", OFFSET($A$1, 190 - 1, 97 - 1) = "1" ), 1, IF( AND( OFFSET($A$1, 190 - 1, 96 - 1) = "1", OFFSET($A$1, 190 - 1, 97 - 1) = "0" ), 2, IF( AND( OFFSET($A$1, 190 - 1, 96 - 1) = "0", OFFSET($A$1, 190 - 1, 97 - 1) = "1" ), 3, 4 ) ) )</f>
        <v>2</v>
      </c>
      <c r="CV190" s="24">
        <v>0.95102149384962098</v>
      </c>
      <c r="CW190" s="24" t="str">
        <f>"1"</f>
        <v>1</v>
      </c>
      <c r="CX190" t="str">
        <f ca="1">IF((OFFSET($A$1, 190 - 1, 100 - 1)) &gt;= (OFFSET($A$1, 78 - 1, 7 - 1)), "1","0")</f>
        <v>1</v>
      </c>
      <c r="CY190">
        <f ca="1" xml:space="preserve"> IF( AND( OFFSET($A$1, 190 - 1, 101 - 1) = "1", OFFSET($A$1, 190 - 1, 102 - 1) = "1" ), 1, IF( AND( OFFSET($A$1, 190 - 1, 101 - 1) = "1", OFFSET($A$1, 190 - 1, 102 - 1) = "0" ), 2, IF( AND( OFFSET($A$1, 190 - 1, 101 - 1) = "0", OFFSET($A$1, 190 - 1, 102 - 1) = "1" ), 3, 4 ) ) )</f>
        <v>1</v>
      </c>
    </row>
    <row r="191" spans="95:103" ht="13.8" x14ac:dyDescent="0.3">
      <c r="CQ191" s="24">
        <v>0.99900277189747277</v>
      </c>
      <c r="CR191" s="24" t="str">
        <f>"1"</f>
        <v>1</v>
      </c>
      <c r="CS191" t="str">
        <f ca="1">IF((OFFSET($A$1, 191 - 1, 95 - 1)) &gt;= (OFFSET($A$1, 54 - 1, 7 - 1)), "1","0")</f>
        <v>1</v>
      </c>
      <c r="CT191">
        <f ca="1" xml:space="preserve"> IF( AND( OFFSET($A$1, 191 - 1, 96 - 1) = "1", OFFSET($A$1, 191 - 1, 97 - 1) = "1" ), 1, IF( AND( OFFSET($A$1, 191 - 1, 96 - 1) = "1", OFFSET($A$1, 191 - 1, 97 - 1) = "0" ), 2, IF( AND( OFFSET($A$1, 191 - 1, 96 - 1) = "0", OFFSET($A$1, 191 - 1, 97 - 1) = "1" ), 3, 4 ) ) )</f>
        <v>1</v>
      </c>
      <c r="CV191" s="24">
        <v>0.75659374627958509</v>
      </c>
      <c r="CW191" s="24" t="str">
        <f>"1"</f>
        <v>1</v>
      </c>
      <c r="CX191" t="str">
        <f ca="1">IF((OFFSET($A$1, 191 - 1, 100 - 1)) &gt;= (OFFSET($A$1, 78 - 1, 7 - 1)), "1","0")</f>
        <v>0</v>
      </c>
      <c r="CY191">
        <f ca="1" xml:space="preserve"> IF( AND( OFFSET($A$1, 191 - 1, 101 - 1) = "1", OFFSET($A$1, 191 - 1, 102 - 1) = "1" ), 1, IF( AND( OFFSET($A$1, 191 - 1, 101 - 1) = "1", OFFSET($A$1, 191 - 1, 102 - 1) = "0" ), 2, IF( AND( OFFSET($A$1, 191 - 1, 101 - 1) = "0", OFFSET($A$1, 191 - 1, 102 - 1) = "1" ), 3, 4 ) ) )</f>
        <v>2</v>
      </c>
    </row>
    <row r="192" spans="95:103" ht="13.8" x14ac:dyDescent="0.3">
      <c r="CQ192" s="24">
        <v>0.98820884496931405</v>
      </c>
      <c r="CR192" s="24" t="str">
        <f>"1"</f>
        <v>1</v>
      </c>
      <c r="CS192" t="str">
        <f ca="1">IF((OFFSET($A$1, 192 - 1, 95 - 1)) &gt;= (OFFSET($A$1, 54 - 1, 7 - 1)), "1","0")</f>
        <v>1</v>
      </c>
      <c r="CT192">
        <f ca="1" xml:space="preserve"> IF( AND( OFFSET($A$1, 192 - 1, 96 - 1) = "1", OFFSET($A$1, 192 - 1, 97 - 1) = "1" ), 1, IF( AND( OFFSET($A$1, 192 - 1, 96 - 1) = "1", OFFSET($A$1, 192 - 1, 97 - 1) = "0" ), 2, IF( AND( OFFSET($A$1, 192 - 1, 96 - 1) = "0", OFFSET($A$1, 192 - 1, 97 - 1) = "1" ), 3, 4 ) ) )</f>
        <v>1</v>
      </c>
      <c r="CV192" s="24">
        <v>0.97957505419287771</v>
      </c>
      <c r="CW192" s="24" t="str">
        <f>"1"</f>
        <v>1</v>
      </c>
      <c r="CX192" t="str">
        <f ca="1">IF((OFFSET($A$1, 192 - 1, 100 - 1)) &gt;= (OFFSET($A$1, 78 - 1, 7 - 1)), "1","0")</f>
        <v>1</v>
      </c>
      <c r="CY192">
        <f ca="1" xml:space="preserve"> IF( AND( OFFSET($A$1, 192 - 1, 101 - 1) = "1", OFFSET($A$1, 192 - 1, 102 - 1) = "1" ), 1, IF( AND( OFFSET($A$1, 192 - 1, 101 - 1) = "1", OFFSET($A$1, 192 - 1, 102 - 1) = "0" ), 2, IF( AND( OFFSET($A$1, 192 - 1, 101 - 1) = "0", OFFSET($A$1, 192 - 1, 102 - 1) = "1" ), 3, 4 ) ) )</f>
        <v>1</v>
      </c>
    </row>
    <row r="193" spans="95:103" ht="13.8" x14ac:dyDescent="0.3">
      <c r="CQ193" s="24">
        <v>3.3479680577571578E-3</v>
      </c>
      <c r="CR193" s="24" t="str">
        <f>"0"</f>
        <v>0</v>
      </c>
      <c r="CS193" t="str">
        <f ca="1">IF((OFFSET($A$1, 193 - 1, 95 - 1)) &gt;= (OFFSET($A$1, 54 - 1, 7 - 1)), "1","0")</f>
        <v>0</v>
      </c>
      <c r="CT193">
        <f ca="1" xml:space="preserve"> IF( AND( OFFSET($A$1, 193 - 1, 96 - 1) = "1", OFFSET($A$1, 193 - 1, 97 - 1) = "1" ), 1, IF( AND( OFFSET($A$1, 193 - 1, 96 - 1) = "1", OFFSET($A$1, 193 - 1, 97 - 1) = "0" ), 2, IF( AND( OFFSET($A$1, 193 - 1, 96 - 1) = "0", OFFSET($A$1, 193 - 1, 97 - 1) = "1" ), 3, 4 ) ) )</f>
        <v>4</v>
      </c>
      <c r="CV193" s="24">
        <v>0.19942918221051151</v>
      </c>
      <c r="CW193" s="24" t="str">
        <f>"0"</f>
        <v>0</v>
      </c>
      <c r="CX193" t="str">
        <f ca="1">IF((OFFSET($A$1, 193 - 1, 100 - 1)) &gt;= (OFFSET($A$1, 78 - 1, 7 - 1)), "1","0")</f>
        <v>0</v>
      </c>
      <c r="CY193">
        <f ca="1" xml:space="preserve"> IF( AND( OFFSET($A$1, 193 - 1, 101 - 1) = "1", OFFSET($A$1, 193 - 1, 102 - 1) = "1" ), 1, IF( AND( OFFSET($A$1, 193 - 1, 101 - 1) = "1", OFFSET($A$1, 193 - 1, 102 - 1) = "0" ), 2, IF( AND( OFFSET($A$1, 193 - 1, 101 - 1) = "0", OFFSET($A$1, 193 - 1, 102 - 1) = "1" ), 3, 4 ) ) )</f>
        <v>4</v>
      </c>
    </row>
    <row r="194" spans="95:103" ht="13.8" x14ac:dyDescent="0.3">
      <c r="CQ194" s="24">
        <v>8.5485048531103516E-2</v>
      </c>
      <c r="CR194" s="24" t="str">
        <f>"0"</f>
        <v>0</v>
      </c>
      <c r="CS194" t="str">
        <f ca="1">IF((OFFSET($A$1, 194 - 1, 95 - 1)) &gt;= (OFFSET($A$1, 54 - 1, 7 - 1)), "1","0")</f>
        <v>0</v>
      </c>
      <c r="CT194">
        <f ca="1" xml:space="preserve"> IF( AND( OFFSET($A$1, 194 - 1, 96 - 1) = "1", OFFSET($A$1, 194 - 1, 97 - 1) = "1" ), 1, IF( AND( OFFSET($A$1, 194 - 1, 96 - 1) = "1", OFFSET($A$1, 194 - 1, 97 - 1) = "0" ), 2, IF( AND( OFFSET($A$1, 194 - 1, 96 - 1) = "0", OFFSET($A$1, 194 - 1, 97 - 1) = "1" ), 3, 4 ) ) )</f>
        <v>4</v>
      </c>
      <c r="CV194" s="24">
        <v>0.99186750543341251</v>
      </c>
      <c r="CW194" s="24" t="str">
        <f>"0"</f>
        <v>0</v>
      </c>
      <c r="CX194" t="str">
        <f ca="1">IF((OFFSET($A$1, 194 - 1, 100 - 1)) &gt;= (OFFSET($A$1, 78 - 1, 7 - 1)), "1","0")</f>
        <v>1</v>
      </c>
      <c r="CY194">
        <f ca="1" xml:space="preserve"> IF( AND( OFFSET($A$1, 194 - 1, 101 - 1) = "1", OFFSET($A$1, 194 - 1, 102 - 1) = "1" ), 1, IF( AND( OFFSET($A$1, 194 - 1, 101 - 1) = "1", OFFSET($A$1, 194 - 1, 102 - 1) = "0" ), 2, IF( AND( OFFSET($A$1, 194 - 1, 101 - 1) = "0", OFFSET($A$1, 194 - 1, 102 - 1) = "1" ), 3, 4 ) ) )</f>
        <v>3</v>
      </c>
    </row>
    <row r="195" spans="95:103" ht="13.8" x14ac:dyDescent="0.3">
      <c r="CQ195" s="24">
        <v>0.99753936329862969</v>
      </c>
      <c r="CR195" s="24" t="str">
        <f t="shared" ref="CR195:CR206" si="14">"1"</f>
        <v>1</v>
      </c>
      <c r="CS195" t="str">
        <f ca="1">IF((OFFSET($A$1, 195 - 1, 95 - 1)) &gt;= (OFFSET($A$1, 54 - 1, 7 - 1)), "1","0")</f>
        <v>1</v>
      </c>
      <c r="CT195">
        <f ca="1" xml:space="preserve"> IF( AND( OFFSET($A$1, 195 - 1, 96 - 1) = "1", OFFSET($A$1, 195 - 1, 97 - 1) = "1" ), 1, IF( AND( OFFSET($A$1, 195 - 1, 96 - 1) = "1", OFFSET($A$1, 195 - 1, 97 - 1) = "0" ), 2, IF( AND( OFFSET($A$1, 195 - 1, 96 - 1) = "0", OFFSET($A$1, 195 - 1, 97 - 1) = "1" ), 3, 4 ) ) )</f>
        <v>1</v>
      </c>
      <c r="CV195" s="24">
        <v>0.3418491211657595</v>
      </c>
      <c r="CW195" s="24" t="str">
        <f>"1"</f>
        <v>1</v>
      </c>
      <c r="CX195" t="str">
        <f ca="1">IF((OFFSET($A$1, 195 - 1, 100 - 1)) &gt;= (OFFSET($A$1, 78 - 1, 7 - 1)), "1","0")</f>
        <v>0</v>
      </c>
      <c r="CY195">
        <f ca="1" xml:space="preserve"> IF( AND( OFFSET($A$1, 195 - 1, 101 - 1) = "1", OFFSET($A$1, 195 - 1, 102 - 1) = "1" ), 1, IF( AND( OFFSET($A$1, 195 - 1, 101 - 1) = "1", OFFSET($A$1, 195 - 1, 102 - 1) = "0" ), 2, IF( AND( OFFSET($A$1, 195 - 1, 101 - 1) = "0", OFFSET($A$1, 195 - 1, 102 - 1) = "1" ), 3, 4 ) ) )</f>
        <v>2</v>
      </c>
    </row>
    <row r="196" spans="95:103" ht="13.8" x14ac:dyDescent="0.3">
      <c r="CQ196" s="24">
        <v>0.97388978737144993</v>
      </c>
      <c r="CR196" s="24" t="str">
        <f t="shared" si="14"/>
        <v>1</v>
      </c>
      <c r="CS196" t="str">
        <f ca="1">IF((OFFSET($A$1, 196 - 1, 95 - 1)) &gt;= (OFFSET($A$1, 54 - 1, 7 - 1)), "1","0")</f>
        <v>1</v>
      </c>
      <c r="CT196">
        <f ca="1" xml:space="preserve"> IF( AND( OFFSET($A$1, 196 - 1, 96 - 1) = "1", OFFSET($A$1, 196 - 1, 97 - 1) = "1" ), 1, IF( AND( OFFSET($A$1, 196 - 1, 96 - 1) = "1", OFFSET($A$1, 196 - 1, 97 - 1) = "0" ), 2, IF( AND( OFFSET($A$1, 196 - 1, 96 - 1) = "0", OFFSET($A$1, 196 - 1, 97 - 1) = "1" ), 3, 4 ) ) )</f>
        <v>1</v>
      </c>
      <c r="CV196" s="24">
        <v>0.99391619450416124</v>
      </c>
      <c r="CW196" s="24" t="str">
        <f>"1"</f>
        <v>1</v>
      </c>
      <c r="CX196" t="str">
        <f ca="1">IF((OFFSET($A$1, 196 - 1, 100 - 1)) &gt;= (OFFSET($A$1, 78 - 1, 7 - 1)), "1","0")</f>
        <v>1</v>
      </c>
      <c r="CY196">
        <f ca="1" xml:space="preserve"> IF( AND( OFFSET($A$1, 196 - 1, 101 - 1) = "1", OFFSET($A$1, 196 - 1, 102 - 1) = "1" ), 1, IF( AND( OFFSET($A$1, 196 - 1, 101 - 1) = "1", OFFSET($A$1, 196 - 1, 102 - 1) = "0" ), 2, IF( AND( OFFSET($A$1, 196 - 1, 101 - 1) = "0", OFFSET($A$1, 196 - 1, 102 - 1) = "1" ), 3, 4 ) ) )</f>
        <v>1</v>
      </c>
    </row>
    <row r="197" spans="95:103" ht="13.8" x14ac:dyDescent="0.3">
      <c r="CQ197" s="24">
        <v>0.98137285835889743</v>
      </c>
      <c r="CR197" s="24" t="str">
        <f t="shared" si="14"/>
        <v>1</v>
      </c>
      <c r="CS197" t="str">
        <f ca="1">IF((OFFSET($A$1, 197 - 1, 95 - 1)) &gt;= (OFFSET($A$1, 54 - 1, 7 - 1)), "1","0")</f>
        <v>1</v>
      </c>
      <c r="CT197">
        <f ca="1" xml:space="preserve"> IF( AND( OFFSET($A$1, 197 - 1, 96 - 1) = "1", OFFSET($A$1, 197 - 1, 97 - 1) = "1" ), 1, IF( AND( OFFSET($A$1, 197 - 1, 96 - 1) = "1", OFFSET($A$1, 197 - 1, 97 - 1) = "0" ), 2, IF( AND( OFFSET($A$1, 197 - 1, 96 - 1) = "0", OFFSET($A$1, 197 - 1, 97 - 1) = "1" ), 3, 4 ) ) )</f>
        <v>1</v>
      </c>
      <c r="CV197" s="24">
        <v>0.37582332857787604</v>
      </c>
      <c r="CW197" s="24" t="str">
        <f>"0"</f>
        <v>0</v>
      </c>
      <c r="CX197" t="str">
        <f ca="1">IF((OFFSET($A$1, 197 - 1, 100 - 1)) &gt;= (OFFSET($A$1, 78 - 1, 7 - 1)), "1","0")</f>
        <v>0</v>
      </c>
      <c r="CY197">
        <f ca="1" xml:space="preserve"> IF( AND( OFFSET($A$1, 197 - 1, 101 - 1) = "1", OFFSET($A$1, 197 - 1, 102 - 1) = "1" ), 1, IF( AND( OFFSET($A$1, 197 - 1, 101 - 1) = "1", OFFSET($A$1, 197 - 1, 102 - 1) = "0" ), 2, IF( AND( OFFSET($A$1, 197 - 1, 101 - 1) = "0", OFFSET($A$1, 197 - 1, 102 - 1) = "1" ), 3, 4 ) ) )</f>
        <v>4</v>
      </c>
    </row>
    <row r="198" spans="95:103" ht="13.8" x14ac:dyDescent="0.3">
      <c r="CQ198" s="24">
        <v>0.98367374429573418</v>
      </c>
      <c r="CR198" s="24" t="str">
        <f t="shared" si="14"/>
        <v>1</v>
      </c>
      <c r="CS198" t="str">
        <f ca="1">IF((OFFSET($A$1, 198 - 1, 95 - 1)) &gt;= (OFFSET($A$1, 54 - 1, 7 - 1)), "1","0")</f>
        <v>1</v>
      </c>
      <c r="CT198">
        <f ca="1" xml:space="preserve"> IF( AND( OFFSET($A$1, 198 - 1, 96 - 1) = "1", OFFSET($A$1, 198 - 1, 97 - 1) = "1" ), 1, IF( AND( OFFSET($A$1, 198 - 1, 96 - 1) = "1", OFFSET($A$1, 198 - 1, 97 - 1) = "0" ), 2, IF( AND( OFFSET($A$1, 198 - 1, 96 - 1) = "0", OFFSET($A$1, 198 - 1, 97 - 1) = "1" ), 3, 4 ) ) )</f>
        <v>1</v>
      </c>
      <c r="CV198" s="24">
        <v>0.9960132286239981</v>
      </c>
      <c r="CW198" s="24" t="str">
        <f>"1"</f>
        <v>1</v>
      </c>
      <c r="CX198" t="str">
        <f ca="1">IF((OFFSET($A$1, 198 - 1, 100 - 1)) &gt;= (OFFSET($A$1, 78 - 1, 7 - 1)), "1","0")</f>
        <v>1</v>
      </c>
      <c r="CY198">
        <f ca="1" xml:space="preserve"> IF( AND( OFFSET($A$1, 198 - 1, 101 - 1) = "1", OFFSET($A$1, 198 - 1, 102 - 1) = "1" ), 1, IF( AND( OFFSET($A$1, 198 - 1, 101 - 1) = "1", OFFSET($A$1, 198 - 1, 102 - 1) = "0" ), 2, IF( AND( OFFSET($A$1, 198 - 1, 101 - 1) = "0", OFFSET($A$1, 198 - 1, 102 - 1) = "1" ), 3, 4 ) ) )</f>
        <v>1</v>
      </c>
    </row>
    <row r="199" spans="95:103" ht="13.8" x14ac:dyDescent="0.3">
      <c r="CQ199" s="24">
        <v>0.99601179320270161</v>
      </c>
      <c r="CR199" s="24" t="str">
        <f t="shared" si="14"/>
        <v>1</v>
      </c>
      <c r="CS199" t="str">
        <f ca="1">IF((OFFSET($A$1, 199 - 1, 95 - 1)) &gt;= (OFFSET($A$1, 54 - 1, 7 - 1)), "1","0")</f>
        <v>1</v>
      </c>
      <c r="CT199">
        <f ca="1" xml:space="preserve"> IF( AND( OFFSET($A$1, 199 - 1, 96 - 1) = "1", OFFSET($A$1, 199 - 1, 97 - 1) = "1" ), 1, IF( AND( OFFSET($A$1, 199 - 1, 96 - 1) = "1", OFFSET($A$1, 199 - 1, 97 - 1) = "0" ), 2, IF( AND( OFFSET($A$1, 199 - 1, 96 - 1) = "0", OFFSET($A$1, 199 - 1, 97 - 1) = "1" ), 3, 4 ) ) )</f>
        <v>1</v>
      </c>
      <c r="CV199" s="24">
        <v>0.5715773251760341</v>
      </c>
      <c r="CW199" s="24" t="str">
        <f>"0"</f>
        <v>0</v>
      </c>
      <c r="CX199" t="str">
        <f ca="1">IF((OFFSET($A$1, 199 - 1, 100 - 1)) &gt;= (OFFSET($A$1, 78 - 1, 7 - 1)), "1","0")</f>
        <v>0</v>
      </c>
      <c r="CY199">
        <f ca="1" xml:space="preserve"> IF( AND( OFFSET($A$1, 199 - 1, 101 - 1) = "1", OFFSET($A$1, 199 - 1, 102 - 1) = "1" ), 1, IF( AND( OFFSET($A$1, 199 - 1, 101 - 1) = "1", OFFSET($A$1, 199 - 1, 102 - 1) = "0" ), 2, IF( AND( OFFSET($A$1, 199 - 1, 101 - 1) = "0", OFFSET($A$1, 199 - 1, 102 - 1) = "1" ), 3, 4 ) ) )</f>
        <v>4</v>
      </c>
    </row>
    <row r="200" spans="95:103" ht="13.8" x14ac:dyDescent="0.3">
      <c r="CQ200" s="24">
        <v>0.97098629559952276</v>
      </c>
      <c r="CR200" s="24" t="str">
        <f t="shared" si="14"/>
        <v>1</v>
      </c>
      <c r="CS200" t="str">
        <f ca="1">IF((OFFSET($A$1, 200 - 1, 95 - 1)) &gt;= (OFFSET($A$1, 54 - 1, 7 - 1)), "1","0")</f>
        <v>1</v>
      </c>
      <c r="CT200">
        <f ca="1" xml:space="preserve"> IF( AND( OFFSET($A$1, 200 - 1, 96 - 1) = "1", OFFSET($A$1, 200 - 1, 97 - 1) = "1" ), 1, IF( AND( OFFSET($A$1, 200 - 1, 96 - 1) = "1", OFFSET($A$1, 200 - 1, 97 - 1) = "0" ), 2, IF( AND( OFFSET($A$1, 200 - 1, 96 - 1) = "0", OFFSET($A$1, 200 - 1, 97 - 1) = "1" ), 3, 4 ) ) )</f>
        <v>1</v>
      </c>
      <c r="CV200" s="24">
        <v>0.66922286656585384</v>
      </c>
      <c r="CW200" s="24" t="str">
        <f>"1"</f>
        <v>1</v>
      </c>
      <c r="CX200" t="str">
        <f ca="1">IF((OFFSET($A$1, 200 - 1, 100 - 1)) &gt;= (OFFSET($A$1, 78 - 1, 7 - 1)), "1","0")</f>
        <v>0</v>
      </c>
      <c r="CY200">
        <f ca="1" xml:space="preserve"> IF( AND( OFFSET($A$1, 200 - 1, 101 - 1) = "1", OFFSET($A$1, 200 - 1, 102 - 1) = "1" ), 1, IF( AND( OFFSET($A$1, 200 - 1, 101 - 1) = "1", OFFSET($A$1, 200 - 1, 102 - 1) = "0" ), 2, IF( AND( OFFSET($A$1, 200 - 1, 101 - 1) = "0", OFFSET($A$1, 200 - 1, 102 - 1) = "1" ), 3, 4 ) ) )</f>
        <v>2</v>
      </c>
    </row>
    <row r="201" spans="95:103" ht="13.8" x14ac:dyDescent="0.3">
      <c r="CQ201" s="24">
        <v>0.94210126062182165</v>
      </c>
      <c r="CR201" s="24" t="str">
        <f t="shared" si="14"/>
        <v>1</v>
      </c>
      <c r="CS201" t="str">
        <f ca="1">IF((OFFSET($A$1, 201 - 1, 95 - 1)) &gt;= (OFFSET($A$1, 54 - 1, 7 - 1)), "1","0")</f>
        <v>0</v>
      </c>
      <c r="CT201">
        <f ca="1" xml:space="preserve"> IF( AND( OFFSET($A$1, 201 - 1, 96 - 1) = "1", OFFSET($A$1, 201 - 1, 97 - 1) = "1" ), 1, IF( AND( OFFSET($A$1, 201 - 1, 96 - 1) = "1", OFFSET($A$1, 201 - 1, 97 - 1) = "0" ), 2, IF( AND( OFFSET($A$1, 201 - 1, 96 - 1) = "0", OFFSET($A$1, 201 - 1, 97 - 1) = "1" ), 3, 4 ) ) )</f>
        <v>2</v>
      </c>
      <c r="CV201" s="24">
        <v>0.80319076747461526</v>
      </c>
      <c r="CW201" s="24" t="str">
        <f>"1"</f>
        <v>1</v>
      </c>
      <c r="CX201" t="str">
        <f ca="1">IF((OFFSET($A$1, 201 - 1, 100 - 1)) &gt;= (OFFSET($A$1, 78 - 1, 7 - 1)), "1","0")</f>
        <v>0</v>
      </c>
      <c r="CY201">
        <f ca="1" xml:space="preserve"> IF( AND( OFFSET($A$1, 201 - 1, 101 - 1) = "1", OFFSET($A$1, 201 - 1, 102 - 1) = "1" ), 1, IF( AND( OFFSET($A$1, 201 - 1, 101 - 1) = "1", OFFSET($A$1, 201 - 1, 102 - 1) = "0" ), 2, IF( AND( OFFSET($A$1, 201 - 1, 101 - 1) = "0", OFFSET($A$1, 201 - 1, 102 - 1) = "1" ), 3, 4 ) ) )</f>
        <v>2</v>
      </c>
    </row>
    <row r="202" spans="95:103" ht="13.8" x14ac:dyDescent="0.3">
      <c r="CQ202" s="24">
        <v>0.9972393792803006</v>
      </c>
      <c r="CR202" s="24" t="str">
        <f t="shared" si="14"/>
        <v>1</v>
      </c>
      <c r="CS202" t="str">
        <f ca="1">IF((OFFSET($A$1, 202 - 1, 95 - 1)) &gt;= (OFFSET($A$1, 54 - 1, 7 - 1)), "1","0")</f>
        <v>1</v>
      </c>
      <c r="CT202">
        <f ca="1" xml:space="preserve"> IF( AND( OFFSET($A$1, 202 - 1, 96 - 1) = "1", OFFSET($A$1, 202 - 1, 97 - 1) = "1" ), 1, IF( AND( OFFSET($A$1, 202 - 1, 96 - 1) = "1", OFFSET($A$1, 202 - 1, 97 - 1) = "0" ), 2, IF( AND( OFFSET($A$1, 202 - 1, 96 - 1) = "0", OFFSET($A$1, 202 - 1, 97 - 1) = "1" ), 3, 4 ) ) )</f>
        <v>1</v>
      </c>
      <c r="CV202" s="24">
        <v>5.5895728151387825E-2</v>
      </c>
      <c r="CW202" s="24" t="str">
        <f>"0"</f>
        <v>0</v>
      </c>
      <c r="CX202" t="str">
        <f ca="1">IF((OFFSET($A$1, 202 - 1, 100 - 1)) &gt;= (OFFSET($A$1, 78 - 1, 7 - 1)), "1","0")</f>
        <v>0</v>
      </c>
      <c r="CY202">
        <f ca="1" xml:space="preserve"> IF( AND( OFFSET($A$1, 202 - 1, 101 - 1) = "1", OFFSET($A$1, 202 - 1, 102 - 1) = "1" ), 1, IF( AND( OFFSET($A$1, 202 - 1, 101 - 1) = "1", OFFSET($A$1, 202 - 1, 102 - 1) = "0" ), 2, IF( AND( OFFSET($A$1, 202 - 1, 101 - 1) = "0", OFFSET($A$1, 202 - 1, 102 - 1) = "1" ), 3, 4 ) ) )</f>
        <v>4</v>
      </c>
    </row>
    <row r="203" spans="95:103" ht="13.8" x14ac:dyDescent="0.3">
      <c r="CQ203" s="24">
        <v>0.85586200787982003</v>
      </c>
      <c r="CR203" s="24" t="str">
        <f t="shared" si="14"/>
        <v>1</v>
      </c>
      <c r="CS203" t="str">
        <f ca="1">IF((OFFSET($A$1, 203 - 1, 95 - 1)) &gt;= (OFFSET($A$1, 54 - 1, 7 - 1)), "1","0")</f>
        <v>0</v>
      </c>
      <c r="CT203">
        <f ca="1" xml:space="preserve"> IF( AND( OFFSET($A$1, 203 - 1, 96 - 1) = "1", OFFSET($A$1, 203 - 1, 97 - 1) = "1" ), 1, IF( AND( OFFSET($A$1, 203 - 1, 96 - 1) = "1", OFFSET($A$1, 203 - 1, 97 - 1) = "0" ), 2, IF( AND( OFFSET($A$1, 203 - 1, 96 - 1) = "0", OFFSET($A$1, 203 - 1, 97 - 1) = "1" ), 3, 4 ) ) )</f>
        <v>2</v>
      </c>
      <c r="CV203" s="24">
        <v>0.96679771483793897</v>
      </c>
      <c r="CW203" s="24" t="str">
        <f>"1"</f>
        <v>1</v>
      </c>
      <c r="CX203" t="str">
        <f ca="1">IF((OFFSET($A$1, 203 - 1, 100 - 1)) &gt;= (OFFSET($A$1, 78 - 1, 7 - 1)), "1","0")</f>
        <v>1</v>
      </c>
      <c r="CY203">
        <f ca="1" xml:space="preserve"> IF( AND( OFFSET($A$1, 203 - 1, 101 - 1) = "1", OFFSET($A$1, 203 - 1, 102 - 1) = "1" ), 1, IF( AND( OFFSET($A$1, 203 - 1, 101 - 1) = "1", OFFSET($A$1, 203 - 1, 102 - 1) = "0" ), 2, IF( AND( OFFSET($A$1, 203 - 1, 101 - 1) = "0", OFFSET($A$1, 203 - 1, 102 - 1) = "1" ), 3, 4 ) ) )</f>
        <v>1</v>
      </c>
    </row>
    <row r="204" spans="95:103" ht="13.8" x14ac:dyDescent="0.3">
      <c r="CQ204" s="24">
        <v>0.97082626440552455</v>
      </c>
      <c r="CR204" s="24" t="str">
        <f t="shared" si="14"/>
        <v>1</v>
      </c>
      <c r="CS204" t="str">
        <f ca="1">IF((OFFSET($A$1, 204 - 1, 95 - 1)) &gt;= (OFFSET($A$1, 54 - 1, 7 - 1)), "1","0")</f>
        <v>1</v>
      </c>
      <c r="CT204">
        <f ca="1" xml:space="preserve"> IF( AND( OFFSET($A$1, 204 - 1, 96 - 1) = "1", OFFSET($A$1, 204 - 1, 97 - 1) = "1" ), 1, IF( AND( OFFSET($A$1, 204 - 1, 96 - 1) = "1", OFFSET($A$1, 204 - 1, 97 - 1) = "0" ), 2, IF( AND( OFFSET($A$1, 204 - 1, 96 - 1) = "0", OFFSET($A$1, 204 - 1, 97 - 1) = "1" ), 3, 4 ) ) )</f>
        <v>1</v>
      </c>
      <c r="CV204" s="24">
        <v>0.99650621276162843</v>
      </c>
      <c r="CW204" s="24" t="str">
        <f>"1"</f>
        <v>1</v>
      </c>
      <c r="CX204" t="str">
        <f ca="1">IF((OFFSET($A$1, 204 - 1, 100 - 1)) &gt;= (OFFSET($A$1, 78 - 1, 7 - 1)), "1","0")</f>
        <v>1</v>
      </c>
      <c r="CY204">
        <f ca="1" xml:space="preserve"> IF( AND( OFFSET($A$1, 204 - 1, 101 - 1) = "1", OFFSET($A$1, 204 - 1, 102 - 1) = "1" ), 1, IF( AND( OFFSET($A$1, 204 - 1, 101 - 1) = "1", OFFSET($A$1, 204 - 1, 102 - 1) = "0" ), 2, IF( AND( OFFSET($A$1, 204 - 1, 101 - 1) = "0", OFFSET($A$1, 204 - 1, 102 - 1) = "1" ), 3, 4 ) ) )</f>
        <v>1</v>
      </c>
    </row>
    <row r="205" spans="95:103" ht="13.8" x14ac:dyDescent="0.3">
      <c r="CQ205" s="24">
        <v>0.93476288026926946</v>
      </c>
      <c r="CR205" s="24" t="str">
        <f t="shared" si="14"/>
        <v>1</v>
      </c>
      <c r="CS205" t="str">
        <f ca="1">IF((OFFSET($A$1, 205 - 1, 95 - 1)) &gt;= (OFFSET($A$1, 54 - 1, 7 - 1)), "1","0")</f>
        <v>0</v>
      </c>
      <c r="CT205">
        <f ca="1" xml:space="preserve"> IF( AND( OFFSET($A$1, 205 - 1, 96 - 1) = "1", OFFSET($A$1, 205 - 1, 97 - 1) = "1" ), 1, IF( AND( OFFSET($A$1, 205 - 1, 96 - 1) = "1", OFFSET($A$1, 205 - 1, 97 - 1) = "0" ), 2, IF( AND( OFFSET($A$1, 205 - 1, 96 - 1) = "0", OFFSET($A$1, 205 - 1, 97 - 1) = "1" ), 3, 4 ) ) )</f>
        <v>2</v>
      </c>
      <c r="CV205" s="24">
        <v>0.99730166763404005</v>
      </c>
      <c r="CW205" s="24" t="str">
        <f>"1"</f>
        <v>1</v>
      </c>
      <c r="CX205" t="str">
        <f ca="1">IF((OFFSET($A$1, 205 - 1, 100 - 1)) &gt;= (OFFSET($A$1, 78 - 1, 7 - 1)), "1","0")</f>
        <v>1</v>
      </c>
      <c r="CY205">
        <f ca="1" xml:space="preserve"> IF( AND( OFFSET($A$1, 205 - 1, 101 - 1) = "1", OFFSET($A$1, 205 - 1, 102 - 1) = "1" ), 1, IF( AND( OFFSET($A$1, 205 - 1, 101 - 1) = "1", OFFSET($A$1, 205 - 1, 102 - 1) = "0" ), 2, IF( AND( OFFSET($A$1, 205 - 1, 101 - 1) = "0", OFFSET($A$1, 205 - 1, 102 - 1) = "1" ), 3, 4 ) ) )</f>
        <v>1</v>
      </c>
    </row>
    <row r="206" spans="95:103" ht="13.8" x14ac:dyDescent="0.3">
      <c r="CQ206" s="24">
        <v>0.85020249029362482</v>
      </c>
      <c r="CR206" s="24" t="str">
        <f t="shared" si="14"/>
        <v>1</v>
      </c>
      <c r="CS206" t="str">
        <f ca="1">IF((OFFSET($A$1, 206 - 1, 95 - 1)) &gt;= (OFFSET($A$1, 54 - 1, 7 - 1)), "1","0")</f>
        <v>0</v>
      </c>
      <c r="CT206">
        <f ca="1" xml:space="preserve"> IF( AND( OFFSET($A$1, 206 - 1, 96 - 1) = "1", OFFSET($A$1, 206 - 1, 97 - 1) = "1" ), 1, IF( AND( OFFSET($A$1, 206 - 1, 96 - 1) = "1", OFFSET($A$1, 206 - 1, 97 - 1) = "0" ), 2, IF( AND( OFFSET($A$1, 206 - 1, 96 - 1) = "0", OFFSET($A$1, 206 - 1, 97 - 1) = "1" ), 3, 4 ) ) )</f>
        <v>2</v>
      </c>
      <c r="CV206" s="24">
        <v>0.99149529937771008</v>
      </c>
      <c r="CW206" s="24" t="str">
        <f>"1"</f>
        <v>1</v>
      </c>
      <c r="CX206" t="str">
        <f ca="1">IF((OFFSET($A$1, 206 - 1, 100 - 1)) &gt;= (OFFSET($A$1, 78 - 1, 7 - 1)), "1","0")</f>
        <v>1</v>
      </c>
      <c r="CY206">
        <f ca="1" xml:space="preserve"> IF( AND( OFFSET($A$1, 206 - 1, 101 - 1) = "1", OFFSET($A$1, 206 - 1, 102 - 1) = "1" ), 1, IF( AND( OFFSET($A$1, 206 - 1, 101 - 1) = "1", OFFSET($A$1, 206 - 1, 102 - 1) = "0" ), 2, IF( AND( OFFSET($A$1, 206 - 1, 101 - 1) = "0", OFFSET($A$1, 206 - 1, 102 - 1) = "1" ), 3, 4 ) ) )</f>
        <v>1</v>
      </c>
    </row>
    <row r="207" spans="95:103" ht="13.8" x14ac:dyDescent="0.3">
      <c r="CQ207" s="24">
        <v>5.3413913434760617E-2</v>
      </c>
      <c r="CR207" s="24" t="str">
        <f>"0"</f>
        <v>0</v>
      </c>
      <c r="CS207" t="str">
        <f ca="1">IF((OFFSET($A$1, 207 - 1, 95 - 1)) &gt;= (OFFSET($A$1, 54 - 1, 7 - 1)), "1","0")</f>
        <v>0</v>
      </c>
      <c r="CT207">
        <f ca="1" xml:space="preserve"> IF( AND( OFFSET($A$1, 207 - 1, 96 - 1) = "1", OFFSET($A$1, 207 - 1, 97 - 1) = "1" ), 1, IF( AND( OFFSET($A$1, 207 - 1, 96 - 1) = "1", OFFSET($A$1, 207 - 1, 97 - 1) = "0" ), 2, IF( AND( OFFSET($A$1, 207 - 1, 96 - 1) = "0", OFFSET($A$1, 207 - 1, 97 - 1) = "1" ), 3, 4 ) ) )</f>
        <v>4</v>
      </c>
      <c r="CV207" s="24">
        <v>0.12159943712299009</v>
      </c>
      <c r="CW207" s="24" t="str">
        <f>"0"</f>
        <v>0</v>
      </c>
      <c r="CX207" t="str">
        <f ca="1">IF((OFFSET($A$1, 207 - 1, 100 - 1)) &gt;= (OFFSET($A$1, 78 - 1, 7 - 1)), "1","0")</f>
        <v>0</v>
      </c>
      <c r="CY207">
        <f ca="1" xml:space="preserve"> IF( AND( OFFSET($A$1, 207 - 1, 101 - 1) = "1", OFFSET($A$1, 207 - 1, 102 - 1) = "1" ), 1, IF( AND( OFFSET($A$1, 207 - 1, 101 - 1) = "1", OFFSET($A$1, 207 - 1, 102 - 1) = "0" ), 2, IF( AND( OFFSET($A$1, 207 - 1, 101 - 1) = "0", OFFSET($A$1, 207 - 1, 102 - 1) = "1" ), 3, 4 ) ) )</f>
        <v>4</v>
      </c>
    </row>
    <row r="208" spans="95:103" ht="13.8" x14ac:dyDescent="0.3">
      <c r="CQ208" s="24">
        <v>0.99999753969307459</v>
      </c>
      <c r="CR208" s="24" t="str">
        <f t="shared" ref="CR208:CR213" si="15">"1"</f>
        <v>1</v>
      </c>
      <c r="CS208" t="str">
        <f ca="1">IF((OFFSET($A$1, 208 - 1, 95 - 1)) &gt;= (OFFSET($A$1, 54 - 1, 7 - 1)), "1","0")</f>
        <v>1</v>
      </c>
      <c r="CT208">
        <f ca="1" xml:space="preserve"> IF( AND( OFFSET($A$1, 208 - 1, 96 - 1) = "1", OFFSET($A$1, 208 - 1, 97 - 1) = "1" ), 1, IF( AND( OFFSET($A$1, 208 - 1, 96 - 1) = "1", OFFSET($A$1, 208 - 1, 97 - 1) = "0" ), 2, IF( AND( OFFSET($A$1, 208 - 1, 96 - 1) = "0", OFFSET($A$1, 208 - 1, 97 - 1) = "1" ), 3, 4 ) ) )</f>
        <v>1</v>
      </c>
      <c r="CV208" s="24">
        <v>0.85210511819656465</v>
      </c>
      <c r="CW208" s="24" t="str">
        <f t="shared" ref="CW208:CW213" si="16">"1"</f>
        <v>1</v>
      </c>
      <c r="CX208" t="str">
        <f ca="1">IF((OFFSET($A$1, 208 - 1, 100 - 1)) &gt;= (OFFSET($A$1, 78 - 1, 7 - 1)), "1","0")</f>
        <v>0</v>
      </c>
      <c r="CY208">
        <f ca="1" xml:space="preserve"> IF( AND( OFFSET($A$1, 208 - 1, 101 - 1) = "1", OFFSET($A$1, 208 - 1, 102 - 1) = "1" ), 1, IF( AND( OFFSET($A$1, 208 - 1, 101 - 1) = "1", OFFSET($A$1, 208 - 1, 102 - 1) = "0" ), 2, IF( AND( OFFSET($A$1, 208 - 1, 101 - 1) = "0", OFFSET($A$1, 208 - 1, 102 - 1) = "1" ), 3, 4 ) ) )</f>
        <v>2</v>
      </c>
    </row>
    <row r="209" spans="95:103" ht="13.8" x14ac:dyDescent="0.3">
      <c r="CQ209" s="24">
        <v>0.95022022932706152</v>
      </c>
      <c r="CR209" s="24" t="str">
        <f t="shared" si="15"/>
        <v>1</v>
      </c>
      <c r="CS209" t="str">
        <f ca="1">IF((OFFSET($A$1, 209 - 1, 95 - 1)) &gt;= (OFFSET($A$1, 54 - 1, 7 - 1)), "1","0")</f>
        <v>0</v>
      </c>
      <c r="CT209">
        <f ca="1" xml:space="preserve"> IF( AND( OFFSET($A$1, 209 - 1, 96 - 1) = "1", OFFSET($A$1, 209 - 1, 97 - 1) = "1" ), 1, IF( AND( OFFSET($A$1, 209 - 1, 96 - 1) = "1", OFFSET($A$1, 209 - 1, 97 - 1) = "0" ), 2, IF( AND( OFFSET($A$1, 209 - 1, 96 - 1) = "0", OFFSET($A$1, 209 - 1, 97 - 1) = "1" ), 3, 4 ) ) )</f>
        <v>2</v>
      </c>
      <c r="CV209" s="24">
        <v>9.4120001423592028E-3</v>
      </c>
      <c r="CW209" s="24" t="str">
        <f t="shared" si="16"/>
        <v>1</v>
      </c>
      <c r="CX209" t="str">
        <f ca="1">IF((OFFSET($A$1, 209 - 1, 100 - 1)) &gt;= (OFFSET($A$1, 78 - 1, 7 - 1)), "1","0")</f>
        <v>0</v>
      </c>
      <c r="CY209">
        <f ca="1" xml:space="preserve"> IF( AND( OFFSET($A$1, 209 - 1, 101 - 1) = "1", OFFSET($A$1, 209 - 1, 102 - 1) = "1" ), 1, IF( AND( OFFSET($A$1, 209 - 1, 101 - 1) = "1", OFFSET($A$1, 209 - 1, 102 - 1) = "0" ), 2, IF( AND( OFFSET($A$1, 209 - 1, 101 - 1) = "0", OFFSET($A$1, 209 - 1, 102 - 1) = "1" ), 3, 4 ) ) )</f>
        <v>2</v>
      </c>
    </row>
    <row r="210" spans="95:103" ht="13.8" x14ac:dyDescent="0.3">
      <c r="CQ210" s="24">
        <v>0.94222204040399016</v>
      </c>
      <c r="CR210" s="24" t="str">
        <f t="shared" si="15"/>
        <v>1</v>
      </c>
      <c r="CS210" t="str">
        <f ca="1">IF((OFFSET($A$1, 210 - 1, 95 - 1)) &gt;= (OFFSET($A$1, 54 - 1, 7 - 1)), "1","0")</f>
        <v>0</v>
      </c>
      <c r="CT210">
        <f ca="1" xml:space="preserve"> IF( AND( OFFSET($A$1, 210 - 1, 96 - 1) = "1", OFFSET($A$1, 210 - 1, 97 - 1) = "1" ), 1, IF( AND( OFFSET($A$1, 210 - 1, 96 - 1) = "1", OFFSET($A$1, 210 - 1, 97 - 1) = "0" ), 2, IF( AND( OFFSET($A$1, 210 - 1, 96 - 1) = "0", OFFSET($A$1, 210 - 1, 97 - 1) = "1" ), 3, 4 ) ) )</f>
        <v>2</v>
      </c>
      <c r="CV210" s="24">
        <v>0.98002223072829631</v>
      </c>
      <c r="CW210" s="24" t="str">
        <f t="shared" si="16"/>
        <v>1</v>
      </c>
      <c r="CX210" t="str">
        <f ca="1">IF((OFFSET($A$1, 210 - 1, 100 - 1)) &gt;= (OFFSET($A$1, 78 - 1, 7 - 1)), "1","0")</f>
        <v>1</v>
      </c>
      <c r="CY210">
        <f ca="1" xml:space="preserve"> IF( AND( OFFSET($A$1, 210 - 1, 101 - 1) = "1", OFFSET($A$1, 210 - 1, 102 - 1) = "1" ), 1, IF( AND( OFFSET($A$1, 210 - 1, 101 - 1) = "1", OFFSET($A$1, 210 - 1, 102 - 1) = "0" ), 2, IF( AND( OFFSET($A$1, 210 - 1, 101 - 1) = "0", OFFSET($A$1, 210 - 1, 102 - 1) = "1" ), 3, 4 ) ) )</f>
        <v>1</v>
      </c>
    </row>
    <row r="211" spans="95:103" ht="13.8" x14ac:dyDescent="0.3">
      <c r="CQ211" s="24">
        <v>0.88650600839429317</v>
      </c>
      <c r="CR211" s="24" t="str">
        <f t="shared" si="15"/>
        <v>1</v>
      </c>
      <c r="CS211" t="str">
        <f ca="1">IF((OFFSET($A$1, 211 - 1, 95 - 1)) &gt;= (OFFSET($A$1, 54 - 1, 7 - 1)), "1","0")</f>
        <v>0</v>
      </c>
      <c r="CT211">
        <f ca="1" xml:space="preserve"> IF( AND( OFFSET($A$1, 211 - 1, 96 - 1) = "1", OFFSET($A$1, 211 - 1, 97 - 1) = "1" ), 1, IF( AND( OFFSET($A$1, 211 - 1, 96 - 1) = "1", OFFSET($A$1, 211 - 1, 97 - 1) = "0" ), 2, IF( AND( OFFSET($A$1, 211 - 1, 96 - 1) = "0", OFFSET($A$1, 211 - 1, 97 - 1) = "1" ), 3, 4 ) ) )</f>
        <v>2</v>
      </c>
      <c r="CV211" s="24">
        <v>0.99854008656255711</v>
      </c>
      <c r="CW211" s="24" t="str">
        <f t="shared" si="16"/>
        <v>1</v>
      </c>
      <c r="CX211" t="str">
        <f ca="1">IF((OFFSET($A$1, 211 - 1, 100 - 1)) &gt;= (OFFSET($A$1, 78 - 1, 7 - 1)), "1","0")</f>
        <v>1</v>
      </c>
      <c r="CY211">
        <f ca="1" xml:space="preserve"> IF( AND( OFFSET($A$1, 211 - 1, 101 - 1) = "1", OFFSET($A$1, 211 - 1, 102 - 1) = "1" ), 1, IF( AND( OFFSET($A$1, 211 - 1, 101 - 1) = "1", OFFSET($A$1, 211 - 1, 102 - 1) = "0" ), 2, IF( AND( OFFSET($A$1, 211 - 1, 101 - 1) = "0", OFFSET($A$1, 211 - 1, 102 - 1) = "1" ), 3, 4 ) ) )</f>
        <v>1</v>
      </c>
    </row>
    <row r="212" spans="95:103" ht="13.8" x14ac:dyDescent="0.3">
      <c r="CQ212" s="24">
        <v>0.86946847536976613</v>
      </c>
      <c r="CR212" s="24" t="str">
        <f t="shared" si="15"/>
        <v>1</v>
      </c>
      <c r="CS212" t="str">
        <f ca="1">IF((OFFSET($A$1, 212 - 1, 95 - 1)) &gt;= (OFFSET($A$1, 54 - 1, 7 - 1)), "1","0")</f>
        <v>0</v>
      </c>
      <c r="CT212">
        <f ca="1" xml:space="preserve"> IF( AND( OFFSET($A$1, 212 - 1, 96 - 1) = "1", OFFSET($A$1, 212 - 1, 97 - 1) = "1" ), 1, IF( AND( OFFSET($A$1, 212 - 1, 96 - 1) = "1", OFFSET($A$1, 212 - 1, 97 - 1) = "0" ), 2, IF( AND( OFFSET($A$1, 212 - 1, 96 - 1) = "0", OFFSET($A$1, 212 - 1, 97 - 1) = "1" ), 3, 4 ) ) )</f>
        <v>2</v>
      </c>
      <c r="CV212" s="24">
        <v>0.99977818493278703</v>
      </c>
      <c r="CW212" s="24" t="str">
        <f t="shared" si="16"/>
        <v>1</v>
      </c>
      <c r="CX212" t="str">
        <f ca="1">IF((OFFSET($A$1, 212 - 1, 100 - 1)) &gt;= (OFFSET($A$1, 78 - 1, 7 - 1)), "1","0")</f>
        <v>1</v>
      </c>
      <c r="CY212">
        <f ca="1" xml:space="preserve"> IF( AND( OFFSET($A$1, 212 - 1, 101 - 1) = "1", OFFSET($A$1, 212 - 1, 102 - 1) = "1" ), 1, IF( AND( OFFSET($A$1, 212 - 1, 101 - 1) = "1", OFFSET($A$1, 212 - 1, 102 - 1) = "0" ), 2, IF( AND( OFFSET($A$1, 212 - 1, 101 - 1) = "0", OFFSET($A$1, 212 - 1, 102 - 1) = "1" ), 3, 4 ) ) )</f>
        <v>1</v>
      </c>
    </row>
    <row r="213" spans="95:103" ht="13.8" x14ac:dyDescent="0.3">
      <c r="CQ213" s="24">
        <v>0.99901023646444231</v>
      </c>
      <c r="CR213" s="24" t="str">
        <f t="shared" si="15"/>
        <v>1</v>
      </c>
      <c r="CS213" t="str">
        <f ca="1">IF((OFFSET($A$1, 213 - 1, 95 - 1)) &gt;= (OFFSET($A$1, 54 - 1, 7 - 1)), "1","0")</f>
        <v>1</v>
      </c>
      <c r="CT213">
        <f ca="1" xml:space="preserve"> IF( AND( OFFSET($A$1, 213 - 1, 96 - 1) = "1", OFFSET($A$1, 213 - 1, 97 - 1) = "1" ), 1, IF( AND( OFFSET($A$1, 213 - 1, 96 - 1) = "1", OFFSET($A$1, 213 - 1, 97 - 1) = "0" ), 2, IF( AND( OFFSET($A$1, 213 - 1, 96 - 1) = "0", OFFSET($A$1, 213 - 1, 97 - 1) = "1" ), 3, 4 ) ) )</f>
        <v>1</v>
      </c>
      <c r="CV213" s="24">
        <v>0.69674078789810345</v>
      </c>
      <c r="CW213" s="24" t="str">
        <f t="shared" si="16"/>
        <v>1</v>
      </c>
      <c r="CX213" t="str">
        <f ca="1">IF((OFFSET($A$1, 213 - 1, 100 - 1)) &gt;= (OFFSET($A$1, 78 - 1, 7 - 1)), "1","0")</f>
        <v>0</v>
      </c>
      <c r="CY213">
        <f ca="1" xml:space="preserve"> IF( AND( OFFSET($A$1, 213 - 1, 101 - 1) = "1", OFFSET($A$1, 213 - 1, 102 - 1) = "1" ), 1, IF( AND( OFFSET($A$1, 213 - 1, 101 - 1) = "1", OFFSET($A$1, 213 - 1, 102 - 1) = "0" ), 2, IF( AND( OFFSET($A$1, 213 - 1, 101 - 1) = "0", OFFSET($A$1, 213 - 1, 102 - 1) = "1" ), 3, 4 ) ) )</f>
        <v>2</v>
      </c>
    </row>
    <row r="214" spans="95:103" ht="13.8" x14ac:dyDescent="0.3">
      <c r="CQ214" s="24">
        <v>0.1211861440527407</v>
      </c>
      <c r="CR214" s="24" t="str">
        <f>"0"</f>
        <v>0</v>
      </c>
      <c r="CS214" t="str">
        <f ca="1">IF((OFFSET($A$1, 214 - 1, 95 - 1)) &gt;= (OFFSET($A$1, 54 - 1, 7 - 1)), "1","0")</f>
        <v>0</v>
      </c>
      <c r="CT214">
        <f ca="1" xml:space="preserve"> IF( AND( OFFSET($A$1, 214 - 1, 96 - 1) = "1", OFFSET($A$1, 214 - 1, 97 - 1) = "1" ), 1, IF( AND( OFFSET($A$1, 214 - 1, 96 - 1) = "1", OFFSET($A$1, 214 - 1, 97 - 1) = "0" ), 2, IF( AND( OFFSET($A$1, 214 - 1, 96 - 1) = "0", OFFSET($A$1, 214 - 1, 97 - 1) = "1" ), 3, 4 ) ) )</f>
        <v>4</v>
      </c>
      <c r="CV214" s="24">
        <v>2.0067824938560061E-2</v>
      </c>
      <c r="CW214" s="24" t="str">
        <f>"0"</f>
        <v>0</v>
      </c>
      <c r="CX214" t="str">
        <f ca="1">IF((OFFSET($A$1, 214 - 1, 100 - 1)) &gt;= (OFFSET($A$1, 78 - 1, 7 - 1)), "1","0")</f>
        <v>0</v>
      </c>
      <c r="CY214">
        <f ca="1" xml:space="preserve"> IF( AND( OFFSET($A$1, 214 - 1, 101 - 1) = "1", OFFSET($A$1, 214 - 1, 102 - 1) = "1" ), 1, IF( AND( OFFSET($A$1, 214 - 1, 101 - 1) = "1", OFFSET($A$1, 214 - 1, 102 - 1) = "0" ), 2, IF( AND( OFFSET($A$1, 214 - 1, 101 - 1) = "0", OFFSET($A$1, 214 - 1, 102 - 1) = "1" ), 3, 4 ) ) )</f>
        <v>4</v>
      </c>
    </row>
    <row r="215" spans="95:103" ht="13.8" x14ac:dyDescent="0.3">
      <c r="CQ215" s="24">
        <v>0.9070825281210122</v>
      </c>
      <c r="CR215" s="24" t="str">
        <f>"1"</f>
        <v>1</v>
      </c>
      <c r="CS215" t="str">
        <f ca="1">IF((OFFSET($A$1, 215 - 1, 95 - 1)) &gt;= (OFFSET($A$1, 54 - 1, 7 - 1)), "1","0")</f>
        <v>0</v>
      </c>
      <c r="CT215">
        <f ca="1" xml:space="preserve"> IF( AND( OFFSET($A$1, 215 - 1, 96 - 1) = "1", OFFSET($A$1, 215 - 1, 97 - 1) = "1" ), 1, IF( AND( OFFSET($A$1, 215 - 1, 96 - 1) = "1", OFFSET($A$1, 215 - 1, 97 - 1) = "0" ), 2, IF( AND( OFFSET($A$1, 215 - 1, 96 - 1) = "0", OFFSET($A$1, 215 - 1, 97 - 1) = "1" ), 3, 4 ) ) )</f>
        <v>2</v>
      </c>
      <c r="CV215" s="24">
        <v>4.0508049274110246E-2</v>
      </c>
      <c r="CW215" s="24" t="str">
        <f>"0"</f>
        <v>0</v>
      </c>
      <c r="CX215" t="str">
        <f ca="1">IF((OFFSET($A$1, 215 - 1, 100 - 1)) &gt;= (OFFSET($A$1, 78 - 1, 7 - 1)), "1","0")</f>
        <v>0</v>
      </c>
      <c r="CY215">
        <f ca="1" xml:space="preserve"> IF( AND( OFFSET($A$1, 215 - 1, 101 - 1) = "1", OFFSET($A$1, 215 - 1, 102 - 1) = "1" ), 1, IF( AND( OFFSET($A$1, 215 - 1, 101 - 1) = "1", OFFSET($A$1, 215 - 1, 102 - 1) = "0" ), 2, IF( AND( OFFSET($A$1, 215 - 1, 101 - 1) = "0", OFFSET($A$1, 215 - 1, 102 - 1) = "1" ), 3, 4 ) ) )</f>
        <v>4</v>
      </c>
    </row>
    <row r="216" spans="95:103" ht="13.8" x14ac:dyDescent="0.3">
      <c r="CQ216" s="24">
        <v>8.8059541881646596E-4</v>
      </c>
      <c r="CR216" s="24" t="str">
        <f>"0"</f>
        <v>0</v>
      </c>
      <c r="CS216" t="str">
        <f ca="1">IF((OFFSET($A$1, 216 - 1, 95 - 1)) &gt;= (OFFSET($A$1, 54 - 1, 7 - 1)), "1","0")</f>
        <v>0</v>
      </c>
      <c r="CT216">
        <f ca="1" xml:space="preserve"> IF( AND( OFFSET($A$1, 216 - 1, 96 - 1) = "1", OFFSET($A$1, 216 - 1, 97 - 1) = "1" ), 1, IF( AND( OFFSET($A$1, 216 - 1, 96 - 1) = "1", OFFSET($A$1, 216 - 1, 97 - 1) = "0" ), 2, IF( AND( OFFSET($A$1, 216 - 1, 96 - 1) = "0", OFFSET($A$1, 216 - 1, 97 - 1) = "1" ), 3, 4 ) ) )</f>
        <v>4</v>
      </c>
      <c r="CV216" s="24">
        <v>0.30256750201617832</v>
      </c>
      <c r="CW216" s="24" t="str">
        <f>"0"</f>
        <v>0</v>
      </c>
      <c r="CX216" t="str">
        <f ca="1">IF((OFFSET($A$1, 216 - 1, 100 - 1)) &gt;= (OFFSET($A$1, 78 - 1, 7 - 1)), "1","0")</f>
        <v>0</v>
      </c>
      <c r="CY216">
        <f ca="1" xml:space="preserve"> IF( AND( OFFSET($A$1, 216 - 1, 101 - 1) = "1", OFFSET($A$1, 216 - 1, 102 - 1) = "1" ), 1, IF( AND( OFFSET($A$1, 216 - 1, 101 - 1) = "1", OFFSET($A$1, 216 - 1, 102 - 1) = "0" ), 2, IF( AND( OFFSET($A$1, 216 - 1, 101 - 1) = "0", OFFSET($A$1, 216 - 1, 102 - 1) = "1" ), 3, 4 ) ) )</f>
        <v>4</v>
      </c>
    </row>
    <row r="217" spans="95:103" ht="13.8" x14ac:dyDescent="0.3">
      <c r="CQ217" s="24">
        <v>0.99917184340914367</v>
      </c>
      <c r="CR217" s="24" t="str">
        <f>"1"</f>
        <v>1</v>
      </c>
      <c r="CS217" t="str">
        <f ca="1">IF((OFFSET($A$1, 217 - 1, 95 - 1)) &gt;= (OFFSET($A$1, 54 - 1, 7 - 1)), "1","0")</f>
        <v>1</v>
      </c>
      <c r="CT217">
        <f ca="1" xml:space="preserve"> IF( AND( OFFSET($A$1, 217 - 1, 96 - 1) = "1", OFFSET($A$1, 217 - 1, 97 - 1) = "1" ), 1, IF( AND( OFFSET($A$1, 217 - 1, 96 - 1) = "1", OFFSET($A$1, 217 - 1, 97 - 1) = "0" ), 2, IF( AND( OFFSET($A$1, 217 - 1, 96 - 1) = "0", OFFSET($A$1, 217 - 1, 97 - 1) = "1" ), 3, 4 ) ) )</f>
        <v>1</v>
      </c>
      <c r="CV217" s="24">
        <v>7.8760441199274972E-2</v>
      </c>
      <c r="CW217" s="24" t="str">
        <f>"1"</f>
        <v>1</v>
      </c>
      <c r="CX217" t="str">
        <f ca="1">IF((OFFSET($A$1, 217 - 1, 100 - 1)) &gt;= (OFFSET($A$1, 78 - 1, 7 - 1)), "1","0")</f>
        <v>0</v>
      </c>
      <c r="CY217">
        <f ca="1" xml:space="preserve"> IF( AND( OFFSET($A$1, 217 - 1, 101 - 1) = "1", OFFSET($A$1, 217 - 1, 102 - 1) = "1" ), 1, IF( AND( OFFSET($A$1, 217 - 1, 101 - 1) = "1", OFFSET($A$1, 217 - 1, 102 - 1) = "0" ), 2, IF( AND( OFFSET($A$1, 217 - 1, 101 - 1) = "0", OFFSET($A$1, 217 - 1, 102 - 1) = "1" ), 3, 4 ) ) )</f>
        <v>2</v>
      </c>
    </row>
    <row r="218" spans="95:103" ht="13.8" x14ac:dyDescent="0.3">
      <c r="CQ218" s="24">
        <v>0.98198233945316804</v>
      </c>
      <c r="CR218" s="24" t="str">
        <f>"1"</f>
        <v>1</v>
      </c>
      <c r="CS218" t="str">
        <f ca="1">IF((OFFSET($A$1, 218 - 1, 95 - 1)) &gt;= (OFFSET($A$1, 54 - 1, 7 - 1)), "1","0")</f>
        <v>1</v>
      </c>
      <c r="CT218">
        <f ca="1" xml:space="preserve"> IF( AND( OFFSET($A$1, 218 - 1, 96 - 1) = "1", OFFSET($A$1, 218 - 1, 97 - 1) = "1" ), 1, IF( AND( OFFSET($A$1, 218 - 1, 96 - 1) = "1", OFFSET($A$1, 218 - 1, 97 - 1) = "0" ), 2, IF( AND( OFFSET($A$1, 218 - 1, 96 - 1) = "0", OFFSET($A$1, 218 - 1, 97 - 1) = "1" ), 3, 4 ) ) )</f>
        <v>1</v>
      </c>
      <c r="CV218" s="24">
        <v>0.99576541835601173</v>
      </c>
      <c r="CW218" s="24" t="str">
        <f>"1"</f>
        <v>1</v>
      </c>
      <c r="CX218" t="str">
        <f ca="1">IF((OFFSET($A$1, 218 - 1, 100 - 1)) &gt;= (OFFSET($A$1, 78 - 1, 7 - 1)), "1","0")</f>
        <v>1</v>
      </c>
      <c r="CY218">
        <f ca="1" xml:space="preserve"> IF( AND( OFFSET($A$1, 218 - 1, 101 - 1) = "1", OFFSET($A$1, 218 - 1, 102 - 1) = "1" ), 1, IF( AND( OFFSET($A$1, 218 - 1, 101 - 1) = "1", OFFSET($A$1, 218 - 1, 102 - 1) = "0" ), 2, IF( AND( OFFSET($A$1, 218 - 1, 101 - 1) = "0", OFFSET($A$1, 218 - 1, 102 - 1) = "1" ), 3, 4 ) ) )</f>
        <v>1</v>
      </c>
    </row>
    <row r="219" spans="95:103" ht="13.8" x14ac:dyDescent="0.3">
      <c r="CQ219" s="24">
        <v>4.7629977719636736E-2</v>
      </c>
      <c r="CR219" s="24" t="str">
        <f>"0"</f>
        <v>0</v>
      </c>
      <c r="CS219" t="str">
        <f ca="1">IF((OFFSET($A$1, 219 - 1, 95 - 1)) &gt;= (OFFSET($A$1, 54 - 1, 7 - 1)), "1","0")</f>
        <v>0</v>
      </c>
      <c r="CT219">
        <f ca="1" xml:space="preserve"> IF( AND( OFFSET($A$1, 219 - 1, 96 - 1) = "1", OFFSET($A$1, 219 - 1, 97 - 1) = "1" ), 1, IF( AND( OFFSET($A$1, 219 - 1, 96 - 1) = "1", OFFSET($A$1, 219 - 1, 97 - 1) = "0" ), 2, IF( AND( OFFSET($A$1, 219 - 1, 96 - 1) = "0", OFFSET($A$1, 219 - 1, 97 - 1) = "1" ), 3, 4 ) ) )</f>
        <v>4</v>
      </c>
      <c r="CV219" s="24">
        <v>0.99930075406404628</v>
      </c>
      <c r="CW219" s="24" t="str">
        <f>"1"</f>
        <v>1</v>
      </c>
      <c r="CX219" t="str">
        <f ca="1">IF((OFFSET($A$1, 219 - 1, 100 - 1)) &gt;= (OFFSET($A$1, 78 - 1, 7 - 1)), "1","0")</f>
        <v>1</v>
      </c>
      <c r="CY219">
        <f ca="1" xml:space="preserve"> IF( AND( OFFSET($A$1, 219 - 1, 101 - 1) = "1", OFFSET($A$1, 219 - 1, 102 - 1) = "1" ), 1, IF( AND( OFFSET($A$1, 219 - 1, 101 - 1) = "1", OFFSET($A$1, 219 - 1, 102 - 1) = "0" ), 2, IF( AND( OFFSET($A$1, 219 - 1, 101 - 1) = "0", OFFSET($A$1, 219 - 1, 102 - 1) = "1" ), 3, 4 ) ) )</f>
        <v>1</v>
      </c>
    </row>
    <row r="220" spans="95:103" ht="13.8" x14ac:dyDescent="0.3">
      <c r="CQ220" s="24">
        <v>8.8312497215201083E-2</v>
      </c>
      <c r="CR220" s="24" t="str">
        <f>"0"</f>
        <v>0</v>
      </c>
      <c r="CS220" t="str">
        <f ca="1">IF((OFFSET($A$1, 220 - 1, 95 - 1)) &gt;= (OFFSET($A$1, 54 - 1, 7 - 1)), "1","0")</f>
        <v>0</v>
      </c>
      <c r="CT220">
        <f ca="1" xml:space="preserve"> IF( AND( OFFSET($A$1, 220 - 1, 96 - 1) = "1", OFFSET($A$1, 220 - 1, 97 - 1) = "1" ), 1, IF( AND( OFFSET($A$1, 220 - 1, 96 - 1) = "1", OFFSET($A$1, 220 - 1, 97 - 1) = "0" ), 2, IF( AND( OFFSET($A$1, 220 - 1, 96 - 1) = "0", OFFSET($A$1, 220 - 1, 97 - 1) = "1" ), 3, 4 ) ) )</f>
        <v>4</v>
      </c>
      <c r="CV220" s="24">
        <v>0.9994410621491634</v>
      </c>
      <c r="CW220" s="24" t="str">
        <f>"1"</f>
        <v>1</v>
      </c>
      <c r="CX220" t="str">
        <f ca="1">IF((OFFSET($A$1, 220 - 1, 100 - 1)) &gt;= (OFFSET($A$1, 78 - 1, 7 - 1)), "1","0")</f>
        <v>1</v>
      </c>
      <c r="CY220">
        <f ca="1" xml:space="preserve"> IF( AND( OFFSET($A$1, 220 - 1, 101 - 1) = "1", OFFSET($A$1, 220 - 1, 102 - 1) = "1" ), 1, IF( AND( OFFSET($A$1, 220 - 1, 101 - 1) = "1", OFFSET($A$1, 220 - 1, 102 - 1) = "0" ), 2, IF( AND( OFFSET($A$1, 220 - 1, 101 - 1) = "0", OFFSET($A$1, 220 - 1, 102 - 1) = "1" ), 3, 4 ) ) )</f>
        <v>1</v>
      </c>
    </row>
    <row r="221" spans="95:103" ht="13.8" x14ac:dyDescent="0.3">
      <c r="CQ221" s="24">
        <v>0.92441199514265426</v>
      </c>
      <c r="CR221" s="24" t="str">
        <f>"1"</f>
        <v>1</v>
      </c>
      <c r="CS221" t="str">
        <f ca="1">IF((OFFSET($A$1, 221 - 1, 95 - 1)) &gt;= (OFFSET($A$1, 54 - 1, 7 - 1)), "1","0")</f>
        <v>0</v>
      </c>
      <c r="CT221">
        <f ca="1" xml:space="preserve"> IF( AND( OFFSET($A$1, 221 - 1, 96 - 1) = "1", OFFSET($A$1, 221 - 1, 97 - 1) = "1" ), 1, IF( AND( OFFSET($A$1, 221 - 1, 96 - 1) = "1", OFFSET($A$1, 221 - 1, 97 - 1) = "0" ), 2, IF( AND( OFFSET($A$1, 221 - 1, 96 - 1) = "0", OFFSET($A$1, 221 - 1, 97 - 1) = "1" ), 3, 4 ) ) )</f>
        <v>2</v>
      </c>
      <c r="CV221" s="24">
        <v>0.9998235505940577</v>
      </c>
      <c r="CW221" s="24" t="str">
        <f>"1"</f>
        <v>1</v>
      </c>
      <c r="CX221" t="str">
        <f ca="1">IF((OFFSET($A$1, 221 - 1, 100 - 1)) &gt;= (OFFSET($A$1, 78 - 1, 7 - 1)), "1","0")</f>
        <v>1</v>
      </c>
      <c r="CY221">
        <f ca="1" xml:space="preserve"> IF( AND( OFFSET($A$1, 221 - 1, 101 - 1) = "1", OFFSET($A$1, 221 - 1, 102 - 1) = "1" ), 1, IF( AND( OFFSET($A$1, 221 - 1, 101 - 1) = "1", OFFSET($A$1, 221 - 1, 102 - 1) = "0" ), 2, IF( AND( OFFSET($A$1, 221 - 1, 101 - 1) = "0", OFFSET($A$1, 221 - 1, 102 - 1) = "1" ), 3, 4 ) ) )</f>
        <v>1</v>
      </c>
    </row>
    <row r="222" spans="95:103" ht="13.8" x14ac:dyDescent="0.3">
      <c r="CQ222" s="24">
        <v>0.99991631447730278</v>
      </c>
      <c r="CR222" s="24" t="str">
        <f>"1"</f>
        <v>1</v>
      </c>
      <c r="CS222" t="str">
        <f ca="1">IF((OFFSET($A$1, 222 - 1, 95 - 1)) &gt;= (OFFSET($A$1, 54 - 1, 7 - 1)), "1","0")</f>
        <v>1</v>
      </c>
      <c r="CT222">
        <f ca="1" xml:space="preserve"> IF( AND( OFFSET($A$1, 222 - 1, 96 - 1) = "1", OFFSET($A$1, 222 - 1, 97 - 1) = "1" ), 1, IF( AND( OFFSET($A$1, 222 - 1, 96 - 1) = "1", OFFSET($A$1, 222 - 1, 97 - 1) = "0" ), 2, IF( AND( OFFSET($A$1, 222 - 1, 96 - 1) = "0", OFFSET($A$1, 222 - 1, 97 - 1) = "1" ), 3, 4 ) ) )</f>
        <v>1</v>
      </c>
      <c r="CV222" s="24">
        <v>0.98942108655157257</v>
      </c>
      <c r="CW222" s="24" t="str">
        <f>"0"</f>
        <v>0</v>
      </c>
      <c r="CX222" t="str">
        <f ca="1">IF((OFFSET($A$1, 222 - 1, 100 - 1)) &gt;= (OFFSET($A$1, 78 - 1, 7 - 1)), "1","0")</f>
        <v>1</v>
      </c>
      <c r="CY222">
        <f ca="1" xml:space="preserve"> IF( AND( OFFSET($A$1, 222 - 1, 101 - 1) = "1", OFFSET($A$1, 222 - 1, 102 - 1) = "1" ), 1, IF( AND( OFFSET($A$1, 222 - 1, 101 - 1) = "1", OFFSET($A$1, 222 - 1, 102 - 1) = "0" ), 2, IF( AND( OFFSET($A$1, 222 - 1, 101 - 1) = "0", OFFSET($A$1, 222 - 1, 102 - 1) = "1" ), 3, 4 ) ) )</f>
        <v>3</v>
      </c>
    </row>
    <row r="223" spans="95:103" ht="13.8" x14ac:dyDescent="0.3">
      <c r="CQ223" s="24">
        <v>0.99998082070208605</v>
      </c>
      <c r="CR223" s="24" t="str">
        <f>"1"</f>
        <v>1</v>
      </c>
      <c r="CS223" t="str">
        <f ca="1">IF((OFFSET($A$1, 223 - 1, 95 - 1)) &gt;= (OFFSET($A$1, 54 - 1, 7 - 1)), "1","0")</f>
        <v>1</v>
      </c>
      <c r="CT223">
        <f ca="1" xml:space="preserve"> IF( AND( OFFSET($A$1, 223 - 1, 96 - 1) = "1", OFFSET($A$1, 223 - 1, 97 - 1) = "1" ), 1, IF( AND( OFFSET($A$1, 223 - 1, 96 - 1) = "1", OFFSET($A$1, 223 - 1, 97 - 1) = "0" ), 2, IF( AND( OFFSET($A$1, 223 - 1, 96 - 1) = "0", OFFSET($A$1, 223 - 1, 97 - 1) = "1" ), 3, 4 ) ) )</f>
        <v>1</v>
      </c>
      <c r="CV223" s="24">
        <v>0.80702980675489855</v>
      </c>
      <c r="CW223" s="24" t="str">
        <f>"0"</f>
        <v>0</v>
      </c>
      <c r="CX223" t="str">
        <f ca="1">IF((OFFSET($A$1, 223 - 1, 100 - 1)) &gt;= (OFFSET($A$1, 78 - 1, 7 - 1)), "1","0")</f>
        <v>0</v>
      </c>
      <c r="CY223">
        <f ca="1" xml:space="preserve"> IF( AND( OFFSET($A$1, 223 - 1, 101 - 1) = "1", OFFSET($A$1, 223 - 1, 102 - 1) = "1" ), 1, IF( AND( OFFSET($A$1, 223 - 1, 101 - 1) = "1", OFFSET($A$1, 223 - 1, 102 - 1) = "0" ), 2, IF( AND( OFFSET($A$1, 223 - 1, 101 - 1) = "0", OFFSET($A$1, 223 - 1, 102 - 1) = "1" ), 3, 4 ) ) )</f>
        <v>4</v>
      </c>
    </row>
    <row r="224" spans="95:103" ht="13.8" x14ac:dyDescent="0.3">
      <c r="CQ224" s="24">
        <v>9.7302431500066858E-2</v>
      </c>
      <c r="CR224" s="24" t="str">
        <f>"0"</f>
        <v>0</v>
      </c>
      <c r="CS224" t="str">
        <f ca="1">IF((OFFSET($A$1, 224 - 1, 95 - 1)) &gt;= (OFFSET($A$1, 54 - 1, 7 - 1)), "1","0")</f>
        <v>0</v>
      </c>
      <c r="CT224">
        <f ca="1" xml:space="preserve"> IF( AND( OFFSET($A$1, 224 - 1, 96 - 1) = "1", OFFSET($A$1, 224 - 1, 97 - 1) = "1" ), 1, IF( AND( OFFSET($A$1, 224 - 1, 96 - 1) = "1", OFFSET($A$1, 224 - 1, 97 - 1) = "0" ), 2, IF( AND( OFFSET($A$1, 224 - 1, 96 - 1) = "0", OFFSET($A$1, 224 - 1, 97 - 1) = "1" ), 3, 4 ) ) )</f>
        <v>4</v>
      </c>
      <c r="CV224" s="24">
        <v>0.99961561695275869</v>
      </c>
      <c r="CW224" s="24" t="str">
        <f>"1"</f>
        <v>1</v>
      </c>
      <c r="CX224" t="str">
        <f ca="1">IF((OFFSET($A$1, 224 - 1, 100 - 1)) &gt;= (OFFSET($A$1, 78 - 1, 7 - 1)), "1","0")</f>
        <v>1</v>
      </c>
      <c r="CY224">
        <f ca="1" xml:space="preserve"> IF( AND( OFFSET($A$1, 224 - 1, 101 - 1) = "1", OFFSET($A$1, 224 - 1, 102 - 1) = "1" ), 1, IF( AND( OFFSET($A$1, 224 - 1, 101 - 1) = "1", OFFSET($A$1, 224 - 1, 102 - 1) = "0" ), 2, IF( AND( OFFSET($A$1, 224 - 1, 101 - 1) = "0", OFFSET($A$1, 224 - 1, 102 - 1) = "1" ), 3, 4 ) ) )</f>
        <v>1</v>
      </c>
    </row>
    <row r="225" spans="95:103" ht="13.8" x14ac:dyDescent="0.3">
      <c r="CQ225" s="24">
        <v>0.98758290924332504</v>
      </c>
      <c r="CR225" s="24" t="str">
        <f>"1"</f>
        <v>1</v>
      </c>
      <c r="CS225" t="str">
        <f ca="1">IF((OFFSET($A$1, 225 - 1, 95 - 1)) &gt;= (OFFSET($A$1, 54 - 1, 7 - 1)), "1","0")</f>
        <v>1</v>
      </c>
      <c r="CT225">
        <f ca="1" xml:space="preserve"> IF( AND( OFFSET($A$1, 225 - 1, 96 - 1) = "1", OFFSET($A$1, 225 - 1, 97 - 1) = "1" ), 1, IF( AND( OFFSET($A$1, 225 - 1, 96 - 1) = "1", OFFSET($A$1, 225 - 1, 97 - 1) = "0" ), 2, IF( AND( OFFSET($A$1, 225 - 1, 96 - 1) = "0", OFFSET($A$1, 225 - 1, 97 - 1) = "1" ), 3, 4 ) ) )</f>
        <v>1</v>
      </c>
      <c r="CV225" s="24">
        <v>0.29935885191410933</v>
      </c>
      <c r="CW225" s="24" t="str">
        <f>"0"</f>
        <v>0</v>
      </c>
      <c r="CX225" t="str">
        <f ca="1">IF((OFFSET($A$1, 225 - 1, 100 - 1)) &gt;= (OFFSET($A$1, 78 - 1, 7 - 1)), "1","0")</f>
        <v>0</v>
      </c>
      <c r="CY225">
        <f ca="1" xml:space="preserve"> IF( AND( OFFSET($A$1, 225 - 1, 101 - 1) = "1", OFFSET($A$1, 225 - 1, 102 - 1) = "1" ), 1, IF( AND( OFFSET($A$1, 225 - 1, 101 - 1) = "1", OFFSET($A$1, 225 - 1, 102 - 1) = "0" ), 2, IF( AND( OFFSET($A$1, 225 - 1, 101 - 1) = "0", OFFSET($A$1, 225 - 1, 102 - 1) = "1" ), 3, 4 ) ) )</f>
        <v>4</v>
      </c>
    </row>
    <row r="226" spans="95:103" ht="13.8" x14ac:dyDescent="0.3">
      <c r="CQ226" s="24">
        <v>0.94159143642381815</v>
      </c>
      <c r="CR226" s="24" t="str">
        <f>"1"</f>
        <v>1</v>
      </c>
      <c r="CS226" t="str">
        <f ca="1">IF((OFFSET($A$1, 226 - 1, 95 - 1)) &gt;= (OFFSET($A$1, 54 - 1, 7 - 1)), "1","0")</f>
        <v>0</v>
      </c>
      <c r="CT226">
        <f ca="1" xml:space="preserve"> IF( AND( OFFSET($A$1, 226 - 1, 96 - 1) = "1", OFFSET($A$1, 226 - 1, 97 - 1) = "1" ), 1, IF( AND( OFFSET($A$1, 226 - 1, 96 - 1) = "1", OFFSET($A$1, 226 - 1, 97 - 1) = "0" ), 2, IF( AND( OFFSET($A$1, 226 - 1, 96 - 1) = "0", OFFSET($A$1, 226 - 1, 97 - 1) = "1" ), 3, 4 ) ) )</f>
        <v>2</v>
      </c>
      <c r="CV226" s="24">
        <v>0.99973737485415892</v>
      </c>
      <c r="CW226" s="24" t="str">
        <f>"1"</f>
        <v>1</v>
      </c>
      <c r="CX226" t="str">
        <f ca="1">IF((OFFSET($A$1, 226 - 1, 100 - 1)) &gt;= (OFFSET($A$1, 78 - 1, 7 - 1)), "1","0")</f>
        <v>1</v>
      </c>
      <c r="CY226">
        <f ca="1" xml:space="preserve"> IF( AND( OFFSET($A$1, 226 - 1, 101 - 1) = "1", OFFSET($A$1, 226 - 1, 102 - 1) = "1" ), 1, IF( AND( OFFSET($A$1, 226 - 1, 101 - 1) = "1", OFFSET($A$1, 226 - 1, 102 - 1) = "0" ), 2, IF( AND( OFFSET($A$1, 226 - 1, 101 - 1) = "0", OFFSET($A$1, 226 - 1, 102 - 1) = "1" ), 3, 4 ) ) )</f>
        <v>1</v>
      </c>
    </row>
    <row r="227" spans="95:103" ht="13.8" x14ac:dyDescent="0.3">
      <c r="CQ227" s="24">
        <v>0.77104496681217327</v>
      </c>
      <c r="CR227" s="24" t="str">
        <f>"1"</f>
        <v>1</v>
      </c>
      <c r="CS227" t="str">
        <f ca="1">IF((OFFSET($A$1, 227 - 1, 95 - 1)) &gt;= (OFFSET($A$1, 54 - 1, 7 - 1)), "1","0")</f>
        <v>0</v>
      </c>
      <c r="CT227">
        <f ca="1" xml:space="preserve"> IF( AND( OFFSET($A$1, 227 - 1, 96 - 1) = "1", OFFSET($A$1, 227 - 1, 97 - 1) = "1" ), 1, IF( AND( OFFSET($A$1, 227 - 1, 96 - 1) = "1", OFFSET($A$1, 227 - 1, 97 - 1) = "0" ), 2, IF( AND( OFFSET($A$1, 227 - 1, 96 - 1) = "0", OFFSET($A$1, 227 - 1, 97 - 1) = "1" ), 3, 4 ) ) )</f>
        <v>2</v>
      </c>
      <c r="CV227" s="24">
        <v>0.9989685393111204</v>
      </c>
      <c r="CW227" s="24" t="str">
        <f>"1"</f>
        <v>1</v>
      </c>
      <c r="CX227" t="str">
        <f ca="1">IF((OFFSET($A$1, 227 - 1, 100 - 1)) &gt;= (OFFSET($A$1, 78 - 1, 7 - 1)), "1","0")</f>
        <v>1</v>
      </c>
      <c r="CY227">
        <f ca="1" xml:space="preserve"> IF( AND( OFFSET($A$1, 227 - 1, 101 - 1) = "1", OFFSET($A$1, 227 - 1, 102 - 1) = "1" ), 1, IF( AND( OFFSET($A$1, 227 - 1, 101 - 1) = "1", OFFSET($A$1, 227 - 1, 102 - 1) = "0" ), 2, IF( AND( OFFSET($A$1, 227 - 1, 101 - 1) = "0", OFFSET($A$1, 227 - 1, 102 - 1) = "1" ), 3, 4 ) ) )</f>
        <v>1</v>
      </c>
    </row>
    <row r="228" spans="95:103" ht="13.8" x14ac:dyDescent="0.3">
      <c r="CQ228" s="24">
        <v>0.99804809186688459</v>
      </c>
      <c r="CR228" s="24" t="str">
        <f>"0"</f>
        <v>0</v>
      </c>
      <c r="CS228" t="str">
        <f ca="1">IF((OFFSET($A$1, 228 - 1, 95 - 1)) &gt;= (OFFSET($A$1, 54 - 1, 7 - 1)), "1","0")</f>
        <v>1</v>
      </c>
      <c r="CT228">
        <f ca="1" xml:space="preserve"> IF( AND( OFFSET($A$1, 228 - 1, 96 - 1) = "1", OFFSET($A$1, 228 - 1, 97 - 1) = "1" ), 1, IF( AND( OFFSET($A$1, 228 - 1, 96 - 1) = "1", OFFSET($A$1, 228 - 1, 97 - 1) = "0" ), 2, IF( AND( OFFSET($A$1, 228 - 1, 96 - 1) = "0", OFFSET($A$1, 228 - 1, 97 - 1) = "1" ), 3, 4 ) ) )</f>
        <v>3</v>
      </c>
      <c r="CV228" s="24">
        <v>0.2207189893036359</v>
      </c>
      <c r="CW228" s="24" t="str">
        <f>"0"</f>
        <v>0</v>
      </c>
      <c r="CX228" t="str">
        <f ca="1">IF((OFFSET($A$1, 228 - 1, 100 - 1)) &gt;= (OFFSET($A$1, 78 - 1, 7 - 1)), "1","0")</f>
        <v>0</v>
      </c>
      <c r="CY228">
        <f ca="1" xml:space="preserve"> IF( AND( OFFSET($A$1, 228 - 1, 101 - 1) = "1", OFFSET($A$1, 228 - 1, 102 - 1) = "1" ), 1, IF( AND( OFFSET($A$1, 228 - 1, 101 - 1) = "1", OFFSET($A$1, 228 - 1, 102 - 1) = "0" ), 2, IF( AND( OFFSET($A$1, 228 - 1, 101 - 1) = "0", OFFSET($A$1, 228 - 1, 102 - 1) = "1" ), 3, 4 ) ) )</f>
        <v>4</v>
      </c>
    </row>
    <row r="229" spans="95:103" ht="13.8" x14ac:dyDescent="0.3">
      <c r="CQ229" s="24">
        <v>0.99358052135490815</v>
      </c>
      <c r="CR229" s="24" t="str">
        <f>"1"</f>
        <v>1</v>
      </c>
      <c r="CS229" t="str">
        <f ca="1">IF((OFFSET($A$1, 229 - 1, 95 - 1)) &gt;= (OFFSET($A$1, 54 - 1, 7 - 1)), "1","0")</f>
        <v>1</v>
      </c>
      <c r="CT229">
        <f ca="1" xml:space="preserve"> IF( AND( OFFSET($A$1, 229 - 1, 96 - 1) = "1", OFFSET($A$1, 229 - 1, 97 - 1) = "1" ), 1, IF( AND( OFFSET($A$1, 229 - 1, 96 - 1) = "1", OFFSET($A$1, 229 - 1, 97 - 1) = "0" ), 2, IF( AND( OFFSET($A$1, 229 - 1, 96 - 1) = "0", OFFSET($A$1, 229 - 1, 97 - 1) = "1" ), 3, 4 ) ) )</f>
        <v>1</v>
      </c>
      <c r="CV229" s="24">
        <v>0.38822488769633101</v>
      </c>
      <c r="CW229" s="24" t="str">
        <f>"1"</f>
        <v>1</v>
      </c>
      <c r="CX229" t="str">
        <f ca="1">IF((OFFSET($A$1, 229 - 1, 100 - 1)) &gt;= (OFFSET($A$1, 78 - 1, 7 - 1)), "1","0")</f>
        <v>0</v>
      </c>
      <c r="CY229">
        <f ca="1" xml:space="preserve"> IF( AND( OFFSET($A$1, 229 - 1, 101 - 1) = "1", OFFSET($A$1, 229 - 1, 102 - 1) = "1" ), 1, IF( AND( OFFSET($A$1, 229 - 1, 101 - 1) = "1", OFFSET($A$1, 229 - 1, 102 - 1) = "0" ), 2, IF( AND( OFFSET($A$1, 229 - 1, 101 - 1) = "0", OFFSET($A$1, 229 - 1, 102 - 1) = "1" ), 3, 4 ) ) )</f>
        <v>2</v>
      </c>
    </row>
    <row r="230" spans="95:103" ht="13.8" x14ac:dyDescent="0.3">
      <c r="CQ230" s="24">
        <v>0.99844841238114435</v>
      </c>
      <c r="CR230" s="24" t="str">
        <f>"1"</f>
        <v>1</v>
      </c>
      <c r="CS230" t="str">
        <f ca="1">IF((OFFSET($A$1, 230 - 1, 95 - 1)) &gt;= (OFFSET($A$1, 54 - 1, 7 - 1)), "1","0")</f>
        <v>1</v>
      </c>
      <c r="CT230">
        <f ca="1" xml:space="preserve"> IF( AND( OFFSET($A$1, 230 - 1, 96 - 1) = "1", OFFSET($A$1, 230 - 1, 97 - 1) = "1" ), 1, IF( AND( OFFSET($A$1, 230 - 1, 96 - 1) = "1", OFFSET($A$1, 230 - 1, 97 - 1) = "0" ), 2, IF( AND( OFFSET($A$1, 230 - 1, 96 - 1) = "0", OFFSET($A$1, 230 - 1, 97 - 1) = "1" ), 3, 4 ) ) )</f>
        <v>1</v>
      </c>
      <c r="CV230" s="24">
        <v>0.99965200297165357</v>
      </c>
      <c r="CW230" s="24" t="str">
        <f>"1"</f>
        <v>1</v>
      </c>
      <c r="CX230" t="str">
        <f ca="1">IF((OFFSET($A$1, 230 - 1, 100 - 1)) &gt;= (OFFSET($A$1, 78 - 1, 7 - 1)), "1","0")</f>
        <v>1</v>
      </c>
      <c r="CY230">
        <f ca="1" xml:space="preserve"> IF( AND( OFFSET($A$1, 230 - 1, 101 - 1) = "1", OFFSET($A$1, 230 - 1, 102 - 1) = "1" ), 1, IF( AND( OFFSET($A$1, 230 - 1, 101 - 1) = "1", OFFSET($A$1, 230 - 1, 102 - 1) = "0" ), 2, IF( AND( OFFSET($A$1, 230 - 1, 101 - 1) = "0", OFFSET($A$1, 230 - 1, 102 - 1) = "1" ), 3, 4 ) ) )</f>
        <v>1</v>
      </c>
    </row>
    <row r="231" spans="95:103" ht="13.8" x14ac:dyDescent="0.3">
      <c r="CQ231" s="24">
        <v>0.93943766056192146</v>
      </c>
      <c r="CR231" s="24" t="str">
        <f>"1"</f>
        <v>1</v>
      </c>
      <c r="CS231" t="str">
        <f ca="1">IF((OFFSET($A$1, 231 - 1, 95 - 1)) &gt;= (OFFSET($A$1, 54 - 1, 7 - 1)), "1","0")</f>
        <v>0</v>
      </c>
      <c r="CT231">
        <f ca="1" xml:space="preserve"> IF( AND( OFFSET($A$1, 231 - 1, 96 - 1) = "1", OFFSET($A$1, 231 - 1, 97 - 1) = "1" ), 1, IF( AND( OFFSET($A$1, 231 - 1, 96 - 1) = "1", OFFSET($A$1, 231 - 1, 97 - 1) = "0" ), 2, IF( AND( OFFSET($A$1, 231 - 1, 96 - 1) = "0", OFFSET($A$1, 231 - 1, 97 - 1) = "1" ), 3, 4 ) ) )</f>
        <v>2</v>
      </c>
      <c r="CV231" s="24">
        <v>0.99998122383883203</v>
      </c>
      <c r="CW231" s="24" t="str">
        <f>"1"</f>
        <v>1</v>
      </c>
      <c r="CX231" t="str">
        <f ca="1">IF((OFFSET($A$1, 231 - 1, 100 - 1)) &gt;= (OFFSET($A$1, 78 - 1, 7 - 1)), "1","0")</f>
        <v>1</v>
      </c>
      <c r="CY231">
        <f ca="1" xml:space="preserve"> IF( AND( OFFSET($A$1, 231 - 1, 101 - 1) = "1", OFFSET($A$1, 231 - 1, 102 - 1) = "1" ), 1, IF( AND( OFFSET($A$1, 231 - 1, 101 - 1) = "1", OFFSET($A$1, 231 - 1, 102 - 1) = "0" ), 2, IF( AND( OFFSET($A$1, 231 - 1, 101 - 1) = "0", OFFSET($A$1, 231 - 1, 102 - 1) = "1" ), 3, 4 ) ) )</f>
        <v>1</v>
      </c>
    </row>
    <row r="232" spans="95:103" ht="13.8" x14ac:dyDescent="0.3">
      <c r="CQ232" s="24">
        <v>8.4233189282557852E-2</v>
      </c>
      <c r="CR232" s="24" t="str">
        <f>"0"</f>
        <v>0</v>
      </c>
      <c r="CS232" t="str">
        <f ca="1">IF((OFFSET($A$1, 232 - 1, 95 - 1)) &gt;= (OFFSET($A$1, 54 - 1, 7 - 1)), "1","0")</f>
        <v>0</v>
      </c>
      <c r="CT232">
        <f ca="1" xml:space="preserve"> IF( AND( OFFSET($A$1, 232 - 1, 96 - 1) = "1", OFFSET($A$1, 232 - 1, 97 - 1) = "1" ), 1, IF( AND( OFFSET($A$1, 232 - 1, 96 - 1) = "1", OFFSET($A$1, 232 - 1, 97 - 1) = "0" ), 2, IF( AND( OFFSET($A$1, 232 - 1, 96 - 1) = "0", OFFSET($A$1, 232 - 1, 97 - 1) = "1" ), 3, 4 ) ) )</f>
        <v>4</v>
      </c>
      <c r="CV232" s="24">
        <v>0.93810500106986994</v>
      </c>
      <c r="CW232" s="24" t="str">
        <f>"1"</f>
        <v>1</v>
      </c>
      <c r="CX232" t="str">
        <f ca="1">IF((OFFSET($A$1, 232 - 1, 100 - 1)) &gt;= (OFFSET($A$1, 78 - 1, 7 - 1)), "1","0")</f>
        <v>1</v>
      </c>
      <c r="CY232">
        <f ca="1" xml:space="preserve"> IF( AND( OFFSET($A$1, 232 - 1, 101 - 1) = "1", OFFSET($A$1, 232 - 1, 102 - 1) = "1" ), 1, IF( AND( OFFSET($A$1, 232 - 1, 101 - 1) = "1", OFFSET($A$1, 232 - 1, 102 - 1) = "0" ), 2, IF( AND( OFFSET($A$1, 232 - 1, 101 - 1) = "0", OFFSET($A$1, 232 - 1, 102 - 1) = "1" ), 3, 4 ) ) )</f>
        <v>1</v>
      </c>
    </row>
    <row r="233" spans="95:103" ht="13.8" x14ac:dyDescent="0.3">
      <c r="CQ233" s="24">
        <v>9.7235167406626841E-2</v>
      </c>
      <c r="CR233" s="24" t="str">
        <f>"0"</f>
        <v>0</v>
      </c>
      <c r="CS233" t="str">
        <f ca="1">IF((OFFSET($A$1, 233 - 1, 95 - 1)) &gt;= (OFFSET($A$1, 54 - 1, 7 - 1)), "1","0")</f>
        <v>0</v>
      </c>
      <c r="CT233">
        <f ca="1" xml:space="preserve"> IF( AND( OFFSET($A$1, 233 - 1, 96 - 1) = "1", OFFSET($A$1, 233 - 1, 97 - 1) = "1" ), 1, IF( AND( OFFSET($A$1, 233 - 1, 96 - 1) = "1", OFFSET($A$1, 233 - 1, 97 - 1) = "0" ), 2, IF( AND( OFFSET($A$1, 233 - 1, 96 - 1) = "0", OFFSET($A$1, 233 - 1, 97 - 1) = "1" ), 3, 4 ) ) )</f>
        <v>4</v>
      </c>
      <c r="CV233" s="24">
        <v>0.70139278014159234</v>
      </c>
      <c r="CW233" s="24" t="str">
        <f>"0"</f>
        <v>0</v>
      </c>
      <c r="CX233" t="str">
        <f ca="1">IF((OFFSET($A$1, 233 - 1, 100 - 1)) &gt;= (OFFSET($A$1, 78 - 1, 7 - 1)), "1","0")</f>
        <v>0</v>
      </c>
      <c r="CY233">
        <f ca="1" xml:space="preserve"> IF( AND( OFFSET($A$1, 233 - 1, 101 - 1) = "1", OFFSET($A$1, 233 - 1, 102 - 1) = "1" ), 1, IF( AND( OFFSET($A$1, 233 - 1, 101 - 1) = "1", OFFSET($A$1, 233 - 1, 102 - 1) = "0" ), 2, IF( AND( OFFSET($A$1, 233 - 1, 101 - 1) = "0", OFFSET($A$1, 233 - 1, 102 - 1) = "1" ), 3, 4 ) ) )</f>
        <v>4</v>
      </c>
    </row>
    <row r="234" spans="95:103" ht="13.8" x14ac:dyDescent="0.3">
      <c r="CQ234" s="24">
        <v>0.93191442078753606</v>
      </c>
      <c r="CR234" s="24" t="str">
        <f t="shared" ref="CR234:CR240" si="17">"1"</f>
        <v>1</v>
      </c>
      <c r="CS234" t="str">
        <f ca="1">IF((OFFSET($A$1, 234 - 1, 95 - 1)) &gt;= (OFFSET($A$1, 54 - 1, 7 - 1)), "1","0")</f>
        <v>0</v>
      </c>
      <c r="CT234">
        <f ca="1" xml:space="preserve"> IF( AND( OFFSET($A$1, 234 - 1, 96 - 1) = "1", OFFSET($A$1, 234 - 1, 97 - 1) = "1" ), 1, IF( AND( OFFSET($A$1, 234 - 1, 96 - 1) = "1", OFFSET($A$1, 234 - 1, 97 - 1) = "0" ), 2, IF( AND( OFFSET($A$1, 234 - 1, 96 - 1) = "0", OFFSET($A$1, 234 - 1, 97 - 1) = "1" ), 3, 4 ) ) )</f>
        <v>2</v>
      </c>
      <c r="CV234" s="24">
        <v>0.78422945015319834</v>
      </c>
      <c r="CW234" s="24" t="str">
        <f t="shared" ref="CW234:CW242" si="18">"1"</f>
        <v>1</v>
      </c>
      <c r="CX234" t="str">
        <f ca="1">IF((OFFSET($A$1, 234 - 1, 100 - 1)) &gt;= (OFFSET($A$1, 78 - 1, 7 - 1)), "1","0")</f>
        <v>0</v>
      </c>
      <c r="CY234">
        <f ca="1" xml:space="preserve"> IF( AND( OFFSET($A$1, 234 - 1, 101 - 1) = "1", OFFSET($A$1, 234 - 1, 102 - 1) = "1" ), 1, IF( AND( OFFSET($A$1, 234 - 1, 101 - 1) = "1", OFFSET($A$1, 234 - 1, 102 - 1) = "0" ), 2, IF( AND( OFFSET($A$1, 234 - 1, 101 - 1) = "0", OFFSET($A$1, 234 - 1, 102 - 1) = "1" ), 3, 4 ) ) )</f>
        <v>2</v>
      </c>
    </row>
    <row r="235" spans="95:103" ht="13.8" x14ac:dyDescent="0.3">
      <c r="CQ235" s="24">
        <v>0.99724311949581879</v>
      </c>
      <c r="CR235" s="24" t="str">
        <f t="shared" si="17"/>
        <v>1</v>
      </c>
      <c r="CS235" t="str">
        <f ca="1">IF((OFFSET($A$1, 235 - 1, 95 - 1)) &gt;= (OFFSET($A$1, 54 - 1, 7 - 1)), "1","0")</f>
        <v>1</v>
      </c>
      <c r="CT235">
        <f ca="1" xml:space="preserve"> IF( AND( OFFSET($A$1, 235 - 1, 96 - 1) = "1", OFFSET($A$1, 235 - 1, 97 - 1) = "1" ), 1, IF( AND( OFFSET($A$1, 235 - 1, 96 - 1) = "1", OFFSET($A$1, 235 - 1, 97 - 1) = "0" ), 2, IF( AND( OFFSET($A$1, 235 - 1, 96 - 1) = "0", OFFSET($A$1, 235 - 1, 97 - 1) = "1" ), 3, 4 ) ) )</f>
        <v>1</v>
      </c>
      <c r="CV235" s="24">
        <v>2.5264960000603905E-2</v>
      </c>
      <c r="CW235" s="24" t="str">
        <f t="shared" si="18"/>
        <v>1</v>
      </c>
      <c r="CX235" t="str">
        <f ca="1">IF((OFFSET($A$1, 235 - 1, 100 - 1)) &gt;= (OFFSET($A$1, 78 - 1, 7 - 1)), "1","0")</f>
        <v>0</v>
      </c>
      <c r="CY235">
        <f ca="1" xml:space="preserve"> IF( AND( OFFSET($A$1, 235 - 1, 101 - 1) = "1", OFFSET($A$1, 235 - 1, 102 - 1) = "1" ), 1, IF( AND( OFFSET($A$1, 235 - 1, 101 - 1) = "1", OFFSET($A$1, 235 - 1, 102 - 1) = "0" ), 2, IF( AND( OFFSET($A$1, 235 - 1, 101 - 1) = "0", OFFSET($A$1, 235 - 1, 102 - 1) = "1" ), 3, 4 ) ) )</f>
        <v>2</v>
      </c>
    </row>
    <row r="236" spans="95:103" ht="13.8" x14ac:dyDescent="0.3">
      <c r="CQ236" s="24">
        <v>0.99990525928729201</v>
      </c>
      <c r="CR236" s="24" t="str">
        <f t="shared" si="17"/>
        <v>1</v>
      </c>
      <c r="CS236" t="str">
        <f ca="1">IF((OFFSET($A$1, 236 - 1, 95 - 1)) &gt;= (OFFSET($A$1, 54 - 1, 7 - 1)), "1","0")</f>
        <v>1</v>
      </c>
      <c r="CT236">
        <f ca="1" xml:space="preserve"> IF( AND( OFFSET($A$1, 236 - 1, 96 - 1) = "1", OFFSET($A$1, 236 - 1, 97 - 1) = "1" ), 1, IF( AND( OFFSET($A$1, 236 - 1, 96 - 1) = "1", OFFSET($A$1, 236 - 1, 97 - 1) = "0" ), 2, IF( AND( OFFSET($A$1, 236 - 1, 96 - 1) = "0", OFFSET($A$1, 236 - 1, 97 - 1) = "1" ), 3, 4 ) ) )</f>
        <v>1</v>
      </c>
      <c r="CV236" s="24">
        <v>0.99969030764750222</v>
      </c>
      <c r="CW236" s="24" t="str">
        <f t="shared" si="18"/>
        <v>1</v>
      </c>
      <c r="CX236" t="str">
        <f ca="1">IF((OFFSET($A$1, 236 - 1, 100 - 1)) &gt;= (OFFSET($A$1, 78 - 1, 7 - 1)), "1","0")</f>
        <v>1</v>
      </c>
      <c r="CY236">
        <f ca="1" xml:space="preserve"> IF( AND( OFFSET($A$1, 236 - 1, 101 - 1) = "1", OFFSET($A$1, 236 - 1, 102 - 1) = "1" ), 1, IF( AND( OFFSET($A$1, 236 - 1, 101 - 1) = "1", OFFSET($A$1, 236 - 1, 102 - 1) = "0" ), 2, IF( AND( OFFSET($A$1, 236 - 1, 101 - 1) = "0", OFFSET($A$1, 236 - 1, 102 - 1) = "1" ), 3, 4 ) ) )</f>
        <v>1</v>
      </c>
    </row>
    <row r="237" spans="95:103" ht="13.8" x14ac:dyDescent="0.3">
      <c r="CQ237" s="24">
        <v>0.99770929211388826</v>
      </c>
      <c r="CR237" s="24" t="str">
        <f t="shared" si="17"/>
        <v>1</v>
      </c>
      <c r="CS237" t="str">
        <f ca="1">IF((OFFSET($A$1, 237 - 1, 95 - 1)) &gt;= (OFFSET($A$1, 54 - 1, 7 - 1)), "1","0")</f>
        <v>1</v>
      </c>
      <c r="CT237">
        <f ca="1" xml:space="preserve"> IF( AND( OFFSET($A$1, 237 - 1, 96 - 1) = "1", OFFSET($A$1, 237 - 1, 97 - 1) = "1" ), 1, IF( AND( OFFSET($A$1, 237 - 1, 96 - 1) = "1", OFFSET($A$1, 237 - 1, 97 - 1) = "0" ), 2, IF( AND( OFFSET($A$1, 237 - 1, 96 - 1) = "0", OFFSET($A$1, 237 - 1, 97 - 1) = "1" ), 3, 4 ) ) )</f>
        <v>1</v>
      </c>
      <c r="CV237" s="24">
        <v>5.9567599801952191E-2</v>
      </c>
      <c r="CW237" s="24" t="str">
        <f t="shared" si="18"/>
        <v>1</v>
      </c>
      <c r="CX237" t="str">
        <f ca="1">IF((OFFSET($A$1, 237 - 1, 100 - 1)) &gt;= (OFFSET($A$1, 78 - 1, 7 - 1)), "1","0")</f>
        <v>0</v>
      </c>
      <c r="CY237">
        <f ca="1" xml:space="preserve"> IF( AND( OFFSET($A$1, 237 - 1, 101 - 1) = "1", OFFSET($A$1, 237 - 1, 102 - 1) = "1" ), 1, IF( AND( OFFSET($A$1, 237 - 1, 101 - 1) = "1", OFFSET($A$1, 237 - 1, 102 - 1) = "0" ), 2, IF( AND( OFFSET($A$1, 237 - 1, 101 - 1) = "0", OFFSET($A$1, 237 - 1, 102 - 1) = "1" ), 3, 4 ) ) )</f>
        <v>2</v>
      </c>
    </row>
    <row r="238" spans="95:103" ht="13.8" x14ac:dyDescent="0.3">
      <c r="CQ238" s="24">
        <v>0.99823564962820444</v>
      </c>
      <c r="CR238" s="24" t="str">
        <f t="shared" si="17"/>
        <v>1</v>
      </c>
      <c r="CS238" t="str">
        <f ca="1">IF((OFFSET($A$1, 238 - 1, 95 - 1)) &gt;= (OFFSET($A$1, 54 - 1, 7 - 1)), "1","0")</f>
        <v>1</v>
      </c>
      <c r="CT238">
        <f ca="1" xml:space="preserve"> IF( AND( OFFSET($A$1, 238 - 1, 96 - 1) = "1", OFFSET($A$1, 238 - 1, 97 - 1) = "1" ), 1, IF( AND( OFFSET($A$1, 238 - 1, 96 - 1) = "1", OFFSET($A$1, 238 - 1, 97 - 1) = "0" ), 2, IF( AND( OFFSET($A$1, 238 - 1, 96 - 1) = "0", OFFSET($A$1, 238 - 1, 97 - 1) = "1" ), 3, 4 ) ) )</f>
        <v>1</v>
      </c>
      <c r="CV238" s="24">
        <v>0.9961897538879021</v>
      </c>
      <c r="CW238" s="24" t="str">
        <f t="shared" si="18"/>
        <v>1</v>
      </c>
      <c r="CX238" t="str">
        <f ca="1">IF((OFFSET($A$1, 238 - 1, 100 - 1)) &gt;= (OFFSET($A$1, 78 - 1, 7 - 1)), "1","0")</f>
        <v>1</v>
      </c>
      <c r="CY238">
        <f ca="1" xml:space="preserve"> IF( AND( OFFSET($A$1, 238 - 1, 101 - 1) = "1", OFFSET($A$1, 238 - 1, 102 - 1) = "1" ), 1, IF( AND( OFFSET($A$1, 238 - 1, 101 - 1) = "1", OFFSET($A$1, 238 - 1, 102 - 1) = "0" ), 2, IF( AND( OFFSET($A$1, 238 - 1, 101 - 1) = "0", OFFSET($A$1, 238 - 1, 102 - 1) = "1" ), 3, 4 ) ) )</f>
        <v>1</v>
      </c>
    </row>
    <row r="239" spans="95:103" ht="13.8" x14ac:dyDescent="0.3">
      <c r="CQ239" s="24">
        <v>0.87571434068161569</v>
      </c>
      <c r="CR239" s="24" t="str">
        <f t="shared" si="17"/>
        <v>1</v>
      </c>
      <c r="CS239" t="str">
        <f ca="1">IF((OFFSET($A$1, 239 - 1, 95 - 1)) &gt;= (OFFSET($A$1, 54 - 1, 7 - 1)), "1","0")</f>
        <v>0</v>
      </c>
      <c r="CT239">
        <f ca="1" xml:space="preserve"> IF( AND( OFFSET($A$1, 239 - 1, 96 - 1) = "1", OFFSET($A$1, 239 - 1, 97 - 1) = "1" ), 1, IF( AND( OFFSET($A$1, 239 - 1, 96 - 1) = "1", OFFSET($A$1, 239 - 1, 97 - 1) = "0" ), 2, IF( AND( OFFSET($A$1, 239 - 1, 96 - 1) = "0", OFFSET($A$1, 239 - 1, 97 - 1) = "1" ), 3, 4 ) ) )</f>
        <v>2</v>
      </c>
      <c r="CV239" s="24">
        <v>0.99998014049125517</v>
      </c>
      <c r="CW239" s="24" t="str">
        <f t="shared" si="18"/>
        <v>1</v>
      </c>
      <c r="CX239" t="str">
        <f ca="1">IF((OFFSET($A$1, 239 - 1, 100 - 1)) &gt;= (OFFSET($A$1, 78 - 1, 7 - 1)), "1","0")</f>
        <v>1</v>
      </c>
      <c r="CY239">
        <f ca="1" xml:space="preserve"> IF( AND( OFFSET($A$1, 239 - 1, 101 - 1) = "1", OFFSET($A$1, 239 - 1, 102 - 1) = "1" ), 1, IF( AND( OFFSET($A$1, 239 - 1, 101 - 1) = "1", OFFSET($A$1, 239 - 1, 102 - 1) = "0" ), 2, IF( AND( OFFSET($A$1, 239 - 1, 101 - 1) = "0", OFFSET($A$1, 239 - 1, 102 - 1) = "1" ), 3, 4 ) ) )</f>
        <v>1</v>
      </c>
    </row>
    <row r="240" spans="95:103" ht="13.8" x14ac:dyDescent="0.3">
      <c r="CQ240" s="24">
        <v>0.99953246814154584</v>
      </c>
      <c r="CR240" s="24" t="str">
        <f t="shared" si="17"/>
        <v>1</v>
      </c>
      <c r="CS240" t="str">
        <f ca="1">IF((OFFSET($A$1, 240 - 1, 95 - 1)) &gt;= (OFFSET($A$1, 54 - 1, 7 - 1)), "1","0")</f>
        <v>1</v>
      </c>
      <c r="CT240">
        <f ca="1" xml:space="preserve"> IF( AND( OFFSET($A$1, 240 - 1, 96 - 1) = "1", OFFSET($A$1, 240 - 1, 97 - 1) = "1" ), 1, IF( AND( OFFSET($A$1, 240 - 1, 96 - 1) = "1", OFFSET($A$1, 240 - 1, 97 - 1) = "0" ), 2, IF( AND( OFFSET($A$1, 240 - 1, 96 - 1) = "0", OFFSET($A$1, 240 - 1, 97 - 1) = "1" ), 3, 4 ) ) )</f>
        <v>1</v>
      </c>
      <c r="CV240" s="24">
        <v>0.99161555186651551</v>
      </c>
      <c r="CW240" s="24" t="str">
        <f t="shared" si="18"/>
        <v>1</v>
      </c>
      <c r="CX240" t="str">
        <f ca="1">IF((OFFSET($A$1, 240 - 1, 100 - 1)) &gt;= (OFFSET($A$1, 78 - 1, 7 - 1)), "1","0")</f>
        <v>1</v>
      </c>
      <c r="CY240">
        <f ca="1" xml:space="preserve"> IF( AND( OFFSET($A$1, 240 - 1, 101 - 1) = "1", OFFSET($A$1, 240 - 1, 102 - 1) = "1" ), 1, IF( AND( OFFSET($A$1, 240 - 1, 101 - 1) = "1", OFFSET($A$1, 240 - 1, 102 - 1) = "0" ), 2, IF( AND( OFFSET($A$1, 240 - 1, 101 - 1) = "0", OFFSET($A$1, 240 - 1, 102 - 1) = "1" ), 3, 4 ) ) )</f>
        <v>1</v>
      </c>
    </row>
    <row r="241" spans="95:103" ht="13.8" x14ac:dyDescent="0.3">
      <c r="CQ241" s="24">
        <v>5.7994199412525496E-2</v>
      </c>
      <c r="CR241" s="24" t="str">
        <f>"0"</f>
        <v>0</v>
      </c>
      <c r="CS241" t="str">
        <f ca="1">IF((OFFSET($A$1, 241 - 1, 95 - 1)) &gt;= (OFFSET($A$1, 54 - 1, 7 - 1)), "1","0")</f>
        <v>0</v>
      </c>
      <c r="CT241">
        <f ca="1" xml:space="preserve"> IF( AND( OFFSET($A$1, 241 - 1, 96 - 1) = "1", OFFSET($A$1, 241 - 1, 97 - 1) = "1" ), 1, IF( AND( OFFSET($A$1, 241 - 1, 96 - 1) = "1", OFFSET($A$1, 241 - 1, 97 - 1) = "0" ), 2, IF( AND( OFFSET($A$1, 241 - 1, 96 - 1) = "0", OFFSET($A$1, 241 - 1, 97 - 1) = "1" ), 3, 4 ) ) )</f>
        <v>4</v>
      </c>
      <c r="CV241" s="24">
        <v>0.99915295700838769</v>
      </c>
      <c r="CW241" s="24" t="str">
        <f t="shared" si="18"/>
        <v>1</v>
      </c>
      <c r="CX241" t="str">
        <f ca="1">IF((OFFSET($A$1, 241 - 1, 100 - 1)) &gt;= (OFFSET($A$1, 78 - 1, 7 - 1)), "1","0")</f>
        <v>1</v>
      </c>
      <c r="CY241">
        <f ca="1" xml:space="preserve"> IF( AND( OFFSET($A$1, 241 - 1, 101 - 1) = "1", OFFSET($A$1, 241 - 1, 102 - 1) = "1" ), 1, IF( AND( OFFSET($A$1, 241 - 1, 101 - 1) = "1", OFFSET($A$1, 241 - 1, 102 - 1) = "0" ), 2, IF( AND( OFFSET($A$1, 241 - 1, 101 - 1) = "0", OFFSET($A$1, 241 - 1, 102 - 1) = "1" ), 3, 4 ) ) )</f>
        <v>1</v>
      </c>
    </row>
    <row r="242" spans="95:103" ht="13.8" x14ac:dyDescent="0.3">
      <c r="CQ242" s="24">
        <v>0.84311727705536244</v>
      </c>
      <c r="CR242" s="24" t="str">
        <f t="shared" ref="CR242:CR247" si="19">"1"</f>
        <v>1</v>
      </c>
      <c r="CS242" t="str">
        <f ca="1">IF((OFFSET($A$1, 242 - 1, 95 - 1)) &gt;= (OFFSET($A$1, 54 - 1, 7 - 1)), "1","0")</f>
        <v>0</v>
      </c>
      <c r="CT242">
        <f ca="1" xml:space="preserve"> IF( AND( OFFSET($A$1, 242 - 1, 96 - 1) = "1", OFFSET($A$1, 242 - 1, 97 - 1) = "1" ), 1, IF( AND( OFFSET($A$1, 242 - 1, 96 - 1) = "1", OFFSET($A$1, 242 - 1, 97 - 1) = "0" ), 2, IF( AND( OFFSET($A$1, 242 - 1, 96 - 1) = "0", OFFSET($A$1, 242 - 1, 97 - 1) = "1" ), 3, 4 ) ) )</f>
        <v>2</v>
      </c>
      <c r="CV242" s="24">
        <v>0.9999203581399646</v>
      </c>
      <c r="CW242" s="24" t="str">
        <f t="shared" si="18"/>
        <v>1</v>
      </c>
      <c r="CX242" t="str">
        <f ca="1">IF((OFFSET($A$1, 242 - 1, 100 - 1)) &gt;= (OFFSET($A$1, 78 - 1, 7 - 1)), "1","0")</f>
        <v>1</v>
      </c>
      <c r="CY242">
        <f ca="1" xml:space="preserve"> IF( AND( OFFSET($A$1, 242 - 1, 101 - 1) = "1", OFFSET($A$1, 242 - 1, 102 - 1) = "1" ), 1, IF( AND( OFFSET($A$1, 242 - 1, 101 - 1) = "1", OFFSET($A$1, 242 - 1, 102 - 1) = "0" ), 2, IF( AND( OFFSET($A$1, 242 - 1, 101 - 1) = "0", OFFSET($A$1, 242 - 1, 102 - 1) = "1" ), 3, 4 ) ) )</f>
        <v>1</v>
      </c>
    </row>
    <row r="243" spans="95:103" ht="13.8" x14ac:dyDescent="0.3">
      <c r="CQ243" s="24">
        <v>0.96553121022363975</v>
      </c>
      <c r="CR243" s="24" t="str">
        <f t="shared" si="19"/>
        <v>1</v>
      </c>
      <c r="CS243" t="str">
        <f ca="1">IF((OFFSET($A$1, 243 - 1, 95 - 1)) &gt;= (OFFSET($A$1, 54 - 1, 7 - 1)), "1","0")</f>
        <v>1</v>
      </c>
      <c r="CT243">
        <f ca="1" xml:space="preserve"> IF( AND( OFFSET($A$1, 243 - 1, 96 - 1) = "1", OFFSET($A$1, 243 - 1, 97 - 1) = "1" ), 1, IF( AND( OFFSET($A$1, 243 - 1, 96 - 1) = "1", OFFSET($A$1, 243 - 1, 97 - 1) = "0" ), 2, IF( AND( OFFSET($A$1, 243 - 1, 96 - 1) = "0", OFFSET($A$1, 243 - 1, 97 - 1) = "1" ), 3, 4 ) ) )</f>
        <v>1</v>
      </c>
      <c r="CV243" s="24">
        <v>0.78324690653694762</v>
      </c>
      <c r="CW243" s="24" t="str">
        <f>"0"</f>
        <v>0</v>
      </c>
      <c r="CX243" t="str">
        <f ca="1">IF((OFFSET($A$1, 243 - 1, 100 - 1)) &gt;= (OFFSET($A$1, 78 - 1, 7 - 1)), "1","0")</f>
        <v>0</v>
      </c>
      <c r="CY243">
        <f ca="1" xml:space="preserve"> IF( AND( OFFSET($A$1, 243 - 1, 101 - 1) = "1", OFFSET($A$1, 243 - 1, 102 - 1) = "1" ), 1, IF( AND( OFFSET($A$1, 243 - 1, 101 - 1) = "1", OFFSET($A$1, 243 - 1, 102 - 1) = "0" ), 2, IF( AND( OFFSET($A$1, 243 - 1, 101 - 1) = "0", OFFSET($A$1, 243 - 1, 102 - 1) = "1" ), 3, 4 ) ) )</f>
        <v>4</v>
      </c>
    </row>
    <row r="244" spans="95:103" ht="13.8" x14ac:dyDescent="0.3">
      <c r="CQ244" s="24">
        <v>0.9708504676771369</v>
      </c>
      <c r="CR244" s="24" t="str">
        <f t="shared" si="19"/>
        <v>1</v>
      </c>
      <c r="CS244" t="str">
        <f ca="1">IF((OFFSET($A$1, 244 - 1, 95 - 1)) &gt;= (OFFSET($A$1, 54 - 1, 7 - 1)), "1","0")</f>
        <v>1</v>
      </c>
      <c r="CT244">
        <f ca="1" xml:space="preserve"> IF( AND( OFFSET($A$1, 244 - 1, 96 - 1) = "1", OFFSET($A$1, 244 - 1, 97 - 1) = "1" ), 1, IF( AND( OFFSET($A$1, 244 - 1, 96 - 1) = "1", OFFSET($A$1, 244 - 1, 97 - 1) = "0" ), 2, IF( AND( OFFSET($A$1, 244 - 1, 96 - 1) = "0", OFFSET($A$1, 244 - 1, 97 - 1) = "1" ), 3, 4 ) ) )</f>
        <v>1</v>
      </c>
      <c r="CV244" s="24">
        <v>0.17055008432232285</v>
      </c>
      <c r="CW244" s="24" t="str">
        <f>"0"</f>
        <v>0</v>
      </c>
      <c r="CX244" t="str">
        <f ca="1">IF((OFFSET($A$1, 244 - 1, 100 - 1)) &gt;= (OFFSET($A$1, 78 - 1, 7 - 1)), "1","0")</f>
        <v>0</v>
      </c>
      <c r="CY244">
        <f ca="1" xml:space="preserve"> IF( AND( OFFSET($A$1, 244 - 1, 101 - 1) = "1", OFFSET($A$1, 244 - 1, 102 - 1) = "1" ), 1, IF( AND( OFFSET($A$1, 244 - 1, 101 - 1) = "1", OFFSET($A$1, 244 - 1, 102 - 1) = "0" ), 2, IF( AND( OFFSET($A$1, 244 - 1, 101 - 1) = "0", OFFSET($A$1, 244 - 1, 102 - 1) = "1" ), 3, 4 ) ) )</f>
        <v>4</v>
      </c>
    </row>
    <row r="245" spans="95:103" ht="13.8" x14ac:dyDescent="0.3">
      <c r="CQ245" s="24">
        <v>0.92246466981980035</v>
      </c>
      <c r="CR245" s="24" t="str">
        <f t="shared" si="19"/>
        <v>1</v>
      </c>
      <c r="CS245" t="str">
        <f ca="1">IF((OFFSET($A$1, 245 - 1, 95 - 1)) &gt;= (OFFSET($A$1, 54 - 1, 7 - 1)), "1","0")</f>
        <v>0</v>
      </c>
      <c r="CT245">
        <f ca="1" xml:space="preserve"> IF( AND( OFFSET($A$1, 245 - 1, 96 - 1) = "1", OFFSET($A$1, 245 - 1, 97 - 1) = "1" ), 1, IF( AND( OFFSET($A$1, 245 - 1, 96 - 1) = "1", OFFSET($A$1, 245 - 1, 97 - 1) = "0" ), 2, IF( AND( OFFSET($A$1, 245 - 1, 96 - 1) = "0", OFFSET($A$1, 245 - 1, 97 - 1) = "1" ), 3, 4 ) ) )</f>
        <v>2</v>
      </c>
      <c r="CV245" s="24">
        <v>0.5986079626144527</v>
      </c>
      <c r="CW245" s="24" t="str">
        <f>"1"</f>
        <v>1</v>
      </c>
      <c r="CX245" t="str">
        <f ca="1">IF((OFFSET($A$1, 245 - 1, 100 - 1)) &gt;= (OFFSET($A$1, 78 - 1, 7 - 1)), "1","0")</f>
        <v>0</v>
      </c>
      <c r="CY245">
        <f ca="1" xml:space="preserve"> IF( AND( OFFSET($A$1, 245 - 1, 101 - 1) = "1", OFFSET($A$1, 245 - 1, 102 - 1) = "1" ), 1, IF( AND( OFFSET($A$1, 245 - 1, 101 - 1) = "1", OFFSET($A$1, 245 - 1, 102 - 1) = "0" ), 2, IF( AND( OFFSET($A$1, 245 - 1, 101 - 1) = "0", OFFSET($A$1, 245 - 1, 102 - 1) = "1" ), 3, 4 ) ) )</f>
        <v>2</v>
      </c>
    </row>
    <row r="246" spans="95:103" ht="13.8" x14ac:dyDescent="0.3">
      <c r="CQ246" s="24">
        <v>0.90355176085648092</v>
      </c>
      <c r="CR246" s="24" t="str">
        <f t="shared" si="19"/>
        <v>1</v>
      </c>
      <c r="CS246" t="str">
        <f ca="1">IF((OFFSET($A$1, 246 - 1, 95 - 1)) &gt;= (OFFSET($A$1, 54 - 1, 7 - 1)), "1","0")</f>
        <v>0</v>
      </c>
      <c r="CT246">
        <f ca="1" xml:space="preserve"> IF( AND( OFFSET($A$1, 246 - 1, 96 - 1) = "1", OFFSET($A$1, 246 - 1, 97 - 1) = "1" ), 1, IF( AND( OFFSET($A$1, 246 - 1, 96 - 1) = "1", OFFSET($A$1, 246 - 1, 97 - 1) = "0" ), 2, IF( AND( OFFSET($A$1, 246 - 1, 96 - 1) = "0", OFFSET($A$1, 246 - 1, 97 - 1) = "1" ), 3, 4 ) ) )</f>
        <v>2</v>
      </c>
      <c r="CV246" s="24">
        <v>7.6411908377254756E-2</v>
      </c>
      <c r="CW246" s="24" t="str">
        <f>"0"</f>
        <v>0</v>
      </c>
      <c r="CX246" t="str">
        <f ca="1">IF((OFFSET($A$1, 246 - 1, 100 - 1)) &gt;= (OFFSET($A$1, 78 - 1, 7 - 1)), "1","0")</f>
        <v>0</v>
      </c>
      <c r="CY246">
        <f ca="1" xml:space="preserve"> IF( AND( OFFSET($A$1, 246 - 1, 101 - 1) = "1", OFFSET($A$1, 246 - 1, 102 - 1) = "1" ), 1, IF( AND( OFFSET($A$1, 246 - 1, 101 - 1) = "1", OFFSET($A$1, 246 - 1, 102 - 1) = "0" ), 2, IF( AND( OFFSET($A$1, 246 - 1, 101 - 1) = "0", OFFSET($A$1, 246 - 1, 102 - 1) = "1" ), 3, 4 ) ) )</f>
        <v>4</v>
      </c>
    </row>
    <row r="247" spans="95:103" ht="13.8" x14ac:dyDescent="0.3">
      <c r="CQ247" s="24">
        <v>0.98783543669747365</v>
      </c>
      <c r="CR247" s="24" t="str">
        <f t="shared" si="19"/>
        <v>1</v>
      </c>
      <c r="CS247" t="str">
        <f ca="1">IF((OFFSET($A$1, 247 - 1, 95 - 1)) &gt;= (OFFSET($A$1, 54 - 1, 7 - 1)), "1","0")</f>
        <v>1</v>
      </c>
      <c r="CT247">
        <f ca="1" xml:space="preserve"> IF( AND( OFFSET($A$1, 247 - 1, 96 - 1) = "1", OFFSET($A$1, 247 - 1, 97 - 1) = "1" ), 1, IF( AND( OFFSET($A$1, 247 - 1, 96 - 1) = "1", OFFSET($A$1, 247 - 1, 97 - 1) = "0" ), 2, IF( AND( OFFSET($A$1, 247 - 1, 96 - 1) = "0", OFFSET($A$1, 247 - 1, 97 - 1) = "1" ), 3, 4 ) ) )</f>
        <v>1</v>
      </c>
      <c r="CV247" s="24">
        <v>0.9254835571775788</v>
      </c>
      <c r="CW247" s="24" t="str">
        <f t="shared" ref="CW247:CW258" si="20">"1"</f>
        <v>1</v>
      </c>
      <c r="CX247" t="str">
        <f ca="1">IF((OFFSET($A$1, 247 - 1, 100 - 1)) &gt;= (OFFSET($A$1, 78 - 1, 7 - 1)), "1","0")</f>
        <v>1</v>
      </c>
      <c r="CY247">
        <f ca="1" xml:space="preserve"> IF( AND( OFFSET($A$1, 247 - 1, 101 - 1) = "1", OFFSET($A$1, 247 - 1, 102 - 1) = "1" ), 1, IF( AND( OFFSET($A$1, 247 - 1, 101 - 1) = "1", OFFSET($A$1, 247 - 1, 102 - 1) = "0" ), 2, IF( AND( OFFSET($A$1, 247 - 1, 101 - 1) = "0", OFFSET($A$1, 247 - 1, 102 - 1) = "1" ), 3, 4 ) ) )</f>
        <v>1</v>
      </c>
    </row>
    <row r="248" spans="95:103" ht="13.8" x14ac:dyDescent="0.3">
      <c r="CQ248" s="24">
        <v>0.10171322531785487</v>
      </c>
      <c r="CR248" s="24" t="str">
        <f>"0"</f>
        <v>0</v>
      </c>
      <c r="CS248" t="str">
        <f ca="1">IF((OFFSET($A$1, 248 - 1, 95 - 1)) &gt;= (OFFSET($A$1, 54 - 1, 7 - 1)), "1","0")</f>
        <v>0</v>
      </c>
      <c r="CT248">
        <f ca="1" xml:space="preserve"> IF( AND( OFFSET($A$1, 248 - 1, 96 - 1) = "1", OFFSET($A$1, 248 - 1, 97 - 1) = "1" ), 1, IF( AND( OFFSET($A$1, 248 - 1, 96 - 1) = "1", OFFSET($A$1, 248 - 1, 97 - 1) = "0" ), 2, IF( AND( OFFSET($A$1, 248 - 1, 96 - 1) = "0", OFFSET($A$1, 248 - 1, 97 - 1) = "1" ), 3, 4 ) ) )</f>
        <v>4</v>
      </c>
      <c r="CV248" s="24">
        <v>0.99978131979004525</v>
      </c>
      <c r="CW248" s="24" t="str">
        <f t="shared" si="20"/>
        <v>1</v>
      </c>
      <c r="CX248" t="str">
        <f ca="1">IF((OFFSET($A$1, 248 - 1, 100 - 1)) &gt;= (OFFSET($A$1, 78 - 1, 7 - 1)), "1","0")</f>
        <v>1</v>
      </c>
      <c r="CY248">
        <f ca="1" xml:space="preserve"> IF( AND( OFFSET($A$1, 248 - 1, 101 - 1) = "1", OFFSET($A$1, 248 - 1, 102 - 1) = "1" ), 1, IF( AND( OFFSET($A$1, 248 - 1, 101 - 1) = "1", OFFSET($A$1, 248 - 1, 102 - 1) = "0" ), 2, IF( AND( OFFSET($A$1, 248 - 1, 101 - 1) = "0", OFFSET($A$1, 248 - 1, 102 - 1) = "1" ), 3, 4 ) ) )</f>
        <v>1</v>
      </c>
    </row>
    <row r="249" spans="95:103" ht="13.8" x14ac:dyDescent="0.3">
      <c r="CQ249" s="24">
        <v>0.98544651070441225</v>
      </c>
      <c r="CR249" s="24" t="str">
        <f t="shared" ref="CR249:CR258" si="21">"1"</f>
        <v>1</v>
      </c>
      <c r="CS249" t="str">
        <f ca="1">IF((OFFSET($A$1, 249 - 1, 95 - 1)) &gt;= (OFFSET($A$1, 54 - 1, 7 - 1)), "1","0")</f>
        <v>1</v>
      </c>
      <c r="CT249">
        <f ca="1" xml:space="preserve"> IF( AND( OFFSET($A$1, 249 - 1, 96 - 1) = "1", OFFSET($A$1, 249 - 1, 97 - 1) = "1" ), 1, IF( AND( OFFSET($A$1, 249 - 1, 96 - 1) = "1", OFFSET($A$1, 249 - 1, 97 - 1) = "0" ), 2, IF( AND( OFFSET($A$1, 249 - 1, 96 - 1) = "0", OFFSET($A$1, 249 - 1, 97 - 1) = "1" ), 3, 4 ) ) )</f>
        <v>1</v>
      </c>
      <c r="CV249" s="24">
        <v>4.8437739305040688E-2</v>
      </c>
      <c r="CW249" s="24" t="str">
        <f t="shared" si="20"/>
        <v>1</v>
      </c>
      <c r="CX249" t="str">
        <f ca="1">IF((OFFSET($A$1, 249 - 1, 100 - 1)) &gt;= (OFFSET($A$1, 78 - 1, 7 - 1)), "1","0")</f>
        <v>0</v>
      </c>
      <c r="CY249">
        <f ca="1" xml:space="preserve"> IF( AND( OFFSET($A$1, 249 - 1, 101 - 1) = "1", OFFSET($A$1, 249 - 1, 102 - 1) = "1" ), 1, IF( AND( OFFSET($A$1, 249 - 1, 101 - 1) = "1", OFFSET($A$1, 249 - 1, 102 - 1) = "0" ), 2, IF( AND( OFFSET($A$1, 249 - 1, 101 - 1) = "0", OFFSET($A$1, 249 - 1, 102 - 1) = "1" ), 3, 4 ) ) )</f>
        <v>2</v>
      </c>
    </row>
    <row r="250" spans="95:103" ht="13.8" x14ac:dyDescent="0.3">
      <c r="CQ250" s="24">
        <v>0.71135348225117301</v>
      </c>
      <c r="CR250" s="24" t="str">
        <f t="shared" si="21"/>
        <v>1</v>
      </c>
      <c r="CS250" t="str">
        <f ca="1">IF((OFFSET($A$1, 250 - 1, 95 - 1)) &gt;= (OFFSET($A$1, 54 - 1, 7 - 1)), "1","0")</f>
        <v>0</v>
      </c>
      <c r="CT250">
        <f ca="1" xml:space="preserve"> IF( AND( OFFSET($A$1, 250 - 1, 96 - 1) = "1", OFFSET($A$1, 250 - 1, 97 - 1) = "1" ), 1, IF( AND( OFFSET($A$1, 250 - 1, 96 - 1) = "1", OFFSET($A$1, 250 - 1, 97 - 1) = "0" ), 2, IF( AND( OFFSET($A$1, 250 - 1, 96 - 1) = "0", OFFSET($A$1, 250 - 1, 97 - 1) = "1" ), 3, 4 ) ) )</f>
        <v>2</v>
      </c>
      <c r="CV250" s="24">
        <v>0.93590902560492939</v>
      </c>
      <c r="CW250" s="24" t="str">
        <f t="shared" si="20"/>
        <v>1</v>
      </c>
      <c r="CX250" t="str">
        <f ca="1">IF((OFFSET($A$1, 250 - 1, 100 - 1)) &gt;= (OFFSET($A$1, 78 - 1, 7 - 1)), "1","0")</f>
        <v>1</v>
      </c>
      <c r="CY250">
        <f ca="1" xml:space="preserve"> IF( AND( OFFSET($A$1, 250 - 1, 101 - 1) = "1", OFFSET($A$1, 250 - 1, 102 - 1) = "1" ), 1, IF( AND( OFFSET($A$1, 250 - 1, 101 - 1) = "1", OFFSET($A$1, 250 - 1, 102 - 1) = "0" ), 2, IF( AND( OFFSET($A$1, 250 - 1, 101 - 1) = "0", OFFSET($A$1, 250 - 1, 102 - 1) = "1" ), 3, 4 ) ) )</f>
        <v>1</v>
      </c>
    </row>
    <row r="251" spans="95:103" ht="13.8" x14ac:dyDescent="0.3">
      <c r="CQ251" s="24">
        <v>0.95522553783994446</v>
      </c>
      <c r="CR251" s="24" t="str">
        <f t="shared" si="21"/>
        <v>1</v>
      </c>
      <c r="CS251" t="str">
        <f ca="1">IF((OFFSET($A$1, 251 - 1, 95 - 1)) &gt;= (OFFSET($A$1, 54 - 1, 7 - 1)), "1","0")</f>
        <v>0</v>
      </c>
      <c r="CT251">
        <f ca="1" xml:space="preserve"> IF( AND( OFFSET($A$1, 251 - 1, 96 - 1) = "1", OFFSET($A$1, 251 - 1, 97 - 1) = "1" ), 1, IF( AND( OFFSET($A$1, 251 - 1, 96 - 1) = "1", OFFSET($A$1, 251 - 1, 97 - 1) = "0" ), 2, IF( AND( OFFSET($A$1, 251 - 1, 96 - 1) = "0", OFFSET($A$1, 251 - 1, 97 - 1) = "1" ), 3, 4 ) ) )</f>
        <v>2</v>
      </c>
      <c r="CV251" s="24">
        <v>0.84727589558943817</v>
      </c>
      <c r="CW251" s="24" t="str">
        <f t="shared" si="20"/>
        <v>1</v>
      </c>
      <c r="CX251" t="str">
        <f ca="1">IF((OFFSET($A$1, 251 - 1, 100 - 1)) &gt;= (OFFSET($A$1, 78 - 1, 7 - 1)), "1","0")</f>
        <v>0</v>
      </c>
      <c r="CY251">
        <f ca="1" xml:space="preserve"> IF( AND( OFFSET($A$1, 251 - 1, 101 - 1) = "1", OFFSET($A$1, 251 - 1, 102 - 1) = "1" ), 1, IF( AND( OFFSET($A$1, 251 - 1, 101 - 1) = "1", OFFSET($A$1, 251 - 1, 102 - 1) = "0" ), 2, IF( AND( OFFSET($A$1, 251 - 1, 101 - 1) = "0", OFFSET($A$1, 251 - 1, 102 - 1) = "1" ), 3, 4 ) ) )</f>
        <v>2</v>
      </c>
    </row>
    <row r="252" spans="95:103" ht="13.8" x14ac:dyDescent="0.3">
      <c r="CQ252" s="24">
        <v>0.9945947590185078</v>
      </c>
      <c r="CR252" s="24" t="str">
        <f t="shared" si="21"/>
        <v>1</v>
      </c>
      <c r="CS252" t="str">
        <f ca="1">IF((OFFSET($A$1, 252 - 1, 95 - 1)) &gt;= (OFFSET($A$1, 54 - 1, 7 - 1)), "1","0")</f>
        <v>1</v>
      </c>
      <c r="CT252">
        <f ca="1" xml:space="preserve"> IF( AND( OFFSET($A$1, 252 - 1, 96 - 1) = "1", OFFSET($A$1, 252 - 1, 97 - 1) = "1" ), 1, IF( AND( OFFSET($A$1, 252 - 1, 96 - 1) = "1", OFFSET($A$1, 252 - 1, 97 - 1) = "0" ), 2, IF( AND( OFFSET($A$1, 252 - 1, 96 - 1) = "0", OFFSET($A$1, 252 - 1, 97 - 1) = "1" ), 3, 4 ) ) )</f>
        <v>1</v>
      </c>
      <c r="CV252" s="24">
        <v>0.30181194085576524</v>
      </c>
      <c r="CW252" s="24" t="str">
        <f t="shared" si="20"/>
        <v>1</v>
      </c>
      <c r="CX252" t="str">
        <f ca="1">IF((OFFSET($A$1, 252 - 1, 100 - 1)) &gt;= (OFFSET($A$1, 78 - 1, 7 - 1)), "1","0")</f>
        <v>0</v>
      </c>
      <c r="CY252">
        <f ca="1" xml:space="preserve"> IF( AND( OFFSET($A$1, 252 - 1, 101 - 1) = "1", OFFSET($A$1, 252 - 1, 102 - 1) = "1" ), 1, IF( AND( OFFSET($A$1, 252 - 1, 101 - 1) = "1", OFFSET($A$1, 252 - 1, 102 - 1) = "0" ), 2, IF( AND( OFFSET($A$1, 252 - 1, 101 - 1) = "0", OFFSET($A$1, 252 - 1, 102 - 1) = "1" ), 3, 4 ) ) )</f>
        <v>2</v>
      </c>
    </row>
    <row r="253" spans="95:103" ht="13.8" x14ac:dyDescent="0.3">
      <c r="CQ253" s="24">
        <v>0.88030775978098319</v>
      </c>
      <c r="CR253" s="24" t="str">
        <f t="shared" si="21"/>
        <v>1</v>
      </c>
      <c r="CS253" t="str">
        <f ca="1">IF((OFFSET($A$1, 253 - 1, 95 - 1)) &gt;= (OFFSET($A$1, 54 - 1, 7 - 1)), "1","0")</f>
        <v>0</v>
      </c>
      <c r="CT253">
        <f ca="1" xml:space="preserve"> IF( AND( OFFSET($A$1, 253 - 1, 96 - 1) = "1", OFFSET($A$1, 253 - 1, 97 - 1) = "1" ), 1, IF( AND( OFFSET($A$1, 253 - 1, 96 - 1) = "1", OFFSET($A$1, 253 - 1, 97 - 1) = "0" ), 2, IF( AND( OFFSET($A$1, 253 - 1, 96 - 1) = "0", OFFSET($A$1, 253 - 1, 97 - 1) = "1" ), 3, 4 ) ) )</f>
        <v>2</v>
      </c>
      <c r="CV253" s="24">
        <v>0.55159849759523005</v>
      </c>
      <c r="CW253" s="24" t="str">
        <f t="shared" si="20"/>
        <v>1</v>
      </c>
      <c r="CX253" t="str">
        <f ca="1">IF((OFFSET($A$1, 253 - 1, 100 - 1)) &gt;= (OFFSET($A$1, 78 - 1, 7 - 1)), "1","0")</f>
        <v>0</v>
      </c>
      <c r="CY253">
        <f ca="1" xml:space="preserve"> IF( AND( OFFSET($A$1, 253 - 1, 101 - 1) = "1", OFFSET($A$1, 253 - 1, 102 - 1) = "1" ), 1, IF( AND( OFFSET($A$1, 253 - 1, 101 - 1) = "1", OFFSET($A$1, 253 - 1, 102 - 1) = "0" ), 2, IF( AND( OFFSET($A$1, 253 - 1, 101 - 1) = "0", OFFSET($A$1, 253 - 1, 102 - 1) = "1" ), 3, 4 ) ) )</f>
        <v>2</v>
      </c>
    </row>
    <row r="254" spans="95:103" ht="13.8" x14ac:dyDescent="0.3">
      <c r="CQ254" s="24">
        <v>0.98208696681131447</v>
      </c>
      <c r="CR254" s="24" t="str">
        <f t="shared" si="21"/>
        <v>1</v>
      </c>
      <c r="CS254" t="str">
        <f ca="1">IF((OFFSET($A$1, 254 - 1, 95 - 1)) &gt;= (OFFSET($A$1, 54 - 1, 7 - 1)), "1","0")</f>
        <v>1</v>
      </c>
      <c r="CT254">
        <f ca="1" xml:space="preserve"> IF( AND( OFFSET($A$1, 254 - 1, 96 - 1) = "1", OFFSET($A$1, 254 - 1, 97 - 1) = "1" ), 1, IF( AND( OFFSET($A$1, 254 - 1, 96 - 1) = "1", OFFSET($A$1, 254 - 1, 97 - 1) = "0" ), 2, IF( AND( OFFSET($A$1, 254 - 1, 96 - 1) = "0", OFFSET($A$1, 254 - 1, 97 - 1) = "1" ), 3, 4 ) ) )</f>
        <v>1</v>
      </c>
      <c r="CV254" s="24">
        <v>0.9991536274096442</v>
      </c>
      <c r="CW254" s="24" t="str">
        <f t="shared" si="20"/>
        <v>1</v>
      </c>
      <c r="CX254" t="str">
        <f ca="1">IF((OFFSET($A$1, 254 - 1, 100 - 1)) &gt;= (OFFSET($A$1, 78 - 1, 7 - 1)), "1","0")</f>
        <v>1</v>
      </c>
      <c r="CY254">
        <f ca="1" xml:space="preserve"> IF( AND( OFFSET($A$1, 254 - 1, 101 - 1) = "1", OFFSET($A$1, 254 - 1, 102 - 1) = "1" ), 1, IF( AND( OFFSET($A$1, 254 - 1, 101 - 1) = "1", OFFSET($A$1, 254 - 1, 102 - 1) = "0" ), 2, IF( AND( OFFSET($A$1, 254 - 1, 101 - 1) = "0", OFFSET($A$1, 254 - 1, 102 - 1) = "1" ), 3, 4 ) ) )</f>
        <v>1</v>
      </c>
    </row>
    <row r="255" spans="95:103" ht="13.8" x14ac:dyDescent="0.3">
      <c r="CQ255" s="24">
        <v>0.99073348727141541</v>
      </c>
      <c r="CR255" s="24" t="str">
        <f t="shared" si="21"/>
        <v>1</v>
      </c>
      <c r="CS255" t="str">
        <f ca="1">IF((OFFSET($A$1, 255 - 1, 95 - 1)) &gt;= (OFFSET($A$1, 54 - 1, 7 - 1)), "1","0")</f>
        <v>1</v>
      </c>
      <c r="CT255">
        <f ca="1" xml:space="preserve"> IF( AND( OFFSET($A$1, 255 - 1, 96 - 1) = "1", OFFSET($A$1, 255 - 1, 97 - 1) = "1" ), 1, IF( AND( OFFSET($A$1, 255 - 1, 96 - 1) = "1", OFFSET($A$1, 255 - 1, 97 - 1) = "0" ), 2, IF( AND( OFFSET($A$1, 255 - 1, 96 - 1) = "0", OFFSET($A$1, 255 - 1, 97 - 1) = "1" ), 3, 4 ) ) )</f>
        <v>1</v>
      </c>
      <c r="CV255" s="24">
        <v>0.99870245802063962</v>
      </c>
      <c r="CW255" s="24" t="str">
        <f t="shared" si="20"/>
        <v>1</v>
      </c>
      <c r="CX255" t="str">
        <f ca="1">IF((OFFSET($A$1, 255 - 1, 100 - 1)) &gt;= (OFFSET($A$1, 78 - 1, 7 - 1)), "1","0")</f>
        <v>1</v>
      </c>
      <c r="CY255">
        <f ca="1" xml:space="preserve"> IF( AND( OFFSET($A$1, 255 - 1, 101 - 1) = "1", OFFSET($A$1, 255 - 1, 102 - 1) = "1" ), 1, IF( AND( OFFSET($A$1, 255 - 1, 101 - 1) = "1", OFFSET($A$1, 255 - 1, 102 - 1) = "0" ), 2, IF( AND( OFFSET($A$1, 255 - 1, 101 - 1) = "0", OFFSET($A$1, 255 - 1, 102 - 1) = "1" ), 3, 4 ) ) )</f>
        <v>1</v>
      </c>
    </row>
    <row r="256" spans="95:103" ht="13.8" x14ac:dyDescent="0.3">
      <c r="CQ256" s="24">
        <v>0.88455328157459567</v>
      </c>
      <c r="CR256" s="24" t="str">
        <f t="shared" si="21"/>
        <v>1</v>
      </c>
      <c r="CS256" t="str">
        <f ca="1">IF((OFFSET($A$1, 256 - 1, 95 - 1)) &gt;= (OFFSET($A$1, 54 - 1, 7 - 1)), "1","0")</f>
        <v>0</v>
      </c>
      <c r="CT256">
        <f ca="1" xml:space="preserve"> IF( AND( OFFSET($A$1, 256 - 1, 96 - 1) = "1", OFFSET($A$1, 256 - 1, 97 - 1) = "1" ), 1, IF( AND( OFFSET($A$1, 256 - 1, 96 - 1) = "1", OFFSET($A$1, 256 - 1, 97 - 1) = "0" ), 2, IF( AND( OFFSET($A$1, 256 - 1, 96 - 1) = "0", OFFSET($A$1, 256 - 1, 97 - 1) = "1" ), 3, 4 ) ) )</f>
        <v>2</v>
      </c>
      <c r="CV256" s="24">
        <v>0.99934764797598519</v>
      </c>
      <c r="CW256" s="24" t="str">
        <f t="shared" si="20"/>
        <v>1</v>
      </c>
      <c r="CX256" t="str">
        <f ca="1">IF((OFFSET($A$1, 256 - 1, 100 - 1)) &gt;= (OFFSET($A$1, 78 - 1, 7 - 1)), "1","0")</f>
        <v>1</v>
      </c>
      <c r="CY256">
        <f ca="1" xml:space="preserve"> IF( AND( OFFSET($A$1, 256 - 1, 101 - 1) = "1", OFFSET($A$1, 256 - 1, 102 - 1) = "1" ), 1, IF( AND( OFFSET($A$1, 256 - 1, 101 - 1) = "1", OFFSET($A$1, 256 - 1, 102 - 1) = "0" ), 2, IF( AND( OFFSET($A$1, 256 - 1, 101 - 1) = "0", OFFSET($A$1, 256 - 1, 102 - 1) = "1" ), 3, 4 ) ) )</f>
        <v>1</v>
      </c>
    </row>
    <row r="257" spans="95:103" ht="13.8" x14ac:dyDescent="0.3">
      <c r="CQ257" s="24">
        <v>0.89335447254469613</v>
      </c>
      <c r="CR257" s="24" t="str">
        <f t="shared" si="21"/>
        <v>1</v>
      </c>
      <c r="CS257" t="str">
        <f ca="1">IF((OFFSET($A$1, 257 - 1, 95 - 1)) &gt;= (OFFSET($A$1, 54 - 1, 7 - 1)), "1","0")</f>
        <v>0</v>
      </c>
      <c r="CT257">
        <f ca="1" xml:space="preserve"> IF( AND( OFFSET($A$1, 257 - 1, 96 - 1) = "1", OFFSET($A$1, 257 - 1, 97 - 1) = "1" ), 1, IF( AND( OFFSET($A$1, 257 - 1, 96 - 1) = "1", OFFSET($A$1, 257 - 1, 97 - 1) = "0" ), 2, IF( AND( OFFSET($A$1, 257 - 1, 96 - 1) = "0", OFFSET($A$1, 257 - 1, 97 - 1) = "1" ), 3, 4 ) ) )</f>
        <v>2</v>
      </c>
      <c r="CV257" s="24">
        <v>0.9979183476158483</v>
      </c>
      <c r="CW257" s="24" t="str">
        <f t="shared" si="20"/>
        <v>1</v>
      </c>
      <c r="CX257" t="str">
        <f ca="1">IF((OFFSET($A$1, 257 - 1, 100 - 1)) &gt;= (OFFSET($A$1, 78 - 1, 7 - 1)), "1","0")</f>
        <v>1</v>
      </c>
      <c r="CY257">
        <f ca="1" xml:space="preserve"> IF( AND( OFFSET($A$1, 257 - 1, 101 - 1) = "1", OFFSET($A$1, 257 - 1, 102 - 1) = "1" ), 1, IF( AND( OFFSET($A$1, 257 - 1, 101 - 1) = "1", OFFSET($A$1, 257 - 1, 102 - 1) = "0" ), 2, IF( AND( OFFSET($A$1, 257 - 1, 101 - 1) = "0", OFFSET($A$1, 257 - 1, 102 - 1) = "1" ), 3, 4 ) ) )</f>
        <v>1</v>
      </c>
    </row>
    <row r="258" spans="95:103" ht="13.8" x14ac:dyDescent="0.3">
      <c r="CQ258" s="24">
        <v>0.98977218566989333</v>
      </c>
      <c r="CR258" s="24" t="str">
        <f t="shared" si="21"/>
        <v>1</v>
      </c>
      <c r="CS258" t="str">
        <f ca="1">IF((OFFSET($A$1, 258 - 1, 95 - 1)) &gt;= (OFFSET($A$1, 54 - 1, 7 - 1)), "1","0")</f>
        <v>1</v>
      </c>
      <c r="CT258">
        <f ca="1" xml:space="preserve"> IF( AND( OFFSET($A$1, 258 - 1, 96 - 1) = "1", OFFSET($A$1, 258 - 1, 97 - 1) = "1" ), 1, IF( AND( OFFSET($A$1, 258 - 1, 96 - 1) = "1", OFFSET($A$1, 258 - 1, 97 - 1) = "0" ), 2, IF( AND( OFFSET($A$1, 258 - 1, 96 - 1) = "0", OFFSET($A$1, 258 - 1, 97 - 1) = "1" ), 3, 4 ) ) )</f>
        <v>1</v>
      </c>
      <c r="CV258" s="24">
        <v>0.9999554900796026</v>
      </c>
      <c r="CW258" s="24" t="str">
        <f t="shared" si="20"/>
        <v>1</v>
      </c>
      <c r="CX258" t="str">
        <f ca="1">IF((OFFSET($A$1, 258 - 1, 100 - 1)) &gt;= (OFFSET($A$1, 78 - 1, 7 - 1)), "1","0")</f>
        <v>1</v>
      </c>
      <c r="CY258">
        <f ca="1" xml:space="preserve"> IF( AND( OFFSET($A$1, 258 - 1, 101 - 1) = "1", OFFSET($A$1, 258 - 1, 102 - 1) = "1" ), 1, IF( AND( OFFSET($A$1, 258 - 1, 101 - 1) = "1", OFFSET($A$1, 258 - 1, 102 - 1) = "0" ), 2, IF( AND( OFFSET($A$1, 258 - 1, 101 - 1) = "0", OFFSET($A$1, 258 - 1, 102 - 1) = "1" ), 3, 4 ) ) )</f>
        <v>1</v>
      </c>
    </row>
    <row r="259" spans="95:103" ht="13.8" x14ac:dyDescent="0.3">
      <c r="CQ259" s="24">
        <v>7.9909029147419069E-2</v>
      </c>
      <c r="CR259" s="24" t="str">
        <f>"0"</f>
        <v>0</v>
      </c>
      <c r="CS259" t="str">
        <f ca="1">IF((OFFSET($A$1, 259 - 1, 95 - 1)) &gt;= (OFFSET($A$1, 54 - 1, 7 - 1)), "1","0")</f>
        <v>0</v>
      </c>
      <c r="CT259">
        <f ca="1" xml:space="preserve"> IF( AND( OFFSET($A$1, 259 - 1, 96 - 1) = "1", OFFSET($A$1, 259 - 1, 97 - 1) = "1" ), 1, IF( AND( OFFSET($A$1, 259 - 1, 96 - 1) = "1", OFFSET($A$1, 259 - 1, 97 - 1) = "0" ), 2, IF( AND( OFFSET($A$1, 259 - 1, 96 - 1) = "0", OFFSET($A$1, 259 - 1, 97 - 1) = "1" ), 3, 4 ) ) )</f>
        <v>4</v>
      </c>
      <c r="CV259" s="24">
        <v>3.1298939489057209E-2</v>
      </c>
      <c r="CW259" s="24" t="str">
        <f>"0"</f>
        <v>0</v>
      </c>
      <c r="CX259" t="str">
        <f ca="1">IF((OFFSET($A$1, 259 - 1, 100 - 1)) &gt;= (OFFSET($A$1, 78 - 1, 7 - 1)), "1","0")</f>
        <v>0</v>
      </c>
      <c r="CY259">
        <f ca="1" xml:space="preserve"> IF( AND( OFFSET($A$1, 259 - 1, 101 - 1) = "1", OFFSET($A$1, 259 - 1, 102 - 1) = "1" ), 1, IF( AND( OFFSET($A$1, 259 - 1, 101 - 1) = "1", OFFSET($A$1, 259 - 1, 102 - 1) = "0" ), 2, IF( AND( OFFSET($A$1, 259 - 1, 101 - 1) = "0", OFFSET($A$1, 259 - 1, 102 - 1) = "1" ), 3, 4 ) ) )</f>
        <v>4</v>
      </c>
    </row>
    <row r="260" spans="95:103" ht="13.8" x14ac:dyDescent="0.3">
      <c r="CQ260" s="24">
        <v>0.91266206618419321</v>
      </c>
      <c r="CR260" s="24" t="str">
        <f>"1"</f>
        <v>1</v>
      </c>
      <c r="CS260" t="str">
        <f ca="1">IF((OFFSET($A$1, 260 - 1, 95 - 1)) &gt;= (OFFSET($A$1, 54 - 1, 7 - 1)), "1","0")</f>
        <v>0</v>
      </c>
      <c r="CT260">
        <f ca="1" xml:space="preserve"> IF( AND( OFFSET($A$1, 260 - 1, 96 - 1) = "1", OFFSET($A$1, 260 - 1, 97 - 1) = "1" ), 1, IF( AND( OFFSET($A$1, 260 - 1, 96 - 1) = "1", OFFSET($A$1, 260 - 1, 97 - 1) = "0" ), 2, IF( AND( OFFSET($A$1, 260 - 1, 96 - 1) = "0", OFFSET($A$1, 260 - 1, 97 - 1) = "1" ), 3, 4 ) ) )</f>
        <v>2</v>
      </c>
      <c r="CV260" s="24">
        <v>0.99882860102140458</v>
      </c>
      <c r="CW260" s="24" t="str">
        <f>"1"</f>
        <v>1</v>
      </c>
      <c r="CX260" t="str">
        <f ca="1">IF((OFFSET($A$1, 260 - 1, 100 - 1)) &gt;= (OFFSET($A$1, 78 - 1, 7 - 1)), "1","0")</f>
        <v>1</v>
      </c>
      <c r="CY260">
        <f ca="1" xml:space="preserve"> IF( AND( OFFSET($A$1, 260 - 1, 101 - 1) = "1", OFFSET($A$1, 260 - 1, 102 - 1) = "1" ), 1, IF( AND( OFFSET($A$1, 260 - 1, 101 - 1) = "1", OFFSET($A$1, 260 - 1, 102 - 1) = "0" ), 2, IF( AND( OFFSET($A$1, 260 - 1, 101 - 1) = "0", OFFSET($A$1, 260 - 1, 102 - 1) = "1" ), 3, 4 ) ) )</f>
        <v>1</v>
      </c>
    </row>
    <row r="261" spans="95:103" ht="13.8" x14ac:dyDescent="0.3">
      <c r="CQ261" s="24">
        <v>6.0504885219013933E-2</v>
      </c>
      <c r="CR261" s="24" t="str">
        <f>"0"</f>
        <v>0</v>
      </c>
      <c r="CS261" t="str">
        <f ca="1">IF((OFFSET($A$1, 261 - 1, 95 - 1)) &gt;= (OFFSET($A$1, 54 - 1, 7 - 1)), "1","0")</f>
        <v>0</v>
      </c>
      <c r="CT261">
        <f ca="1" xml:space="preserve"> IF( AND( OFFSET($A$1, 261 - 1, 96 - 1) = "1", OFFSET($A$1, 261 - 1, 97 - 1) = "1" ), 1, IF( AND( OFFSET($A$1, 261 - 1, 96 - 1) = "1", OFFSET($A$1, 261 - 1, 97 - 1) = "0" ), 2, IF( AND( OFFSET($A$1, 261 - 1, 96 - 1) = "0", OFFSET($A$1, 261 - 1, 97 - 1) = "1" ), 3, 4 ) ) )</f>
        <v>4</v>
      </c>
      <c r="CV261" s="24">
        <v>0.99596883136799952</v>
      </c>
      <c r="CW261" s="24" t="str">
        <f>"0"</f>
        <v>0</v>
      </c>
      <c r="CX261" t="str">
        <f ca="1">IF((OFFSET($A$1, 261 - 1, 100 - 1)) &gt;= (OFFSET($A$1, 78 - 1, 7 - 1)), "1","0")</f>
        <v>1</v>
      </c>
      <c r="CY261">
        <f ca="1" xml:space="preserve"> IF( AND( OFFSET($A$1, 261 - 1, 101 - 1) = "1", OFFSET($A$1, 261 - 1, 102 - 1) = "1" ), 1, IF( AND( OFFSET($A$1, 261 - 1, 101 - 1) = "1", OFFSET($A$1, 261 - 1, 102 - 1) = "0" ), 2, IF( AND( OFFSET($A$1, 261 - 1, 101 - 1) = "0", OFFSET($A$1, 261 - 1, 102 - 1) = "1" ), 3, 4 ) ) )</f>
        <v>3</v>
      </c>
    </row>
    <row r="262" spans="95:103" ht="13.8" x14ac:dyDescent="0.3">
      <c r="CQ262" s="24">
        <v>0.99748820393453286</v>
      </c>
      <c r="CR262" s="24" t="str">
        <f>"1"</f>
        <v>1</v>
      </c>
      <c r="CS262" t="str">
        <f ca="1">IF((OFFSET($A$1, 262 - 1, 95 - 1)) &gt;= (OFFSET($A$1, 54 - 1, 7 - 1)), "1","0")</f>
        <v>1</v>
      </c>
      <c r="CT262">
        <f ca="1" xml:space="preserve"> IF( AND( OFFSET($A$1, 262 - 1, 96 - 1) = "1", OFFSET($A$1, 262 - 1, 97 - 1) = "1" ), 1, IF( AND( OFFSET($A$1, 262 - 1, 96 - 1) = "1", OFFSET($A$1, 262 - 1, 97 - 1) = "0" ), 2, IF( AND( OFFSET($A$1, 262 - 1, 96 - 1) = "0", OFFSET($A$1, 262 - 1, 97 - 1) = "1" ), 3, 4 ) ) )</f>
        <v>1</v>
      </c>
      <c r="CV262" s="24">
        <v>0.66569175834813943</v>
      </c>
      <c r="CW262" s="24" t="str">
        <f>"0"</f>
        <v>0</v>
      </c>
      <c r="CX262" t="str">
        <f ca="1">IF((OFFSET($A$1, 262 - 1, 100 - 1)) &gt;= (OFFSET($A$1, 78 - 1, 7 - 1)), "1","0")</f>
        <v>0</v>
      </c>
      <c r="CY262">
        <f ca="1" xml:space="preserve"> IF( AND( OFFSET($A$1, 262 - 1, 101 - 1) = "1", OFFSET($A$1, 262 - 1, 102 - 1) = "1" ), 1, IF( AND( OFFSET($A$1, 262 - 1, 101 - 1) = "1", OFFSET($A$1, 262 - 1, 102 - 1) = "0" ), 2, IF( AND( OFFSET($A$1, 262 - 1, 101 - 1) = "0", OFFSET($A$1, 262 - 1, 102 - 1) = "1" ), 3, 4 ) ) )</f>
        <v>4</v>
      </c>
    </row>
    <row r="263" spans="95:103" ht="13.8" x14ac:dyDescent="0.3">
      <c r="CQ263" s="24">
        <v>3.00605685928459E-2</v>
      </c>
      <c r="CR263" s="24" t="str">
        <f>"0"</f>
        <v>0</v>
      </c>
      <c r="CS263" t="str">
        <f ca="1">IF((OFFSET($A$1, 263 - 1, 95 - 1)) &gt;= (OFFSET($A$1, 54 - 1, 7 - 1)), "1","0")</f>
        <v>0</v>
      </c>
      <c r="CT263">
        <f ca="1" xml:space="preserve"> IF( AND( OFFSET($A$1, 263 - 1, 96 - 1) = "1", OFFSET($A$1, 263 - 1, 97 - 1) = "1" ), 1, IF( AND( OFFSET($A$1, 263 - 1, 96 - 1) = "1", OFFSET($A$1, 263 - 1, 97 - 1) = "0" ), 2, IF( AND( OFFSET($A$1, 263 - 1, 96 - 1) = "0", OFFSET($A$1, 263 - 1, 97 - 1) = "1" ), 3, 4 ) ) )</f>
        <v>4</v>
      </c>
      <c r="CV263" s="24">
        <v>0.74660923634719956</v>
      </c>
      <c r="CW263" s="24" t="str">
        <f>"0"</f>
        <v>0</v>
      </c>
      <c r="CX263" t="str">
        <f ca="1">IF((OFFSET($A$1, 263 - 1, 100 - 1)) &gt;= (OFFSET($A$1, 78 - 1, 7 - 1)), "1","0")</f>
        <v>0</v>
      </c>
      <c r="CY263">
        <f ca="1" xml:space="preserve"> IF( AND( OFFSET($A$1, 263 - 1, 101 - 1) = "1", OFFSET($A$1, 263 - 1, 102 - 1) = "1" ), 1, IF( AND( OFFSET($A$1, 263 - 1, 101 - 1) = "1", OFFSET($A$1, 263 - 1, 102 - 1) = "0" ), 2, IF( AND( OFFSET($A$1, 263 - 1, 101 - 1) = "0", OFFSET($A$1, 263 - 1, 102 - 1) = "1" ), 3, 4 ) ) )</f>
        <v>4</v>
      </c>
    </row>
    <row r="264" spans="95:103" ht="13.8" x14ac:dyDescent="0.3">
      <c r="CQ264" s="24">
        <v>0.14104848695902211</v>
      </c>
      <c r="CR264" s="24" t="str">
        <f>"0"</f>
        <v>0</v>
      </c>
      <c r="CS264" t="str">
        <f ca="1">IF((OFFSET($A$1, 264 - 1, 95 - 1)) &gt;= (OFFSET($A$1, 54 - 1, 7 - 1)), "1","0")</f>
        <v>0</v>
      </c>
      <c r="CT264">
        <f ca="1" xml:space="preserve"> IF( AND( OFFSET($A$1, 264 - 1, 96 - 1) = "1", OFFSET($A$1, 264 - 1, 97 - 1) = "1" ), 1, IF( AND( OFFSET($A$1, 264 - 1, 96 - 1) = "1", OFFSET($A$1, 264 - 1, 97 - 1) = "0" ), 2, IF( AND( OFFSET($A$1, 264 - 1, 96 - 1) = "0", OFFSET($A$1, 264 - 1, 97 - 1) = "1" ), 3, 4 ) ) )</f>
        <v>4</v>
      </c>
      <c r="CV264" s="24">
        <v>0.27170217823976417</v>
      </c>
      <c r="CW264" s="24" t="str">
        <f>"1"</f>
        <v>1</v>
      </c>
      <c r="CX264" t="str">
        <f ca="1">IF((OFFSET($A$1, 264 - 1, 100 - 1)) &gt;= (OFFSET($A$1, 78 - 1, 7 - 1)), "1","0")</f>
        <v>0</v>
      </c>
      <c r="CY264">
        <f ca="1" xml:space="preserve"> IF( AND( OFFSET($A$1, 264 - 1, 101 - 1) = "1", OFFSET($A$1, 264 - 1, 102 - 1) = "1" ), 1, IF( AND( OFFSET($A$1, 264 - 1, 101 - 1) = "1", OFFSET($A$1, 264 - 1, 102 - 1) = "0" ), 2, IF( AND( OFFSET($A$1, 264 - 1, 101 - 1) = "0", OFFSET($A$1, 264 - 1, 102 - 1) = "1" ), 3, 4 ) ) )</f>
        <v>2</v>
      </c>
    </row>
    <row r="265" spans="95:103" ht="13.8" x14ac:dyDescent="0.3">
      <c r="CQ265" s="24">
        <v>0.9798345921271242</v>
      </c>
      <c r="CR265" s="24" t="str">
        <f>"1"</f>
        <v>1</v>
      </c>
      <c r="CS265" t="str">
        <f ca="1">IF((OFFSET($A$1, 265 - 1, 95 - 1)) &gt;= (OFFSET($A$1, 54 - 1, 7 - 1)), "1","0")</f>
        <v>1</v>
      </c>
      <c r="CT265">
        <f ca="1" xml:space="preserve"> IF( AND( OFFSET($A$1, 265 - 1, 96 - 1) = "1", OFFSET($A$1, 265 - 1, 97 - 1) = "1" ), 1, IF( AND( OFFSET($A$1, 265 - 1, 96 - 1) = "1", OFFSET($A$1, 265 - 1, 97 - 1) = "0" ), 2, IF( AND( OFFSET($A$1, 265 - 1, 96 - 1) = "0", OFFSET($A$1, 265 - 1, 97 - 1) = "1" ), 3, 4 ) ) )</f>
        <v>1</v>
      </c>
      <c r="CV265" s="24">
        <v>7.2376086287305616E-2</v>
      </c>
      <c r="CW265" s="24" t="str">
        <f>"1"</f>
        <v>1</v>
      </c>
      <c r="CX265" t="str">
        <f ca="1">IF((OFFSET($A$1, 265 - 1, 100 - 1)) &gt;= (OFFSET($A$1, 78 - 1, 7 - 1)), "1","0")</f>
        <v>0</v>
      </c>
      <c r="CY265">
        <f ca="1" xml:space="preserve"> IF( AND( OFFSET($A$1, 265 - 1, 101 - 1) = "1", OFFSET($A$1, 265 - 1, 102 - 1) = "1" ), 1, IF( AND( OFFSET($A$1, 265 - 1, 101 - 1) = "1", OFFSET($A$1, 265 - 1, 102 - 1) = "0" ), 2, IF( AND( OFFSET($A$1, 265 - 1, 101 - 1) = "0", OFFSET($A$1, 265 - 1, 102 - 1) = "1" ), 3, 4 ) ) )</f>
        <v>2</v>
      </c>
    </row>
    <row r="266" spans="95:103" ht="13.8" x14ac:dyDescent="0.3">
      <c r="CQ266" s="24">
        <v>1.7219683242529042E-2</v>
      </c>
      <c r="CR266" s="24" t="str">
        <f>"0"</f>
        <v>0</v>
      </c>
      <c r="CS266" t="str">
        <f ca="1">IF((OFFSET($A$1, 266 - 1, 95 - 1)) &gt;= (OFFSET($A$1, 54 - 1, 7 - 1)), "1","0")</f>
        <v>0</v>
      </c>
      <c r="CT266">
        <f ca="1" xml:space="preserve"> IF( AND( OFFSET($A$1, 266 - 1, 96 - 1) = "1", OFFSET($A$1, 266 - 1, 97 - 1) = "1" ), 1, IF( AND( OFFSET($A$1, 266 - 1, 96 - 1) = "1", OFFSET($A$1, 266 - 1, 97 - 1) = "0" ), 2, IF( AND( OFFSET($A$1, 266 - 1, 96 - 1) = "0", OFFSET($A$1, 266 - 1, 97 - 1) = "1" ), 3, 4 ) ) )</f>
        <v>4</v>
      </c>
      <c r="CV266" s="24">
        <v>0.9814617624813855</v>
      </c>
      <c r="CW266" s="24" t="str">
        <f>"1"</f>
        <v>1</v>
      </c>
      <c r="CX266" t="str">
        <f ca="1">IF((OFFSET($A$1, 266 - 1, 100 - 1)) &gt;= (OFFSET($A$1, 78 - 1, 7 - 1)), "1","0")</f>
        <v>1</v>
      </c>
      <c r="CY266">
        <f ca="1" xml:space="preserve"> IF( AND( OFFSET($A$1, 266 - 1, 101 - 1) = "1", OFFSET($A$1, 266 - 1, 102 - 1) = "1" ), 1, IF( AND( OFFSET($A$1, 266 - 1, 101 - 1) = "1", OFFSET($A$1, 266 - 1, 102 - 1) = "0" ), 2, IF( AND( OFFSET($A$1, 266 - 1, 101 - 1) = "0", OFFSET($A$1, 266 - 1, 102 - 1) = "1" ), 3, 4 ) ) )</f>
        <v>1</v>
      </c>
    </row>
    <row r="267" spans="95:103" ht="13.8" x14ac:dyDescent="0.3">
      <c r="CQ267" s="24">
        <v>0.95980341281838855</v>
      </c>
      <c r="CR267" s="24" t="str">
        <f>"1"</f>
        <v>1</v>
      </c>
      <c r="CS267" t="str">
        <f ca="1">IF((OFFSET($A$1, 267 - 1, 95 - 1)) &gt;= (OFFSET($A$1, 54 - 1, 7 - 1)), "1","0")</f>
        <v>0</v>
      </c>
      <c r="CT267">
        <f ca="1" xml:space="preserve"> IF( AND( OFFSET($A$1, 267 - 1, 96 - 1) = "1", OFFSET($A$1, 267 - 1, 97 - 1) = "1" ), 1, IF( AND( OFFSET($A$1, 267 - 1, 96 - 1) = "1", OFFSET($A$1, 267 - 1, 97 - 1) = "0" ), 2, IF( AND( OFFSET($A$1, 267 - 1, 96 - 1) = "0", OFFSET($A$1, 267 - 1, 97 - 1) = "1" ), 3, 4 ) ) )</f>
        <v>2</v>
      </c>
      <c r="CV267" s="24">
        <v>0.28561263707869167</v>
      </c>
      <c r="CW267" s="24" t="str">
        <f>"0"</f>
        <v>0</v>
      </c>
      <c r="CX267" t="str">
        <f ca="1">IF((OFFSET($A$1, 267 - 1, 100 - 1)) &gt;= (OFFSET($A$1, 78 - 1, 7 - 1)), "1","0")</f>
        <v>0</v>
      </c>
      <c r="CY267">
        <f ca="1" xml:space="preserve"> IF( AND( OFFSET($A$1, 267 - 1, 101 - 1) = "1", OFFSET($A$1, 267 - 1, 102 - 1) = "1" ), 1, IF( AND( OFFSET($A$1, 267 - 1, 101 - 1) = "1", OFFSET($A$1, 267 - 1, 102 - 1) = "0" ), 2, IF( AND( OFFSET($A$1, 267 - 1, 101 - 1) = "0", OFFSET($A$1, 267 - 1, 102 - 1) = "1" ), 3, 4 ) ) )</f>
        <v>4</v>
      </c>
    </row>
    <row r="268" spans="95:103" ht="13.8" x14ac:dyDescent="0.3">
      <c r="CQ268" s="24">
        <v>0.13210396607803762</v>
      </c>
      <c r="CR268" s="24" t="str">
        <f>"0"</f>
        <v>0</v>
      </c>
      <c r="CS268" t="str">
        <f ca="1">IF((OFFSET($A$1, 268 - 1, 95 - 1)) &gt;= (OFFSET($A$1, 54 - 1, 7 - 1)), "1","0")</f>
        <v>0</v>
      </c>
      <c r="CT268">
        <f ca="1" xml:space="preserve"> IF( AND( OFFSET($A$1, 268 - 1, 96 - 1) = "1", OFFSET($A$1, 268 - 1, 97 - 1) = "1" ), 1, IF( AND( OFFSET($A$1, 268 - 1, 96 - 1) = "1", OFFSET($A$1, 268 - 1, 97 - 1) = "0" ), 2, IF( AND( OFFSET($A$1, 268 - 1, 96 - 1) = "0", OFFSET($A$1, 268 - 1, 97 - 1) = "1" ), 3, 4 ) ) )</f>
        <v>4</v>
      </c>
      <c r="CV268" s="24">
        <v>0.81387702290627728</v>
      </c>
      <c r="CW268" s="24" t="str">
        <f t="shared" ref="CW268:CW274" si="22">"1"</f>
        <v>1</v>
      </c>
      <c r="CX268" t="str">
        <f ca="1">IF((OFFSET($A$1, 268 - 1, 100 - 1)) &gt;= (OFFSET($A$1, 78 - 1, 7 - 1)), "1","0")</f>
        <v>0</v>
      </c>
      <c r="CY268">
        <f ca="1" xml:space="preserve"> IF( AND( OFFSET($A$1, 268 - 1, 101 - 1) = "1", OFFSET($A$1, 268 - 1, 102 - 1) = "1" ), 1, IF( AND( OFFSET($A$1, 268 - 1, 101 - 1) = "1", OFFSET($A$1, 268 - 1, 102 - 1) = "0" ), 2, IF( AND( OFFSET($A$1, 268 - 1, 101 - 1) = "0", OFFSET($A$1, 268 - 1, 102 - 1) = "1" ), 3, 4 ) ) )</f>
        <v>2</v>
      </c>
    </row>
    <row r="269" spans="95:103" ht="13.8" x14ac:dyDescent="0.3">
      <c r="CQ269" s="24">
        <v>0.84881641903593186</v>
      </c>
      <c r="CR269" s="24" t="str">
        <f>"1"</f>
        <v>1</v>
      </c>
      <c r="CS269" t="str">
        <f ca="1">IF((OFFSET($A$1, 269 - 1, 95 - 1)) &gt;= (OFFSET($A$1, 54 - 1, 7 - 1)), "1","0")</f>
        <v>0</v>
      </c>
      <c r="CT269">
        <f ca="1" xml:space="preserve"> IF( AND( OFFSET($A$1, 269 - 1, 96 - 1) = "1", OFFSET($A$1, 269 - 1, 97 - 1) = "1" ), 1, IF( AND( OFFSET($A$1, 269 - 1, 96 - 1) = "1", OFFSET($A$1, 269 - 1, 97 - 1) = "0" ), 2, IF( AND( OFFSET($A$1, 269 - 1, 96 - 1) = "0", OFFSET($A$1, 269 - 1, 97 - 1) = "1" ), 3, 4 ) ) )</f>
        <v>2</v>
      </c>
      <c r="CV269" s="24">
        <v>0.25439070538300651</v>
      </c>
      <c r="CW269" s="24" t="str">
        <f t="shared" si="22"/>
        <v>1</v>
      </c>
      <c r="CX269" t="str">
        <f ca="1">IF((OFFSET($A$1, 269 - 1, 100 - 1)) &gt;= (OFFSET($A$1, 78 - 1, 7 - 1)), "1","0")</f>
        <v>0</v>
      </c>
      <c r="CY269">
        <f ca="1" xml:space="preserve"> IF( AND( OFFSET($A$1, 269 - 1, 101 - 1) = "1", OFFSET($A$1, 269 - 1, 102 - 1) = "1" ), 1, IF( AND( OFFSET($A$1, 269 - 1, 101 - 1) = "1", OFFSET($A$1, 269 - 1, 102 - 1) = "0" ), 2, IF( AND( OFFSET($A$1, 269 - 1, 101 - 1) = "0", OFFSET($A$1, 269 - 1, 102 - 1) = "1" ), 3, 4 ) ) )</f>
        <v>2</v>
      </c>
    </row>
    <row r="270" spans="95:103" ht="13.8" x14ac:dyDescent="0.3">
      <c r="CQ270" s="24">
        <v>0.98987230560195705</v>
      </c>
      <c r="CR270" s="24" t="str">
        <f>"1"</f>
        <v>1</v>
      </c>
      <c r="CS270" t="str">
        <f ca="1">IF((OFFSET($A$1, 270 - 1, 95 - 1)) &gt;= (OFFSET($A$1, 54 - 1, 7 - 1)), "1","0")</f>
        <v>1</v>
      </c>
      <c r="CT270">
        <f ca="1" xml:space="preserve"> IF( AND( OFFSET($A$1, 270 - 1, 96 - 1) = "1", OFFSET($A$1, 270 - 1, 97 - 1) = "1" ), 1, IF( AND( OFFSET($A$1, 270 - 1, 96 - 1) = "1", OFFSET($A$1, 270 - 1, 97 - 1) = "0" ), 2, IF( AND( OFFSET($A$1, 270 - 1, 96 - 1) = "0", OFFSET($A$1, 270 - 1, 97 - 1) = "1" ), 3, 4 ) ) )</f>
        <v>1</v>
      </c>
      <c r="CV270" s="24">
        <v>0.99985698742572582</v>
      </c>
      <c r="CW270" s="24" t="str">
        <f t="shared" si="22"/>
        <v>1</v>
      </c>
      <c r="CX270" t="str">
        <f ca="1">IF((OFFSET($A$1, 270 - 1, 100 - 1)) &gt;= (OFFSET($A$1, 78 - 1, 7 - 1)), "1","0")</f>
        <v>1</v>
      </c>
      <c r="CY270">
        <f ca="1" xml:space="preserve"> IF( AND( OFFSET($A$1, 270 - 1, 101 - 1) = "1", OFFSET($A$1, 270 - 1, 102 - 1) = "1" ), 1, IF( AND( OFFSET($A$1, 270 - 1, 101 - 1) = "1", OFFSET($A$1, 270 - 1, 102 - 1) = "0" ), 2, IF( AND( OFFSET($A$1, 270 - 1, 101 - 1) = "0", OFFSET($A$1, 270 - 1, 102 - 1) = "1" ), 3, 4 ) ) )</f>
        <v>1</v>
      </c>
    </row>
    <row r="271" spans="95:103" ht="13.8" x14ac:dyDescent="0.3">
      <c r="CQ271" s="24">
        <v>6.0636575422759867E-2</v>
      </c>
      <c r="CR271" s="24" t="str">
        <f>"0"</f>
        <v>0</v>
      </c>
      <c r="CS271" t="str">
        <f ca="1">IF((OFFSET($A$1, 271 - 1, 95 - 1)) &gt;= (OFFSET($A$1, 54 - 1, 7 - 1)), "1","0")</f>
        <v>0</v>
      </c>
      <c r="CT271">
        <f ca="1" xml:space="preserve"> IF( AND( OFFSET($A$1, 271 - 1, 96 - 1) = "1", OFFSET($A$1, 271 - 1, 97 - 1) = "1" ), 1, IF( AND( OFFSET($A$1, 271 - 1, 96 - 1) = "1", OFFSET($A$1, 271 - 1, 97 - 1) = "0" ), 2, IF( AND( OFFSET($A$1, 271 - 1, 96 - 1) = "0", OFFSET($A$1, 271 - 1, 97 - 1) = "1" ), 3, 4 ) ) )</f>
        <v>4</v>
      </c>
      <c r="CV271" s="24">
        <v>0.85714977550474847</v>
      </c>
      <c r="CW271" s="24" t="str">
        <f t="shared" si="22"/>
        <v>1</v>
      </c>
      <c r="CX271" t="str">
        <f ca="1">IF((OFFSET($A$1, 271 - 1, 100 - 1)) &gt;= (OFFSET($A$1, 78 - 1, 7 - 1)), "1","0")</f>
        <v>0</v>
      </c>
      <c r="CY271">
        <f ca="1" xml:space="preserve"> IF( AND( OFFSET($A$1, 271 - 1, 101 - 1) = "1", OFFSET($A$1, 271 - 1, 102 - 1) = "1" ), 1, IF( AND( OFFSET($A$1, 271 - 1, 101 - 1) = "1", OFFSET($A$1, 271 - 1, 102 - 1) = "0" ), 2, IF( AND( OFFSET($A$1, 271 - 1, 101 - 1) = "0", OFFSET($A$1, 271 - 1, 102 - 1) = "1" ), 3, 4 ) ) )</f>
        <v>2</v>
      </c>
    </row>
    <row r="272" spans="95:103" ht="13.8" x14ac:dyDescent="0.3">
      <c r="CQ272" s="24">
        <v>0.99948862516540993</v>
      </c>
      <c r="CR272" s="24" t="str">
        <f t="shared" ref="CR272:CR282" si="23">"1"</f>
        <v>1</v>
      </c>
      <c r="CS272" t="str">
        <f ca="1">IF((OFFSET($A$1, 272 - 1, 95 - 1)) &gt;= (OFFSET($A$1, 54 - 1, 7 - 1)), "1","0")</f>
        <v>1</v>
      </c>
      <c r="CT272">
        <f ca="1" xml:space="preserve"> IF( AND( OFFSET($A$1, 272 - 1, 96 - 1) = "1", OFFSET($A$1, 272 - 1, 97 - 1) = "1" ), 1, IF( AND( OFFSET($A$1, 272 - 1, 96 - 1) = "1", OFFSET($A$1, 272 - 1, 97 - 1) = "0" ), 2, IF( AND( OFFSET($A$1, 272 - 1, 96 - 1) = "0", OFFSET($A$1, 272 - 1, 97 - 1) = "1" ), 3, 4 ) ) )</f>
        <v>1</v>
      </c>
      <c r="CV272" s="24">
        <v>0.90469997575142258</v>
      </c>
      <c r="CW272" s="24" t="str">
        <f t="shared" si="22"/>
        <v>1</v>
      </c>
      <c r="CX272" t="str">
        <f ca="1">IF((OFFSET($A$1, 272 - 1, 100 - 1)) &gt;= (OFFSET($A$1, 78 - 1, 7 - 1)), "1","0")</f>
        <v>1</v>
      </c>
      <c r="CY272">
        <f ca="1" xml:space="preserve"> IF( AND( OFFSET($A$1, 272 - 1, 101 - 1) = "1", OFFSET($A$1, 272 - 1, 102 - 1) = "1" ), 1, IF( AND( OFFSET($A$1, 272 - 1, 101 - 1) = "1", OFFSET($A$1, 272 - 1, 102 - 1) = "0" ), 2, IF( AND( OFFSET($A$1, 272 - 1, 101 - 1) = "0", OFFSET($A$1, 272 - 1, 102 - 1) = "1" ), 3, 4 ) ) )</f>
        <v>1</v>
      </c>
    </row>
    <row r="273" spans="95:103" ht="13.8" x14ac:dyDescent="0.3">
      <c r="CQ273" s="24">
        <v>0.86449073986551261</v>
      </c>
      <c r="CR273" s="24" t="str">
        <f t="shared" si="23"/>
        <v>1</v>
      </c>
      <c r="CS273" t="str">
        <f ca="1">IF((OFFSET($A$1, 273 - 1, 95 - 1)) &gt;= (OFFSET($A$1, 54 - 1, 7 - 1)), "1","0")</f>
        <v>0</v>
      </c>
      <c r="CT273">
        <f ca="1" xml:space="preserve"> IF( AND( OFFSET($A$1, 273 - 1, 96 - 1) = "1", OFFSET($A$1, 273 - 1, 97 - 1) = "1" ), 1, IF( AND( OFFSET($A$1, 273 - 1, 96 - 1) = "1", OFFSET($A$1, 273 - 1, 97 - 1) = "0" ), 2, IF( AND( OFFSET($A$1, 273 - 1, 96 - 1) = "0", OFFSET($A$1, 273 - 1, 97 - 1) = "1" ), 3, 4 ) ) )</f>
        <v>2</v>
      </c>
      <c r="CV273" s="24">
        <v>0.7833590770740021</v>
      </c>
      <c r="CW273" s="24" t="str">
        <f t="shared" si="22"/>
        <v>1</v>
      </c>
      <c r="CX273" t="str">
        <f ca="1">IF((OFFSET($A$1, 273 - 1, 100 - 1)) &gt;= (OFFSET($A$1, 78 - 1, 7 - 1)), "1","0")</f>
        <v>0</v>
      </c>
      <c r="CY273">
        <f ca="1" xml:space="preserve"> IF( AND( OFFSET($A$1, 273 - 1, 101 - 1) = "1", OFFSET($A$1, 273 - 1, 102 - 1) = "1" ), 1, IF( AND( OFFSET($A$1, 273 - 1, 101 - 1) = "1", OFFSET($A$1, 273 - 1, 102 - 1) = "0" ), 2, IF( AND( OFFSET($A$1, 273 - 1, 101 - 1) = "0", OFFSET($A$1, 273 - 1, 102 - 1) = "1" ), 3, 4 ) ) )</f>
        <v>2</v>
      </c>
    </row>
    <row r="274" spans="95:103" ht="13.8" x14ac:dyDescent="0.3">
      <c r="CQ274" s="24">
        <v>0.9436512419931613</v>
      </c>
      <c r="CR274" s="24" t="str">
        <f t="shared" si="23"/>
        <v>1</v>
      </c>
      <c r="CS274" t="str">
        <f ca="1">IF((OFFSET($A$1, 274 - 1, 95 - 1)) &gt;= (OFFSET($A$1, 54 - 1, 7 - 1)), "1","0")</f>
        <v>0</v>
      </c>
      <c r="CT274">
        <f ca="1" xml:space="preserve"> IF( AND( OFFSET($A$1, 274 - 1, 96 - 1) = "1", OFFSET($A$1, 274 - 1, 97 - 1) = "1" ), 1, IF( AND( OFFSET($A$1, 274 - 1, 96 - 1) = "1", OFFSET($A$1, 274 - 1, 97 - 1) = "0" ), 2, IF( AND( OFFSET($A$1, 274 - 1, 96 - 1) = "0", OFFSET($A$1, 274 - 1, 97 - 1) = "1" ), 3, 4 ) ) )</f>
        <v>2</v>
      </c>
      <c r="CV274" s="24">
        <v>0.99830213049330319</v>
      </c>
      <c r="CW274" s="24" t="str">
        <f t="shared" si="22"/>
        <v>1</v>
      </c>
      <c r="CX274" t="str">
        <f ca="1">IF((OFFSET($A$1, 274 - 1, 100 - 1)) &gt;= (OFFSET($A$1, 78 - 1, 7 - 1)), "1","0")</f>
        <v>1</v>
      </c>
      <c r="CY274">
        <f ca="1" xml:space="preserve"> IF( AND( OFFSET($A$1, 274 - 1, 101 - 1) = "1", OFFSET($A$1, 274 - 1, 102 - 1) = "1" ), 1, IF( AND( OFFSET($A$1, 274 - 1, 101 - 1) = "1", OFFSET($A$1, 274 - 1, 102 - 1) = "0" ), 2, IF( AND( OFFSET($A$1, 274 - 1, 101 - 1) = "0", OFFSET($A$1, 274 - 1, 102 - 1) = "1" ), 3, 4 ) ) )</f>
        <v>1</v>
      </c>
    </row>
    <row r="275" spans="95:103" ht="13.8" x14ac:dyDescent="0.3">
      <c r="CQ275" s="24">
        <v>0.88810297397583737</v>
      </c>
      <c r="CR275" s="24" t="str">
        <f t="shared" si="23"/>
        <v>1</v>
      </c>
      <c r="CS275" t="str">
        <f ca="1">IF((OFFSET($A$1, 275 - 1, 95 - 1)) &gt;= (OFFSET($A$1, 54 - 1, 7 - 1)), "1","0")</f>
        <v>0</v>
      </c>
      <c r="CT275">
        <f ca="1" xml:space="preserve"> IF( AND( OFFSET($A$1, 275 - 1, 96 - 1) = "1", OFFSET($A$1, 275 - 1, 97 - 1) = "1" ), 1, IF( AND( OFFSET($A$1, 275 - 1, 96 - 1) = "1", OFFSET($A$1, 275 - 1, 97 - 1) = "0" ), 2, IF( AND( OFFSET($A$1, 275 - 1, 96 - 1) = "0", OFFSET($A$1, 275 - 1, 97 - 1) = "1" ), 3, 4 ) ) )</f>
        <v>2</v>
      </c>
      <c r="CV275" s="24">
        <v>3.2409940892503541E-2</v>
      </c>
      <c r="CW275" s="24" t="str">
        <f>"0"</f>
        <v>0</v>
      </c>
      <c r="CX275" t="str">
        <f ca="1">IF((OFFSET($A$1, 275 - 1, 100 - 1)) &gt;= (OFFSET($A$1, 78 - 1, 7 - 1)), "1","0")</f>
        <v>0</v>
      </c>
      <c r="CY275">
        <f ca="1" xml:space="preserve"> IF( AND( OFFSET($A$1, 275 - 1, 101 - 1) = "1", OFFSET($A$1, 275 - 1, 102 - 1) = "1" ), 1, IF( AND( OFFSET($A$1, 275 - 1, 101 - 1) = "1", OFFSET($A$1, 275 - 1, 102 - 1) = "0" ), 2, IF( AND( OFFSET($A$1, 275 - 1, 101 - 1) = "0", OFFSET($A$1, 275 - 1, 102 - 1) = "1" ), 3, 4 ) ) )</f>
        <v>4</v>
      </c>
    </row>
    <row r="276" spans="95:103" ht="13.8" x14ac:dyDescent="0.3">
      <c r="CQ276" s="24">
        <v>0.79297202347177698</v>
      </c>
      <c r="CR276" s="24" t="str">
        <f t="shared" si="23"/>
        <v>1</v>
      </c>
      <c r="CS276" t="str">
        <f ca="1">IF((OFFSET($A$1, 276 - 1, 95 - 1)) &gt;= (OFFSET($A$1, 54 - 1, 7 - 1)), "1","0")</f>
        <v>0</v>
      </c>
      <c r="CT276">
        <f ca="1" xml:space="preserve"> IF( AND( OFFSET($A$1, 276 - 1, 96 - 1) = "1", OFFSET($A$1, 276 - 1, 97 - 1) = "1" ), 1, IF( AND( OFFSET($A$1, 276 - 1, 96 - 1) = "1", OFFSET($A$1, 276 - 1, 97 - 1) = "0" ), 2, IF( AND( OFFSET($A$1, 276 - 1, 96 - 1) = "0", OFFSET($A$1, 276 - 1, 97 - 1) = "1" ), 3, 4 ) ) )</f>
        <v>2</v>
      </c>
      <c r="CV276" s="24">
        <v>0.99343515127002147</v>
      </c>
      <c r="CW276" s="24" t="str">
        <f>"0"</f>
        <v>0</v>
      </c>
      <c r="CX276" t="str">
        <f ca="1">IF((OFFSET($A$1, 276 - 1, 100 - 1)) &gt;= (OFFSET($A$1, 78 - 1, 7 - 1)), "1","0")</f>
        <v>1</v>
      </c>
      <c r="CY276">
        <f ca="1" xml:space="preserve"> IF( AND( OFFSET($A$1, 276 - 1, 101 - 1) = "1", OFFSET($A$1, 276 - 1, 102 - 1) = "1" ), 1, IF( AND( OFFSET($A$1, 276 - 1, 101 - 1) = "1", OFFSET($A$1, 276 - 1, 102 - 1) = "0" ), 2, IF( AND( OFFSET($A$1, 276 - 1, 101 - 1) = "0", OFFSET($A$1, 276 - 1, 102 - 1) = "1" ), 3, 4 ) ) )</f>
        <v>3</v>
      </c>
    </row>
    <row r="277" spans="95:103" ht="13.8" x14ac:dyDescent="0.3">
      <c r="CQ277" s="24">
        <v>0.9487344805442558</v>
      </c>
      <c r="CR277" s="24" t="str">
        <f t="shared" si="23"/>
        <v>1</v>
      </c>
      <c r="CS277" t="str">
        <f ca="1">IF((OFFSET($A$1, 277 - 1, 95 - 1)) &gt;= (OFFSET($A$1, 54 - 1, 7 - 1)), "1","0")</f>
        <v>0</v>
      </c>
      <c r="CT277">
        <f ca="1" xml:space="preserve"> IF( AND( OFFSET($A$1, 277 - 1, 96 - 1) = "1", OFFSET($A$1, 277 - 1, 97 - 1) = "1" ), 1, IF( AND( OFFSET($A$1, 277 - 1, 96 - 1) = "1", OFFSET($A$1, 277 - 1, 97 - 1) = "0" ), 2, IF( AND( OFFSET($A$1, 277 - 1, 96 - 1) = "0", OFFSET($A$1, 277 - 1, 97 - 1) = "1" ), 3, 4 ) ) )</f>
        <v>2</v>
      </c>
      <c r="CV277" s="24">
        <v>0.99393115931167386</v>
      </c>
      <c r="CW277" s="24" t="str">
        <f t="shared" ref="CW277:CW282" si="24">"1"</f>
        <v>1</v>
      </c>
      <c r="CX277" t="str">
        <f ca="1">IF((OFFSET($A$1, 277 - 1, 100 - 1)) &gt;= (OFFSET($A$1, 78 - 1, 7 - 1)), "1","0")</f>
        <v>1</v>
      </c>
      <c r="CY277">
        <f ca="1" xml:space="preserve"> IF( AND( OFFSET($A$1, 277 - 1, 101 - 1) = "1", OFFSET($A$1, 277 - 1, 102 - 1) = "1" ), 1, IF( AND( OFFSET($A$1, 277 - 1, 101 - 1) = "1", OFFSET($A$1, 277 - 1, 102 - 1) = "0" ), 2, IF( AND( OFFSET($A$1, 277 - 1, 101 - 1) = "0", OFFSET($A$1, 277 - 1, 102 - 1) = "1" ), 3, 4 ) ) )</f>
        <v>1</v>
      </c>
    </row>
    <row r="278" spans="95:103" ht="13.8" x14ac:dyDescent="0.3">
      <c r="CQ278" s="24">
        <v>0.93995432522628686</v>
      </c>
      <c r="CR278" s="24" t="str">
        <f t="shared" si="23"/>
        <v>1</v>
      </c>
      <c r="CS278" t="str">
        <f ca="1">IF((OFFSET($A$1, 278 - 1, 95 - 1)) &gt;= (OFFSET($A$1, 54 - 1, 7 - 1)), "1","0")</f>
        <v>0</v>
      </c>
      <c r="CT278">
        <f ca="1" xml:space="preserve"> IF( AND( OFFSET($A$1, 278 - 1, 96 - 1) = "1", OFFSET($A$1, 278 - 1, 97 - 1) = "1" ), 1, IF( AND( OFFSET($A$1, 278 - 1, 96 - 1) = "1", OFFSET($A$1, 278 - 1, 97 - 1) = "0" ), 2, IF( AND( OFFSET($A$1, 278 - 1, 96 - 1) = "0", OFFSET($A$1, 278 - 1, 97 - 1) = "1" ), 3, 4 ) ) )</f>
        <v>2</v>
      </c>
      <c r="CV278" s="24">
        <v>0.97141627340517589</v>
      </c>
      <c r="CW278" s="24" t="str">
        <f t="shared" si="24"/>
        <v>1</v>
      </c>
      <c r="CX278" t="str">
        <f ca="1">IF((OFFSET($A$1, 278 - 1, 100 - 1)) &gt;= (OFFSET($A$1, 78 - 1, 7 - 1)), "1","0")</f>
        <v>1</v>
      </c>
      <c r="CY278">
        <f ca="1" xml:space="preserve"> IF( AND( OFFSET($A$1, 278 - 1, 101 - 1) = "1", OFFSET($A$1, 278 - 1, 102 - 1) = "1" ), 1, IF( AND( OFFSET($A$1, 278 - 1, 101 - 1) = "1", OFFSET($A$1, 278 - 1, 102 - 1) = "0" ), 2, IF( AND( OFFSET($A$1, 278 - 1, 101 - 1) = "0", OFFSET($A$1, 278 - 1, 102 - 1) = "1" ), 3, 4 ) ) )</f>
        <v>1</v>
      </c>
    </row>
    <row r="279" spans="95:103" ht="13.8" x14ac:dyDescent="0.3">
      <c r="CQ279" s="24">
        <v>0.78473668055940438</v>
      </c>
      <c r="CR279" s="24" t="str">
        <f t="shared" si="23"/>
        <v>1</v>
      </c>
      <c r="CS279" t="str">
        <f ca="1">IF((OFFSET($A$1, 279 - 1, 95 - 1)) &gt;= (OFFSET($A$1, 54 - 1, 7 - 1)), "1","0")</f>
        <v>0</v>
      </c>
      <c r="CT279">
        <f ca="1" xml:space="preserve"> IF( AND( OFFSET($A$1, 279 - 1, 96 - 1) = "1", OFFSET($A$1, 279 - 1, 97 - 1) = "1" ), 1, IF( AND( OFFSET($A$1, 279 - 1, 96 - 1) = "1", OFFSET($A$1, 279 - 1, 97 - 1) = "0" ), 2, IF( AND( OFFSET($A$1, 279 - 1, 96 - 1) = "0", OFFSET($A$1, 279 - 1, 97 - 1) = "1" ), 3, 4 ) ) )</f>
        <v>2</v>
      </c>
      <c r="CV279" s="24">
        <v>6.429441848070773E-2</v>
      </c>
      <c r="CW279" s="24" t="str">
        <f t="shared" si="24"/>
        <v>1</v>
      </c>
      <c r="CX279" t="str">
        <f ca="1">IF((OFFSET($A$1, 279 - 1, 100 - 1)) &gt;= (OFFSET($A$1, 78 - 1, 7 - 1)), "1","0")</f>
        <v>0</v>
      </c>
      <c r="CY279">
        <f ca="1" xml:space="preserve"> IF( AND( OFFSET($A$1, 279 - 1, 101 - 1) = "1", OFFSET($A$1, 279 - 1, 102 - 1) = "1" ), 1, IF( AND( OFFSET($A$1, 279 - 1, 101 - 1) = "1", OFFSET($A$1, 279 - 1, 102 - 1) = "0" ), 2, IF( AND( OFFSET($A$1, 279 - 1, 101 - 1) = "0", OFFSET($A$1, 279 - 1, 102 - 1) = "1" ), 3, 4 ) ) )</f>
        <v>2</v>
      </c>
    </row>
    <row r="280" spans="95:103" ht="13.8" x14ac:dyDescent="0.3">
      <c r="CQ280" s="24">
        <v>0.9122685205625567</v>
      </c>
      <c r="CR280" s="24" t="str">
        <f t="shared" si="23"/>
        <v>1</v>
      </c>
      <c r="CS280" t="str">
        <f ca="1">IF((OFFSET($A$1, 280 - 1, 95 - 1)) &gt;= (OFFSET($A$1, 54 - 1, 7 - 1)), "1","0")</f>
        <v>0</v>
      </c>
      <c r="CT280">
        <f ca="1" xml:space="preserve"> IF( AND( OFFSET($A$1, 280 - 1, 96 - 1) = "1", OFFSET($A$1, 280 - 1, 97 - 1) = "1" ), 1, IF( AND( OFFSET($A$1, 280 - 1, 96 - 1) = "1", OFFSET($A$1, 280 - 1, 97 - 1) = "0" ), 2, IF( AND( OFFSET($A$1, 280 - 1, 96 - 1) = "0", OFFSET($A$1, 280 - 1, 97 - 1) = "1" ), 3, 4 ) ) )</f>
        <v>2</v>
      </c>
      <c r="CV280" s="24">
        <v>0.94544041411636548</v>
      </c>
      <c r="CW280" s="24" t="str">
        <f t="shared" si="24"/>
        <v>1</v>
      </c>
      <c r="CX280" t="str">
        <f ca="1">IF((OFFSET($A$1, 280 - 1, 100 - 1)) &gt;= (OFFSET($A$1, 78 - 1, 7 - 1)), "1","0")</f>
        <v>1</v>
      </c>
      <c r="CY280">
        <f ca="1" xml:space="preserve"> IF( AND( OFFSET($A$1, 280 - 1, 101 - 1) = "1", OFFSET($A$1, 280 - 1, 102 - 1) = "1" ), 1, IF( AND( OFFSET($A$1, 280 - 1, 101 - 1) = "1", OFFSET($A$1, 280 - 1, 102 - 1) = "0" ), 2, IF( AND( OFFSET($A$1, 280 - 1, 101 - 1) = "0", OFFSET($A$1, 280 - 1, 102 - 1) = "1" ), 3, 4 ) ) )</f>
        <v>1</v>
      </c>
    </row>
    <row r="281" spans="95:103" ht="13.8" x14ac:dyDescent="0.3">
      <c r="CQ281" s="24">
        <v>0.92875945093437351</v>
      </c>
      <c r="CR281" s="24" t="str">
        <f t="shared" si="23"/>
        <v>1</v>
      </c>
      <c r="CS281" t="str">
        <f ca="1">IF((OFFSET($A$1, 281 - 1, 95 - 1)) &gt;= (OFFSET($A$1, 54 - 1, 7 - 1)), "1","0")</f>
        <v>0</v>
      </c>
      <c r="CT281">
        <f ca="1" xml:space="preserve"> IF( AND( OFFSET($A$1, 281 - 1, 96 - 1) = "1", OFFSET($A$1, 281 - 1, 97 - 1) = "1" ), 1, IF( AND( OFFSET($A$1, 281 - 1, 96 - 1) = "1", OFFSET($A$1, 281 - 1, 97 - 1) = "0" ), 2, IF( AND( OFFSET($A$1, 281 - 1, 96 - 1) = "0", OFFSET($A$1, 281 - 1, 97 - 1) = "1" ), 3, 4 ) ) )</f>
        <v>2</v>
      </c>
      <c r="CV281" s="24">
        <v>0.99569311618455891</v>
      </c>
      <c r="CW281" s="24" t="str">
        <f t="shared" si="24"/>
        <v>1</v>
      </c>
      <c r="CX281" t="str">
        <f ca="1">IF((OFFSET($A$1, 281 - 1, 100 - 1)) &gt;= (OFFSET($A$1, 78 - 1, 7 - 1)), "1","0")</f>
        <v>1</v>
      </c>
      <c r="CY281">
        <f ca="1" xml:space="preserve"> IF( AND( OFFSET($A$1, 281 - 1, 101 - 1) = "1", OFFSET($A$1, 281 - 1, 102 - 1) = "1" ), 1, IF( AND( OFFSET($A$1, 281 - 1, 101 - 1) = "1", OFFSET($A$1, 281 - 1, 102 - 1) = "0" ), 2, IF( AND( OFFSET($A$1, 281 - 1, 101 - 1) = "0", OFFSET($A$1, 281 - 1, 102 - 1) = "1" ), 3, 4 ) ) )</f>
        <v>1</v>
      </c>
    </row>
    <row r="282" spans="95:103" ht="13.8" x14ac:dyDescent="0.3">
      <c r="CQ282" s="24">
        <v>0.99625231144709903</v>
      </c>
      <c r="CR282" s="24" t="str">
        <f t="shared" si="23"/>
        <v>1</v>
      </c>
      <c r="CS282" t="str">
        <f ca="1">IF((OFFSET($A$1, 282 - 1, 95 - 1)) &gt;= (OFFSET($A$1, 54 - 1, 7 - 1)), "1","0")</f>
        <v>1</v>
      </c>
      <c r="CT282">
        <f ca="1" xml:space="preserve"> IF( AND( OFFSET($A$1, 282 - 1, 96 - 1) = "1", OFFSET($A$1, 282 - 1, 97 - 1) = "1" ), 1, IF( AND( OFFSET($A$1, 282 - 1, 96 - 1) = "1", OFFSET($A$1, 282 - 1, 97 - 1) = "0" ), 2, IF( AND( OFFSET($A$1, 282 - 1, 96 - 1) = "0", OFFSET($A$1, 282 - 1, 97 - 1) = "1" ), 3, 4 ) ) )</f>
        <v>1</v>
      </c>
      <c r="CV282" s="24">
        <v>0.99633274045230502</v>
      </c>
      <c r="CW282" s="24" t="str">
        <f t="shared" si="24"/>
        <v>1</v>
      </c>
      <c r="CX282" t="str">
        <f ca="1">IF((OFFSET($A$1, 282 - 1, 100 - 1)) &gt;= (OFFSET($A$1, 78 - 1, 7 - 1)), "1","0")</f>
        <v>1</v>
      </c>
      <c r="CY282">
        <f ca="1" xml:space="preserve"> IF( AND( OFFSET($A$1, 282 - 1, 101 - 1) = "1", OFFSET($A$1, 282 - 1, 102 - 1) = "1" ), 1, IF( AND( OFFSET($A$1, 282 - 1, 101 - 1) = "1", OFFSET($A$1, 282 - 1, 102 - 1) = "0" ), 2, IF( AND( OFFSET($A$1, 282 - 1, 101 - 1) = "0", OFFSET($A$1, 282 - 1, 102 - 1) = "1" ), 3, 4 ) ) )</f>
        <v>1</v>
      </c>
    </row>
    <row r="283" spans="95:103" ht="13.8" x14ac:dyDescent="0.3">
      <c r="CQ283" s="24">
        <v>1.606747807043428E-2</v>
      </c>
      <c r="CR283" s="24" t="str">
        <f>"0"</f>
        <v>0</v>
      </c>
      <c r="CS283" t="str">
        <f ca="1">IF((OFFSET($A$1, 283 - 1, 95 - 1)) &gt;= (OFFSET($A$1, 54 - 1, 7 - 1)), "1","0")</f>
        <v>0</v>
      </c>
      <c r="CT283">
        <f ca="1" xml:space="preserve"> IF( AND( OFFSET($A$1, 283 - 1, 96 - 1) = "1", OFFSET($A$1, 283 - 1, 97 - 1) = "1" ), 1, IF( AND( OFFSET($A$1, 283 - 1, 96 - 1) = "1", OFFSET($A$1, 283 - 1, 97 - 1) = "0" ), 2, IF( AND( OFFSET($A$1, 283 - 1, 96 - 1) = "0", OFFSET($A$1, 283 - 1, 97 - 1) = "1" ), 3, 4 ) ) )</f>
        <v>4</v>
      </c>
      <c r="CV283" s="24">
        <v>0.91123291833430076</v>
      </c>
      <c r="CW283" s="24" t="str">
        <f>"0"</f>
        <v>0</v>
      </c>
      <c r="CX283" t="str">
        <f ca="1">IF((OFFSET($A$1, 283 - 1, 100 - 1)) &gt;= (OFFSET($A$1, 78 - 1, 7 - 1)), "1","0")</f>
        <v>1</v>
      </c>
      <c r="CY283">
        <f ca="1" xml:space="preserve"> IF( AND( OFFSET($A$1, 283 - 1, 101 - 1) = "1", OFFSET($A$1, 283 - 1, 102 - 1) = "1" ), 1, IF( AND( OFFSET($A$1, 283 - 1, 101 - 1) = "1", OFFSET($A$1, 283 - 1, 102 - 1) = "0" ), 2, IF( AND( OFFSET($A$1, 283 - 1, 101 - 1) = "0", OFFSET($A$1, 283 - 1, 102 - 1) = "1" ), 3, 4 ) ) )</f>
        <v>3</v>
      </c>
    </row>
    <row r="284" spans="95:103" ht="13.8" x14ac:dyDescent="0.3">
      <c r="CQ284" s="24">
        <v>0.95374349342630571</v>
      </c>
      <c r="CR284" s="24" t="str">
        <f>"1"</f>
        <v>1</v>
      </c>
      <c r="CS284" t="str">
        <f ca="1">IF((OFFSET($A$1, 284 - 1, 95 - 1)) &gt;= (OFFSET($A$1, 54 - 1, 7 - 1)), "1","0")</f>
        <v>0</v>
      </c>
      <c r="CT284">
        <f ca="1" xml:space="preserve"> IF( AND( OFFSET($A$1, 284 - 1, 96 - 1) = "1", OFFSET($A$1, 284 - 1, 97 - 1) = "1" ), 1, IF( AND( OFFSET($A$1, 284 - 1, 96 - 1) = "1", OFFSET($A$1, 284 - 1, 97 - 1) = "0" ), 2, IF( AND( OFFSET($A$1, 284 - 1, 96 - 1) = "0", OFFSET($A$1, 284 - 1, 97 - 1) = "1" ), 3, 4 ) ) )</f>
        <v>2</v>
      </c>
      <c r="CV284" s="24">
        <v>0.18778944382293405</v>
      </c>
      <c r="CW284" s="24" t="str">
        <f>"0"</f>
        <v>0</v>
      </c>
      <c r="CX284" t="str">
        <f ca="1">IF((OFFSET($A$1, 284 - 1, 100 - 1)) &gt;= (OFFSET($A$1, 78 - 1, 7 - 1)), "1","0")</f>
        <v>0</v>
      </c>
      <c r="CY284">
        <f ca="1" xml:space="preserve"> IF( AND( OFFSET($A$1, 284 - 1, 101 - 1) = "1", OFFSET($A$1, 284 - 1, 102 - 1) = "1" ), 1, IF( AND( OFFSET($A$1, 284 - 1, 101 - 1) = "1", OFFSET($A$1, 284 - 1, 102 - 1) = "0" ), 2, IF( AND( OFFSET($A$1, 284 - 1, 101 - 1) = "0", OFFSET($A$1, 284 - 1, 102 - 1) = "1" ), 3, 4 ) ) )</f>
        <v>4</v>
      </c>
    </row>
    <row r="285" spans="95:103" ht="13.8" x14ac:dyDescent="0.3">
      <c r="CQ285" s="24">
        <v>0.2024667546160836</v>
      </c>
      <c r="CR285" s="24" t="str">
        <f>"0"</f>
        <v>0</v>
      </c>
      <c r="CS285" t="str">
        <f ca="1">IF((OFFSET($A$1, 285 - 1, 95 - 1)) &gt;= (OFFSET($A$1, 54 - 1, 7 - 1)), "1","0")</f>
        <v>0</v>
      </c>
      <c r="CT285">
        <f ca="1" xml:space="preserve"> IF( AND( OFFSET($A$1, 285 - 1, 96 - 1) = "1", OFFSET($A$1, 285 - 1, 97 - 1) = "1" ), 1, IF( AND( OFFSET($A$1, 285 - 1, 96 - 1) = "1", OFFSET($A$1, 285 - 1, 97 - 1) = "0" ), 2, IF( AND( OFFSET($A$1, 285 - 1, 96 - 1) = "0", OFFSET($A$1, 285 - 1, 97 - 1) = "1" ), 3, 4 ) ) )</f>
        <v>4</v>
      </c>
      <c r="CV285" s="24">
        <v>0.29991962791046728</v>
      </c>
      <c r="CW285" s="24" t="str">
        <f>"1"</f>
        <v>1</v>
      </c>
      <c r="CX285" t="str">
        <f ca="1">IF((OFFSET($A$1, 285 - 1, 100 - 1)) &gt;= (OFFSET($A$1, 78 - 1, 7 - 1)), "1","0")</f>
        <v>0</v>
      </c>
      <c r="CY285">
        <f ca="1" xml:space="preserve"> IF( AND( OFFSET($A$1, 285 - 1, 101 - 1) = "1", OFFSET($A$1, 285 - 1, 102 - 1) = "1" ), 1, IF( AND( OFFSET($A$1, 285 - 1, 101 - 1) = "1", OFFSET($A$1, 285 - 1, 102 - 1) = "0" ), 2, IF( AND( OFFSET($A$1, 285 - 1, 101 - 1) = "0", OFFSET($A$1, 285 - 1, 102 - 1) = "1" ), 3, 4 ) ) )</f>
        <v>2</v>
      </c>
    </row>
    <row r="286" spans="95:103" ht="13.8" x14ac:dyDescent="0.3">
      <c r="CQ286" s="24">
        <v>0.99100806146306275</v>
      </c>
      <c r="CR286" s="24" t="str">
        <f>"1"</f>
        <v>1</v>
      </c>
      <c r="CS286" t="str">
        <f ca="1">IF((OFFSET($A$1, 286 - 1, 95 - 1)) &gt;= (OFFSET($A$1, 54 - 1, 7 - 1)), "1","0")</f>
        <v>1</v>
      </c>
      <c r="CT286">
        <f ca="1" xml:space="preserve"> IF( AND( OFFSET($A$1, 286 - 1, 96 - 1) = "1", OFFSET($A$1, 286 - 1, 97 - 1) = "1" ), 1, IF( AND( OFFSET($A$1, 286 - 1, 96 - 1) = "1", OFFSET($A$1, 286 - 1, 97 - 1) = "0" ), 2, IF( AND( OFFSET($A$1, 286 - 1, 96 - 1) = "0", OFFSET($A$1, 286 - 1, 97 - 1) = "1" ), 3, 4 ) ) )</f>
        <v>1</v>
      </c>
      <c r="CV286" s="24">
        <v>0.61583079659591988</v>
      </c>
      <c r="CW286" s="24" t="str">
        <f>"1"</f>
        <v>1</v>
      </c>
      <c r="CX286" t="str">
        <f ca="1">IF((OFFSET($A$1, 286 - 1, 100 - 1)) &gt;= (OFFSET($A$1, 78 - 1, 7 - 1)), "1","0")</f>
        <v>0</v>
      </c>
      <c r="CY286">
        <f ca="1" xml:space="preserve"> IF( AND( OFFSET($A$1, 286 - 1, 101 - 1) = "1", OFFSET($A$1, 286 - 1, 102 - 1) = "1" ), 1, IF( AND( OFFSET($A$1, 286 - 1, 101 - 1) = "1", OFFSET($A$1, 286 - 1, 102 - 1) = "0" ), 2, IF( AND( OFFSET($A$1, 286 - 1, 101 - 1) = "0", OFFSET($A$1, 286 - 1, 102 - 1) = "1" ), 3, 4 ) ) )</f>
        <v>2</v>
      </c>
    </row>
    <row r="287" spans="95:103" ht="13.8" x14ac:dyDescent="0.3">
      <c r="CQ287" s="24">
        <v>0.99929312937885095</v>
      </c>
      <c r="CR287" s="24" t="str">
        <f>"0"</f>
        <v>0</v>
      </c>
      <c r="CS287" t="str">
        <f ca="1">IF((OFFSET($A$1, 287 - 1, 95 - 1)) &gt;= (OFFSET($A$1, 54 - 1, 7 - 1)), "1","0")</f>
        <v>1</v>
      </c>
      <c r="CT287">
        <f ca="1" xml:space="preserve"> IF( AND( OFFSET($A$1, 287 - 1, 96 - 1) = "1", OFFSET($A$1, 287 - 1, 97 - 1) = "1" ), 1, IF( AND( OFFSET($A$1, 287 - 1, 96 - 1) = "1", OFFSET($A$1, 287 - 1, 97 - 1) = "0" ), 2, IF( AND( OFFSET($A$1, 287 - 1, 96 - 1) = "0", OFFSET($A$1, 287 - 1, 97 - 1) = "1" ), 3, 4 ) ) )</f>
        <v>3</v>
      </c>
      <c r="CV287" s="24">
        <v>0.97605262925977276</v>
      </c>
      <c r="CW287" s="24" t="str">
        <f>"1"</f>
        <v>1</v>
      </c>
      <c r="CX287" t="str">
        <f ca="1">IF((OFFSET($A$1, 287 - 1, 100 - 1)) &gt;= (OFFSET($A$1, 78 - 1, 7 - 1)), "1","0")</f>
        <v>1</v>
      </c>
      <c r="CY287">
        <f ca="1" xml:space="preserve"> IF( AND( OFFSET($A$1, 287 - 1, 101 - 1) = "1", OFFSET($A$1, 287 - 1, 102 - 1) = "1" ), 1, IF( AND( OFFSET($A$1, 287 - 1, 101 - 1) = "1", OFFSET($A$1, 287 - 1, 102 - 1) = "0" ), 2, IF( AND( OFFSET($A$1, 287 - 1, 101 - 1) = "0", OFFSET($A$1, 287 - 1, 102 - 1) = "1" ), 3, 4 ) ) )</f>
        <v>1</v>
      </c>
    </row>
    <row r="288" spans="95:103" ht="13.8" x14ac:dyDescent="0.3">
      <c r="CQ288" s="24">
        <v>0.91836621071972879</v>
      </c>
      <c r="CR288" s="24" t="str">
        <f>"1"</f>
        <v>1</v>
      </c>
      <c r="CS288" t="str">
        <f ca="1">IF((OFFSET($A$1, 288 - 1, 95 - 1)) &gt;= (OFFSET($A$1, 54 - 1, 7 - 1)), "1","0")</f>
        <v>0</v>
      </c>
      <c r="CT288">
        <f ca="1" xml:space="preserve"> IF( AND( OFFSET($A$1, 288 - 1, 96 - 1) = "1", OFFSET($A$1, 288 - 1, 97 - 1) = "1" ), 1, IF( AND( OFFSET($A$1, 288 - 1, 96 - 1) = "1", OFFSET($A$1, 288 - 1, 97 - 1) = "0" ), 2, IF( AND( OFFSET($A$1, 288 - 1, 96 - 1) = "0", OFFSET($A$1, 288 - 1, 97 - 1) = "1" ), 3, 4 ) ) )</f>
        <v>2</v>
      </c>
      <c r="CV288" s="24">
        <v>0.99996583241004133</v>
      </c>
      <c r="CW288" s="24" t="str">
        <f>"1"</f>
        <v>1</v>
      </c>
      <c r="CX288" t="str">
        <f ca="1">IF((OFFSET($A$1, 288 - 1, 100 - 1)) &gt;= (OFFSET($A$1, 78 - 1, 7 - 1)), "1","0")</f>
        <v>1</v>
      </c>
      <c r="CY288">
        <f ca="1" xml:space="preserve"> IF( AND( OFFSET($A$1, 288 - 1, 101 - 1) = "1", OFFSET($A$1, 288 - 1, 102 - 1) = "1" ), 1, IF( AND( OFFSET($A$1, 288 - 1, 101 - 1) = "1", OFFSET($A$1, 288 - 1, 102 - 1) = "0" ), 2, IF( AND( OFFSET($A$1, 288 - 1, 101 - 1) = "0", OFFSET($A$1, 288 - 1, 102 - 1) = "1" ), 3, 4 ) ) )</f>
        <v>1</v>
      </c>
    </row>
    <row r="289" spans="95:103" ht="13.8" x14ac:dyDescent="0.3">
      <c r="CQ289" s="24">
        <v>0.14639223215902317</v>
      </c>
      <c r="CR289" s="24" t="str">
        <f>"0"</f>
        <v>0</v>
      </c>
      <c r="CS289" t="str">
        <f ca="1">IF((OFFSET($A$1, 289 - 1, 95 - 1)) &gt;= (OFFSET($A$1, 54 - 1, 7 - 1)), "1","0")</f>
        <v>0</v>
      </c>
      <c r="CT289">
        <f ca="1" xml:space="preserve"> IF( AND( OFFSET($A$1, 289 - 1, 96 - 1) = "1", OFFSET($A$1, 289 - 1, 97 - 1) = "1" ), 1, IF( AND( OFFSET($A$1, 289 - 1, 96 - 1) = "1", OFFSET($A$1, 289 - 1, 97 - 1) = "0" ), 2, IF( AND( OFFSET($A$1, 289 - 1, 96 - 1) = "0", OFFSET($A$1, 289 - 1, 97 - 1) = "1" ), 3, 4 ) ) )</f>
        <v>4</v>
      </c>
      <c r="CV289" s="24">
        <v>0.91325230940841418</v>
      </c>
      <c r="CW289" s="24" t="str">
        <f>"0"</f>
        <v>0</v>
      </c>
      <c r="CX289" t="str">
        <f ca="1">IF((OFFSET($A$1, 289 - 1, 100 - 1)) &gt;= (OFFSET($A$1, 78 - 1, 7 - 1)), "1","0")</f>
        <v>1</v>
      </c>
      <c r="CY289">
        <f ca="1" xml:space="preserve"> IF( AND( OFFSET($A$1, 289 - 1, 101 - 1) = "1", OFFSET($A$1, 289 - 1, 102 - 1) = "1" ), 1, IF( AND( OFFSET($A$1, 289 - 1, 101 - 1) = "1", OFFSET($A$1, 289 - 1, 102 - 1) = "0" ), 2, IF( AND( OFFSET($A$1, 289 - 1, 101 - 1) = "0", OFFSET($A$1, 289 - 1, 102 - 1) = "1" ), 3, 4 ) ) )</f>
        <v>3</v>
      </c>
    </row>
    <row r="290" spans="95:103" ht="13.8" x14ac:dyDescent="0.3">
      <c r="CQ290" s="24">
        <v>7.7563275460973913E-2</v>
      </c>
      <c r="CR290" s="24" t="str">
        <f>"0"</f>
        <v>0</v>
      </c>
      <c r="CS290" t="str">
        <f ca="1">IF((OFFSET($A$1, 290 - 1, 95 - 1)) &gt;= (OFFSET($A$1, 54 - 1, 7 - 1)), "1","0")</f>
        <v>0</v>
      </c>
      <c r="CT290">
        <f ca="1" xml:space="preserve"> IF( AND( OFFSET($A$1, 290 - 1, 96 - 1) = "1", OFFSET($A$1, 290 - 1, 97 - 1) = "1" ), 1, IF( AND( OFFSET($A$1, 290 - 1, 96 - 1) = "1", OFFSET($A$1, 290 - 1, 97 - 1) = "0" ), 2, IF( AND( OFFSET($A$1, 290 - 1, 96 - 1) = "0", OFFSET($A$1, 290 - 1, 97 - 1) = "1" ), 3, 4 ) ) )</f>
        <v>4</v>
      </c>
      <c r="CV290" s="24">
        <v>0.10185180851158643</v>
      </c>
      <c r="CW290" s="24" t="str">
        <f>"0"</f>
        <v>0</v>
      </c>
      <c r="CX290" t="str">
        <f ca="1">IF((OFFSET($A$1, 290 - 1, 100 - 1)) &gt;= (OFFSET($A$1, 78 - 1, 7 - 1)), "1","0")</f>
        <v>0</v>
      </c>
      <c r="CY290">
        <f ca="1" xml:space="preserve"> IF( AND( OFFSET($A$1, 290 - 1, 101 - 1) = "1", OFFSET($A$1, 290 - 1, 102 - 1) = "1" ), 1, IF( AND( OFFSET($A$1, 290 - 1, 101 - 1) = "1", OFFSET($A$1, 290 - 1, 102 - 1) = "0" ), 2, IF( AND( OFFSET($A$1, 290 - 1, 101 - 1) = "0", OFFSET($A$1, 290 - 1, 102 - 1) = "1" ), 3, 4 ) ) )</f>
        <v>4</v>
      </c>
    </row>
    <row r="291" spans="95:103" ht="13.8" x14ac:dyDescent="0.3">
      <c r="CQ291" s="24">
        <v>0.82373415218429358</v>
      </c>
      <c r="CR291" s="24" t="str">
        <f>"1"</f>
        <v>1</v>
      </c>
      <c r="CS291" t="str">
        <f ca="1">IF((OFFSET($A$1, 291 - 1, 95 - 1)) &gt;= (OFFSET($A$1, 54 - 1, 7 - 1)), "1","0")</f>
        <v>0</v>
      </c>
      <c r="CT291">
        <f ca="1" xml:space="preserve"> IF( AND( OFFSET($A$1, 291 - 1, 96 - 1) = "1", OFFSET($A$1, 291 - 1, 97 - 1) = "1" ), 1, IF( AND( OFFSET($A$1, 291 - 1, 96 - 1) = "1", OFFSET($A$1, 291 - 1, 97 - 1) = "0" ), 2, IF( AND( OFFSET($A$1, 291 - 1, 96 - 1) = "0", OFFSET($A$1, 291 - 1, 97 - 1) = "1" ), 3, 4 ) ) )</f>
        <v>2</v>
      </c>
      <c r="CV291" s="24">
        <v>1.3767882526526802E-2</v>
      </c>
      <c r="CW291" s="24" t="str">
        <f>"1"</f>
        <v>1</v>
      </c>
      <c r="CX291" t="str">
        <f ca="1">IF((OFFSET($A$1, 291 - 1, 100 - 1)) &gt;= (OFFSET($A$1, 78 - 1, 7 - 1)), "1","0")</f>
        <v>0</v>
      </c>
      <c r="CY291">
        <f ca="1" xml:space="preserve"> IF( AND( OFFSET($A$1, 291 - 1, 101 - 1) = "1", OFFSET($A$1, 291 - 1, 102 - 1) = "1" ), 1, IF( AND( OFFSET($A$1, 291 - 1, 101 - 1) = "1", OFFSET($A$1, 291 - 1, 102 - 1) = "0" ), 2, IF( AND( OFFSET($A$1, 291 - 1, 101 - 1) = "0", OFFSET($A$1, 291 - 1, 102 - 1) = "1" ), 3, 4 ) ) )</f>
        <v>2</v>
      </c>
    </row>
    <row r="292" spans="95:103" ht="13.8" x14ac:dyDescent="0.3">
      <c r="CQ292" s="24">
        <v>0.89737644868330713</v>
      </c>
      <c r="CR292" s="24" t="str">
        <f>"1"</f>
        <v>1</v>
      </c>
      <c r="CS292" t="str">
        <f ca="1">IF((OFFSET($A$1, 292 - 1, 95 - 1)) &gt;= (OFFSET($A$1, 54 - 1, 7 - 1)), "1","0")</f>
        <v>0</v>
      </c>
      <c r="CT292">
        <f ca="1" xml:space="preserve"> IF( AND( OFFSET($A$1, 292 - 1, 96 - 1) = "1", OFFSET($A$1, 292 - 1, 97 - 1) = "1" ), 1, IF( AND( OFFSET($A$1, 292 - 1, 96 - 1) = "1", OFFSET($A$1, 292 - 1, 97 - 1) = "0" ), 2, IF( AND( OFFSET($A$1, 292 - 1, 96 - 1) = "0", OFFSET($A$1, 292 - 1, 97 - 1) = "1" ), 3, 4 ) ) )</f>
        <v>2</v>
      </c>
      <c r="CV292" s="24">
        <v>0.98316818358070657</v>
      </c>
      <c r="CW292" s="24" t="str">
        <f>"1"</f>
        <v>1</v>
      </c>
      <c r="CX292" t="str">
        <f ca="1">IF((OFFSET($A$1, 292 - 1, 100 - 1)) &gt;= (OFFSET($A$1, 78 - 1, 7 - 1)), "1","0")</f>
        <v>1</v>
      </c>
      <c r="CY292">
        <f ca="1" xml:space="preserve"> IF( AND( OFFSET($A$1, 292 - 1, 101 - 1) = "1", OFFSET($A$1, 292 - 1, 102 - 1) = "1" ), 1, IF( AND( OFFSET($A$1, 292 - 1, 101 - 1) = "1", OFFSET($A$1, 292 - 1, 102 - 1) = "0" ), 2, IF( AND( OFFSET($A$1, 292 - 1, 101 - 1) = "0", OFFSET($A$1, 292 - 1, 102 - 1) = "1" ), 3, 4 ) ) )</f>
        <v>1</v>
      </c>
    </row>
    <row r="293" spans="95:103" ht="13.8" x14ac:dyDescent="0.3">
      <c r="CQ293" s="24">
        <v>0.12095459100107188</v>
      </c>
      <c r="CR293" s="24" t="str">
        <f>"0"</f>
        <v>0</v>
      </c>
      <c r="CS293" t="str">
        <f ca="1">IF((OFFSET($A$1, 293 - 1, 95 - 1)) &gt;= (OFFSET($A$1, 54 - 1, 7 - 1)), "1","0")</f>
        <v>0</v>
      </c>
      <c r="CT293">
        <f ca="1" xml:space="preserve"> IF( AND( OFFSET($A$1, 293 - 1, 96 - 1) = "1", OFFSET($A$1, 293 - 1, 97 - 1) = "1" ), 1, IF( AND( OFFSET($A$1, 293 - 1, 96 - 1) = "1", OFFSET($A$1, 293 - 1, 97 - 1) = "0" ), 2, IF( AND( OFFSET($A$1, 293 - 1, 96 - 1) = "0", OFFSET($A$1, 293 - 1, 97 - 1) = "1" ), 3, 4 ) ) )</f>
        <v>4</v>
      </c>
      <c r="CV293" s="24">
        <v>0.41172027574397346</v>
      </c>
      <c r="CW293" s="24" t="str">
        <f>"1"</f>
        <v>1</v>
      </c>
      <c r="CX293" t="str">
        <f ca="1">IF((OFFSET($A$1, 293 - 1, 100 - 1)) &gt;= (OFFSET($A$1, 78 - 1, 7 - 1)), "1","0")</f>
        <v>0</v>
      </c>
      <c r="CY293">
        <f ca="1" xml:space="preserve"> IF( AND( OFFSET($A$1, 293 - 1, 101 - 1) = "1", OFFSET($A$1, 293 - 1, 102 - 1) = "1" ), 1, IF( AND( OFFSET($A$1, 293 - 1, 101 - 1) = "1", OFFSET($A$1, 293 - 1, 102 - 1) = "0" ), 2, IF( AND( OFFSET($A$1, 293 - 1, 101 - 1) = "0", OFFSET($A$1, 293 - 1, 102 - 1) = "1" ), 3, 4 ) ) )</f>
        <v>2</v>
      </c>
    </row>
    <row r="294" spans="95:103" ht="13.8" x14ac:dyDescent="0.3">
      <c r="CQ294" s="24">
        <v>0.99992422534702075</v>
      </c>
      <c r="CR294" s="24" t="str">
        <f>"1"</f>
        <v>1</v>
      </c>
      <c r="CS294" t="str">
        <f ca="1">IF((OFFSET($A$1, 294 - 1, 95 - 1)) &gt;= (OFFSET($A$1, 54 - 1, 7 - 1)), "1","0")</f>
        <v>1</v>
      </c>
      <c r="CT294">
        <f ca="1" xml:space="preserve"> IF( AND( OFFSET($A$1, 294 - 1, 96 - 1) = "1", OFFSET($A$1, 294 - 1, 97 - 1) = "1" ), 1, IF( AND( OFFSET($A$1, 294 - 1, 96 - 1) = "1", OFFSET($A$1, 294 - 1, 97 - 1) = "0" ), 2, IF( AND( OFFSET($A$1, 294 - 1, 96 - 1) = "0", OFFSET($A$1, 294 - 1, 97 - 1) = "1" ), 3, 4 ) ) )</f>
        <v>1</v>
      </c>
      <c r="CV294" s="24">
        <v>0.381017795089656</v>
      </c>
      <c r="CW294" s="24" t="str">
        <f>"0"</f>
        <v>0</v>
      </c>
      <c r="CX294" t="str">
        <f ca="1">IF((OFFSET($A$1, 294 - 1, 100 - 1)) &gt;= (OFFSET($A$1, 78 - 1, 7 - 1)), "1","0")</f>
        <v>0</v>
      </c>
      <c r="CY294">
        <f ca="1" xml:space="preserve"> IF( AND( OFFSET($A$1, 294 - 1, 101 - 1) = "1", OFFSET($A$1, 294 - 1, 102 - 1) = "1" ), 1, IF( AND( OFFSET($A$1, 294 - 1, 101 - 1) = "1", OFFSET($A$1, 294 - 1, 102 - 1) = "0" ), 2, IF( AND( OFFSET($A$1, 294 - 1, 101 - 1) = "0", OFFSET($A$1, 294 - 1, 102 - 1) = "1" ), 3, 4 ) ) )</f>
        <v>4</v>
      </c>
    </row>
    <row r="295" spans="95:103" ht="13.8" x14ac:dyDescent="0.3">
      <c r="CQ295" s="24">
        <v>1.8696828134644058E-2</v>
      </c>
      <c r="CR295" s="24" t="str">
        <f>"0"</f>
        <v>0</v>
      </c>
      <c r="CS295" t="str">
        <f ca="1">IF((OFFSET($A$1, 295 - 1, 95 - 1)) &gt;= (OFFSET($A$1, 54 - 1, 7 - 1)), "1","0")</f>
        <v>0</v>
      </c>
      <c r="CT295">
        <f ca="1" xml:space="preserve"> IF( AND( OFFSET($A$1, 295 - 1, 96 - 1) = "1", OFFSET($A$1, 295 - 1, 97 - 1) = "1" ), 1, IF( AND( OFFSET($A$1, 295 - 1, 96 - 1) = "1", OFFSET($A$1, 295 - 1, 97 - 1) = "0" ), 2, IF( AND( OFFSET($A$1, 295 - 1, 96 - 1) = "0", OFFSET($A$1, 295 - 1, 97 - 1) = "1" ), 3, 4 ) ) )</f>
        <v>4</v>
      </c>
      <c r="CV295" s="24">
        <v>7.9791594439399802E-2</v>
      </c>
      <c r="CW295" s="24" t="str">
        <f>"0"</f>
        <v>0</v>
      </c>
      <c r="CX295" t="str">
        <f ca="1">IF((OFFSET($A$1, 295 - 1, 100 - 1)) &gt;= (OFFSET($A$1, 78 - 1, 7 - 1)), "1","0")</f>
        <v>0</v>
      </c>
      <c r="CY295">
        <f ca="1" xml:space="preserve"> IF( AND( OFFSET($A$1, 295 - 1, 101 - 1) = "1", OFFSET($A$1, 295 - 1, 102 - 1) = "1" ), 1, IF( AND( OFFSET($A$1, 295 - 1, 101 - 1) = "1", OFFSET($A$1, 295 - 1, 102 - 1) = "0" ), 2, IF( AND( OFFSET($A$1, 295 - 1, 101 - 1) = "0", OFFSET($A$1, 295 - 1, 102 - 1) = "1" ), 3, 4 ) ) )</f>
        <v>4</v>
      </c>
    </row>
    <row r="296" spans="95:103" ht="13.8" x14ac:dyDescent="0.3">
      <c r="CQ296" s="24">
        <v>0.97525904320921564</v>
      </c>
      <c r="CR296" s="24" t="str">
        <f>"1"</f>
        <v>1</v>
      </c>
      <c r="CS296" t="str">
        <f ca="1">IF((OFFSET($A$1, 296 - 1, 95 - 1)) &gt;= (OFFSET($A$1, 54 - 1, 7 - 1)), "1","0")</f>
        <v>1</v>
      </c>
      <c r="CT296">
        <f ca="1" xml:space="preserve"> IF( AND( OFFSET($A$1, 296 - 1, 96 - 1) = "1", OFFSET($A$1, 296 - 1, 97 - 1) = "1" ), 1, IF( AND( OFFSET($A$1, 296 - 1, 96 - 1) = "1", OFFSET($A$1, 296 - 1, 97 - 1) = "0" ), 2, IF( AND( OFFSET($A$1, 296 - 1, 96 - 1) = "0", OFFSET($A$1, 296 - 1, 97 - 1) = "1" ), 3, 4 ) ) )</f>
        <v>1</v>
      </c>
      <c r="CV296" s="24">
        <v>0.99914249602217897</v>
      </c>
      <c r="CW296" s="24" t="str">
        <f>"1"</f>
        <v>1</v>
      </c>
      <c r="CX296" t="str">
        <f ca="1">IF((OFFSET($A$1, 296 - 1, 100 - 1)) &gt;= (OFFSET($A$1, 78 - 1, 7 - 1)), "1","0")</f>
        <v>1</v>
      </c>
      <c r="CY296">
        <f ca="1" xml:space="preserve"> IF( AND( OFFSET($A$1, 296 - 1, 101 - 1) = "1", OFFSET($A$1, 296 - 1, 102 - 1) = "1" ), 1, IF( AND( OFFSET($A$1, 296 - 1, 101 - 1) = "1", OFFSET($A$1, 296 - 1, 102 - 1) = "0" ), 2, IF( AND( OFFSET($A$1, 296 - 1, 101 - 1) = "0", OFFSET($A$1, 296 - 1, 102 - 1) = "1" ), 3, 4 ) ) )</f>
        <v>1</v>
      </c>
    </row>
    <row r="297" spans="95:103" ht="13.8" x14ac:dyDescent="0.3">
      <c r="CQ297" s="24">
        <v>0.99580164157891815</v>
      </c>
      <c r="CR297" s="24" t="str">
        <f>"1"</f>
        <v>1</v>
      </c>
      <c r="CS297" t="str">
        <f ca="1">IF((OFFSET($A$1, 297 - 1, 95 - 1)) &gt;= (OFFSET($A$1, 54 - 1, 7 - 1)), "1","0")</f>
        <v>1</v>
      </c>
      <c r="CT297">
        <f ca="1" xml:space="preserve"> IF( AND( OFFSET($A$1, 297 - 1, 96 - 1) = "1", OFFSET($A$1, 297 - 1, 97 - 1) = "1" ), 1, IF( AND( OFFSET($A$1, 297 - 1, 96 - 1) = "1", OFFSET($A$1, 297 - 1, 97 - 1) = "0" ), 2, IF( AND( OFFSET($A$1, 297 - 1, 96 - 1) = "0", OFFSET($A$1, 297 - 1, 97 - 1) = "1" ), 3, 4 ) ) )</f>
        <v>1</v>
      </c>
      <c r="CV297" s="24">
        <v>2.21569955099408E-2</v>
      </c>
      <c r="CW297" s="24" t="str">
        <f>"0"</f>
        <v>0</v>
      </c>
      <c r="CX297" t="str">
        <f ca="1">IF((OFFSET($A$1, 297 - 1, 100 - 1)) &gt;= (OFFSET($A$1, 78 - 1, 7 - 1)), "1","0")</f>
        <v>0</v>
      </c>
      <c r="CY297">
        <f ca="1" xml:space="preserve"> IF( AND( OFFSET($A$1, 297 - 1, 101 - 1) = "1", OFFSET($A$1, 297 - 1, 102 - 1) = "1" ), 1, IF( AND( OFFSET($A$1, 297 - 1, 101 - 1) = "1", OFFSET($A$1, 297 - 1, 102 - 1) = "0" ), 2, IF( AND( OFFSET($A$1, 297 - 1, 101 - 1) = "0", OFFSET($A$1, 297 - 1, 102 - 1) = "1" ), 3, 4 ) ) )</f>
        <v>4</v>
      </c>
    </row>
    <row r="298" spans="95:103" ht="13.8" x14ac:dyDescent="0.3">
      <c r="CQ298" s="24">
        <v>0.91064818861886843</v>
      </c>
      <c r="CR298" s="24" t="str">
        <f>"1"</f>
        <v>1</v>
      </c>
      <c r="CS298" t="str">
        <f ca="1">IF((OFFSET($A$1, 298 - 1, 95 - 1)) &gt;= (OFFSET($A$1, 54 - 1, 7 - 1)), "1","0")</f>
        <v>0</v>
      </c>
      <c r="CT298">
        <f ca="1" xml:space="preserve"> IF( AND( OFFSET($A$1, 298 - 1, 96 - 1) = "1", OFFSET($A$1, 298 - 1, 97 - 1) = "1" ), 1, IF( AND( OFFSET($A$1, 298 - 1, 96 - 1) = "1", OFFSET($A$1, 298 - 1, 97 - 1) = "0" ), 2, IF( AND( OFFSET($A$1, 298 - 1, 96 - 1) = "0", OFFSET($A$1, 298 - 1, 97 - 1) = "1" ), 3, 4 ) ) )</f>
        <v>2</v>
      </c>
      <c r="CV298" s="24">
        <v>4.7520565963511875E-2</v>
      </c>
      <c r="CW298" s="24" t="str">
        <f>"0"</f>
        <v>0</v>
      </c>
      <c r="CX298" t="str">
        <f ca="1">IF((OFFSET($A$1, 298 - 1, 100 - 1)) &gt;= (OFFSET($A$1, 78 - 1, 7 - 1)), "1","0")</f>
        <v>0</v>
      </c>
      <c r="CY298">
        <f ca="1" xml:space="preserve"> IF( AND( OFFSET($A$1, 298 - 1, 101 - 1) = "1", OFFSET($A$1, 298 - 1, 102 - 1) = "1" ), 1, IF( AND( OFFSET($A$1, 298 - 1, 101 - 1) = "1", OFFSET($A$1, 298 - 1, 102 - 1) = "0" ), 2, IF( AND( OFFSET($A$1, 298 - 1, 101 - 1) = "0", OFFSET($A$1, 298 - 1, 102 - 1) = "1" ), 3, 4 ) ) )</f>
        <v>4</v>
      </c>
    </row>
    <row r="299" spans="95:103" ht="13.8" x14ac:dyDescent="0.3">
      <c r="CQ299" s="24">
        <v>0.95379840623455825</v>
      </c>
      <c r="CR299" s="24" t="str">
        <f>"1"</f>
        <v>1</v>
      </c>
      <c r="CS299" t="str">
        <f ca="1">IF((OFFSET($A$1, 299 - 1, 95 - 1)) &gt;= (OFFSET($A$1, 54 - 1, 7 - 1)), "1","0")</f>
        <v>0</v>
      </c>
      <c r="CT299">
        <f ca="1" xml:space="preserve"> IF( AND( OFFSET($A$1, 299 - 1, 96 - 1) = "1", OFFSET($A$1, 299 - 1, 97 - 1) = "1" ), 1, IF( AND( OFFSET($A$1, 299 - 1, 96 - 1) = "1", OFFSET($A$1, 299 - 1, 97 - 1) = "0" ), 2, IF( AND( OFFSET($A$1, 299 - 1, 96 - 1) = "0", OFFSET($A$1, 299 - 1, 97 - 1) = "1" ), 3, 4 ) ) )</f>
        <v>2</v>
      </c>
      <c r="CV299" s="24">
        <v>0.96738733512445085</v>
      </c>
      <c r="CW299" s="24" t="str">
        <f>"0"</f>
        <v>0</v>
      </c>
      <c r="CX299" t="str">
        <f ca="1">IF((OFFSET($A$1, 299 - 1, 100 - 1)) &gt;= (OFFSET($A$1, 78 - 1, 7 - 1)), "1","0")</f>
        <v>1</v>
      </c>
      <c r="CY299">
        <f ca="1" xml:space="preserve"> IF( AND( OFFSET($A$1, 299 - 1, 101 - 1) = "1", OFFSET($A$1, 299 - 1, 102 - 1) = "1" ), 1, IF( AND( OFFSET($A$1, 299 - 1, 101 - 1) = "1", OFFSET($A$1, 299 - 1, 102 - 1) = "0" ), 2, IF( AND( OFFSET($A$1, 299 - 1, 101 - 1) = "0", OFFSET($A$1, 299 - 1, 102 - 1) = "1" ), 3, 4 ) ) )</f>
        <v>3</v>
      </c>
    </row>
    <row r="300" spans="95:103" ht="13.8" x14ac:dyDescent="0.3">
      <c r="CQ300" s="24">
        <v>0.76053712775612303</v>
      </c>
      <c r="CR300" s="24" t="str">
        <f>"1"</f>
        <v>1</v>
      </c>
      <c r="CS300" t="str">
        <f ca="1">IF((OFFSET($A$1, 300 - 1, 95 - 1)) &gt;= (OFFSET($A$1, 54 - 1, 7 - 1)), "1","0")</f>
        <v>0</v>
      </c>
      <c r="CT300">
        <f ca="1" xml:space="preserve"> IF( AND( OFFSET($A$1, 300 - 1, 96 - 1) = "1", OFFSET($A$1, 300 - 1, 97 - 1) = "1" ), 1, IF( AND( OFFSET($A$1, 300 - 1, 96 - 1) = "1", OFFSET($A$1, 300 - 1, 97 - 1) = "0" ), 2, IF( AND( OFFSET($A$1, 300 - 1, 96 - 1) = "0", OFFSET($A$1, 300 - 1, 97 - 1) = "1" ), 3, 4 ) ) )</f>
        <v>2</v>
      </c>
      <c r="CV300" s="24">
        <v>0.97018984803645114</v>
      </c>
      <c r="CW300" s="24" t="str">
        <f>"1"</f>
        <v>1</v>
      </c>
      <c r="CX300" t="str">
        <f ca="1">IF((OFFSET($A$1, 300 - 1, 100 - 1)) &gt;= (OFFSET($A$1, 78 - 1, 7 - 1)), "1","0")</f>
        <v>1</v>
      </c>
      <c r="CY300">
        <f ca="1" xml:space="preserve"> IF( AND( OFFSET($A$1, 300 - 1, 101 - 1) = "1", OFFSET($A$1, 300 - 1, 102 - 1) = "1" ), 1, IF( AND( OFFSET($A$1, 300 - 1, 101 - 1) = "1", OFFSET($A$1, 300 - 1, 102 - 1) = "0" ), 2, IF( AND( OFFSET($A$1, 300 - 1, 101 - 1) = "0", OFFSET($A$1, 300 - 1, 102 - 1) = "1" ), 3, 4 ) ) )</f>
        <v>1</v>
      </c>
    </row>
    <row r="301" spans="95:103" ht="13.8" x14ac:dyDescent="0.3">
      <c r="CQ301" s="24">
        <v>4.9428966906593451E-2</v>
      </c>
      <c r="CR301" s="24" t="str">
        <f>"0"</f>
        <v>0</v>
      </c>
      <c r="CS301" t="str">
        <f ca="1">IF((OFFSET($A$1, 301 - 1, 95 - 1)) &gt;= (OFFSET($A$1, 54 - 1, 7 - 1)), "1","0")</f>
        <v>0</v>
      </c>
      <c r="CT301">
        <f ca="1" xml:space="preserve"> IF( AND( OFFSET($A$1, 301 - 1, 96 - 1) = "1", OFFSET($A$1, 301 - 1, 97 - 1) = "1" ), 1, IF( AND( OFFSET($A$1, 301 - 1, 96 - 1) = "1", OFFSET($A$1, 301 - 1, 97 - 1) = "0" ), 2, IF( AND( OFFSET($A$1, 301 - 1, 96 - 1) = "0", OFFSET($A$1, 301 - 1, 97 - 1) = "1" ), 3, 4 ) ) )</f>
        <v>4</v>
      </c>
      <c r="CV301" s="24">
        <v>3.1127634776906162E-2</v>
      </c>
      <c r="CW301" s="24" t="str">
        <f>"0"</f>
        <v>0</v>
      </c>
      <c r="CX301" t="str">
        <f ca="1">IF((OFFSET($A$1, 301 - 1, 100 - 1)) &gt;= (OFFSET($A$1, 78 - 1, 7 - 1)), "1","0")</f>
        <v>0</v>
      </c>
      <c r="CY301">
        <f ca="1" xml:space="preserve"> IF( AND( OFFSET($A$1, 301 - 1, 101 - 1) = "1", OFFSET($A$1, 301 - 1, 102 - 1) = "1" ), 1, IF( AND( OFFSET($A$1, 301 - 1, 101 - 1) = "1", OFFSET($A$1, 301 - 1, 102 - 1) = "0" ), 2, IF( AND( OFFSET($A$1, 301 - 1, 101 - 1) = "0", OFFSET($A$1, 301 - 1, 102 - 1) = "1" ), 3, 4 ) ) )</f>
        <v>4</v>
      </c>
    </row>
    <row r="302" spans="95:103" ht="13.8" x14ac:dyDescent="0.3">
      <c r="CQ302" s="24">
        <v>0.99608199652723872</v>
      </c>
      <c r="CR302" s="24" t="str">
        <f>"1"</f>
        <v>1</v>
      </c>
      <c r="CS302" t="str">
        <f ca="1">IF((OFFSET($A$1, 302 - 1, 95 - 1)) &gt;= (OFFSET($A$1, 54 - 1, 7 - 1)), "1","0")</f>
        <v>1</v>
      </c>
      <c r="CT302">
        <f ca="1" xml:space="preserve"> IF( AND( OFFSET($A$1, 302 - 1, 96 - 1) = "1", OFFSET($A$1, 302 - 1, 97 - 1) = "1" ), 1, IF( AND( OFFSET($A$1, 302 - 1, 96 - 1) = "1", OFFSET($A$1, 302 - 1, 97 - 1) = "0" ), 2, IF( AND( OFFSET($A$1, 302 - 1, 96 - 1) = "0", OFFSET($A$1, 302 - 1, 97 - 1) = "1" ), 3, 4 ) ) )</f>
        <v>1</v>
      </c>
      <c r="CV302" s="24">
        <v>0.81089025458528785</v>
      </c>
      <c r="CW302" s="24" t="str">
        <f>"0"</f>
        <v>0</v>
      </c>
      <c r="CX302" t="str">
        <f ca="1">IF((OFFSET($A$1, 302 - 1, 100 - 1)) &gt;= (OFFSET($A$1, 78 - 1, 7 - 1)), "1","0")</f>
        <v>0</v>
      </c>
      <c r="CY302">
        <f ca="1" xml:space="preserve"> IF( AND( OFFSET($A$1, 302 - 1, 101 - 1) = "1", OFFSET($A$1, 302 - 1, 102 - 1) = "1" ), 1, IF( AND( OFFSET($A$1, 302 - 1, 101 - 1) = "1", OFFSET($A$1, 302 - 1, 102 - 1) = "0" ), 2, IF( AND( OFFSET($A$1, 302 - 1, 101 - 1) = "0", OFFSET($A$1, 302 - 1, 102 - 1) = "1" ), 3, 4 ) ) )</f>
        <v>4</v>
      </c>
    </row>
    <row r="303" spans="95:103" ht="13.8" x14ac:dyDescent="0.3">
      <c r="CQ303" s="24">
        <v>1.1187088363798751E-2</v>
      </c>
      <c r="CR303" s="24" t="str">
        <f>"0"</f>
        <v>0</v>
      </c>
      <c r="CS303" t="str">
        <f ca="1">IF((OFFSET($A$1, 303 - 1, 95 - 1)) &gt;= (OFFSET($A$1, 54 - 1, 7 - 1)), "1","0")</f>
        <v>0</v>
      </c>
      <c r="CT303">
        <f ca="1" xml:space="preserve"> IF( AND( OFFSET($A$1, 303 - 1, 96 - 1) = "1", OFFSET($A$1, 303 - 1, 97 - 1) = "1" ), 1, IF( AND( OFFSET($A$1, 303 - 1, 96 - 1) = "1", OFFSET($A$1, 303 - 1, 97 - 1) = "0" ), 2, IF( AND( OFFSET($A$1, 303 - 1, 96 - 1) = "0", OFFSET($A$1, 303 - 1, 97 - 1) = "1" ), 3, 4 ) ) )</f>
        <v>4</v>
      </c>
      <c r="CV303" s="24">
        <v>5.0573423180666245E-2</v>
      </c>
      <c r="CW303" s="24" t="str">
        <f>"0"</f>
        <v>0</v>
      </c>
      <c r="CX303" t="str">
        <f ca="1">IF((OFFSET($A$1, 303 - 1, 100 - 1)) &gt;= (OFFSET($A$1, 78 - 1, 7 - 1)), "1","0")</f>
        <v>0</v>
      </c>
      <c r="CY303">
        <f ca="1" xml:space="preserve"> IF( AND( OFFSET($A$1, 303 - 1, 101 - 1) = "1", OFFSET($A$1, 303 - 1, 102 - 1) = "1" ), 1, IF( AND( OFFSET($A$1, 303 - 1, 101 - 1) = "1", OFFSET($A$1, 303 - 1, 102 - 1) = "0" ), 2, IF( AND( OFFSET($A$1, 303 - 1, 101 - 1) = "0", OFFSET($A$1, 303 - 1, 102 - 1) = "1" ), 3, 4 ) ) )</f>
        <v>4</v>
      </c>
    </row>
    <row r="304" spans="95:103" ht="13.8" x14ac:dyDescent="0.3">
      <c r="CQ304" s="24">
        <v>0.9961922274899685</v>
      </c>
      <c r="CR304" s="24" t="str">
        <f>"1"</f>
        <v>1</v>
      </c>
      <c r="CS304" t="str">
        <f ca="1">IF((OFFSET($A$1, 304 - 1, 95 - 1)) &gt;= (OFFSET($A$1, 54 - 1, 7 - 1)), "1","0")</f>
        <v>1</v>
      </c>
      <c r="CT304">
        <f ca="1" xml:space="preserve"> IF( AND( OFFSET($A$1, 304 - 1, 96 - 1) = "1", OFFSET($A$1, 304 - 1, 97 - 1) = "1" ), 1, IF( AND( OFFSET($A$1, 304 - 1, 96 - 1) = "1", OFFSET($A$1, 304 - 1, 97 - 1) = "0" ), 2, IF( AND( OFFSET($A$1, 304 - 1, 96 - 1) = "0", OFFSET($A$1, 304 - 1, 97 - 1) = "1" ), 3, 4 ) ) )</f>
        <v>1</v>
      </c>
      <c r="CV304" s="24">
        <v>0.80490917593867128</v>
      </c>
      <c r="CW304" s="24" t="str">
        <f>"1"</f>
        <v>1</v>
      </c>
      <c r="CX304" t="str">
        <f ca="1">IF((OFFSET($A$1, 304 - 1, 100 - 1)) &gt;= (OFFSET($A$1, 78 - 1, 7 - 1)), "1","0")</f>
        <v>0</v>
      </c>
      <c r="CY304">
        <f ca="1" xml:space="preserve"> IF( AND( OFFSET($A$1, 304 - 1, 101 - 1) = "1", OFFSET($A$1, 304 - 1, 102 - 1) = "1" ), 1, IF( AND( OFFSET($A$1, 304 - 1, 101 - 1) = "1", OFFSET($A$1, 304 - 1, 102 - 1) = "0" ), 2, IF( AND( OFFSET($A$1, 304 - 1, 101 - 1) = "0", OFFSET($A$1, 304 - 1, 102 - 1) = "1" ), 3, 4 ) ) )</f>
        <v>2</v>
      </c>
    </row>
    <row r="305" spans="95:103" ht="13.8" x14ac:dyDescent="0.3">
      <c r="CQ305" s="24">
        <v>0.17904547706537449</v>
      </c>
      <c r="CR305" s="24" t="str">
        <f>"0"</f>
        <v>0</v>
      </c>
      <c r="CS305" t="str">
        <f ca="1">IF((OFFSET($A$1, 305 - 1, 95 - 1)) &gt;= (OFFSET($A$1, 54 - 1, 7 - 1)), "1","0")</f>
        <v>0</v>
      </c>
      <c r="CT305">
        <f ca="1" xml:space="preserve"> IF( AND( OFFSET($A$1, 305 - 1, 96 - 1) = "1", OFFSET($A$1, 305 - 1, 97 - 1) = "1" ), 1, IF( AND( OFFSET($A$1, 305 - 1, 96 - 1) = "1", OFFSET($A$1, 305 - 1, 97 - 1) = "0" ), 2, IF( AND( OFFSET($A$1, 305 - 1, 96 - 1) = "0", OFFSET($A$1, 305 - 1, 97 - 1) = "1" ), 3, 4 ) ) )</f>
        <v>4</v>
      </c>
      <c r="CV305" s="24">
        <v>0.93861078309031443</v>
      </c>
      <c r="CW305" s="24" t="str">
        <f>"1"</f>
        <v>1</v>
      </c>
      <c r="CX305" t="str">
        <f ca="1">IF((OFFSET($A$1, 305 - 1, 100 - 1)) &gt;= (OFFSET($A$1, 78 - 1, 7 - 1)), "1","0")</f>
        <v>1</v>
      </c>
      <c r="CY305">
        <f ca="1" xml:space="preserve"> IF( AND( OFFSET($A$1, 305 - 1, 101 - 1) = "1", OFFSET($A$1, 305 - 1, 102 - 1) = "1" ), 1, IF( AND( OFFSET($A$1, 305 - 1, 101 - 1) = "1", OFFSET($A$1, 305 - 1, 102 - 1) = "0" ), 2, IF( AND( OFFSET($A$1, 305 - 1, 101 - 1) = "0", OFFSET($A$1, 305 - 1, 102 - 1) = "1" ), 3, 4 ) ) )</f>
        <v>1</v>
      </c>
    </row>
    <row r="306" spans="95:103" ht="13.8" x14ac:dyDescent="0.3">
      <c r="CQ306" s="24">
        <v>0.95237070041144678</v>
      </c>
      <c r="CR306" s="24" t="str">
        <f>"1"</f>
        <v>1</v>
      </c>
      <c r="CS306" t="str">
        <f ca="1">IF((OFFSET($A$1, 306 - 1, 95 - 1)) &gt;= (OFFSET($A$1, 54 - 1, 7 - 1)), "1","0")</f>
        <v>0</v>
      </c>
      <c r="CT306">
        <f ca="1" xml:space="preserve"> IF( AND( OFFSET($A$1, 306 - 1, 96 - 1) = "1", OFFSET($A$1, 306 - 1, 97 - 1) = "1" ), 1, IF( AND( OFFSET($A$1, 306 - 1, 96 - 1) = "1", OFFSET($A$1, 306 - 1, 97 - 1) = "0" ), 2, IF( AND( OFFSET($A$1, 306 - 1, 96 - 1) = "0", OFFSET($A$1, 306 - 1, 97 - 1) = "1" ), 3, 4 ) ) )</f>
        <v>2</v>
      </c>
      <c r="CV306" s="24">
        <v>0.43409103588091769</v>
      </c>
      <c r="CW306" s="24" t="str">
        <f>"1"</f>
        <v>1</v>
      </c>
      <c r="CX306" t="str">
        <f ca="1">IF((OFFSET($A$1, 306 - 1, 100 - 1)) &gt;= (OFFSET($A$1, 78 - 1, 7 - 1)), "1","0")</f>
        <v>0</v>
      </c>
      <c r="CY306">
        <f ca="1" xml:space="preserve"> IF( AND( OFFSET($A$1, 306 - 1, 101 - 1) = "1", OFFSET($A$1, 306 - 1, 102 - 1) = "1" ), 1, IF( AND( OFFSET($A$1, 306 - 1, 101 - 1) = "1", OFFSET($A$1, 306 - 1, 102 - 1) = "0" ), 2, IF( AND( OFFSET($A$1, 306 - 1, 101 - 1) = "0", OFFSET($A$1, 306 - 1, 102 - 1) = "1" ), 3, 4 ) ) )</f>
        <v>2</v>
      </c>
    </row>
    <row r="307" spans="95:103" ht="13.8" x14ac:dyDescent="0.3">
      <c r="CQ307" s="24">
        <v>0.99799443195697912</v>
      </c>
      <c r="CR307" s="24" t="str">
        <f>"1"</f>
        <v>1</v>
      </c>
      <c r="CS307" t="str">
        <f ca="1">IF((OFFSET($A$1, 307 - 1, 95 - 1)) &gt;= (OFFSET($A$1, 54 - 1, 7 - 1)), "1","0")</f>
        <v>1</v>
      </c>
      <c r="CT307">
        <f ca="1" xml:space="preserve"> IF( AND( OFFSET($A$1, 307 - 1, 96 - 1) = "1", OFFSET($A$1, 307 - 1, 97 - 1) = "1" ), 1, IF( AND( OFFSET($A$1, 307 - 1, 96 - 1) = "1", OFFSET($A$1, 307 - 1, 97 - 1) = "0" ), 2, IF( AND( OFFSET($A$1, 307 - 1, 96 - 1) = "0", OFFSET($A$1, 307 - 1, 97 - 1) = "1" ), 3, 4 ) ) )</f>
        <v>1</v>
      </c>
      <c r="CV307" s="24">
        <v>0.11075641776680918</v>
      </c>
      <c r="CW307" s="24" t="str">
        <f>"0"</f>
        <v>0</v>
      </c>
      <c r="CX307" t="str">
        <f ca="1">IF((OFFSET($A$1, 307 - 1, 100 - 1)) &gt;= (OFFSET($A$1, 78 - 1, 7 - 1)), "1","0")</f>
        <v>0</v>
      </c>
      <c r="CY307">
        <f ca="1" xml:space="preserve"> IF( AND( OFFSET($A$1, 307 - 1, 101 - 1) = "1", OFFSET($A$1, 307 - 1, 102 - 1) = "1" ), 1, IF( AND( OFFSET($A$1, 307 - 1, 101 - 1) = "1", OFFSET($A$1, 307 - 1, 102 - 1) = "0" ), 2, IF( AND( OFFSET($A$1, 307 - 1, 101 - 1) = "0", OFFSET($A$1, 307 - 1, 102 - 1) = "1" ), 3, 4 ) ) )</f>
        <v>4</v>
      </c>
    </row>
    <row r="308" spans="95:103" ht="13.8" x14ac:dyDescent="0.3">
      <c r="CQ308" s="24">
        <v>0.14939491797304943</v>
      </c>
      <c r="CR308" s="24" t="str">
        <f>"0"</f>
        <v>0</v>
      </c>
      <c r="CS308" t="str">
        <f ca="1">IF((OFFSET($A$1, 308 - 1, 95 - 1)) &gt;= (OFFSET($A$1, 54 - 1, 7 - 1)), "1","0")</f>
        <v>0</v>
      </c>
      <c r="CT308">
        <f ca="1" xml:space="preserve"> IF( AND( OFFSET($A$1, 308 - 1, 96 - 1) = "1", OFFSET($A$1, 308 - 1, 97 - 1) = "1" ), 1, IF( AND( OFFSET($A$1, 308 - 1, 96 - 1) = "1", OFFSET($A$1, 308 - 1, 97 - 1) = "0" ), 2, IF( AND( OFFSET($A$1, 308 - 1, 96 - 1) = "0", OFFSET($A$1, 308 - 1, 97 - 1) = "1" ), 3, 4 ) ) )</f>
        <v>4</v>
      </c>
      <c r="CV308" s="24">
        <v>0.33854922244263835</v>
      </c>
      <c r="CW308" s="24" t="str">
        <f>"1"</f>
        <v>1</v>
      </c>
      <c r="CX308" t="str">
        <f ca="1">IF((OFFSET($A$1, 308 - 1, 100 - 1)) &gt;= (OFFSET($A$1, 78 - 1, 7 - 1)), "1","0")</f>
        <v>0</v>
      </c>
      <c r="CY308">
        <f ca="1" xml:space="preserve"> IF( AND( OFFSET($A$1, 308 - 1, 101 - 1) = "1", OFFSET($A$1, 308 - 1, 102 - 1) = "1" ), 1, IF( AND( OFFSET($A$1, 308 - 1, 101 - 1) = "1", OFFSET($A$1, 308 - 1, 102 - 1) = "0" ), 2, IF( AND( OFFSET($A$1, 308 - 1, 101 - 1) = "0", OFFSET($A$1, 308 - 1, 102 - 1) = "1" ), 3, 4 ) ) )</f>
        <v>2</v>
      </c>
    </row>
    <row r="309" spans="95:103" ht="13.8" x14ac:dyDescent="0.3">
      <c r="CQ309" s="24">
        <v>4.2812561593261337E-3</v>
      </c>
      <c r="CR309" s="24" t="str">
        <f>"0"</f>
        <v>0</v>
      </c>
      <c r="CS309" t="str">
        <f ca="1">IF((OFFSET($A$1, 309 - 1, 95 - 1)) &gt;= (OFFSET($A$1, 54 - 1, 7 - 1)), "1","0")</f>
        <v>0</v>
      </c>
      <c r="CT309">
        <f ca="1" xml:space="preserve"> IF( AND( OFFSET($A$1, 309 - 1, 96 - 1) = "1", OFFSET($A$1, 309 - 1, 97 - 1) = "1" ), 1, IF( AND( OFFSET($A$1, 309 - 1, 96 - 1) = "1", OFFSET($A$1, 309 - 1, 97 - 1) = "0" ), 2, IF( AND( OFFSET($A$1, 309 - 1, 96 - 1) = "0", OFFSET($A$1, 309 - 1, 97 - 1) = "1" ), 3, 4 ) ) )</f>
        <v>4</v>
      </c>
      <c r="CV309" s="24">
        <v>1.315570788141994E-3</v>
      </c>
      <c r="CW309" s="24" t="str">
        <f>"0"</f>
        <v>0</v>
      </c>
      <c r="CX309" t="str">
        <f ca="1">IF((OFFSET($A$1, 309 - 1, 100 - 1)) &gt;= (OFFSET($A$1, 78 - 1, 7 - 1)), "1","0")</f>
        <v>0</v>
      </c>
      <c r="CY309">
        <f ca="1" xml:space="preserve"> IF( AND( OFFSET($A$1, 309 - 1, 101 - 1) = "1", OFFSET($A$1, 309 - 1, 102 - 1) = "1" ), 1, IF( AND( OFFSET($A$1, 309 - 1, 101 - 1) = "1", OFFSET($A$1, 309 - 1, 102 - 1) = "0" ), 2, IF( AND( OFFSET($A$1, 309 - 1, 101 - 1) = "0", OFFSET($A$1, 309 - 1, 102 - 1) = "1" ), 3, 4 ) ) )</f>
        <v>4</v>
      </c>
    </row>
    <row r="310" spans="95:103" ht="13.8" x14ac:dyDescent="0.3">
      <c r="CQ310" s="24">
        <v>5.9213843805696935E-2</v>
      </c>
      <c r="CR310" s="24" t="str">
        <f>"0"</f>
        <v>0</v>
      </c>
      <c r="CS310" t="str">
        <f ca="1">IF((OFFSET($A$1, 310 - 1, 95 - 1)) &gt;= (OFFSET($A$1, 54 - 1, 7 - 1)), "1","0")</f>
        <v>0</v>
      </c>
      <c r="CT310">
        <f ca="1" xml:space="preserve"> IF( AND( OFFSET($A$1, 310 - 1, 96 - 1) = "1", OFFSET($A$1, 310 - 1, 97 - 1) = "1" ), 1, IF( AND( OFFSET($A$1, 310 - 1, 96 - 1) = "1", OFFSET($A$1, 310 - 1, 97 - 1) = "0" ), 2, IF( AND( OFFSET($A$1, 310 - 1, 96 - 1) = "0", OFFSET($A$1, 310 - 1, 97 - 1) = "1" ), 3, 4 ) ) )</f>
        <v>4</v>
      </c>
      <c r="CV310" s="24">
        <v>0.39363787120260352</v>
      </c>
      <c r="CW310" s="24" t="str">
        <f>"0"</f>
        <v>0</v>
      </c>
      <c r="CX310" t="str">
        <f ca="1">IF((OFFSET($A$1, 310 - 1, 100 - 1)) &gt;= (OFFSET($A$1, 78 - 1, 7 - 1)), "1","0")</f>
        <v>0</v>
      </c>
      <c r="CY310">
        <f ca="1" xml:space="preserve"> IF( AND( OFFSET($A$1, 310 - 1, 101 - 1) = "1", OFFSET($A$1, 310 - 1, 102 - 1) = "1" ), 1, IF( AND( OFFSET($A$1, 310 - 1, 101 - 1) = "1", OFFSET($A$1, 310 - 1, 102 - 1) = "0" ), 2, IF( AND( OFFSET($A$1, 310 - 1, 101 - 1) = "0", OFFSET($A$1, 310 - 1, 102 - 1) = "1" ), 3, 4 ) ) )</f>
        <v>4</v>
      </c>
    </row>
    <row r="311" spans="95:103" ht="13.8" x14ac:dyDescent="0.3">
      <c r="CQ311" s="24">
        <v>0.99177527601333149</v>
      </c>
      <c r="CR311" s="24" t="str">
        <f>"1"</f>
        <v>1</v>
      </c>
      <c r="CS311" t="str">
        <f ca="1">IF((OFFSET($A$1, 311 - 1, 95 - 1)) &gt;= (OFFSET($A$1, 54 - 1, 7 - 1)), "1","0")</f>
        <v>1</v>
      </c>
      <c r="CT311">
        <f ca="1" xml:space="preserve"> IF( AND( OFFSET($A$1, 311 - 1, 96 - 1) = "1", OFFSET($A$1, 311 - 1, 97 - 1) = "1" ), 1, IF( AND( OFFSET($A$1, 311 - 1, 96 - 1) = "1", OFFSET($A$1, 311 - 1, 97 - 1) = "0" ), 2, IF( AND( OFFSET($A$1, 311 - 1, 96 - 1) = "0", OFFSET($A$1, 311 - 1, 97 - 1) = "1" ), 3, 4 ) ) )</f>
        <v>1</v>
      </c>
      <c r="CV311" s="24">
        <v>0.93908462298794237</v>
      </c>
      <c r="CW311" s="24" t="str">
        <f t="shared" ref="CW311:CW318" si="25">"1"</f>
        <v>1</v>
      </c>
      <c r="CX311" t="str">
        <f ca="1">IF((OFFSET($A$1, 311 - 1, 100 - 1)) &gt;= (OFFSET($A$1, 78 - 1, 7 - 1)), "1","0")</f>
        <v>1</v>
      </c>
      <c r="CY311">
        <f ca="1" xml:space="preserve"> IF( AND( OFFSET($A$1, 311 - 1, 101 - 1) = "1", OFFSET($A$1, 311 - 1, 102 - 1) = "1" ), 1, IF( AND( OFFSET($A$1, 311 - 1, 101 - 1) = "1", OFFSET($A$1, 311 - 1, 102 - 1) = "0" ), 2, IF( AND( OFFSET($A$1, 311 - 1, 101 - 1) = "0", OFFSET($A$1, 311 - 1, 102 - 1) = "1" ), 3, 4 ) ) )</f>
        <v>1</v>
      </c>
    </row>
    <row r="312" spans="95:103" ht="13.8" x14ac:dyDescent="0.3">
      <c r="CQ312" s="24">
        <v>0.99956628057459185</v>
      </c>
      <c r="CR312" s="24" t="str">
        <f>"1"</f>
        <v>1</v>
      </c>
      <c r="CS312" t="str">
        <f ca="1">IF((OFFSET($A$1, 312 - 1, 95 - 1)) &gt;= (OFFSET($A$1, 54 - 1, 7 - 1)), "1","0")</f>
        <v>1</v>
      </c>
      <c r="CT312">
        <f ca="1" xml:space="preserve"> IF( AND( OFFSET($A$1, 312 - 1, 96 - 1) = "1", OFFSET($A$1, 312 - 1, 97 - 1) = "1" ), 1, IF( AND( OFFSET($A$1, 312 - 1, 96 - 1) = "1", OFFSET($A$1, 312 - 1, 97 - 1) = "0" ), 2, IF( AND( OFFSET($A$1, 312 - 1, 96 - 1) = "0", OFFSET($A$1, 312 - 1, 97 - 1) = "1" ), 3, 4 ) ) )</f>
        <v>1</v>
      </c>
      <c r="CV312" s="24">
        <v>0.99917874658720329</v>
      </c>
      <c r="CW312" s="24" t="str">
        <f t="shared" si="25"/>
        <v>1</v>
      </c>
      <c r="CX312" t="str">
        <f ca="1">IF((OFFSET($A$1, 312 - 1, 100 - 1)) &gt;= (OFFSET($A$1, 78 - 1, 7 - 1)), "1","0")</f>
        <v>1</v>
      </c>
      <c r="CY312">
        <f ca="1" xml:space="preserve"> IF( AND( OFFSET($A$1, 312 - 1, 101 - 1) = "1", OFFSET($A$1, 312 - 1, 102 - 1) = "1" ), 1, IF( AND( OFFSET($A$1, 312 - 1, 101 - 1) = "1", OFFSET($A$1, 312 - 1, 102 - 1) = "0" ), 2, IF( AND( OFFSET($A$1, 312 - 1, 101 - 1) = "0", OFFSET($A$1, 312 - 1, 102 - 1) = "1" ), 3, 4 ) ) )</f>
        <v>1</v>
      </c>
    </row>
    <row r="313" spans="95:103" ht="13.8" x14ac:dyDescent="0.3">
      <c r="CQ313" s="24">
        <v>0.90229014880449487</v>
      </c>
      <c r="CR313" s="24" t="str">
        <f>"1"</f>
        <v>1</v>
      </c>
      <c r="CS313" t="str">
        <f ca="1">IF((OFFSET($A$1, 313 - 1, 95 - 1)) &gt;= (OFFSET($A$1, 54 - 1, 7 - 1)), "1","0")</f>
        <v>0</v>
      </c>
      <c r="CT313">
        <f ca="1" xml:space="preserve"> IF( AND( OFFSET($A$1, 313 - 1, 96 - 1) = "1", OFFSET($A$1, 313 - 1, 97 - 1) = "1" ), 1, IF( AND( OFFSET($A$1, 313 - 1, 96 - 1) = "1", OFFSET($A$1, 313 - 1, 97 - 1) = "0" ), 2, IF( AND( OFFSET($A$1, 313 - 1, 96 - 1) = "0", OFFSET($A$1, 313 - 1, 97 - 1) = "1" ), 3, 4 ) ) )</f>
        <v>2</v>
      </c>
      <c r="CV313" s="24">
        <v>0.48483982471543752</v>
      </c>
      <c r="CW313" s="24" t="str">
        <f t="shared" si="25"/>
        <v>1</v>
      </c>
      <c r="CX313" t="str">
        <f ca="1">IF((OFFSET($A$1, 313 - 1, 100 - 1)) &gt;= (OFFSET($A$1, 78 - 1, 7 - 1)), "1","0")</f>
        <v>0</v>
      </c>
      <c r="CY313">
        <f ca="1" xml:space="preserve"> IF( AND( OFFSET($A$1, 313 - 1, 101 - 1) = "1", OFFSET($A$1, 313 - 1, 102 - 1) = "1" ), 1, IF( AND( OFFSET($A$1, 313 - 1, 101 - 1) = "1", OFFSET($A$1, 313 - 1, 102 - 1) = "0" ), 2, IF( AND( OFFSET($A$1, 313 - 1, 101 - 1) = "0", OFFSET($A$1, 313 - 1, 102 - 1) = "1" ), 3, 4 ) ) )</f>
        <v>2</v>
      </c>
    </row>
    <row r="314" spans="95:103" ht="13.8" x14ac:dyDescent="0.3">
      <c r="CQ314" s="24">
        <v>0.99771188443744685</v>
      </c>
      <c r="CR314" s="24" t="str">
        <f>"1"</f>
        <v>1</v>
      </c>
      <c r="CS314" t="str">
        <f ca="1">IF((OFFSET($A$1, 314 - 1, 95 - 1)) &gt;= (OFFSET($A$1, 54 - 1, 7 - 1)), "1","0")</f>
        <v>1</v>
      </c>
      <c r="CT314">
        <f ca="1" xml:space="preserve"> IF( AND( OFFSET($A$1, 314 - 1, 96 - 1) = "1", OFFSET($A$1, 314 - 1, 97 - 1) = "1" ), 1, IF( AND( OFFSET($A$1, 314 - 1, 96 - 1) = "1", OFFSET($A$1, 314 - 1, 97 - 1) = "0" ), 2, IF( AND( OFFSET($A$1, 314 - 1, 96 - 1) = "0", OFFSET($A$1, 314 - 1, 97 - 1) = "1" ), 3, 4 ) ) )</f>
        <v>1</v>
      </c>
      <c r="CV314" s="24">
        <v>0.94228607478992898</v>
      </c>
      <c r="CW314" s="24" t="str">
        <f t="shared" si="25"/>
        <v>1</v>
      </c>
      <c r="CX314" t="str">
        <f ca="1">IF((OFFSET($A$1, 314 - 1, 100 - 1)) &gt;= (OFFSET($A$1, 78 - 1, 7 - 1)), "1","0")</f>
        <v>1</v>
      </c>
      <c r="CY314">
        <f ca="1" xml:space="preserve"> IF( AND( OFFSET($A$1, 314 - 1, 101 - 1) = "1", OFFSET($A$1, 314 - 1, 102 - 1) = "1" ), 1, IF( AND( OFFSET($A$1, 314 - 1, 101 - 1) = "1", OFFSET($A$1, 314 - 1, 102 - 1) = "0" ), 2, IF( AND( OFFSET($A$1, 314 - 1, 101 - 1) = "0", OFFSET($A$1, 314 - 1, 102 - 1) = "1" ), 3, 4 ) ) )</f>
        <v>1</v>
      </c>
    </row>
    <row r="315" spans="95:103" ht="13.8" x14ac:dyDescent="0.3">
      <c r="CQ315" s="24">
        <v>0.9639539128496909</v>
      </c>
      <c r="CR315" s="24" t="str">
        <f>"1"</f>
        <v>1</v>
      </c>
      <c r="CS315" t="str">
        <f ca="1">IF((OFFSET($A$1, 315 - 1, 95 - 1)) &gt;= (OFFSET($A$1, 54 - 1, 7 - 1)), "1","0")</f>
        <v>1</v>
      </c>
      <c r="CT315">
        <f ca="1" xml:space="preserve"> IF( AND( OFFSET($A$1, 315 - 1, 96 - 1) = "1", OFFSET($A$1, 315 - 1, 97 - 1) = "1" ), 1, IF( AND( OFFSET($A$1, 315 - 1, 96 - 1) = "1", OFFSET($A$1, 315 - 1, 97 - 1) = "0" ), 2, IF( AND( OFFSET($A$1, 315 - 1, 96 - 1) = "0", OFFSET($A$1, 315 - 1, 97 - 1) = "1" ), 3, 4 ) ) )</f>
        <v>1</v>
      </c>
      <c r="CV315" s="24">
        <v>0.99497871869286469</v>
      </c>
      <c r="CW315" s="24" t="str">
        <f t="shared" si="25"/>
        <v>1</v>
      </c>
      <c r="CX315" t="str">
        <f ca="1">IF((OFFSET($A$1, 315 - 1, 100 - 1)) &gt;= (OFFSET($A$1, 78 - 1, 7 - 1)), "1","0")</f>
        <v>1</v>
      </c>
      <c r="CY315">
        <f ca="1" xml:space="preserve"> IF( AND( OFFSET($A$1, 315 - 1, 101 - 1) = "1", OFFSET($A$1, 315 - 1, 102 - 1) = "1" ), 1, IF( AND( OFFSET($A$1, 315 - 1, 101 - 1) = "1", OFFSET($A$1, 315 - 1, 102 - 1) = "0" ), 2, IF( AND( OFFSET($A$1, 315 - 1, 101 - 1) = "0", OFFSET($A$1, 315 - 1, 102 - 1) = "1" ), 3, 4 ) ) )</f>
        <v>1</v>
      </c>
    </row>
    <row r="316" spans="95:103" ht="13.8" x14ac:dyDescent="0.3">
      <c r="CQ316" s="24">
        <v>5.6780558706910025E-2</v>
      </c>
      <c r="CR316" s="24" t="str">
        <f>"0"</f>
        <v>0</v>
      </c>
      <c r="CS316" t="str">
        <f ca="1">IF((OFFSET($A$1, 316 - 1, 95 - 1)) &gt;= (OFFSET($A$1, 54 - 1, 7 - 1)), "1","0")</f>
        <v>0</v>
      </c>
      <c r="CT316">
        <f ca="1" xml:space="preserve"> IF( AND( OFFSET($A$1, 316 - 1, 96 - 1) = "1", OFFSET($A$1, 316 - 1, 97 - 1) = "1" ), 1, IF( AND( OFFSET($A$1, 316 - 1, 96 - 1) = "1", OFFSET($A$1, 316 - 1, 97 - 1) = "0" ), 2, IF( AND( OFFSET($A$1, 316 - 1, 96 - 1) = "0", OFFSET($A$1, 316 - 1, 97 - 1) = "1" ), 3, 4 ) ) )</f>
        <v>4</v>
      </c>
      <c r="CV316" s="24">
        <v>0.98680193852564346</v>
      </c>
      <c r="CW316" s="24" t="str">
        <f t="shared" si="25"/>
        <v>1</v>
      </c>
      <c r="CX316" t="str">
        <f ca="1">IF((OFFSET($A$1, 316 - 1, 100 - 1)) &gt;= (OFFSET($A$1, 78 - 1, 7 - 1)), "1","0")</f>
        <v>1</v>
      </c>
      <c r="CY316">
        <f ca="1" xml:space="preserve"> IF( AND( OFFSET($A$1, 316 - 1, 101 - 1) = "1", OFFSET($A$1, 316 - 1, 102 - 1) = "1" ), 1, IF( AND( OFFSET($A$1, 316 - 1, 101 - 1) = "1", OFFSET($A$1, 316 - 1, 102 - 1) = "0" ), 2, IF( AND( OFFSET($A$1, 316 - 1, 101 - 1) = "0", OFFSET($A$1, 316 - 1, 102 - 1) = "1" ), 3, 4 ) ) )</f>
        <v>1</v>
      </c>
    </row>
    <row r="317" spans="95:103" ht="13.8" x14ac:dyDescent="0.3">
      <c r="CQ317" s="24">
        <v>0.95456626881766482</v>
      </c>
      <c r="CR317" s="24" t="str">
        <f>"1"</f>
        <v>1</v>
      </c>
      <c r="CS317" t="str">
        <f ca="1">IF((OFFSET($A$1, 317 - 1, 95 - 1)) &gt;= (OFFSET($A$1, 54 - 1, 7 - 1)), "1","0")</f>
        <v>0</v>
      </c>
      <c r="CT317">
        <f ca="1" xml:space="preserve"> IF( AND( OFFSET($A$1, 317 - 1, 96 - 1) = "1", OFFSET($A$1, 317 - 1, 97 - 1) = "1" ), 1, IF( AND( OFFSET($A$1, 317 - 1, 96 - 1) = "1", OFFSET($A$1, 317 - 1, 97 - 1) = "0" ), 2, IF( AND( OFFSET($A$1, 317 - 1, 96 - 1) = "0", OFFSET($A$1, 317 - 1, 97 - 1) = "1" ), 3, 4 ) ) )</f>
        <v>2</v>
      </c>
      <c r="CV317" s="24">
        <v>0.84781373396962023</v>
      </c>
      <c r="CW317" s="24" t="str">
        <f t="shared" si="25"/>
        <v>1</v>
      </c>
      <c r="CX317" t="str">
        <f ca="1">IF((OFFSET($A$1, 317 - 1, 100 - 1)) &gt;= (OFFSET($A$1, 78 - 1, 7 - 1)), "1","0")</f>
        <v>0</v>
      </c>
      <c r="CY317">
        <f ca="1" xml:space="preserve"> IF( AND( OFFSET($A$1, 317 - 1, 101 - 1) = "1", OFFSET($A$1, 317 - 1, 102 - 1) = "1" ), 1, IF( AND( OFFSET($A$1, 317 - 1, 101 - 1) = "1", OFFSET($A$1, 317 - 1, 102 - 1) = "0" ), 2, IF( AND( OFFSET($A$1, 317 - 1, 101 - 1) = "0", OFFSET($A$1, 317 - 1, 102 - 1) = "1" ), 3, 4 ) ) )</f>
        <v>2</v>
      </c>
    </row>
    <row r="318" spans="95:103" ht="13.8" x14ac:dyDescent="0.3">
      <c r="CQ318" s="24">
        <v>0.99807727580063832</v>
      </c>
      <c r="CR318" s="24" t="str">
        <f>"1"</f>
        <v>1</v>
      </c>
      <c r="CS318" t="str">
        <f ca="1">IF((OFFSET($A$1, 318 - 1, 95 - 1)) &gt;= (OFFSET($A$1, 54 - 1, 7 - 1)), "1","0")</f>
        <v>1</v>
      </c>
      <c r="CT318">
        <f ca="1" xml:space="preserve"> IF( AND( OFFSET($A$1, 318 - 1, 96 - 1) = "1", OFFSET($A$1, 318 - 1, 97 - 1) = "1" ), 1, IF( AND( OFFSET($A$1, 318 - 1, 96 - 1) = "1", OFFSET($A$1, 318 - 1, 97 - 1) = "0" ), 2, IF( AND( OFFSET($A$1, 318 - 1, 96 - 1) = "0", OFFSET($A$1, 318 - 1, 97 - 1) = "1" ), 3, 4 ) ) )</f>
        <v>1</v>
      </c>
      <c r="CV318" s="24">
        <v>0.90671911979208708</v>
      </c>
      <c r="CW318" s="24" t="str">
        <f t="shared" si="25"/>
        <v>1</v>
      </c>
      <c r="CX318" t="str">
        <f ca="1">IF((OFFSET($A$1, 318 - 1, 100 - 1)) &gt;= (OFFSET($A$1, 78 - 1, 7 - 1)), "1","0")</f>
        <v>1</v>
      </c>
      <c r="CY318">
        <f ca="1" xml:space="preserve"> IF( AND( OFFSET($A$1, 318 - 1, 101 - 1) = "1", OFFSET($A$1, 318 - 1, 102 - 1) = "1" ), 1, IF( AND( OFFSET($A$1, 318 - 1, 101 - 1) = "1", OFFSET($A$1, 318 - 1, 102 - 1) = "0" ), 2, IF( AND( OFFSET($A$1, 318 - 1, 101 - 1) = "0", OFFSET($A$1, 318 - 1, 102 - 1) = "1" ), 3, 4 ) ) )</f>
        <v>1</v>
      </c>
    </row>
    <row r="319" spans="95:103" ht="13.8" x14ac:dyDescent="0.3">
      <c r="CQ319" s="24">
        <v>9.4126729818153038E-2</v>
      </c>
      <c r="CR319" s="24" t="str">
        <f>"0"</f>
        <v>0</v>
      </c>
      <c r="CS319" t="str">
        <f ca="1">IF((OFFSET($A$1, 319 - 1, 95 - 1)) &gt;= (OFFSET($A$1, 54 - 1, 7 - 1)), "1","0")</f>
        <v>0</v>
      </c>
      <c r="CT319">
        <f ca="1" xml:space="preserve"> IF( AND( OFFSET($A$1, 319 - 1, 96 - 1) = "1", OFFSET($A$1, 319 - 1, 97 - 1) = "1" ), 1, IF( AND( OFFSET($A$1, 319 - 1, 96 - 1) = "1", OFFSET($A$1, 319 - 1, 97 - 1) = "0" ), 2, IF( AND( OFFSET($A$1, 319 - 1, 96 - 1) = "0", OFFSET($A$1, 319 - 1, 97 - 1) = "1" ), 3, 4 ) ) )</f>
        <v>4</v>
      </c>
      <c r="CV319" s="24">
        <v>0.99955145413574631</v>
      </c>
      <c r="CW319" s="24" t="str">
        <f>"0"</f>
        <v>0</v>
      </c>
      <c r="CX319" t="str">
        <f ca="1">IF((OFFSET($A$1, 319 - 1, 100 - 1)) &gt;= (OFFSET($A$1, 78 - 1, 7 - 1)), "1","0")</f>
        <v>1</v>
      </c>
      <c r="CY319">
        <f ca="1" xml:space="preserve"> IF( AND( OFFSET($A$1, 319 - 1, 101 - 1) = "1", OFFSET($A$1, 319 - 1, 102 - 1) = "1" ), 1, IF( AND( OFFSET($A$1, 319 - 1, 101 - 1) = "1", OFFSET($A$1, 319 - 1, 102 - 1) = "0" ), 2, IF( AND( OFFSET($A$1, 319 - 1, 101 - 1) = "0", OFFSET($A$1, 319 - 1, 102 - 1) = "1" ), 3, 4 ) ) )</f>
        <v>3</v>
      </c>
    </row>
    <row r="320" spans="95:103" ht="13.8" x14ac:dyDescent="0.3">
      <c r="CQ320" s="24">
        <v>0.99905443206781452</v>
      </c>
      <c r="CR320" s="24" t="str">
        <f>"1"</f>
        <v>1</v>
      </c>
      <c r="CS320" t="str">
        <f ca="1">IF((OFFSET($A$1, 320 - 1, 95 - 1)) &gt;= (OFFSET($A$1, 54 - 1, 7 - 1)), "1","0")</f>
        <v>1</v>
      </c>
      <c r="CT320">
        <f ca="1" xml:space="preserve"> IF( AND( OFFSET($A$1, 320 - 1, 96 - 1) = "1", OFFSET($A$1, 320 - 1, 97 - 1) = "1" ), 1, IF( AND( OFFSET($A$1, 320 - 1, 96 - 1) = "1", OFFSET($A$1, 320 - 1, 97 - 1) = "0" ), 2, IF( AND( OFFSET($A$1, 320 - 1, 96 - 1) = "0", OFFSET($A$1, 320 - 1, 97 - 1) = "1" ), 3, 4 ) ) )</f>
        <v>1</v>
      </c>
      <c r="CV320" s="24">
        <v>0.93373489430312762</v>
      </c>
      <c r="CW320" s="24" t="str">
        <f>"1"</f>
        <v>1</v>
      </c>
      <c r="CX320" t="str">
        <f ca="1">IF((OFFSET($A$1, 320 - 1, 100 - 1)) &gt;= (OFFSET($A$1, 78 - 1, 7 - 1)), "1","0")</f>
        <v>1</v>
      </c>
      <c r="CY320">
        <f ca="1" xml:space="preserve"> IF( AND( OFFSET($A$1, 320 - 1, 101 - 1) = "1", OFFSET($A$1, 320 - 1, 102 - 1) = "1" ), 1, IF( AND( OFFSET($A$1, 320 - 1, 101 - 1) = "1", OFFSET($A$1, 320 - 1, 102 - 1) = "0" ), 2, IF( AND( OFFSET($A$1, 320 - 1, 101 - 1) = "0", OFFSET($A$1, 320 - 1, 102 - 1) = "1" ), 3, 4 ) ) )</f>
        <v>1</v>
      </c>
    </row>
    <row r="321" spans="95:103" ht="13.8" x14ac:dyDescent="0.3">
      <c r="CQ321" s="24">
        <v>0.86370542637457648</v>
      </c>
      <c r="CR321" s="24" t="str">
        <f>"1"</f>
        <v>1</v>
      </c>
      <c r="CS321" t="str">
        <f ca="1">IF((OFFSET($A$1, 321 - 1, 95 - 1)) &gt;= (OFFSET($A$1, 54 - 1, 7 - 1)), "1","0")</f>
        <v>0</v>
      </c>
      <c r="CT321">
        <f ca="1" xml:space="preserve"> IF( AND( OFFSET($A$1, 321 - 1, 96 - 1) = "1", OFFSET($A$1, 321 - 1, 97 - 1) = "1" ), 1, IF( AND( OFFSET($A$1, 321 - 1, 96 - 1) = "1", OFFSET($A$1, 321 - 1, 97 - 1) = "0" ), 2, IF( AND( OFFSET($A$1, 321 - 1, 96 - 1) = "0", OFFSET($A$1, 321 - 1, 97 - 1) = "1" ), 3, 4 ) ) )</f>
        <v>2</v>
      </c>
      <c r="CV321" s="24">
        <v>0.62670610251110137</v>
      </c>
      <c r="CW321" s="24" t="str">
        <f>"1"</f>
        <v>1</v>
      </c>
      <c r="CX321" t="str">
        <f ca="1">IF((OFFSET($A$1, 321 - 1, 100 - 1)) &gt;= (OFFSET($A$1, 78 - 1, 7 - 1)), "1","0")</f>
        <v>0</v>
      </c>
      <c r="CY321">
        <f ca="1" xml:space="preserve"> IF( AND( OFFSET($A$1, 321 - 1, 101 - 1) = "1", OFFSET($A$1, 321 - 1, 102 - 1) = "1" ), 1, IF( AND( OFFSET($A$1, 321 - 1, 101 - 1) = "1", OFFSET($A$1, 321 - 1, 102 - 1) = "0" ), 2, IF( AND( OFFSET($A$1, 321 - 1, 101 - 1) = "0", OFFSET($A$1, 321 - 1, 102 - 1) = "1" ), 3, 4 ) ) )</f>
        <v>2</v>
      </c>
    </row>
    <row r="322" spans="95:103" ht="13.8" x14ac:dyDescent="0.3">
      <c r="CQ322" s="24">
        <v>5.0918695707957672E-2</v>
      </c>
      <c r="CR322" s="24" t="str">
        <f>"0"</f>
        <v>0</v>
      </c>
      <c r="CS322" t="str">
        <f ca="1">IF((OFFSET($A$1, 322 - 1, 95 - 1)) &gt;= (OFFSET($A$1, 54 - 1, 7 - 1)), "1","0")</f>
        <v>0</v>
      </c>
      <c r="CT322">
        <f ca="1" xml:space="preserve"> IF( AND( OFFSET($A$1, 322 - 1, 96 - 1) = "1", OFFSET($A$1, 322 - 1, 97 - 1) = "1" ), 1, IF( AND( OFFSET($A$1, 322 - 1, 96 - 1) = "1", OFFSET($A$1, 322 - 1, 97 - 1) = "0" ), 2, IF( AND( OFFSET($A$1, 322 - 1, 96 - 1) = "0", OFFSET($A$1, 322 - 1, 97 - 1) = "1" ), 3, 4 ) ) )</f>
        <v>4</v>
      </c>
      <c r="CV322" s="24">
        <v>0.14549350979988576</v>
      </c>
      <c r="CW322" s="24" t="str">
        <f>"0"</f>
        <v>0</v>
      </c>
      <c r="CX322" t="str">
        <f ca="1">IF((OFFSET($A$1, 322 - 1, 100 - 1)) &gt;= (OFFSET($A$1, 78 - 1, 7 - 1)), "1","0")</f>
        <v>0</v>
      </c>
      <c r="CY322">
        <f ca="1" xml:space="preserve"> IF( AND( OFFSET($A$1, 322 - 1, 101 - 1) = "1", OFFSET($A$1, 322 - 1, 102 - 1) = "1" ), 1, IF( AND( OFFSET($A$1, 322 - 1, 101 - 1) = "1", OFFSET($A$1, 322 - 1, 102 - 1) = "0" ), 2, IF( AND( OFFSET($A$1, 322 - 1, 101 - 1) = "0", OFFSET($A$1, 322 - 1, 102 - 1) = "1" ), 3, 4 ) ) )</f>
        <v>4</v>
      </c>
    </row>
    <row r="323" spans="95:103" ht="13.8" x14ac:dyDescent="0.3">
      <c r="CQ323" s="24">
        <v>0.96538297506126935</v>
      </c>
      <c r="CR323" s="24" t="str">
        <f>"1"</f>
        <v>1</v>
      </c>
      <c r="CS323" t="str">
        <f ca="1">IF((OFFSET($A$1, 323 - 1, 95 - 1)) &gt;= (OFFSET($A$1, 54 - 1, 7 - 1)), "1","0")</f>
        <v>1</v>
      </c>
      <c r="CT323">
        <f ca="1" xml:space="preserve"> IF( AND( OFFSET($A$1, 323 - 1, 96 - 1) = "1", OFFSET($A$1, 323 - 1, 97 - 1) = "1" ), 1, IF( AND( OFFSET($A$1, 323 - 1, 96 - 1) = "1", OFFSET($A$1, 323 - 1, 97 - 1) = "0" ), 2, IF( AND( OFFSET($A$1, 323 - 1, 96 - 1) = "0", OFFSET($A$1, 323 - 1, 97 - 1) = "1" ), 3, 4 ) ) )</f>
        <v>1</v>
      </c>
      <c r="CV323" s="24">
        <v>4.4148413923844061E-2</v>
      </c>
      <c r="CW323" s="24" t="str">
        <f>"0"</f>
        <v>0</v>
      </c>
      <c r="CX323" t="str">
        <f ca="1">IF((OFFSET($A$1, 323 - 1, 100 - 1)) &gt;= (OFFSET($A$1, 78 - 1, 7 - 1)), "1","0")</f>
        <v>0</v>
      </c>
      <c r="CY323">
        <f ca="1" xml:space="preserve"> IF( AND( OFFSET($A$1, 323 - 1, 101 - 1) = "1", OFFSET($A$1, 323 - 1, 102 - 1) = "1" ), 1, IF( AND( OFFSET($A$1, 323 - 1, 101 - 1) = "1", OFFSET($A$1, 323 - 1, 102 - 1) = "0" ), 2, IF( AND( OFFSET($A$1, 323 - 1, 101 - 1) = "0", OFFSET($A$1, 323 - 1, 102 - 1) = "1" ), 3, 4 ) ) )</f>
        <v>4</v>
      </c>
    </row>
    <row r="324" spans="95:103" ht="13.8" x14ac:dyDescent="0.3">
      <c r="CQ324" s="24">
        <v>0.9893568681577557</v>
      </c>
      <c r="CR324" s="24" t="str">
        <f>"1"</f>
        <v>1</v>
      </c>
      <c r="CS324" t="str">
        <f ca="1">IF((OFFSET($A$1, 324 - 1, 95 - 1)) &gt;= (OFFSET($A$1, 54 - 1, 7 - 1)), "1","0")</f>
        <v>1</v>
      </c>
      <c r="CT324">
        <f ca="1" xml:space="preserve"> IF( AND( OFFSET($A$1, 324 - 1, 96 - 1) = "1", OFFSET($A$1, 324 - 1, 97 - 1) = "1" ), 1, IF( AND( OFFSET($A$1, 324 - 1, 96 - 1) = "1", OFFSET($A$1, 324 - 1, 97 - 1) = "0" ), 2, IF( AND( OFFSET($A$1, 324 - 1, 96 - 1) = "0", OFFSET($A$1, 324 - 1, 97 - 1) = "1" ), 3, 4 ) ) )</f>
        <v>1</v>
      </c>
      <c r="CV324" s="24">
        <v>0.6462293546850304</v>
      </c>
      <c r="CW324" s="24" t="str">
        <f>"1"</f>
        <v>1</v>
      </c>
      <c r="CX324" t="str">
        <f ca="1">IF((OFFSET($A$1, 324 - 1, 100 - 1)) &gt;= (OFFSET($A$1, 78 - 1, 7 - 1)), "1","0")</f>
        <v>0</v>
      </c>
      <c r="CY324">
        <f ca="1" xml:space="preserve"> IF( AND( OFFSET($A$1, 324 - 1, 101 - 1) = "1", OFFSET($A$1, 324 - 1, 102 - 1) = "1" ), 1, IF( AND( OFFSET($A$1, 324 - 1, 101 - 1) = "1", OFFSET($A$1, 324 - 1, 102 - 1) = "0" ), 2, IF( AND( OFFSET($A$1, 324 - 1, 101 - 1) = "0", OFFSET($A$1, 324 - 1, 102 - 1) = "1" ), 3, 4 ) ) )</f>
        <v>2</v>
      </c>
    </row>
    <row r="325" spans="95:103" ht="13.8" x14ac:dyDescent="0.3">
      <c r="CQ325" s="24">
        <v>0.17326764938434178</v>
      </c>
      <c r="CR325" s="24" t="str">
        <f>"0"</f>
        <v>0</v>
      </c>
      <c r="CS325" t="str">
        <f ca="1">IF((OFFSET($A$1, 325 - 1, 95 - 1)) &gt;= (OFFSET($A$1, 54 - 1, 7 - 1)), "1","0")</f>
        <v>0</v>
      </c>
      <c r="CT325">
        <f ca="1" xml:space="preserve"> IF( AND( OFFSET($A$1, 325 - 1, 96 - 1) = "1", OFFSET($A$1, 325 - 1, 97 - 1) = "1" ), 1, IF( AND( OFFSET($A$1, 325 - 1, 96 - 1) = "1", OFFSET($A$1, 325 - 1, 97 - 1) = "0" ), 2, IF( AND( OFFSET($A$1, 325 - 1, 96 - 1) = "0", OFFSET($A$1, 325 - 1, 97 - 1) = "1" ), 3, 4 ) ) )</f>
        <v>4</v>
      </c>
      <c r="CV325" s="24">
        <v>0.99379213075900596</v>
      </c>
      <c r="CW325" s="24" t="str">
        <f>"1"</f>
        <v>1</v>
      </c>
      <c r="CX325" t="str">
        <f ca="1">IF((OFFSET($A$1, 325 - 1, 100 - 1)) &gt;= (OFFSET($A$1, 78 - 1, 7 - 1)), "1","0")</f>
        <v>1</v>
      </c>
      <c r="CY325">
        <f ca="1" xml:space="preserve"> IF( AND( OFFSET($A$1, 325 - 1, 101 - 1) = "1", OFFSET($A$1, 325 - 1, 102 - 1) = "1" ), 1, IF( AND( OFFSET($A$1, 325 - 1, 101 - 1) = "1", OFFSET($A$1, 325 - 1, 102 - 1) = "0" ), 2, IF( AND( OFFSET($A$1, 325 - 1, 101 - 1) = "0", OFFSET($A$1, 325 - 1, 102 - 1) = "1" ), 3, 4 ) ) )</f>
        <v>1</v>
      </c>
    </row>
    <row r="326" spans="95:103" ht="13.8" x14ac:dyDescent="0.3">
      <c r="CQ326" s="24">
        <v>3.8261668948069871E-2</v>
      </c>
      <c r="CR326" s="24" t="str">
        <f>"0"</f>
        <v>0</v>
      </c>
      <c r="CS326" t="str">
        <f ca="1">IF((OFFSET($A$1, 326 - 1, 95 - 1)) &gt;= (OFFSET($A$1, 54 - 1, 7 - 1)), "1","0")</f>
        <v>0</v>
      </c>
      <c r="CT326">
        <f ca="1" xml:space="preserve"> IF( AND( OFFSET($A$1, 326 - 1, 96 - 1) = "1", OFFSET($A$1, 326 - 1, 97 - 1) = "1" ), 1, IF( AND( OFFSET($A$1, 326 - 1, 96 - 1) = "1", OFFSET($A$1, 326 - 1, 97 - 1) = "0" ), 2, IF( AND( OFFSET($A$1, 326 - 1, 96 - 1) = "0", OFFSET($A$1, 326 - 1, 97 - 1) = "1" ), 3, 4 ) ) )</f>
        <v>4</v>
      </c>
      <c r="CV326" s="24">
        <v>0.99972816062952796</v>
      </c>
      <c r="CW326" s="24" t="str">
        <f>"1"</f>
        <v>1</v>
      </c>
      <c r="CX326" t="str">
        <f ca="1">IF((OFFSET($A$1, 326 - 1, 100 - 1)) &gt;= (OFFSET($A$1, 78 - 1, 7 - 1)), "1","0")</f>
        <v>1</v>
      </c>
      <c r="CY326">
        <f ca="1" xml:space="preserve"> IF( AND( OFFSET($A$1, 326 - 1, 101 - 1) = "1", OFFSET($A$1, 326 - 1, 102 - 1) = "1" ), 1, IF( AND( OFFSET($A$1, 326 - 1, 101 - 1) = "1", OFFSET($A$1, 326 - 1, 102 - 1) = "0" ), 2, IF( AND( OFFSET($A$1, 326 - 1, 101 - 1) = "0", OFFSET($A$1, 326 - 1, 102 - 1) = "1" ), 3, 4 ) ) )</f>
        <v>1</v>
      </c>
    </row>
    <row r="327" spans="95:103" ht="13.8" x14ac:dyDescent="0.3">
      <c r="CQ327" s="24">
        <v>0.85866291269829731</v>
      </c>
      <c r="CR327" s="24" t="str">
        <f>"1"</f>
        <v>1</v>
      </c>
      <c r="CS327" t="str">
        <f ca="1">IF((OFFSET($A$1, 327 - 1, 95 - 1)) &gt;= (OFFSET($A$1, 54 - 1, 7 - 1)), "1","0")</f>
        <v>0</v>
      </c>
      <c r="CT327">
        <f ca="1" xml:space="preserve"> IF( AND( OFFSET($A$1, 327 - 1, 96 - 1) = "1", OFFSET($A$1, 327 - 1, 97 - 1) = "1" ), 1, IF( AND( OFFSET($A$1, 327 - 1, 96 - 1) = "1", OFFSET($A$1, 327 - 1, 97 - 1) = "0" ), 2, IF( AND( OFFSET($A$1, 327 - 1, 96 - 1) = "0", OFFSET($A$1, 327 - 1, 97 - 1) = "1" ), 3, 4 ) ) )</f>
        <v>2</v>
      </c>
      <c r="CV327" s="24">
        <v>0.99975397758968743</v>
      </c>
      <c r="CW327" s="24" t="str">
        <f>"0"</f>
        <v>0</v>
      </c>
      <c r="CX327" t="str">
        <f ca="1">IF((OFFSET($A$1, 327 - 1, 100 - 1)) &gt;= (OFFSET($A$1, 78 - 1, 7 - 1)), "1","0")</f>
        <v>1</v>
      </c>
      <c r="CY327">
        <f ca="1" xml:space="preserve"> IF( AND( OFFSET($A$1, 327 - 1, 101 - 1) = "1", OFFSET($A$1, 327 - 1, 102 - 1) = "1" ), 1, IF( AND( OFFSET($A$1, 327 - 1, 101 - 1) = "1", OFFSET($A$1, 327 - 1, 102 - 1) = "0" ), 2, IF( AND( OFFSET($A$1, 327 - 1, 101 - 1) = "0", OFFSET($A$1, 327 - 1, 102 - 1) = "1" ), 3, 4 ) ) )</f>
        <v>3</v>
      </c>
    </row>
    <row r="328" spans="95:103" ht="13.8" x14ac:dyDescent="0.3">
      <c r="CQ328" s="24">
        <v>6.1703906662022107E-2</v>
      </c>
      <c r="CR328" s="24" t="str">
        <f>"0"</f>
        <v>0</v>
      </c>
      <c r="CS328" t="str">
        <f ca="1">IF((OFFSET($A$1, 328 - 1, 95 - 1)) &gt;= (OFFSET($A$1, 54 - 1, 7 - 1)), "1","0")</f>
        <v>0</v>
      </c>
      <c r="CT328">
        <f ca="1" xml:space="preserve"> IF( AND( OFFSET($A$1, 328 - 1, 96 - 1) = "1", OFFSET($A$1, 328 - 1, 97 - 1) = "1" ), 1, IF( AND( OFFSET($A$1, 328 - 1, 96 - 1) = "1", OFFSET($A$1, 328 - 1, 97 - 1) = "0" ), 2, IF( AND( OFFSET($A$1, 328 - 1, 96 - 1) = "0", OFFSET($A$1, 328 - 1, 97 - 1) = "1" ), 3, 4 ) ) )</f>
        <v>4</v>
      </c>
      <c r="CV328" s="24">
        <v>0.16443961607896443</v>
      </c>
      <c r="CW328" s="24" t="str">
        <f>"0"</f>
        <v>0</v>
      </c>
      <c r="CX328" t="str">
        <f ca="1">IF((OFFSET($A$1, 328 - 1, 100 - 1)) &gt;= (OFFSET($A$1, 78 - 1, 7 - 1)), "1","0")</f>
        <v>0</v>
      </c>
      <c r="CY328">
        <f ca="1" xml:space="preserve"> IF( AND( OFFSET($A$1, 328 - 1, 101 - 1) = "1", OFFSET($A$1, 328 - 1, 102 - 1) = "1" ), 1, IF( AND( OFFSET($A$1, 328 - 1, 101 - 1) = "1", OFFSET($A$1, 328 - 1, 102 - 1) = "0" ), 2, IF( AND( OFFSET($A$1, 328 - 1, 101 - 1) = "0", OFFSET($A$1, 328 - 1, 102 - 1) = "1" ), 3, 4 ) ) )</f>
        <v>4</v>
      </c>
    </row>
    <row r="329" spans="95:103" ht="13.8" x14ac:dyDescent="0.3">
      <c r="CQ329" s="24">
        <v>0.99958974413906576</v>
      </c>
      <c r="CR329" s="24" t="str">
        <f>"1"</f>
        <v>1</v>
      </c>
      <c r="CS329" t="str">
        <f ca="1">IF((OFFSET($A$1, 329 - 1, 95 - 1)) &gt;= (OFFSET($A$1, 54 - 1, 7 - 1)), "1","0")</f>
        <v>1</v>
      </c>
      <c r="CT329">
        <f ca="1" xml:space="preserve"> IF( AND( OFFSET($A$1, 329 - 1, 96 - 1) = "1", OFFSET($A$1, 329 - 1, 97 - 1) = "1" ), 1, IF( AND( OFFSET($A$1, 329 - 1, 96 - 1) = "1", OFFSET($A$1, 329 - 1, 97 - 1) = "0" ), 2, IF( AND( OFFSET($A$1, 329 - 1, 96 - 1) = "0", OFFSET($A$1, 329 - 1, 97 - 1) = "1" ), 3, 4 ) ) )</f>
        <v>1</v>
      </c>
      <c r="CV329" s="24">
        <v>0.9953882883001155</v>
      </c>
      <c r="CW329" s="24" t="str">
        <f>"1"</f>
        <v>1</v>
      </c>
      <c r="CX329" t="str">
        <f ca="1">IF((OFFSET($A$1, 329 - 1, 100 - 1)) &gt;= (OFFSET($A$1, 78 - 1, 7 - 1)), "1","0")</f>
        <v>1</v>
      </c>
      <c r="CY329">
        <f ca="1" xml:space="preserve"> IF( AND( OFFSET($A$1, 329 - 1, 101 - 1) = "1", OFFSET($A$1, 329 - 1, 102 - 1) = "1" ), 1, IF( AND( OFFSET($A$1, 329 - 1, 101 - 1) = "1", OFFSET($A$1, 329 - 1, 102 - 1) = "0" ), 2, IF( AND( OFFSET($A$1, 329 - 1, 101 - 1) = "0", OFFSET($A$1, 329 - 1, 102 - 1) = "1" ), 3, 4 ) ) )</f>
        <v>1</v>
      </c>
    </row>
    <row r="330" spans="95:103" ht="13.8" x14ac:dyDescent="0.3">
      <c r="CQ330" s="24">
        <v>0.99573856872645283</v>
      </c>
      <c r="CR330" s="24" t="str">
        <f>"1"</f>
        <v>1</v>
      </c>
      <c r="CS330" t="str">
        <f ca="1">IF((OFFSET($A$1, 330 - 1, 95 - 1)) &gt;= (OFFSET($A$1, 54 - 1, 7 - 1)), "1","0")</f>
        <v>1</v>
      </c>
      <c r="CT330">
        <f ca="1" xml:space="preserve"> IF( AND( OFFSET($A$1, 330 - 1, 96 - 1) = "1", OFFSET($A$1, 330 - 1, 97 - 1) = "1" ), 1, IF( AND( OFFSET($A$1, 330 - 1, 96 - 1) = "1", OFFSET($A$1, 330 - 1, 97 - 1) = "0" ), 2, IF( AND( OFFSET($A$1, 330 - 1, 96 - 1) = "0", OFFSET($A$1, 330 - 1, 97 - 1) = "1" ), 3, 4 ) ) )</f>
        <v>1</v>
      </c>
      <c r="CV330" s="24">
        <v>0.99852457837342534</v>
      </c>
      <c r="CW330" s="24" t="str">
        <f>"1"</f>
        <v>1</v>
      </c>
      <c r="CX330" t="str">
        <f ca="1">IF((OFFSET($A$1, 330 - 1, 100 - 1)) &gt;= (OFFSET($A$1, 78 - 1, 7 - 1)), "1","0")</f>
        <v>1</v>
      </c>
      <c r="CY330">
        <f ca="1" xml:space="preserve"> IF( AND( OFFSET($A$1, 330 - 1, 101 - 1) = "1", OFFSET($A$1, 330 - 1, 102 - 1) = "1" ), 1, IF( AND( OFFSET($A$1, 330 - 1, 101 - 1) = "1", OFFSET($A$1, 330 - 1, 102 - 1) = "0" ), 2, IF( AND( OFFSET($A$1, 330 - 1, 101 - 1) = "0", OFFSET($A$1, 330 - 1, 102 - 1) = "1" ), 3, 4 ) ) )</f>
        <v>1</v>
      </c>
    </row>
    <row r="331" spans="95:103" ht="13.8" x14ac:dyDescent="0.3">
      <c r="CQ331" s="24">
        <v>0.10746438408358054</v>
      </c>
      <c r="CR331" s="24" t="str">
        <f>"0"</f>
        <v>0</v>
      </c>
      <c r="CS331" t="str">
        <f ca="1">IF((OFFSET($A$1, 331 - 1, 95 - 1)) &gt;= (OFFSET($A$1, 54 - 1, 7 - 1)), "1","0")</f>
        <v>0</v>
      </c>
      <c r="CT331">
        <f ca="1" xml:space="preserve"> IF( AND( OFFSET($A$1, 331 - 1, 96 - 1) = "1", OFFSET($A$1, 331 - 1, 97 - 1) = "1" ), 1, IF( AND( OFFSET($A$1, 331 - 1, 96 - 1) = "1", OFFSET($A$1, 331 - 1, 97 - 1) = "0" ), 2, IF( AND( OFFSET($A$1, 331 - 1, 96 - 1) = "0", OFFSET($A$1, 331 - 1, 97 - 1) = "1" ), 3, 4 ) ) )</f>
        <v>4</v>
      </c>
      <c r="CV331" s="24">
        <v>0.69430565316014103</v>
      </c>
      <c r="CW331" s="24" t="str">
        <f>"0"</f>
        <v>0</v>
      </c>
      <c r="CX331" t="str">
        <f ca="1">IF((OFFSET($A$1, 331 - 1, 100 - 1)) &gt;= (OFFSET($A$1, 78 - 1, 7 - 1)), "1","0")</f>
        <v>0</v>
      </c>
      <c r="CY331">
        <f ca="1" xml:space="preserve"> IF( AND( OFFSET($A$1, 331 - 1, 101 - 1) = "1", OFFSET($A$1, 331 - 1, 102 - 1) = "1" ), 1, IF( AND( OFFSET($A$1, 331 - 1, 101 - 1) = "1", OFFSET($A$1, 331 - 1, 102 - 1) = "0" ), 2, IF( AND( OFFSET($A$1, 331 - 1, 101 - 1) = "0", OFFSET($A$1, 331 - 1, 102 - 1) = "1" ), 3, 4 ) ) )</f>
        <v>4</v>
      </c>
    </row>
    <row r="332" spans="95:103" ht="13.8" x14ac:dyDescent="0.3">
      <c r="CQ332" s="24">
        <v>0.96195959202179659</v>
      </c>
      <c r="CR332" s="24" t="str">
        <f>"1"</f>
        <v>1</v>
      </c>
      <c r="CS332" t="str">
        <f ca="1">IF((OFFSET($A$1, 332 - 1, 95 - 1)) &gt;= (OFFSET($A$1, 54 - 1, 7 - 1)), "1","0")</f>
        <v>0</v>
      </c>
      <c r="CT332">
        <f ca="1" xml:space="preserve"> IF( AND( OFFSET($A$1, 332 - 1, 96 - 1) = "1", OFFSET($A$1, 332 - 1, 97 - 1) = "1" ), 1, IF( AND( OFFSET($A$1, 332 - 1, 96 - 1) = "1", OFFSET($A$1, 332 - 1, 97 - 1) = "0" ), 2, IF( AND( OFFSET($A$1, 332 - 1, 96 - 1) = "0", OFFSET($A$1, 332 - 1, 97 - 1) = "1" ), 3, 4 ) ) )</f>
        <v>2</v>
      </c>
      <c r="CV332" s="24">
        <v>0.39436616748934727</v>
      </c>
      <c r="CW332" s="24" t="str">
        <f>"1"</f>
        <v>1</v>
      </c>
      <c r="CX332" t="str">
        <f ca="1">IF((OFFSET($A$1, 332 - 1, 100 - 1)) &gt;= (OFFSET($A$1, 78 - 1, 7 - 1)), "1","0")</f>
        <v>0</v>
      </c>
      <c r="CY332">
        <f ca="1" xml:space="preserve"> IF( AND( OFFSET($A$1, 332 - 1, 101 - 1) = "1", OFFSET($A$1, 332 - 1, 102 - 1) = "1" ), 1, IF( AND( OFFSET($A$1, 332 - 1, 101 - 1) = "1", OFFSET($A$1, 332 - 1, 102 - 1) = "0" ), 2, IF( AND( OFFSET($A$1, 332 - 1, 101 - 1) = "0", OFFSET($A$1, 332 - 1, 102 - 1) = "1" ), 3, 4 ) ) )</f>
        <v>2</v>
      </c>
    </row>
    <row r="333" spans="95:103" ht="13.8" x14ac:dyDescent="0.3">
      <c r="CQ333" s="24">
        <v>5.4045403303019379E-2</v>
      </c>
      <c r="CR333" s="24" t="str">
        <f>"0"</f>
        <v>0</v>
      </c>
      <c r="CS333" t="str">
        <f ca="1">IF((OFFSET($A$1, 333 - 1, 95 - 1)) &gt;= (OFFSET($A$1, 54 - 1, 7 - 1)), "1","0")</f>
        <v>0</v>
      </c>
      <c r="CT333">
        <f ca="1" xml:space="preserve"> IF( AND( OFFSET($A$1, 333 - 1, 96 - 1) = "1", OFFSET($A$1, 333 - 1, 97 - 1) = "1" ), 1, IF( AND( OFFSET($A$1, 333 - 1, 96 - 1) = "1", OFFSET($A$1, 333 - 1, 97 - 1) = "0" ), 2, IF( AND( OFFSET($A$1, 333 - 1, 96 - 1) = "0", OFFSET($A$1, 333 - 1, 97 - 1) = "1" ), 3, 4 ) ) )</f>
        <v>4</v>
      </c>
      <c r="CV333" s="24">
        <v>1.6817053995737583E-3</v>
      </c>
      <c r="CW333" s="24" t="str">
        <f>"1"</f>
        <v>1</v>
      </c>
      <c r="CX333" t="str">
        <f ca="1">IF((OFFSET($A$1, 333 - 1, 100 - 1)) &gt;= (OFFSET($A$1, 78 - 1, 7 - 1)), "1","0")</f>
        <v>0</v>
      </c>
      <c r="CY333">
        <f ca="1" xml:space="preserve"> IF( AND( OFFSET($A$1, 333 - 1, 101 - 1) = "1", OFFSET($A$1, 333 - 1, 102 - 1) = "1" ), 1, IF( AND( OFFSET($A$1, 333 - 1, 101 - 1) = "1", OFFSET($A$1, 333 - 1, 102 - 1) = "0" ), 2, IF( AND( OFFSET($A$1, 333 - 1, 101 - 1) = "0", OFFSET($A$1, 333 - 1, 102 - 1) = "1" ), 3, 4 ) ) )</f>
        <v>2</v>
      </c>
    </row>
    <row r="334" spans="95:103" ht="13.8" x14ac:dyDescent="0.3">
      <c r="CQ334" s="24">
        <v>0.94222639414626275</v>
      </c>
      <c r="CR334" s="24" t="str">
        <f>"1"</f>
        <v>1</v>
      </c>
      <c r="CS334" t="str">
        <f ca="1">IF((OFFSET($A$1, 334 - 1, 95 - 1)) &gt;= (OFFSET($A$1, 54 - 1, 7 - 1)), "1","0")</f>
        <v>0</v>
      </c>
      <c r="CT334">
        <f ca="1" xml:space="preserve"> IF( AND( OFFSET($A$1, 334 - 1, 96 - 1) = "1", OFFSET($A$1, 334 - 1, 97 - 1) = "1" ), 1, IF( AND( OFFSET($A$1, 334 - 1, 96 - 1) = "1", OFFSET($A$1, 334 - 1, 97 - 1) = "0" ), 2, IF( AND( OFFSET($A$1, 334 - 1, 96 - 1) = "0", OFFSET($A$1, 334 - 1, 97 - 1) = "1" ), 3, 4 ) ) )</f>
        <v>2</v>
      </c>
      <c r="CV334" s="24">
        <v>0.96282761685215246</v>
      </c>
      <c r="CW334" s="24" t="str">
        <f>"1"</f>
        <v>1</v>
      </c>
      <c r="CX334" t="str">
        <f ca="1">IF((OFFSET($A$1, 334 - 1, 100 - 1)) &gt;= (OFFSET($A$1, 78 - 1, 7 - 1)), "1","0")</f>
        <v>1</v>
      </c>
      <c r="CY334">
        <f ca="1" xml:space="preserve"> IF( AND( OFFSET($A$1, 334 - 1, 101 - 1) = "1", OFFSET($A$1, 334 - 1, 102 - 1) = "1" ), 1, IF( AND( OFFSET($A$1, 334 - 1, 101 - 1) = "1", OFFSET($A$1, 334 - 1, 102 - 1) = "0" ), 2, IF( AND( OFFSET($A$1, 334 - 1, 101 - 1) = "0", OFFSET($A$1, 334 - 1, 102 - 1) = "1" ), 3, 4 ) ) )</f>
        <v>1</v>
      </c>
    </row>
    <row r="335" spans="95:103" ht="13.8" x14ac:dyDescent="0.3">
      <c r="CQ335" s="24">
        <v>0.12211333642525367</v>
      </c>
      <c r="CR335" s="24" t="str">
        <f>"0"</f>
        <v>0</v>
      </c>
      <c r="CS335" t="str">
        <f ca="1">IF((OFFSET($A$1, 335 - 1, 95 - 1)) &gt;= (OFFSET($A$1, 54 - 1, 7 - 1)), "1","0")</f>
        <v>0</v>
      </c>
      <c r="CT335">
        <f ca="1" xml:space="preserve"> IF( AND( OFFSET($A$1, 335 - 1, 96 - 1) = "1", OFFSET($A$1, 335 - 1, 97 - 1) = "1" ), 1, IF( AND( OFFSET($A$1, 335 - 1, 96 - 1) = "1", OFFSET($A$1, 335 - 1, 97 - 1) = "0" ), 2, IF( AND( OFFSET($A$1, 335 - 1, 96 - 1) = "0", OFFSET($A$1, 335 - 1, 97 - 1) = "1" ), 3, 4 ) ) )</f>
        <v>4</v>
      </c>
      <c r="CV335" s="24">
        <v>0.9984119626308865</v>
      </c>
      <c r="CW335" s="24" t="str">
        <f>"1"</f>
        <v>1</v>
      </c>
      <c r="CX335" t="str">
        <f ca="1">IF((OFFSET($A$1, 335 - 1, 100 - 1)) &gt;= (OFFSET($A$1, 78 - 1, 7 - 1)), "1","0")</f>
        <v>1</v>
      </c>
      <c r="CY335">
        <f ca="1" xml:space="preserve"> IF( AND( OFFSET($A$1, 335 - 1, 101 - 1) = "1", OFFSET($A$1, 335 - 1, 102 - 1) = "1" ), 1, IF( AND( OFFSET($A$1, 335 - 1, 101 - 1) = "1", OFFSET($A$1, 335 - 1, 102 - 1) = "0" ), 2, IF( AND( OFFSET($A$1, 335 - 1, 101 - 1) = "0", OFFSET($A$1, 335 - 1, 102 - 1) = "1" ), 3, 4 ) ) )</f>
        <v>1</v>
      </c>
    </row>
    <row r="336" spans="95:103" ht="13.8" x14ac:dyDescent="0.3">
      <c r="CQ336" s="24">
        <v>0.83995528434117395</v>
      </c>
      <c r="CR336" s="24" t="str">
        <f>"1"</f>
        <v>1</v>
      </c>
      <c r="CS336" t="str">
        <f ca="1">IF((OFFSET($A$1, 336 - 1, 95 - 1)) &gt;= (OFFSET($A$1, 54 - 1, 7 - 1)), "1","0")</f>
        <v>0</v>
      </c>
      <c r="CT336">
        <f ca="1" xml:space="preserve"> IF( AND( OFFSET($A$1, 336 - 1, 96 - 1) = "1", OFFSET($A$1, 336 - 1, 97 - 1) = "1" ), 1, IF( AND( OFFSET($A$1, 336 - 1, 96 - 1) = "1", OFFSET($A$1, 336 - 1, 97 - 1) = "0" ), 2, IF( AND( OFFSET($A$1, 336 - 1, 96 - 1) = "0", OFFSET($A$1, 336 - 1, 97 - 1) = "1" ), 3, 4 ) ) )</f>
        <v>2</v>
      </c>
      <c r="CV336" s="24">
        <v>0.2572062061514872</v>
      </c>
      <c r="CW336" s="24" t="str">
        <f>"0"</f>
        <v>0</v>
      </c>
      <c r="CX336" t="str">
        <f ca="1">IF((OFFSET($A$1, 336 - 1, 100 - 1)) &gt;= (OFFSET($A$1, 78 - 1, 7 - 1)), "1","0")</f>
        <v>0</v>
      </c>
      <c r="CY336">
        <f ca="1" xml:space="preserve"> IF( AND( OFFSET($A$1, 336 - 1, 101 - 1) = "1", OFFSET($A$1, 336 - 1, 102 - 1) = "1" ), 1, IF( AND( OFFSET($A$1, 336 - 1, 101 - 1) = "1", OFFSET($A$1, 336 - 1, 102 - 1) = "0" ), 2, IF( AND( OFFSET($A$1, 336 - 1, 101 - 1) = "0", OFFSET($A$1, 336 - 1, 102 - 1) = "1" ), 3, 4 ) ) )</f>
        <v>4</v>
      </c>
    </row>
    <row r="337" spans="95:103" ht="13.8" x14ac:dyDescent="0.3">
      <c r="CQ337" s="24">
        <v>0.91473720739114062</v>
      </c>
      <c r="CR337" s="24" t="str">
        <f>"1"</f>
        <v>1</v>
      </c>
      <c r="CS337" t="str">
        <f ca="1">IF((OFFSET($A$1, 337 - 1, 95 - 1)) &gt;= (OFFSET($A$1, 54 - 1, 7 - 1)), "1","0")</f>
        <v>0</v>
      </c>
      <c r="CT337">
        <f ca="1" xml:space="preserve"> IF( AND( OFFSET($A$1, 337 - 1, 96 - 1) = "1", OFFSET($A$1, 337 - 1, 97 - 1) = "1" ), 1, IF( AND( OFFSET($A$1, 337 - 1, 96 - 1) = "1", OFFSET($A$1, 337 - 1, 97 - 1) = "0" ), 2, IF( AND( OFFSET($A$1, 337 - 1, 96 - 1) = "0", OFFSET($A$1, 337 - 1, 97 - 1) = "1" ), 3, 4 ) ) )</f>
        <v>2</v>
      </c>
      <c r="CV337" s="24">
        <v>6.2041232380084322E-3</v>
      </c>
      <c r="CW337" s="24" t="str">
        <f>"0"</f>
        <v>0</v>
      </c>
      <c r="CX337" t="str">
        <f ca="1">IF((OFFSET($A$1, 337 - 1, 100 - 1)) &gt;= (OFFSET($A$1, 78 - 1, 7 - 1)), "1","0")</f>
        <v>0</v>
      </c>
      <c r="CY337">
        <f ca="1" xml:space="preserve"> IF( AND( OFFSET($A$1, 337 - 1, 101 - 1) = "1", OFFSET($A$1, 337 - 1, 102 - 1) = "1" ), 1, IF( AND( OFFSET($A$1, 337 - 1, 101 - 1) = "1", OFFSET($A$1, 337 - 1, 102 - 1) = "0" ), 2, IF( AND( OFFSET($A$1, 337 - 1, 101 - 1) = "0", OFFSET($A$1, 337 - 1, 102 - 1) = "1" ), 3, 4 ) ) )</f>
        <v>4</v>
      </c>
    </row>
    <row r="338" spans="95:103" ht="13.8" x14ac:dyDescent="0.3">
      <c r="CQ338" s="24">
        <v>0.92586502457404884</v>
      </c>
      <c r="CR338" s="24" t="str">
        <f>"1"</f>
        <v>1</v>
      </c>
      <c r="CS338" t="str">
        <f ca="1">IF((OFFSET($A$1, 338 - 1, 95 - 1)) &gt;= (OFFSET($A$1, 54 - 1, 7 - 1)), "1","0")</f>
        <v>0</v>
      </c>
      <c r="CT338">
        <f ca="1" xml:space="preserve"> IF( AND( OFFSET($A$1, 338 - 1, 96 - 1) = "1", OFFSET($A$1, 338 - 1, 97 - 1) = "1" ), 1, IF( AND( OFFSET($A$1, 338 - 1, 96 - 1) = "1", OFFSET($A$1, 338 - 1, 97 - 1) = "0" ), 2, IF( AND( OFFSET($A$1, 338 - 1, 96 - 1) = "0", OFFSET($A$1, 338 - 1, 97 - 1) = "1" ), 3, 4 ) ) )</f>
        <v>2</v>
      </c>
      <c r="CV338" s="24">
        <v>0.35848456032565235</v>
      </c>
      <c r="CW338" s="24" t="str">
        <f>"0"</f>
        <v>0</v>
      </c>
      <c r="CX338" t="str">
        <f ca="1">IF((OFFSET($A$1, 338 - 1, 100 - 1)) &gt;= (OFFSET($A$1, 78 - 1, 7 - 1)), "1","0")</f>
        <v>0</v>
      </c>
      <c r="CY338">
        <f ca="1" xml:space="preserve"> IF( AND( OFFSET($A$1, 338 - 1, 101 - 1) = "1", OFFSET($A$1, 338 - 1, 102 - 1) = "1" ), 1, IF( AND( OFFSET($A$1, 338 - 1, 101 - 1) = "1", OFFSET($A$1, 338 - 1, 102 - 1) = "0" ), 2, IF( AND( OFFSET($A$1, 338 - 1, 101 - 1) = "0", OFFSET($A$1, 338 - 1, 102 - 1) = "1" ), 3, 4 ) ) )</f>
        <v>4</v>
      </c>
    </row>
    <row r="339" spans="95:103" ht="13.8" x14ac:dyDescent="0.3">
      <c r="CQ339" s="24">
        <v>0.81995577322950897</v>
      </c>
      <c r="CR339" s="24" t="str">
        <f>"1"</f>
        <v>1</v>
      </c>
      <c r="CS339" t="str">
        <f ca="1">IF((OFFSET($A$1, 339 - 1, 95 - 1)) &gt;= (OFFSET($A$1, 54 - 1, 7 - 1)), "1","0")</f>
        <v>0</v>
      </c>
      <c r="CT339">
        <f ca="1" xml:space="preserve"> IF( AND( OFFSET($A$1, 339 - 1, 96 - 1) = "1", OFFSET($A$1, 339 - 1, 97 - 1) = "1" ), 1, IF( AND( OFFSET($A$1, 339 - 1, 96 - 1) = "1", OFFSET($A$1, 339 - 1, 97 - 1) = "0" ), 2, IF( AND( OFFSET($A$1, 339 - 1, 96 - 1) = "0", OFFSET($A$1, 339 - 1, 97 - 1) = "1" ), 3, 4 ) ) )</f>
        <v>2</v>
      </c>
      <c r="CV339" s="24">
        <v>0.9854354992647758</v>
      </c>
      <c r="CW339" s="24" t="str">
        <f>"1"</f>
        <v>1</v>
      </c>
      <c r="CX339" t="str">
        <f ca="1">IF((OFFSET($A$1, 339 - 1, 100 - 1)) &gt;= (OFFSET($A$1, 78 - 1, 7 - 1)), "1","0")</f>
        <v>1</v>
      </c>
      <c r="CY339">
        <f ca="1" xml:space="preserve"> IF( AND( OFFSET($A$1, 339 - 1, 101 - 1) = "1", OFFSET($A$1, 339 - 1, 102 - 1) = "1" ), 1, IF( AND( OFFSET($A$1, 339 - 1, 101 - 1) = "1", OFFSET($A$1, 339 - 1, 102 - 1) = "0" ), 2, IF( AND( OFFSET($A$1, 339 - 1, 101 - 1) = "0", OFFSET($A$1, 339 - 1, 102 - 1) = "1" ), 3, 4 ) ) )</f>
        <v>1</v>
      </c>
    </row>
    <row r="340" spans="95:103" ht="13.8" x14ac:dyDescent="0.3">
      <c r="CQ340" s="24">
        <v>2.9658471741365315E-2</v>
      </c>
      <c r="CR340" s="24" t="str">
        <f>"0"</f>
        <v>0</v>
      </c>
      <c r="CS340" t="str">
        <f ca="1">IF((OFFSET($A$1, 340 - 1, 95 - 1)) &gt;= (OFFSET($A$1, 54 - 1, 7 - 1)), "1","0")</f>
        <v>0</v>
      </c>
      <c r="CT340">
        <f ca="1" xml:space="preserve"> IF( AND( OFFSET($A$1, 340 - 1, 96 - 1) = "1", OFFSET($A$1, 340 - 1, 97 - 1) = "1" ), 1, IF( AND( OFFSET($A$1, 340 - 1, 96 - 1) = "1", OFFSET($A$1, 340 - 1, 97 - 1) = "0" ), 2, IF( AND( OFFSET($A$1, 340 - 1, 96 - 1) = "0", OFFSET($A$1, 340 - 1, 97 - 1) = "1" ), 3, 4 ) ) )</f>
        <v>4</v>
      </c>
      <c r="CV340" s="24">
        <v>0.99967278224135159</v>
      </c>
      <c r="CW340" s="24" t="str">
        <f>"1"</f>
        <v>1</v>
      </c>
      <c r="CX340" t="str">
        <f ca="1">IF((OFFSET($A$1, 340 - 1, 100 - 1)) &gt;= (OFFSET($A$1, 78 - 1, 7 - 1)), "1","0")</f>
        <v>1</v>
      </c>
      <c r="CY340">
        <f ca="1" xml:space="preserve"> IF( AND( OFFSET($A$1, 340 - 1, 101 - 1) = "1", OFFSET($A$1, 340 - 1, 102 - 1) = "1" ), 1, IF( AND( OFFSET($A$1, 340 - 1, 101 - 1) = "1", OFFSET($A$1, 340 - 1, 102 - 1) = "0" ), 2, IF( AND( OFFSET($A$1, 340 - 1, 101 - 1) = "0", OFFSET($A$1, 340 - 1, 102 - 1) = "1" ), 3, 4 ) ) )</f>
        <v>1</v>
      </c>
    </row>
    <row r="341" spans="95:103" ht="13.8" x14ac:dyDescent="0.3">
      <c r="CQ341" s="24">
        <v>0.99454641645268305</v>
      </c>
      <c r="CR341" s="24" t="str">
        <f>"1"</f>
        <v>1</v>
      </c>
      <c r="CS341" t="str">
        <f ca="1">IF((OFFSET($A$1, 341 - 1, 95 - 1)) &gt;= (OFFSET($A$1, 54 - 1, 7 - 1)), "1","0")</f>
        <v>1</v>
      </c>
      <c r="CT341">
        <f ca="1" xml:space="preserve"> IF( AND( OFFSET($A$1, 341 - 1, 96 - 1) = "1", OFFSET($A$1, 341 - 1, 97 - 1) = "1" ), 1, IF( AND( OFFSET($A$1, 341 - 1, 96 - 1) = "1", OFFSET($A$1, 341 - 1, 97 - 1) = "0" ), 2, IF( AND( OFFSET($A$1, 341 - 1, 96 - 1) = "0", OFFSET($A$1, 341 - 1, 97 - 1) = "1" ), 3, 4 ) ) )</f>
        <v>1</v>
      </c>
      <c r="CV341" s="24">
        <v>0.46471303339344744</v>
      </c>
      <c r="CW341" s="24" t="str">
        <f>"0"</f>
        <v>0</v>
      </c>
      <c r="CX341" t="str">
        <f ca="1">IF((OFFSET($A$1, 341 - 1, 100 - 1)) &gt;= (OFFSET($A$1, 78 - 1, 7 - 1)), "1","0")</f>
        <v>0</v>
      </c>
      <c r="CY341">
        <f ca="1" xml:space="preserve"> IF( AND( OFFSET($A$1, 341 - 1, 101 - 1) = "1", OFFSET($A$1, 341 - 1, 102 - 1) = "1" ), 1, IF( AND( OFFSET($A$1, 341 - 1, 101 - 1) = "1", OFFSET($A$1, 341 - 1, 102 - 1) = "0" ), 2, IF( AND( OFFSET($A$1, 341 - 1, 101 - 1) = "0", OFFSET($A$1, 341 - 1, 102 - 1) = "1" ), 3, 4 ) ) )</f>
        <v>4</v>
      </c>
    </row>
    <row r="342" spans="95:103" ht="13.8" x14ac:dyDescent="0.3">
      <c r="CQ342" s="24">
        <v>3.1049164890473713E-2</v>
      </c>
      <c r="CR342" s="24" t="str">
        <f>"0"</f>
        <v>0</v>
      </c>
      <c r="CS342" t="str">
        <f ca="1">IF((OFFSET($A$1, 342 - 1, 95 - 1)) &gt;= (OFFSET($A$1, 54 - 1, 7 - 1)), "1","0")</f>
        <v>0</v>
      </c>
      <c r="CT342">
        <f ca="1" xml:space="preserve"> IF( AND( OFFSET($A$1, 342 - 1, 96 - 1) = "1", OFFSET($A$1, 342 - 1, 97 - 1) = "1" ), 1, IF( AND( OFFSET($A$1, 342 - 1, 96 - 1) = "1", OFFSET($A$1, 342 - 1, 97 - 1) = "0" ), 2, IF( AND( OFFSET($A$1, 342 - 1, 96 - 1) = "0", OFFSET($A$1, 342 - 1, 97 - 1) = "1" ), 3, 4 ) ) )</f>
        <v>4</v>
      </c>
      <c r="CV342" s="24">
        <v>0.99757300405969807</v>
      </c>
      <c r="CW342" s="24" t="str">
        <f>"1"</f>
        <v>1</v>
      </c>
      <c r="CX342" t="str">
        <f ca="1">IF((OFFSET($A$1, 342 - 1, 100 - 1)) &gt;= (OFFSET($A$1, 78 - 1, 7 - 1)), "1","0")</f>
        <v>1</v>
      </c>
      <c r="CY342">
        <f ca="1" xml:space="preserve"> IF( AND( OFFSET($A$1, 342 - 1, 101 - 1) = "1", OFFSET($A$1, 342 - 1, 102 - 1) = "1" ), 1, IF( AND( OFFSET($A$1, 342 - 1, 101 - 1) = "1", OFFSET($A$1, 342 - 1, 102 - 1) = "0" ), 2, IF( AND( OFFSET($A$1, 342 - 1, 101 - 1) = "0", OFFSET($A$1, 342 - 1, 102 - 1) = "1" ), 3, 4 ) ) )</f>
        <v>1</v>
      </c>
    </row>
    <row r="343" spans="95:103" ht="13.8" x14ac:dyDescent="0.3">
      <c r="CQ343" s="24">
        <v>0.98546612918526422</v>
      </c>
      <c r="CR343" s="24" t="str">
        <f>"1"</f>
        <v>1</v>
      </c>
      <c r="CS343" t="str">
        <f ca="1">IF((OFFSET($A$1, 343 - 1, 95 - 1)) &gt;= (OFFSET($A$1, 54 - 1, 7 - 1)), "1","0")</f>
        <v>1</v>
      </c>
      <c r="CT343">
        <f ca="1" xml:space="preserve"> IF( AND( OFFSET($A$1, 343 - 1, 96 - 1) = "1", OFFSET($A$1, 343 - 1, 97 - 1) = "1" ), 1, IF( AND( OFFSET($A$1, 343 - 1, 96 - 1) = "1", OFFSET($A$1, 343 - 1, 97 - 1) = "0" ), 2, IF( AND( OFFSET($A$1, 343 - 1, 96 - 1) = "0", OFFSET($A$1, 343 - 1, 97 - 1) = "1" ), 3, 4 ) ) )</f>
        <v>1</v>
      </c>
      <c r="CV343" s="24">
        <v>5.5087750447421452E-2</v>
      </c>
      <c r="CW343" s="24" t="str">
        <f>"0"</f>
        <v>0</v>
      </c>
      <c r="CX343" t="str">
        <f ca="1">IF((OFFSET($A$1, 343 - 1, 100 - 1)) &gt;= (OFFSET($A$1, 78 - 1, 7 - 1)), "1","0")</f>
        <v>0</v>
      </c>
      <c r="CY343">
        <f ca="1" xml:space="preserve"> IF( AND( OFFSET($A$1, 343 - 1, 101 - 1) = "1", OFFSET($A$1, 343 - 1, 102 - 1) = "1" ), 1, IF( AND( OFFSET($A$1, 343 - 1, 101 - 1) = "1", OFFSET($A$1, 343 - 1, 102 - 1) = "0" ), 2, IF( AND( OFFSET($A$1, 343 - 1, 101 - 1) = "0", OFFSET($A$1, 343 - 1, 102 - 1) = "1" ), 3, 4 ) ) )</f>
        <v>4</v>
      </c>
    </row>
    <row r="344" spans="95:103" ht="13.8" x14ac:dyDescent="0.3">
      <c r="CQ344" s="24">
        <v>0.99808373115732019</v>
      </c>
      <c r="CR344" s="24" t="str">
        <f>"1"</f>
        <v>1</v>
      </c>
      <c r="CS344" t="str">
        <f ca="1">IF((OFFSET($A$1, 344 - 1, 95 - 1)) &gt;= (OFFSET($A$1, 54 - 1, 7 - 1)), "1","0")</f>
        <v>1</v>
      </c>
      <c r="CT344">
        <f ca="1" xml:space="preserve"> IF( AND( OFFSET($A$1, 344 - 1, 96 - 1) = "1", OFFSET($A$1, 344 - 1, 97 - 1) = "1" ), 1, IF( AND( OFFSET($A$1, 344 - 1, 96 - 1) = "1", OFFSET($A$1, 344 - 1, 97 - 1) = "0" ), 2, IF( AND( OFFSET($A$1, 344 - 1, 96 - 1) = "0", OFFSET($A$1, 344 - 1, 97 - 1) = "1" ), 3, 4 ) ) )</f>
        <v>1</v>
      </c>
      <c r="CV344" s="24">
        <v>0.9635308513895845</v>
      </c>
      <c r="CW344" s="24" t="str">
        <f>"1"</f>
        <v>1</v>
      </c>
      <c r="CX344" t="str">
        <f ca="1">IF((OFFSET($A$1, 344 - 1, 100 - 1)) &gt;= (OFFSET($A$1, 78 - 1, 7 - 1)), "1","0")</f>
        <v>1</v>
      </c>
      <c r="CY344">
        <f ca="1" xml:space="preserve"> IF( AND( OFFSET($A$1, 344 - 1, 101 - 1) = "1", OFFSET($A$1, 344 - 1, 102 - 1) = "1" ), 1, IF( AND( OFFSET($A$1, 344 - 1, 101 - 1) = "1", OFFSET($A$1, 344 - 1, 102 - 1) = "0" ), 2, IF( AND( OFFSET($A$1, 344 - 1, 101 - 1) = "0", OFFSET($A$1, 344 - 1, 102 - 1) = "1" ), 3, 4 ) ) )</f>
        <v>1</v>
      </c>
    </row>
    <row r="345" spans="95:103" ht="13.8" x14ac:dyDescent="0.3">
      <c r="CQ345" s="24">
        <v>9.2070333468042026E-2</v>
      </c>
      <c r="CR345" s="24" t="str">
        <f>"0"</f>
        <v>0</v>
      </c>
      <c r="CS345" t="str">
        <f ca="1">IF((OFFSET($A$1, 345 - 1, 95 - 1)) &gt;= (OFFSET($A$1, 54 - 1, 7 - 1)), "1","0")</f>
        <v>0</v>
      </c>
      <c r="CT345">
        <f ca="1" xml:space="preserve"> IF( AND( OFFSET($A$1, 345 - 1, 96 - 1) = "1", OFFSET($A$1, 345 - 1, 97 - 1) = "1" ), 1, IF( AND( OFFSET($A$1, 345 - 1, 96 - 1) = "1", OFFSET($A$1, 345 - 1, 97 - 1) = "0" ), 2, IF( AND( OFFSET($A$1, 345 - 1, 96 - 1) = "0", OFFSET($A$1, 345 - 1, 97 - 1) = "1" ), 3, 4 ) ) )</f>
        <v>4</v>
      </c>
      <c r="CV345" s="24">
        <v>0.99837986522469524</v>
      </c>
      <c r="CW345" s="24" t="str">
        <f>"1"</f>
        <v>1</v>
      </c>
      <c r="CX345" t="str">
        <f ca="1">IF((OFFSET($A$1, 345 - 1, 100 - 1)) &gt;= (OFFSET($A$1, 78 - 1, 7 - 1)), "1","0")</f>
        <v>1</v>
      </c>
      <c r="CY345">
        <f ca="1" xml:space="preserve"> IF( AND( OFFSET($A$1, 345 - 1, 101 - 1) = "1", OFFSET($A$1, 345 - 1, 102 - 1) = "1" ), 1, IF( AND( OFFSET($A$1, 345 - 1, 101 - 1) = "1", OFFSET($A$1, 345 - 1, 102 - 1) = "0" ), 2, IF( AND( OFFSET($A$1, 345 - 1, 101 - 1) = "0", OFFSET($A$1, 345 - 1, 102 - 1) = "1" ), 3, 4 ) ) )</f>
        <v>1</v>
      </c>
    </row>
    <row r="346" spans="95:103" ht="13.8" x14ac:dyDescent="0.3">
      <c r="CQ346" s="24">
        <v>0.86430585415440886</v>
      </c>
      <c r="CR346" s="24" t="str">
        <f>"1"</f>
        <v>1</v>
      </c>
      <c r="CS346" t="str">
        <f ca="1">IF((OFFSET($A$1, 346 - 1, 95 - 1)) &gt;= (OFFSET($A$1, 54 - 1, 7 - 1)), "1","0")</f>
        <v>0</v>
      </c>
      <c r="CT346">
        <f ca="1" xml:space="preserve"> IF( AND( OFFSET($A$1, 346 - 1, 96 - 1) = "1", OFFSET($A$1, 346 - 1, 97 - 1) = "1" ), 1, IF( AND( OFFSET($A$1, 346 - 1, 96 - 1) = "1", OFFSET($A$1, 346 - 1, 97 - 1) = "0" ), 2, IF( AND( OFFSET($A$1, 346 - 1, 96 - 1) = "0", OFFSET($A$1, 346 - 1, 97 - 1) = "1" ), 3, 4 ) ) )</f>
        <v>2</v>
      </c>
      <c r="CV346" s="24">
        <v>0.41850397080834606</v>
      </c>
      <c r="CW346" s="24" t="str">
        <f>"1"</f>
        <v>1</v>
      </c>
      <c r="CX346" t="str">
        <f ca="1">IF((OFFSET($A$1, 346 - 1, 100 - 1)) &gt;= (OFFSET($A$1, 78 - 1, 7 - 1)), "1","0")</f>
        <v>0</v>
      </c>
      <c r="CY346">
        <f ca="1" xml:space="preserve"> IF( AND( OFFSET($A$1, 346 - 1, 101 - 1) = "1", OFFSET($A$1, 346 - 1, 102 - 1) = "1" ), 1, IF( AND( OFFSET($A$1, 346 - 1, 101 - 1) = "1", OFFSET($A$1, 346 - 1, 102 - 1) = "0" ), 2, IF( AND( OFFSET($A$1, 346 - 1, 101 - 1) = "0", OFFSET($A$1, 346 - 1, 102 - 1) = "1" ), 3, 4 ) ) )</f>
        <v>2</v>
      </c>
    </row>
    <row r="347" spans="95:103" ht="13.8" x14ac:dyDescent="0.3">
      <c r="CQ347" s="24">
        <v>0.99975622140457709</v>
      </c>
      <c r="CR347" s="24" t="str">
        <f>"1"</f>
        <v>1</v>
      </c>
      <c r="CS347" t="str">
        <f ca="1">IF((OFFSET($A$1, 347 - 1, 95 - 1)) &gt;= (OFFSET($A$1, 54 - 1, 7 - 1)), "1","0")</f>
        <v>1</v>
      </c>
      <c r="CT347">
        <f ca="1" xml:space="preserve"> IF( AND( OFFSET($A$1, 347 - 1, 96 - 1) = "1", OFFSET($A$1, 347 - 1, 97 - 1) = "1" ), 1, IF( AND( OFFSET($A$1, 347 - 1, 96 - 1) = "1", OFFSET($A$1, 347 - 1, 97 - 1) = "0" ), 2, IF( AND( OFFSET($A$1, 347 - 1, 96 - 1) = "0", OFFSET($A$1, 347 - 1, 97 - 1) = "1" ), 3, 4 ) ) )</f>
        <v>1</v>
      </c>
      <c r="CV347" s="24">
        <v>0.97854672922522223</v>
      </c>
      <c r="CW347" s="24" t="str">
        <f>"1"</f>
        <v>1</v>
      </c>
      <c r="CX347" t="str">
        <f ca="1">IF((OFFSET($A$1, 347 - 1, 100 - 1)) &gt;= (OFFSET($A$1, 78 - 1, 7 - 1)), "1","0")</f>
        <v>1</v>
      </c>
      <c r="CY347">
        <f ca="1" xml:space="preserve"> IF( AND( OFFSET($A$1, 347 - 1, 101 - 1) = "1", OFFSET($A$1, 347 - 1, 102 - 1) = "1" ), 1, IF( AND( OFFSET($A$1, 347 - 1, 101 - 1) = "1", OFFSET($A$1, 347 - 1, 102 - 1) = "0" ), 2, IF( AND( OFFSET($A$1, 347 - 1, 101 - 1) = "0", OFFSET($A$1, 347 - 1, 102 - 1) = "1" ), 3, 4 ) ) )</f>
        <v>1</v>
      </c>
    </row>
    <row r="348" spans="95:103" ht="13.8" x14ac:dyDescent="0.3">
      <c r="CQ348" s="24">
        <v>9.2678583734963724E-2</v>
      </c>
      <c r="CR348" s="24" t="str">
        <f>"0"</f>
        <v>0</v>
      </c>
      <c r="CS348" t="str">
        <f ca="1">IF((OFFSET($A$1, 348 - 1, 95 - 1)) &gt;= (OFFSET($A$1, 54 - 1, 7 - 1)), "1","0")</f>
        <v>0</v>
      </c>
      <c r="CT348">
        <f ca="1" xml:space="preserve"> IF( AND( OFFSET($A$1, 348 - 1, 96 - 1) = "1", OFFSET($A$1, 348 - 1, 97 - 1) = "1" ), 1, IF( AND( OFFSET($A$1, 348 - 1, 96 - 1) = "1", OFFSET($A$1, 348 - 1, 97 - 1) = "0" ), 2, IF( AND( OFFSET($A$1, 348 - 1, 96 - 1) = "0", OFFSET($A$1, 348 - 1, 97 - 1) = "1" ), 3, 4 ) ) )</f>
        <v>4</v>
      </c>
      <c r="CV348" s="24">
        <v>0.45695505339309395</v>
      </c>
      <c r="CW348" s="24" t="str">
        <f>"0"</f>
        <v>0</v>
      </c>
      <c r="CX348" t="str">
        <f ca="1">IF((OFFSET($A$1, 348 - 1, 100 - 1)) &gt;= (OFFSET($A$1, 78 - 1, 7 - 1)), "1","0")</f>
        <v>0</v>
      </c>
      <c r="CY348">
        <f ca="1" xml:space="preserve"> IF( AND( OFFSET($A$1, 348 - 1, 101 - 1) = "1", OFFSET($A$1, 348 - 1, 102 - 1) = "1" ), 1, IF( AND( OFFSET($A$1, 348 - 1, 101 - 1) = "1", OFFSET($A$1, 348 - 1, 102 - 1) = "0" ), 2, IF( AND( OFFSET($A$1, 348 - 1, 101 - 1) = "0", OFFSET($A$1, 348 - 1, 102 - 1) = "1" ), 3, 4 ) ) )</f>
        <v>4</v>
      </c>
    </row>
    <row r="349" spans="95:103" ht="13.8" x14ac:dyDescent="0.3">
      <c r="CQ349" s="24">
        <v>0.82719310543127256</v>
      </c>
      <c r="CR349" s="24" t="str">
        <f t="shared" ref="CR349:CR358" si="26">"1"</f>
        <v>1</v>
      </c>
      <c r="CS349" t="str">
        <f ca="1">IF((OFFSET($A$1, 349 - 1, 95 - 1)) &gt;= (OFFSET($A$1, 54 - 1, 7 - 1)), "1","0")</f>
        <v>0</v>
      </c>
      <c r="CT349">
        <f ca="1" xml:space="preserve"> IF( AND( OFFSET($A$1, 349 - 1, 96 - 1) = "1", OFFSET($A$1, 349 - 1, 97 - 1) = "1" ), 1, IF( AND( OFFSET($A$1, 349 - 1, 96 - 1) = "1", OFFSET($A$1, 349 - 1, 97 - 1) = "0" ), 2, IF( AND( OFFSET($A$1, 349 - 1, 96 - 1) = "0", OFFSET($A$1, 349 - 1, 97 - 1) = "1" ), 3, 4 ) ) )</f>
        <v>2</v>
      </c>
      <c r="CV349" s="24">
        <v>0.99980702720785064</v>
      </c>
      <c r="CW349" s="24" t="str">
        <f t="shared" ref="CW349:CW355" si="27">"1"</f>
        <v>1</v>
      </c>
      <c r="CX349" t="str">
        <f ca="1">IF((OFFSET($A$1, 349 - 1, 100 - 1)) &gt;= (OFFSET($A$1, 78 - 1, 7 - 1)), "1","0")</f>
        <v>1</v>
      </c>
      <c r="CY349">
        <f ca="1" xml:space="preserve"> IF( AND( OFFSET($A$1, 349 - 1, 101 - 1) = "1", OFFSET($A$1, 349 - 1, 102 - 1) = "1" ), 1, IF( AND( OFFSET($A$1, 349 - 1, 101 - 1) = "1", OFFSET($A$1, 349 - 1, 102 - 1) = "0" ), 2, IF( AND( OFFSET($A$1, 349 - 1, 101 - 1) = "0", OFFSET($A$1, 349 - 1, 102 - 1) = "1" ), 3, 4 ) ) )</f>
        <v>1</v>
      </c>
    </row>
    <row r="350" spans="95:103" ht="13.8" x14ac:dyDescent="0.3">
      <c r="CQ350" s="24">
        <v>0.87022862429786019</v>
      </c>
      <c r="CR350" s="24" t="str">
        <f t="shared" si="26"/>
        <v>1</v>
      </c>
      <c r="CS350" t="str">
        <f ca="1">IF((OFFSET($A$1, 350 - 1, 95 - 1)) &gt;= (OFFSET($A$1, 54 - 1, 7 - 1)), "1","0")</f>
        <v>0</v>
      </c>
      <c r="CT350">
        <f ca="1" xml:space="preserve"> IF( AND( OFFSET($A$1, 350 - 1, 96 - 1) = "1", OFFSET($A$1, 350 - 1, 97 - 1) = "1" ), 1, IF( AND( OFFSET($A$1, 350 - 1, 96 - 1) = "1", OFFSET($A$1, 350 - 1, 97 - 1) = "0" ), 2, IF( AND( OFFSET($A$1, 350 - 1, 96 - 1) = "0", OFFSET($A$1, 350 - 1, 97 - 1) = "1" ), 3, 4 ) ) )</f>
        <v>2</v>
      </c>
      <c r="CV350" s="24">
        <v>0.67145257525075197</v>
      </c>
      <c r="CW350" s="24" t="str">
        <f t="shared" si="27"/>
        <v>1</v>
      </c>
      <c r="CX350" t="str">
        <f ca="1">IF((OFFSET($A$1, 350 - 1, 100 - 1)) &gt;= (OFFSET($A$1, 78 - 1, 7 - 1)), "1","0")</f>
        <v>0</v>
      </c>
      <c r="CY350">
        <f ca="1" xml:space="preserve"> IF( AND( OFFSET($A$1, 350 - 1, 101 - 1) = "1", OFFSET($A$1, 350 - 1, 102 - 1) = "1" ), 1, IF( AND( OFFSET($A$1, 350 - 1, 101 - 1) = "1", OFFSET($A$1, 350 - 1, 102 - 1) = "0" ), 2, IF( AND( OFFSET($A$1, 350 - 1, 101 - 1) = "0", OFFSET($A$1, 350 - 1, 102 - 1) = "1" ), 3, 4 ) ) )</f>
        <v>2</v>
      </c>
    </row>
    <row r="351" spans="95:103" ht="13.8" x14ac:dyDescent="0.3">
      <c r="CQ351" s="24">
        <v>0.89247556599294764</v>
      </c>
      <c r="CR351" s="24" t="str">
        <f t="shared" si="26"/>
        <v>1</v>
      </c>
      <c r="CS351" t="str">
        <f ca="1">IF((OFFSET($A$1, 351 - 1, 95 - 1)) &gt;= (OFFSET($A$1, 54 - 1, 7 - 1)), "1","0")</f>
        <v>0</v>
      </c>
      <c r="CT351">
        <f ca="1" xml:space="preserve"> IF( AND( OFFSET($A$1, 351 - 1, 96 - 1) = "1", OFFSET($A$1, 351 - 1, 97 - 1) = "1" ), 1, IF( AND( OFFSET($A$1, 351 - 1, 96 - 1) = "1", OFFSET($A$1, 351 - 1, 97 - 1) = "0" ), 2, IF( AND( OFFSET($A$1, 351 - 1, 96 - 1) = "0", OFFSET($A$1, 351 - 1, 97 - 1) = "1" ), 3, 4 ) ) )</f>
        <v>2</v>
      </c>
      <c r="CV351" s="24">
        <v>0.97366664963529104</v>
      </c>
      <c r="CW351" s="24" t="str">
        <f t="shared" si="27"/>
        <v>1</v>
      </c>
      <c r="CX351" t="str">
        <f ca="1">IF((OFFSET($A$1, 351 - 1, 100 - 1)) &gt;= (OFFSET($A$1, 78 - 1, 7 - 1)), "1","0")</f>
        <v>1</v>
      </c>
      <c r="CY351">
        <f ca="1" xml:space="preserve"> IF( AND( OFFSET($A$1, 351 - 1, 101 - 1) = "1", OFFSET($A$1, 351 - 1, 102 - 1) = "1" ), 1, IF( AND( OFFSET($A$1, 351 - 1, 101 - 1) = "1", OFFSET($A$1, 351 - 1, 102 - 1) = "0" ), 2, IF( AND( OFFSET($A$1, 351 - 1, 101 - 1) = "0", OFFSET($A$1, 351 - 1, 102 - 1) = "1" ), 3, 4 ) ) )</f>
        <v>1</v>
      </c>
    </row>
    <row r="352" spans="95:103" ht="13.8" x14ac:dyDescent="0.3">
      <c r="CQ352" s="24">
        <v>0.94861362807094141</v>
      </c>
      <c r="CR352" s="24" t="str">
        <f t="shared" si="26"/>
        <v>1</v>
      </c>
      <c r="CS352" t="str">
        <f ca="1">IF((OFFSET($A$1, 352 - 1, 95 - 1)) &gt;= (OFFSET($A$1, 54 - 1, 7 - 1)), "1","0")</f>
        <v>0</v>
      </c>
      <c r="CT352">
        <f ca="1" xml:space="preserve"> IF( AND( OFFSET($A$1, 352 - 1, 96 - 1) = "1", OFFSET($A$1, 352 - 1, 97 - 1) = "1" ), 1, IF( AND( OFFSET($A$1, 352 - 1, 96 - 1) = "1", OFFSET($A$1, 352 - 1, 97 - 1) = "0" ), 2, IF( AND( OFFSET($A$1, 352 - 1, 96 - 1) = "0", OFFSET($A$1, 352 - 1, 97 - 1) = "1" ), 3, 4 ) ) )</f>
        <v>2</v>
      </c>
      <c r="CV352" s="24">
        <v>0.99827009550078449</v>
      </c>
      <c r="CW352" s="24" t="str">
        <f t="shared" si="27"/>
        <v>1</v>
      </c>
      <c r="CX352" t="str">
        <f ca="1">IF((OFFSET($A$1, 352 - 1, 100 - 1)) &gt;= (OFFSET($A$1, 78 - 1, 7 - 1)), "1","0")</f>
        <v>1</v>
      </c>
      <c r="CY352">
        <f ca="1" xml:space="preserve"> IF( AND( OFFSET($A$1, 352 - 1, 101 - 1) = "1", OFFSET($A$1, 352 - 1, 102 - 1) = "1" ), 1, IF( AND( OFFSET($A$1, 352 - 1, 101 - 1) = "1", OFFSET($A$1, 352 - 1, 102 - 1) = "0" ), 2, IF( AND( OFFSET($A$1, 352 - 1, 101 - 1) = "0", OFFSET($A$1, 352 - 1, 102 - 1) = "1" ), 3, 4 ) ) )</f>
        <v>1</v>
      </c>
    </row>
    <row r="353" spans="95:103" ht="13.8" x14ac:dyDescent="0.3">
      <c r="CQ353" s="24">
        <v>0.80113743931499981</v>
      </c>
      <c r="CR353" s="24" t="str">
        <f t="shared" si="26"/>
        <v>1</v>
      </c>
      <c r="CS353" t="str">
        <f ca="1">IF((OFFSET($A$1, 353 - 1, 95 - 1)) &gt;= (OFFSET($A$1, 54 - 1, 7 - 1)), "1","0")</f>
        <v>0</v>
      </c>
      <c r="CT353">
        <f ca="1" xml:space="preserve"> IF( AND( OFFSET($A$1, 353 - 1, 96 - 1) = "1", OFFSET($A$1, 353 - 1, 97 - 1) = "1" ), 1, IF( AND( OFFSET($A$1, 353 - 1, 96 - 1) = "1", OFFSET($A$1, 353 - 1, 97 - 1) = "0" ), 2, IF( AND( OFFSET($A$1, 353 - 1, 96 - 1) = "0", OFFSET($A$1, 353 - 1, 97 - 1) = "1" ), 3, 4 ) ) )</f>
        <v>2</v>
      </c>
      <c r="CV353" s="24">
        <v>0.5096241709065058</v>
      </c>
      <c r="CW353" s="24" t="str">
        <f t="shared" si="27"/>
        <v>1</v>
      </c>
      <c r="CX353" t="str">
        <f ca="1">IF((OFFSET($A$1, 353 - 1, 100 - 1)) &gt;= (OFFSET($A$1, 78 - 1, 7 - 1)), "1","0")</f>
        <v>0</v>
      </c>
      <c r="CY353">
        <f ca="1" xml:space="preserve"> IF( AND( OFFSET($A$1, 353 - 1, 101 - 1) = "1", OFFSET($A$1, 353 - 1, 102 - 1) = "1" ), 1, IF( AND( OFFSET($A$1, 353 - 1, 101 - 1) = "1", OFFSET($A$1, 353 - 1, 102 - 1) = "0" ), 2, IF( AND( OFFSET($A$1, 353 - 1, 101 - 1) = "0", OFFSET($A$1, 353 - 1, 102 - 1) = "1" ), 3, 4 ) ) )</f>
        <v>2</v>
      </c>
    </row>
    <row r="354" spans="95:103" ht="13.8" x14ac:dyDescent="0.3">
      <c r="CQ354" s="24">
        <v>0.88210286785920533</v>
      </c>
      <c r="CR354" s="24" t="str">
        <f t="shared" si="26"/>
        <v>1</v>
      </c>
      <c r="CS354" t="str">
        <f ca="1">IF((OFFSET($A$1, 354 - 1, 95 - 1)) &gt;= (OFFSET($A$1, 54 - 1, 7 - 1)), "1","0")</f>
        <v>0</v>
      </c>
      <c r="CT354">
        <f ca="1" xml:space="preserve"> IF( AND( OFFSET($A$1, 354 - 1, 96 - 1) = "1", OFFSET($A$1, 354 - 1, 97 - 1) = "1" ), 1, IF( AND( OFFSET($A$1, 354 - 1, 96 - 1) = "1", OFFSET($A$1, 354 - 1, 97 - 1) = "0" ), 2, IF( AND( OFFSET($A$1, 354 - 1, 96 - 1) = "0", OFFSET($A$1, 354 - 1, 97 - 1) = "1" ), 3, 4 ) ) )</f>
        <v>2</v>
      </c>
      <c r="CV354" s="24">
        <v>0.96825535084610193</v>
      </c>
      <c r="CW354" s="24" t="str">
        <f t="shared" si="27"/>
        <v>1</v>
      </c>
      <c r="CX354" t="str">
        <f ca="1">IF((OFFSET($A$1, 354 - 1, 100 - 1)) &gt;= (OFFSET($A$1, 78 - 1, 7 - 1)), "1","0")</f>
        <v>1</v>
      </c>
      <c r="CY354">
        <f ca="1" xml:space="preserve"> IF( AND( OFFSET($A$1, 354 - 1, 101 - 1) = "1", OFFSET($A$1, 354 - 1, 102 - 1) = "1" ), 1, IF( AND( OFFSET($A$1, 354 - 1, 101 - 1) = "1", OFFSET($A$1, 354 - 1, 102 - 1) = "0" ), 2, IF( AND( OFFSET($A$1, 354 - 1, 101 - 1) = "0", OFFSET($A$1, 354 - 1, 102 - 1) = "1" ), 3, 4 ) ) )</f>
        <v>1</v>
      </c>
    </row>
    <row r="355" spans="95:103" ht="13.8" x14ac:dyDescent="0.3">
      <c r="CQ355" s="24">
        <v>0.9575014493587013</v>
      </c>
      <c r="CR355" s="24" t="str">
        <f t="shared" si="26"/>
        <v>1</v>
      </c>
      <c r="CS355" t="str">
        <f ca="1">IF((OFFSET($A$1, 355 - 1, 95 - 1)) &gt;= (OFFSET($A$1, 54 - 1, 7 - 1)), "1","0")</f>
        <v>0</v>
      </c>
      <c r="CT355">
        <f ca="1" xml:space="preserve"> IF( AND( OFFSET($A$1, 355 - 1, 96 - 1) = "1", OFFSET($A$1, 355 - 1, 97 - 1) = "1" ), 1, IF( AND( OFFSET($A$1, 355 - 1, 96 - 1) = "1", OFFSET($A$1, 355 - 1, 97 - 1) = "0" ), 2, IF( AND( OFFSET($A$1, 355 - 1, 96 - 1) = "0", OFFSET($A$1, 355 - 1, 97 - 1) = "1" ), 3, 4 ) ) )</f>
        <v>2</v>
      </c>
      <c r="CV355" s="24">
        <v>0.92541178697007453</v>
      </c>
      <c r="CW355" s="24" t="str">
        <f t="shared" si="27"/>
        <v>1</v>
      </c>
      <c r="CX355" t="str">
        <f ca="1">IF((OFFSET($A$1, 355 - 1, 100 - 1)) &gt;= (OFFSET($A$1, 78 - 1, 7 - 1)), "1","0")</f>
        <v>1</v>
      </c>
      <c r="CY355">
        <f ca="1" xml:space="preserve"> IF( AND( OFFSET($A$1, 355 - 1, 101 - 1) = "1", OFFSET($A$1, 355 - 1, 102 - 1) = "1" ), 1, IF( AND( OFFSET($A$1, 355 - 1, 101 - 1) = "1", OFFSET($A$1, 355 - 1, 102 - 1) = "0" ), 2, IF( AND( OFFSET($A$1, 355 - 1, 101 - 1) = "0", OFFSET($A$1, 355 - 1, 102 - 1) = "1" ), 3, 4 ) ) )</f>
        <v>1</v>
      </c>
    </row>
    <row r="356" spans="95:103" ht="13.8" x14ac:dyDescent="0.3">
      <c r="CQ356" s="24">
        <v>0.9306662120478334</v>
      </c>
      <c r="CR356" s="24" t="str">
        <f t="shared" si="26"/>
        <v>1</v>
      </c>
      <c r="CS356" t="str">
        <f ca="1">IF((OFFSET($A$1, 356 - 1, 95 - 1)) &gt;= (OFFSET($A$1, 54 - 1, 7 - 1)), "1","0")</f>
        <v>0</v>
      </c>
      <c r="CT356">
        <f ca="1" xml:space="preserve"> IF( AND( OFFSET($A$1, 356 - 1, 96 - 1) = "1", OFFSET($A$1, 356 - 1, 97 - 1) = "1" ), 1, IF( AND( OFFSET($A$1, 356 - 1, 96 - 1) = "1", OFFSET($A$1, 356 - 1, 97 - 1) = "0" ), 2, IF( AND( OFFSET($A$1, 356 - 1, 96 - 1) = "0", OFFSET($A$1, 356 - 1, 97 - 1) = "1" ), 3, 4 ) ) )</f>
        <v>2</v>
      </c>
      <c r="CV356" s="24">
        <v>0.93870339748714449</v>
      </c>
      <c r="CW356" s="24" t="str">
        <f>"0"</f>
        <v>0</v>
      </c>
      <c r="CX356" t="str">
        <f ca="1">IF((OFFSET($A$1, 356 - 1, 100 - 1)) &gt;= (OFFSET($A$1, 78 - 1, 7 - 1)), "1","0")</f>
        <v>1</v>
      </c>
      <c r="CY356">
        <f ca="1" xml:space="preserve"> IF( AND( OFFSET($A$1, 356 - 1, 101 - 1) = "1", OFFSET($A$1, 356 - 1, 102 - 1) = "1" ), 1, IF( AND( OFFSET($A$1, 356 - 1, 101 - 1) = "1", OFFSET($A$1, 356 - 1, 102 - 1) = "0" ), 2, IF( AND( OFFSET($A$1, 356 - 1, 101 - 1) = "0", OFFSET($A$1, 356 - 1, 102 - 1) = "1" ), 3, 4 ) ) )</f>
        <v>3</v>
      </c>
    </row>
    <row r="357" spans="95:103" ht="13.8" x14ac:dyDescent="0.3">
      <c r="CQ357" s="24">
        <v>0.96501950926155877</v>
      </c>
      <c r="CR357" s="24" t="str">
        <f t="shared" si="26"/>
        <v>1</v>
      </c>
      <c r="CS357" t="str">
        <f ca="1">IF((OFFSET($A$1, 357 - 1, 95 - 1)) &gt;= (OFFSET($A$1, 54 - 1, 7 - 1)), "1","0")</f>
        <v>1</v>
      </c>
      <c r="CT357">
        <f ca="1" xml:space="preserve"> IF( AND( OFFSET($A$1, 357 - 1, 96 - 1) = "1", OFFSET($A$1, 357 - 1, 97 - 1) = "1" ), 1, IF( AND( OFFSET($A$1, 357 - 1, 96 - 1) = "1", OFFSET($A$1, 357 - 1, 97 - 1) = "0" ), 2, IF( AND( OFFSET($A$1, 357 - 1, 96 - 1) = "0", OFFSET($A$1, 357 - 1, 97 - 1) = "1" ), 3, 4 ) ) )</f>
        <v>1</v>
      </c>
      <c r="CV357" s="24">
        <v>0.40304096730752315</v>
      </c>
      <c r="CW357" s="24" t="str">
        <f t="shared" ref="CW357:CW363" si="28">"1"</f>
        <v>1</v>
      </c>
      <c r="CX357" t="str">
        <f ca="1">IF((OFFSET($A$1, 357 - 1, 100 - 1)) &gt;= (OFFSET($A$1, 78 - 1, 7 - 1)), "1","0")</f>
        <v>0</v>
      </c>
      <c r="CY357">
        <f ca="1" xml:space="preserve"> IF( AND( OFFSET($A$1, 357 - 1, 101 - 1) = "1", OFFSET($A$1, 357 - 1, 102 - 1) = "1" ), 1, IF( AND( OFFSET($A$1, 357 - 1, 101 - 1) = "1", OFFSET($A$1, 357 - 1, 102 - 1) = "0" ), 2, IF( AND( OFFSET($A$1, 357 - 1, 101 - 1) = "0", OFFSET($A$1, 357 - 1, 102 - 1) = "1" ), 3, 4 ) ) )</f>
        <v>2</v>
      </c>
    </row>
    <row r="358" spans="95:103" ht="13.8" x14ac:dyDescent="0.3">
      <c r="CQ358" s="24">
        <v>0.97352712610670256</v>
      </c>
      <c r="CR358" s="24" t="str">
        <f t="shared" si="26"/>
        <v>1</v>
      </c>
      <c r="CS358" t="str">
        <f ca="1">IF((OFFSET($A$1, 358 - 1, 95 - 1)) &gt;= (OFFSET($A$1, 54 - 1, 7 - 1)), "1","0")</f>
        <v>1</v>
      </c>
      <c r="CT358">
        <f ca="1" xml:space="preserve"> IF( AND( OFFSET($A$1, 358 - 1, 96 - 1) = "1", OFFSET($A$1, 358 - 1, 97 - 1) = "1" ), 1, IF( AND( OFFSET($A$1, 358 - 1, 96 - 1) = "1", OFFSET($A$1, 358 - 1, 97 - 1) = "0" ), 2, IF( AND( OFFSET($A$1, 358 - 1, 96 - 1) = "0", OFFSET($A$1, 358 - 1, 97 - 1) = "1" ), 3, 4 ) ) )</f>
        <v>1</v>
      </c>
      <c r="CV358" s="24">
        <v>0.99935097717533128</v>
      </c>
      <c r="CW358" s="24" t="str">
        <f t="shared" si="28"/>
        <v>1</v>
      </c>
      <c r="CX358" t="str">
        <f ca="1">IF((OFFSET($A$1, 358 - 1, 100 - 1)) &gt;= (OFFSET($A$1, 78 - 1, 7 - 1)), "1","0")</f>
        <v>1</v>
      </c>
      <c r="CY358">
        <f ca="1" xml:space="preserve"> IF( AND( OFFSET($A$1, 358 - 1, 101 - 1) = "1", OFFSET($A$1, 358 - 1, 102 - 1) = "1" ), 1, IF( AND( OFFSET($A$1, 358 - 1, 101 - 1) = "1", OFFSET($A$1, 358 - 1, 102 - 1) = "0" ), 2, IF( AND( OFFSET($A$1, 358 - 1, 101 - 1) = "0", OFFSET($A$1, 358 - 1, 102 - 1) = "1" ), 3, 4 ) ) )</f>
        <v>1</v>
      </c>
    </row>
    <row r="359" spans="95:103" ht="13.8" x14ac:dyDescent="0.3">
      <c r="CQ359" s="24">
        <v>2.9673789692861541E-2</v>
      </c>
      <c r="CR359" s="24" t="str">
        <f>"0"</f>
        <v>0</v>
      </c>
      <c r="CS359" t="str">
        <f ca="1">IF((OFFSET($A$1, 359 - 1, 95 - 1)) &gt;= (OFFSET($A$1, 54 - 1, 7 - 1)), "1","0")</f>
        <v>0</v>
      </c>
      <c r="CT359">
        <f ca="1" xml:space="preserve"> IF( AND( OFFSET($A$1, 359 - 1, 96 - 1) = "1", OFFSET($A$1, 359 - 1, 97 - 1) = "1" ), 1, IF( AND( OFFSET($A$1, 359 - 1, 96 - 1) = "1", OFFSET($A$1, 359 - 1, 97 - 1) = "0" ), 2, IF( AND( OFFSET($A$1, 359 - 1, 96 - 1) = "0", OFFSET($A$1, 359 - 1, 97 - 1) = "1" ), 3, 4 ) ) )</f>
        <v>4</v>
      </c>
      <c r="CV359" s="24">
        <v>0.16534628836638859</v>
      </c>
      <c r="CW359" s="24" t="str">
        <f t="shared" si="28"/>
        <v>1</v>
      </c>
      <c r="CX359" t="str">
        <f ca="1">IF((OFFSET($A$1, 359 - 1, 100 - 1)) &gt;= (OFFSET($A$1, 78 - 1, 7 - 1)), "1","0")</f>
        <v>0</v>
      </c>
      <c r="CY359">
        <f ca="1" xml:space="preserve"> IF( AND( OFFSET($A$1, 359 - 1, 101 - 1) = "1", OFFSET($A$1, 359 - 1, 102 - 1) = "1" ), 1, IF( AND( OFFSET($A$1, 359 - 1, 101 - 1) = "1", OFFSET($A$1, 359 - 1, 102 - 1) = "0" ), 2, IF( AND( OFFSET($A$1, 359 - 1, 101 - 1) = "0", OFFSET($A$1, 359 - 1, 102 - 1) = "1" ), 3, 4 ) ) )</f>
        <v>2</v>
      </c>
    </row>
    <row r="360" spans="95:103" ht="13.8" x14ac:dyDescent="0.3">
      <c r="CQ360" s="24">
        <v>6.6330384658491892E-2</v>
      </c>
      <c r="CR360" s="24" t="str">
        <f>"0"</f>
        <v>0</v>
      </c>
      <c r="CS360" t="str">
        <f ca="1">IF((OFFSET($A$1, 360 - 1, 95 - 1)) &gt;= (OFFSET($A$1, 54 - 1, 7 - 1)), "1","0")</f>
        <v>0</v>
      </c>
      <c r="CT360">
        <f ca="1" xml:space="preserve"> IF( AND( OFFSET($A$1, 360 - 1, 96 - 1) = "1", OFFSET($A$1, 360 - 1, 97 - 1) = "1" ), 1, IF( AND( OFFSET($A$1, 360 - 1, 96 - 1) = "1", OFFSET($A$1, 360 - 1, 97 - 1) = "0" ), 2, IF( AND( OFFSET($A$1, 360 - 1, 96 - 1) = "0", OFFSET($A$1, 360 - 1, 97 - 1) = "1" ), 3, 4 ) ) )</f>
        <v>4</v>
      </c>
      <c r="CV360" s="24">
        <v>0.99301549923036914</v>
      </c>
      <c r="CW360" s="24" t="str">
        <f t="shared" si="28"/>
        <v>1</v>
      </c>
      <c r="CX360" t="str">
        <f ca="1">IF((OFFSET($A$1, 360 - 1, 100 - 1)) &gt;= (OFFSET($A$1, 78 - 1, 7 - 1)), "1","0")</f>
        <v>1</v>
      </c>
      <c r="CY360">
        <f ca="1" xml:space="preserve"> IF( AND( OFFSET($A$1, 360 - 1, 101 - 1) = "1", OFFSET($A$1, 360 - 1, 102 - 1) = "1" ), 1, IF( AND( OFFSET($A$1, 360 - 1, 101 - 1) = "1", OFFSET($A$1, 360 - 1, 102 - 1) = "0" ), 2, IF( AND( OFFSET($A$1, 360 - 1, 101 - 1) = "0", OFFSET($A$1, 360 - 1, 102 - 1) = "1" ), 3, 4 ) ) )</f>
        <v>1</v>
      </c>
    </row>
    <row r="361" spans="95:103" ht="13.8" x14ac:dyDescent="0.3">
      <c r="CQ361" s="24">
        <v>0.99979403724255589</v>
      </c>
      <c r="CR361" s="24" t="str">
        <f>"1"</f>
        <v>1</v>
      </c>
      <c r="CS361" t="str">
        <f ca="1">IF((OFFSET($A$1, 361 - 1, 95 - 1)) &gt;= (OFFSET($A$1, 54 - 1, 7 - 1)), "1","0")</f>
        <v>1</v>
      </c>
      <c r="CT361">
        <f ca="1" xml:space="preserve"> IF( AND( OFFSET($A$1, 361 - 1, 96 - 1) = "1", OFFSET($A$1, 361 - 1, 97 - 1) = "1" ), 1, IF( AND( OFFSET($A$1, 361 - 1, 96 - 1) = "1", OFFSET($A$1, 361 - 1, 97 - 1) = "0" ), 2, IF( AND( OFFSET($A$1, 361 - 1, 96 - 1) = "0", OFFSET($A$1, 361 - 1, 97 - 1) = "1" ), 3, 4 ) ) )</f>
        <v>1</v>
      </c>
      <c r="CV361" s="24">
        <v>0.98519655723219846</v>
      </c>
      <c r="CW361" s="24" t="str">
        <f t="shared" si="28"/>
        <v>1</v>
      </c>
      <c r="CX361" t="str">
        <f ca="1">IF((OFFSET($A$1, 361 - 1, 100 - 1)) &gt;= (OFFSET($A$1, 78 - 1, 7 - 1)), "1","0")</f>
        <v>1</v>
      </c>
      <c r="CY361">
        <f ca="1" xml:space="preserve"> IF( AND( OFFSET($A$1, 361 - 1, 101 - 1) = "1", OFFSET($A$1, 361 - 1, 102 - 1) = "1" ), 1, IF( AND( OFFSET($A$1, 361 - 1, 101 - 1) = "1", OFFSET($A$1, 361 - 1, 102 - 1) = "0" ), 2, IF( AND( OFFSET($A$1, 361 - 1, 101 - 1) = "0", OFFSET($A$1, 361 - 1, 102 - 1) = "1" ), 3, 4 ) ) )</f>
        <v>1</v>
      </c>
    </row>
    <row r="362" spans="95:103" ht="13.8" x14ac:dyDescent="0.3">
      <c r="CQ362" s="24">
        <v>0.99994205644820011</v>
      </c>
      <c r="CR362" s="24" t="str">
        <f>"1"</f>
        <v>1</v>
      </c>
      <c r="CS362" t="str">
        <f ca="1">IF((OFFSET($A$1, 362 - 1, 95 - 1)) &gt;= (OFFSET($A$1, 54 - 1, 7 - 1)), "1","0")</f>
        <v>1</v>
      </c>
      <c r="CT362">
        <f ca="1" xml:space="preserve"> IF( AND( OFFSET($A$1, 362 - 1, 96 - 1) = "1", OFFSET($A$1, 362 - 1, 97 - 1) = "1" ), 1, IF( AND( OFFSET($A$1, 362 - 1, 96 - 1) = "1", OFFSET($A$1, 362 - 1, 97 - 1) = "0" ), 2, IF( AND( OFFSET($A$1, 362 - 1, 96 - 1) = "0", OFFSET($A$1, 362 - 1, 97 - 1) = "1" ), 3, 4 ) ) )</f>
        <v>1</v>
      </c>
      <c r="CV362" s="24">
        <v>0.97846295037462228</v>
      </c>
      <c r="CW362" s="24" t="str">
        <f t="shared" si="28"/>
        <v>1</v>
      </c>
      <c r="CX362" t="str">
        <f ca="1">IF((OFFSET($A$1, 362 - 1, 100 - 1)) &gt;= (OFFSET($A$1, 78 - 1, 7 - 1)), "1","0")</f>
        <v>1</v>
      </c>
      <c r="CY362">
        <f ca="1" xml:space="preserve"> IF( AND( OFFSET($A$1, 362 - 1, 101 - 1) = "1", OFFSET($A$1, 362 - 1, 102 - 1) = "1" ), 1, IF( AND( OFFSET($A$1, 362 - 1, 101 - 1) = "1", OFFSET($A$1, 362 - 1, 102 - 1) = "0" ), 2, IF( AND( OFFSET($A$1, 362 - 1, 101 - 1) = "0", OFFSET($A$1, 362 - 1, 102 - 1) = "1" ), 3, 4 ) ) )</f>
        <v>1</v>
      </c>
    </row>
    <row r="363" spans="95:103" ht="13.8" x14ac:dyDescent="0.3">
      <c r="CQ363" s="24">
        <v>0.92036024691621454</v>
      </c>
      <c r="CR363" s="24" t="str">
        <f>"1"</f>
        <v>1</v>
      </c>
      <c r="CS363" t="str">
        <f ca="1">IF((OFFSET($A$1, 363 - 1, 95 - 1)) &gt;= (OFFSET($A$1, 54 - 1, 7 - 1)), "1","0")</f>
        <v>0</v>
      </c>
      <c r="CT363">
        <f ca="1" xml:space="preserve"> IF( AND( OFFSET($A$1, 363 - 1, 96 - 1) = "1", OFFSET($A$1, 363 - 1, 97 - 1) = "1" ), 1, IF( AND( OFFSET($A$1, 363 - 1, 96 - 1) = "1", OFFSET($A$1, 363 - 1, 97 - 1) = "0" ), 2, IF( AND( OFFSET($A$1, 363 - 1, 96 - 1) = "0", OFFSET($A$1, 363 - 1, 97 - 1) = "1" ), 3, 4 ) ) )</f>
        <v>2</v>
      </c>
      <c r="CV363" s="24">
        <v>0.46403252212149909</v>
      </c>
      <c r="CW363" s="24" t="str">
        <f t="shared" si="28"/>
        <v>1</v>
      </c>
      <c r="CX363" t="str">
        <f ca="1">IF((OFFSET($A$1, 363 - 1, 100 - 1)) &gt;= (OFFSET($A$1, 78 - 1, 7 - 1)), "1","0")</f>
        <v>0</v>
      </c>
      <c r="CY363">
        <f ca="1" xml:space="preserve"> IF( AND( OFFSET($A$1, 363 - 1, 101 - 1) = "1", OFFSET($A$1, 363 - 1, 102 - 1) = "1" ), 1, IF( AND( OFFSET($A$1, 363 - 1, 101 - 1) = "1", OFFSET($A$1, 363 - 1, 102 - 1) = "0" ), 2, IF( AND( OFFSET($A$1, 363 - 1, 101 - 1) = "0", OFFSET($A$1, 363 - 1, 102 - 1) = "1" ), 3, 4 ) ) )</f>
        <v>2</v>
      </c>
    </row>
    <row r="364" spans="95:103" ht="13.8" x14ac:dyDescent="0.3">
      <c r="CQ364" s="24">
        <v>6.1002970826837269E-2</v>
      </c>
      <c r="CR364" s="24" t="str">
        <f>"0"</f>
        <v>0</v>
      </c>
      <c r="CS364" t="str">
        <f ca="1">IF((OFFSET($A$1, 364 - 1, 95 - 1)) &gt;= (OFFSET($A$1, 54 - 1, 7 - 1)), "1","0")</f>
        <v>0</v>
      </c>
      <c r="CT364">
        <f ca="1" xml:space="preserve"> IF( AND( OFFSET($A$1, 364 - 1, 96 - 1) = "1", OFFSET($A$1, 364 - 1, 97 - 1) = "1" ), 1, IF( AND( OFFSET($A$1, 364 - 1, 96 - 1) = "1", OFFSET($A$1, 364 - 1, 97 - 1) = "0" ), 2, IF( AND( OFFSET($A$1, 364 - 1, 96 - 1) = "0", OFFSET($A$1, 364 - 1, 97 - 1) = "1" ), 3, 4 ) ) )</f>
        <v>4</v>
      </c>
      <c r="CV364" s="24">
        <v>7.3509156952374879E-2</v>
      </c>
      <c r="CW364" s="24" t="str">
        <f>"0"</f>
        <v>0</v>
      </c>
      <c r="CX364" t="str">
        <f ca="1">IF((OFFSET($A$1, 364 - 1, 100 - 1)) &gt;= (OFFSET($A$1, 78 - 1, 7 - 1)), "1","0")</f>
        <v>0</v>
      </c>
      <c r="CY364">
        <f ca="1" xml:space="preserve"> IF( AND( OFFSET($A$1, 364 - 1, 101 - 1) = "1", OFFSET($A$1, 364 - 1, 102 - 1) = "1" ), 1, IF( AND( OFFSET($A$1, 364 - 1, 101 - 1) = "1", OFFSET($A$1, 364 - 1, 102 - 1) = "0" ), 2, IF( AND( OFFSET($A$1, 364 - 1, 101 - 1) = "0", OFFSET($A$1, 364 - 1, 102 - 1) = "1" ), 3, 4 ) ) )</f>
        <v>4</v>
      </c>
    </row>
    <row r="365" spans="95:103" ht="13.8" x14ac:dyDescent="0.3">
      <c r="CQ365" s="24">
        <v>0.99195040243542176</v>
      </c>
      <c r="CR365" s="24" t="str">
        <f>"1"</f>
        <v>1</v>
      </c>
      <c r="CS365" t="str">
        <f ca="1">IF((OFFSET($A$1, 365 - 1, 95 - 1)) &gt;= (OFFSET($A$1, 54 - 1, 7 - 1)), "1","0")</f>
        <v>1</v>
      </c>
      <c r="CT365">
        <f ca="1" xml:space="preserve"> IF( AND( OFFSET($A$1, 365 - 1, 96 - 1) = "1", OFFSET($A$1, 365 - 1, 97 - 1) = "1" ), 1, IF( AND( OFFSET($A$1, 365 - 1, 96 - 1) = "1", OFFSET($A$1, 365 - 1, 97 - 1) = "0" ), 2, IF( AND( OFFSET($A$1, 365 - 1, 96 - 1) = "0", OFFSET($A$1, 365 - 1, 97 - 1) = "1" ), 3, 4 ) ) )</f>
        <v>1</v>
      </c>
      <c r="CV365" s="24">
        <v>0.37567992933796968</v>
      </c>
      <c r="CW365" s="24" t="str">
        <f t="shared" ref="CW365:CW371" si="29">"1"</f>
        <v>1</v>
      </c>
      <c r="CX365" t="str">
        <f ca="1">IF((OFFSET($A$1, 365 - 1, 100 - 1)) &gt;= (OFFSET($A$1, 78 - 1, 7 - 1)), "1","0")</f>
        <v>0</v>
      </c>
      <c r="CY365">
        <f ca="1" xml:space="preserve"> IF( AND( OFFSET($A$1, 365 - 1, 101 - 1) = "1", OFFSET($A$1, 365 - 1, 102 - 1) = "1" ), 1, IF( AND( OFFSET($A$1, 365 - 1, 101 - 1) = "1", OFFSET($A$1, 365 - 1, 102 - 1) = "0" ), 2, IF( AND( OFFSET($A$1, 365 - 1, 101 - 1) = "0", OFFSET($A$1, 365 - 1, 102 - 1) = "1" ), 3, 4 ) ) )</f>
        <v>2</v>
      </c>
    </row>
    <row r="366" spans="95:103" ht="13.8" x14ac:dyDescent="0.3">
      <c r="CQ366" s="24">
        <v>7.5218300912849867E-2</v>
      </c>
      <c r="CR366" s="24" t="str">
        <f>"0"</f>
        <v>0</v>
      </c>
      <c r="CS366" t="str">
        <f ca="1">IF((OFFSET($A$1, 366 - 1, 95 - 1)) &gt;= (OFFSET($A$1, 54 - 1, 7 - 1)), "1","0")</f>
        <v>0</v>
      </c>
      <c r="CT366">
        <f ca="1" xml:space="preserve"> IF( AND( OFFSET($A$1, 366 - 1, 96 - 1) = "1", OFFSET($A$1, 366 - 1, 97 - 1) = "1" ), 1, IF( AND( OFFSET($A$1, 366 - 1, 96 - 1) = "1", OFFSET($A$1, 366 - 1, 97 - 1) = "0" ), 2, IF( AND( OFFSET($A$1, 366 - 1, 96 - 1) = "0", OFFSET($A$1, 366 - 1, 97 - 1) = "1" ), 3, 4 ) ) )</f>
        <v>4</v>
      </c>
      <c r="CV366" s="24">
        <v>0.8491376326981751</v>
      </c>
      <c r="CW366" s="24" t="str">
        <f t="shared" si="29"/>
        <v>1</v>
      </c>
      <c r="CX366" t="str">
        <f ca="1">IF((OFFSET($A$1, 366 - 1, 100 - 1)) &gt;= (OFFSET($A$1, 78 - 1, 7 - 1)), "1","0")</f>
        <v>0</v>
      </c>
      <c r="CY366">
        <f ca="1" xml:space="preserve"> IF( AND( OFFSET($A$1, 366 - 1, 101 - 1) = "1", OFFSET($A$1, 366 - 1, 102 - 1) = "1" ), 1, IF( AND( OFFSET($A$1, 366 - 1, 101 - 1) = "1", OFFSET($A$1, 366 - 1, 102 - 1) = "0" ), 2, IF( AND( OFFSET($A$1, 366 - 1, 101 - 1) = "0", OFFSET($A$1, 366 - 1, 102 - 1) = "1" ), 3, 4 ) ) )</f>
        <v>2</v>
      </c>
    </row>
    <row r="367" spans="95:103" ht="13.8" x14ac:dyDescent="0.3">
      <c r="CQ367" s="24">
        <v>6.6177131401620196E-2</v>
      </c>
      <c r="CR367" s="24" t="str">
        <f>"0"</f>
        <v>0</v>
      </c>
      <c r="CS367" t="str">
        <f ca="1">IF((OFFSET($A$1, 367 - 1, 95 - 1)) &gt;= (OFFSET($A$1, 54 - 1, 7 - 1)), "1","0")</f>
        <v>0</v>
      </c>
      <c r="CT367">
        <f ca="1" xml:space="preserve"> IF( AND( OFFSET($A$1, 367 - 1, 96 - 1) = "1", OFFSET($A$1, 367 - 1, 97 - 1) = "1" ), 1, IF( AND( OFFSET($A$1, 367 - 1, 96 - 1) = "1", OFFSET($A$1, 367 - 1, 97 - 1) = "0" ), 2, IF( AND( OFFSET($A$1, 367 - 1, 96 - 1) = "0", OFFSET($A$1, 367 - 1, 97 - 1) = "1" ), 3, 4 ) ) )</f>
        <v>4</v>
      </c>
      <c r="CV367" s="24">
        <v>0.85155475158118965</v>
      </c>
      <c r="CW367" s="24" t="str">
        <f t="shared" si="29"/>
        <v>1</v>
      </c>
      <c r="CX367" t="str">
        <f ca="1">IF((OFFSET($A$1, 367 - 1, 100 - 1)) &gt;= (OFFSET($A$1, 78 - 1, 7 - 1)), "1","0")</f>
        <v>0</v>
      </c>
      <c r="CY367">
        <f ca="1" xml:space="preserve"> IF( AND( OFFSET($A$1, 367 - 1, 101 - 1) = "1", OFFSET($A$1, 367 - 1, 102 - 1) = "1" ), 1, IF( AND( OFFSET($A$1, 367 - 1, 101 - 1) = "1", OFFSET($A$1, 367 - 1, 102 - 1) = "0" ), 2, IF( AND( OFFSET($A$1, 367 - 1, 101 - 1) = "0", OFFSET($A$1, 367 - 1, 102 - 1) = "1" ), 3, 4 ) ) )</f>
        <v>2</v>
      </c>
    </row>
    <row r="368" spans="95:103" ht="13.8" x14ac:dyDescent="0.3">
      <c r="CQ368" s="24">
        <v>8.304501061517644E-2</v>
      </c>
      <c r="CR368" s="24" t="str">
        <f>"0"</f>
        <v>0</v>
      </c>
      <c r="CS368" t="str">
        <f ca="1">IF((OFFSET($A$1, 368 - 1, 95 - 1)) &gt;= (OFFSET($A$1, 54 - 1, 7 - 1)), "1","0")</f>
        <v>0</v>
      </c>
      <c r="CT368">
        <f ca="1" xml:space="preserve"> IF( AND( OFFSET($A$1, 368 - 1, 96 - 1) = "1", OFFSET($A$1, 368 - 1, 97 - 1) = "1" ), 1, IF( AND( OFFSET($A$1, 368 - 1, 96 - 1) = "1", OFFSET($A$1, 368 - 1, 97 - 1) = "0" ), 2, IF( AND( OFFSET($A$1, 368 - 1, 96 - 1) = "0", OFFSET($A$1, 368 - 1, 97 - 1) = "1" ), 3, 4 ) ) )</f>
        <v>4</v>
      </c>
      <c r="CV368" s="24">
        <v>0.99903039948294425</v>
      </c>
      <c r="CW368" s="24" t="str">
        <f t="shared" si="29"/>
        <v>1</v>
      </c>
      <c r="CX368" t="str">
        <f ca="1">IF((OFFSET($A$1, 368 - 1, 100 - 1)) &gt;= (OFFSET($A$1, 78 - 1, 7 - 1)), "1","0")</f>
        <v>1</v>
      </c>
      <c r="CY368">
        <f ca="1" xml:space="preserve"> IF( AND( OFFSET($A$1, 368 - 1, 101 - 1) = "1", OFFSET($A$1, 368 - 1, 102 - 1) = "1" ), 1, IF( AND( OFFSET($A$1, 368 - 1, 101 - 1) = "1", OFFSET($A$1, 368 - 1, 102 - 1) = "0" ), 2, IF( AND( OFFSET($A$1, 368 - 1, 101 - 1) = "0", OFFSET($A$1, 368 - 1, 102 - 1) = "1" ), 3, 4 ) ) )</f>
        <v>1</v>
      </c>
    </row>
    <row r="369" spans="95:103" ht="13.8" x14ac:dyDescent="0.3">
      <c r="CQ369" s="24">
        <v>0.92001364782886763</v>
      </c>
      <c r="CR369" s="24" t="str">
        <f t="shared" ref="CR369:CR376" si="30">"1"</f>
        <v>1</v>
      </c>
      <c r="CS369" t="str">
        <f ca="1">IF((OFFSET($A$1, 369 - 1, 95 - 1)) &gt;= (OFFSET($A$1, 54 - 1, 7 - 1)), "1","0")</f>
        <v>0</v>
      </c>
      <c r="CT369">
        <f ca="1" xml:space="preserve"> IF( AND( OFFSET($A$1, 369 - 1, 96 - 1) = "1", OFFSET($A$1, 369 - 1, 97 - 1) = "1" ), 1, IF( AND( OFFSET($A$1, 369 - 1, 96 - 1) = "1", OFFSET($A$1, 369 - 1, 97 - 1) = "0" ), 2, IF( AND( OFFSET($A$1, 369 - 1, 96 - 1) = "0", OFFSET($A$1, 369 - 1, 97 - 1) = "1" ), 3, 4 ) ) )</f>
        <v>2</v>
      </c>
      <c r="CV369" s="24">
        <v>0.99895589208879754</v>
      </c>
      <c r="CW369" s="24" t="str">
        <f t="shared" si="29"/>
        <v>1</v>
      </c>
      <c r="CX369" t="str">
        <f ca="1">IF((OFFSET($A$1, 369 - 1, 100 - 1)) &gt;= (OFFSET($A$1, 78 - 1, 7 - 1)), "1","0")</f>
        <v>1</v>
      </c>
      <c r="CY369">
        <f ca="1" xml:space="preserve"> IF( AND( OFFSET($A$1, 369 - 1, 101 - 1) = "1", OFFSET($A$1, 369 - 1, 102 - 1) = "1" ), 1, IF( AND( OFFSET($A$1, 369 - 1, 101 - 1) = "1", OFFSET($A$1, 369 - 1, 102 - 1) = "0" ), 2, IF( AND( OFFSET($A$1, 369 - 1, 101 - 1) = "0", OFFSET($A$1, 369 - 1, 102 - 1) = "1" ), 3, 4 ) ) )</f>
        <v>1</v>
      </c>
    </row>
    <row r="370" spans="95:103" ht="13.8" x14ac:dyDescent="0.3">
      <c r="CQ370" s="24">
        <v>0.86844506996598392</v>
      </c>
      <c r="CR370" s="24" t="str">
        <f t="shared" si="30"/>
        <v>1</v>
      </c>
      <c r="CS370" t="str">
        <f ca="1">IF((OFFSET($A$1, 370 - 1, 95 - 1)) &gt;= (OFFSET($A$1, 54 - 1, 7 - 1)), "1","0")</f>
        <v>0</v>
      </c>
      <c r="CT370">
        <f ca="1" xml:space="preserve"> IF( AND( OFFSET($A$1, 370 - 1, 96 - 1) = "1", OFFSET($A$1, 370 - 1, 97 - 1) = "1" ), 1, IF( AND( OFFSET($A$1, 370 - 1, 96 - 1) = "1", OFFSET($A$1, 370 - 1, 97 - 1) = "0" ), 2, IF( AND( OFFSET($A$1, 370 - 1, 96 - 1) = "0", OFFSET($A$1, 370 - 1, 97 - 1) = "1" ), 3, 4 ) ) )</f>
        <v>2</v>
      </c>
      <c r="CV370" s="24">
        <v>0.87822890047677427</v>
      </c>
      <c r="CW370" s="24" t="str">
        <f t="shared" si="29"/>
        <v>1</v>
      </c>
      <c r="CX370" t="str">
        <f ca="1">IF((OFFSET($A$1, 370 - 1, 100 - 1)) &gt;= (OFFSET($A$1, 78 - 1, 7 - 1)), "1","0")</f>
        <v>0</v>
      </c>
      <c r="CY370">
        <f ca="1" xml:space="preserve"> IF( AND( OFFSET($A$1, 370 - 1, 101 - 1) = "1", OFFSET($A$1, 370 - 1, 102 - 1) = "1" ), 1, IF( AND( OFFSET($A$1, 370 - 1, 101 - 1) = "1", OFFSET($A$1, 370 - 1, 102 - 1) = "0" ), 2, IF( AND( OFFSET($A$1, 370 - 1, 101 - 1) = "0", OFFSET($A$1, 370 - 1, 102 - 1) = "1" ), 3, 4 ) ) )</f>
        <v>2</v>
      </c>
    </row>
    <row r="371" spans="95:103" ht="13.8" x14ac:dyDescent="0.3">
      <c r="CQ371" s="24">
        <v>0.92640824848503278</v>
      </c>
      <c r="CR371" s="24" t="str">
        <f t="shared" si="30"/>
        <v>1</v>
      </c>
      <c r="CS371" t="str">
        <f ca="1">IF((OFFSET($A$1, 371 - 1, 95 - 1)) &gt;= (OFFSET($A$1, 54 - 1, 7 - 1)), "1","0")</f>
        <v>0</v>
      </c>
      <c r="CT371">
        <f ca="1" xml:space="preserve"> IF( AND( OFFSET($A$1, 371 - 1, 96 - 1) = "1", OFFSET($A$1, 371 - 1, 97 - 1) = "1" ), 1, IF( AND( OFFSET($A$1, 371 - 1, 96 - 1) = "1", OFFSET($A$1, 371 - 1, 97 - 1) = "0" ), 2, IF( AND( OFFSET($A$1, 371 - 1, 96 - 1) = "0", OFFSET($A$1, 371 - 1, 97 - 1) = "1" ), 3, 4 ) ) )</f>
        <v>2</v>
      </c>
      <c r="CV371" s="24">
        <v>0.81711852553727848</v>
      </c>
      <c r="CW371" s="24" t="str">
        <f t="shared" si="29"/>
        <v>1</v>
      </c>
      <c r="CX371" t="str">
        <f ca="1">IF((OFFSET($A$1, 371 - 1, 100 - 1)) &gt;= (OFFSET($A$1, 78 - 1, 7 - 1)), "1","0")</f>
        <v>0</v>
      </c>
      <c r="CY371">
        <f ca="1" xml:space="preserve"> IF( AND( OFFSET($A$1, 371 - 1, 101 - 1) = "1", OFFSET($A$1, 371 - 1, 102 - 1) = "1" ), 1, IF( AND( OFFSET($A$1, 371 - 1, 101 - 1) = "1", OFFSET($A$1, 371 - 1, 102 - 1) = "0" ), 2, IF( AND( OFFSET($A$1, 371 - 1, 101 - 1) = "0", OFFSET($A$1, 371 - 1, 102 - 1) = "1" ), 3, 4 ) ) )</f>
        <v>2</v>
      </c>
    </row>
    <row r="372" spans="95:103" ht="13.8" x14ac:dyDescent="0.3">
      <c r="CQ372" s="24">
        <v>0.99858465232468407</v>
      </c>
      <c r="CR372" s="24" t="str">
        <f t="shared" si="30"/>
        <v>1</v>
      </c>
      <c r="CS372" t="str">
        <f ca="1">IF((OFFSET($A$1, 372 - 1, 95 - 1)) &gt;= (OFFSET($A$1, 54 - 1, 7 - 1)), "1","0")</f>
        <v>1</v>
      </c>
      <c r="CT372">
        <f ca="1" xml:space="preserve"> IF( AND( OFFSET($A$1, 372 - 1, 96 - 1) = "1", OFFSET($A$1, 372 - 1, 97 - 1) = "1" ), 1, IF( AND( OFFSET($A$1, 372 - 1, 96 - 1) = "1", OFFSET($A$1, 372 - 1, 97 - 1) = "0" ), 2, IF( AND( OFFSET($A$1, 372 - 1, 96 - 1) = "0", OFFSET($A$1, 372 - 1, 97 - 1) = "1" ), 3, 4 ) ) )</f>
        <v>1</v>
      </c>
      <c r="CV372" s="24">
        <v>0.33086142685432829</v>
      </c>
      <c r="CW372" s="24" t="str">
        <f>"0"</f>
        <v>0</v>
      </c>
      <c r="CX372" t="str">
        <f ca="1">IF((OFFSET($A$1, 372 - 1, 100 - 1)) &gt;= (OFFSET($A$1, 78 - 1, 7 - 1)), "1","0")</f>
        <v>0</v>
      </c>
      <c r="CY372">
        <f ca="1" xml:space="preserve"> IF( AND( OFFSET($A$1, 372 - 1, 101 - 1) = "1", OFFSET($A$1, 372 - 1, 102 - 1) = "1" ), 1, IF( AND( OFFSET($A$1, 372 - 1, 101 - 1) = "1", OFFSET($A$1, 372 - 1, 102 - 1) = "0" ), 2, IF( AND( OFFSET($A$1, 372 - 1, 101 - 1) = "0", OFFSET($A$1, 372 - 1, 102 - 1) = "1" ), 3, 4 ) ) )</f>
        <v>4</v>
      </c>
    </row>
    <row r="373" spans="95:103" ht="13.8" x14ac:dyDescent="0.3">
      <c r="CQ373" s="24">
        <v>0.91437309057789296</v>
      </c>
      <c r="CR373" s="24" t="str">
        <f t="shared" si="30"/>
        <v>1</v>
      </c>
      <c r="CS373" t="str">
        <f ca="1">IF((OFFSET($A$1, 373 - 1, 95 - 1)) &gt;= (OFFSET($A$1, 54 - 1, 7 - 1)), "1","0")</f>
        <v>0</v>
      </c>
      <c r="CT373">
        <f ca="1" xml:space="preserve"> IF( AND( OFFSET($A$1, 373 - 1, 96 - 1) = "1", OFFSET($A$1, 373 - 1, 97 - 1) = "1" ), 1, IF( AND( OFFSET($A$1, 373 - 1, 96 - 1) = "1", OFFSET($A$1, 373 - 1, 97 - 1) = "0" ), 2, IF( AND( OFFSET($A$1, 373 - 1, 96 - 1) = "0", OFFSET($A$1, 373 - 1, 97 - 1) = "1" ), 3, 4 ) ) )</f>
        <v>2</v>
      </c>
      <c r="CV373" s="24">
        <v>0.95611748442691991</v>
      </c>
      <c r="CW373" s="24" t="str">
        <f>"0"</f>
        <v>0</v>
      </c>
      <c r="CX373" t="str">
        <f ca="1">IF((OFFSET($A$1, 373 - 1, 100 - 1)) &gt;= (OFFSET($A$1, 78 - 1, 7 - 1)), "1","0")</f>
        <v>1</v>
      </c>
      <c r="CY373">
        <f ca="1" xml:space="preserve"> IF( AND( OFFSET($A$1, 373 - 1, 101 - 1) = "1", OFFSET($A$1, 373 - 1, 102 - 1) = "1" ), 1, IF( AND( OFFSET($A$1, 373 - 1, 101 - 1) = "1", OFFSET($A$1, 373 - 1, 102 - 1) = "0" ), 2, IF( AND( OFFSET($A$1, 373 - 1, 101 - 1) = "0", OFFSET($A$1, 373 - 1, 102 - 1) = "1" ), 3, 4 ) ) )</f>
        <v>3</v>
      </c>
    </row>
    <row r="374" spans="95:103" ht="13.8" x14ac:dyDescent="0.3">
      <c r="CQ374" s="24">
        <v>0.88098889261666691</v>
      </c>
      <c r="CR374" s="24" t="str">
        <f t="shared" si="30"/>
        <v>1</v>
      </c>
      <c r="CS374" t="str">
        <f ca="1">IF((OFFSET($A$1, 374 - 1, 95 - 1)) &gt;= (OFFSET($A$1, 54 - 1, 7 - 1)), "1","0")</f>
        <v>0</v>
      </c>
      <c r="CT374">
        <f ca="1" xml:space="preserve"> IF( AND( OFFSET($A$1, 374 - 1, 96 - 1) = "1", OFFSET($A$1, 374 - 1, 97 - 1) = "1" ), 1, IF( AND( OFFSET($A$1, 374 - 1, 96 - 1) = "1", OFFSET($A$1, 374 - 1, 97 - 1) = "0" ), 2, IF( AND( OFFSET($A$1, 374 - 1, 96 - 1) = "0", OFFSET($A$1, 374 - 1, 97 - 1) = "1" ), 3, 4 ) ) )</f>
        <v>2</v>
      </c>
      <c r="CV374" s="24">
        <v>2.471687144209801E-3</v>
      </c>
      <c r="CW374" s="24" t="str">
        <f>"0"</f>
        <v>0</v>
      </c>
      <c r="CX374" t="str">
        <f ca="1">IF((OFFSET($A$1, 374 - 1, 100 - 1)) &gt;= (OFFSET($A$1, 78 - 1, 7 - 1)), "1","0")</f>
        <v>0</v>
      </c>
      <c r="CY374">
        <f ca="1" xml:space="preserve"> IF( AND( OFFSET($A$1, 374 - 1, 101 - 1) = "1", OFFSET($A$1, 374 - 1, 102 - 1) = "1" ), 1, IF( AND( OFFSET($A$1, 374 - 1, 101 - 1) = "1", OFFSET($A$1, 374 - 1, 102 - 1) = "0" ), 2, IF( AND( OFFSET($A$1, 374 - 1, 101 - 1) = "0", OFFSET($A$1, 374 - 1, 102 - 1) = "1" ), 3, 4 ) ) )</f>
        <v>4</v>
      </c>
    </row>
    <row r="375" spans="95:103" ht="13.8" x14ac:dyDescent="0.3">
      <c r="CQ375" s="24">
        <v>0.99948503847604198</v>
      </c>
      <c r="CR375" s="24" t="str">
        <f t="shared" si="30"/>
        <v>1</v>
      </c>
      <c r="CS375" t="str">
        <f ca="1">IF((OFFSET($A$1, 375 - 1, 95 - 1)) &gt;= (OFFSET($A$1, 54 - 1, 7 - 1)), "1","0")</f>
        <v>1</v>
      </c>
      <c r="CT375">
        <f ca="1" xml:space="preserve"> IF( AND( OFFSET($A$1, 375 - 1, 96 - 1) = "1", OFFSET($A$1, 375 - 1, 97 - 1) = "1" ), 1, IF( AND( OFFSET($A$1, 375 - 1, 96 - 1) = "1", OFFSET($A$1, 375 - 1, 97 - 1) = "0" ), 2, IF( AND( OFFSET($A$1, 375 - 1, 96 - 1) = "0", OFFSET($A$1, 375 - 1, 97 - 1) = "1" ), 3, 4 ) ) )</f>
        <v>1</v>
      </c>
      <c r="CV375" s="24">
        <v>0.9970893384690126</v>
      </c>
      <c r="CW375" s="24" t="str">
        <f>"1"</f>
        <v>1</v>
      </c>
      <c r="CX375" t="str">
        <f ca="1">IF((OFFSET($A$1, 375 - 1, 100 - 1)) &gt;= (OFFSET($A$1, 78 - 1, 7 - 1)), "1","0")</f>
        <v>1</v>
      </c>
      <c r="CY375">
        <f ca="1" xml:space="preserve"> IF( AND( OFFSET($A$1, 375 - 1, 101 - 1) = "1", OFFSET($A$1, 375 - 1, 102 - 1) = "1" ), 1, IF( AND( OFFSET($A$1, 375 - 1, 101 - 1) = "1", OFFSET($A$1, 375 - 1, 102 - 1) = "0" ), 2, IF( AND( OFFSET($A$1, 375 - 1, 101 - 1) = "0", OFFSET($A$1, 375 - 1, 102 - 1) = "1" ), 3, 4 ) ) )</f>
        <v>1</v>
      </c>
    </row>
    <row r="376" spans="95:103" ht="13.8" x14ac:dyDescent="0.3">
      <c r="CQ376" s="24">
        <v>0.96870319028629204</v>
      </c>
      <c r="CR376" s="24" t="str">
        <f t="shared" si="30"/>
        <v>1</v>
      </c>
      <c r="CS376" t="str">
        <f ca="1">IF((OFFSET($A$1, 376 - 1, 95 - 1)) &gt;= (OFFSET($A$1, 54 - 1, 7 - 1)), "1","0")</f>
        <v>1</v>
      </c>
      <c r="CT376">
        <f ca="1" xml:space="preserve"> IF( AND( OFFSET($A$1, 376 - 1, 96 - 1) = "1", OFFSET($A$1, 376 - 1, 97 - 1) = "1" ), 1, IF( AND( OFFSET($A$1, 376 - 1, 96 - 1) = "1", OFFSET($A$1, 376 - 1, 97 - 1) = "0" ), 2, IF( AND( OFFSET($A$1, 376 - 1, 96 - 1) = "0", OFFSET($A$1, 376 - 1, 97 - 1) = "1" ), 3, 4 ) ) )</f>
        <v>1</v>
      </c>
      <c r="CV376" s="24">
        <v>0.54000612876087439</v>
      </c>
      <c r="CW376" s="24" t="str">
        <f>"0"</f>
        <v>0</v>
      </c>
      <c r="CX376" t="str">
        <f ca="1">IF((OFFSET($A$1, 376 - 1, 100 - 1)) &gt;= (OFFSET($A$1, 78 - 1, 7 - 1)), "1","0")</f>
        <v>0</v>
      </c>
      <c r="CY376">
        <f ca="1" xml:space="preserve"> IF( AND( OFFSET($A$1, 376 - 1, 101 - 1) = "1", OFFSET($A$1, 376 - 1, 102 - 1) = "1" ), 1, IF( AND( OFFSET($A$1, 376 - 1, 101 - 1) = "1", OFFSET($A$1, 376 - 1, 102 - 1) = "0" ), 2, IF( AND( OFFSET($A$1, 376 - 1, 101 - 1) = "0", OFFSET($A$1, 376 - 1, 102 - 1) = "1" ), 3, 4 ) ) )</f>
        <v>4</v>
      </c>
    </row>
    <row r="377" spans="95:103" ht="13.8" x14ac:dyDescent="0.3">
      <c r="CQ377" s="24">
        <v>2.7316738235011648E-3</v>
      </c>
      <c r="CR377" s="24" t="str">
        <f>"0"</f>
        <v>0</v>
      </c>
      <c r="CS377" t="str">
        <f ca="1">IF((OFFSET($A$1, 377 - 1, 95 - 1)) &gt;= (OFFSET($A$1, 54 - 1, 7 - 1)), "1","0")</f>
        <v>0</v>
      </c>
      <c r="CT377">
        <f ca="1" xml:space="preserve"> IF( AND( OFFSET($A$1, 377 - 1, 96 - 1) = "1", OFFSET($A$1, 377 - 1, 97 - 1) = "1" ), 1, IF( AND( OFFSET($A$1, 377 - 1, 96 - 1) = "1", OFFSET($A$1, 377 - 1, 97 - 1) = "0" ), 2, IF( AND( OFFSET($A$1, 377 - 1, 96 - 1) = "0", OFFSET($A$1, 377 - 1, 97 - 1) = "1" ), 3, 4 ) ) )</f>
        <v>4</v>
      </c>
      <c r="CV377" s="24">
        <v>0.99688058157769144</v>
      </c>
      <c r="CW377" s="24" t="str">
        <f t="shared" ref="CW377:CW387" si="31">"1"</f>
        <v>1</v>
      </c>
      <c r="CX377" t="str">
        <f ca="1">IF((OFFSET($A$1, 377 - 1, 100 - 1)) &gt;= (OFFSET($A$1, 78 - 1, 7 - 1)), "1","0")</f>
        <v>1</v>
      </c>
      <c r="CY377">
        <f ca="1" xml:space="preserve"> IF( AND( OFFSET($A$1, 377 - 1, 101 - 1) = "1", OFFSET($A$1, 377 - 1, 102 - 1) = "1" ), 1, IF( AND( OFFSET($A$1, 377 - 1, 101 - 1) = "1", OFFSET($A$1, 377 - 1, 102 - 1) = "0" ), 2, IF( AND( OFFSET($A$1, 377 - 1, 101 - 1) = "0", OFFSET($A$1, 377 - 1, 102 - 1) = "1" ), 3, 4 ) ) )</f>
        <v>1</v>
      </c>
    </row>
    <row r="378" spans="95:103" ht="13.8" x14ac:dyDescent="0.3">
      <c r="CQ378" s="24">
        <v>0.88424060803640858</v>
      </c>
      <c r="CR378" s="24" t="str">
        <f>"1"</f>
        <v>1</v>
      </c>
      <c r="CS378" t="str">
        <f ca="1">IF((OFFSET($A$1, 378 - 1, 95 - 1)) &gt;= (OFFSET($A$1, 54 - 1, 7 - 1)), "1","0")</f>
        <v>0</v>
      </c>
      <c r="CT378">
        <f ca="1" xml:space="preserve"> IF( AND( OFFSET($A$1, 378 - 1, 96 - 1) = "1", OFFSET($A$1, 378 - 1, 97 - 1) = "1" ), 1, IF( AND( OFFSET($A$1, 378 - 1, 96 - 1) = "1", OFFSET($A$1, 378 - 1, 97 - 1) = "0" ), 2, IF( AND( OFFSET($A$1, 378 - 1, 96 - 1) = "0", OFFSET($A$1, 378 - 1, 97 - 1) = "1" ), 3, 4 ) ) )</f>
        <v>2</v>
      </c>
      <c r="CV378" s="24">
        <v>0.3985339767392414</v>
      </c>
      <c r="CW378" s="24" t="str">
        <f t="shared" si="31"/>
        <v>1</v>
      </c>
      <c r="CX378" t="str">
        <f ca="1">IF((OFFSET($A$1, 378 - 1, 100 - 1)) &gt;= (OFFSET($A$1, 78 - 1, 7 - 1)), "1","0")</f>
        <v>0</v>
      </c>
      <c r="CY378">
        <f ca="1" xml:space="preserve"> IF( AND( OFFSET($A$1, 378 - 1, 101 - 1) = "1", OFFSET($A$1, 378 - 1, 102 - 1) = "1" ), 1, IF( AND( OFFSET($A$1, 378 - 1, 101 - 1) = "1", OFFSET($A$1, 378 - 1, 102 - 1) = "0" ), 2, IF( AND( OFFSET($A$1, 378 - 1, 101 - 1) = "0", OFFSET($A$1, 378 - 1, 102 - 1) = "1" ), 3, 4 ) ) )</f>
        <v>2</v>
      </c>
    </row>
    <row r="379" spans="95:103" ht="13.8" x14ac:dyDescent="0.3">
      <c r="CQ379" s="24">
        <v>0.96716344793203757</v>
      </c>
      <c r="CR379" s="24" t="str">
        <f>"0"</f>
        <v>0</v>
      </c>
      <c r="CS379" t="str">
        <f ca="1">IF((OFFSET($A$1, 379 - 1, 95 - 1)) &gt;= (OFFSET($A$1, 54 - 1, 7 - 1)), "1","0")</f>
        <v>1</v>
      </c>
      <c r="CT379">
        <f ca="1" xml:space="preserve"> IF( AND( OFFSET($A$1, 379 - 1, 96 - 1) = "1", OFFSET($A$1, 379 - 1, 97 - 1) = "1" ), 1, IF( AND( OFFSET($A$1, 379 - 1, 96 - 1) = "1", OFFSET($A$1, 379 - 1, 97 - 1) = "0" ), 2, IF( AND( OFFSET($A$1, 379 - 1, 96 - 1) = "0", OFFSET($A$1, 379 - 1, 97 - 1) = "1" ), 3, 4 ) ) )</f>
        <v>3</v>
      </c>
      <c r="CV379" s="24">
        <v>0.941783877728817</v>
      </c>
      <c r="CW379" s="24" t="str">
        <f t="shared" si="31"/>
        <v>1</v>
      </c>
      <c r="CX379" t="str">
        <f ca="1">IF((OFFSET($A$1, 379 - 1, 100 - 1)) &gt;= (OFFSET($A$1, 78 - 1, 7 - 1)), "1","0")</f>
        <v>1</v>
      </c>
      <c r="CY379">
        <f ca="1" xml:space="preserve"> IF( AND( OFFSET($A$1, 379 - 1, 101 - 1) = "1", OFFSET($A$1, 379 - 1, 102 - 1) = "1" ), 1, IF( AND( OFFSET($A$1, 379 - 1, 101 - 1) = "1", OFFSET($A$1, 379 - 1, 102 - 1) = "0" ), 2, IF( AND( OFFSET($A$1, 379 - 1, 101 - 1) = "0", OFFSET($A$1, 379 - 1, 102 - 1) = "1" ), 3, 4 ) ) )</f>
        <v>1</v>
      </c>
    </row>
    <row r="380" spans="95:103" ht="13.8" x14ac:dyDescent="0.3">
      <c r="CQ380" s="24">
        <v>0.16990418776447883</v>
      </c>
      <c r="CR380" s="24" t="str">
        <f>"0"</f>
        <v>0</v>
      </c>
      <c r="CS380" t="str">
        <f ca="1">IF((OFFSET($A$1, 380 - 1, 95 - 1)) &gt;= (OFFSET($A$1, 54 - 1, 7 - 1)), "1","0")</f>
        <v>0</v>
      </c>
      <c r="CT380">
        <f ca="1" xml:space="preserve"> IF( AND( OFFSET($A$1, 380 - 1, 96 - 1) = "1", OFFSET($A$1, 380 - 1, 97 - 1) = "1" ), 1, IF( AND( OFFSET($A$1, 380 - 1, 96 - 1) = "1", OFFSET($A$1, 380 - 1, 97 - 1) = "0" ), 2, IF( AND( OFFSET($A$1, 380 - 1, 96 - 1) = "0", OFFSET($A$1, 380 - 1, 97 - 1) = "1" ), 3, 4 ) ) )</f>
        <v>4</v>
      </c>
      <c r="CV380" s="24">
        <v>6.6843017544879466E-2</v>
      </c>
      <c r="CW380" s="24" t="str">
        <f t="shared" si="31"/>
        <v>1</v>
      </c>
      <c r="CX380" t="str">
        <f ca="1">IF((OFFSET($A$1, 380 - 1, 100 - 1)) &gt;= (OFFSET($A$1, 78 - 1, 7 - 1)), "1","0")</f>
        <v>0</v>
      </c>
      <c r="CY380">
        <f ca="1" xml:space="preserve"> IF( AND( OFFSET($A$1, 380 - 1, 101 - 1) = "1", OFFSET($A$1, 380 - 1, 102 - 1) = "1" ), 1, IF( AND( OFFSET($A$1, 380 - 1, 101 - 1) = "1", OFFSET($A$1, 380 - 1, 102 - 1) = "0" ), 2, IF( AND( OFFSET($A$1, 380 - 1, 101 - 1) = "0", OFFSET($A$1, 380 - 1, 102 - 1) = "1" ), 3, 4 ) ) )</f>
        <v>2</v>
      </c>
    </row>
    <row r="381" spans="95:103" ht="13.8" x14ac:dyDescent="0.3">
      <c r="CQ381" s="24">
        <v>9.7934063659805365E-2</v>
      </c>
      <c r="CR381" s="24" t="str">
        <f>"0"</f>
        <v>0</v>
      </c>
      <c r="CS381" t="str">
        <f ca="1">IF((OFFSET($A$1, 381 - 1, 95 - 1)) &gt;= (OFFSET($A$1, 54 - 1, 7 - 1)), "1","0")</f>
        <v>0</v>
      </c>
      <c r="CT381">
        <f ca="1" xml:space="preserve"> IF( AND( OFFSET($A$1, 381 - 1, 96 - 1) = "1", OFFSET($A$1, 381 - 1, 97 - 1) = "1" ), 1, IF( AND( OFFSET($A$1, 381 - 1, 96 - 1) = "1", OFFSET($A$1, 381 - 1, 97 - 1) = "0" ), 2, IF( AND( OFFSET($A$1, 381 - 1, 96 - 1) = "0", OFFSET($A$1, 381 - 1, 97 - 1) = "1" ), 3, 4 ) ) )</f>
        <v>4</v>
      </c>
      <c r="CV381" s="24">
        <v>0.99536243296687166</v>
      </c>
      <c r="CW381" s="24" t="str">
        <f t="shared" si="31"/>
        <v>1</v>
      </c>
      <c r="CX381" t="str">
        <f ca="1">IF((OFFSET($A$1, 381 - 1, 100 - 1)) &gt;= (OFFSET($A$1, 78 - 1, 7 - 1)), "1","0")</f>
        <v>1</v>
      </c>
      <c r="CY381">
        <f ca="1" xml:space="preserve"> IF( AND( OFFSET($A$1, 381 - 1, 101 - 1) = "1", OFFSET($A$1, 381 - 1, 102 - 1) = "1" ), 1, IF( AND( OFFSET($A$1, 381 - 1, 101 - 1) = "1", OFFSET($A$1, 381 - 1, 102 - 1) = "0" ), 2, IF( AND( OFFSET($A$1, 381 - 1, 101 - 1) = "0", OFFSET($A$1, 381 - 1, 102 - 1) = "1" ), 3, 4 ) ) )</f>
        <v>1</v>
      </c>
    </row>
    <row r="382" spans="95:103" ht="13.8" x14ac:dyDescent="0.3">
      <c r="CQ382" s="24">
        <v>0.99926980273288835</v>
      </c>
      <c r="CR382" s="24" t="str">
        <f>"1"</f>
        <v>1</v>
      </c>
      <c r="CS382" t="str">
        <f ca="1">IF((OFFSET($A$1, 382 - 1, 95 - 1)) &gt;= (OFFSET($A$1, 54 - 1, 7 - 1)), "1","0")</f>
        <v>1</v>
      </c>
      <c r="CT382">
        <f ca="1" xml:space="preserve"> IF( AND( OFFSET($A$1, 382 - 1, 96 - 1) = "1", OFFSET($A$1, 382 - 1, 97 - 1) = "1" ), 1, IF( AND( OFFSET($A$1, 382 - 1, 96 - 1) = "1", OFFSET($A$1, 382 - 1, 97 - 1) = "0" ), 2, IF( AND( OFFSET($A$1, 382 - 1, 96 - 1) = "0", OFFSET($A$1, 382 - 1, 97 - 1) = "1" ), 3, 4 ) ) )</f>
        <v>1</v>
      </c>
      <c r="CV382" s="24">
        <v>0.74466105459493637</v>
      </c>
      <c r="CW382" s="24" t="str">
        <f t="shared" si="31"/>
        <v>1</v>
      </c>
      <c r="CX382" t="str">
        <f ca="1">IF((OFFSET($A$1, 382 - 1, 100 - 1)) &gt;= (OFFSET($A$1, 78 - 1, 7 - 1)), "1","0")</f>
        <v>0</v>
      </c>
      <c r="CY382">
        <f ca="1" xml:space="preserve"> IF( AND( OFFSET($A$1, 382 - 1, 101 - 1) = "1", OFFSET($A$1, 382 - 1, 102 - 1) = "1" ), 1, IF( AND( OFFSET($A$1, 382 - 1, 101 - 1) = "1", OFFSET($A$1, 382 - 1, 102 - 1) = "0" ), 2, IF( AND( OFFSET($A$1, 382 - 1, 101 - 1) = "0", OFFSET($A$1, 382 - 1, 102 - 1) = "1" ), 3, 4 ) ) )</f>
        <v>2</v>
      </c>
    </row>
    <row r="383" spans="95:103" ht="13.8" x14ac:dyDescent="0.3">
      <c r="CQ383" s="24">
        <v>6.9842341299127406E-2</v>
      </c>
      <c r="CR383" s="24" t="str">
        <f>"0"</f>
        <v>0</v>
      </c>
      <c r="CS383" t="str">
        <f ca="1">IF((OFFSET($A$1, 383 - 1, 95 - 1)) &gt;= (OFFSET($A$1, 54 - 1, 7 - 1)), "1","0")</f>
        <v>0</v>
      </c>
      <c r="CT383">
        <f ca="1" xml:space="preserve"> IF( AND( OFFSET($A$1, 383 - 1, 96 - 1) = "1", OFFSET($A$1, 383 - 1, 97 - 1) = "1" ), 1, IF( AND( OFFSET($A$1, 383 - 1, 96 - 1) = "1", OFFSET($A$1, 383 - 1, 97 - 1) = "0" ), 2, IF( AND( OFFSET($A$1, 383 - 1, 96 - 1) = "0", OFFSET($A$1, 383 - 1, 97 - 1) = "1" ), 3, 4 ) ) )</f>
        <v>4</v>
      </c>
      <c r="CV383" s="24">
        <v>0.99277185838440296</v>
      </c>
      <c r="CW383" s="24" t="str">
        <f t="shared" si="31"/>
        <v>1</v>
      </c>
      <c r="CX383" t="str">
        <f ca="1">IF((OFFSET($A$1, 383 - 1, 100 - 1)) &gt;= (OFFSET($A$1, 78 - 1, 7 - 1)), "1","0")</f>
        <v>1</v>
      </c>
      <c r="CY383">
        <f ca="1" xml:space="preserve"> IF( AND( OFFSET($A$1, 383 - 1, 101 - 1) = "1", OFFSET($A$1, 383 - 1, 102 - 1) = "1" ), 1, IF( AND( OFFSET($A$1, 383 - 1, 101 - 1) = "1", OFFSET($A$1, 383 - 1, 102 - 1) = "0" ), 2, IF( AND( OFFSET($A$1, 383 - 1, 101 - 1) = "0", OFFSET($A$1, 383 - 1, 102 - 1) = "1" ), 3, 4 ) ) )</f>
        <v>1</v>
      </c>
    </row>
    <row r="384" spans="95:103" ht="13.8" x14ac:dyDescent="0.3">
      <c r="CQ384" s="24">
        <v>0.99991491534015564</v>
      </c>
      <c r="CR384" s="24" t="str">
        <f>"1"</f>
        <v>1</v>
      </c>
      <c r="CS384" t="str">
        <f ca="1">IF((OFFSET($A$1, 384 - 1, 95 - 1)) &gt;= (OFFSET($A$1, 54 - 1, 7 - 1)), "1","0")</f>
        <v>1</v>
      </c>
      <c r="CT384">
        <f ca="1" xml:space="preserve"> IF( AND( OFFSET($A$1, 384 - 1, 96 - 1) = "1", OFFSET($A$1, 384 - 1, 97 - 1) = "1" ), 1, IF( AND( OFFSET($A$1, 384 - 1, 96 - 1) = "1", OFFSET($A$1, 384 - 1, 97 - 1) = "0" ), 2, IF( AND( OFFSET($A$1, 384 - 1, 96 - 1) = "0", OFFSET($A$1, 384 - 1, 97 - 1) = "1" ), 3, 4 ) ) )</f>
        <v>1</v>
      </c>
      <c r="CV384" s="24">
        <v>0.93276493774319125</v>
      </c>
      <c r="CW384" s="24" t="str">
        <f t="shared" si="31"/>
        <v>1</v>
      </c>
      <c r="CX384" t="str">
        <f ca="1">IF((OFFSET($A$1, 384 - 1, 100 - 1)) &gt;= (OFFSET($A$1, 78 - 1, 7 - 1)), "1","0")</f>
        <v>1</v>
      </c>
      <c r="CY384">
        <f ca="1" xml:space="preserve"> IF( AND( OFFSET($A$1, 384 - 1, 101 - 1) = "1", OFFSET($A$1, 384 - 1, 102 - 1) = "1" ), 1, IF( AND( OFFSET($A$1, 384 - 1, 101 - 1) = "1", OFFSET($A$1, 384 - 1, 102 - 1) = "0" ), 2, IF( AND( OFFSET($A$1, 384 - 1, 101 - 1) = "0", OFFSET($A$1, 384 - 1, 102 - 1) = "1" ), 3, 4 ) ) )</f>
        <v>1</v>
      </c>
    </row>
    <row r="385" spans="95:103" ht="13.8" x14ac:dyDescent="0.3">
      <c r="CQ385" s="24">
        <v>0.77060380728025146</v>
      </c>
      <c r="CR385" s="24" t="str">
        <f>"1"</f>
        <v>1</v>
      </c>
      <c r="CS385" t="str">
        <f ca="1">IF((OFFSET($A$1, 385 - 1, 95 - 1)) &gt;= (OFFSET($A$1, 54 - 1, 7 - 1)), "1","0")</f>
        <v>0</v>
      </c>
      <c r="CT385">
        <f ca="1" xml:space="preserve"> IF( AND( OFFSET($A$1, 385 - 1, 96 - 1) = "1", OFFSET($A$1, 385 - 1, 97 - 1) = "1" ), 1, IF( AND( OFFSET($A$1, 385 - 1, 96 - 1) = "1", OFFSET($A$1, 385 - 1, 97 - 1) = "0" ), 2, IF( AND( OFFSET($A$1, 385 - 1, 96 - 1) = "0", OFFSET($A$1, 385 - 1, 97 - 1) = "1" ), 3, 4 ) ) )</f>
        <v>2</v>
      </c>
      <c r="CV385" s="24">
        <v>0.85597352558902029</v>
      </c>
      <c r="CW385" s="24" t="str">
        <f t="shared" si="31"/>
        <v>1</v>
      </c>
      <c r="CX385" t="str">
        <f ca="1">IF((OFFSET($A$1, 385 - 1, 100 - 1)) &gt;= (OFFSET($A$1, 78 - 1, 7 - 1)), "1","0")</f>
        <v>0</v>
      </c>
      <c r="CY385">
        <f ca="1" xml:space="preserve"> IF( AND( OFFSET($A$1, 385 - 1, 101 - 1) = "1", OFFSET($A$1, 385 - 1, 102 - 1) = "1" ), 1, IF( AND( OFFSET($A$1, 385 - 1, 101 - 1) = "1", OFFSET($A$1, 385 - 1, 102 - 1) = "0" ), 2, IF( AND( OFFSET($A$1, 385 - 1, 101 - 1) = "0", OFFSET($A$1, 385 - 1, 102 - 1) = "1" ), 3, 4 ) ) )</f>
        <v>2</v>
      </c>
    </row>
    <row r="386" spans="95:103" ht="13.8" x14ac:dyDescent="0.3">
      <c r="CQ386" s="24">
        <v>2.5269105181822109E-3</v>
      </c>
      <c r="CR386" s="24" t="str">
        <f>"0"</f>
        <v>0</v>
      </c>
      <c r="CS386" t="str">
        <f ca="1">IF((OFFSET($A$1, 386 - 1, 95 - 1)) &gt;= (OFFSET($A$1, 54 - 1, 7 - 1)), "1","0")</f>
        <v>0</v>
      </c>
      <c r="CT386">
        <f ca="1" xml:space="preserve"> IF( AND( OFFSET($A$1, 386 - 1, 96 - 1) = "1", OFFSET($A$1, 386 - 1, 97 - 1) = "1" ), 1, IF( AND( OFFSET($A$1, 386 - 1, 96 - 1) = "1", OFFSET($A$1, 386 - 1, 97 - 1) = "0" ), 2, IF( AND( OFFSET($A$1, 386 - 1, 96 - 1) = "0", OFFSET($A$1, 386 - 1, 97 - 1) = "1" ), 3, 4 ) ) )</f>
        <v>4</v>
      </c>
      <c r="CV386" s="24">
        <v>0.59734821535143878</v>
      </c>
      <c r="CW386" s="24" t="str">
        <f t="shared" si="31"/>
        <v>1</v>
      </c>
      <c r="CX386" t="str">
        <f ca="1">IF((OFFSET($A$1, 386 - 1, 100 - 1)) &gt;= (OFFSET($A$1, 78 - 1, 7 - 1)), "1","0")</f>
        <v>0</v>
      </c>
      <c r="CY386">
        <f ca="1" xml:space="preserve"> IF( AND( OFFSET($A$1, 386 - 1, 101 - 1) = "1", OFFSET($A$1, 386 - 1, 102 - 1) = "1" ), 1, IF( AND( OFFSET($A$1, 386 - 1, 101 - 1) = "1", OFFSET($A$1, 386 - 1, 102 - 1) = "0" ), 2, IF( AND( OFFSET($A$1, 386 - 1, 101 - 1) = "0", OFFSET($A$1, 386 - 1, 102 - 1) = "1" ), 3, 4 ) ) )</f>
        <v>2</v>
      </c>
    </row>
    <row r="387" spans="95:103" ht="13.8" x14ac:dyDescent="0.3">
      <c r="CQ387" s="24">
        <v>0.99329480725135788</v>
      </c>
      <c r="CR387" s="24" t="str">
        <f t="shared" ref="CR387:CR392" si="32">"1"</f>
        <v>1</v>
      </c>
      <c r="CS387" t="str">
        <f ca="1">IF((OFFSET($A$1, 387 - 1, 95 - 1)) &gt;= (OFFSET($A$1, 54 - 1, 7 - 1)), "1","0")</f>
        <v>1</v>
      </c>
      <c r="CT387">
        <f ca="1" xml:space="preserve"> IF( AND( OFFSET($A$1, 387 - 1, 96 - 1) = "1", OFFSET($A$1, 387 - 1, 97 - 1) = "1" ), 1, IF( AND( OFFSET($A$1, 387 - 1, 96 - 1) = "1", OFFSET($A$1, 387 - 1, 97 - 1) = "0" ), 2, IF( AND( OFFSET($A$1, 387 - 1, 96 - 1) = "0", OFFSET($A$1, 387 - 1, 97 - 1) = "1" ), 3, 4 ) ) )</f>
        <v>1</v>
      </c>
      <c r="CV387" s="24">
        <v>0.99975581452117979</v>
      </c>
      <c r="CW387" s="24" t="str">
        <f t="shared" si="31"/>
        <v>1</v>
      </c>
      <c r="CX387" t="str">
        <f ca="1">IF((OFFSET($A$1, 387 - 1, 100 - 1)) &gt;= (OFFSET($A$1, 78 - 1, 7 - 1)), "1","0")</f>
        <v>1</v>
      </c>
      <c r="CY387">
        <f ca="1" xml:space="preserve"> IF( AND( OFFSET($A$1, 387 - 1, 101 - 1) = "1", OFFSET($A$1, 387 - 1, 102 - 1) = "1" ), 1, IF( AND( OFFSET($A$1, 387 - 1, 101 - 1) = "1", OFFSET($A$1, 387 - 1, 102 - 1) = "0" ), 2, IF( AND( OFFSET($A$1, 387 - 1, 101 - 1) = "0", OFFSET($A$1, 387 - 1, 102 - 1) = "1" ), 3, 4 ) ) )</f>
        <v>1</v>
      </c>
    </row>
    <row r="388" spans="95:103" ht="13.8" x14ac:dyDescent="0.3">
      <c r="CQ388" s="24">
        <v>0.98648186353226497</v>
      </c>
      <c r="CR388" s="24" t="str">
        <f t="shared" si="32"/>
        <v>1</v>
      </c>
      <c r="CS388" t="str">
        <f ca="1">IF((OFFSET($A$1, 388 - 1, 95 - 1)) &gt;= (OFFSET($A$1, 54 - 1, 7 - 1)), "1","0")</f>
        <v>1</v>
      </c>
      <c r="CT388">
        <f ca="1" xml:space="preserve"> IF( AND( OFFSET($A$1, 388 - 1, 96 - 1) = "1", OFFSET($A$1, 388 - 1, 97 - 1) = "1" ), 1, IF( AND( OFFSET($A$1, 388 - 1, 96 - 1) = "1", OFFSET($A$1, 388 - 1, 97 - 1) = "0" ), 2, IF( AND( OFFSET($A$1, 388 - 1, 96 - 1) = "0", OFFSET($A$1, 388 - 1, 97 - 1) = "1" ), 3, 4 ) ) )</f>
        <v>1</v>
      </c>
      <c r="CV388" s="24">
        <v>4.9259057701733722E-2</v>
      </c>
      <c r="CW388" s="24" t="str">
        <f>"0"</f>
        <v>0</v>
      </c>
      <c r="CX388" t="str">
        <f ca="1">IF((OFFSET($A$1, 388 - 1, 100 - 1)) &gt;= (OFFSET($A$1, 78 - 1, 7 - 1)), "1","0")</f>
        <v>0</v>
      </c>
      <c r="CY388">
        <f ca="1" xml:space="preserve"> IF( AND( OFFSET($A$1, 388 - 1, 101 - 1) = "1", OFFSET($A$1, 388 - 1, 102 - 1) = "1" ), 1, IF( AND( OFFSET($A$1, 388 - 1, 101 - 1) = "1", OFFSET($A$1, 388 - 1, 102 - 1) = "0" ), 2, IF( AND( OFFSET($A$1, 388 - 1, 101 - 1) = "0", OFFSET($A$1, 388 - 1, 102 - 1) = "1" ), 3, 4 ) ) )</f>
        <v>4</v>
      </c>
    </row>
    <row r="389" spans="95:103" ht="13.8" x14ac:dyDescent="0.3">
      <c r="CQ389" s="24">
        <v>0.96295647137147755</v>
      </c>
      <c r="CR389" s="24" t="str">
        <f t="shared" si="32"/>
        <v>1</v>
      </c>
      <c r="CS389" t="str">
        <f ca="1">IF((OFFSET($A$1, 389 - 1, 95 - 1)) &gt;= (OFFSET($A$1, 54 - 1, 7 - 1)), "1","0")</f>
        <v>1</v>
      </c>
      <c r="CT389">
        <f ca="1" xml:space="preserve"> IF( AND( OFFSET($A$1, 389 - 1, 96 - 1) = "1", OFFSET($A$1, 389 - 1, 97 - 1) = "1" ), 1, IF( AND( OFFSET($A$1, 389 - 1, 96 - 1) = "1", OFFSET($A$1, 389 - 1, 97 - 1) = "0" ), 2, IF( AND( OFFSET($A$1, 389 - 1, 96 - 1) = "0", OFFSET($A$1, 389 - 1, 97 - 1) = "1" ), 3, 4 ) ) )</f>
        <v>1</v>
      </c>
      <c r="CV389" s="24">
        <v>0.99998936372052338</v>
      </c>
      <c r="CW389" s="24" t="str">
        <f>"1"</f>
        <v>1</v>
      </c>
      <c r="CX389" t="str">
        <f ca="1">IF((OFFSET($A$1, 389 - 1, 100 - 1)) &gt;= (OFFSET($A$1, 78 - 1, 7 - 1)), "1","0")</f>
        <v>1</v>
      </c>
      <c r="CY389">
        <f ca="1" xml:space="preserve"> IF( AND( OFFSET($A$1, 389 - 1, 101 - 1) = "1", OFFSET($A$1, 389 - 1, 102 - 1) = "1" ), 1, IF( AND( OFFSET($A$1, 389 - 1, 101 - 1) = "1", OFFSET($A$1, 389 - 1, 102 - 1) = "0" ), 2, IF( AND( OFFSET($A$1, 389 - 1, 101 - 1) = "0", OFFSET($A$1, 389 - 1, 102 - 1) = "1" ), 3, 4 ) ) )</f>
        <v>1</v>
      </c>
    </row>
    <row r="390" spans="95:103" ht="13.8" x14ac:dyDescent="0.3">
      <c r="CQ390" s="24">
        <v>0.90014345501388626</v>
      </c>
      <c r="CR390" s="24" t="str">
        <f t="shared" si="32"/>
        <v>1</v>
      </c>
      <c r="CS390" t="str">
        <f ca="1">IF((OFFSET($A$1, 390 - 1, 95 - 1)) &gt;= (OFFSET($A$1, 54 - 1, 7 - 1)), "1","0")</f>
        <v>0</v>
      </c>
      <c r="CT390">
        <f ca="1" xml:space="preserve"> IF( AND( OFFSET($A$1, 390 - 1, 96 - 1) = "1", OFFSET($A$1, 390 - 1, 97 - 1) = "1" ), 1, IF( AND( OFFSET($A$1, 390 - 1, 96 - 1) = "1", OFFSET($A$1, 390 - 1, 97 - 1) = "0" ), 2, IF( AND( OFFSET($A$1, 390 - 1, 96 - 1) = "0", OFFSET($A$1, 390 - 1, 97 - 1) = "1" ), 3, 4 ) ) )</f>
        <v>2</v>
      </c>
      <c r="CV390" s="24">
        <v>4.134093123547132E-2</v>
      </c>
      <c r="CW390" s="24" t="str">
        <f>"0"</f>
        <v>0</v>
      </c>
      <c r="CX390" t="str">
        <f ca="1">IF((OFFSET($A$1, 390 - 1, 100 - 1)) &gt;= (OFFSET($A$1, 78 - 1, 7 - 1)), "1","0")</f>
        <v>0</v>
      </c>
      <c r="CY390">
        <f ca="1" xml:space="preserve"> IF( AND( OFFSET($A$1, 390 - 1, 101 - 1) = "1", OFFSET($A$1, 390 - 1, 102 - 1) = "1" ), 1, IF( AND( OFFSET($A$1, 390 - 1, 101 - 1) = "1", OFFSET($A$1, 390 - 1, 102 - 1) = "0" ), 2, IF( AND( OFFSET($A$1, 390 - 1, 101 - 1) = "0", OFFSET($A$1, 390 - 1, 102 - 1) = "1" ), 3, 4 ) ) )</f>
        <v>4</v>
      </c>
    </row>
    <row r="391" spans="95:103" ht="13.8" x14ac:dyDescent="0.3">
      <c r="CQ391" s="24">
        <v>0.99998325644065489</v>
      </c>
      <c r="CR391" s="24" t="str">
        <f t="shared" si="32"/>
        <v>1</v>
      </c>
      <c r="CS391" t="str">
        <f ca="1">IF((OFFSET($A$1, 391 - 1, 95 - 1)) &gt;= (OFFSET($A$1, 54 - 1, 7 - 1)), "1","0")</f>
        <v>1</v>
      </c>
      <c r="CT391">
        <f ca="1" xml:space="preserve"> IF( AND( OFFSET($A$1, 391 - 1, 96 - 1) = "1", OFFSET($A$1, 391 - 1, 97 - 1) = "1" ), 1, IF( AND( OFFSET($A$1, 391 - 1, 96 - 1) = "1", OFFSET($A$1, 391 - 1, 97 - 1) = "0" ), 2, IF( AND( OFFSET($A$1, 391 - 1, 96 - 1) = "0", OFFSET($A$1, 391 - 1, 97 - 1) = "1" ), 3, 4 ) ) )</f>
        <v>1</v>
      </c>
      <c r="CV391" s="24">
        <v>0.50688181309500235</v>
      </c>
      <c r="CW391" s="24" t="str">
        <f>"1"</f>
        <v>1</v>
      </c>
      <c r="CX391" t="str">
        <f ca="1">IF((OFFSET($A$1, 391 - 1, 100 - 1)) &gt;= (OFFSET($A$1, 78 - 1, 7 - 1)), "1","0")</f>
        <v>0</v>
      </c>
      <c r="CY391">
        <f ca="1" xml:space="preserve"> IF( AND( OFFSET($A$1, 391 - 1, 101 - 1) = "1", OFFSET($A$1, 391 - 1, 102 - 1) = "1" ), 1, IF( AND( OFFSET($A$1, 391 - 1, 101 - 1) = "1", OFFSET($A$1, 391 - 1, 102 - 1) = "0" ), 2, IF( AND( OFFSET($A$1, 391 - 1, 101 - 1) = "0", OFFSET($A$1, 391 - 1, 102 - 1) = "1" ), 3, 4 ) ) )</f>
        <v>2</v>
      </c>
    </row>
    <row r="392" spans="95:103" ht="13.8" x14ac:dyDescent="0.3">
      <c r="CQ392" s="24">
        <v>0.99941816692528673</v>
      </c>
      <c r="CR392" s="24" t="str">
        <f t="shared" si="32"/>
        <v>1</v>
      </c>
      <c r="CS392" t="str">
        <f ca="1">IF((OFFSET($A$1, 392 - 1, 95 - 1)) &gt;= (OFFSET($A$1, 54 - 1, 7 - 1)), "1","0")</f>
        <v>1</v>
      </c>
      <c r="CT392">
        <f ca="1" xml:space="preserve"> IF( AND( OFFSET($A$1, 392 - 1, 96 - 1) = "1", OFFSET($A$1, 392 - 1, 97 - 1) = "1" ), 1, IF( AND( OFFSET($A$1, 392 - 1, 96 - 1) = "1", OFFSET($A$1, 392 - 1, 97 - 1) = "0" ), 2, IF( AND( OFFSET($A$1, 392 - 1, 96 - 1) = "0", OFFSET($A$1, 392 - 1, 97 - 1) = "1" ), 3, 4 ) ) )</f>
        <v>1</v>
      </c>
      <c r="CV392" s="24">
        <v>0.99989874003420398</v>
      </c>
      <c r="CW392" s="24" t="str">
        <f>"1"</f>
        <v>1</v>
      </c>
      <c r="CX392" t="str">
        <f ca="1">IF((OFFSET($A$1, 392 - 1, 100 - 1)) &gt;= (OFFSET($A$1, 78 - 1, 7 - 1)), "1","0")</f>
        <v>1</v>
      </c>
      <c r="CY392">
        <f ca="1" xml:space="preserve"> IF( AND( OFFSET($A$1, 392 - 1, 101 - 1) = "1", OFFSET($A$1, 392 - 1, 102 - 1) = "1" ), 1, IF( AND( OFFSET($A$1, 392 - 1, 101 - 1) = "1", OFFSET($A$1, 392 - 1, 102 - 1) = "0" ), 2, IF( AND( OFFSET($A$1, 392 - 1, 101 - 1) = "0", OFFSET($A$1, 392 - 1, 102 - 1) = "1" ), 3, 4 ) ) )</f>
        <v>1</v>
      </c>
    </row>
    <row r="393" spans="95:103" ht="13.8" x14ac:dyDescent="0.3">
      <c r="CQ393" s="24">
        <v>1.3573346687191894E-3</v>
      </c>
      <c r="CR393" s="24" t="str">
        <f>"0"</f>
        <v>0</v>
      </c>
      <c r="CS393" t="str">
        <f ca="1">IF((OFFSET($A$1, 393 - 1, 95 - 1)) &gt;= (OFFSET($A$1, 54 - 1, 7 - 1)), "1","0")</f>
        <v>0</v>
      </c>
      <c r="CT393">
        <f ca="1" xml:space="preserve"> IF( AND( OFFSET($A$1, 393 - 1, 96 - 1) = "1", OFFSET($A$1, 393 - 1, 97 - 1) = "1" ), 1, IF( AND( OFFSET($A$1, 393 - 1, 96 - 1) = "1", OFFSET($A$1, 393 - 1, 97 - 1) = "0" ), 2, IF( AND( OFFSET($A$1, 393 - 1, 96 - 1) = "0", OFFSET($A$1, 393 - 1, 97 - 1) = "1" ), 3, 4 ) ) )</f>
        <v>4</v>
      </c>
      <c r="CV393" s="24">
        <v>0.99904899781990297</v>
      </c>
      <c r="CW393" s="24" t="str">
        <f>"0"</f>
        <v>0</v>
      </c>
      <c r="CX393" t="str">
        <f ca="1">IF((OFFSET($A$1, 393 - 1, 100 - 1)) &gt;= (OFFSET($A$1, 78 - 1, 7 - 1)), "1","0")</f>
        <v>1</v>
      </c>
      <c r="CY393">
        <f ca="1" xml:space="preserve"> IF( AND( OFFSET($A$1, 393 - 1, 101 - 1) = "1", OFFSET($A$1, 393 - 1, 102 - 1) = "1" ), 1, IF( AND( OFFSET($A$1, 393 - 1, 101 - 1) = "1", OFFSET($A$1, 393 - 1, 102 - 1) = "0" ), 2, IF( AND( OFFSET($A$1, 393 - 1, 101 - 1) = "0", OFFSET($A$1, 393 - 1, 102 - 1) = "1" ), 3, 4 ) ) )</f>
        <v>3</v>
      </c>
    </row>
    <row r="394" spans="95:103" ht="13.8" x14ac:dyDescent="0.3">
      <c r="CQ394" s="24">
        <v>0.99973104948274072</v>
      </c>
      <c r="CR394" s="24" t="str">
        <f>"1"</f>
        <v>1</v>
      </c>
      <c r="CS394" t="str">
        <f ca="1">IF((OFFSET($A$1, 394 - 1, 95 - 1)) &gt;= (OFFSET($A$1, 54 - 1, 7 - 1)), "1","0")</f>
        <v>1</v>
      </c>
      <c r="CT394">
        <f ca="1" xml:space="preserve"> IF( AND( OFFSET($A$1, 394 - 1, 96 - 1) = "1", OFFSET($A$1, 394 - 1, 97 - 1) = "1" ), 1, IF( AND( OFFSET($A$1, 394 - 1, 96 - 1) = "1", OFFSET($A$1, 394 - 1, 97 - 1) = "0" ), 2, IF( AND( OFFSET($A$1, 394 - 1, 96 - 1) = "0", OFFSET($A$1, 394 - 1, 97 - 1) = "1" ), 3, 4 ) ) )</f>
        <v>1</v>
      </c>
      <c r="CV394" s="24">
        <v>0.29737454683299136</v>
      </c>
      <c r="CW394" s="24" t="str">
        <f>"1"</f>
        <v>1</v>
      </c>
      <c r="CX394" t="str">
        <f ca="1">IF((OFFSET($A$1, 394 - 1, 100 - 1)) &gt;= (OFFSET($A$1, 78 - 1, 7 - 1)), "1","0")</f>
        <v>0</v>
      </c>
      <c r="CY394">
        <f ca="1" xml:space="preserve"> IF( AND( OFFSET($A$1, 394 - 1, 101 - 1) = "1", OFFSET($A$1, 394 - 1, 102 - 1) = "1" ), 1, IF( AND( OFFSET($A$1, 394 - 1, 101 - 1) = "1", OFFSET($A$1, 394 - 1, 102 - 1) = "0" ), 2, IF( AND( OFFSET($A$1, 394 - 1, 101 - 1) = "0", OFFSET($A$1, 394 - 1, 102 - 1) = "1" ), 3, 4 ) ) )</f>
        <v>2</v>
      </c>
    </row>
    <row r="395" spans="95:103" ht="13.8" x14ac:dyDescent="0.3">
      <c r="CQ395" s="24">
        <v>0.92975802010341357</v>
      </c>
      <c r="CR395" s="24" t="str">
        <f>"1"</f>
        <v>1</v>
      </c>
      <c r="CS395" t="str">
        <f ca="1">IF((OFFSET($A$1, 395 - 1, 95 - 1)) &gt;= (OFFSET($A$1, 54 - 1, 7 - 1)), "1","0")</f>
        <v>0</v>
      </c>
      <c r="CT395">
        <f ca="1" xml:space="preserve"> IF( AND( OFFSET($A$1, 395 - 1, 96 - 1) = "1", OFFSET($A$1, 395 - 1, 97 - 1) = "1" ), 1, IF( AND( OFFSET($A$1, 395 - 1, 96 - 1) = "1", OFFSET($A$1, 395 - 1, 97 - 1) = "0" ), 2, IF( AND( OFFSET($A$1, 395 - 1, 96 - 1) = "0", OFFSET($A$1, 395 - 1, 97 - 1) = "1" ), 3, 4 ) ) )</f>
        <v>2</v>
      </c>
      <c r="CV395" s="24">
        <v>0.22484777719093862</v>
      </c>
      <c r="CW395" s="24" t="str">
        <f>"0"</f>
        <v>0</v>
      </c>
      <c r="CX395" t="str">
        <f ca="1">IF((OFFSET($A$1, 395 - 1, 100 - 1)) &gt;= (OFFSET($A$1, 78 - 1, 7 - 1)), "1","0")</f>
        <v>0</v>
      </c>
      <c r="CY395">
        <f ca="1" xml:space="preserve"> IF( AND( OFFSET($A$1, 395 - 1, 101 - 1) = "1", OFFSET($A$1, 395 - 1, 102 - 1) = "1" ), 1, IF( AND( OFFSET($A$1, 395 - 1, 101 - 1) = "1", OFFSET($A$1, 395 - 1, 102 - 1) = "0" ), 2, IF( AND( OFFSET($A$1, 395 - 1, 101 - 1) = "0", OFFSET($A$1, 395 - 1, 102 - 1) = "1" ), 3, 4 ) ) )</f>
        <v>4</v>
      </c>
    </row>
    <row r="396" spans="95:103" ht="13.8" x14ac:dyDescent="0.3">
      <c r="CQ396" s="24">
        <v>0.96804090010994159</v>
      </c>
      <c r="CR396" s="24" t="str">
        <f>"0"</f>
        <v>0</v>
      </c>
      <c r="CS396" t="str">
        <f ca="1">IF((OFFSET($A$1, 396 - 1, 95 - 1)) &gt;= (OFFSET($A$1, 54 - 1, 7 - 1)), "1","0")</f>
        <v>1</v>
      </c>
      <c r="CT396">
        <f ca="1" xml:space="preserve"> IF( AND( OFFSET($A$1, 396 - 1, 96 - 1) = "1", OFFSET($A$1, 396 - 1, 97 - 1) = "1" ), 1, IF( AND( OFFSET($A$1, 396 - 1, 96 - 1) = "1", OFFSET($A$1, 396 - 1, 97 - 1) = "0" ), 2, IF( AND( OFFSET($A$1, 396 - 1, 96 - 1) = "0", OFFSET($A$1, 396 - 1, 97 - 1) = "1" ), 3, 4 ) ) )</f>
        <v>3</v>
      </c>
      <c r="CV396" s="24">
        <v>0.99722774994954921</v>
      </c>
      <c r="CW396" s="24" t="str">
        <f>"1"</f>
        <v>1</v>
      </c>
      <c r="CX396" t="str">
        <f ca="1">IF((OFFSET($A$1, 396 - 1, 100 - 1)) &gt;= (OFFSET($A$1, 78 - 1, 7 - 1)), "1","0")</f>
        <v>1</v>
      </c>
      <c r="CY396">
        <f ca="1" xml:space="preserve"> IF( AND( OFFSET($A$1, 396 - 1, 101 - 1) = "1", OFFSET($A$1, 396 - 1, 102 - 1) = "1" ), 1, IF( AND( OFFSET($A$1, 396 - 1, 101 - 1) = "1", OFFSET($A$1, 396 - 1, 102 - 1) = "0" ), 2, IF( AND( OFFSET($A$1, 396 - 1, 101 - 1) = "0", OFFSET($A$1, 396 - 1, 102 - 1) = "1" ), 3, 4 ) ) )</f>
        <v>1</v>
      </c>
    </row>
    <row r="397" spans="95:103" ht="13.8" x14ac:dyDescent="0.3">
      <c r="CQ397" s="24">
        <v>0.88954553074701093</v>
      </c>
      <c r="CR397" s="24" t="str">
        <f>"1"</f>
        <v>1</v>
      </c>
      <c r="CS397" t="str">
        <f ca="1">IF((OFFSET($A$1, 397 - 1, 95 - 1)) &gt;= (OFFSET($A$1, 54 - 1, 7 - 1)), "1","0")</f>
        <v>0</v>
      </c>
      <c r="CT397">
        <f ca="1" xml:space="preserve"> IF( AND( OFFSET($A$1, 397 - 1, 96 - 1) = "1", OFFSET($A$1, 397 - 1, 97 - 1) = "1" ), 1, IF( AND( OFFSET($A$1, 397 - 1, 96 - 1) = "1", OFFSET($A$1, 397 - 1, 97 - 1) = "0" ), 2, IF( AND( OFFSET($A$1, 397 - 1, 96 - 1) = "0", OFFSET($A$1, 397 - 1, 97 - 1) = "1" ), 3, 4 ) ) )</f>
        <v>2</v>
      </c>
      <c r="CV397" s="24">
        <v>0.91719857885442158</v>
      </c>
      <c r="CW397" s="24" t="str">
        <f>"1"</f>
        <v>1</v>
      </c>
      <c r="CX397" t="str">
        <f ca="1">IF((OFFSET($A$1, 397 - 1, 100 - 1)) &gt;= (OFFSET($A$1, 78 - 1, 7 - 1)), "1","0")</f>
        <v>1</v>
      </c>
      <c r="CY397">
        <f ca="1" xml:space="preserve"> IF( AND( OFFSET($A$1, 397 - 1, 101 - 1) = "1", OFFSET($A$1, 397 - 1, 102 - 1) = "1" ), 1, IF( AND( OFFSET($A$1, 397 - 1, 101 - 1) = "1", OFFSET($A$1, 397 - 1, 102 - 1) = "0" ), 2, IF( AND( OFFSET($A$1, 397 - 1, 101 - 1) = "0", OFFSET($A$1, 397 - 1, 102 - 1) = "1" ), 3, 4 ) ) )</f>
        <v>1</v>
      </c>
    </row>
    <row r="398" spans="95:103" ht="13.8" x14ac:dyDescent="0.3">
      <c r="CQ398" s="24">
        <v>4.6209914494511846E-2</v>
      </c>
      <c r="CR398" s="24" t="str">
        <f>"0"</f>
        <v>0</v>
      </c>
      <c r="CS398" t="str">
        <f ca="1">IF((OFFSET($A$1, 398 - 1, 95 - 1)) &gt;= (OFFSET($A$1, 54 - 1, 7 - 1)), "1","0")</f>
        <v>0</v>
      </c>
      <c r="CT398">
        <f ca="1" xml:space="preserve"> IF( AND( OFFSET($A$1, 398 - 1, 96 - 1) = "1", OFFSET($A$1, 398 - 1, 97 - 1) = "1" ), 1, IF( AND( OFFSET($A$1, 398 - 1, 96 - 1) = "1", OFFSET($A$1, 398 - 1, 97 - 1) = "0" ), 2, IF( AND( OFFSET($A$1, 398 - 1, 96 - 1) = "0", OFFSET($A$1, 398 - 1, 97 - 1) = "1" ), 3, 4 ) ) )</f>
        <v>4</v>
      </c>
      <c r="CV398" s="24">
        <v>0.99991908867918544</v>
      </c>
      <c r="CW398" s="24" t="str">
        <f>"1"</f>
        <v>1</v>
      </c>
      <c r="CX398" t="str">
        <f ca="1">IF((OFFSET($A$1, 398 - 1, 100 - 1)) &gt;= (OFFSET($A$1, 78 - 1, 7 - 1)), "1","0")</f>
        <v>1</v>
      </c>
      <c r="CY398">
        <f ca="1" xml:space="preserve"> IF( AND( OFFSET($A$1, 398 - 1, 101 - 1) = "1", OFFSET($A$1, 398 - 1, 102 - 1) = "1" ), 1, IF( AND( OFFSET($A$1, 398 - 1, 101 - 1) = "1", OFFSET($A$1, 398 - 1, 102 - 1) = "0" ), 2, IF( AND( OFFSET($A$1, 398 - 1, 101 - 1) = "0", OFFSET($A$1, 398 - 1, 102 - 1) = "1" ), 3, 4 ) ) )</f>
        <v>1</v>
      </c>
    </row>
    <row r="399" spans="95:103" ht="13.8" x14ac:dyDescent="0.3">
      <c r="CQ399" s="24">
        <v>0.22674494615544882</v>
      </c>
      <c r="CR399" s="24" t="str">
        <f>"0"</f>
        <v>0</v>
      </c>
      <c r="CS399" t="str">
        <f ca="1">IF((OFFSET($A$1, 399 - 1, 95 - 1)) &gt;= (OFFSET($A$1, 54 - 1, 7 - 1)), "1","0")</f>
        <v>0</v>
      </c>
      <c r="CT399">
        <f ca="1" xml:space="preserve"> IF( AND( OFFSET($A$1, 399 - 1, 96 - 1) = "1", OFFSET($A$1, 399 - 1, 97 - 1) = "1" ), 1, IF( AND( OFFSET($A$1, 399 - 1, 96 - 1) = "1", OFFSET($A$1, 399 - 1, 97 - 1) = "0" ), 2, IF( AND( OFFSET($A$1, 399 - 1, 96 - 1) = "0", OFFSET($A$1, 399 - 1, 97 - 1) = "1" ), 3, 4 ) ) )</f>
        <v>4</v>
      </c>
      <c r="CV399" s="24">
        <v>0.9918032071225551</v>
      </c>
      <c r="CW399" s="24" t="str">
        <f>"0"</f>
        <v>0</v>
      </c>
      <c r="CX399" t="str">
        <f ca="1">IF((OFFSET($A$1, 399 - 1, 100 - 1)) &gt;= (OFFSET($A$1, 78 - 1, 7 - 1)), "1","0")</f>
        <v>1</v>
      </c>
      <c r="CY399">
        <f ca="1" xml:space="preserve"> IF( AND( OFFSET($A$1, 399 - 1, 101 - 1) = "1", OFFSET($A$1, 399 - 1, 102 - 1) = "1" ), 1, IF( AND( OFFSET($A$1, 399 - 1, 101 - 1) = "1", OFFSET($A$1, 399 - 1, 102 - 1) = "0" ), 2, IF( AND( OFFSET($A$1, 399 - 1, 101 - 1) = "0", OFFSET($A$1, 399 - 1, 102 - 1) = "1" ), 3, 4 ) ) )</f>
        <v>3</v>
      </c>
    </row>
    <row r="400" spans="95:103" ht="13.8" x14ac:dyDescent="0.3">
      <c r="CQ400" s="24">
        <v>7.5286409804035448E-2</v>
      </c>
      <c r="CR400" s="24" t="str">
        <f>"0"</f>
        <v>0</v>
      </c>
      <c r="CS400" t="str">
        <f ca="1">IF((OFFSET($A$1, 400 - 1, 95 - 1)) &gt;= (OFFSET($A$1, 54 - 1, 7 - 1)), "1","0")</f>
        <v>0</v>
      </c>
      <c r="CT400">
        <f ca="1" xml:space="preserve"> IF( AND( OFFSET($A$1, 400 - 1, 96 - 1) = "1", OFFSET($A$1, 400 - 1, 97 - 1) = "1" ), 1, IF( AND( OFFSET($A$1, 400 - 1, 96 - 1) = "1", OFFSET($A$1, 400 - 1, 97 - 1) = "0" ), 2, IF( AND( OFFSET($A$1, 400 - 1, 96 - 1) = "0", OFFSET($A$1, 400 - 1, 97 - 1) = "1" ), 3, 4 ) ) )</f>
        <v>4</v>
      </c>
      <c r="CV400" s="24">
        <v>0.19068654094081006</v>
      </c>
      <c r="CW400" s="24" t="str">
        <f>"1"</f>
        <v>1</v>
      </c>
      <c r="CX400" t="str">
        <f ca="1">IF((OFFSET($A$1, 400 - 1, 100 - 1)) &gt;= (OFFSET($A$1, 78 - 1, 7 - 1)), "1","0")</f>
        <v>0</v>
      </c>
      <c r="CY400">
        <f ca="1" xml:space="preserve"> IF( AND( OFFSET($A$1, 400 - 1, 101 - 1) = "1", OFFSET($A$1, 400 - 1, 102 - 1) = "1" ), 1, IF( AND( OFFSET($A$1, 400 - 1, 101 - 1) = "1", OFFSET($A$1, 400 - 1, 102 - 1) = "0" ), 2, IF( AND( OFFSET($A$1, 400 - 1, 101 - 1) = "0", OFFSET($A$1, 400 - 1, 102 - 1) = "1" ), 3, 4 ) ) )</f>
        <v>2</v>
      </c>
    </row>
    <row r="401" spans="95:98" ht="13.8" x14ac:dyDescent="0.3">
      <c r="CQ401" s="24">
        <v>0.87567897442493925</v>
      </c>
      <c r="CR401" s="24" t="str">
        <f>"1"</f>
        <v>1</v>
      </c>
      <c r="CS401" t="str">
        <f ca="1">IF((OFFSET($A$1, 401 - 1, 95 - 1)) &gt;= (OFFSET($A$1, 54 - 1, 7 - 1)), "1","0")</f>
        <v>0</v>
      </c>
      <c r="CT401">
        <f ca="1" xml:space="preserve"> IF( AND( OFFSET($A$1, 401 - 1, 96 - 1) = "1", OFFSET($A$1, 401 - 1, 97 - 1) = "1" ), 1, IF( AND( OFFSET($A$1, 401 - 1, 96 - 1) = "1", OFFSET($A$1, 401 - 1, 97 - 1) = "0" ), 2, IF( AND( OFFSET($A$1, 401 - 1, 96 - 1) = "0", OFFSET($A$1, 401 - 1, 97 - 1) = "1" ), 3, 4 ) ) )</f>
        <v>2</v>
      </c>
    </row>
    <row r="402" spans="95:98" ht="13.8" x14ac:dyDescent="0.3">
      <c r="CQ402" s="24">
        <v>0.99871138865125719</v>
      </c>
      <c r="CR402" s="24" t="str">
        <f>"1"</f>
        <v>1</v>
      </c>
      <c r="CS402" t="str">
        <f ca="1">IF((OFFSET($A$1, 402 - 1, 95 - 1)) &gt;= (OFFSET($A$1, 54 - 1, 7 - 1)), "1","0")</f>
        <v>1</v>
      </c>
      <c r="CT402">
        <f ca="1" xml:space="preserve"> IF( AND( OFFSET($A$1, 402 - 1, 96 - 1) = "1", OFFSET($A$1, 402 - 1, 97 - 1) = "1" ), 1, IF( AND( OFFSET($A$1, 402 - 1, 96 - 1) = "1", OFFSET($A$1, 402 - 1, 97 - 1) = "0" ), 2, IF( AND( OFFSET($A$1, 402 - 1, 96 - 1) = "0", OFFSET($A$1, 402 - 1, 97 - 1) = "1" ), 3, 4 ) ) )</f>
        <v>1</v>
      </c>
    </row>
    <row r="403" spans="95:98" ht="13.8" x14ac:dyDescent="0.3">
      <c r="CQ403" s="24">
        <v>0.99798784651427164</v>
      </c>
      <c r="CR403" s="24" t="str">
        <f>"1"</f>
        <v>1</v>
      </c>
      <c r="CS403" t="str">
        <f ca="1">IF((OFFSET($A$1, 403 - 1, 95 - 1)) &gt;= (OFFSET($A$1, 54 - 1, 7 - 1)), "1","0")</f>
        <v>1</v>
      </c>
      <c r="CT403">
        <f ca="1" xml:space="preserve"> IF( AND( OFFSET($A$1, 403 - 1, 96 - 1) = "1", OFFSET($A$1, 403 - 1, 97 - 1) = "1" ), 1, IF( AND( OFFSET($A$1, 403 - 1, 96 - 1) = "1", OFFSET($A$1, 403 - 1, 97 - 1) = "0" ), 2, IF( AND( OFFSET($A$1, 403 - 1, 96 - 1) = "0", OFFSET($A$1, 403 - 1, 97 - 1) = "1" ), 3, 4 ) ) )</f>
        <v>1</v>
      </c>
    </row>
    <row r="404" spans="95:98" ht="13.8" x14ac:dyDescent="0.3">
      <c r="CQ404" s="24">
        <v>0.12793349567265344</v>
      </c>
      <c r="CR404" s="24" t="str">
        <f>"1"</f>
        <v>1</v>
      </c>
      <c r="CS404" t="str">
        <f ca="1">IF((OFFSET($A$1, 404 - 1, 95 - 1)) &gt;= (OFFSET($A$1, 54 - 1, 7 - 1)), "1","0")</f>
        <v>0</v>
      </c>
      <c r="CT404">
        <f ca="1" xml:space="preserve"> IF( AND( OFFSET($A$1, 404 - 1, 96 - 1) = "1", OFFSET($A$1, 404 - 1, 97 - 1) = "1" ), 1, IF( AND( OFFSET($A$1, 404 - 1, 96 - 1) = "1", OFFSET($A$1, 404 - 1, 97 - 1) = "0" ), 2, IF( AND( OFFSET($A$1, 404 - 1, 96 - 1) = "0", OFFSET($A$1, 404 - 1, 97 - 1) = "1" ), 3, 4 ) ) )</f>
        <v>2</v>
      </c>
    </row>
    <row r="405" spans="95:98" ht="13.8" x14ac:dyDescent="0.3">
      <c r="CQ405" s="24">
        <v>0.13883217967162262</v>
      </c>
      <c r="CR405" s="24" t="str">
        <f>"0"</f>
        <v>0</v>
      </c>
      <c r="CS405" t="str">
        <f ca="1">IF((OFFSET($A$1, 405 - 1, 95 - 1)) &gt;= (OFFSET($A$1, 54 - 1, 7 - 1)), "1","0")</f>
        <v>0</v>
      </c>
      <c r="CT405">
        <f ca="1" xml:space="preserve"> IF( AND( OFFSET($A$1, 405 - 1, 96 - 1) = "1", OFFSET($A$1, 405 - 1, 97 - 1) = "1" ), 1, IF( AND( OFFSET($A$1, 405 - 1, 96 - 1) = "1", OFFSET($A$1, 405 - 1, 97 - 1) = "0" ), 2, IF( AND( OFFSET($A$1, 405 - 1, 96 - 1) = "0", OFFSET($A$1, 405 - 1, 97 - 1) = "1" ), 3, 4 ) ) )</f>
        <v>4</v>
      </c>
    </row>
    <row r="406" spans="95:98" ht="13.8" x14ac:dyDescent="0.3">
      <c r="CQ406" s="24">
        <v>0.95237093004481699</v>
      </c>
      <c r="CR406" s="24" t="str">
        <f>"1"</f>
        <v>1</v>
      </c>
      <c r="CS406" t="str">
        <f ca="1">IF((OFFSET($A$1, 406 - 1, 95 - 1)) &gt;= (OFFSET($A$1, 54 - 1, 7 - 1)), "1","0")</f>
        <v>0</v>
      </c>
      <c r="CT406">
        <f ca="1" xml:space="preserve"> IF( AND( OFFSET($A$1, 406 - 1, 96 - 1) = "1", OFFSET($A$1, 406 - 1, 97 - 1) = "1" ), 1, IF( AND( OFFSET($A$1, 406 - 1, 96 - 1) = "1", OFFSET($A$1, 406 - 1, 97 - 1) = "0" ), 2, IF( AND( OFFSET($A$1, 406 - 1, 96 - 1) = "0", OFFSET($A$1, 406 - 1, 97 - 1) = "1" ), 3, 4 ) ) )</f>
        <v>2</v>
      </c>
    </row>
    <row r="407" spans="95:98" ht="13.8" x14ac:dyDescent="0.3">
      <c r="CQ407" s="24">
        <v>0.10421109476961564</v>
      </c>
      <c r="CR407" s="24" t="str">
        <f>"0"</f>
        <v>0</v>
      </c>
      <c r="CS407" t="str">
        <f ca="1">IF((OFFSET($A$1, 407 - 1, 95 - 1)) &gt;= (OFFSET($A$1, 54 - 1, 7 - 1)), "1","0")</f>
        <v>0</v>
      </c>
      <c r="CT407">
        <f ca="1" xml:space="preserve"> IF( AND( OFFSET($A$1, 407 - 1, 96 - 1) = "1", OFFSET($A$1, 407 - 1, 97 - 1) = "1" ), 1, IF( AND( OFFSET($A$1, 407 - 1, 96 - 1) = "1", OFFSET($A$1, 407 - 1, 97 - 1) = "0" ), 2, IF( AND( OFFSET($A$1, 407 - 1, 96 - 1) = "0", OFFSET($A$1, 407 - 1, 97 - 1) = "1" ), 3, 4 ) ) )</f>
        <v>4</v>
      </c>
    </row>
    <row r="408" spans="95:98" ht="13.8" x14ac:dyDescent="0.3">
      <c r="CQ408" s="24">
        <v>7.8786366621701159E-2</v>
      </c>
      <c r="CR408" s="24" t="str">
        <f>"0"</f>
        <v>0</v>
      </c>
      <c r="CS408" t="str">
        <f ca="1">IF((OFFSET($A$1, 408 - 1, 95 - 1)) &gt;= (OFFSET($A$1, 54 - 1, 7 - 1)), "1","0")</f>
        <v>0</v>
      </c>
      <c r="CT408">
        <f ca="1" xml:space="preserve"> IF( AND( OFFSET($A$1, 408 - 1, 96 - 1) = "1", OFFSET($A$1, 408 - 1, 97 - 1) = "1" ), 1, IF( AND( OFFSET($A$1, 408 - 1, 96 - 1) = "1", OFFSET($A$1, 408 - 1, 97 - 1) = "0" ), 2, IF( AND( OFFSET($A$1, 408 - 1, 96 - 1) = "0", OFFSET($A$1, 408 - 1, 97 - 1) = "1" ), 3, 4 ) ) )</f>
        <v>4</v>
      </c>
    </row>
    <row r="409" spans="95:98" ht="13.8" x14ac:dyDescent="0.3">
      <c r="CQ409" s="24">
        <v>0.99432542879248731</v>
      </c>
      <c r="CR409" s="24" t="str">
        <f>"1"</f>
        <v>1</v>
      </c>
      <c r="CS409" t="str">
        <f ca="1">IF((OFFSET($A$1, 409 - 1, 95 - 1)) &gt;= (OFFSET($A$1, 54 - 1, 7 - 1)), "1","0")</f>
        <v>1</v>
      </c>
      <c r="CT409">
        <f ca="1" xml:space="preserve"> IF( AND( OFFSET($A$1, 409 - 1, 96 - 1) = "1", OFFSET($A$1, 409 - 1, 97 - 1) = "1" ), 1, IF( AND( OFFSET($A$1, 409 - 1, 96 - 1) = "1", OFFSET($A$1, 409 - 1, 97 - 1) = "0" ), 2, IF( AND( OFFSET($A$1, 409 - 1, 96 - 1) = "0", OFFSET($A$1, 409 - 1, 97 - 1) = "1" ), 3, 4 ) ) )</f>
        <v>1</v>
      </c>
    </row>
    <row r="410" spans="95:98" ht="13.8" x14ac:dyDescent="0.3">
      <c r="CQ410" s="24">
        <v>0.21542722419883462</v>
      </c>
      <c r="CR410" s="24" t="str">
        <f>"0"</f>
        <v>0</v>
      </c>
      <c r="CS410" t="str">
        <f ca="1">IF((OFFSET($A$1, 410 - 1, 95 - 1)) &gt;= (OFFSET($A$1, 54 - 1, 7 - 1)), "1","0")</f>
        <v>0</v>
      </c>
      <c r="CT410">
        <f ca="1" xml:space="preserve"> IF( AND( OFFSET($A$1, 410 - 1, 96 - 1) = "1", OFFSET($A$1, 410 - 1, 97 - 1) = "1" ), 1, IF( AND( OFFSET($A$1, 410 - 1, 96 - 1) = "1", OFFSET($A$1, 410 - 1, 97 - 1) = "0" ), 2, IF( AND( OFFSET($A$1, 410 - 1, 96 - 1) = "0", OFFSET($A$1, 410 - 1, 97 - 1) = "1" ), 3, 4 ) ) )</f>
        <v>4</v>
      </c>
    </row>
    <row r="411" spans="95:98" ht="13.8" x14ac:dyDescent="0.3">
      <c r="CQ411" s="24">
        <v>0.96925852176276128</v>
      </c>
      <c r="CR411" s="24" t="str">
        <f>"1"</f>
        <v>1</v>
      </c>
      <c r="CS411" t="str">
        <f ca="1">IF((OFFSET($A$1, 411 - 1, 95 - 1)) &gt;= (OFFSET($A$1, 54 - 1, 7 - 1)), "1","0")</f>
        <v>1</v>
      </c>
      <c r="CT411">
        <f ca="1" xml:space="preserve"> IF( AND( OFFSET($A$1, 411 - 1, 96 - 1) = "1", OFFSET($A$1, 411 - 1, 97 - 1) = "1" ), 1, IF( AND( OFFSET($A$1, 411 - 1, 96 - 1) = "1", OFFSET($A$1, 411 - 1, 97 - 1) = "0" ), 2, IF( AND( OFFSET($A$1, 411 - 1, 96 - 1) = "0", OFFSET($A$1, 411 - 1, 97 - 1) = "1" ), 3, 4 ) ) )</f>
        <v>1</v>
      </c>
    </row>
    <row r="412" spans="95:98" ht="13.8" x14ac:dyDescent="0.3">
      <c r="CQ412" s="24">
        <v>0.97819769467266104</v>
      </c>
      <c r="CR412" s="24" t="str">
        <f>"1"</f>
        <v>1</v>
      </c>
      <c r="CS412" t="str">
        <f ca="1">IF((OFFSET($A$1, 412 - 1, 95 - 1)) &gt;= (OFFSET($A$1, 54 - 1, 7 - 1)), "1","0")</f>
        <v>1</v>
      </c>
      <c r="CT412">
        <f ca="1" xml:space="preserve"> IF( AND( OFFSET($A$1, 412 - 1, 96 - 1) = "1", OFFSET($A$1, 412 - 1, 97 - 1) = "1" ), 1, IF( AND( OFFSET($A$1, 412 - 1, 96 - 1) = "1", OFFSET($A$1, 412 - 1, 97 - 1) = "0" ), 2, IF( AND( OFFSET($A$1, 412 - 1, 96 - 1) = "0", OFFSET($A$1, 412 - 1, 97 - 1) = "1" ), 3, 4 ) ) )</f>
        <v>1</v>
      </c>
    </row>
    <row r="413" spans="95:98" ht="13.8" x14ac:dyDescent="0.3">
      <c r="CQ413" s="24">
        <v>3.2367126916984588E-2</v>
      </c>
      <c r="CR413" s="24" t="str">
        <f>"0"</f>
        <v>0</v>
      </c>
      <c r="CS413" t="str">
        <f ca="1">IF((OFFSET($A$1, 413 - 1, 95 - 1)) &gt;= (OFFSET($A$1, 54 - 1, 7 - 1)), "1","0")</f>
        <v>0</v>
      </c>
      <c r="CT413">
        <f ca="1" xml:space="preserve"> IF( AND( OFFSET($A$1, 413 - 1, 96 - 1) = "1", OFFSET($A$1, 413 - 1, 97 - 1) = "1" ), 1, IF( AND( OFFSET($A$1, 413 - 1, 96 - 1) = "1", OFFSET($A$1, 413 - 1, 97 - 1) = "0" ), 2, IF( AND( OFFSET($A$1, 413 - 1, 96 - 1) = "0", OFFSET($A$1, 413 - 1, 97 - 1) = "1" ), 3, 4 ) ) )</f>
        <v>4</v>
      </c>
    </row>
    <row r="414" spans="95:98" ht="13.8" x14ac:dyDescent="0.3">
      <c r="CQ414" s="24">
        <v>0.96407867678492509</v>
      </c>
      <c r="CR414" s="24" t="str">
        <f>"1"</f>
        <v>1</v>
      </c>
      <c r="CS414" t="str">
        <f ca="1">IF((OFFSET($A$1, 414 - 1, 95 - 1)) &gt;= (OFFSET($A$1, 54 - 1, 7 - 1)), "1","0")</f>
        <v>1</v>
      </c>
      <c r="CT414">
        <f ca="1" xml:space="preserve"> IF( AND( OFFSET($A$1, 414 - 1, 96 - 1) = "1", OFFSET($A$1, 414 - 1, 97 - 1) = "1" ), 1, IF( AND( OFFSET($A$1, 414 - 1, 96 - 1) = "1", OFFSET($A$1, 414 - 1, 97 - 1) = "0" ), 2, IF( AND( OFFSET($A$1, 414 - 1, 96 - 1) = "0", OFFSET($A$1, 414 - 1, 97 - 1) = "1" ), 3, 4 ) ) )</f>
        <v>1</v>
      </c>
    </row>
    <row r="415" spans="95:98" ht="13.8" x14ac:dyDescent="0.3">
      <c r="CQ415" s="24">
        <v>0.10301725503327147</v>
      </c>
      <c r="CR415" s="24" t="str">
        <f>"0"</f>
        <v>0</v>
      </c>
      <c r="CS415" t="str">
        <f ca="1">IF((OFFSET($A$1, 415 - 1, 95 - 1)) &gt;= (OFFSET($A$1, 54 - 1, 7 - 1)), "1","0")</f>
        <v>0</v>
      </c>
      <c r="CT415">
        <f ca="1" xml:space="preserve"> IF( AND( OFFSET($A$1, 415 - 1, 96 - 1) = "1", OFFSET($A$1, 415 - 1, 97 - 1) = "1" ), 1, IF( AND( OFFSET($A$1, 415 - 1, 96 - 1) = "1", OFFSET($A$1, 415 - 1, 97 - 1) = "0" ), 2, IF( AND( OFFSET($A$1, 415 - 1, 96 - 1) = "0", OFFSET($A$1, 415 - 1, 97 - 1) = "1" ), 3, 4 ) ) )</f>
        <v>4</v>
      </c>
    </row>
    <row r="416" spans="95:98" ht="13.8" x14ac:dyDescent="0.3">
      <c r="CQ416" s="24">
        <v>0.96541602453044362</v>
      </c>
      <c r="CR416" s="24" t="str">
        <f>"1"</f>
        <v>1</v>
      </c>
      <c r="CS416" t="str">
        <f ca="1">IF((OFFSET($A$1, 416 - 1, 95 - 1)) &gt;= (OFFSET($A$1, 54 - 1, 7 - 1)), "1","0")</f>
        <v>1</v>
      </c>
      <c r="CT416">
        <f ca="1" xml:space="preserve"> IF( AND( OFFSET($A$1, 416 - 1, 96 - 1) = "1", OFFSET($A$1, 416 - 1, 97 - 1) = "1" ), 1, IF( AND( OFFSET($A$1, 416 - 1, 96 - 1) = "1", OFFSET($A$1, 416 - 1, 97 - 1) = "0" ), 2, IF( AND( OFFSET($A$1, 416 - 1, 96 - 1) = "0", OFFSET($A$1, 416 - 1, 97 - 1) = "1" ), 3, 4 ) ) )</f>
        <v>1</v>
      </c>
    </row>
    <row r="417" spans="95:98" ht="13.8" x14ac:dyDescent="0.3">
      <c r="CQ417" s="24">
        <v>0.99308441085837362</v>
      </c>
      <c r="CR417" s="24" t="str">
        <f>"1"</f>
        <v>1</v>
      </c>
      <c r="CS417" t="str">
        <f ca="1">IF((OFFSET($A$1, 417 - 1, 95 - 1)) &gt;= (OFFSET($A$1, 54 - 1, 7 - 1)), "1","0")</f>
        <v>1</v>
      </c>
      <c r="CT417">
        <f ca="1" xml:space="preserve"> IF( AND( OFFSET($A$1, 417 - 1, 96 - 1) = "1", OFFSET($A$1, 417 - 1, 97 - 1) = "1" ), 1, IF( AND( OFFSET($A$1, 417 - 1, 96 - 1) = "1", OFFSET($A$1, 417 - 1, 97 - 1) = "0" ), 2, IF( AND( OFFSET($A$1, 417 - 1, 96 - 1) = "0", OFFSET($A$1, 417 - 1, 97 - 1) = "1" ), 3, 4 ) ) )</f>
        <v>1</v>
      </c>
    </row>
    <row r="418" spans="95:98" ht="13.8" x14ac:dyDescent="0.3">
      <c r="CQ418" s="24">
        <v>0.90137625251239928</v>
      </c>
      <c r="CR418" s="24" t="str">
        <f>"1"</f>
        <v>1</v>
      </c>
      <c r="CS418" t="str">
        <f ca="1">IF((OFFSET($A$1, 418 - 1, 95 - 1)) &gt;= (OFFSET($A$1, 54 - 1, 7 - 1)), "1","0")</f>
        <v>0</v>
      </c>
      <c r="CT418">
        <f ca="1" xml:space="preserve"> IF( AND( OFFSET($A$1, 418 - 1, 96 - 1) = "1", OFFSET($A$1, 418 - 1, 97 - 1) = "1" ), 1, IF( AND( OFFSET($A$1, 418 - 1, 96 - 1) = "1", OFFSET($A$1, 418 - 1, 97 - 1) = "0" ), 2, IF( AND( OFFSET($A$1, 418 - 1, 96 - 1) = "0", OFFSET($A$1, 418 - 1, 97 - 1) = "1" ), 3, 4 ) ) )</f>
        <v>2</v>
      </c>
    </row>
    <row r="419" spans="95:98" ht="13.8" x14ac:dyDescent="0.3">
      <c r="CQ419" s="24">
        <v>0.98965010935979403</v>
      </c>
      <c r="CR419" s="24" t="str">
        <f>"1"</f>
        <v>1</v>
      </c>
      <c r="CS419" t="str">
        <f ca="1">IF((OFFSET($A$1, 419 - 1, 95 - 1)) &gt;= (OFFSET($A$1, 54 - 1, 7 - 1)), "1","0")</f>
        <v>1</v>
      </c>
      <c r="CT419">
        <f ca="1" xml:space="preserve"> IF( AND( OFFSET($A$1, 419 - 1, 96 - 1) = "1", OFFSET($A$1, 419 - 1, 97 - 1) = "1" ), 1, IF( AND( OFFSET($A$1, 419 - 1, 96 - 1) = "1", OFFSET($A$1, 419 - 1, 97 - 1) = "0" ), 2, IF( AND( OFFSET($A$1, 419 - 1, 96 - 1) = "0", OFFSET($A$1, 419 - 1, 97 - 1) = "1" ), 3, 4 ) ) )</f>
        <v>1</v>
      </c>
    </row>
    <row r="420" spans="95:98" ht="13.8" x14ac:dyDescent="0.3">
      <c r="CQ420" s="24">
        <v>0.11084756979250304</v>
      </c>
      <c r="CR420" s="24" t="str">
        <f>"0"</f>
        <v>0</v>
      </c>
      <c r="CS420" t="str">
        <f ca="1">IF((OFFSET($A$1, 420 - 1, 95 - 1)) &gt;= (OFFSET($A$1, 54 - 1, 7 - 1)), "1","0")</f>
        <v>0</v>
      </c>
      <c r="CT420">
        <f ca="1" xml:space="preserve"> IF( AND( OFFSET($A$1, 420 - 1, 96 - 1) = "1", OFFSET($A$1, 420 - 1, 97 - 1) = "1" ), 1, IF( AND( OFFSET($A$1, 420 - 1, 96 - 1) = "1", OFFSET($A$1, 420 - 1, 97 - 1) = "0" ), 2, IF( AND( OFFSET($A$1, 420 - 1, 96 - 1) = "0", OFFSET($A$1, 420 - 1, 97 - 1) = "1" ), 3, 4 ) ) )</f>
        <v>4</v>
      </c>
    </row>
    <row r="421" spans="95:98" ht="13.8" x14ac:dyDescent="0.3">
      <c r="CQ421" s="24">
        <v>1.0349593588895218E-2</v>
      </c>
      <c r="CR421" s="24" t="str">
        <f>"0"</f>
        <v>0</v>
      </c>
      <c r="CS421" t="str">
        <f ca="1">IF((OFFSET($A$1, 421 - 1, 95 - 1)) &gt;= (OFFSET($A$1, 54 - 1, 7 - 1)), "1","0")</f>
        <v>0</v>
      </c>
      <c r="CT421">
        <f ca="1" xml:space="preserve"> IF( AND( OFFSET($A$1, 421 - 1, 96 - 1) = "1", OFFSET($A$1, 421 - 1, 97 - 1) = "1" ), 1, IF( AND( OFFSET($A$1, 421 - 1, 96 - 1) = "1", OFFSET($A$1, 421 - 1, 97 - 1) = "0" ), 2, IF( AND( OFFSET($A$1, 421 - 1, 96 - 1) = "0", OFFSET($A$1, 421 - 1, 97 - 1) = "1" ), 3, 4 ) ) )</f>
        <v>4</v>
      </c>
    </row>
    <row r="422" spans="95:98" ht="13.8" x14ac:dyDescent="0.3">
      <c r="CQ422" s="24">
        <v>0.9380417424584151</v>
      </c>
      <c r="CR422" s="24" t="str">
        <f>"1"</f>
        <v>1</v>
      </c>
      <c r="CS422" t="str">
        <f ca="1">IF((OFFSET($A$1, 422 - 1, 95 - 1)) &gt;= (OFFSET($A$1, 54 - 1, 7 - 1)), "1","0")</f>
        <v>0</v>
      </c>
      <c r="CT422">
        <f ca="1" xml:space="preserve"> IF( AND( OFFSET($A$1, 422 - 1, 96 - 1) = "1", OFFSET($A$1, 422 - 1, 97 - 1) = "1" ), 1, IF( AND( OFFSET($A$1, 422 - 1, 96 - 1) = "1", OFFSET($A$1, 422 - 1, 97 - 1) = "0" ), 2, IF( AND( OFFSET($A$1, 422 - 1, 96 - 1) = "0", OFFSET($A$1, 422 - 1, 97 - 1) = "1" ), 3, 4 ) ) )</f>
        <v>2</v>
      </c>
    </row>
    <row r="423" spans="95:98" ht="13.8" x14ac:dyDescent="0.3">
      <c r="CQ423" s="24">
        <v>0.99227900873319175</v>
      </c>
      <c r="CR423" s="24" t="str">
        <f>"1"</f>
        <v>1</v>
      </c>
      <c r="CS423" t="str">
        <f ca="1">IF((OFFSET($A$1, 423 - 1, 95 - 1)) &gt;= (OFFSET($A$1, 54 - 1, 7 - 1)), "1","0")</f>
        <v>1</v>
      </c>
      <c r="CT423">
        <f ca="1" xml:space="preserve"> IF( AND( OFFSET($A$1, 423 - 1, 96 - 1) = "1", OFFSET($A$1, 423 - 1, 97 - 1) = "1" ), 1, IF( AND( OFFSET($A$1, 423 - 1, 96 - 1) = "1", OFFSET($A$1, 423 - 1, 97 - 1) = "0" ), 2, IF( AND( OFFSET($A$1, 423 - 1, 96 - 1) = "0", OFFSET($A$1, 423 - 1, 97 - 1) = "1" ), 3, 4 ) ) )</f>
        <v>1</v>
      </c>
    </row>
    <row r="424" spans="95:98" ht="13.8" x14ac:dyDescent="0.3">
      <c r="CQ424" s="24">
        <v>7.9209735434255489E-3</v>
      </c>
      <c r="CR424" s="24" t="str">
        <f>"0"</f>
        <v>0</v>
      </c>
      <c r="CS424" t="str">
        <f ca="1">IF((OFFSET($A$1, 424 - 1, 95 - 1)) &gt;= (OFFSET($A$1, 54 - 1, 7 - 1)), "1","0")</f>
        <v>0</v>
      </c>
      <c r="CT424">
        <f ca="1" xml:space="preserve"> IF( AND( OFFSET($A$1, 424 - 1, 96 - 1) = "1", OFFSET($A$1, 424 - 1, 97 - 1) = "1" ), 1, IF( AND( OFFSET($A$1, 424 - 1, 96 - 1) = "1", OFFSET($A$1, 424 - 1, 97 - 1) = "0" ), 2, IF( AND( OFFSET($A$1, 424 - 1, 96 - 1) = "0", OFFSET($A$1, 424 - 1, 97 - 1) = "1" ), 3, 4 ) ) )</f>
        <v>4</v>
      </c>
    </row>
    <row r="425" spans="95:98" ht="13.8" x14ac:dyDescent="0.3">
      <c r="CQ425" s="24">
        <v>0.99962966860666447</v>
      </c>
      <c r="CR425" s="24" t="str">
        <f>"1"</f>
        <v>1</v>
      </c>
      <c r="CS425" t="str">
        <f ca="1">IF((OFFSET($A$1, 425 - 1, 95 - 1)) &gt;= (OFFSET($A$1, 54 - 1, 7 - 1)), "1","0")</f>
        <v>1</v>
      </c>
      <c r="CT425">
        <f ca="1" xml:space="preserve"> IF( AND( OFFSET($A$1, 425 - 1, 96 - 1) = "1", OFFSET($A$1, 425 - 1, 97 - 1) = "1" ), 1, IF( AND( OFFSET($A$1, 425 - 1, 96 - 1) = "1", OFFSET($A$1, 425 - 1, 97 - 1) = "0" ), 2, IF( AND( OFFSET($A$1, 425 - 1, 96 - 1) = "0", OFFSET($A$1, 425 - 1, 97 - 1) = "1" ), 3, 4 ) ) )</f>
        <v>1</v>
      </c>
    </row>
    <row r="426" spans="95:98" ht="13.8" x14ac:dyDescent="0.3">
      <c r="CQ426" s="24">
        <v>0.99945671203886688</v>
      </c>
      <c r="CR426" s="24" t="str">
        <f>"1"</f>
        <v>1</v>
      </c>
      <c r="CS426" t="str">
        <f ca="1">IF((OFFSET($A$1, 426 - 1, 95 - 1)) &gt;= (OFFSET($A$1, 54 - 1, 7 - 1)), "1","0")</f>
        <v>1</v>
      </c>
      <c r="CT426">
        <f ca="1" xml:space="preserve"> IF( AND( OFFSET($A$1, 426 - 1, 96 - 1) = "1", OFFSET($A$1, 426 - 1, 97 - 1) = "1" ), 1, IF( AND( OFFSET($A$1, 426 - 1, 96 - 1) = "1", OFFSET($A$1, 426 - 1, 97 - 1) = "0" ), 2, IF( AND( OFFSET($A$1, 426 - 1, 96 - 1) = "0", OFFSET($A$1, 426 - 1, 97 - 1) = "1" ), 3, 4 ) ) )</f>
        <v>1</v>
      </c>
    </row>
    <row r="427" spans="95:98" ht="13.8" x14ac:dyDescent="0.3">
      <c r="CQ427" s="24">
        <v>0.1463803985241646</v>
      </c>
      <c r="CR427" s="24" t="str">
        <f>"0"</f>
        <v>0</v>
      </c>
      <c r="CS427" t="str">
        <f ca="1">IF((OFFSET($A$1, 427 - 1, 95 - 1)) &gt;= (OFFSET($A$1, 54 - 1, 7 - 1)), "1","0")</f>
        <v>0</v>
      </c>
      <c r="CT427">
        <f ca="1" xml:space="preserve"> IF( AND( OFFSET($A$1, 427 - 1, 96 - 1) = "1", OFFSET($A$1, 427 - 1, 97 - 1) = "1" ), 1, IF( AND( OFFSET($A$1, 427 - 1, 96 - 1) = "1", OFFSET($A$1, 427 - 1, 97 - 1) = "0" ), 2, IF( AND( OFFSET($A$1, 427 - 1, 96 - 1) = "0", OFFSET($A$1, 427 - 1, 97 - 1) = "1" ), 3, 4 ) ) )</f>
        <v>4</v>
      </c>
    </row>
    <row r="428" spans="95:98" ht="13.8" x14ac:dyDescent="0.3">
      <c r="CQ428" s="24">
        <v>0.94447103341065486</v>
      </c>
      <c r="CR428" s="24" t="str">
        <f t="shared" ref="CR428:CR444" si="33">"1"</f>
        <v>1</v>
      </c>
      <c r="CS428" t="str">
        <f ca="1">IF((OFFSET($A$1, 428 - 1, 95 - 1)) &gt;= (OFFSET($A$1, 54 - 1, 7 - 1)), "1","0")</f>
        <v>0</v>
      </c>
      <c r="CT428">
        <f ca="1" xml:space="preserve"> IF( AND( OFFSET($A$1, 428 - 1, 96 - 1) = "1", OFFSET($A$1, 428 - 1, 97 - 1) = "1" ), 1, IF( AND( OFFSET($A$1, 428 - 1, 96 - 1) = "1", OFFSET($A$1, 428 - 1, 97 - 1) = "0" ), 2, IF( AND( OFFSET($A$1, 428 - 1, 96 - 1) = "0", OFFSET($A$1, 428 - 1, 97 - 1) = "1" ), 3, 4 ) ) )</f>
        <v>2</v>
      </c>
    </row>
    <row r="429" spans="95:98" ht="13.8" x14ac:dyDescent="0.3">
      <c r="CQ429" s="24">
        <v>0.87474669039330677</v>
      </c>
      <c r="CR429" s="24" t="str">
        <f t="shared" si="33"/>
        <v>1</v>
      </c>
      <c r="CS429" t="str">
        <f ca="1">IF((OFFSET($A$1, 429 - 1, 95 - 1)) &gt;= (OFFSET($A$1, 54 - 1, 7 - 1)), "1","0")</f>
        <v>0</v>
      </c>
      <c r="CT429">
        <f ca="1" xml:space="preserve"> IF( AND( OFFSET($A$1, 429 - 1, 96 - 1) = "1", OFFSET($A$1, 429 - 1, 97 - 1) = "1" ), 1, IF( AND( OFFSET($A$1, 429 - 1, 96 - 1) = "1", OFFSET($A$1, 429 - 1, 97 - 1) = "0" ), 2, IF( AND( OFFSET($A$1, 429 - 1, 96 - 1) = "0", OFFSET($A$1, 429 - 1, 97 - 1) = "1" ), 3, 4 ) ) )</f>
        <v>2</v>
      </c>
    </row>
    <row r="430" spans="95:98" ht="13.8" x14ac:dyDescent="0.3">
      <c r="CQ430" s="24">
        <v>0.99387519726697304</v>
      </c>
      <c r="CR430" s="24" t="str">
        <f t="shared" si="33"/>
        <v>1</v>
      </c>
      <c r="CS430" t="str">
        <f ca="1">IF((OFFSET($A$1, 430 - 1, 95 - 1)) &gt;= (OFFSET($A$1, 54 - 1, 7 - 1)), "1","0")</f>
        <v>1</v>
      </c>
      <c r="CT430">
        <f ca="1" xml:space="preserve"> IF( AND( OFFSET($A$1, 430 - 1, 96 - 1) = "1", OFFSET($A$1, 430 - 1, 97 - 1) = "1" ), 1, IF( AND( OFFSET($A$1, 430 - 1, 96 - 1) = "1", OFFSET($A$1, 430 - 1, 97 - 1) = "0" ), 2, IF( AND( OFFSET($A$1, 430 - 1, 96 - 1) = "0", OFFSET($A$1, 430 - 1, 97 - 1) = "1" ), 3, 4 ) ) )</f>
        <v>1</v>
      </c>
    </row>
    <row r="431" spans="95:98" ht="13.8" x14ac:dyDescent="0.3">
      <c r="CQ431" s="24">
        <v>0.92223494583185872</v>
      </c>
      <c r="CR431" s="24" t="str">
        <f t="shared" si="33"/>
        <v>1</v>
      </c>
      <c r="CS431" t="str">
        <f ca="1">IF((OFFSET($A$1, 431 - 1, 95 - 1)) &gt;= (OFFSET($A$1, 54 - 1, 7 - 1)), "1","0")</f>
        <v>0</v>
      </c>
      <c r="CT431">
        <f ca="1" xml:space="preserve"> IF( AND( OFFSET($A$1, 431 - 1, 96 - 1) = "1", OFFSET($A$1, 431 - 1, 97 - 1) = "1" ), 1, IF( AND( OFFSET($A$1, 431 - 1, 96 - 1) = "1", OFFSET($A$1, 431 - 1, 97 - 1) = "0" ), 2, IF( AND( OFFSET($A$1, 431 - 1, 96 - 1) = "0", OFFSET($A$1, 431 - 1, 97 - 1) = "1" ), 3, 4 ) ) )</f>
        <v>2</v>
      </c>
    </row>
    <row r="432" spans="95:98" ht="13.8" x14ac:dyDescent="0.3">
      <c r="CQ432" s="24">
        <v>0.99706085678495715</v>
      </c>
      <c r="CR432" s="24" t="str">
        <f t="shared" si="33"/>
        <v>1</v>
      </c>
      <c r="CS432" t="str">
        <f ca="1">IF((OFFSET($A$1, 432 - 1, 95 - 1)) &gt;= (OFFSET($A$1, 54 - 1, 7 - 1)), "1","0")</f>
        <v>1</v>
      </c>
      <c r="CT432">
        <f ca="1" xml:space="preserve"> IF( AND( OFFSET($A$1, 432 - 1, 96 - 1) = "1", OFFSET($A$1, 432 - 1, 97 - 1) = "1" ), 1, IF( AND( OFFSET($A$1, 432 - 1, 96 - 1) = "1", OFFSET($A$1, 432 - 1, 97 - 1) = "0" ), 2, IF( AND( OFFSET($A$1, 432 - 1, 96 - 1) = "0", OFFSET($A$1, 432 - 1, 97 - 1) = "1" ), 3, 4 ) ) )</f>
        <v>1</v>
      </c>
    </row>
    <row r="433" spans="95:98" ht="13.8" x14ac:dyDescent="0.3">
      <c r="CQ433" s="24">
        <v>0.99996910315418996</v>
      </c>
      <c r="CR433" s="24" t="str">
        <f t="shared" si="33"/>
        <v>1</v>
      </c>
      <c r="CS433" t="str">
        <f ca="1">IF((OFFSET($A$1, 433 - 1, 95 - 1)) &gt;= (OFFSET($A$1, 54 - 1, 7 - 1)), "1","0")</f>
        <v>1</v>
      </c>
      <c r="CT433">
        <f ca="1" xml:space="preserve"> IF( AND( OFFSET($A$1, 433 - 1, 96 - 1) = "1", OFFSET($A$1, 433 - 1, 97 - 1) = "1" ), 1, IF( AND( OFFSET($A$1, 433 - 1, 96 - 1) = "1", OFFSET($A$1, 433 - 1, 97 - 1) = "0" ), 2, IF( AND( OFFSET($A$1, 433 - 1, 96 - 1) = "0", OFFSET($A$1, 433 - 1, 97 - 1) = "1" ), 3, 4 ) ) )</f>
        <v>1</v>
      </c>
    </row>
    <row r="434" spans="95:98" ht="13.8" x14ac:dyDescent="0.3">
      <c r="CQ434" s="24">
        <v>0.98993956905012248</v>
      </c>
      <c r="CR434" s="24" t="str">
        <f t="shared" si="33"/>
        <v>1</v>
      </c>
      <c r="CS434" t="str">
        <f ca="1">IF((OFFSET($A$1, 434 - 1, 95 - 1)) &gt;= (OFFSET($A$1, 54 - 1, 7 - 1)), "1","0")</f>
        <v>1</v>
      </c>
      <c r="CT434">
        <f ca="1" xml:space="preserve"> IF( AND( OFFSET($A$1, 434 - 1, 96 - 1) = "1", OFFSET($A$1, 434 - 1, 97 - 1) = "1" ), 1, IF( AND( OFFSET($A$1, 434 - 1, 96 - 1) = "1", OFFSET($A$1, 434 - 1, 97 - 1) = "0" ), 2, IF( AND( OFFSET($A$1, 434 - 1, 96 - 1) = "0", OFFSET($A$1, 434 - 1, 97 - 1) = "1" ), 3, 4 ) ) )</f>
        <v>1</v>
      </c>
    </row>
    <row r="435" spans="95:98" ht="13.8" x14ac:dyDescent="0.3">
      <c r="CQ435" s="24">
        <v>0.99301797447890705</v>
      </c>
      <c r="CR435" s="24" t="str">
        <f t="shared" si="33"/>
        <v>1</v>
      </c>
      <c r="CS435" t="str">
        <f ca="1">IF((OFFSET($A$1, 435 - 1, 95 - 1)) &gt;= (OFFSET($A$1, 54 - 1, 7 - 1)), "1","0")</f>
        <v>1</v>
      </c>
      <c r="CT435">
        <f ca="1" xml:space="preserve"> IF( AND( OFFSET($A$1, 435 - 1, 96 - 1) = "1", OFFSET($A$1, 435 - 1, 97 - 1) = "1" ), 1, IF( AND( OFFSET($A$1, 435 - 1, 96 - 1) = "1", OFFSET($A$1, 435 - 1, 97 - 1) = "0" ), 2, IF( AND( OFFSET($A$1, 435 - 1, 96 - 1) = "0", OFFSET($A$1, 435 - 1, 97 - 1) = "1" ), 3, 4 ) ) )</f>
        <v>1</v>
      </c>
    </row>
    <row r="436" spans="95:98" ht="13.8" x14ac:dyDescent="0.3">
      <c r="CQ436" s="24">
        <v>0.99989887703618807</v>
      </c>
      <c r="CR436" s="24" t="str">
        <f t="shared" si="33"/>
        <v>1</v>
      </c>
      <c r="CS436" t="str">
        <f ca="1">IF((OFFSET($A$1, 436 - 1, 95 - 1)) &gt;= (OFFSET($A$1, 54 - 1, 7 - 1)), "1","0")</f>
        <v>1</v>
      </c>
      <c r="CT436">
        <f ca="1" xml:space="preserve"> IF( AND( OFFSET($A$1, 436 - 1, 96 - 1) = "1", OFFSET($A$1, 436 - 1, 97 - 1) = "1" ), 1, IF( AND( OFFSET($A$1, 436 - 1, 96 - 1) = "1", OFFSET($A$1, 436 - 1, 97 - 1) = "0" ), 2, IF( AND( OFFSET($A$1, 436 - 1, 96 - 1) = "0", OFFSET($A$1, 436 - 1, 97 - 1) = "1" ), 3, 4 ) ) )</f>
        <v>1</v>
      </c>
    </row>
    <row r="437" spans="95:98" ht="13.8" x14ac:dyDescent="0.3">
      <c r="CQ437" s="24">
        <v>0.89053739456225045</v>
      </c>
      <c r="CR437" s="24" t="str">
        <f t="shared" si="33"/>
        <v>1</v>
      </c>
      <c r="CS437" t="str">
        <f ca="1">IF((OFFSET($A$1, 437 - 1, 95 - 1)) &gt;= (OFFSET($A$1, 54 - 1, 7 - 1)), "1","0")</f>
        <v>0</v>
      </c>
      <c r="CT437">
        <f ca="1" xml:space="preserve"> IF( AND( OFFSET($A$1, 437 - 1, 96 - 1) = "1", OFFSET($A$1, 437 - 1, 97 - 1) = "1" ), 1, IF( AND( OFFSET($A$1, 437 - 1, 96 - 1) = "1", OFFSET($A$1, 437 - 1, 97 - 1) = "0" ), 2, IF( AND( OFFSET($A$1, 437 - 1, 96 - 1) = "0", OFFSET($A$1, 437 - 1, 97 - 1) = "1" ), 3, 4 ) ) )</f>
        <v>2</v>
      </c>
    </row>
    <row r="438" spans="95:98" ht="13.8" x14ac:dyDescent="0.3">
      <c r="CQ438" s="24">
        <v>0.96274138221493299</v>
      </c>
      <c r="CR438" s="24" t="str">
        <f t="shared" si="33"/>
        <v>1</v>
      </c>
      <c r="CS438" t="str">
        <f ca="1">IF((OFFSET($A$1, 438 - 1, 95 - 1)) &gt;= (OFFSET($A$1, 54 - 1, 7 - 1)), "1","0")</f>
        <v>0</v>
      </c>
      <c r="CT438">
        <f ca="1" xml:space="preserve"> IF( AND( OFFSET($A$1, 438 - 1, 96 - 1) = "1", OFFSET($A$1, 438 - 1, 97 - 1) = "1" ), 1, IF( AND( OFFSET($A$1, 438 - 1, 96 - 1) = "1", OFFSET($A$1, 438 - 1, 97 - 1) = "0" ), 2, IF( AND( OFFSET($A$1, 438 - 1, 96 - 1) = "0", OFFSET($A$1, 438 - 1, 97 - 1) = "1" ), 3, 4 ) ) )</f>
        <v>2</v>
      </c>
    </row>
    <row r="439" spans="95:98" ht="13.8" x14ac:dyDescent="0.3">
      <c r="CQ439" s="24">
        <v>0.99899152857442808</v>
      </c>
      <c r="CR439" s="24" t="str">
        <f t="shared" si="33"/>
        <v>1</v>
      </c>
      <c r="CS439" t="str">
        <f ca="1">IF((OFFSET($A$1, 439 - 1, 95 - 1)) &gt;= (OFFSET($A$1, 54 - 1, 7 - 1)), "1","0")</f>
        <v>1</v>
      </c>
      <c r="CT439">
        <f ca="1" xml:space="preserve"> IF( AND( OFFSET($A$1, 439 - 1, 96 - 1) = "1", OFFSET($A$1, 439 - 1, 97 - 1) = "1" ), 1, IF( AND( OFFSET($A$1, 439 - 1, 96 - 1) = "1", OFFSET($A$1, 439 - 1, 97 - 1) = "0" ), 2, IF( AND( OFFSET($A$1, 439 - 1, 96 - 1) = "0", OFFSET($A$1, 439 - 1, 97 - 1) = "1" ), 3, 4 ) ) )</f>
        <v>1</v>
      </c>
    </row>
    <row r="440" spans="95:98" ht="13.8" x14ac:dyDescent="0.3">
      <c r="CQ440" s="24">
        <v>0.97891522407349274</v>
      </c>
      <c r="CR440" s="24" t="str">
        <f t="shared" si="33"/>
        <v>1</v>
      </c>
      <c r="CS440" t="str">
        <f ca="1">IF((OFFSET($A$1, 440 - 1, 95 - 1)) &gt;= (OFFSET($A$1, 54 - 1, 7 - 1)), "1","0")</f>
        <v>1</v>
      </c>
      <c r="CT440">
        <f ca="1" xml:space="preserve"> IF( AND( OFFSET($A$1, 440 - 1, 96 - 1) = "1", OFFSET($A$1, 440 - 1, 97 - 1) = "1" ), 1, IF( AND( OFFSET($A$1, 440 - 1, 96 - 1) = "1", OFFSET($A$1, 440 - 1, 97 - 1) = "0" ), 2, IF( AND( OFFSET($A$1, 440 - 1, 96 - 1) = "0", OFFSET($A$1, 440 - 1, 97 - 1) = "1" ), 3, 4 ) ) )</f>
        <v>1</v>
      </c>
    </row>
    <row r="441" spans="95:98" ht="13.8" x14ac:dyDescent="0.3">
      <c r="CQ441" s="24">
        <v>0.96006170549600589</v>
      </c>
      <c r="CR441" s="24" t="str">
        <f t="shared" si="33"/>
        <v>1</v>
      </c>
      <c r="CS441" t="str">
        <f ca="1">IF((OFFSET($A$1, 441 - 1, 95 - 1)) &gt;= (OFFSET($A$1, 54 - 1, 7 - 1)), "1","0")</f>
        <v>0</v>
      </c>
      <c r="CT441">
        <f ca="1" xml:space="preserve"> IF( AND( OFFSET($A$1, 441 - 1, 96 - 1) = "1", OFFSET($A$1, 441 - 1, 97 - 1) = "1" ), 1, IF( AND( OFFSET($A$1, 441 - 1, 96 - 1) = "1", OFFSET($A$1, 441 - 1, 97 - 1) = "0" ), 2, IF( AND( OFFSET($A$1, 441 - 1, 96 - 1) = "0", OFFSET($A$1, 441 - 1, 97 - 1) = "1" ), 3, 4 ) ) )</f>
        <v>2</v>
      </c>
    </row>
    <row r="442" spans="95:98" ht="13.8" x14ac:dyDescent="0.3">
      <c r="CQ442" s="24">
        <v>0.99994239722664646</v>
      </c>
      <c r="CR442" s="24" t="str">
        <f t="shared" si="33"/>
        <v>1</v>
      </c>
      <c r="CS442" t="str">
        <f ca="1">IF((OFFSET($A$1, 442 - 1, 95 - 1)) &gt;= (OFFSET($A$1, 54 - 1, 7 - 1)), "1","0")</f>
        <v>1</v>
      </c>
      <c r="CT442">
        <f ca="1" xml:space="preserve"> IF( AND( OFFSET($A$1, 442 - 1, 96 - 1) = "1", OFFSET($A$1, 442 - 1, 97 - 1) = "1" ), 1, IF( AND( OFFSET($A$1, 442 - 1, 96 - 1) = "1", OFFSET($A$1, 442 - 1, 97 - 1) = "0" ), 2, IF( AND( OFFSET($A$1, 442 - 1, 96 - 1) = "0", OFFSET($A$1, 442 - 1, 97 - 1) = "1" ), 3, 4 ) ) )</f>
        <v>1</v>
      </c>
    </row>
    <row r="443" spans="95:98" ht="13.8" x14ac:dyDescent="0.3">
      <c r="CQ443" s="24">
        <v>0.978606377595861</v>
      </c>
      <c r="CR443" s="24" t="str">
        <f t="shared" si="33"/>
        <v>1</v>
      </c>
      <c r="CS443" t="str">
        <f ca="1">IF((OFFSET($A$1, 443 - 1, 95 - 1)) &gt;= (OFFSET($A$1, 54 - 1, 7 - 1)), "1","0")</f>
        <v>1</v>
      </c>
      <c r="CT443">
        <f ca="1" xml:space="preserve"> IF( AND( OFFSET($A$1, 443 - 1, 96 - 1) = "1", OFFSET($A$1, 443 - 1, 97 - 1) = "1" ), 1, IF( AND( OFFSET($A$1, 443 - 1, 96 - 1) = "1", OFFSET($A$1, 443 - 1, 97 - 1) = "0" ), 2, IF( AND( OFFSET($A$1, 443 - 1, 96 - 1) = "0", OFFSET($A$1, 443 - 1, 97 - 1) = "1" ), 3, 4 ) ) )</f>
        <v>1</v>
      </c>
    </row>
    <row r="444" spans="95:98" ht="13.8" x14ac:dyDescent="0.3">
      <c r="CQ444" s="24">
        <v>0.78807393522866809</v>
      </c>
      <c r="CR444" s="24" t="str">
        <f t="shared" si="33"/>
        <v>1</v>
      </c>
      <c r="CS444" t="str">
        <f ca="1">IF((OFFSET($A$1, 444 - 1, 95 - 1)) &gt;= (OFFSET($A$1, 54 - 1, 7 - 1)), "1","0")</f>
        <v>0</v>
      </c>
      <c r="CT444">
        <f ca="1" xml:space="preserve"> IF( AND( OFFSET($A$1, 444 - 1, 96 - 1) = "1", OFFSET($A$1, 444 - 1, 97 - 1) = "1" ), 1, IF( AND( OFFSET($A$1, 444 - 1, 96 - 1) = "1", OFFSET($A$1, 444 - 1, 97 - 1) = "0" ), 2, IF( AND( OFFSET($A$1, 444 - 1, 96 - 1) = "0", OFFSET($A$1, 444 - 1, 97 - 1) = "1" ), 3, 4 ) ) )</f>
        <v>2</v>
      </c>
    </row>
    <row r="445" spans="95:98" ht="13.8" x14ac:dyDescent="0.3">
      <c r="CQ445" s="24">
        <v>7.888118100359566E-2</v>
      </c>
      <c r="CR445" s="24" t="str">
        <f>"0"</f>
        <v>0</v>
      </c>
      <c r="CS445" t="str">
        <f ca="1">IF((OFFSET($A$1, 445 - 1, 95 - 1)) &gt;= (OFFSET($A$1, 54 - 1, 7 - 1)), "1","0")</f>
        <v>0</v>
      </c>
      <c r="CT445">
        <f ca="1" xml:space="preserve"> IF( AND( OFFSET($A$1, 445 - 1, 96 - 1) = "1", OFFSET($A$1, 445 - 1, 97 - 1) = "1" ), 1, IF( AND( OFFSET($A$1, 445 - 1, 96 - 1) = "1", OFFSET($A$1, 445 - 1, 97 - 1) = "0" ), 2, IF( AND( OFFSET($A$1, 445 - 1, 96 - 1) = "0", OFFSET($A$1, 445 - 1, 97 - 1) = "1" ), 3, 4 ) ) )</f>
        <v>4</v>
      </c>
    </row>
    <row r="446" spans="95:98" ht="13.8" x14ac:dyDescent="0.3">
      <c r="CQ446" s="24">
        <v>0.93054589947617983</v>
      </c>
      <c r="CR446" s="24" t="str">
        <f>"1"</f>
        <v>1</v>
      </c>
      <c r="CS446" t="str">
        <f ca="1">IF((OFFSET($A$1, 446 - 1, 95 - 1)) &gt;= (OFFSET($A$1, 54 - 1, 7 - 1)), "1","0")</f>
        <v>0</v>
      </c>
      <c r="CT446">
        <f ca="1" xml:space="preserve"> IF( AND( OFFSET($A$1, 446 - 1, 96 - 1) = "1", OFFSET($A$1, 446 - 1, 97 - 1) = "1" ), 1, IF( AND( OFFSET($A$1, 446 - 1, 96 - 1) = "1", OFFSET($A$1, 446 - 1, 97 - 1) = "0" ), 2, IF( AND( OFFSET($A$1, 446 - 1, 96 - 1) = "0", OFFSET($A$1, 446 - 1, 97 - 1) = "1" ), 3, 4 ) ) )</f>
        <v>2</v>
      </c>
    </row>
    <row r="447" spans="95:98" ht="13.8" x14ac:dyDescent="0.3">
      <c r="CQ447" s="24">
        <v>0.94009460041215032</v>
      </c>
      <c r="CR447" s="24" t="str">
        <f>"1"</f>
        <v>1</v>
      </c>
      <c r="CS447" t="str">
        <f ca="1">IF((OFFSET($A$1, 447 - 1, 95 - 1)) &gt;= (OFFSET($A$1, 54 - 1, 7 - 1)), "1","0")</f>
        <v>0</v>
      </c>
      <c r="CT447">
        <f ca="1" xml:space="preserve"> IF( AND( OFFSET($A$1, 447 - 1, 96 - 1) = "1", OFFSET($A$1, 447 - 1, 97 - 1) = "1" ), 1, IF( AND( OFFSET($A$1, 447 - 1, 96 - 1) = "1", OFFSET($A$1, 447 - 1, 97 - 1) = "0" ), 2, IF( AND( OFFSET($A$1, 447 - 1, 96 - 1) = "0", OFFSET($A$1, 447 - 1, 97 - 1) = "1" ), 3, 4 ) ) )</f>
        <v>2</v>
      </c>
    </row>
    <row r="448" spans="95:98" ht="13.8" x14ac:dyDescent="0.3">
      <c r="CQ448" s="24">
        <v>0.98407924569036365</v>
      </c>
      <c r="CR448" s="24" t="str">
        <f>"1"</f>
        <v>1</v>
      </c>
      <c r="CS448" t="str">
        <f ca="1">IF((OFFSET($A$1, 448 - 1, 95 - 1)) &gt;= (OFFSET($A$1, 54 - 1, 7 - 1)), "1","0")</f>
        <v>1</v>
      </c>
      <c r="CT448">
        <f ca="1" xml:space="preserve"> IF( AND( OFFSET($A$1, 448 - 1, 96 - 1) = "1", OFFSET($A$1, 448 - 1, 97 - 1) = "1" ), 1, IF( AND( OFFSET($A$1, 448 - 1, 96 - 1) = "1", OFFSET($A$1, 448 - 1, 97 - 1) = "0" ), 2, IF( AND( OFFSET($A$1, 448 - 1, 96 - 1) = "0", OFFSET($A$1, 448 - 1, 97 - 1) = "1" ), 3, 4 ) ) )</f>
        <v>1</v>
      </c>
    </row>
    <row r="449" spans="95:98" ht="13.8" x14ac:dyDescent="0.3">
      <c r="CQ449" s="24">
        <v>0.94914940280609306</v>
      </c>
      <c r="CR449" s="24" t="str">
        <f>"1"</f>
        <v>1</v>
      </c>
      <c r="CS449" t="str">
        <f ca="1">IF((OFFSET($A$1, 449 - 1, 95 - 1)) &gt;= (OFFSET($A$1, 54 - 1, 7 - 1)), "1","0")</f>
        <v>0</v>
      </c>
      <c r="CT449">
        <f ca="1" xml:space="preserve"> IF( AND( OFFSET($A$1, 449 - 1, 96 - 1) = "1", OFFSET($A$1, 449 - 1, 97 - 1) = "1" ), 1, IF( AND( OFFSET($A$1, 449 - 1, 96 - 1) = "1", OFFSET($A$1, 449 - 1, 97 - 1) = "0" ), 2, IF( AND( OFFSET($A$1, 449 - 1, 96 - 1) = "0", OFFSET($A$1, 449 - 1, 97 - 1) = "1" ), 3, 4 ) ) )</f>
        <v>2</v>
      </c>
    </row>
    <row r="450" spans="95:98" ht="13.8" x14ac:dyDescent="0.3">
      <c r="CQ450" s="24">
        <v>8.0448651437935087E-2</v>
      </c>
      <c r="CR450" s="24" t="str">
        <f>"0"</f>
        <v>0</v>
      </c>
      <c r="CS450" t="str">
        <f ca="1">IF((OFFSET($A$1, 450 - 1, 95 - 1)) &gt;= (OFFSET($A$1, 54 - 1, 7 - 1)), "1","0")</f>
        <v>0</v>
      </c>
      <c r="CT450">
        <f ca="1" xml:space="preserve"> IF( AND( OFFSET($A$1, 450 - 1, 96 - 1) = "1", OFFSET($A$1, 450 - 1, 97 - 1) = "1" ), 1, IF( AND( OFFSET($A$1, 450 - 1, 96 - 1) = "1", OFFSET($A$1, 450 - 1, 97 - 1) = "0" ), 2, IF( AND( OFFSET($A$1, 450 - 1, 96 - 1) = "0", OFFSET($A$1, 450 - 1, 97 - 1) = "1" ), 3, 4 ) ) )</f>
        <v>4</v>
      </c>
    </row>
    <row r="451" spans="95:98" ht="13.8" x14ac:dyDescent="0.3">
      <c r="CQ451" s="24">
        <v>8.3738853333576252E-2</v>
      </c>
      <c r="CR451" s="24" t="str">
        <f>"0"</f>
        <v>0</v>
      </c>
      <c r="CS451" t="str">
        <f ca="1">IF((OFFSET($A$1, 451 - 1, 95 - 1)) &gt;= (OFFSET($A$1, 54 - 1, 7 - 1)), "1","0")</f>
        <v>0</v>
      </c>
      <c r="CT451">
        <f ca="1" xml:space="preserve"> IF( AND( OFFSET($A$1, 451 - 1, 96 - 1) = "1", OFFSET($A$1, 451 - 1, 97 - 1) = "1" ), 1, IF( AND( OFFSET($A$1, 451 - 1, 96 - 1) = "1", OFFSET($A$1, 451 - 1, 97 - 1) = "0" ), 2, IF( AND( OFFSET($A$1, 451 - 1, 96 - 1) = "0", OFFSET($A$1, 451 - 1, 97 - 1) = "1" ), 3, 4 ) ) )</f>
        <v>4</v>
      </c>
    </row>
    <row r="452" spans="95:98" ht="13.8" x14ac:dyDescent="0.3">
      <c r="CQ452" s="24">
        <v>0.99128006382753453</v>
      </c>
      <c r="CR452" s="24" t="str">
        <f>"1"</f>
        <v>1</v>
      </c>
      <c r="CS452" t="str">
        <f ca="1">IF((OFFSET($A$1, 452 - 1, 95 - 1)) &gt;= (OFFSET($A$1, 54 - 1, 7 - 1)), "1","0")</f>
        <v>1</v>
      </c>
      <c r="CT452">
        <f ca="1" xml:space="preserve"> IF( AND( OFFSET($A$1, 452 - 1, 96 - 1) = "1", OFFSET($A$1, 452 - 1, 97 - 1) = "1" ), 1, IF( AND( OFFSET($A$1, 452 - 1, 96 - 1) = "1", OFFSET($A$1, 452 - 1, 97 - 1) = "0" ), 2, IF( AND( OFFSET($A$1, 452 - 1, 96 - 1) = "0", OFFSET($A$1, 452 - 1, 97 - 1) = "1" ), 3, 4 ) ) )</f>
        <v>1</v>
      </c>
    </row>
    <row r="453" spans="95:98" ht="13.8" x14ac:dyDescent="0.3">
      <c r="CQ453" s="24">
        <v>9.9525249208108235E-2</v>
      </c>
      <c r="CR453" s="24" t="str">
        <f>"0"</f>
        <v>0</v>
      </c>
      <c r="CS453" t="str">
        <f ca="1">IF((OFFSET($A$1, 453 - 1, 95 - 1)) &gt;= (OFFSET($A$1, 54 - 1, 7 - 1)), "1","0")</f>
        <v>0</v>
      </c>
      <c r="CT453">
        <f ca="1" xml:space="preserve"> IF( AND( OFFSET($A$1, 453 - 1, 96 - 1) = "1", OFFSET($A$1, 453 - 1, 97 - 1) = "1" ), 1, IF( AND( OFFSET($A$1, 453 - 1, 96 - 1) = "1", OFFSET($A$1, 453 - 1, 97 - 1) = "0" ), 2, IF( AND( OFFSET($A$1, 453 - 1, 96 - 1) = "0", OFFSET($A$1, 453 - 1, 97 - 1) = "1" ), 3, 4 ) ) )</f>
        <v>4</v>
      </c>
    </row>
    <row r="454" spans="95:98" ht="13.8" x14ac:dyDescent="0.3">
      <c r="CQ454" s="24">
        <v>0.10019022257134468</v>
      </c>
      <c r="CR454" s="24" t="str">
        <f>"0"</f>
        <v>0</v>
      </c>
      <c r="CS454" t="str">
        <f ca="1">IF((OFFSET($A$1, 454 - 1, 95 - 1)) &gt;= (OFFSET($A$1, 54 - 1, 7 - 1)), "1","0")</f>
        <v>0</v>
      </c>
      <c r="CT454">
        <f ca="1" xml:space="preserve"> IF( AND( OFFSET($A$1, 454 - 1, 96 - 1) = "1", OFFSET($A$1, 454 - 1, 97 - 1) = "1" ), 1, IF( AND( OFFSET($A$1, 454 - 1, 96 - 1) = "1", OFFSET($A$1, 454 - 1, 97 - 1) = "0" ), 2, IF( AND( OFFSET($A$1, 454 - 1, 96 - 1) = "0", OFFSET($A$1, 454 - 1, 97 - 1) = "1" ), 3, 4 ) ) )</f>
        <v>4</v>
      </c>
    </row>
    <row r="455" spans="95:98" ht="13.8" x14ac:dyDescent="0.3">
      <c r="CQ455" s="24">
        <v>0.12990540001609494</v>
      </c>
      <c r="CR455" s="24" t="str">
        <f>"0"</f>
        <v>0</v>
      </c>
      <c r="CS455" t="str">
        <f ca="1">IF((OFFSET($A$1, 455 - 1, 95 - 1)) &gt;= (OFFSET($A$1, 54 - 1, 7 - 1)), "1","0")</f>
        <v>0</v>
      </c>
      <c r="CT455">
        <f ca="1" xml:space="preserve"> IF( AND( OFFSET($A$1, 455 - 1, 96 - 1) = "1", OFFSET($A$1, 455 - 1, 97 - 1) = "1" ), 1, IF( AND( OFFSET($A$1, 455 - 1, 96 - 1) = "1", OFFSET($A$1, 455 - 1, 97 - 1) = "0" ), 2, IF( AND( OFFSET($A$1, 455 - 1, 96 - 1) = "0", OFFSET($A$1, 455 - 1, 97 - 1) = "1" ), 3, 4 ) ) )</f>
        <v>4</v>
      </c>
    </row>
    <row r="456" spans="95:98" ht="13.8" x14ac:dyDescent="0.3">
      <c r="CQ456" s="24">
        <v>0.91532812645539352</v>
      </c>
      <c r="CR456" s="24" t="str">
        <f>"1"</f>
        <v>1</v>
      </c>
      <c r="CS456" t="str">
        <f ca="1">IF((OFFSET($A$1, 456 - 1, 95 - 1)) &gt;= (OFFSET($A$1, 54 - 1, 7 - 1)), "1","0")</f>
        <v>0</v>
      </c>
      <c r="CT456">
        <f ca="1" xml:space="preserve"> IF( AND( OFFSET($A$1, 456 - 1, 96 - 1) = "1", OFFSET($A$1, 456 - 1, 97 - 1) = "1" ), 1, IF( AND( OFFSET($A$1, 456 - 1, 96 - 1) = "1", OFFSET($A$1, 456 - 1, 97 - 1) = "0" ), 2, IF( AND( OFFSET($A$1, 456 - 1, 96 - 1) = "0", OFFSET($A$1, 456 - 1, 97 - 1) = "1" ), 3, 4 ) ) )</f>
        <v>2</v>
      </c>
    </row>
    <row r="457" spans="95:98" ht="13.8" x14ac:dyDescent="0.3">
      <c r="CQ457" s="24">
        <v>0.21321950072995263</v>
      </c>
      <c r="CR457" s="24" t="str">
        <f>"0"</f>
        <v>0</v>
      </c>
      <c r="CS457" t="str">
        <f ca="1">IF((OFFSET($A$1, 457 - 1, 95 - 1)) &gt;= (OFFSET($A$1, 54 - 1, 7 - 1)), "1","0")</f>
        <v>0</v>
      </c>
      <c r="CT457">
        <f ca="1" xml:space="preserve"> IF( AND( OFFSET($A$1, 457 - 1, 96 - 1) = "1", OFFSET($A$1, 457 - 1, 97 - 1) = "1" ), 1, IF( AND( OFFSET($A$1, 457 - 1, 96 - 1) = "1", OFFSET($A$1, 457 - 1, 97 - 1) = "0" ), 2, IF( AND( OFFSET($A$1, 457 - 1, 96 - 1) = "0", OFFSET($A$1, 457 - 1, 97 - 1) = "1" ), 3, 4 ) ) )</f>
        <v>4</v>
      </c>
    </row>
    <row r="458" spans="95:98" ht="13.8" x14ac:dyDescent="0.3">
      <c r="CQ458" s="24">
        <v>4.5074556124169579E-3</v>
      </c>
      <c r="CR458" s="24" t="str">
        <f>"0"</f>
        <v>0</v>
      </c>
      <c r="CS458" t="str">
        <f ca="1">IF((OFFSET($A$1, 458 - 1, 95 - 1)) &gt;= (OFFSET($A$1, 54 - 1, 7 - 1)), "1","0")</f>
        <v>0</v>
      </c>
      <c r="CT458">
        <f ca="1" xml:space="preserve"> IF( AND( OFFSET($A$1, 458 - 1, 96 - 1) = "1", OFFSET($A$1, 458 - 1, 97 - 1) = "1" ), 1, IF( AND( OFFSET($A$1, 458 - 1, 96 - 1) = "1", OFFSET($A$1, 458 - 1, 97 - 1) = "0" ), 2, IF( AND( OFFSET($A$1, 458 - 1, 96 - 1) = "0", OFFSET($A$1, 458 - 1, 97 - 1) = "1" ), 3, 4 ) ) )</f>
        <v>4</v>
      </c>
    </row>
    <row r="459" spans="95:98" ht="13.8" x14ac:dyDescent="0.3">
      <c r="CQ459" s="24">
        <v>0.99973072483330838</v>
      </c>
      <c r="CR459" s="24" t="str">
        <f>"1"</f>
        <v>1</v>
      </c>
      <c r="CS459" t="str">
        <f ca="1">IF((OFFSET($A$1, 459 - 1, 95 - 1)) &gt;= (OFFSET($A$1, 54 - 1, 7 - 1)), "1","0")</f>
        <v>1</v>
      </c>
      <c r="CT459">
        <f ca="1" xml:space="preserve"> IF( AND( OFFSET($A$1, 459 - 1, 96 - 1) = "1", OFFSET($A$1, 459 - 1, 97 - 1) = "1" ), 1, IF( AND( OFFSET($A$1, 459 - 1, 96 - 1) = "1", OFFSET($A$1, 459 - 1, 97 - 1) = "0" ), 2, IF( AND( OFFSET($A$1, 459 - 1, 96 - 1) = "0", OFFSET($A$1, 459 - 1, 97 - 1) = "1" ), 3, 4 ) ) )</f>
        <v>1</v>
      </c>
    </row>
    <row r="460" spans="95:98" ht="13.8" x14ac:dyDescent="0.3">
      <c r="CQ460" s="24">
        <v>0.9940854357423814</v>
      </c>
      <c r="CR460" s="24" t="str">
        <f>"1"</f>
        <v>1</v>
      </c>
      <c r="CS460" t="str">
        <f ca="1">IF((OFFSET($A$1, 460 - 1, 95 - 1)) &gt;= (OFFSET($A$1, 54 - 1, 7 - 1)), "1","0")</f>
        <v>1</v>
      </c>
      <c r="CT460">
        <f ca="1" xml:space="preserve"> IF( AND( OFFSET($A$1, 460 - 1, 96 - 1) = "1", OFFSET($A$1, 460 - 1, 97 - 1) = "1" ), 1, IF( AND( OFFSET($A$1, 460 - 1, 96 - 1) = "1", OFFSET($A$1, 460 - 1, 97 - 1) = "0" ), 2, IF( AND( OFFSET($A$1, 460 - 1, 96 - 1) = "0", OFFSET($A$1, 460 - 1, 97 - 1) = "1" ), 3, 4 ) ) )</f>
        <v>1</v>
      </c>
    </row>
    <row r="461" spans="95:98" ht="13.8" x14ac:dyDescent="0.3">
      <c r="CQ461" s="24">
        <v>0.99976910493293281</v>
      </c>
      <c r="CR461" s="24" t="str">
        <f>"1"</f>
        <v>1</v>
      </c>
      <c r="CS461" t="str">
        <f ca="1">IF((OFFSET($A$1, 461 - 1, 95 - 1)) &gt;= (OFFSET($A$1, 54 - 1, 7 - 1)), "1","0")</f>
        <v>1</v>
      </c>
      <c r="CT461">
        <f ca="1" xml:space="preserve"> IF( AND( OFFSET($A$1, 461 - 1, 96 - 1) = "1", OFFSET($A$1, 461 - 1, 97 - 1) = "1" ), 1, IF( AND( OFFSET($A$1, 461 - 1, 96 - 1) = "1", OFFSET($A$1, 461 - 1, 97 - 1) = "0" ), 2, IF( AND( OFFSET($A$1, 461 - 1, 96 - 1) = "0", OFFSET($A$1, 461 - 1, 97 - 1) = "1" ), 3, 4 ) ) )</f>
        <v>1</v>
      </c>
    </row>
    <row r="462" spans="95:98" ht="13.8" x14ac:dyDescent="0.3">
      <c r="CQ462" s="24">
        <v>0.94813581058873286</v>
      </c>
      <c r="CR462" s="24" t="str">
        <f>"1"</f>
        <v>1</v>
      </c>
      <c r="CS462" t="str">
        <f ca="1">IF((OFFSET($A$1, 462 - 1, 95 - 1)) &gt;= (OFFSET($A$1, 54 - 1, 7 - 1)), "1","0")</f>
        <v>0</v>
      </c>
      <c r="CT462">
        <f ca="1" xml:space="preserve"> IF( AND( OFFSET($A$1, 462 - 1, 96 - 1) = "1", OFFSET($A$1, 462 - 1, 97 - 1) = "1" ), 1, IF( AND( OFFSET($A$1, 462 - 1, 96 - 1) = "1", OFFSET($A$1, 462 - 1, 97 - 1) = "0" ), 2, IF( AND( OFFSET($A$1, 462 - 1, 96 - 1) = "0", OFFSET($A$1, 462 - 1, 97 - 1) = "1" ), 3, 4 ) ) )</f>
        <v>2</v>
      </c>
    </row>
    <row r="463" spans="95:98" ht="13.8" x14ac:dyDescent="0.3">
      <c r="CQ463" s="24">
        <v>9.3756068993667244E-2</v>
      </c>
      <c r="CR463" s="24" t="str">
        <f>"0"</f>
        <v>0</v>
      </c>
      <c r="CS463" t="str">
        <f ca="1">IF((OFFSET($A$1, 463 - 1, 95 - 1)) &gt;= (OFFSET($A$1, 54 - 1, 7 - 1)), "1","0")</f>
        <v>0</v>
      </c>
      <c r="CT463">
        <f ca="1" xml:space="preserve"> IF( AND( OFFSET($A$1, 463 - 1, 96 - 1) = "1", OFFSET($A$1, 463 - 1, 97 - 1) = "1" ), 1, IF( AND( OFFSET($A$1, 463 - 1, 96 - 1) = "1", OFFSET($A$1, 463 - 1, 97 - 1) = "0" ), 2, IF( AND( OFFSET($A$1, 463 - 1, 96 - 1) = "0", OFFSET($A$1, 463 - 1, 97 - 1) = "1" ), 3, 4 ) ) )</f>
        <v>4</v>
      </c>
    </row>
    <row r="464" spans="95:98" ht="13.8" x14ac:dyDescent="0.3">
      <c r="CQ464" s="24">
        <v>0.11907789744687701</v>
      </c>
      <c r="CR464" s="24" t="str">
        <f>"0"</f>
        <v>0</v>
      </c>
      <c r="CS464" t="str">
        <f ca="1">IF((OFFSET($A$1, 464 - 1, 95 - 1)) &gt;= (OFFSET($A$1, 54 - 1, 7 - 1)), "1","0")</f>
        <v>0</v>
      </c>
      <c r="CT464">
        <f ca="1" xml:space="preserve"> IF( AND( OFFSET($A$1, 464 - 1, 96 - 1) = "1", OFFSET($A$1, 464 - 1, 97 - 1) = "1" ), 1, IF( AND( OFFSET($A$1, 464 - 1, 96 - 1) = "1", OFFSET($A$1, 464 - 1, 97 - 1) = "0" ), 2, IF( AND( OFFSET($A$1, 464 - 1, 96 - 1) = "0", OFFSET($A$1, 464 - 1, 97 - 1) = "1" ), 3, 4 ) ) )</f>
        <v>4</v>
      </c>
    </row>
    <row r="465" spans="95:98" ht="13.8" x14ac:dyDescent="0.3">
      <c r="CQ465" s="24">
        <v>0.92453604576975645</v>
      </c>
      <c r="CR465" s="24" t="str">
        <f>"1"</f>
        <v>1</v>
      </c>
      <c r="CS465" t="str">
        <f ca="1">IF((OFFSET($A$1, 465 - 1, 95 - 1)) &gt;= (OFFSET($A$1, 54 - 1, 7 - 1)), "1","0")</f>
        <v>0</v>
      </c>
      <c r="CT465">
        <f ca="1" xml:space="preserve"> IF( AND( OFFSET($A$1, 465 - 1, 96 - 1) = "1", OFFSET($A$1, 465 - 1, 97 - 1) = "1" ), 1, IF( AND( OFFSET($A$1, 465 - 1, 96 - 1) = "1", OFFSET($A$1, 465 - 1, 97 - 1) = "0" ), 2, IF( AND( OFFSET($A$1, 465 - 1, 96 - 1) = "0", OFFSET($A$1, 465 - 1, 97 - 1) = "1" ), 3, 4 ) ) )</f>
        <v>2</v>
      </c>
    </row>
    <row r="466" spans="95:98" ht="13.8" x14ac:dyDescent="0.3">
      <c r="CQ466" s="24">
        <v>4.4236195059569508E-2</v>
      </c>
      <c r="CR466" s="24" t="str">
        <f>"0"</f>
        <v>0</v>
      </c>
      <c r="CS466" t="str">
        <f ca="1">IF((OFFSET($A$1, 466 - 1, 95 - 1)) &gt;= (OFFSET($A$1, 54 - 1, 7 - 1)), "1","0")</f>
        <v>0</v>
      </c>
      <c r="CT466">
        <f ca="1" xml:space="preserve"> IF( AND( OFFSET($A$1, 466 - 1, 96 - 1) = "1", OFFSET($A$1, 466 - 1, 97 - 1) = "1" ), 1, IF( AND( OFFSET($A$1, 466 - 1, 96 - 1) = "1", OFFSET($A$1, 466 - 1, 97 - 1) = "0" ), 2, IF( AND( OFFSET($A$1, 466 - 1, 96 - 1) = "0", OFFSET($A$1, 466 - 1, 97 - 1) = "1" ), 3, 4 ) ) )</f>
        <v>4</v>
      </c>
    </row>
    <row r="467" spans="95:98" ht="13.8" x14ac:dyDescent="0.3">
      <c r="CQ467" s="24">
        <v>0.97004468093967611</v>
      </c>
      <c r="CR467" s="24" t="str">
        <f>"1"</f>
        <v>1</v>
      </c>
      <c r="CS467" t="str">
        <f ca="1">IF((OFFSET($A$1, 467 - 1, 95 - 1)) &gt;= (OFFSET($A$1, 54 - 1, 7 - 1)), "1","0")</f>
        <v>1</v>
      </c>
      <c r="CT467">
        <f ca="1" xml:space="preserve"> IF( AND( OFFSET($A$1, 467 - 1, 96 - 1) = "1", OFFSET($A$1, 467 - 1, 97 - 1) = "1" ), 1, IF( AND( OFFSET($A$1, 467 - 1, 96 - 1) = "1", OFFSET($A$1, 467 - 1, 97 - 1) = "0" ), 2, IF( AND( OFFSET($A$1, 467 - 1, 96 - 1) = "0", OFFSET($A$1, 467 - 1, 97 - 1) = "1" ), 3, 4 ) ) )</f>
        <v>1</v>
      </c>
    </row>
    <row r="468" spans="95:98" ht="13.8" x14ac:dyDescent="0.3">
      <c r="CQ468" s="24">
        <v>0.93452100290001672</v>
      </c>
      <c r="CR468" s="24" t="str">
        <f>"1"</f>
        <v>1</v>
      </c>
      <c r="CS468" t="str">
        <f ca="1">IF((OFFSET($A$1, 468 - 1, 95 - 1)) &gt;= (OFFSET($A$1, 54 - 1, 7 - 1)), "1","0")</f>
        <v>0</v>
      </c>
      <c r="CT468">
        <f ca="1" xml:space="preserve"> IF( AND( OFFSET($A$1, 468 - 1, 96 - 1) = "1", OFFSET($A$1, 468 - 1, 97 - 1) = "1" ), 1, IF( AND( OFFSET($A$1, 468 - 1, 96 - 1) = "1", OFFSET($A$1, 468 - 1, 97 - 1) = "0" ), 2, IF( AND( OFFSET($A$1, 468 - 1, 96 - 1) = "0", OFFSET($A$1, 468 - 1, 97 - 1) = "1" ), 3, 4 ) ) )</f>
        <v>2</v>
      </c>
    </row>
    <row r="469" spans="95:98" ht="13.8" x14ac:dyDescent="0.3">
      <c r="CQ469" s="24">
        <v>1.4912027734588948E-2</v>
      </c>
      <c r="CR469" s="24" t="str">
        <f>"0"</f>
        <v>0</v>
      </c>
      <c r="CS469" t="str">
        <f ca="1">IF((OFFSET($A$1, 469 - 1, 95 - 1)) &gt;= (OFFSET($A$1, 54 - 1, 7 - 1)), "1","0")</f>
        <v>0</v>
      </c>
      <c r="CT469">
        <f ca="1" xml:space="preserve"> IF( AND( OFFSET($A$1, 469 - 1, 96 - 1) = "1", OFFSET($A$1, 469 - 1, 97 - 1) = "1" ), 1, IF( AND( OFFSET($A$1, 469 - 1, 96 - 1) = "1", OFFSET($A$1, 469 - 1, 97 - 1) = "0" ), 2, IF( AND( OFFSET($A$1, 469 - 1, 96 - 1) = "0", OFFSET($A$1, 469 - 1, 97 - 1) = "1" ), 3, 4 ) ) )</f>
        <v>4</v>
      </c>
    </row>
    <row r="470" spans="95:98" ht="13.8" x14ac:dyDescent="0.3">
      <c r="CQ470" s="24">
        <v>0.32025020831468026</v>
      </c>
      <c r="CR470" s="24" t="str">
        <f>"0"</f>
        <v>0</v>
      </c>
      <c r="CS470" t="str">
        <f ca="1">IF((OFFSET($A$1, 470 - 1, 95 - 1)) &gt;= (OFFSET($A$1, 54 - 1, 7 - 1)), "1","0")</f>
        <v>0</v>
      </c>
      <c r="CT470">
        <f ca="1" xml:space="preserve"> IF( AND( OFFSET($A$1, 470 - 1, 96 - 1) = "1", OFFSET($A$1, 470 - 1, 97 - 1) = "1" ), 1, IF( AND( OFFSET($A$1, 470 - 1, 96 - 1) = "1", OFFSET($A$1, 470 - 1, 97 - 1) = "0" ), 2, IF( AND( OFFSET($A$1, 470 - 1, 96 - 1) = "0", OFFSET($A$1, 470 - 1, 97 - 1) = "1" ), 3, 4 ) ) )</f>
        <v>4</v>
      </c>
    </row>
    <row r="471" spans="95:98" ht="13.8" x14ac:dyDescent="0.3">
      <c r="CQ471" s="24">
        <v>0.99963145236514672</v>
      </c>
      <c r="CR471" s="24" t="str">
        <f>"0"</f>
        <v>0</v>
      </c>
      <c r="CS471" t="str">
        <f ca="1">IF((OFFSET($A$1, 471 - 1, 95 - 1)) &gt;= (OFFSET($A$1, 54 - 1, 7 - 1)), "1","0")</f>
        <v>1</v>
      </c>
      <c r="CT471">
        <f ca="1" xml:space="preserve"> IF( AND( OFFSET($A$1, 471 - 1, 96 - 1) = "1", OFFSET($A$1, 471 - 1, 97 - 1) = "1" ), 1, IF( AND( OFFSET($A$1, 471 - 1, 96 - 1) = "1", OFFSET($A$1, 471 - 1, 97 - 1) = "0" ), 2, IF( AND( OFFSET($A$1, 471 - 1, 96 - 1) = "0", OFFSET($A$1, 471 - 1, 97 - 1) = "1" ), 3, 4 ) ) )</f>
        <v>3</v>
      </c>
    </row>
    <row r="472" spans="95:98" ht="13.8" x14ac:dyDescent="0.3">
      <c r="CQ472" s="24">
        <v>0.96032783652010645</v>
      </c>
      <c r="CR472" s="24" t="str">
        <f>"1"</f>
        <v>1</v>
      </c>
      <c r="CS472" t="str">
        <f ca="1">IF((OFFSET($A$1, 472 - 1, 95 - 1)) &gt;= (OFFSET($A$1, 54 - 1, 7 - 1)), "1","0")</f>
        <v>0</v>
      </c>
      <c r="CT472">
        <f ca="1" xml:space="preserve"> IF( AND( OFFSET($A$1, 472 - 1, 96 - 1) = "1", OFFSET($A$1, 472 - 1, 97 - 1) = "1" ), 1, IF( AND( OFFSET($A$1, 472 - 1, 96 - 1) = "1", OFFSET($A$1, 472 - 1, 97 - 1) = "0" ), 2, IF( AND( OFFSET($A$1, 472 - 1, 96 - 1) = "0", OFFSET($A$1, 472 - 1, 97 - 1) = "1" ), 3, 4 ) ) )</f>
        <v>2</v>
      </c>
    </row>
    <row r="473" spans="95:98" ht="13.8" x14ac:dyDescent="0.3">
      <c r="CQ473" s="24">
        <v>8.9894619592105388E-2</v>
      </c>
      <c r="CR473" s="24" t="str">
        <f>"0"</f>
        <v>0</v>
      </c>
      <c r="CS473" t="str">
        <f ca="1">IF((OFFSET($A$1, 473 - 1, 95 - 1)) &gt;= (OFFSET($A$1, 54 - 1, 7 - 1)), "1","0")</f>
        <v>0</v>
      </c>
      <c r="CT473">
        <f ca="1" xml:space="preserve"> IF( AND( OFFSET($A$1, 473 - 1, 96 - 1) = "1", OFFSET($A$1, 473 - 1, 97 - 1) = "1" ), 1, IF( AND( OFFSET($A$1, 473 - 1, 96 - 1) = "1", OFFSET($A$1, 473 - 1, 97 - 1) = "0" ), 2, IF( AND( OFFSET($A$1, 473 - 1, 96 - 1) = "0", OFFSET($A$1, 473 - 1, 97 - 1) = "1" ), 3, 4 ) ) )</f>
        <v>4</v>
      </c>
    </row>
    <row r="474" spans="95:98" ht="13.8" x14ac:dyDescent="0.3">
      <c r="CQ474" s="24">
        <v>7.5229084936823246E-2</v>
      </c>
      <c r="CR474" s="24" t="str">
        <f>"0"</f>
        <v>0</v>
      </c>
      <c r="CS474" t="str">
        <f ca="1">IF((OFFSET($A$1, 474 - 1, 95 - 1)) &gt;= (OFFSET($A$1, 54 - 1, 7 - 1)), "1","0")</f>
        <v>0</v>
      </c>
      <c r="CT474">
        <f ca="1" xml:space="preserve"> IF( AND( OFFSET($A$1, 474 - 1, 96 - 1) = "1", OFFSET($A$1, 474 - 1, 97 - 1) = "1" ), 1, IF( AND( OFFSET($A$1, 474 - 1, 96 - 1) = "1", OFFSET($A$1, 474 - 1, 97 - 1) = "0" ), 2, IF( AND( OFFSET($A$1, 474 - 1, 96 - 1) = "0", OFFSET($A$1, 474 - 1, 97 - 1) = "1" ), 3, 4 ) ) )</f>
        <v>4</v>
      </c>
    </row>
    <row r="475" spans="95:98" ht="13.8" x14ac:dyDescent="0.3">
      <c r="CQ475" s="24">
        <v>0.99684642965396075</v>
      </c>
      <c r="CR475" s="24" t="str">
        <f>"1"</f>
        <v>1</v>
      </c>
      <c r="CS475" t="str">
        <f ca="1">IF((OFFSET($A$1, 475 - 1, 95 - 1)) &gt;= (OFFSET($A$1, 54 - 1, 7 - 1)), "1","0")</f>
        <v>1</v>
      </c>
      <c r="CT475">
        <f ca="1" xml:space="preserve"> IF( AND( OFFSET($A$1, 475 - 1, 96 - 1) = "1", OFFSET($A$1, 475 - 1, 97 - 1) = "1" ), 1, IF( AND( OFFSET($A$1, 475 - 1, 96 - 1) = "1", OFFSET($A$1, 475 - 1, 97 - 1) = "0" ), 2, IF( AND( OFFSET($A$1, 475 - 1, 96 - 1) = "0", OFFSET($A$1, 475 - 1, 97 - 1) = "1" ), 3, 4 ) ) )</f>
        <v>1</v>
      </c>
    </row>
    <row r="476" spans="95:98" ht="13.8" x14ac:dyDescent="0.3">
      <c r="CQ476" s="24">
        <v>0.98586068180377617</v>
      </c>
      <c r="CR476" s="24" t="str">
        <f>"1"</f>
        <v>1</v>
      </c>
      <c r="CS476" t="str">
        <f ca="1">IF((OFFSET($A$1, 476 - 1, 95 - 1)) &gt;= (OFFSET($A$1, 54 - 1, 7 - 1)), "1","0")</f>
        <v>1</v>
      </c>
      <c r="CT476">
        <f ca="1" xml:space="preserve"> IF( AND( OFFSET($A$1, 476 - 1, 96 - 1) = "1", OFFSET($A$1, 476 - 1, 97 - 1) = "1" ), 1, IF( AND( OFFSET($A$1, 476 - 1, 96 - 1) = "1", OFFSET($A$1, 476 - 1, 97 - 1) = "0" ), 2, IF( AND( OFFSET($A$1, 476 - 1, 96 - 1) = "0", OFFSET($A$1, 476 - 1, 97 - 1) = "1" ), 3, 4 ) ) )</f>
        <v>1</v>
      </c>
    </row>
    <row r="477" spans="95:98" ht="13.8" x14ac:dyDescent="0.3">
      <c r="CQ477" s="24">
        <v>0.21337515724143186</v>
      </c>
      <c r="CR477" s="24" t="str">
        <f>"0"</f>
        <v>0</v>
      </c>
      <c r="CS477" t="str">
        <f ca="1">IF((OFFSET($A$1, 477 - 1, 95 - 1)) &gt;= (OFFSET($A$1, 54 - 1, 7 - 1)), "1","0")</f>
        <v>0</v>
      </c>
      <c r="CT477">
        <f ca="1" xml:space="preserve"> IF( AND( OFFSET($A$1, 477 - 1, 96 - 1) = "1", OFFSET($A$1, 477 - 1, 97 - 1) = "1" ), 1, IF( AND( OFFSET($A$1, 477 - 1, 96 - 1) = "1", OFFSET($A$1, 477 - 1, 97 - 1) = "0" ), 2, IF( AND( OFFSET($A$1, 477 - 1, 96 - 1) = "0", OFFSET($A$1, 477 - 1, 97 - 1) = "1" ), 3, 4 ) ) )</f>
        <v>4</v>
      </c>
    </row>
    <row r="478" spans="95:98" ht="13.8" x14ac:dyDescent="0.3">
      <c r="CQ478" s="24">
        <v>0.99981385964303227</v>
      </c>
      <c r="CR478" s="24" t="str">
        <f>"1"</f>
        <v>1</v>
      </c>
      <c r="CS478" t="str">
        <f ca="1">IF((OFFSET($A$1, 478 - 1, 95 - 1)) &gt;= (OFFSET($A$1, 54 - 1, 7 - 1)), "1","0")</f>
        <v>1</v>
      </c>
      <c r="CT478">
        <f ca="1" xml:space="preserve"> IF( AND( OFFSET($A$1, 478 - 1, 96 - 1) = "1", OFFSET($A$1, 478 - 1, 97 - 1) = "1" ), 1, IF( AND( OFFSET($A$1, 478 - 1, 96 - 1) = "1", OFFSET($A$1, 478 - 1, 97 - 1) = "0" ), 2, IF( AND( OFFSET($A$1, 478 - 1, 96 - 1) = "0", OFFSET($A$1, 478 - 1, 97 - 1) = "1" ), 3, 4 ) ) )</f>
        <v>1</v>
      </c>
    </row>
    <row r="479" spans="95:98" ht="13.8" x14ac:dyDescent="0.3">
      <c r="CQ479" s="24">
        <v>0.90113135956592649</v>
      </c>
      <c r="CR479" s="24" t="str">
        <f>"1"</f>
        <v>1</v>
      </c>
      <c r="CS479" t="str">
        <f ca="1">IF((OFFSET($A$1, 479 - 1, 95 - 1)) &gt;= (OFFSET($A$1, 54 - 1, 7 - 1)), "1","0")</f>
        <v>0</v>
      </c>
      <c r="CT479">
        <f ca="1" xml:space="preserve"> IF( AND( OFFSET($A$1, 479 - 1, 96 - 1) = "1", OFFSET($A$1, 479 - 1, 97 - 1) = "1" ), 1, IF( AND( OFFSET($A$1, 479 - 1, 96 - 1) = "1", OFFSET($A$1, 479 - 1, 97 - 1) = "0" ), 2, IF( AND( OFFSET($A$1, 479 - 1, 96 - 1) = "0", OFFSET($A$1, 479 - 1, 97 - 1) = "1" ), 3, 4 ) ) )</f>
        <v>2</v>
      </c>
    </row>
    <row r="480" spans="95:98" ht="13.8" x14ac:dyDescent="0.3">
      <c r="CQ480" s="24">
        <v>0.10346838498706076</v>
      </c>
      <c r="CR480" s="24" t="str">
        <f>"0"</f>
        <v>0</v>
      </c>
      <c r="CS480" t="str">
        <f ca="1">IF((OFFSET($A$1, 480 - 1, 95 - 1)) &gt;= (OFFSET($A$1, 54 - 1, 7 - 1)), "1","0")</f>
        <v>0</v>
      </c>
      <c r="CT480">
        <f ca="1" xml:space="preserve"> IF( AND( OFFSET($A$1, 480 - 1, 96 - 1) = "1", OFFSET($A$1, 480 - 1, 97 - 1) = "1" ), 1, IF( AND( OFFSET($A$1, 480 - 1, 96 - 1) = "1", OFFSET($A$1, 480 - 1, 97 - 1) = "0" ), 2, IF( AND( OFFSET($A$1, 480 - 1, 96 - 1) = "0", OFFSET($A$1, 480 - 1, 97 - 1) = "1" ), 3, 4 ) ) )</f>
        <v>4</v>
      </c>
    </row>
    <row r="481" spans="95:98" ht="13.8" x14ac:dyDescent="0.3">
      <c r="CQ481" s="24">
        <v>0.91299027815537526</v>
      </c>
      <c r="CR481" s="24" t="str">
        <f>"1"</f>
        <v>1</v>
      </c>
      <c r="CS481" t="str">
        <f ca="1">IF((OFFSET($A$1, 481 - 1, 95 - 1)) &gt;= (OFFSET($A$1, 54 - 1, 7 - 1)), "1","0")</f>
        <v>0</v>
      </c>
      <c r="CT481">
        <f ca="1" xml:space="preserve"> IF( AND( OFFSET($A$1, 481 - 1, 96 - 1) = "1", OFFSET($A$1, 481 - 1, 97 - 1) = "1" ), 1, IF( AND( OFFSET($A$1, 481 - 1, 96 - 1) = "1", OFFSET($A$1, 481 - 1, 97 - 1) = "0" ), 2, IF( AND( OFFSET($A$1, 481 - 1, 96 - 1) = "0", OFFSET($A$1, 481 - 1, 97 - 1) = "1" ), 3, 4 ) ) )</f>
        <v>2</v>
      </c>
    </row>
    <row r="482" spans="95:98" ht="13.8" x14ac:dyDescent="0.3">
      <c r="CQ482" s="24">
        <v>0.99833212338201938</v>
      </c>
      <c r="CR482" s="24" t="str">
        <f>"1"</f>
        <v>1</v>
      </c>
      <c r="CS482" t="str">
        <f ca="1">IF((OFFSET($A$1, 482 - 1, 95 - 1)) &gt;= (OFFSET($A$1, 54 - 1, 7 - 1)), "1","0")</f>
        <v>1</v>
      </c>
      <c r="CT482">
        <f ca="1" xml:space="preserve"> IF( AND( OFFSET($A$1, 482 - 1, 96 - 1) = "1", OFFSET($A$1, 482 - 1, 97 - 1) = "1" ), 1, IF( AND( OFFSET($A$1, 482 - 1, 96 - 1) = "1", OFFSET($A$1, 482 - 1, 97 - 1) = "0" ), 2, IF( AND( OFFSET($A$1, 482 - 1, 96 - 1) = "0", OFFSET($A$1, 482 - 1, 97 - 1) = "1" ), 3, 4 ) ) )</f>
        <v>1</v>
      </c>
    </row>
    <row r="483" spans="95:98" ht="13.8" x14ac:dyDescent="0.3">
      <c r="CQ483" s="24">
        <v>0.99291140902006458</v>
      </c>
      <c r="CR483" s="24" t="str">
        <f>"1"</f>
        <v>1</v>
      </c>
      <c r="CS483" t="str">
        <f ca="1">IF((OFFSET($A$1, 483 - 1, 95 - 1)) &gt;= (OFFSET($A$1, 54 - 1, 7 - 1)), "1","0")</f>
        <v>1</v>
      </c>
      <c r="CT483">
        <f ca="1" xml:space="preserve"> IF( AND( OFFSET($A$1, 483 - 1, 96 - 1) = "1", OFFSET($A$1, 483 - 1, 97 - 1) = "1" ), 1, IF( AND( OFFSET($A$1, 483 - 1, 96 - 1) = "1", OFFSET($A$1, 483 - 1, 97 - 1) = "0" ), 2, IF( AND( OFFSET($A$1, 483 - 1, 96 - 1) = "0", OFFSET($A$1, 483 - 1, 97 - 1) = "1" ), 3, 4 ) ) )</f>
        <v>1</v>
      </c>
    </row>
    <row r="484" spans="95:98" ht="13.8" x14ac:dyDescent="0.3">
      <c r="CQ484" s="24">
        <v>0.98482090607683681</v>
      </c>
      <c r="CR484" s="24" t="str">
        <f>"1"</f>
        <v>1</v>
      </c>
      <c r="CS484" t="str">
        <f ca="1">IF((OFFSET($A$1, 484 - 1, 95 - 1)) &gt;= (OFFSET($A$1, 54 - 1, 7 - 1)), "1","0")</f>
        <v>1</v>
      </c>
      <c r="CT484">
        <f ca="1" xml:space="preserve"> IF( AND( OFFSET($A$1, 484 - 1, 96 - 1) = "1", OFFSET($A$1, 484 - 1, 97 - 1) = "1" ), 1, IF( AND( OFFSET($A$1, 484 - 1, 96 - 1) = "1", OFFSET($A$1, 484 - 1, 97 - 1) = "0" ), 2, IF( AND( OFFSET($A$1, 484 - 1, 96 - 1) = "0", OFFSET($A$1, 484 - 1, 97 - 1) = "1" ), 3, 4 ) ) )</f>
        <v>1</v>
      </c>
    </row>
    <row r="485" spans="95:98" ht="13.8" x14ac:dyDescent="0.3">
      <c r="CQ485" s="24">
        <v>4.1104535250547074E-4</v>
      </c>
      <c r="CR485" s="24" t="str">
        <f>"0"</f>
        <v>0</v>
      </c>
      <c r="CS485" t="str">
        <f ca="1">IF((OFFSET($A$1, 485 - 1, 95 - 1)) &gt;= (OFFSET($A$1, 54 - 1, 7 - 1)), "1","0")</f>
        <v>0</v>
      </c>
      <c r="CT485">
        <f ca="1" xml:space="preserve"> IF( AND( OFFSET($A$1, 485 - 1, 96 - 1) = "1", OFFSET($A$1, 485 - 1, 97 - 1) = "1" ), 1, IF( AND( OFFSET($A$1, 485 - 1, 96 - 1) = "1", OFFSET($A$1, 485 - 1, 97 - 1) = "0" ), 2, IF( AND( OFFSET($A$1, 485 - 1, 96 - 1) = "0", OFFSET($A$1, 485 - 1, 97 - 1) = "1" ), 3, 4 ) ) )</f>
        <v>4</v>
      </c>
    </row>
    <row r="486" spans="95:98" ht="13.8" x14ac:dyDescent="0.3">
      <c r="CQ486" s="24">
        <v>0.91846063164113112</v>
      </c>
      <c r="CR486" s="24" t="str">
        <f>"1"</f>
        <v>1</v>
      </c>
      <c r="CS486" t="str">
        <f ca="1">IF((OFFSET($A$1, 486 - 1, 95 - 1)) &gt;= (OFFSET($A$1, 54 - 1, 7 - 1)), "1","0")</f>
        <v>0</v>
      </c>
      <c r="CT486">
        <f ca="1" xml:space="preserve"> IF( AND( OFFSET($A$1, 486 - 1, 96 - 1) = "1", OFFSET($A$1, 486 - 1, 97 - 1) = "1" ), 1, IF( AND( OFFSET($A$1, 486 - 1, 96 - 1) = "1", OFFSET($A$1, 486 - 1, 97 - 1) = "0" ), 2, IF( AND( OFFSET($A$1, 486 - 1, 96 - 1) = "0", OFFSET($A$1, 486 - 1, 97 - 1) = "1" ), 3, 4 ) ) )</f>
        <v>2</v>
      </c>
    </row>
    <row r="487" spans="95:98" ht="13.8" x14ac:dyDescent="0.3">
      <c r="CQ487" s="24">
        <v>0.92098648313121168</v>
      </c>
      <c r="CR487" s="24" t="str">
        <f>"1"</f>
        <v>1</v>
      </c>
      <c r="CS487" t="str">
        <f ca="1">IF((OFFSET($A$1, 487 - 1, 95 - 1)) &gt;= (OFFSET($A$1, 54 - 1, 7 - 1)), "1","0")</f>
        <v>0</v>
      </c>
      <c r="CT487">
        <f ca="1" xml:space="preserve"> IF( AND( OFFSET($A$1, 487 - 1, 96 - 1) = "1", OFFSET($A$1, 487 - 1, 97 - 1) = "1" ), 1, IF( AND( OFFSET($A$1, 487 - 1, 96 - 1) = "1", OFFSET($A$1, 487 - 1, 97 - 1) = "0" ), 2, IF( AND( OFFSET($A$1, 487 - 1, 96 - 1) = "0", OFFSET($A$1, 487 - 1, 97 - 1) = "1" ), 3, 4 ) ) )</f>
        <v>2</v>
      </c>
    </row>
    <row r="488" spans="95:98" ht="13.8" x14ac:dyDescent="0.3">
      <c r="CQ488" s="24">
        <v>1.1875007020143272E-2</v>
      </c>
      <c r="CR488" s="24" t="str">
        <f>"0"</f>
        <v>0</v>
      </c>
      <c r="CS488" t="str">
        <f ca="1">IF((OFFSET($A$1, 488 - 1, 95 - 1)) &gt;= (OFFSET($A$1, 54 - 1, 7 - 1)), "1","0")</f>
        <v>0</v>
      </c>
      <c r="CT488">
        <f ca="1" xml:space="preserve"> IF( AND( OFFSET($A$1, 488 - 1, 96 - 1) = "1", OFFSET($A$1, 488 - 1, 97 - 1) = "1" ), 1, IF( AND( OFFSET($A$1, 488 - 1, 96 - 1) = "1", OFFSET($A$1, 488 - 1, 97 - 1) = "0" ), 2, IF( AND( OFFSET($A$1, 488 - 1, 96 - 1) = "0", OFFSET($A$1, 488 - 1, 97 - 1) = "1" ), 3, 4 ) ) )</f>
        <v>4</v>
      </c>
    </row>
    <row r="489" spans="95:98" ht="13.8" x14ac:dyDescent="0.3">
      <c r="CQ489" s="24">
        <v>0.97355724851620706</v>
      </c>
      <c r="CR489" s="24" t="str">
        <f>"1"</f>
        <v>1</v>
      </c>
      <c r="CS489" t="str">
        <f ca="1">IF((OFFSET($A$1, 489 - 1, 95 - 1)) &gt;= (OFFSET($A$1, 54 - 1, 7 - 1)), "1","0")</f>
        <v>1</v>
      </c>
      <c r="CT489">
        <f ca="1" xml:space="preserve"> IF( AND( OFFSET($A$1, 489 - 1, 96 - 1) = "1", OFFSET($A$1, 489 - 1, 97 - 1) = "1" ), 1, IF( AND( OFFSET($A$1, 489 - 1, 96 - 1) = "1", OFFSET($A$1, 489 - 1, 97 - 1) = "0" ), 2, IF( AND( OFFSET($A$1, 489 - 1, 96 - 1) = "0", OFFSET($A$1, 489 - 1, 97 - 1) = "1" ), 3, 4 ) ) )</f>
        <v>1</v>
      </c>
    </row>
    <row r="490" spans="95:98" ht="13.8" x14ac:dyDescent="0.3">
      <c r="CQ490" s="24">
        <v>0.12806451476547714</v>
      </c>
      <c r="CR490" s="24" t="str">
        <f>"0"</f>
        <v>0</v>
      </c>
      <c r="CS490" t="str">
        <f ca="1">IF((OFFSET($A$1, 490 - 1, 95 - 1)) &gt;= (OFFSET($A$1, 54 - 1, 7 - 1)), "1","0")</f>
        <v>0</v>
      </c>
      <c r="CT490">
        <f ca="1" xml:space="preserve"> IF( AND( OFFSET($A$1, 490 - 1, 96 - 1) = "1", OFFSET($A$1, 490 - 1, 97 - 1) = "1" ), 1, IF( AND( OFFSET($A$1, 490 - 1, 96 - 1) = "1", OFFSET($A$1, 490 - 1, 97 - 1) = "0" ), 2, IF( AND( OFFSET($A$1, 490 - 1, 96 - 1) = "0", OFFSET($A$1, 490 - 1, 97 - 1) = "1" ), 3, 4 ) ) )</f>
        <v>4</v>
      </c>
    </row>
    <row r="491" spans="95:98" ht="13.8" x14ac:dyDescent="0.3">
      <c r="CQ491" s="24">
        <v>0.91943094136628511</v>
      </c>
      <c r="CR491" s="24" t="str">
        <f t="shared" ref="CR491:CR502" si="34">"1"</f>
        <v>1</v>
      </c>
      <c r="CS491" t="str">
        <f ca="1">IF((OFFSET($A$1, 491 - 1, 95 - 1)) &gt;= (OFFSET($A$1, 54 - 1, 7 - 1)), "1","0")</f>
        <v>0</v>
      </c>
      <c r="CT491">
        <f ca="1" xml:space="preserve"> IF( AND( OFFSET($A$1, 491 - 1, 96 - 1) = "1", OFFSET($A$1, 491 - 1, 97 - 1) = "1" ), 1, IF( AND( OFFSET($A$1, 491 - 1, 96 - 1) = "1", OFFSET($A$1, 491 - 1, 97 - 1) = "0" ), 2, IF( AND( OFFSET($A$1, 491 - 1, 96 - 1) = "0", OFFSET($A$1, 491 - 1, 97 - 1) = "1" ), 3, 4 ) ) )</f>
        <v>2</v>
      </c>
    </row>
    <row r="492" spans="95:98" ht="13.8" x14ac:dyDescent="0.3">
      <c r="CQ492" s="24">
        <v>0.90650786868597721</v>
      </c>
      <c r="CR492" s="24" t="str">
        <f t="shared" si="34"/>
        <v>1</v>
      </c>
      <c r="CS492" t="str">
        <f ca="1">IF((OFFSET($A$1, 492 - 1, 95 - 1)) &gt;= (OFFSET($A$1, 54 - 1, 7 - 1)), "1","0")</f>
        <v>0</v>
      </c>
      <c r="CT492">
        <f ca="1" xml:space="preserve"> IF( AND( OFFSET($A$1, 492 - 1, 96 - 1) = "1", OFFSET($A$1, 492 - 1, 97 - 1) = "1" ), 1, IF( AND( OFFSET($A$1, 492 - 1, 96 - 1) = "1", OFFSET($A$1, 492 - 1, 97 - 1) = "0" ), 2, IF( AND( OFFSET($A$1, 492 - 1, 96 - 1) = "0", OFFSET($A$1, 492 - 1, 97 - 1) = "1" ), 3, 4 ) ) )</f>
        <v>2</v>
      </c>
    </row>
    <row r="493" spans="95:98" ht="13.8" x14ac:dyDescent="0.3">
      <c r="CQ493" s="24">
        <v>0.9279153753879652</v>
      </c>
      <c r="CR493" s="24" t="str">
        <f t="shared" si="34"/>
        <v>1</v>
      </c>
      <c r="CS493" t="str">
        <f ca="1">IF((OFFSET($A$1, 493 - 1, 95 - 1)) &gt;= (OFFSET($A$1, 54 - 1, 7 - 1)), "1","0")</f>
        <v>0</v>
      </c>
      <c r="CT493">
        <f ca="1" xml:space="preserve"> IF( AND( OFFSET($A$1, 493 - 1, 96 - 1) = "1", OFFSET($A$1, 493 - 1, 97 - 1) = "1" ), 1, IF( AND( OFFSET($A$1, 493 - 1, 96 - 1) = "1", OFFSET($A$1, 493 - 1, 97 - 1) = "0" ), 2, IF( AND( OFFSET($A$1, 493 - 1, 96 - 1) = "0", OFFSET($A$1, 493 - 1, 97 - 1) = "1" ), 3, 4 ) ) )</f>
        <v>2</v>
      </c>
    </row>
    <row r="494" spans="95:98" ht="13.8" x14ac:dyDescent="0.3">
      <c r="CQ494" s="24">
        <v>0.92006167050038135</v>
      </c>
      <c r="CR494" s="24" t="str">
        <f t="shared" si="34"/>
        <v>1</v>
      </c>
      <c r="CS494" t="str">
        <f ca="1">IF((OFFSET($A$1, 494 - 1, 95 - 1)) &gt;= (OFFSET($A$1, 54 - 1, 7 - 1)), "1","0")</f>
        <v>0</v>
      </c>
      <c r="CT494">
        <f ca="1" xml:space="preserve"> IF( AND( OFFSET($A$1, 494 - 1, 96 - 1) = "1", OFFSET($A$1, 494 - 1, 97 - 1) = "1" ), 1, IF( AND( OFFSET($A$1, 494 - 1, 96 - 1) = "1", OFFSET($A$1, 494 - 1, 97 - 1) = "0" ), 2, IF( AND( OFFSET($A$1, 494 - 1, 96 - 1) = "0", OFFSET($A$1, 494 - 1, 97 - 1) = "1" ), 3, 4 ) ) )</f>
        <v>2</v>
      </c>
    </row>
    <row r="495" spans="95:98" ht="13.8" x14ac:dyDescent="0.3">
      <c r="CQ495" s="24">
        <v>0.88383063496450798</v>
      </c>
      <c r="CR495" s="24" t="str">
        <f t="shared" si="34"/>
        <v>1</v>
      </c>
      <c r="CS495" t="str">
        <f ca="1">IF((OFFSET($A$1, 495 - 1, 95 - 1)) &gt;= (OFFSET($A$1, 54 - 1, 7 - 1)), "1","0")</f>
        <v>0</v>
      </c>
      <c r="CT495">
        <f ca="1" xml:space="preserve"> IF( AND( OFFSET($A$1, 495 - 1, 96 - 1) = "1", OFFSET($A$1, 495 - 1, 97 - 1) = "1" ), 1, IF( AND( OFFSET($A$1, 495 - 1, 96 - 1) = "1", OFFSET($A$1, 495 - 1, 97 - 1) = "0" ), 2, IF( AND( OFFSET($A$1, 495 - 1, 96 - 1) = "0", OFFSET($A$1, 495 - 1, 97 - 1) = "1" ), 3, 4 ) ) )</f>
        <v>2</v>
      </c>
    </row>
    <row r="496" spans="95:98" ht="13.8" x14ac:dyDescent="0.3">
      <c r="CQ496" s="24">
        <v>0.92226703587463144</v>
      </c>
      <c r="CR496" s="24" t="str">
        <f t="shared" si="34"/>
        <v>1</v>
      </c>
      <c r="CS496" t="str">
        <f ca="1">IF((OFFSET($A$1, 496 - 1, 95 - 1)) &gt;= (OFFSET($A$1, 54 - 1, 7 - 1)), "1","0")</f>
        <v>0</v>
      </c>
      <c r="CT496">
        <f ca="1" xml:space="preserve"> IF( AND( OFFSET($A$1, 496 - 1, 96 - 1) = "1", OFFSET($A$1, 496 - 1, 97 - 1) = "1" ), 1, IF( AND( OFFSET($A$1, 496 - 1, 96 - 1) = "1", OFFSET($A$1, 496 - 1, 97 - 1) = "0" ), 2, IF( AND( OFFSET($A$1, 496 - 1, 96 - 1) = "0", OFFSET($A$1, 496 - 1, 97 - 1) = "1" ), 3, 4 ) ) )</f>
        <v>2</v>
      </c>
    </row>
    <row r="497" spans="95:98" ht="13.8" x14ac:dyDescent="0.3">
      <c r="CQ497" s="24">
        <v>0.9248744651683235</v>
      </c>
      <c r="CR497" s="24" t="str">
        <f t="shared" si="34"/>
        <v>1</v>
      </c>
      <c r="CS497" t="str">
        <f ca="1">IF((OFFSET($A$1, 497 - 1, 95 - 1)) &gt;= (OFFSET($A$1, 54 - 1, 7 - 1)), "1","0")</f>
        <v>0</v>
      </c>
      <c r="CT497">
        <f ca="1" xml:space="preserve"> IF( AND( OFFSET($A$1, 497 - 1, 96 - 1) = "1", OFFSET($A$1, 497 - 1, 97 - 1) = "1" ), 1, IF( AND( OFFSET($A$1, 497 - 1, 96 - 1) = "1", OFFSET($A$1, 497 - 1, 97 - 1) = "0" ), 2, IF( AND( OFFSET($A$1, 497 - 1, 96 - 1) = "0", OFFSET($A$1, 497 - 1, 97 - 1) = "1" ), 3, 4 ) ) )</f>
        <v>2</v>
      </c>
    </row>
    <row r="498" spans="95:98" ht="13.8" x14ac:dyDescent="0.3">
      <c r="CQ498" s="24">
        <v>0.90991382054800196</v>
      </c>
      <c r="CR498" s="24" t="str">
        <f t="shared" si="34"/>
        <v>1</v>
      </c>
      <c r="CS498" t="str">
        <f ca="1">IF((OFFSET($A$1, 498 - 1, 95 - 1)) &gt;= (OFFSET($A$1, 54 - 1, 7 - 1)), "1","0")</f>
        <v>0</v>
      </c>
      <c r="CT498">
        <f ca="1" xml:space="preserve"> IF( AND( OFFSET($A$1, 498 - 1, 96 - 1) = "1", OFFSET($A$1, 498 - 1, 97 - 1) = "1" ), 1, IF( AND( OFFSET($A$1, 498 - 1, 96 - 1) = "1", OFFSET($A$1, 498 - 1, 97 - 1) = "0" ), 2, IF( AND( OFFSET($A$1, 498 - 1, 96 - 1) = "0", OFFSET($A$1, 498 - 1, 97 - 1) = "1" ), 3, 4 ) ) )</f>
        <v>2</v>
      </c>
    </row>
    <row r="499" spans="95:98" ht="13.8" x14ac:dyDescent="0.3">
      <c r="CQ499" s="24">
        <v>0.8526598662240289</v>
      </c>
      <c r="CR499" s="24" t="str">
        <f t="shared" si="34"/>
        <v>1</v>
      </c>
      <c r="CS499" t="str">
        <f ca="1">IF((OFFSET($A$1, 499 - 1, 95 - 1)) &gt;= (OFFSET($A$1, 54 - 1, 7 - 1)), "1","0")</f>
        <v>0</v>
      </c>
      <c r="CT499">
        <f ca="1" xml:space="preserve"> IF( AND( OFFSET($A$1, 499 - 1, 96 - 1) = "1", OFFSET($A$1, 499 - 1, 97 - 1) = "1" ), 1, IF( AND( OFFSET($A$1, 499 - 1, 96 - 1) = "1", OFFSET($A$1, 499 - 1, 97 - 1) = "0" ), 2, IF( AND( OFFSET($A$1, 499 - 1, 96 - 1) = "0", OFFSET($A$1, 499 - 1, 97 - 1) = "1" ), 3, 4 ) ) )</f>
        <v>2</v>
      </c>
    </row>
    <row r="500" spans="95:98" ht="13.8" x14ac:dyDescent="0.3">
      <c r="CQ500" s="24">
        <v>0.99028347149345308</v>
      </c>
      <c r="CR500" s="24" t="str">
        <f t="shared" si="34"/>
        <v>1</v>
      </c>
      <c r="CS500" t="str">
        <f ca="1">IF((OFFSET($A$1, 500 - 1, 95 - 1)) &gt;= (OFFSET($A$1, 54 - 1, 7 - 1)), "1","0")</f>
        <v>1</v>
      </c>
      <c r="CT500">
        <f ca="1" xml:space="preserve"> IF( AND( OFFSET($A$1, 500 - 1, 96 - 1) = "1", OFFSET($A$1, 500 - 1, 97 - 1) = "1" ), 1, IF( AND( OFFSET($A$1, 500 - 1, 96 - 1) = "1", OFFSET($A$1, 500 - 1, 97 - 1) = "0" ), 2, IF( AND( OFFSET($A$1, 500 - 1, 96 - 1) = "0", OFFSET($A$1, 500 - 1, 97 - 1) = "1" ), 3, 4 ) ) )</f>
        <v>1</v>
      </c>
    </row>
    <row r="501" spans="95:98" ht="13.8" x14ac:dyDescent="0.3">
      <c r="CQ501" s="24">
        <v>0.99619080223183432</v>
      </c>
      <c r="CR501" s="24" t="str">
        <f t="shared" si="34"/>
        <v>1</v>
      </c>
      <c r="CS501" t="str">
        <f ca="1">IF((OFFSET($A$1, 501 - 1, 95 - 1)) &gt;= (OFFSET($A$1, 54 - 1, 7 - 1)), "1","0")</f>
        <v>1</v>
      </c>
      <c r="CT501">
        <f ca="1" xml:space="preserve"> IF( AND( OFFSET($A$1, 501 - 1, 96 - 1) = "1", OFFSET($A$1, 501 - 1, 97 - 1) = "1" ), 1, IF( AND( OFFSET($A$1, 501 - 1, 96 - 1) = "1", OFFSET($A$1, 501 - 1, 97 - 1) = "0" ), 2, IF( AND( OFFSET($A$1, 501 - 1, 96 - 1) = "0", OFFSET($A$1, 501 - 1, 97 - 1) = "1" ), 3, 4 ) ) )</f>
        <v>1</v>
      </c>
    </row>
    <row r="502" spans="95:98" ht="13.8" x14ac:dyDescent="0.3">
      <c r="CQ502" s="24">
        <v>0.92981803600179413</v>
      </c>
      <c r="CR502" s="24" t="str">
        <f t="shared" si="34"/>
        <v>1</v>
      </c>
      <c r="CS502" t="str">
        <f ca="1">IF((OFFSET($A$1, 502 - 1, 95 - 1)) &gt;= (OFFSET($A$1, 54 - 1, 7 - 1)), "1","0")</f>
        <v>0</v>
      </c>
      <c r="CT502">
        <f ca="1" xml:space="preserve"> IF( AND( OFFSET($A$1, 502 - 1, 96 - 1) = "1", OFFSET($A$1, 502 - 1, 97 - 1) = "1" ), 1, IF( AND( OFFSET($A$1, 502 - 1, 96 - 1) = "1", OFFSET($A$1, 502 - 1, 97 - 1) = "0" ), 2, IF( AND( OFFSET($A$1, 502 - 1, 96 - 1) = "0", OFFSET($A$1, 502 - 1, 97 - 1) = "1" ), 3, 4 ) ) )</f>
        <v>2</v>
      </c>
    </row>
    <row r="503" spans="95:98" ht="13.8" x14ac:dyDescent="0.3">
      <c r="CQ503" s="24">
        <v>0.99985331123245891</v>
      </c>
      <c r="CR503" s="24" t="str">
        <f>"0"</f>
        <v>0</v>
      </c>
      <c r="CS503" t="str">
        <f ca="1">IF((OFFSET($A$1, 503 - 1, 95 - 1)) &gt;= (OFFSET($A$1, 54 - 1, 7 - 1)), "1","0")</f>
        <v>1</v>
      </c>
      <c r="CT503">
        <f ca="1" xml:space="preserve"> IF( AND( OFFSET($A$1, 503 - 1, 96 - 1) = "1", OFFSET($A$1, 503 - 1, 97 - 1) = "1" ), 1, IF( AND( OFFSET($A$1, 503 - 1, 96 - 1) = "1", OFFSET($A$1, 503 - 1, 97 - 1) = "0" ), 2, IF( AND( OFFSET($A$1, 503 - 1, 96 - 1) = "0", OFFSET($A$1, 503 - 1, 97 - 1) = "1" ), 3, 4 ) ) )</f>
        <v>3</v>
      </c>
    </row>
    <row r="504" spans="95:98" ht="13.8" x14ac:dyDescent="0.3">
      <c r="CQ504" s="24">
        <v>0.96320052640420317</v>
      </c>
      <c r="CR504" s="24" t="str">
        <f>"1"</f>
        <v>1</v>
      </c>
      <c r="CS504" t="str">
        <f ca="1">IF((OFFSET($A$1, 504 - 1, 95 - 1)) &gt;= (OFFSET($A$1, 54 - 1, 7 - 1)), "1","0")</f>
        <v>1</v>
      </c>
      <c r="CT504">
        <f ca="1" xml:space="preserve"> IF( AND( OFFSET($A$1, 504 - 1, 96 - 1) = "1", OFFSET($A$1, 504 - 1, 97 - 1) = "1" ), 1, IF( AND( OFFSET($A$1, 504 - 1, 96 - 1) = "1", OFFSET($A$1, 504 - 1, 97 - 1) = "0" ), 2, IF( AND( OFFSET($A$1, 504 - 1, 96 - 1) = "0", OFFSET($A$1, 504 - 1, 97 - 1) = "1" ), 3, 4 ) ) )</f>
        <v>1</v>
      </c>
    </row>
    <row r="505" spans="95:98" ht="13.8" x14ac:dyDescent="0.3">
      <c r="CQ505" s="24">
        <v>0.99793036054935813</v>
      </c>
      <c r="CR505" s="24" t="str">
        <f>"1"</f>
        <v>1</v>
      </c>
      <c r="CS505" t="str">
        <f ca="1">IF((OFFSET($A$1, 505 - 1, 95 - 1)) &gt;= (OFFSET($A$1, 54 - 1, 7 - 1)), "1","0")</f>
        <v>1</v>
      </c>
      <c r="CT505">
        <f ca="1" xml:space="preserve"> IF( AND( OFFSET($A$1, 505 - 1, 96 - 1) = "1", OFFSET($A$1, 505 - 1, 97 - 1) = "1" ), 1, IF( AND( OFFSET($A$1, 505 - 1, 96 - 1) = "1", OFFSET($A$1, 505 - 1, 97 - 1) = "0" ), 2, IF( AND( OFFSET($A$1, 505 - 1, 96 - 1) = "0", OFFSET($A$1, 505 - 1, 97 - 1) = "1" ), 3, 4 ) ) )</f>
        <v>1</v>
      </c>
    </row>
    <row r="506" spans="95:98" ht="13.8" x14ac:dyDescent="0.3">
      <c r="CQ506" s="24">
        <v>0.99946959531641022</v>
      </c>
      <c r="CR506" s="24" t="str">
        <f>"1"</f>
        <v>1</v>
      </c>
      <c r="CS506" t="str">
        <f ca="1">IF((OFFSET($A$1, 506 - 1, 95 - 1)) &gt;= (OFFSET($A$1, 54 - 1, 7 - 1)), "1","0")</f>
        <v>1</v>
      </c>
      <c r="CT506">
        <f ca="1" xml:space="preserve"> IF( AND( OFFSET($A$1, 506 - 1, 96 - 1) = "1", OFFSET($A$1, 506 - 1, 97 - 1) = "1" ), 1, IF( AND( OFFSET($A$1, 506 - 1, 96 - 1) = "1", OFFSET($A$1, 506 - 1, 97 - 1) = "0" ), 2, IF( AND( OFFSET($A$1, 506 - 1, 96 - 1) = "0", OFFSET($A$1, 506 - 1, 97 - 1) = "1" ), 3, 4 ) ) )</f>
        <v>1</v>
      </c>
    </row>
    <row r="507" spans="95:98" ht="13.8" x14ac:dyDescent="0.3">
      <c r="CQ507" s="24">
        <v>6.6528775543410901E-4</v>
      </c>
      <c r="CR507" s="24" t="str">
        <f>"0"</f>
        <v>0</v>
      </c>
      <c r="CS507" t="str">
        <f ca="1">IF((OFFSET($A$1, 507 - 1, 95 - 1)) &gt;= (OFFSET($A$1, 54 - 1, 7 - 1)), "1","0")</f>
        <v>0</v>
      </c>
      <c r="CT507">
        <f ca="1" xml:space="preserve"> IF( AND( OFFSET($A$1, 507 - 1, 96 - 1) = "1", OFFSET($A$1, 507 - 1, 97 - 1) = "1" ), 1, IF( AND( OFFSET($A$1, 507 - 1, 96 - 1) = "1", OFFSET($A$1, 507 - 1, 97 - 1) = "0" ), 2, IF( AND( OFFSET($A$1, 507 - 1, 96 - 1) = "0", OFFSET($A$1, 507 - 1, 97 - 1) = "1" ), 3, 4 ) ) )</f>
        <v>4</v>
      </c>
    </row>
    <row r="508" spans="95:98" ht="13.8" x14ac:dyDescent="0.3">
      <c r="CQ508" s="24">
        <v>0.12274204481743539</v>
      </c>
      <c r="CR508" s="24" t="str">
        <f>"0"</f>
        <v>0</v>
      </c>
      <c r="CS508" t="str">
        <f ca="1">IF((OFFSET($A$1, 508 - 1, 95 - 1)) &gt;= (OFFSET($A$1, 54 - 1, 7 - 1)), "1","0")</f>
        <v>0</v>
      </c>
      <c r="CT508">
        <f ca="1" xml:space="preserve"> IF( AND( OFFSET($A$1, 508 - 1, 96 - 1) = "1", OFFSET($A$1, 508 - 1, 97 - 1) = "1" ), 1, IF( AND( OFFSET($A$1, 508 - 1, 96 - 1) = "1", OFFSET($A$1, 508 - 1, 97 - 1) = "0" ), 2, IF( AND( OFFSET($A$1, 508 - 1, 96 - 1) = "0", OFFSET($A$1, 508 - 1, 97 - 1) = "1" ), 3, 4 ) ) )</f>
        <v>4</v>
      </c>
    </row>
    <row r="509" spans="95:98" ht="13.8" x14ac:dyDescent="0.3">
      <c r="CQ509" s="24">
        <v>3.7678173752469991E-2</v>
      </c>
      <c r="CR509" s="24" t="str">
        <f>"0"</f>
        <v>0</v>
      </c>
      <c r="CS509" t="str">
        <f ca="1">IF((OFFSET($A$1, 509 - 1, 95 - 1)) &gt;= (OFFSET($A$1, 54 - 1, 7 - 1)), "1","0")</f>
        <v>0</v>
      </c>
      <c r="CT509">
        <f ca="1" xml:space="preserve"> IF( AND( OFFSET($A$1, 509 - 1, 96 - 1) = "1", OFFSET($A$1, 509 - 1, 97 - 1) = "1" ), 1, IF( AND( OFFSET($A$1, 509 - 1, 96 - 1) = "1", OFFSET($A$1, 509 - 1, 97 - 1) = "0" ), 2, IF( AND( OFFSET($A$1, 509 - 1, 96 - 1) = "0", OFFSET($A$1, 509 - 1, 97 - 1) = "1" ), 3, 4 ) ) )</f>
        <v>4</v>
      </c>
    </row>
    <row r="510" spans="95:98" ht="13.8" x14ac:dyDescent="0.3">
      <c r="CQ510" s="24">
        <v>0.96298153804923481</v>
      </c>
      <c r="CR510" s="24" t="str">
        <f>"1"</f>
        <v>1</v>
      </c>
      <c r="CS510" t="str">
        <f ca="1">IF((OFFSET($A$1, 510 - 1, 95 - 1)) &gt;= (OFFSET($A$1, 54 - 1, 7 - 1)), "1","0")</f>
        <v>1</v>
      </c>
      <c r="CT510">
        <f ca="1" xml:space="preserve"> IF( AND( OFFSET($A$1, 510 - 1, 96 - 1) = "1", OFFSET($A$1, 510 - 1, 97 - 1) = "1" ), 1, IF( AND( OFFSET($A$1, 510 - 1, 96 - 1) = "1", OFFSET($A$1, 510 - 1, 97 - 1) = "0" ), 2, IF( AND( OFFSET($A$1, 510 - 1, 96 - 1) = "0", OFFSET($A$1, 510 - 1, 97 - 1) = "1" ), 3, 4 ) ) )</f>
        <v>1</v>
      </c>
    </row>
    <row r="511" spans="95:98" ht="13.8" x14ac:dyDescent="0.3">
      <c r="CQ511" s="24">
        <v>0.91196315846255305</v>
      </c>
      <c r="CR511" s="24" t="str">
        <f>"1"</f>
        <v>1</v>
      </c>
      <c r="CS511" t="str">
        <f ca="1">IF((OFFSET($A$1, 511 - 1, 95 - 1)) &gt;= (OFFSET($A$1, 54 - 1, 7 - 1)), "1","0")</f>
        <v>0</v>
      </c>
      <c r="CT511">
        <f ca="1" xml:space="preserve"> IF( AND( OFFSET($A$1, 511 - 1, 96 - 1) = "1", OFFSET($A$1, 511 - 1, 97 - 1) = "1" ), 1, IF( AND( OFFSET($A$1, 511 - 1, 96 - 1) = "1", OFFSET($A$1, 511 - 1, 97 - 1) = "0" ), 2, IF( AND( OFFSET($A$1, 511 - 1, 96 - 1) = "0", OFFSET($A$1, 511 - 1, 97 - 1) = "1" ), 3, 4 ) ) )</f>
        <v>2</v>
      </c>
    </row>
    <row r="512" spans="95:98" ht="13.8" x14ac:dyDescent="0.3">
      <c r="CQ512" s="24">
        <v>0.9674543197693144</v>
      </c>
      <c r="CR512" s="24" t="str">
        <f>"1"</f>
        <v>1</v>
      </c>
      <c r="CS512" t="str">
        <f ca="1">IF((OFFSET($A$1, 512 - 1, 95 - 1)) &gt;= (OFFSET($A$1, 54 - 1, 7 - 1)), "1","0")</f>
        <v>1</v>
      </c>
      <c r="CT512">
        <f ca="1" xml:space="preserve"> IF( AND( OFFSET($A$1, 512 - 1, 96 - 1) = "1", OFFSET($A$1, 512 - 1, 97 - 1) = "1" ), 1, IF( AND( OFFSET($A$1, 512 - 1, 96 - 1) = "1", OFFSET($A$1, 512 - 1, 97 - 1) = "0" ), 2, IF( AND( OFFSET($A$1, 512 - 1, 96 - 1) = "0", OFFSET($A$1, 512 - 1, 97 - 1) = "1" ), 3, 4 ) ) )</f>
        <v>1</v>
      </c>
    </row>
    <row r="513" spans="95:98" ht="13.8" x14ac:dyDescent="0.3">
      <c r="CQ513" s="24">
        <v>6.367178554549148E-2</v>
      </c>
      <c r="CR513" s="24" t="str">
        <f>"0"</f>
        <v>0</v>
      </c>
      <c r="CS513" t="str">
        <f ca="1">IF((OFFSET($A$1, 513 - 1, 95 - 1)) &gt;= (OFFSET($A$1, 54 - 1, 7 - 1)), "1","0")</f>
        <v>0</v>
      </c>
      <c r="CT513">
        <f ca="1" xml:space="preserve"> IF( AND( OFFSET($A$1, 513 - 1, 96 - 1) = "1", OFFSET($A$1, 513 - 1, 97 - 1) = "1" ), 1, IF( AND( OFFSET($A$1, 513 - 1, 96 - 1) = "1", OFFSET($A$1, 513 - 1, 97 - 1) = "0" ), 2, IF( AND( OFFSET($A$1, 513 - 1, 96 - 1) = "0", OFFSET($A$1, 513 - 1, 97 - 1) = "1" ), 3, 4 ) ) )</f>
        <v>4</v>
      </c>
    </row>
    <row r="514" spans="95:98" ht="13.8" x14ac:dyDescent="0.3">
      <c r="CQ514" s="24">
        <v>0.84174760930963166</v>
      </c>
      <c r="CR514" s="24" t="str">
        <f>"1"</f>
        <v>1</v>
      </c>
      <c r="CS514" t="str">
        <f ca="1">IF((OFFSET($A$1, 514 - 1, 95 - 1)) &gt;= (OFFSET($A$1, 54 - 1, 7 - 1)), "1","0")</f>
        <v>0</v>
      </c>
      <c r="CT514">
        <f ca="1" xml:space="preserve"> IF( AND( OFFSET($A$1, 514 - 1, 96 - 1) = "1", OFFSET($A$1, 514 - 1, 97 - 1) = "1" ), 1, IF( AND( OFFSET($A$1, 514 - 1, 96 - 1) = "1", OFFSET($A$1, 514 - 1, 97 - 1) = "0" ), 2, IF( AND( OFFSET($A$1, 514 - 1, 96 - 1) = "0", OFFSET($A$1, 514 - 1, 97 - 1) = "1" ), 3, 4 ) ) )</f>
        <v>2</v>
      </c>
    </row>
    <row r="515" spans="95:98" ht="13.8" x14ac:dyDescent="0.3">
      <c r="CQ515" s="24">
        <v>0.88737006348568415</v>
      </c>
      <c r="CR515" s="24" t="str">
        <f>"1"</f>
        <v>1</v>
      </c>
      <c r="CS515" t="str">
        <f ca="1">IF((OFFSET($A$1, 515 - 1, 95 - 1)) &gt;= (OFFSET($A$1, 54 - 1, 7 - 1)), "1","0")</f>
        <v>0</v>
      </c>
      <c r="CT515">
        <f ca="1" xml:space="preserve"> IF( AND( OFFSET($A$1, 515 - 1, 96 - 1) = "1", OFFSET($A$1, 515 - 1, 97 - 1) = "1" ), 1, IF( AND( OFFSET($A$1, 515 - 1, 96 - 1) = "1", OFFSET($A$1, 515 - 1, 97 - 1) = "0" ), 2, IF( AND( OFFSET($A$1, 515 - 1, 96 - 1) = "0", OFFSET($A$1, 515 - 1, 97 - 1) = "1" ), 3, 4 ) ) )</f>
        <v>2</v>
      </c>
    </row>
    <row r="516" spans="95:98" ht="13.8" x14ac:dyDescent="0.3">
      <c r="CQ516" s="24">
        <v>0.9999107914415255</v>
      </c>
      <c r="CR516" s="24" t="str">
        <f>"1"</f>
        <v>1</v>
      </c>
      <c r="CS516" t="str">
        <f ca="1">IF((OFFSET($A$1, 516 - 1, 95 - 1)) &gt;= (OFFSET($A$1, 54 - 1, 7 - 1)), "1","0")</f>
        <v>1</v>
      </c>
      <c r="CT516">
        <f ca="1" xml:space="preserve"> IF( AND( OFFSET($A$1, 516 - 1, 96 - 1) = "1", OFFSET($A$1, 516 - 1, 97 - 1) = "1" ), 1, IF( AND( OFFSET($A$1, 516 - 1, 96 - 1) = "1", OFFSET($A$1, 516 - 1, 97 - 1) = "0" ), 2, IF( AND( OFFSET($A$1, 516 - 1, 96 - 1) = "0", OFFSET($A$1, 516 - 1, 97 - 1) = "1" ), 3, 4 ) ) )</f>
        <v>1</v>
      </c>
    </row>
    <row r="517" spans="95:98" ht="13.8" x14ac:dyDescent="0.3">
      <c r="CQ517" s="24">
        <v>0.98163874345215663</v>
      </c>
      <c r="CR517" s="24" t="str">
        <f>"1"</f>
        <v>1</v>
      </c>
      <c r="CS517" t="str">
        <f ca="1">IF((OFFSET($A$1, 517 - 1, 95 - 1)) &gt;= (OFFSET($A$1, 54 - 1, 7 - 1)), "1","0")</f>
        <v>1</v>
      </c>
      <c r="CT517">
        <f ca="1" xml:space="preserve"> IF( AND( OFFSET($A$1, 517 - 1, 96 - 1) = "1", OFFSET($A$1, 517 - 1, 97 - 1) = "1" ), 1, IF( AND( OFFSET($A$1, 517 - 1, 96 - 1) = "1", OFFSET($A$1, 517 - 1, 97 - 1) = "0" ), 2, IF( AND( OFFSET($A$1, 517 - 1, 96 - 1) = "0", OFFSET($A$1, 517 - 1, 97 - 1) = "1" ), 3, 4 ) ) )</f>
        <v>1</v>
      </c>
    </row>
    <row r="518" spans="95:98" ht="13.8" x14ac:dyDescent="0.3">
      <c r="CQ518" s="24">
        <v>0.9999495162141685</v>
      </c>
      <c r="CR518" s="24" t="str">
        <f>"1"</f>
        <v>1</v>
      </c>
      <c r="CS518" t="str">
        <f ca="1">IF((OFFSET($A$1, 518 - 1, 95 - 1)) &gt;= (OFFSET($A$1, 54 - 1, 7 - 1)), "1","0")</f>
        <v>1</v>
      </c>
      <c r="CT518">
        <f ca="1" xml:space="preserve"> IF( AND( OFFSET($A$1, 518 - 1, 96 - 1) = "1", OFFSET($A$1, 518 - 1, 97 - 1) = "1" ), 1, IF( AND( OFFSET($A$1, 518 - 1, 96 - 1) = "1", OFFSET($A$1, 518 - 1, 97 - 1) = "0" ), 2, IF( AND( OFFSET($A$1, 518 - 1, 96 - 1) = "0", OFFSET($A$1, 518 - 1, 97 - 1) = "1" ), 3, 4 ) ) )</f>
        <v>1</v>
      </c>
    </row>
    <row r="519" spans="95:98" ht="13.8" x14ac:dyDescent="0.3">
      <c r="CQ519" s="24">
        <v>0.13255600341254539</v>
      </c>
      <c r="CR519" s="24" t="str">
        <f>"0"</f>
        <v>0</v>
      </c>
      <c r="CS519" t="str">
        <f ca="1">IF((OFFSET($A$1, 519 - 1, 95 - 1)) &gt;= (OFFSET($A$1, 54 - 1, 7 - 1)), "1","0")</f>
        <v>0</v>
      </c>
      <c r="CT519">
        <f ca="1" xml:space="preserve"> IF( AND( OFFSET($A$1, 519 - 1, 96 - 1) = "1", OFFSET($A$1, 519 - 1, 97 - 1) = "1" ), 1, IF( AND( OFFSET($A$1, 519 - 1, 96 - 1) = "1", OFFSET($A$1, 519 - 1, 97 - 1) = "0" ), 2, IF( AND( OFFSET($A$1, 519 - 1, 96 - 1) = "0", OFFSET($A$1, 519 - 1, 97 - 1) = "1" ), 3, 4 ) ) )</f>
        <v>4</v>
      </c>
    </row>
    <row r="520" spans="95:98" ht="13.8" x14ac:dyDescent="0.3">
      <c r="CQ520" s="24">
        <v>0.14967841927425193</v>
      </c>
      <c r="CR520" s="24" t="str">
        <f>"0"</f>
        <v>0</v>
      </c>
      <c r="CS520" t="str">
        <f ca="1">IF((OFFSET($A$1, 520 - 1, 95 - 1)) &gt;= (OFFSET($A$1, 54 - 1, 7 - 1)), "1","0")</f>
        <v>0</v>
      </c>
      <c r="CT520">
        <f ca="1" xml:space="preserve"> IF( AND( OFFSET($A$1, 520 - 1, 96 - 1) = "1", OFFSET($A$1, 520 - 1, 97 - 1) = "1" ), 1, IF( AND( OFFSET($A$1, 520 - 1, 96 - 1) = "1", OFFSET($A$1, 520 - 1, 97 - 1) = "0" ), 2, IF( AND( OFFSET($A$1, 520 - 1, 96 - 1) = "0", OFFSET($A$1, 520 - 1, 97 - 1) = "1" ), 3, 4 ) ) )</f>
        <v>4</v>
      </c>
    </row>
    <row r="521" spans="95:98" ht="13.8" x14ac:dyDescent="0.3">
      <c r="CQ521" s="24">
        <v>0.99966153666703284</v>
      </c>
      <c r="CR521" s="24" t="str">
        <f>"1"</f>
        <v>1</v>
      </c>
      <c r="CS521" t="str">
        <f ca="1">IF((OFFSET($A$1, 521 - 1, 95 - 1)) &gt;= (OFFSET($A$1, 54 - 1, 7 - 1)), "1","0")</f>
        <v>1</v>
      </c>
      <c r="CT521">
        <f ca="1" xml:space="preserve"> IF( AND( OFFSET($A$1, 521 - 1, 96 - 1) = "1", OFFSET($A$1, 521 - 1, 97 - 1) = "1" ), 1, IF( AND( OFFSET($A$1, 521 - 1, 96 - 1) = "1", OFFSET($A$1, 521 - 1, 97 - 1) = "0" ), 2, IF( AND( OFFSET($A$1, 521 - 1, 96 - 1) = "0", OFFSET($A$1, 521 - 1, 97 - 1) = "1" ), 3, 4 ) ) )</f>
        <v>1</v>
      </c>
    </row>
    <row r="522" spans="95:98" ht="13.8" x14ac:dyDescent="0.3">
      <c r="CQ522" s="24">
        <v>0.98269626712429237</v>
      </c>
      <c r="CR522" s="24" t="str">
        <f>"1"</f>
        <v>1</v>
      </c>
      <c r="CS522" t="str">
        <f ca="1">IF((OFFSET($A$1, 522 - 1, 95 - 1)) &gt;= (OFFSET($A$1, 54 - 1, 7 - 1)), "1","0")</f>
        <v>1</v>
      </c>
      <c r="CT522">
        <f ca="1" xml:space="preserve"> IF( AND( OFFSET($A$1, 522 - 1, 96 - 1) = "1", OFFSET($A$1, 522 - 1, 97 - 1) = "1" ), 1, IF( AND( OFFSET($A$1, 522 - 1, 96 - 1) = "1", OFFSET($A$1, 522 - 1, 97 - 1) = "0" ), 2, IF( AND( OFFSET($A$1, 522 - 1, 96 - 1) = "0", OFFSET($A$1, 522 - 1, 97 - 1) = "1" ), 3, 4 ) ) )</f>
        <v>1</v>
      </c>
    </row>
    <row r="523" spans="95:98" ht="13.8" x14ac:dyDescent="0.3">
      <c r="CQ523" s="24">
        <v>0.94804515116066435</v>
      </c>
      <c r="CR523" s="24" t="str">
        <f>"1"</f>
        <v>1</v>
      </c>
      <c r="CS523" t="str">
        <f ca="1">IF((OFFSET($A$1, 523 - 1, 95 - 1)) &gt;= (OFFSET($A$1, 54 - 1, 7 - 1)), "1","0")</f>
        <v>0</v>
      </c>
      <c r="CT523">
        <f ca="1" xml:space="preserve"> IF( AND( OFFSET($A$1, 523 - 1, 96 - 1) = "1", OFFSET($A$1, 523 - 1, 97 - 1) = "1" ), 1, IF( AND( OFFSET($A$1, 523 - 1, 96 - 1) = "1", OFFSET($A$1, 523 - 1, 97 - 1) = "0" ), 2, IF( AND( OFFSET($A$1, 523 - 1, 96 - 1) = "0", OFFSET($A$1, 523 - 1, 97 - 1) = "1" ), 3, 4 ) ) )</f>
        <v>2</v>
      </c>
    </row>
    <row r="524" spans="95:98" ht="13.8" x14ac:dyDescent="0.3">
      <c r="CQ524" s="24">
        <v>9.6383350901948869E-2</v>
      </c>
      <c r="CR524" s="24" t="str">
        <f>"0"</f>
        <v>0</v>
      </c>
      <c r="CS524" t="str">
        <f ca="1">IF((OFFSET($A$1, 524 - 1, 95 - 1)) &gt;= (OFFSET($A$1, 54 - 1, 7 - 1)), "1","0")</f>
        <v>0</v>
      </c>
      <c r="CT524">
        <f ca="1" xml:space="preserve"> IF( AND( OFFSET($A$1, 524 - 1, 96 - 1) = "1", OFFSET($A$1, 524 - 1, 97 - 1) = "1" ), 1, IF( AND( OFFSET($A$1, 524 - 1, 96 - 1) = "1", OFFSET($A$1, 524 - 1, 97 - 1) = "0" ), 2, IF( AND( OFFSET($A$1, 524 - 1, 96 - 1) = "0", OFFSET($A$1, 524 - 1, 97 - 1) = "1" ), 3, 4 ) ) )</f>
        <v>4</v>
      </c>
    </row>
    <row r="525" spans="95:98" ht="13.8" x14ac:dyDescent="0.3">
      <c r="CQ525" s="24">
        <v>7.1754562344900033E-2</v>
      </c>
      <c r="CR525" s="24" t="str">
        <f>"0"</f>
        <v>0</v>
      </c>
      <c r="CS525" t="str">
        <f ca="1">IF((OFFSET($A$1, 525 - 1, 95 - 1)) &gt;= (OFFSET($A$1, 54 - 1, 7 - 1)), "1","0")</f>
        <v>0</v>
      </c>
      <c r="CT525">
        <f ca="1" xml:space="preserve"> IF( AND( OFFSET($A$1, 525 - 1, 96 - 1) = "1", OFFSET($A$1, 525 - 1, 97 - 1) = "1" ), 1, IF( AND( OFFSET($A$1, 525 - 1, 96 - 1) = "1", OFFSET($A$1, 525 - 1, 97 - 1) = "0" ), 2, IF( AND( OFFSET($A$1, 525 - 1, 96 - 1) = "0", OFFSET($A$1, 525 - 1, 97 - 1) = "1" ), 3, 4 ) ) )</f>
        <v>4</v>
      </c>
    </row>
    <row r="526" spans="95:98" ht="13.8" x14ac:dyDescent="0.3">
      <c r="CQ526" s="24">
        <v>0.91316355334773258</v>
      </c>
      <c r="CR526" s="24" t="str">
        <f>"1"</f>
        <v>1</v>
      </c>
      <c r="CS526" t="str">
        <f ca="1">IF((OFFSET($A$1, 526 - 1, 95 - 1)) &gt;= (OFFSET($A$1, 54 - 1, 7 - 1)), "1","0")</f>
        <v>0</v>
      </c>
      <c r="CT526">
        <f ca="1" xml:space="preserve"> IF( AND( OFFSET($A$1, 526 - 1, 96 - 1) = "1", OFFSET($A$1, 526 - 1, 97 - 1) = "1" ), 1, IF( AND( OFFSET($A$1, 526 - 1, 96 - 1) = "1", OFFSET($A$1, 526 - 1, 97 - 1) = "0" ), 2, IF( AND( OFFSET($A$1, 526 - 1, 96 - 1) = "0", OFFSET($A$1, 526 - 1, 97 - 1) = "1" ), 3, 4 ) ) )</f>
        <v>2</v>
      </c>
    </row>
    <row r="527" spans="95:98" ht="13.8" x14ac:dyDescent="0.3">
      <c r="CQ527" s="24">
        <v>0.98928079687943049</v>
      </c>
      <c r="CR527" s="24" t="str">
        <f>"1"</f>
        <v>1</v>
      </c>
      <c r="CS527" t="str">
        <f ca="1">IF((OFFSET($A$1, 527 - 1, 95 - 1)) &gt;= (OFFSET($A$1, 54 - 1, 7 - 1)), "1","0")</f>
        <v>1</v>
      </c>
      <c r="CT527">
        <f ca="1" xml:space="preserve"> IF( AND( OFFSET($A$1, 527 - 1, 96 - 1) = "1", OFFSET($A$1, 527 - 1, 97 - 1) = "1" ), 1, IF( AND( OFFSET($A$1, 527 - 1, 96 - 1) = "1", OFFSET($A$1, 527 - 1, 97 - 1) = "0" ), 2, IF( AND( OFFSET($A$1, 527 - 1, 96 - 1) = "0", OFFSET($A$1, 527 - 1, 97 - 1) = "1" ), 3, 4 ) ) )</f>
        <v>1</v>
      </c>
    </row>
    <row r="528" spans="95:98" ht="13.8" x14ac:dyDescent="0.3">
      <c r="CQ528" s="24">
        <v>0.92160859648651516</v>
      </c>
      <c r="CR528" s="24" t="str">
        <f>"1"</f>
        <v>1</v>
      </c>
      <c r="CS528" t="str">
        <f ca="1">IF((OFFSET($A$1, 528 - 1, 95 - 1)) &gt;= (OFFSET($A$1, 54 - 1, 7 - 1)), "1","0")</f>
        <v>0</v>
      </c>
      <c r="CT528">
        <f ca="1" xml:space="preserve"> IF( AND( OFFSET($A$1, 528 - 1, 96 - 1) = "1", OFFSET($A$1, 528 - 1, 97 - 1) = "1" ), 1, IF( AND( OFFSET($A$1, 528 - 1, 96 - 1) = "1", OFFSET($A$1, 528 - 1, 97 - 1) = "0" ), 2, IF( AND( OFFSET($A$1, 528 - 1, 96 - 1) = "0", OFFSET($A$1, 528 - 1, 97 - 1) = "1" ), 3, 4 ) ) )</f>
        <v>2</v>
      </c>
    </row>
    <row r="529" spans="95:98" ht="13.8" x14ac:dyDescent="0.3">
      <c r="CQ529" s="24">
        <v>6.3536459025479886E-2</v>
      </c>
      <c r="CR529" s="24" t="str">
        <f>"0"</f>
        <v>0</v>
      </c>
      <c r="CS529" t="str">
        <f ca="1">IF((OFFSET($A$1, 529 - 1, 95 - 1)) &gt;= (OFFSET($A$1, 54 - 1, 7 - 1)), "1","0")</f>
        <v>0</v>
      </c>
      <c r="CT529">
        <f ca="1" xml:space="preserve"> IF( AND( OFFSET($A$1, 529 - 1, 96 - 1) = "1", OFFSET($A$1, 529 - 1, 97 - 1) = "1" ), 1, IF( AND( OFFSET($A$1, 529 - 1, 96 - 1) = "1", OFFSET($A$1, 529 - 1, 97 - 1) = "0" ), 2, IF( AND( OFFSET($A$1, 529 - 1, 96 - 1) = "0", OFFSET($A$1, 529 - 1, 97 - 1) = "1" ), 3, 4 ) ) )</f>
        <v>4</v>
      </c>
    </row>
    <row r="530" spans="95:98" ht="13.8" x14ac:dyDescent="0.3">
      <c r="CQ530" s="24">
        <v>2.9078780540662603E-2</v>
      </c>
      <c r="CR530" s="24" t="str">
        <f>"0"</f>
        <v>0</v>
      </c>
      <c r="CS530" t="str">
        <f ca="1">IF((OFFSET($A$1, 530 - 1, 95 - 1)) &gt;= (OFFSET($A$1, 54 - 1, 7 - 1)), "1","0")</f>
        <v>0</v>
      </c>
      <c r="CT530">
        <f ca="1" xml:space="preserve"> IF( AND( OFFSET($A$1, 530 - 1, 96 - 1) = "1", OFFSET($A$1, 530 - 1, 97 - 1) = "1" ), 1, IF( AND( OFFSET($A$1, 530 - 1, 96 - 1) = "1", OFFSET($A$1, 530 - 1, 97 - 1) = "0" ), 2, IF( AND( OFFSET($A$1, 530 - 1, 96 - 1) = "0", OFFSET($A$1, 530 - 1, 97 - 1) = "1" ), 3, 4 ) ) )</f>
        <v>4</v>
      </c>
    </row>
    <row r="531" spans="95:98" ht="13.8" x14ac:dyDescent="0.3">
      <c r="CQ531" s="24">
        <v>0.89942505045908305</v>
      </c>
      <c r="CR531" s="24" t="str">
        <f t="shared" ref="CR531:CR539" si="35">"1"</f>
        <v>1</v>
      </c>
      <c r="CS531" t="str">
        <f ca="1">IF((OFFSET($A$1, 531 - 1, 95 - 1)) &gt;= (OFFSET($A$1, 54 - 1, 7 - 1)), "1","0")</f>
        <v>0</v>
      </c>
      <c r="CT531">
        <f ca="1" xml:space="preserve"> IF( AND( OFFSET($A$1, 531 - 1, 96 - 1) = "1", OFFSET($A$1, 531 - 1, 97 - 1) = "1" ), 1, IF( AND( OFFSET($A$1, 531 - 1, 96 - 1) = "1", OFFSET($A$1, 531 - 1, 97 - 1) = "0" ), 2, IF( AND( OFFSET($A$1, 531 - 1, 96 - 1) = "0", OFFSET($A$1, 531 - 1, 97 - 1) = "1" ), 3, 4 ) ) )</f>
        <v>2</v>
      </c>
    </row>
    <row r="532" spans="95:98" ht="13.8" x14ac:dyDescent="0.3">
      <c r="CQ532" s="24">
        <v>0.95958266014919447</v>
      </c>
      <c r="CR532" s="24" t="str">
        <f t="shared" si="35"/>
        <v>1</v>
      </c>
      <c r="CS532" t="str">
        <f ca="1">IF((OFFSET($A$1, 532 - 1, 95 - 1)) &gt;= (OFFSET($A$1, 54 - 1, 7 - 1)), "1","0")</f>
        <v>0</v>
      </c>
      <c r="CT532">
        <f ca="1" xml:space="preserve"> IF( AND( OFFSET($A$1, 532 - 1, 96 - 1) = "1", OFFSET($A$1, 532 - 1, 97 - 1) = "1" ), 1, IF( AND( OFFSET($A$1, 532 - 1, 96 - 1) = "1", OFFSET($A$1, 532 - 1, 97 - 1) = "0" ), 2, IF( AND( OFFSET($A$1, 532 - 1, 96 - 1) = "0", OFFSET($A$1, 532 - 1, 97 - 1) = "1" ), 3, 4 ) ) )</f>
        <v>2</v>
      </c>
    </row>
    <row r="533" spans="95:98" ht="13.8" x14ac:dyDescent="0.3">
      <c r="CQ533" s="24">
        <v>0.92886452546933795</v>
      </c>
      <c r="CR533" s="24" t="str">
        <f t="shared" si="35"/>
        <v>1</v>
      </c>
      <c r="CS533" t="str">
        <f ca="1">IF((OFFSET($A$1, 533 - 1, 95 - 1)) &gt;= (OFFSET($A$1, 54 - 1, 7 - 1)), "1","0")</f>
        <v>0</v>
      </c>
      <c r="CT533">
        <f ca="1" xml:space="preserve"> IF( AND( OFFSET($A$1, 533 - 1, 96 - 1) = "1", OFFSET($A$1, 533 - 1, 97 - 1) = "1" ), 1, IF( AND( OFFSET($A$1, 533 - 1, 96 - 1) = "1", OFFSET($A$1, 533 - 1, 97 - 1) = "0" ), 2, IF( AND( OFFSET($A$1, 533 - 1, 96 - 1) = "0", OFFSET($A$1, 533 - 1, 97 - 1) = "1" ), 3, 4 ) ) )</f>
        <v>2</v>
      </c>
    </row>
    <row r="534" spans="95:98" ht="13.8" x14ac:dyDescent="0.3">
      <c r="CQ534" s="24">
        <v>0.93118894049657408</v>
      </c>
      <c r="CR534" s="24" t="str">
        <f t="shared" si="35"/>
        <v>1</v>
      </c>
      <c r="CS534" t="str">
        <f ca="1">IF((OFFSET($A$1, 534 - 1, 95 - 1)) &gt;= (OFFSET($A$1, 54 - 1, 7 - 1)), "1","0")</f>
        <v>0</v>
      </c>
      <c r="CT534">
        <f ca="1" xml:space="preserve"> IF( AND( OFFSET($A$1, 534 - 1, 96 - 1) = "1", OFFSET($A$1, 534 - 1, 97 - 1) = "1" ), 1, IF( AND( OFFSET($A$1, 534 - 1, 96 - 1) = "1", OFFSET($A$1, 534 - 1, 97 - 1) = "0" ), 2, IF( AND( OFFSET($A$1, 534 - 1, 96 - 1) = "0", OFFSET($A$1, 534 - 1, 97 - 1) = "1" ), 3, 4 ) ) )</f>
        <v>2</v>
      </c>
    </row>
    <row r="535" spans="95:98" ht="13.8" x14ac:dyDescent="0.3">
      <c r="CQ535" s="24">
        <v>0.97085566803814727</v>
      </c>
      <c r="CR535" s="24" t="str">
        <f t="shared" si="35"/>
        <v>1</v>
      </c>
      <c r="CS535" t="str">
        <f ca="1">IF((OFFSET($A$1, 535 - 1, 95 - 1)) &gt;= (OFFSET($A$1, 54 - 1, 7 - 1)), "1","0")</f>
        <v>1</v>
      </c>
      <c r="CT535">
        <f ca="1" xml:space="preserve"> IF( AND( OFFSET($A$1, 535 - 1, 96 - 1) = "1", OFFSET($A$1, 535 - 1, 97 - 1) = "1" ), 1, IF( AND( OFFSET($A$1, 535 - 1, 96 - 1) = "1", OFFSET($A$1, 535 - 1, 97 - 1) = "0" ), 2, IF( AND( OFFSET($A$1, 535 - 1, 96 - 1) = "0", OFFSET($A$1, 535 - 1, 97 - 1) = "1" ), 3, 4 ) ) )</f>
        <v>1</v>
      </c>
    </row>
    <row r="536" spans="95:98" ht="13.8" x14ac:dyDescent="0.3">
      <c r="CQ536" s="24">
        <v>0.93482582653312296</v>
      </c>
      <c r="CR536" s="24" t="str">
        <f t="shared" si="35"/>
        <v>1</v>
      </c>
      <c r="CS536" t="str">
        <f ca="1">IF((OFFSET($A$1, 536 - 1, 95 - 1)) &gt;= (OFFSET($A$1, 54 - 1, 7 - 1)), "1","0")</f>
        <v>0</v>
      </c>
      <c r="CT536">
        <f ca="1" xml:space="preserve"> IF( AND( OFFSET($A$1, 536 - 1, 96 - 1) = "1", OFFSET($A$1, 536 - 1, 97 - 1) = "1" ), 1, IF( AND( OFFSET($A$1, 536 - 1, 96 - 1) = "1", OFFSET($A$1, 536 - 1, 97 - 1) = "0" ), 2, IF( AND( OFFSET($A$1, 536 - 1, 96 - 1) = "0", OFFSET($A$1, 536 - 1, 97 - 1) = "1" ), 3, 4 ) ) )</f>
        <v>2</v>
      </c>
    </row>
    <row r="537" spans="95:98" ht="13.8" x14ac:dyDescent="0.3">
      <c r="CQ537" s="24">
        <v>0.99948942102424176</v>
      </c>
      <c r="CR537" s="24" t="str">
        <f t="shared" si="35"/>
        <v>1</v>
      </c>
      <c r="CS537" t="str">
        <f ca="1">IF((OFFSET($A$1, 537 - 1, 95 - 1)) &gt;= (OFFSET($A$1, 54 - 1, 7 - 1)), "1","0")</f>
        <v>1</v>
      </c>
      <c r="CT537">
        <f ca="1" xml:space="preserve"> IF( AND( OFFSET($A$1, 537 - 1, 96 - 1) = "1", OFFSET($A$1, 537 - 1, 97 - 1) = "1" ), 1, IF( AND( OFFSET($A$1, 537 - 1, 96 - 1) = "1", OFFSET($A$1, 537 - 1, 97 - 1) = "0" ), 2, IF( AND( OFFSET($A$1, 537 - 1, 96 - 1) = "0", OFFSET($A$1, 537 - 1, 97 - 1) = "1" ), 3, 4 ) ) )</f>
        <v>1</v>
      </c>
    </row>
    <row r="538" spans="95:98" ht="13.8" x14ac:dyDescent="0.3">
      <c r="CQ538" s="24">
        <v>0.99836201448263595</v>
      </c>
      <c r="CR538" s="24" t="str">
        <f t="shared" si="35"/>
        <v>1</v>
      </c>
      <c r="CS538" t="str">
        <f ca="1">IF((OFFSET($A$1, 538 - 1, 95 - 1)) &gt;= (OFFSET($A$1, 54 - 1, 7 - 1)), "1","0")</f>
        <v>1</v>
      </c>
      <c r="CT538">
        <f ca="1" xml:space="preserve"> IF( AND( OFFSET($A$1, 538 - 1, 96 - 1) = "1", OFFSET($A$1, 538 - 1, 97 - 1) = "1" ), 1, IF( AND( OFFSET($A$1, 538 - 1, 96 - 1) = "1", OFFSET($A$1, 538 - 1, 97 - 1) = "0" ), 2, IF( AND( OFFSET($A$1, 538 - 1, 96 - 1) = "0", OFFSET($A$1, 538 - 1, 97 - 1) = "1" ), 3, 4 ) ) )</f>
        <v>1</v>
      </c>
    </row>
    <row r="539" spans="95:98" ht="13.8" x14ac:dyDescent="0.3">
      <c r="CQ539" s="24">
        <v>0.91118931752085086</v>
      </c>
      <c r="CR539" s="24" t="str">
        <f t="shared" si="35"/>
        <v>1</v>
      </c>
      <c r="CS539" t="str">
        <f ca="1">IF((OFFSET($A$1, 539 - 1, 95 - 1)) &gt;= (OFFSET($A$1, 54 - 1, 7 - 1)), "1","0")</f>
        <v>0</v>
      </c>
      <c r="CT539">
        <f ca="1" xml:space="preserve"> IF( AND( OFFSET($A$1, 539 - 1, 96 - 1) = "1", OFFSET($A$1, 539 - 1, 97 - 1) = "1" ), 1, IF( AND( OFFSET($A$1, 539 - 1, 96 - 1) = "1", OFFSET($A$1, 539 - 1, 97 - 1) = "0" ), 2, IF( AND( OFFSET($A$1, 539 - 1, 96 - 1) = "0", OFFSET($A$1, 539 - 1, 97 - 1) = "1" ), 3, 4 ) ) )</f>
        <v>2</v>
      </c>
    </row>
    <row r="540" spans="95:98" ht="13.8" x14ac:dyDescent="0.3">
      <c r="CQ540" s="24">
        <v>2.4356757335036807E-2</v>
      </c>
      <c r="CR540" s="24" t="str">
        <f>"0"</f>
        <v>0</v>
      </c>
      <c r="CS540" t="str">
        <f ca="1">IF((OFFSET($A$1, 540 - 1, 95 - 1)) &gt;= (OFFSET($A$1, 54 - 1, 7 - 1)), "1","0")</f>
        <v>0</v>
      </c>
      <c r="CT540">
        <f ca="1" xml:space="preserve"> IF( AND( OFFSET($A$1, 540 - 1, 96 - 1) = "1", OFFSET($A$1, 540 - 1, 97 - 1) = "1" ), 1, IF( AND( OFFSET($A$1, 540 - 1, 96 - 1) = "1", OFFSET($A$1, 540 - 1, 97 - 1) = "0" ), 2, IF( AND( OFFSET($A$1, 540 - 1, 96 - 1) = "0", OFFSET($A$1, 540 - 1, 97 - 1) = "1" ), 3, 4 ) ) )</f>
        <v>4</v>
      </c>
    </row>
    <row r="541" spans="95:98" ht="13.8" x14ac:dyDescent="0.3">
      <c r="CQ541" s="24">
        <v>0.84156264315582496</v>
      </c>
      <c r="CR541" s="24" t="str">
        <f>"1"</f>
        <v>1</v>
      </c>
      <c r="CS541" t="str">
        <f ca="1">IF((OFFSET($A$1, 541 - 1, 95 - 1)) &gt;= (OFFSET($A$1, 54 - 1, 7 - 1)), "1","0")</f>
        <v>0</v>
      </c>
      <c r="CT541">
        <f ca="1" xml:space="preserve"> IF( AND( OFFSET($A$1, 541 - 1, 96 - 1) = "1", OFFSET($A$1, 541 - 1, 97 - 1) = "1" ), 1, IF( AND( OFFSET($A$1, 541 - 1, 96 - 1) = "1", OFFSET($A$1, 541 - 1, 97 - 1) = "0" ), 2, IF( AND( OFFSET($A$1, 541 - 1, 96 - 1) = "0", OFFSET($A$1, 541 - 1, 97 - 1) = "1" ), 3, 4 ) ) )</f>
        <v>2</v>
      </c>
    </row>
    <row r="542" spans="95:98" ht="13.8" x14ac:dyDescent="0.3">
      <c r="CQ542" s="24">
        <v>0.98063777692574872</v>
      </c>
      <c r="CR542" s="24" t="str">
        <f>"1"</f>
        <v>1</v>
      </c>
      <c r="CS542" t="str">
        <f ca="1">IF((OFFSET($A$1, 542 - 1, 95 - 1)) &gt;= (OFFSET($A$1, 54 - 1, 7 - 1)), "1","0")</f>
        <v>1</v>
      </c>
      <c r="CT542">
        <f ca="1" xml:space="preserve"> IF( AND( OFFSET($A$1, 542 - 1, 96 - 1) = "1", OFFSET($A$1, 542 - 1, 97 - 1) = "1" ), 1, IF( AND( OFFSET($A$1, 542 - 1, 96 - 1) = "1", OFFSET($A$1, 542 - 1, 97 - 1) = "0" ), 2, IF( AND( OFFSET($A$1, 542 - 1, 96 - 1) = "0", OFFSET($A$1, 542 - 1, 97 - 1) = "1" ), 3, 4 ) ) )</f>
        <v>1</v>
      </c>
    </row>
    <row r="543" spans="95:98" ht="13.8" x14ac:dyDescent="0.3">
      <c r="CQ543" s="24">
        <v>0.99967190196439959</v>
      </c>
      <c r="CR543" s="24" t="str">
        <f>"1"</f>
        <v>1</v>
      </c>
      <c r="CS543" t="str">
        <f ca="1">IF((OFFSET($A$1, 543 - 1, 95 - 1)) &gt;= (OFFSET($A$1, 54 - 1, 7 - 1)), "1","0")</f>
        <v>1</v>
      </c>
      <c r="CT543">
        <f ca="1" xml:space="preserve"> IF( AND( OFFSET($A$1, 543 - 1, 96 - 1) = "1", OFFSET($A$1, 543 - 1, 97 - 1) = "1" ), 1, IF( AND( OFFSET($A$1, 543 - 1, 96 - 1) = "1", OFFSET($A$1, 543 - 1, 97 - 1) = "0" ), 2, IF( AND( OFFSET($A$1, 543 - 1, 96 - 1) = "0", OFFSET($A$1, 543 - 1, 97 - 1) = "1" ), 3, 4 ) ) )</f>
        <v>1</v>
      </c>
    </row>
    <row r="544" spans="95:98" ht="13.8" x14ac:dyDescent="0.3">
      <c r="CQ544" s="24">
        <v>0.93373675264148437</v>
      </c>
      <c r="CR544" s="24" t="str">
        <f>"1"</f>
        <v>1</v>
      </c>
      <c r="CS544" t="str">
        <f ca="1">IF((OFFSET($A$1, 544 - 1, 95 - 1)) &gt;= (OFFSET($A$1, 54 - 1, 7 - 1)), "1","0")</f>
        <v>0</v>
      </c>
      <c r="CT544">
        <f ca="1" xml:space="preserve"> IF( AND( OFFSET($A$1, 544 - 1, 96 - 1) = "1", OFFSET($A$1, 544 - 1, 97 - 1) = "1" ), 1, IF( AND( OFFSET($A$1, 544 - 1, 96 - 1) = "1", OFFSET($A$1, 544 - 1, 97 - 1) = "0" ), 2, IF( AND( OFFSET($A$1, 544 - 1, 96 - 1) = "0", OFFSET($A$1, 544 - 1, 97 - 1) = "1" ), 3, 4 ) ) )</f>
        <v>2</v>
      </c>
    </row>
    <row r="545" spans="95:98" ht="13.8" x14ac:dyDescent="0.3">
      <c r="CQ545" s="24">
        <v>2.2478362939841135E-3</v>
      </c>
      <c r="CR545" s="24" t="str">
        <f>"0"</f>
        <v>0</v>
      </c>
      <c r="CS545" t="str">
        <f ca="1">IF((OFFSET($A$1, 545 - 1, 95 - 1)) &gt;= (OFFSET($A$1, 54 - 1, 7 - 1)), "1","0")</f>
        <v>0</v>
      </c>
      <c r="CT545">
        <f ca="1" xml:space="preserve"> IF( AND( OFFSET($A$1, 545 - 1, 96 - 1) = "1", OFFSET($A$1, 545 - 1, 97 - 1) = "1" ), 1, IF( AND( OFFSET($A$1, 545 - 1, 96 - 1) = "1", OFFSET($A$1, 545 - 1, 97 - 1) = "0" ), 2, IF( AND( OFFSET($A$1, 545 - 1, 96 - 1) = "0", OFFSET($A$1, 545 - 1, 97 - 1) = "1" ), 3, 4 ) ) )</f>
        <v>4</v>
      </c>
    </row>
    <row r="546" spans="95:98" ht="13.8" x14ac:dyDescent="0.3">
      <c r="CQ546" s="24">
        <v>0.87643645104889001</v>
      </c>
      <c r="CR546" s="24" t="str">
        <f t="shared" ref="CR546:CR553" si="36">"1"</f>
        <v>1</v>
      </c>
      <c r="CS546" t="str">
        <f ca="1">IF((OFFSET($A$1, 546 - 1, 95 - 1)) &gt;= (OFFSET($A$1, 54 - 1, 7 - 1)), "1","0")</f>
        <v>0</v>
      </c>
      <c r="CT546">
        <f ca="1" xml:space="preserve"> IF( AND( OFFSET($A$1, 546 - 1, 96 - 1) = "1", OFFSET($A$1, 546 - 1, 97 - 1) = "1" ), 1, IF( AND( OFFSET($A$1, 546 - 1, 96 - 1) = "1", OFFSET($A$1, 546 - 1, 97 - 1) = "0" ), 2, IF( AND( OFFSET($A$1, 546 - 1, 96 - 1) = "0", OFFSET($A$1, 546 - 1, 97 - 1) = "1" ), 3, 4 ) ) )</f>
        <v>2</v>
      </c>
    </row>
    <row r="547" spans="95:98" ht="13.8" x14ac:dyDescent="0.3">
      <c r="CQ547" s="24">
        <v>0.99733687559945727</v>
      </c>
      <c r="CR547" s="24" t="str">
        <f t="shared" si="36"/>
        <v>1</v>
      </c>
      <c r="CS547" t="str">
        <f ca="1">IF((OFFSET($A$1, 547 - 1, 95 - 1)) &gt;= (OFFSET($A$1, 54 - 1, 7 - 1)), "1","0")</f>
        <v>1</v>
      </c>
      <c r="CT547">
        <f ca="1" xml:space="preserve"> IF( AND( OFFSET($A$1, 547 - 1, 96 - 1) = "1", OFFSET($A$1, 547 - 1, 97 - 1) = "1" ), 1, IF( AND( OFFSET($A$1, 547 - 1, 96 - 1) = "1", OFFSET($A$1, 547 - 1, 97 - 1) = "0" ), 2, IF( AND( OFFSET($A$1, 547 - 1, 96 - 1) = "0", OFFSET($A$1, 547 - 1, 97 - 1) = "1" ), 3, 4 ) ) )</f>
        <v>1</v>
      </c>
    </row>
    <row r="548" spans="95:98" ht="13.8" x14ac:dyDescent="0.3">
      <c r="CQ548" s="24">
        <v>0.95016262861007328</v>
      </c>
      <c r="CR548" s="24" t="str">
        <f t="shared" si="36"/>
        <v>1</v>
      </c>
      <c r="CS548" t="str">
        <f ca="1">IF((OFFSET($A$1, 548 - 1, 95 - 1)) &gt;= (OFFSET($A$1, 54 - 1, 7 - 1)), "1","0")</f>
        <v>0</v>
      </c>
      <c r="CT548">
        <f ca="1" xml:space="preserve"> IF( AND( OFFSET($A$1, 548 - 1, 96 - 1) = "1", OFFSET($A$1, 548 - 1, 97 - 1) = "1" ), 1, IF( AND( OFFSET($A$1, 548 - 1, 96 - 1) = "1", OFFSET($A$1, 548 - 1, 97 - 1) = "0" ), 2, IF( AND( OFFSET($A$1, 548 - 1, 96 - 1) = "0", OFFSET($A$1, 548 - 1, 97 - 1) = "1" ), 3, 4 ) ) )</f>
        <v>2</v>
      </c>
    </row>
    <row r="549" spans="95:98" ht="13.8" x14ac:dyDescent="0.3">
      <c r="CQ549" s="24">
        <v>0.98239599669512701</v>
      </c>
      <c r="CR549" s="24" t="str">
        <f t="shared" si="36"/>
        <v>1</v>
      </c>
      <c r="CS549" t="str">
        <f ca="1">IF((OFFSET($A$1, 549 - 1, 95 - 1)) &gt;= (OFFSET($A$1, 54 - 1, 7 - 1)), "1","0")</f>
        <v>1</v>
      </c>
      <c r="CT549">
        <f ca="1" xml:space="preserve"> IF( AND( OFFSET($A$1, 549 - 1, 96 - 1) = "1", OFFSET($A$1, 549 - 1, 97 - 1) = "1" ), 1, IF( AND( OFFSET($A$1, 549 - 1, 96 - 1) = "1", OFFSET($A$1, 549 - 1, 97 - 1) = "0" ), 2, IF( AND( OFFSET($A$1, 549 - 1, 96 - 1) = "0", OFFSET($A$1, 549 - 1, 97 - 1) = "1" ), 3, 4 ) ) )</f>
        <v>1</v>
      </c>
    </row>
    <row r="550" spans="95:98" ht="13.8" x14ac:dyDescent="0.3">
      <c r="CQ550" s="24">
        <v>0.9957708667068117</v>
      </c>
      <c r="CR550" s="24" t="str">
        <f t="shared" si="36"/>
        <v>1</v>
      </c>
      <c r="CS550" t="str">
        <f ca="1">IF((OFFSET($A$1, 550 - 1, 95 - 1)) &gt;= (OFFSET($A$1, 54 - 1, 7 - 1)), "1","0")</f>
        <v>1</v>
      </c>
      <c r="CT550">
        <f ca="1" xml:space="preserve"> IF( AND( OFFSET($A$1, 550 - 1, 96 - 1) = "1", OFFSET($A$1, 550 - 1, 97 - 1) = "1" ), 1, IF( AND( OFFSET($A$1, 550 - 1, 96 - 1) = "1", OFFSET($A$1, 550 - 1, 97 - 1) = "0" ), 2, IF( AND( OFFSET($A$1, 550 - 1, 96 - 1) = "0", OFFSET($A$1, 550 - 1, 97 - 1) = "1" ), 3, 4 ) ) )</f>
        <v>1</v>
      </c>
    </row>
    <row r="551" spans="95:98" ht="13.8" x14ac:dyDescent="0.3">
      <c r="CQ551" s="24">
        <v>0.97912462171031656</v>
      </c>
      <c r="CR551" s="24" t="str">
        <f t="shared" si="36"/>
        <v>1</v>
      </c>
      <c r="CS551" t="str">
        <f ca="1">IF((OFFSET($A$1, 551 - 1, 95 - 1)) &gt;= (OFFSET($A$1, 54 - 1, 7 - 1)), "1","0")</f>
        <v>1</v>
      </c>
      <c r="CT551">
        <f ca="1" xml:space="preserve"> IF( AND( OFFSET($A$1, 551 - 1, 96 - 1) = "1", OFFSET($A$1, 551 - 1, 97 - 1) = "1" ), 1, IF( AND( OFFSET($A$1, 551 - 1, 96 - 1) = "1", OFFSET($A$1, 551 - 1, 97 - 1) = "0" ), 2, IF( AND( OFFSET($A$1, 551 - 1, 96 - 1) = "0", OFFSET($A$1, 551 - 1, 97 - 1) = "1" ), 3, 4 ) ) )</f>
        <v>1</v>
      </c>
    </row>
    <row r="552" spans="95:98" ht="13.8" x14ac:dyDescent="0.3">
      <c r="CQ552" s="24">
        <v>0.9133554574239201</v>
      </c>
      <c r="CR552" s="24" t="str">
        <f t="shared" si="36"/>
        <v>1</v>
      </c>
      <c r="CS552" t="str">
        <f ca="1">IF((OFFSET($A$1, 552 - 1, 95 - 1)) &gt;= (OFFSET($A$1, 54 - 1, 7 - 1)), "1","0")</f>
        <v>0</v>
      </c>
      <c r="CT552">
        <f ca="1" xml:space="preserve"> IF( AND( OFFSET($A$1, 552 - 1, 96 - 1) = "1", OFFSET($A$1, 552 - 1, 97 - 1) = "1" ), 1, IF( AND( OFFSET($A$1, 552 - 1, 96 - 1) = "1", OFFSET($A$1, 552 - 1, 97 - 1) = "0" ), 2, IF( AND( OFFSET($A$1, 552 - 1, 96 - 1) = "0", OFFSET($A$1, 552 - 1, 97 - 1) = "1" ), 3, 4 ) ) )</f>
        <v>2</v>
      </c>
    </row>
    <row r="553" spans="95:98" ht="13.8" x14ac:dyDescent="0.3">
      <c r="CQ553" s="24">
        <v>0.83740763887904346</v>
      </c>
      <c r="CR553" s="24" t="str">
        <f t="shared" si="36"/>
        <v>1</v>
      </c>
      <c r="CS553" t="str">
        <f ca="1">IF((OFFSET($A$1, 553 - 1, 95 - 1)) &gt;= (OFFSET($A$1, 54 - 1, 7 - 1)), "1","0")</f>
        <v>0</v>
      </c>
      <c r="CT553">
        <f ca="1" xml:space="preserve"> IF( AND( OFFSET($A$1, 553 - 1, 96 - 1) = "1", OFFSET($A$1, 553 - 1, 97 - 1) = "1" ), 1, IF( AND( OFFSET($A$1, 553 - 1, 96 - 1) = "1", OFFSET($A$1, 553 - 1, 97 - 1) = "0" ), 2, IF( AND( OFFSET($A$1, 553 - 1, 96 - 1) = "0", OFFSET($A$1, 553 - 1, 97 - 1) = "1" ), 3, 4 ) ) )</f>
        <v>2</v>
      </c>
    </row>
    <row r="554" spans="95:98" ht="13.8" x14ac:dyDescent="0.3">
      <c r="CQ554" s="24">
        <v>8.1894087642451638E-2</v>
      </c>
      <c r="CR554" s="24" t="str">
        <f>"0"</f>
        <v>0</v>
      </c>
      <c r="CS554" t="str">
        <f ca="1">IF((OFFSET($A$1, 554 - 1, 95 - 1)) &gt;= (OFFSET($A$1, 54 - 1, 7 - 1)), "1","0")</f>
        <v>0</v>
      </c>
      <c r="CT554">
        <f ca="1" xml:space="preserve"> IF( AND( OFFSET($A$1, 554 - 1, 96 - 1) = "1", OFFSET($A$1, 554 - 1, 97 - 1) = "1" ), 1, IF( AND( OFFSET($A$1, 554 - 1, 96 - 1) = "1", OFFSET($A$1, 554 - 1, 97 - 1) = "0" ), 2, IF( AND( OFFSET($A$1, 554 - 1, 96 - 1) = "0", OFFSET($A$1, 554 - 1, 97 - 1) = "1" ), 3, 4 ) ) )</f>
        <v>4</v>
      </c>
    </row>
    <row r="555" spans="95:98" ht="13.8" x14ac:dyDescent="0.3">
      <c r="CQ555" s="24">
        <v>1.8099759736512608E-2</v>
      </c>
      <c r="CR555" s="24" t="str">
        <f>"0"</f>
        <v>0</v>
      </c>
      <c r="CS555" t="str">
        <f ca="1">IF((OFFSET($A$1, 555 - 1, 95 - 1)) &gt;= (OFFSET($A$1, 54 - 1, 7 - 1)), "1","0")</f>
        <v>0</v>
      </c>
      <c r="CT555">
        <f ca="1" xml:space="preserve"> IF( AND( OFFSET($A$1, 555 - 1, 96 - 1) = "1", OFFSET($A$1, 555 - 1, 97 - 1) = "1" ), 1, IF( AND( OFFSET($A$1, 555 - 1, 96 - 1) = "1", OFFSET($A$1, 555 - 1, 97 - 1) = "0" ), 2, IF( AND( OFFSET($A$1, 555 - 1, 96 - 1) = "0", OFFSET($A$1, 555 - 1, 97 - 1) = "1" ), 3, 4 ) ) )</f>
        <v>4</v>
      </c>
    </row>
    <row r="556" spans="95:98" ht="13.8" x14ac:dyDescent="0.3">
      <c r="CQ556" s="24">
        <v>0.99411172953141302</v>
      </c>
      <c r="CR556" s="24" t="str">
        <f>"1"</f>
        <v>1</v>
      </c>
      <c r="CS556" t="str">
        <f ca="1">IF((OFFSET($A$1, 556 - 1, 95 - 1)) &gt;= (OFFSET($A$1, 54 - 1, 7 - 1)), "1","0")</f>
        <v>1</v>
      </c>
      <c r="CT556">
        <f ca="1" xml:space="preserve"> IF( AND( OFFSET($A$1, 556 - 1, 96 - 1) = "1", OFFSET($A$1, 556 - 1, 97 - 1) = "1" ), 1, IF( AND( OFFSET($A$1, 556 - 1, 96 - 1) = "1", OFFSET($A$1, 556 - 1, 97 - 1) = "0" ), 2, IF( AND( OFFSET($A$1, 556 - 1, 96 - 1) = "0", OFFSET($A$1, 556 - 1, 97 - 1) = "1" ), 3, 4 ) ) )</f>
        <v>1</v>
      </c>
    </row>
    <row r="557" spans="95:98" ht="13.8" x14ac:dyDescent="0.3">
      <c r="CQ557" s="24">
        <v>3.3385814651351264E-2</v>
      </c>
      <c r="CR557" s="24" t="str">
        <f>"0"</f>
        <v>0</v>
      </c>
      <c r="CS557" t="str">
        <f ca="1">IF((OFFSET($A$1, 557 - 1, 95 - 1)) &gt;= (OFFSET($A$1, 54 - 1, 7 - 1)), "1","0")</f>
        <v>0</v>
      </c>
      <c r="CT557">
        <f ca="1" xml:space="preserve"> IF( AND( OFFSET($A$1, 557 - 1, 96 - 1) = "1", OFFSET($A$1, 557 - 1, 97 - 1) = "1" ), 1, IF( AND( OFFSET($A$1, 557 - 1, 96 - 1) = "1", OFFSET($A$1, 557 - 1, 97 - 1) = "0" ), 2, IF( AND( OFFSET($A$1, 557 - 1, 96 - 1) = "0", OFFSET($A$1, 557 - 1, 97 - 1) = "1" ), 3, 4 ) ) )</f>
        <v>4</v>
      </c>
    </row>
    <row r="558" spans="95:98" ht="13.8" x14ac:dyDescent="0.3">
      <c r="CQ558" s="24">
        <v>0.95297171243425083</v>
      </c>
      <c r="CR558" s="24" t="str">
        <f>"1"</f>
        <v>1</v>
      </c>
      <c r="CS558" t="str">
        <f ca="1">IF((OFFSET($A$1, 558 - 1, 95 - 1)) &gt;= (OFFSET($A$1, 54 - 1, 7 - 1)), "1","0")</f>
        <v>0</v>
      </c>
      <c r="CT558">
        <f ca="1" xml:space="preserve"> IF( AND( OFFSET($A$1, 558 - 1, 96 - 1) = "1", OFFSET($A$1, 558 - 1, 97 - 1) = "1" ), 1, IF( AND( OFFSET($A$1, 558 - 1, 96 - 1) = "1", OFFSET($A$1, 558 - 1, 97 - 1) = "0" ), 2, IF( AND( OFFSET($A$1, 558 - 1, 96 - 1) = "0", OFFSET($A$1, 558 - 1, 97 - 1) = "1" ), 3, 4 ) ) )</f>
        <v>2</v>
      </c>
    </row>
    <row r="559" spans="95:98" ht="13.8" x14ac:dyDescent="0.3">
      <c r="CQ559" s="24">
        <v>0.97877986270099615</v>
      </c>
      <c r="CR559" s="24" t="str">
        <f>"1"</f>
        <v>1</v>
      </c>
      <c r="CS559" t="str">
        <f ca="1">IF((OFFSET($A$1, 559 - 1, 95 - 1)) &gt;= (OFFSET($A$1, 54 - 1, 7 - 1)), "1","0")</f>
        <v>1</v>
      </c>
      <c r="CT559">
        <f ca="1" xml:space="preserve"> IF( AND( OFFSET($A$1, 559 - 1, 96 - 1) = "1", OFFSET($A$1, 559 - 1, 97 - 1) = "1" ), 1, IF( AND( OFFSET($A$1, 559 - 1, 96 - 1) = "1", OFFSET($A$1, 559 - 1, 97 - 1) = "0" ), 2, IF( AND( OFFSET($A$1, 559 - 1, 96 - 1) = "0", OFFSET($A$1, 559 - 1, 97 - 1) = "1" ), 3, 4 ) ) )</f>
        <v>1</v>
      </c>
    </row>
    <row r="560" spans="95:98" ht="13.8" x14ac:dyDescent="0.3">
      <c r="CQ560" s="24">
        <v>0.91935852044237587</v>
      </c>
      <c r="CR560" s="24" t="str">
        <f>"1"</f>
        <v>1</v>
      </c>
      <c r="CS560" t="str">
        <f ca="1">IF((OFFSET($A$1, 560 - 1, 95 - 1)) &gt;= (OFFSET($A$1, 54 - 1, 7 - 1)), "1","0")</f>
        <v>0</v>
      </c>
      <c r="CT560">
        <f ca="1" xml:space="preserve"> IF( AND( OFFSET($A$1, 560 - 1, 96 - 1) = "1", OFFSET($A$1, 560 - 1, 97 - 1) = "1" ), 1, IF( AND( OFFSET($A$1, 560 - 1, 96 - 1) = "1", OFFSET($A$1, 560 - 1, 97 - 1) = "0" ), 2, IF( AND( OFFSET($A$1, 560 - 1, 96 - 1) = "0", OFFSET($A$1, 560 - 1, 97 - 1) = "1" ), 3, 4 ) ) )</f>
        <v>2</v>
      </c>
    </row>
    <row r="561" spans="95:98" ht="13.8" x14ac:dyDescent="0.3">
      <c r="CQ561" s="24">
        <v>7.8655654027888572E-2</v>
      </c>
      <c r="CR561" s="24" t="str">
        <f>"0"</f>
        <v>0</v>
      </c>
      <c r="CS561" t="str">
        <f ca="1">IF((OFFSET($A$1, 561 - 1, 95 - 1)) &gt;= (OFFSET($A$1, 54 - 1, 7 - 1)), "1","0")</f>
        <v>0</v>
      </c>
      <c r="CT561">
        <f ca="1" xml:space="preserve"> IF( AND( OFFSET($A$1, 561 - 1, 96 - 1) = "1", OFFSET($A$1, 561 - 1, 97 - 1) = "1" ), 1, IF( AND( OFFSET($A$1, 561 - 1, 96 - 1) = "1", OFFSET($A$1, 561 - 1, 97 - 1) = "0" ), 2, IF( AND( OFFSET($A$1, 561 - 1, 96 - 1) = "0", OFFSET($A$1, 561 - 1, 97 - 1) = "1" ), 3, 4 ) ) )</f>
        <v>4</v>
      </c>
    </row>
    <row r="562" spans="95:98" ht="13.8" x14ac:dyDescent="0.3">
      <c r="CQ562" s="24">
        <v>0.99992863078905669</v>
      </c>
      <c r="CR562" s="24" t="str">
        <f>"1"</f>
        <v>1</v>
      </c>
      <c r="CS562" t="str">
        <f ca="1">IF((OFFSET($A$1, 562 - 1, 95 - 1)) &gt;= (OFFSET($A$1, 54 - 1, 7 - 1)), "1","0")</f>
        <v>1</v>
      </c>
      <c r="CT562">
        <f ca="1" xml:space="preserve"> IF( AND( OFFSET($A$1, 562 - 1, 96 - 1) = "1", OFFSET($A$1, 562 - 1, 97 - 1) = "1" ), 1, IF( AND( OFFSET($A$1, 562 - 1, 96 - 1) = "1", OFFSET($A$1, 562 - 1, 97 - 1) = "0" ), 2, IF( AND( OFFSET($A$1, 562 - 1, 96 - 1) = "0", OFFSET($A$1, 562 - 1, 97 - 1) = "1" ), 3, 4 ) ) )</f>
        <v>1</v>
      </c>
    </row>
    <row r="563" spans="95:98" ht="13.8" x14ac:dyDescent="0.3">
      <c r="CQ563" s="24">
        <v>0.89636647830040916</v>
      </c>
      <c r="CR563" s="24" t="str">
        <f>"1"</f>
        <v>1</v>
      </c>
      <c r="CS563" t="str">
        <f ca="1">IF((OFFSET($A$1, 563 - 1, 95 - 1)) &gt;= (OFFSET($A$1, 54 - 1, 7 - 1)), "1","0")</f>
        <v>0</v>
      </c>
      <c r="CT563">
        <f ca="1" xml:space="preserve"> IF( AND( OFFSET($A$1, 563 - 1, 96 - 1) = "1", OFFSET($A$1, 563 - 1, 97 - 1) = "1" ), 1, IF( AND( OFFSET($A$1, 563 - 1, 96 - 1) = "1", OFFSET($A$1, 563 - 1, 97 - 1) = "0" ), 2, IF( AND( OFFSET($A$1, 563 - 1, 96 - 1) = "0", OFFSET($A$1, 563 - 1, 97 - 1) = "1" ), 3, 4 ) ) )</f>
        <v>2</v>
      </c>
    </row>
    <row r="564" spans="95:98" ht="13.8" x14ac:dyDescent="0.3">
      <c r="CQ564" s="24">
        <v>0.97943247501513819</v>
      </c>
      <c r="CR564" s="24" t="str">
        <f>"1"</f>
        <v>1</v>
      </c>
      <c r="CS564" t="str">
        <f ca="1">IF((OFFSET($A$1, 564 - 1, 95 - 1)) &gt;= (OFFSET($A$1, 54 - 1, 7 - 1)), "1","0")</f>
        <v>1</v>
      </c>
      <c r="CT564">
        <f ca="1" xml:space="preserve"> IF( AND( OFFSET($A$1, 564 - 1, 96 - 1) = "1", OFFSET($A$1, 564 - 1, 97 - 1) = "1" ), 1, IF( AND( OFFSET($A$1, 564 - 1, 96 - 1) = "1", OFFSET($A$1, 564 - 1, 97 - 1) = "0" ), 2, IF( AND( OFFSET($A$1, 564 - 1, 96 - 1) = "0", OFFSET($A$1, 564 - 1, 97 - 1) = "1" ), 3, 4 ) ) )</f>
        <v>1</v>
      </c>
    </row>
    <row r="565" spans="95:98" ht="13.8" x14ac:dyDescent="0.3">
      <c r="CQ565" s="24">
        <v>0.10127761996779888</v>
      </c>
      <c r="CR565" s="24" t="str">
        <f>"0"</f>
        <v>0</v>
      </c>
      <c r="CS565" t="str">
        <f ca="1">IF((OFFSET($A$1, 565 - 1, 95 - 1)) &gt;= (OFFSET($A$1, 54 - 1, 7 - 1)), "1","0")</f>
        <v>0</v>
      </c>
      <c r="CT565">
        <f ca="1" xml:space="preserve"> IF( AND( OFFSET($A$1, 565 - 1, 96 - 1) = "1", OFFSET($A$1, 565 - 1, 97 - 1) = "1" ), 1, IF( AND( OFFSET($A$1, 565 - 1, 96 - 1) = "1", OFFSET($A$1, 565 - 1, 97 - 1) = "0" ), 2, IF( AND( OFFSET($A$1, 565 - 1, 96 - 1) = "0", OFFSET($A$1, 565 - 1, 97 - 1) = "1" ), 3, 4 ) ) )</f>
        <v>4</v>
      </c>
    </row>
    <row r="566" spans="95:98" ht="13.8" x14ac:dyDescent="0.3">
      <c r="CQ566" s="24">
        <v>0.97661151774756649</v>
      </c>
      <c r="CR566" s="24" t="str">
        <f>"1"</f>
        <v>1</v>
      </c>
      <c r="CS566" t="str">
        <f ca="1">IF((OFFSET($A$1, 566 - 1, 95 - 1)) &gt;= (OFFSET($A$1, 54 - 1, 7 - 1)), "1","0")</f>
        <v>1</v>
      </c>
      <c r="CT566">
        <f ca="1" xml:space="preserve"> IF( AND( OFFSET($A$1, 566 - 1, 96 - 1) = "1", OFFSET($A$1, 566 - 1, 97 - 1) = "1" ), 1, IF( AND( OFFSET($A$1, 566 - 1, 96 - 1) = "1", OFFSET($A$1, 566 - 1, 97 - 1) = "0" ), 2, IF( AND( OFFSET($A$1, 566 - 1, 96 - 1) = "0", OFFSET($A$1, 566 - 1, 97 - 1) = "1" ), 3, 4 ) ) )</f>
        <v>1</v>
      </c>
    </row>
    <row r="567" spans="95:98" ht="13.8" x14ac:dyDescent="0.3">
      <c r="CQ567" s="24">
        <v>0.91268636712569418</v>
      </c>
      <c r="CR567" s="24" t="str">
        <f>"1"</f>
        <v>1</v>
      </c>
      <c r="CS567" t="str">
        <f ca="1">IF((OFFSET($A$1, 567 - 1, 95 - 1)) &gt;= (OFFSET($A$1, 54 - 1, 7 - 1)), "1","0")</f>
        <v>0</v>
      </c>
      <c r="CT567">
        <f ca="1" xml:space="preserve"> IF( AND( OFFSET($A$1, 567 - 1, 96 - 1) = "1", OFFSET($A$1, 567 - 1, 97 - 1) = "1" ), 1, IF( AND( OFFSET($A$1, 567 - 1, 96 - 1) = "1", OFFSET($A$1, 567 - 1, 97 - 1) = "0" ), 2, IF( AND( OFFSET($A$1, 567 - 1, 96 - 1) = "0", OFFSET($A$1, 567 - 1, 97 - 1) = "1" ), 3, 4 ) ) )</f>
        <v>2</v>
      </c>
    </row>
    <row r="568" spans="95:98" ht="13.8" x14ac:dyDescent="0.3">
      <c r="CQ568" s="24">
        <v>1.6437324791729505E-2</v>
      </c>
      <c r="CR568" s="24" t="str">
        <f>"0"</f>
        <v>0</v>
      </c>
      <c r="CS568" t="str">
        <f ca="1">IF((OFFSET($A$1, 568 - 1, 95 - 1)) &gt;= (OFFSET($A$1, 54 - 1, 7 - 1)), "1","0")</f>
        <v>0</v>
      </c>
      <c r="CT568">
        <f ca="1" xml:space="preserve"> IF( AND( OFFSET($A$1, 568 - 1, 96 - 1) = "1", OFFSET($A$1, 568 - 1, 97 - 1) = "1" ), 1, IF( AND( OFFSET($A$1, 568 - 1, 96 - 1) = "1", OFFSET($A$1, 568 - 1, 97 - 1) = "0" ), 2, IF( AND( OFFSET($A$1, 568 - 1, 96 - 1) = "0", OFFSET($A$1, 568 - 1, 97 - 1) = "1" ), 3, 4 ) ) )</f>
        <v>4</v>
      </c>
    </row>
    <row r="569" spans="95:98" ht="13.8" x14ac:dyDescent="0.3">
      <c r="CQ569" s="24">
        <v>0.89902905807104949</v>
      </c>
      <c r="CR569" s="24" t="str">
        <f>"1"</f>
        <v>1</v>
      </c>
      <c r="CS569" t="str">
        <f ca="1">IF((OFFSET($A$1, 569 - 1, 95 - 1)) &gt;= (OFFSET($A$1, 54 - 1, 7 - 1)), "1","0")</f>
        <v>0</v>
      </c>
      <c r="CT569">
        <f ca="1" xml:space="preserve"> IF( AND( OFFSET($A$1, 569 - 1, 96 - 1) = "1", OFFSET($A$1, 569 - 1, 97 - 1) = "1" ), 1, IF( AND( OFFSET($A$1, 569 - 1, 96 - 1) = "1", OFFSET($A$1, 569 - 1, 97 - 1) = "0" ), 2, IF( AND( OFFSET($A$1, 569 - 1, 96 - 1) = "0", OFFSET($A$1, 569 - 1, 97 - 1) = "1" ), 3, 4 ) ) )</f>
        <v>2</v>
      </c>
    </row>
    <row r="570" spans="95:98" ht="13.8" x14ac:dyDescent="0.3">
      <c r="CQ570" s="24">
        <v>0.99335408529744862</v>
      </c>
      <c r="CR570" s="24" t="str">
        <f>"1"</f>
        <v>1</v>
      </c>
      <c r="CS570" t="str">
        <f ca="1">IF((OFFSET($A$1, 570 - 1, 95 - 1)) &gt;= (OFFSET($A$1, 54 - 1, 7 - 1)), "1","0")</f>
        <v>1</v>
      </c>
      <c r="CT570">
        <f ca="1" xml:space="preserve"> IF( AND( OFFSET($A$1, 570 - 1, 96 - 1) = "1", OFFSET($A$1, 570 - 1, 97 - 1) = "1" ), 1, IF( AND( OFFSET($A$1, 570 - 1, 96 - 1) = "1", OFFSET($A$1, 570 - 1, 97 - 1) = "0" ), 2, IF( AND( OFFSET($A$1, 570 - 1, 96 - 1) = "0", OFFSET($A$1, 570 - 1, 97 - 1) = "1" ), 3, 4 ) ) )</f>
        <v>1</v>
      </c>
    </row>
    <row r="571" spans="95:98" ht="13.8" x14ac:dyDescent="0.3">
      <c r="CQ571" s="24">
        <v>9.6810300720195946E-2</v>
      </c>
      <c r="CR571" s="24" t="str">
        <f>"0"</f>
        <v>0</v>
      </c>
      <c r="CS571" t="str">
        <f ca="1">IF((OFFSET($A$1, 571 - 1, 95 - 1)) &gt;= (OFFSET($A$1, 54 - 1, 7 - 1)), "1","0")</f>
        <v>0</v>
      </c>
      <c r="CT571">
        <f ca="1" xml:space="preserve"> IF( AND( OFFSET($A$1, 571 - 1, 96 - 1) = "1", OFFSET($A$1, 571 - 1, 97 - 1) = "1" ), 1, IF( AND( OFFSET($A$1, 571 - 1, 96 - 1) = "1", OFFSET($A$1, 571 - 1, 97 - 1) = "0" ), 2, IF( AND( OFFSET($A$1, 571 - 1, 96 - 1) = "0", OFFSET($A$1, 571 - 1, 97 - 1) = "1" ), 3, 4 ) ) )</f>
        <v>4</v>
      </c>
    </row>
    <row r="572" spans="95:98" ht="13.8" x14ac:dyDescent="0.3">
      <c r="CQ572" s="24">
        <v>0.99816848863616758</v>
      </c>
      <c r="CR572" s="24" t="str">
        <f>"1"</f>
        <v>1</v>
      </c>
      <c r="CS572" t="str">
        <f ca="1">IF((OFFSET($A$1, 572 - 1, 95 - 1)) &gt;= (OFFSET($A$1, 54 - 1, 7 - 1)), "1","0")</f>
        <v>1</v>
      </c>
      <c r="CT572">
        <f ca="1" xml:space="preserve"> IF( AND( OFFSET($A$1, 572 - 1, 96 - 1) = "1", OFFSET($A$1, 572 - 1, 97 - 1) = "1" ), 1, IF( AND( OFFSET($A$1, 572 - 1, 96 - 1) = "1", OFFSET($A$1, 572 - 1, 97 - 1) = "0" ), 2, IF( AND( OFFSET($A$1, 572 - 1, 96 - 1) = "0", OFFSET($A$1, 572 - 1, 97 - 1) = "1" ), 3, 4 ) ) )</f>
        <v>1</v>
      </c>
    </row>
    <row r="573" spans="95:98" ht="13.8" x14ac:dyDescent="0.3">
      <c r="CQ573" s="24">
        <v>0.10137362342338188</v>
      </c>
      <c r="CR573" s="24" t="str">
        <f>"0"</f>
        <v>0</v>
      </c>
      <c r="CS573" t="str">
        <f ca="1">IF((OFFSET($A$1, 573 - 1, 95 - 1)) &gt;= (OFFSET($A$1, 54 - 1, 7 - 1)), "1","0")</f>
        <v>0</v>
      </c>
      <c r="CT573">
        <f ca="1" xml:space="preserve"> IF( AND( OFFSET($A$1, 573 - 1, 96 - 1) = "1", OFFSET($A$1, 573 - 1, 97 - 1) = "1" ), 1, IF( AND( OFFSET($A$1, 573 - 1, 96 - 1) = "1", OFFSET($A$1, 573 - 1, 97 - 1) = "0" ), 2, IF( AND( OFFSET($A$1, 573 - 1, 96 - 1) = "0", OFFSET($A$1, 573 - 1, 97 - 1) = "1" ), 3, 4 ) ) )</f>
        <v>4</v>
      </c>
    </row>
    <row r="574" spans="95:98" ht="13.8" x14ac:dyDescent="0.3">
      <c r="CQ574" s="24">
        <v>0.89945665320855017</v>
      </c>
      <c r="CR574" s="24" t="str">
        <f>"1"</f>
        <v>1</v>
      </c>
      <c r="CS574" t="str">
        <f ca="1">IF((OFFSET($A$1, 574 - 1, 95 - 1)) &gt;= (OFFSET($A$1, 54 - 1, 7 - 1)), "1","0")</f>
        <v>0</v>
      </c>
      <c r="CT574">
        <f ca="1" xml:space="preserve"> IF( AND( OFFSET($A$1, 574 - 1, 96 - 1) = "1", OFFSET($A$1, 574 - 1, 97 - 1) = "1" ), 1, IF( AND( OFFSET($A$1, 574 - 1, 96 - 1) = "1", OFFSET($A$1, 574 - 1, 97 - 1) = "0" ), 2, IF( AND( OFFSET($A$1, 574 - 1, 96 - 1) = "0", OFFSET($A$1, 574 - 1, 97 - 1) = "1" ), 3, 4 ) ) )</f>
        <v>2</v>
      </c>
    </row>
    <row r="575" spans="95:98" ht="13.8" x14ac:dyDescent="0.3">
      <c r="CQ575" s="24">
        <v>0.9056891621194747</v>
      </c>
      <c r="CR575" s="24" t="str">
        <f>"1"</f>
        <v>1</v>
      </c>
      <c r="CS575" t="str">
        <f ca="1">IF((OFFSET($A$1, 575 - 1, 95 - 1)) &gt;= (OFFSET($A$1, 54 - 1, 7 - 1)), "1","0")</f>
        <v>0</v>
      </c>
      <c r="CT575">
        <f ca="1" xml:space="preserve"> IF( AND( OFFSET($A$1, 575 - 1, 96 - 1) = "1", OFFSET($A$1, 575 - 1, 97 - 1) = "1" ), 1, IF( AND( OFFSET($A$1, 575 - 1, 96 - 1) = "1", OFFSET($A$1, 575 - 1, 97 - 1) = "0" ), 2, IF( AND( OFFSET($A$1, 575 - 1, 96 - 1) = "0", OFFSET($A$1, 575 - 1, 97 - 1) = "1" ), 3, 4 ) ) )</f>
        <v>2</v>
      </c>
    </row>
    <row r="576" spans="95:98" ht="13.8" x14ac:dyDescent="0.3">
      <c r="CQ576" s="24">
        <v>0.99711071113968053</v>
      </c>
      <c r="CR576" s="24" t="str">
        <f>"1"</f>
        <v>1</v>
      </c>
      <c r="CS576" t="str">
        <f ca="1">IF((OFFSET($A$1, 576 - 1, 95 - 1)) &gt;= (OFFSET($A$1, 54 - 1, 7 - 1)), "1","0")</f>
        <v>1</v>
      </c>
      <c r="CT576">
        <f ca="1" xml:space="preserve"> IF( AND( OFFSET($A$1, 576 - 1, 96 - 1) = "1", OFFSET($A$1, 576 - 1, 97 - 1) = "1" ), 1, IF( AND( OFFSET($A$1, 576 - 1, 96 - 1) = "1", OFFSET($A$1, 576 - 1, 97 - 1) = "0" ), 2, IF( AND( OFFSET($A$1, 576 - 1, 96 - 1) = "0", OFFSET($A$1, 576 - 1, 97 - 1) = "1" ), 3, 4 ) ) )</f>
        <v>1</v>
      </c>
    </row>
    <row r="577" spans="95:98" ht="13.8" x14ac:dyDescent="0.3">
      <c r="CQ577" s="24">
        <v>0.89907714542569861</v>
      </c>
      <c r="CR577" s="24" t="str">
        <f>"1"</f>
        <v>1</v>
      </c>
      <c r="CS577" t="str">
        <f ca="1">IF((OFFSET($A$1, 577 - 1, 95 - 1)) &gt;= (OFFSET($A$1, 54 - 1, 7 - 1)), "1","0")</f>
        <v>0</v>
      </c>
      <c r="CT577">
        <f ca="1" xml:space="preserve"> IF( AND( OFFSET($A$1, 577 - 1, 96 - 1) = "1", OFFSET($A$1, 577 - 1, 97 - 1) = "1" ), 1, IF( AND( OFFSET($A$1, 577 - 1, 96 - 1) = "1", OFFSET($A$1, 577 - 1, 97 - 1) = "0" ), 2, IF( AND( OFFSET($A$1, 577 - 1, 96 - 1) = "0", OFFSET($A$1, 577 - 1, 97 - 1) = "1" ), 3, 4 ) ) )</f>
        <v>2</v>
      </c>
    </row>
    <row r="578" spans="95:98" ht="13.8" x14ac:dyDescent="0.3">
      <c r="CQ578" s="24">
        <v>0.10867678526384419</v>
      </c>
      <c r="CR578" s="24" t="str">
        <f>"0"</f>
        <v>0</v>
      </c>
      <c r="CS578" t="str">
        <f ca="1">IF((OFFSET($A$1, 578 - 1, 95 - 1)) &gt;= (OFFSET($A$1, 54 - 1, 7 - 1)), "1","0")</f>
        <v>0</v>
      </c>
      <c r="CT578">
        <f ca="1" xml:space="preserve"> IF( AND( OFFSET($A$1, 578 - 1, 96 - 1) = "1", OFFSET($A$1, 578 - 1, 97 - 1) = "1" ), 1, IF( AND( OFFSET($A$1, 578 - 1, 96 - 1) = "1", OFFSET($A$1, 578 - 1, 97 - 1) = "0" ), 2, IF( AND( OFFSET($A$1, 578 - 1, 96 - 1) = "0", OFFSET($A$1, 578 - 1, 97 - 1) = "1" ), 3, 4 ) ) )</f>
        <v>4</v>
      </c>
    </row>
    <row r="579" spans="95:98" ht="13.8" x14ac:dyDescent="0.3">
      <c r="CQ579" s="24">
        <v>4.7175628325055931E-2</v>
      </c>
      <c r="CR579" s="24" t="str">
        <f>"0"</f>
        <v>0</v>
      </c>
      <c r="CS579" t="str">
        <f ca="1">IF((OFFSET($A$1, 579 - 1, 95 - 1)) &gt;= (OFFSET($A$1, 54 - 1, 7 - 1)), "1","0")</f>
        <v>0</v>
      </c>
      <c r="CT579">
        <f ca="1" xml:space="preserve"> IF( AND( OFFSET($A$1, 579 - 1, 96 - 1) = "1", OFFSET($A$1, 579 - 1, 97 - 1) = "1" ), 1, IF( AND( OFFSET($A$1, 579 - 1, 96 - 1) = "1", OFFSET($A$1, 579 - 1, 97 - 1) = "0" ), 2, IF( AND( OFFSET($A$1, 579 - 1, 96 - 1) = "0", OFFSET($A$1, 579 - 1, 97 - 1) = "1" ), 3, 4 ) ) )</f>
        <v>4</v>
      </c>
    </row>
    <row r="580" spans="95:98" ht="13.8" x14ac:dyDescent="0.3">
      <c r="CQ580" s="24">
        <v>0.87880938422452215</v>
      </c>
      <c r="CR580" s="24" t="str">
        <f t="shared" ref="CR580:CR587" si="37">"1"</f>
        <v>1</v>
      </c>
      <c r="CS580" t="str">
        <f ca="1">IF((OFFSET($A$1, 580 - 1, 95 - 1)) &gt;= (OFFSET($A$1, 54 - 1, 7 - 1)), "1","0")</f>
        <v>0</v>
      </c>
      <c r="CT580">
        <f ca="1" xml:space="preserve"> IF( AND( OFFSET($A$1, 580 - 1, 96 - 1) = "1", OFFSET($A$1, 580 - 1, 97 - 1) = "1" ), 1, IF( AND( OFFSET($A$1, 580 - 1, 96 - 1) = "1", OFFSET($A$1, 580 - 1, 97 - 1) = "0" ), 2, IF( AND( OFFSET($A$1, 580 - 1, 96 - 1) = "0", OFFSET($A$1, 580 - 1, 97 - 1) = "1" ), 3, 4 ) ) )</f>
        <v>2</v>
      </c>
    </row>
    <row r="581" spans="95:98" ht="13.8" x14ac:dyDescent="0.3">
      <c r="CQ581" s="24">
        <v>0.90360961362313308</v>
      </c>
      <c r="CR581" s="24" t="str">
        <f t="shared" si="37"/>
        <v>1</v>
      </c>
      <c r="CS581" t="str">
        <f ca="1">IF((OFFSET($A$1, 581 - 1, 95 - 1)) &gt;= (OFFSET($A$1, 54 - 1, 7 - 1)), "1","0")</f>
        <v>0</v>
      </c>
      <c r="CT581">
        <f ca="1" xml:space="preserve"> IF( AND( OFFSET($A$1, 581 - 1, 96 - 1) = "1", OFFSET($A$1, 581 - 1, 97 - 1) = "1" ), 1, IF( AND( OFFSET($A$1, 581 - 1, 96 - 1) = "1", OFFSET($A$1, 581 - 1, 97 - 1) = "0" ), 2, IF( AND( OFFSET($A$1, 581 - 1, 96 - 1) = "0", OFFSET($A$1, 581 - 1, 97 - 1) = "1" ), 3, 4 ) ) )</f>
        <v>2</v>
      </c>
    </row>
    <row r="582" spans="95:98" ht="13.8" x14ac:dyDescent="0.3">
      <c r="CQ582" s="24">
        <v>0.90818658093465099</v>
      </c>
      <c r="CR582" s="24" t="str">
        <f t="shared" si="37"/>
        <v>1</v>
      </c>
      <c r="CS582" t="str">
        <f ca="1">IF((OFFSET($A$1, 582 - 1, 95 - 1)) &gt;= (OFFSET($A$1, 54 - 1, 7 - 1)), "1","0")</f>
        <v>0</v>
      </c>
      <c r="CT582">
        <f ca="1" xml:space="preserve"> IF( AND( OFFSET($A$1, 582 - 1, 96 - 1) = "1", OFFSET($A$1, 582 - 1, 97 - 1) = "1" ), 1, IF( AND( OFFSET($A$1, 582 - 1, 96 - 1) = "1", OFFSET($A$1, 582 - 1, 97 - 1) = "0" ), 2, IF( AND( OFFSET($A$1, 582 - 1, 96 - 1) = "0", OFFSET($A$1, 582 - 1, 97 - 1) = "1" ), 3, 4 ) ) )</f>
        <v>2</v>
      </c>
    </row>
    <row r="583" spans="95:98" ht="13.8" x14ac:dyDescent="0.3">
      <c r="CQ583" s="24">
        <v>0.84434461981689746</v>
      </c>
      <c r="CR583" s="24" t="str">
        <f t="shared" si="37"/>
        <v>1</v>
      </c>
      <c r="CS583" t="str">
        <f ca="1">IF((OFFSET($A$1, 583 - 1, 95 - 1)) &gt;= (OFFSET($A$1, 54 - 1, 7 - 1)), "1","0")</f>
        <v>0</v>
      </c>
      <c r="CT583">
        <f ca="1" xml:space="preserve"> IF( AND( OFFSET($A$1, 583 - 1, 96 - 1) = "1", OFFSET($A$1, 583 - 1, 97 - 1) = "1" ), 1, IF( AND( OFFSET($A$1, 583 - 1, 96 - 1) = "1", OFFSET($A$1, 583 - 1, 97 - 1) = "0" ), 2, IF( AND( OFFSET($A$1, 583 - 1, 96 - 1) = "0", OFFSET($A$1, 583 - 1, 97 - 1) = "1" ), 3, 4 ) ) )</f>
        <v>2</v>
      </c>
    </row>
    <row r="584" spans="95:98" ht="13.8" x14ac:dyDescent="0.3">
      <c r="CQ584" s="24">
        <v>0.81745098708061259</v>
      </c>
      <c r="CR584" s="24" t="str">
        <f t="shared" si="37"/>
        <v>1</v>
      </c>
      <c r="CS584" t="str">
        <f ca="1">IF((OFFSET($A$1, 584 - 1, 95 - 1)) &gt;= (OFFSET($A$1, 54 - 1, 7 - 1)), "1","0")</f>
        <v>0</v>
      </c>
      <c r="CT584">
        <f ca="1" xml:space="preserve"> IF( AND( OFFSET($A$1, 584 - 1, 96 - 1) = "1", OFFSET($A$1, 584 - 1, 97 - 1) = "1" ), 1, IF( AND( OFFSET($A$1, 584 - 1, 96 - 1) = "1", OFFSET($A$1, 584 - 1, 97 - 1) = "0" ), 2, IF( AND( OFFSET($A$1, 584 - 1, 96 - 1) = "0", OFFSET($A$1, 584 - 1, 97 - 1) = "1" ), 3, 4 ) ) )</f>
        <v>2</v>
      </c>
    </row>
    <row r="585" spans="95:98" ht="13.8" x14ac:dyDescent="0.3">
      <c r="CQ585" s="24">
        <v>0.99851157937168478</v>
      </c>
      <c r="CR585" s="24" t="str">
        <f t="shared" si="37"/>
        <v>1</v>
      </c>
      <c r="CS585" t="str">
        <f ca="1">IF((OFFSET($A$1, 585 - 1, 95 - 1)) &gt;= (OFFSET($A$1, 54 - 1, 7 - 1)), "1","0")</f>
        <v>1</v>
      </c>
      <c r="CT585">
        <f ca="1" xml:space="preserve"> IF( AND( OFFSET($A$1, 585 - 1, 96 - 1) = "1", OFFSET($A$1, 585 - 1, 97 - 1) = "1" ), 1, IF( AND( OFFSET($A$1, 585 - 1, 96 - 1) = "1", OFFSET($A$1, 585 - 1, 97 - 1) = "0" ), 2, IF( AND( OFFSET($A$1, 585 - 1, 96 - 1) = "0", OFFSET($A$1, 585 - 1, 97 - 1) = "1" ), 3, 4 ) ) )</f>
        <v>1</v>
      </c>
    </row>
    <row r="586" spans="95:98" ht="13.8" x14ac:dyDescent="0.3">
      <c r="CQ586" s="24">
        <v>0.98561002835462708</v>
      </c>
      <c r="CR586" s="24" t="str">
        <f t="shared" si="37"/>
        <v>1</v>
      </c>
      <c r="CS586" t="str">
        <f ca="1">IF((OFFSET($A$1, 586 - 1, 95 - 1)) &gt;= (OFFSET($A$1, 54 - 1, 7 - 1)), "1","0")</f>
        <v>1</v>
      </c>
      <c r="CT586">
        <f ca="1" xml:space="preserve"> IF( AND( OFFSET($A$1, 586 - 1, 96 - 1) = "1", OFFSET($A$1, 586 - 1, 97 - 1) = "1" ), 1, IF( AND( OFFSET($A$1, 586 - 1, 96 - 1) = "1", OFFSET($A$1, 586 - 1, 97 - 1) = "0" ), 2, IF( AND( OFFSET($A$1, 586 - 1, 96 - 1) = "0", OFFSET($A$1, 586 - 1, 97 - 1) = "1" ), 3, 4 ) ) )</f>
        <v>1</v>
      </c>
    </row>
    <row r="587" spans="95:98" ht="13.8" x14ac:dyDescent="0.3">
      <c r="CQ587" s="24">
        <v>0.99511819970377502</v>
      </c>
      <c r="CR587" s="24" t="str">
        <f t="shared" si="37"/>
        <v>1</v>
      </c>
      <c r="CS587" t="str">
        <f ca="1">IF((OFFSET($A$1, 587 - 1, 95 - 1)) &gt;= (OFFSET($A$1, 54 - 1, 7 - 1)), "1","0")</f>
        <v>1</v>
      </c>
      <c r="CT587">
        <f ca="1" xml:space="preserve"> IF( AND( OFFSET($A$1, 587 - 1, 96 - 1) = "1", OFFSET($A$1, 587 - 1, 97 - 1) = "1" ), 1, IF( AND( OFFSET($A$1, 587 - 1, 96 - 1) = "1", OFFSET($A$1, 587 - 1, 97 - 1) = "0" ), 2, IF( AND( OFFSET($A$1, 587 - 1, 96 - 1) = "0", OFFSET($A$1, 587 - 1, 97 - 1) = "1" ), 3, 4 ) ) )</f>
        <v>1</v>
      </c>
    </row>
    <row r="588" spans="95:98" ht="13.8" x14ac:dyDescent="0.3">
      <c r="CQ588" s="24">
        <v>6.4009553717782788E-2</v>
      </c>
      <c r="CR588" s="24" t="str">
        <f>"0"</f>
        <v>0</v>
      </c>
      <c r="CS588" t="str">
        <f ca="1">IF((OFFSET($A$1, 588 - 1, 95 - 1)) &gt;= (OFFSET($A$1, 54 - 1, 7 - 1)), "1","0")</f>
        <v>0</v>
      </c>
      <c r="CT588">
        <f ca="1" xml:space="preserve"> IF( AND( OFFSET($A$1, 588 - 1, 96 - 1) = "1", OFFSET($A$1, 588 - 1, 97 - 1) = "1" ), 1, IF( AND( OFFSET($A$1, 588 - 1, 96 - 1) = "1", OFFSET($A$1, 588 - 1, 97 - 1) = "0" ), 2, IF( AND( OFFSET($A$1, 588 - 1, 96 - 1) = "0", OFFSET($A$1, 588 - 1, 97 - 1) = "1" ), 3, 4 ) ) )</f>
        <v>4</v>
      </c>
    </row>
    <row r="589" spans="95:98" ht="13.8" x14ac:dyDescent="0.3">
      <c r="CQ589" s="24">
        <v>1.5409706073930388E-2</v>
      </c>
      <c r="CR589" s="24" t="str">
        <f>"0"</f>
        <v>0</v>
      </c>
      <c r="CS589" t="str">
        <f ca="1">IF((OFFSET($A$1, 589 - 1, 95 - 1)) &gt;= (OFFSET($A$1, 54 - 1, 7 - 1)), "1","0")</f>
        <v>0</v>
      </c>
      <c r="CT589">
        <f ca="1" xml:space="preserve"> IF( AND( OFFSET($A$1, 589 - 1, 96 - 1) = "1", OFFSET($A$1, 589 - 1, 97 - 1) = "1" ), 1, IF( AND( OFFSET($A$1, 589 - 1, 96 - 1) = "1", OFFSET($A$1, 589 - 1, 97 - 1) = "0" ), 2, IF( AND( OFFSET($A$1, 589 - 1, 96 - 1) = "0", OFFSET($A$1, 589 - 1, 97 - 1) = "1" ), 3, 4 ) ) )</f>
        <v>4</v>
      </c>
    </row>
    <row r="590" spans="95:98" ht="13.8" x14ac:dyDescent="0.3">
      <c r="CQ590" s="24">
        <v>0.99735791007933716</v>
      </c>
      <c r="CR590" s="24" t="str">
        <f>"1"</f>
        <v>1</v>
      </c>
      <c r="CS590" t="str">
        <f ca="1">IF((OFFSET($A$1, 590 - 1, 95 - 1)) &gt;= (OFFSET($A$1, 54 - 1, 7 - 1)), "1","0")</f>
        <v>1</v>
      </c>
      <c r="CT590">
        <f ca="1" xml:space="preserve"> IF( AND( OFFSET($A$1, 590 - 1, 96 - 1) = "1", OFFSET($A$1, 590 - 1, 97 - 1) = "1" ), 1, IF( AND( OFFSET($A$1, 590 - 1, 96 - 1) = "1", OFFSET($A$1, 590 - 1, 97 - 1) = "0" ), 2, IF( AND( OFFSET($A$1, 590 - 1, 96 - 1) = "0", OFFSET($A$1, 590 - 1, 97 - 1) = "1" ), 3, 4 ) ) )</f>
        <v>1</v>
      </c>
    </row>
    <row r="591" spans="95:98" ht="13.8" x14ac:dyDescent="0.3">
      <c r="CQ591" s="24">
        <v>0.99993406820078956</v>
      </c>
      <c r="CR591" s="24" t="str">
        <f>"1"</f>
        <v>1</v>
      </c>
      <c r="CS591" t="str">
        <f ca="1">IF((OFFSET($A$1, 591 - 1, 95 - 1)) &gt;= (OFFSET($A$1, 54 - 1, 7 - 1)), "1","0")</f>
        <v>1</v>
      </c>
      <c r="CT591">
        <f ca="1" xml:space="preserve"> IF( AND( OFFSET($A$1, 591 - 1, 96 - 1) = "1", OFFSET($A$1, 591 - 1, 97 - 1) = "1" ), 1, IF( AND( OFFSET($A$1, 591 - 1, 96 - 1) = "1", OFFSET($A$1, 591 - 1, 97 - 1) = "0" ), 2, IF( AND( OFFSET($A$1, 591 - 1, 96 - 1) = "0", OFFSET($A$1, 591 - 1, 97 - 1) = "1" ), 3, 4 ) ) )</f>
        <v>1</v>
      </c>
    </row>
    <row r="592" spans="95:98" ht="13.8" x14ac:dyDescent="0.3">
      <c r="CQ592" s="24">
        <v>3.3704396966512382E-2</v>
      </c>
      <c r="CR592" s="24" t="str">
        <f>"0"</f>
        <v>0</v>
      </c>
      <c r="CS592" t="str">
        <f ca="1">IF((OFFSET($A$1, 592 - 1, 95 - 1)) &gt;= (OFFSET($A$1, 54 - 1, 7 - 1)), "1","0")</f>
        <v>0</v>
      </c>
      <c r="CT592">
        <f ca="1" xml:space="preserve"> IF( AND( OFFSET($A$1, 592 - 1, 96 - 1) = "1", OFFSET($A$1, 592 - 1, 97 - 1) = "1" ), 1, IF( AND( OFFSET($A$1, 592 - 1, 96 - 1) = "1", OFFSET($A$1, 592 - 1, 97 - 1) = "0" ), 2, IF( AND( OFFSET($A$1, 592 - 1, 96 - 1) = "0", OFFSET($A$1, 592 - 1, 97 - 1) = "1" ), 3, 4 ) ) )</f>
        <v>4</v>
      </c>
    </row>
    <row r="593" spans="95:98" ht="13.8" x14ac:dyDescent="0.3">
      <c r="CQ593" s="24">
        <v>0.11712607907686411</v>
      </c>
      <c r="CR593" s="24" t="str">
        <f>"0"</f>
        <v>0</v>
      </c>
      <c r="CS593" t="str">
        <f ca="1">IF((OFFSET($A$1, 593 - 1, 95 - 1)) &gt;= (OFFSET($A$1, 54 - 1, 7 - 1)), "1","0")</f>
        <v>0</v>
      </c>
      <c r="CT593">
        <f ca="1" xml:space="preserve"> IF( AND( OFFSET($A$1, 593 - 1, 96 - 1) = "1", OFFSET($A$1, 593 - 1, 97 - 1) = "1" ), 1, IF( AND( OFFSET($A$1, 593 - 1, 96 - 1) = "1", OFFSET($A$1, 593 - 1, 97 - 1) = "0" ), 2, IF( AND( OFFSET($A$1, 593 - 1, 96 - 1) = "0", OFFSET($A$1, 593 - 1, 97 - 1) = "1" ), 3, 4 ) ) )</f>
        <v>4</v>
      </c>
    </row>
    <row r="594" spans="95:98" ht="13.8" x14ac:dyDescent="0.3">
      <c r="CQ594" s="24">
        <v>0.97968100154312299</v>
      </c>
      <c r="CR594" s="24" t="str">
        <f>"1"</f>
        <v>1</v>
      </c>
      <c r="CS594" t="str">
        <f ca="1">IF((OFFSET($A$1, 594 - 1, 95 - 1)) &gt;= (OFFSET($A$1, 54 - 1, 7 - 1)), "1","0")</f>
        <v>1</v>
      </c>
      <c r="CT594">
        <f ca="1" xml:space="preserve"> IF( AND( OFFSET($A$1, 594 - 1, 96 - 1) = "1", OFFSET($A$1, 594 - 1, 97 - 1) = "1" ), 1, IF( AND( OFFSET($A$1, 594 - 1, 96 - 1) = "1", OFFSET($A$1, 594 - 1, 97 - 1) = "0" ), 2, IF( AND( OFFSET($A$1, 594 - 1, 96 - 1) = "0", OFFSET($A$1, 594 - 1, 97 - 1) = "1" ), 3, 4 ) ) )</f>
        <v>1</v>
      </c>
    </row>
    <row r="595" spans="95:98" ht="13.8" x14ac:dyDescent="0.3">
      <c r="CQ595" s="24">
        <v>0.10523397512076596</v>
      </c>
      <c r="CR595" s="24" t="str">
        <f>"0"</f>
        <v>0</v>
      </c>
      <c r="CS595" t="str">
        <f ca="1">IF((OFFSET($A$1, 595 - 1, 95 - 1)) &gt;= (OFFSET($A$1, 54 - 1, 7 - 1)), "1","0")</f>
        <v>0</v>
      </c>
      <c r="CT595">
        <f ca="1" xml:space="preserve"> IF( AND( OFFSET($A$1, 595 - 1, 96 - 1) = "1", OFFSET($A$1, 595 - 1, 97 - 1) = "1" ), 1, IF( AND( OFFSET($A$1, 595 - 1, 96 - 1) = "1", OFFSET($A$1, 595 - 1, 97 - 1) = "0" ), 2, IF( AND( OFFSET($A$1, 595 - 1, 96 - 1) = "0", OFFSET($A$1, 595 - 1, 97 - 1) = "1" ), 3, 4 ) ) )</f>
        <v>4</v>
      </c>
    </row>
    <row r="596" spans="95:98" ht="13.8" x14ac:dyDescent="0.3">
      <c r="CQ596" s="24">
        <v>0.9950309397387731</v>
      </c>
      <c r="CR596" s="24" t="str">
        <f>"1"</f>
        <v>1</v>
      </c>
      <c r="CS596" t="str">
        <f ca="1">IF((OFFSET($A$1, 596 - 1, 95 - 1)) &gt;= (OFFSET($A$1, 54 - 1, 7 - 1)), "1","0")</f>
        <v>1</v>
      </c>
      <c r="CT596">
        <f ca="1" xml:space="preserve"> IF( AND( OFFSET($A$1, 596 - 1, 96 - 1) = "1", OFFSET($A$1, 596 - 1, 97 - 1) = "1" ), 1, IF( AND( OFFSET($A$1, 596 - 1, 96 - 1) = "1", OFFSET($A$1, 596 - 1, 97 - 1) = "0" ), 2, IF( AND( OFFSET($A$1, 596 - 1, 96 - 1) = "0", OFFSET($A$1, 596 - 1, 97 - 1) = "1" ), 3, 4 ) ) )</f>
        <v>1</v>
      </c>
    </row>
    <row r="597" spans="95:98" ht="13.8" x14ac:dyDescent="0.3">
      <c r="CQ597" s="24">
        <v>0.88482752191074909</v>
      </c>
      <c r="CR597" s="24" t="str">
        <f>"1"</f>
        <v>1</v>
      </c>
      <c r="CS597" t="str">
        <f ca="1">IF((OFFSET($A$1, 597 - 1, 95 - 1)) &gt;= (OFFSET($A$1, 54 - 1, 7 - 1)), "1","0")</f>
        <v>0</v>
      </c>
      <c r="CT597">
        <f ca="1" xml:space="preserve"> IF( AND( OFFSET($A$1, 597 - 1, 96 - 1) = "1", OFFSET($A$1, 597 - 1, 97 - 1) = "1" ), 1, IF( AND( OFFSET($A$1, 597 - 1, 96 - 1) = "1", OFFSET($A$1, 597 - 1, 97 - 1) = "0" ), 2, IF( AND( OFFSET($A$1, 597 - 1, 96 - 1) = "0", OFFSET($A$1, 597 - 1, 97 - 1) = "1" ), 3, 4 ) ) )</f>
        <v>2</v>
      </c>
    </row>
    <row r="598" spans="95:98" ht="13.8" x14ac:dyDescent="0.3">
      <c r="CQ598" s="24">
        <v>1.1534888056937351E-2</v>
      </c>
      <c r="CR598" s="24" t="str">
        <f>"0"</f>
        <v>0</v>
      </c>
      <c r="CS598" t="str">
        <f ca="1">IF((OFFSET($A$1, 598 - 1, 95 - 1)) &gt;= (OFFSET($A$1, 54 - 1, 7 - 1)), "1","0")</f>
        <v>0</v>
      </c>
      <c r="CT598">
        <f ca="1" xml:space="preserve"> IF( AND( OFFSET($A$1, 598 - 1, 96 - 1) = "1", OFFSET($A$1, 598 - 1, 97 - 1) = "1" ), 1, IF( AND( OFFSET($A$1, 598 - 1, 96 - 1) = "1", OFFSET($A$1, 598 - 1, 97 - 1) = "0" ), 2, IF( AND( OFFSET($A$1, 598 - 1, 96 - 1) = "0", OFFSET($A$1, 598 - 1, 97 - 1) = "1" ), 3, 4 ) ) )</f>
        <v>4</v>
      </c>
    </row>
    <row r="599" spans="95:98" ht="13.8" x14ac:dyDescent="0.3">
      <c r="CQ599" s="24">
        <v>0.88607553431487751</v>
      </c>
      <c r="CR599" s="24" t="str">
        <f>"1"</f>
        <v>1</v>
      </c>
      <c r="CS599" t="str">
        <f ca="1">IF((OFFSET($A$1, 599 - 1, 95 - 1)) &gt;= (OFFSET($A$1, 54 - 1, 7 - 1)), "1","0")</f>
        <v>0</v>
      </c>
      <c r="CT599">
        <f ca="1" xml:space="preserve"> IF( AND( OFFSET($A$1, 599 - 1, 96 - 1) = "1", OFFSET($A$1, 599 - 1, 97 - 1) = "1" ), 1, IF( AND( OFFSET($A$1, 599 - 1, 96 - 1) = "1", OFFSET($A$1, 599 - 1, 97 - 1) = "0" ), 2, IF( AND( OFFSET($A$1, 599 - 1, 96 - 1) = "0", OFFSET($A$1, 599 - 1, 97 - 1) = "1" ), 3, 4 ) ) )</f>
        <v>2</v>
      </c>
    </row>
    <row r="600" spans="95:98" ht="13.8" x14ac:dyDescent="0.3">
      <c r="CQ600" s="24">
        <v>0.42703413178976646</v>
      </c>
      <c r="CR600" s="24" t="str">
        <f>"0"</f>
        <v>0</v>
      </c>
      <c r="CS600" t="str">
        <f ca="1">IF((OFFSET($A$1, 600 - 1, 95 - 1)) &gt;= (OFFSET($A$1, 54 - 1, 7 - 1)), "1","0")</f>
        <v>0</v>
      </c>
      <c r="CT600">
        <f ca="1" xml:space="preserve"> IF( AND( OFFSET($A$1, 600 - 1, 96 - 1) = "1", OFFSET($A$1, 600 - 1, 97 - 1) = "1" ), 1, IF( AND( OFFSET($A$1, 600 - 1, 96 - 1) = "1", OFFSET($A$1, 600 - 1, 97 - 1) = "0" ), 2, IF( AND( OFFSET($A$1, 600 - 1, 96 - 1) = "0", OFFSET($A$1, 600 - 1, 97 - 1) = "1" ), 3, 4 ) ) )</f>
        <v>4</v>
      </c>
    </row>
  </sheetData>
  <mergeCells count="78">
    <mergeCell ref="B3:M3"/>
    <mergeCell ref="P3:S3"/>
    <mergeCell ref="C97:D97"/>
    <mergeCell ref="D102:AW102"/>
    <mergeCell ref="D119:Q119"/>
    <mergeCell ref="B4:C4"/>
    <mergeCell ref="D4:E4"/>
    <mergeCell ref="F4:G4"/>
    <mergeCell ref="H4:I4"/>
    <mergeCell ref="J4:K4"/>
    <mergeCell ref="L4:M4"/>
    <mergeCell ref="C86:F86"/>
    <mergeCell ref="C92:E92"/>
    <mergeCell ref="C93:D93"/>
    <mergeCell ref="C94:D94"/>
    <mergeCell ref="D57:E57"/>
    <mergeCell ref="C62:F62"/>
    <mergeCell ref="C68:E68"/>
    <mergeCell ref="C69:D69"/>
    <mergeCell ref="C96:D96"/>
    <mergeCell ref="C72:D72"/>
    <mergeCell ref="C73:D73"/>
    <mergeCell ref="C78:F78"/>
    <mergeCell ref="H78:M78"/>
    <mergeCell ref="C80:E80"/>
    <mergeCell ref="D81:E81"/>
    <mergeCell ref="C95:D95"/>
    <mergeCell ref="C70:D70"/>
    <mergeCell ref="C71:D71"/>
    <mergeCell ref="C39:G39"/>
    <mergeCell ref="C40:G40"/>
    <mergeCell ref="C45:G45"/>
    <mergeCell ref="C54:F54"/>
    <mergeCell ref="C56:E56"/>
    <mergeCell ref="G32:J32"/>
    <mergeCell ref="G33:J33"/>
    <mergeCell ref="G34:J34"/>
    <mergeCell ref="G35:J35"/>
    <mergeCell ref="G36:J36"/>
    <mergeCell ref="C38:G38"/>
    <mergeCell ref="C35:F35"/>
    <mergeCell ref="C36:F36"/>
    <mergeCell ref="G26:J26"/>
    <mergeCell ref="G27:J27"/>
    <mergeCell ref="G28:J28"/>
    <mergeCell ref="G29:J29"/>
    <mergeCell ref="H54:M54"/>
    <mergeCell ref="C33:F33"/>
    <mergeCell ref="C34:F34"/>
    <mergeCell ref="C23:J23"/>
    <mergeCell ref="C24:F24"/>
    <mergeCell ref="C25:F25"/>
    <mergeCell ref="C26:F26"/>
    <mergeCell ref="C27:F27"/>
    <mergeCell ref="C28:F28"/>
    <mergeCell ref="G30:J30"/>
    <mergeCell ref="G31:J31"/>
    <mergeCell ref="C29:F29"/>
    <mergeCell ref="C30:F30"/>
    <mergeCell ref="C31:F31"/>
    <mergeCell ref="C32:F32"/>
    <mergeCell ref="G24:J24"/>
    <mergeCell ref="G25:J25"/>
    <mergeCell ref="C18:AW18"/>
    <mergeCell ref="C19:D19"/>
    <mergeCell ref="C20:D20"/>
    <mergeCell ref="C21:D21"/>
    <mergeCell ref="E19:AW19"/>
    <mergeCell ref="E21:AW21"/>
    <mergeCell ref="C12:K12"/>
    <mergeCell ref="C13:F13"/>
    <mergeCell ref="C14:F14"/>
    <mergeCell ref="C15:F15"/>
    <mergeCell ref="C16:F16"/>
    <mergeCell ref="G13:K13"/>
    <mergeCell ref="G14:K14"/>
    <mergeCell ref="G15:K15"/>
    <mergeCell ref="G16:K16"/>
  </mergeCells>
  <hyperlinks>
    <hyperlink ref="B4" location="'NNC_Output2'!$B$10:$B$10" display="Inputs"/>
    <hyperlink ref="D4" location="'NNC_Output2'!$B$43:$B$43" display="Prior Class Prob."/>
    <hyperlink ref="F4" location="'NNC_Output2'!$B$52:$B$52" display="Train. Score - Summary"/>
    <hyperlink ref="H4" location="'NNC_Output2'!$B$76:$B$76" display="Valid. Score - Summary"/>
    <hyperlink ref="J4" location="'NNC_Output2'!$B$100:$B$100" display="Weights"/>
    <hyperlink ref="L4" location="'NNC_TrainLog2'!$B$10:$B$10" display="Training Log"/>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52"/>
  <sheetViews>
    <sheetView showGridLines="0" workbookViewId="0"/>
  </sheetViews>
  <sheetFormatPr defaultRowHeight="13.2" x14ac:dyDescent="0.25"/>
  <cols>
    <col min="16" max="16" width="13.5546875" bestFit="1" customWidth="1"/>
  </cols>
  <sheetData>
    <row r="1" spans="2:19" ht="18" x14ac:dyDescent="0.35">
      <c r="B1" s="23" t="s">
        <v>691</v>
      </c>
      <c r="N1" t="s">
        <v>755</v>
      </c>
    </row>
    <row r="3" spans="2:19" ht="15.6" x14ac:dyDescent="0.3">
      <c r="B3" s="59" t="s">
        <v>136</v>
      </c>
      <c r="C3" s="60"/>
      <c r="D3" s="60"/>
      <c r="E3" s="60"/>
      <c r="F3" s="60"/>
      <c r="G3" s="60"/>
      <c r="H3" s="60"/>
      <c r="I3" s="60"/>
      <c r="J3" s="60"/>
      <c r="K3" s="60"/>
      <c r="L3" s="60"/>
      <c r="M3" s="61"/>
      <c r="P3" s="59" t="s">
        <v>137</v>
      </c>
      <c r="Q3" s="60"/>
      <c r="R3" s="60"/>
      <c r="S3" s="61"/>
    </row>
    <row r="4" spans="2:19" ht="13.8" x14ac:dyDescent="0.3">
      <c r="B4" s="65" t="s">
        <v>141</v>
      </c>
      <c r="C4" s="66"/>
      <c r="D4" s="65" t="s">
        <v>683</v>
      </c>
      <c r="E4" s="66"/>
      <c r="F4" s="65" t="s">
        <v>684</v>
      </c>
      <c r="G4" s="66"/>
      <c r="H4" s="65" t="s">
        <v>685</v>
      </c>
      <c r="I4" s="66"/>
      <c r="J4" s="65" t="s">
        <v>686</v>
      </c>
      <c r="K4" s="66"/>
      <c r="L4" s="65" t="s">
        <v>687</v>
      </c>
      <c r="M4" s="66"/>
      <c r="P4" s="26" t="s">
        <v>182</v>
      </c>
      <c r="Q4" s="26" t="s">
        <v>183</v>
      </c>
      <c r="R4" s="26" t="s">
        <v>139</v>
      </c>
      <c r="S4" s="26" t="s">
        <v>140</v>
      </c>
    </row>
    <row r="5" spans="2:19" ht="13.8" x14ac:dyDescent="0.3">
      <c r="P5" s="24">
        <v>62</v>
      </c>
      <c r="Q5" s="24">
        <v>292</v>
      </c>
      <c r="R5" s="24">
        <v>141</v>
      </c>
      <c r="S5" s="24">
        <v>495</v>
      </c>
    </row>
    <row r="10" spans="2:19" ht="13.8" x14ac:dyDescent="0.3">
      <c r="B10" s="21" t="s">
        <v>687</v>
      </c>
    </row>
    <row r="12" spans="2:19" ht="13.8" x14ac:dyDescent="0.3">
      <c r="C12" s="26" t="s">
        <v>692</v>
      </c>
      <c r="D12" s="26" t="s">
        <v>693</v>
      </c>
      <c r="E12" s="26" t="s">
        <v>694</v>
      </c>
    </row>
    <row r="13" spans="2:19" ht="13.8" x14ac:dyDescent="0.3">
      <c r="C13" s="24">
        <v>1</v>
      </c>
      <c r="D13" s="24">
        <v>109.833011489428</v>
      </c>
      <c r="E13" s="24">
        <v>28.666666666666668</v>
      </c>
    </row>
    <row r="14" spans="2:19" ht="13.8" x14ac:dyDescent="0.3">
      <c r="C14" s="24">
        <v>2</v>
      </c>
      <c r="D14" s="24">
        <v>93.33669640013899</v>
      </c>
      <c r="E14" s="24">
        <v>25</v>
      </c>
    </row>
    <row r="15" spans="2:19" ht="13.8" x14ac:dyDescent="0.3">
      <c r="C15" s="24">
        <v>3</v>
      </c>
      <c r="D15" s="24">
        <v>88.534655181073035</v>
      </c>
      <c r="E15" s="24">
        <v>22.666666666666668</v>
      </c>
    </row>
    <row r="16" spans="2:19" ht="13.8" x14ac:dyDescent="0.3">
      <c r="C16" s="24">
        <v>4</v>
      </c>
      <c r="D16" s="24">
        <v>85.113398084196845</v>
      </c>
      <c r="E16" s="24">
        <v>21.666666666666668</v>
      </c>
    </row>
    <row r="17" spans="3:5" ht="13.8" x14ac:dyDescent="0.3">
      <c r="C17" s="24">
        <v>5</v>
      </c>
      <c r="D17" s="24">
        <v>81.857105393463797</v>
      </c>
      <c r="E17" s="24">
        <v>20.166666666666668</v>
      </c>
    </row>
    <row r="18" spans="3:5" ht="13.8" x14ac:dyDescent="0.3">
      <c r="C18" s="24">
        <v>6</v>
      </c>
      <c r="D18" s="24">
        <v>78.658960367535371</v>
      </c>
      <c r="E18" s="24">
        <v>19.666666666666668</v>
      </c>
    </row>
    <row r="19" spans="3:5" ht="13.8" x14ac:dyDescent="0.3">
      <c r="C19" s="24">
        <v>7</v>
      </c>
      <c r="D19" s="24">
        <v>75.096917963502023</v>
      </c>
      <c r="E19" s="24">
        <v>18.333333333333332</v>
      </c>
    </row>
    <row r="20" spans="3:5" ht="13.8" x14ac:dyDescent="0.3">
      <c r="C20" s="24">
        <v>8</v>
      </c>
      <c r="D20" s="24">
        <v>71.320508188890869</v>
      </c>
      <c r="E20" s="24">
        <v>17.333333333333332</v>
      </c>
    </row>
    <row r="21" spans="3:5" ht="13.8" x14ac:dyDescent="0.3">
      <c r="C21" s="24">
        <v>9</v>
      </c>
      <c r="D21" s="24">
        <v>67.716202877903186</v>
      </c>
      <c r="E21" s="24">
        <v>16</v>
      </c>
    </row>
    <row r="22" spans="3:5" ht="13.8" x14ac:dyDescent="0.3">
      <c r="C22" s="24">
        <v>10</v>
      </c>
      <c r="D22" s="24">
        <v>64.286886241306618</v>
      </c>
      <c r="E22" s="24">
        <v>13.5</v>
      </c>
    </row>
    <row r="23" spans="3:5" ht="13.8" x14ac:dyDescent="0.3">
      <c r="C23" s="24">
        <v>11</v>
      </c>
      <c r="D23" s="24">
        <v>61.048237169857977</v>
      </c>
      <c r="E23" s="24">
        <v>12.333333333333334</v>
      </c>
    </row>
    <row r="24" spans="3:5" ht="13.8" x14ac:dyDescent="0.3">
      <c r="C24" s="24">
        <v>12</v>
      </c>
      <c r="D24" s="24">
        <v>58.013592780662961</v>
      </c>
      <c r="E24" s="24">
        <v>12</v>
      </c>
    </row>
    <row r="25" spans="3:5" ht="13.8" x14ac:dyDescent="0.3">
      <c r="C25" s="24">
        <v>13</v>
      </c>
      <c r="D25" s="24">
        <v>54.988857560348762</v>
      </c>
      <c r="E25" s="24">
        <v>11.166666666666666</v>
      </c>
    </row>
    <row r="26" spans="3:5" ht="13.8" x14ac:dyDescent="0.3">
      <c r="C26" s="24">
        <v>14</v>
      </c>
      <c r="D26" s="24">
        <v>52.068799936830494</v>
      </c>
      <c r="E26" s="24">
        <v>10.166666666666666</v>
      </c>
    </row>
    <row r="27" spans="3:5" ht="13.8" x14ac:dyDescent="0.3">
      <c r="C27" s="24">
        <v>15</v>
      </c>
      <c r="D27" s="24">
        <v>49.093237207808116</v>
      </c>
      <c r="E27" s="24">
        <v>9.8333333333333339</v>
      </c>
    </row>
    <row r="28" spans="3:5" ht="13.8" x14ac:dyDescent="0.3">
      <c r="C28" s="24">
        <v>16</v>
      </c>
      <c r="D28" s="24">
        <v>46.330612058017437</v>
      </c>
      <c r="E28" s="24">
        <v>8.8333333333333339</v>
      </c>
    </row>
    <row r="29" spans="3:5" ht="13.8" x14ac:dyDescent="0.3">
      <c r="C29" s="24">
        <v>17</v>
      </c>
      <c r="D29" s="24">
        <v>43.535364806276121</v>
      </c>
      <c r="E29" s="24">
        <v>7.833333333333333</v>
      </c>
    </row>
    <row r="30" spans="3:5" ht="13.8" x14ac:dyDescent="0.3">
      <c r="C30" s="24">
        <v>18</v>
      </c>
      <c r="D30" s="24">
        <v>40.982291267750469</v>
      </c>
      <c r="E30" s="24">
        <v>6.666666666666667</v>
      </c>
    </row>
    <row r="31" spans="3:5" ht="13.8" x14ac:dyDescent="0.3">
      <c r="C31" s="24">
        <v>19</v>
      </c>
      <c r="D31" s="24">
        <v>38.481900358174705</v>
      </c>
      <c r="E31" s="24">
        <v>6.5</v>
      </c>
    </row>
    <row r="32" spans="3:5" ht="13.8" x14ac:dyDescent="0.3">
      <c r="C32" s="24">
        <v>20</v>
      </c>
      <c r="D32" s="24">
        <v>36.055478633498367</v>
      </c>
      <c r="E32" s="24">
        <v>6.166666666666667</v>
      </c>
    </row>
    <row r="33" spans="3:5" ht="13.8" x14ac:dyDescent="0.3">
      <c r="C33" s="24">
        <v>21</v>
      </c>
      <c r="D33" s="24">
        <v>33.624309656511024</v>
      </c>
      <c r="E33" s="24">
        <v>5.666666666666667</v>
      </c>
    </row>
    <row r="34" spans="3:5" ht="13.8" x14ac:dyDescent="0.3">
      <c r="C34" s="24">
        <v>22</v>
      </c>
      <c r="D34" s="24">
        <v>31.298367514369179</v>
      </c>
      <c r="E34" s="24">
        <v>5</v>
      </c>
    </row>
    <row r="35" spans="3:5" ht="13.8" x14ac:dyDescent="0.3">
      <c r="C35" s="24">
        <v>23</v>
      </c>
      <c r="D35" s="24">
        <v>29.11012199257673</v>
      </c>
      <c r="E35" s="24">
        <v>4</v>
      </c>
    </row>
    <row r="36" spans="3:5" ht="13.8" x14ac:dyDescent="0.3">
      <c r="C36" s="24">
        <v>24</v>
      </c>
      <c r="D36" s="24">
        <v>27.217598929132251</v>
      </c>
      <c r="E36" s="24">
        <v>3.5</v>
      </c>
    </row>
    <row r="37" spans="3:5" ht="13.8" x14ac:dyDescent="0.3">
      <c r="C37" s="24">
        <v>25</v>
      </c>
      <c r="D37" s="24">
        <v>25.55115167436518</v>
      </c>
      <c r="E37" s="24">
        <v>3.3333333333333335</v>
      </c>
    </row>
    <row r="38" spans="3:5" ht="13.8" x14ac:dyDescent="0.3">
      <c r="C38" s="24">
        <v>26</v>
      </c>
      <c r="D38" s="24">
        <v>23.887509614451304</v>
      </c>
      <c r="E38" s="24">
        <v>2.8333333333333335</v>
      </c>
    </row>
    <row r="39" spans="3:5" ht="13.8" x14ac:dyDescent="0.3">
      <c r="C39" s="24">
        <v>27</v>
      </c>
      <c r="D39" s="24">
        <v>22.544733463938837</v>
      </c>
      <c r="E39" s="24">
        <v>2.6666666666666665</v>
      </c>
    </row>
    <row r="40" spans="3:5" ht="13.8" x14ac:dyDescent="0.3">
      <c r="C40" s="24">
        <v>28</v>
      </c>
      <c r="D40" s="24">
        <v>21.289523140373372</v>
      </c>
      <c r="E40" s="24">
        <v>2.6666666666666665</v>
      </c>
    </row>
    <row r="41" spans="3:5" ht="13.8" x14ac:dyDescent="0.3">
      <c r="C41" s="24">
        <v>29</v>
      </c>
      <c r="D41" s="24">
        <v>20.296193509196492</v>
      </c>
      <c r="E41" s="24">
        <v>2.5</v>
      </c>
    </row>
    <row r="42" spans="3:5" ht="13.8" x14ac:dyDescent="0.3">
      <c r="C42" s="24">
        <v>30</v>
      </c>
      <c r="D42" s="24">
        <v>19.266549347372589</v>
      </c>
      <c r="E42" s="24">
        <v>2.5</v>
      </c>
    </row>
    <row r="43" spans="3:5" ht="13.8" x14ac:dyDescent="0.3">
      <c r="C43" s="24">
        <v>31</v>
      </c>
      <c r="D43" s="24">
        <v>18.450511961182585</v>
      </c>
      <c r="E43" s="24">
        <v>2.3333333333333335</v>
      </c>
    </row>
    <row r="44" spans="3:5" ht="13.8" x14ac:dyDescent="0.3">
      <c r="C44" s="24">
        <v>32</v>
      </c>
      <c r="D44" s="24">
        <v>17.327286051896508</v>
      </c>
      <c r="E44" s="24">
        <v>2</v>
      </c>
    </row>
    <row r="45" spans="3:5" ht="13.8" x14ac:dyDescent="0.3">
      <c r="C45" s="24">
        <v>33</v>
      </c>
      <c r="D45" s="24">
        <v>16.2518410032425</v>
      </c>
      <c r="E45" s="24">
        <v>1.8333333333333333</v>
      </c>
    </row>
    <row r="46" spans="3:5" ht="13.8" x14ac:dyDescent="0.3">
      <c r="C46" s="24">
        <v>34</v>
      </c>
      <c r="D46" s="24">
        <v>15.655025957393715</v>
      </c>
      <c r="E46" s="24">
        <v>1.8333333333333333</v>
      </c>
    </row>
    <row r="47" spans="3:5" ht="13.8" x14ac:dyDescent="0.3">
      <c r="C47" s="24">
        <v>35</v>
      </c>
      <c r="D47" s="24">
        <v>15.165999454656893</v>
      </c>
      <c r="E47" s="24">
        <v>1.8333333333333333</v>
      </c>
    </row>
    <row r="48" spans="3:5" ht="13.8" x14ac:dyDescent="0.3">
      <c r="C48" s="24">
        <v>36</v>
      </c>
      <c r="D48" s="24">
        <v>14.773336613840783</v>
      </c>
      <c r="E48" s="24">
        <v>1.8333333333333333</v>
      </c>
    </row>
    <row r="49" spans="3:5" ht="13.8" x14ac:dyDescent="0.3">
      <c r="C49" s="24">
        <v>37</v>
      </c>
      <c r="D49" s="24">
        <v>14.413027846823081</v>
      </c>
      <c r="E49" s="24">
        <v>1.8333333333333333</v>
      </c>
    </row>
    <row r="50" spans="3:5" ht="13.8" x14ac:dyDescent="0.3">
      <c r="C50" s="24">
        <v>38</v>
      </c>
      <c r="D50" s="24">
        <v>14.002549028115899</v>
      </c>
      <c r="E50" s="24">
        <v>1.8333333333333333</v>
      </c>
    </row>
    <row r="51" spans="3:5" ht="13.8" x14ac:dyDescent="0.3">
      <c r="C51" s="24">
        <v>39</v>
      </c>
      <c r="D51" s="24">
        <v>13.624768982715315</v>
      </c>
      <c r="E51" s="24">
        <v>1.8333333333333333</v>
      </c>
    </row>
    <row r="52" spans="3:5" ht="13.8" x14ac:dyDescent="0.3">
      <c r="C52" s="24">
        <v>40</v>
      </c>
      <c r="D52" s="24">
        <v>13.112442347412824</v>
      </c>
      <c r="E52" s="24">
        <v>1.8333333333333333</v>
      </c>
    </row>
  </sheetData>
  <mergeCells count="8">
    <mergeCell ref="B3:M3"/>
    <mergeCell ref="P3:S3"/>
    <mergeCell ref="B4:C4"/>
    <mergeCell ref="D4:E4"/>
    <mergeCell ref="F4:G4"/>
    <mergeCell ref="H4:I4"/>
    <mergeCell ref="J4:K4"/>
    <mergeCell ref="L4:M4"/>
  </mergeCells>
  <hyperlinks>
    <hyperlink ref="B4" location="'NNC_Output2'!$B$10:$B$10" display="Inputs"/>
    <hyperlink ref="D4" location="'NNC_Output2'!$B$43:$B$43" display="Prior Class Prob."/>
    <hyperlink ref="F4" location="'NNC_Output2'!$B$52:$B$52" display="Train. Score - Summary"/>
    <hyperlink ref="H4" location="'NNC_Output2'!$B$76:$B$76" display="Valid. Score - Summary"/>
    <hyperlink ref="J4" location="'NNC_Output2'!$B$100:$B$100" display="Weights"/>
    <hyperlink ref="L4" location="'NNC_TrainLog2'!$B$10:$B$10" display="Training Log"/>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1"/>
  <sheetViews>
    <sheetView showGridLines="0" workbookViewId="0"/>
  </sheetViews>
  <sheetFormatPr defaultRowHeight="13.2" x14ac:dyDescent="0.25"/>
  <cols>
    <col min="1" max="1" width="26.77734375" bestFit="1" customWidth="1"/>
    <col min="2" max="2" width="26.88671875" bestFit="1" customWidth="1"/>
  </cols>
  <sheetData>
    <row r="1" spans="1:49" x14ac:dyDescent="0.25">
      <c r="M1" t="s">
        <v>755</v>
      </c>
    </row>
    <row r="2" spans="1:49" ht="13.8" x14ac:dyDescent="0.3">
      <c r="A2" s="25" t="s">
        <v>637</v>
      </c>
      <c r="B2" s="24" t="s">
        <v>638</v>
      </c>
    </row>
    <row r="3" spans="1:49" ht="13.8" x14ac:dyDescent="0.3">
      <c r="A3" s="25" t="s">
        <v>639</v>
      </c>
      <c r="B3" s="24">
        <v>45</v>
      </c>
    </row>
    <row r="4" spans="1:49" ht="13.8" x14ac:dyDescent="0.3">
      <c r="A4" s="25" t="s">
        <v>151</v>
      </c>
      <c r="B4" s="24" t="s">
        <v>640</v>
      </c>
      <c r="D4" s="24" t="s">
        <v>0</v>
      </c>
      <c r="E4" s="24" t="s">
        <v>68</v>
      </c>
      <c r="F4" s="24" t="s">
        <v>69</v>
      </c>
      <c r="G4" s="24" t="s">
        <v>70</v>
      </c>
      <c r="H4" s="24" t="s">
        <v>71</v>
      </c>
      <c r="I4" s="24" t="s">
        <v>81</v>
      </c>
      <c r="J4" s="24" t="s">
        <v>72</v>
      </c>
      <c r="K4" s="24" t="s">
        <v>2</v>
      </c>
      <c r="L4" s="24" t="s">
        <v>6</v>
      </c>
      <c r="M4" s="24" t="s">
        <v>74</v>
      </c>
      <c r="N4" s="24" t="s">
        <v>75</v>
      </c>
      <c r="O4" s="24" t="s">
        <v>76</v>
      </c>
      <c r="P4" s="24" t="s">
        <v>73</v>
      </c>
      <c r="Q4" s="24" t="s">
        <v>77</v>
      </c>
      <c r="R4" s="24" t="s">
        <v>78</v>
      </c>
      <c r="S4" s="24" t="s">
        <v>82</v>
      </c>
      <c r="T4" s="24" t="s">
        <v>8</v>
      </c>
      <c r="U4" s="24" t="s">
        <v>79</v>
      </c>
      <c r="V4" s="24" t="s">
        <v>80</v>
      </c>
      <c r="W4" s="24" t="s">
        <v>83</v>
      </c>
      <c r="X4" s="24" t="s">
        <v>9</v>
      </c>
      <c r="Y4" s="24" t="s">
        <v>11</v>
      </c>
      <c r="Z4" s="24" t="s">
        <v>12</v>
      </c>
      <c r="AA4" s="24" t="s">
        <v>13</v>
      </c>
      <c r="AB4" s="24" t="s">
        <v>152</v>
      </c>
      <c r="AC4" s="24" t="s">
        <v>153</v>
      </c>
      <c r="AD4" s="24" t="s">
        <v>154</v>
      </c>
      <c r="AE4" s="24" t="s">
        <v>156</v>
      </c>
      <c r="AF4" s="24" t="s">
        <v>157</v>
      </c>
      <c r="AG4" s="24" t="s">
        <v>158</v>
      </c>
      <c r="AH4" s="24" t="s">
        <v>159</v>
      </c>
      <c r="AI4" s="24" t="s">
        <v>161</v>
      </c>
      <c r="AJ4" s="24" t="s">
        <v>162</v>
      </c>
      <c r="AK4" s="24" t="s">
        <v>163</v>
      </c>
      <c r="AL4" s="24" t="s">
        <v>164</v>
      </c>
      <c r="AM4" s="24" t="s">
        <v>166</v>
      </c>
      <c r="AN4" s="24" t="s">
        <v>167</v>
      </c>
      <c r="AO4" s="24" t="s">
        <v>168</v>
      </c>
      <c r="AP4" s="24" t="s">
        <v>169</v>
      </c>
      <c r="AQ4" s="24" t="s">
        <v>171</v>
      </c>
      <c r="AR4" s="24" t="s">
        <v>172</v>
      </c>
      <c r="AS4" s="24" t="s">
        <v>173</v>
      </c>
      <c r="AT4" s="24" t="s">
        <v>176</v>
      </c>
      <c r="AU4" s="24" t="s">
        <v>177</v>
      </c>
      <c r="AV4" s="24" t="s">
        <v>178</v>
      </c>
      <c r="AW4" s="24" t="s">
        <v>14</v>
      </c>
    </row>
    <row r="5" spans="1:49" ht="13.8" x14ac:dyDescent="0.3">
      <c r="A5" s="25" t="s">
        <v>641</v>
      </c>
      <c r="B5" s="24" t="s">
        <v>642</v>
      </c>
      <c r="D5" s="24">
        <v>1</v>
      </c>
      <c r="E5" s="24">
        <v>2</v>
      </c>
      <c r="F5" s="24">
        <v>3</v>
      </c>
      <c r="G5" s="24">
        <v>4</v>
      </c>
      <c r="H5" s="24">
        <v>5</v>
      </c>
      <c r="I5" s="24">
        <v>6</v>
      </c>
      <c r="J5" s="24">
        <v>7</v>
      </c>
      <c r="K5" s="24">
        <v>8</v>
      </c>
      <c r="L5" s="24">
        <v>9</v>
      </c>
      <c r="M5" s="24">
        <v>10</v>
      </c>
      <c r="N5" s="24">
        <v>11</v>
      </c>
      <c r="O5" s="24">
        <v>12</v>
      </c>
      <c r="P5" s="24">
        <v>13</v>
      </c>
      <c r="Q5" s="24">
        <v>14</v>
      </c>
      <c r="R5" s="24">
        <v>15</v>
      </c>
      <c r="S5" s="24">
        <v>16</v>
      </c>
      <c r="T5" s="24">
        <v>17</v>
      </c>
      <c r="U5" s="24">
        <v>18</v>
      </c>
      <c r="V5" s="24">
        <v>19</v>
      </c>
      <c r="W5" s="24">
        <v>20</v>
      </c>
      <c r="X5" s="24">
        <v>21</v>
      </c>
      <c r="Y5" s="24">
        <v>22</v>
      </c>
      <c r="Z5" s="24">
        <v>23</v>
      </c>
      <c r="AA5" s="24">
        <v>24</v>
      </c>
      <c r="AB5" s="24">
        <v>26</v>
      </c>
      <c r="AC5" s="24">
        <v>27</v>
      </c>
      <c r="AD5" s="24">
        <v>28</v>
      </c>
      <c r="AE5" s="24">
        <v>30</v>
      </c>
      <c r="AF5" s="24">
        <v>31</v>
      </c>
      <c r="AG5" s="24">
        <v>32</v>
      </c>
      <c r="AH5" s="24">
        <v>33</v>
      </c>
      <c r="AI5" s="24">
        <v>35</v>
      </c>
      <c r="AJ5" s="24">
        <v>36</v>
      </c>
      <c r="AK5" s="24">
        <v>37</v>
      </c>
      <c r="AL5" s="24">
        <v>38</v>
      </c>
      <c r="AM5" s="24">
        <v>40</v>
      </c>
      <c r="AN5" s="24">
        <v>41</v>
      </c>
      <c r="AO5" s="24">
        <v>42</v>
      </c>
      <c r="AP5" s="24">
        <v>43</v>
      </c>
      <c r="AQ5" s="24">
        <v>45</v>
      </c>
      <c r="AR5" s="24">
        <v>46</v>
      </c>
      <c r="AS5" s="24">
        <v>47</v>
      </c>
      <c r="AT5" s="24">
        <v>49</v>
      </c>
      <c r="AU5" s="24">
        <v>50</v>
      </c>
      <c r="AV5" s="24">
        <v>51</v>
      </c>
      <c r="AW5" s="24">
        <v>25</v>
      </c>
    </row>
    <row r="6" spans="1:49" ht="13.8" x14ac:dyDescent="0.3">
      <c r="A6" s="25" t="s">
        <v>643</v>
      </c>
      <c r="B6" s="24" t="s">
        <v>644</v>
      </c>
      <c r="D6" s="24" t="s">
        <v>645</v>
      </c>
      <c r="E6" s="24" t="s">
        <v>645</v>
      </c>
      <c r="F6" s="24" t="s">
        <v>645</v>
      </c>
      <c r="G6" s="24" t="s">
        <v>645</v>
      </c>
      <c r="H6" s="24" t="s">
        <v>645</v>
      </c>
      <c r="I6" s="24" t="s">
        <v>645</v>
      </c>
      <c r="J6" s="24" t="s">
        <v>645</v>
      </c>
      <c r="K6" s="24" t="s">
        <v>645</v>
      </c>
      <c r="L6" s="24" t="s">
        <v>645</v>
      </c>
      <c r="M6" s="24" t="s">
        <v>645</v>
      </c>
      <c r="N6" s="24" t="s">
        <v>645</v>
      </c>
      <c r="O6" s="24" t="s">
        <v>645</v>
      </c>
      <c r="P6" s="24" t="s">
        <v>645</v>
      </c>
      <c r="Q6" s="24" t="s">
        <v>645</v>
      </c>
      <c r="R6" s="24" t="s">
        <v>645</v>
      </c>
      <c r="S6" s="24" t="s">
        <v>645</v>
      </c>
      <c r="T6" s="24" t="s">
        <v>645</v>
      </c>
      <c r="U6" s="24" t="s">
        <v>645</v>
      </c>
      <c r="V6" s="24" t="s">
        <v>645</v>
      </c>
      <c r="W6" s="24" t="s">
        <v>645</v>
      </c>
      <c r="X6" s="24" t="s">
        <v>645</v>
      </c>
      <c r="Y6" s="24" t="s">
        <v>645</v>
      </c>
      <c r="Z6" s="24" t="s">
        <v>645</v>
      </c>
      <c r="AA6" s="24" t="s">
        <v>645</v>
      </c>
      <c r="AB6" s="24" t="s">
        <v>645</v>
      </c>
      <c r="AC6" s="24" t="s">
        <v>645</v>
      </c>
      <c r="AD6" s="24" t="s">
        <v>645</v>
      </c>
      <c r="AE6" s="24" t="s">
        <v>645</v>
      </c>
      <c r="AF6" s="24" t="s">
        <v>645</v>
      </c>
      <c r="AG6" s="24" t="s">
        <v>645</v>
      </c>
      <c r="AH6" s="24" t="s">
        <v>645</v>
      </c>
      <c r="AI6" s="24" t="s">
        <v>645</v>
      </c>
      <c r="AJ6" s="24" t="s">
        <v>645</v>
      </c>
      <c r="AK6" s="24" t="s">
        <v>645</v>
      </c>
      <c r="AL6" s="24" t="s">
        <v>645</v>
      </c>
      <c r="AM6" s="24" t="s">
        <v>645</v>
      </c>
      <c r="AN6" s="24" t="s">
        <v>645</v>
      </c>
      <c r="AO6" s="24" t="s">
        <v>645</v>
      </c>
      <c r="AP6" s="24" t="s">
        <v>645</v>
      </c>
      <c r="AQ6" s="24" t="s">
        <v>645</v>
      </c>
      <c r="AR6" s="24" t="s">
        <v>645</v>
      </c>
      <c r="AS6" s="24" t="s">
        <v>645</v>
      </c>
      <c r="AT6" s="24" t="s">
        <v>645</v>
      </c>
      <c r="AU6" s="24" t="s">
        <v>645</v>
      </c>
      <c r="AV6" s="24" t="s">
        <v>645</v>
      </c>
      <c r="AW6" s="24" t="s">
        <v>666</v>
      </c>
    </row>
    <row r="7" spans="1:49" ht="13.8" x14ac:dyDescent="0.3">
      <c r="A7" s="25" t="s">
        <v>17</v>
      </c>
      <c r="B7" s="24" t="s">
        <v>646</v>
      </c>
      <c r="D7" s="24" t="s">
        <v>647</v>
      </c>
      <c r="E7" s="24" t="s">
        <v>647</v>
      </c>
      <c r="F7" s="24" t="s">
        <v>647</v>
      </c>
      <c r="G7" s="24" t="s">
        <v>647</v>
      </c>
      <c r="H7" s="24" t="s">
        <v>647</v>
      </c>
      <c r="I7" s="24" t="s">
        <v>647</v>
      </c>
      <c r="J7" s="24" t="s">
        <v>647</v>
      </c>
      <c r="K7" s="24" t="s">
        <v>647</v>
      </c>
      <c r="L7" s="24" t="s">
        <v>647</v>
      </c>
      <c r="M7" s="24" t="s">
        <v>647</v>
      </c>
      <c r="N7" s="24" t="s">
        <v>647</v>
      </c>
      <c r="O7" s="24" t="s">
        <v>647</v>
      </c>
      <c r="P7" s="24" t="s">
        <v>647</v>
      </c>
      <c r="Q7" s="24" t="s">
        <v>647</v>
      </c>
      <c r="R7" s="24" t="s">
        <v>647</v>
      </c>
      <c r="S7" s="24" t="s">
        <v>647</v>
      </c>
      <c r="T7" s="24" t="s">
        <v>647</v>
      </c>
      <c r="U7" s="24" t="s">
        <v>647</v>
      </c>
      <c r="V7" s="24" t="s">
        <v>647</v>
      </c>
      <c r="W7" s="24" t="s">
        <v>647</v>
      </c>
      <c r="X7" s="24" t="s">
        <v>647</v>
      </c>
      <c r="Y7" s="24" t="s">
        <v>647</v>
      </c>
      <c r="Z7" s="24" t="s">
        <v>647</v>
      </c>
      <c r="AA7" s="24" t="s">
        <v>647</v>
      </c>
      <c r="AB7" s="24" t="s">
        <v>647</v>
      </c>
      <c r="AC7" s="24" t="s">
        <v>647</v>
      </c>
      <c r="AD7" s="24" t="s">
        <v>647</v>
      </c>
      <c r="AE7" s="24" t="s">
        <v>647</v>
      </c>
      <c r="AF7" s="24" t="s">
        <v>647</v>
      </c>
      <c r="AG7" s="24" t="s">
        <v>647</v>
      </c>
      <c r="AH7" s="24" t="s">
        <v>647</v>
      </c>
      <c r="AI7" s="24" t="s">
        <v>647</v>
      </c>
      <c r="AJ7" s="24" t="s">
        <v>647</v>
      </c>
      <c r="AK7" s="24" t="s">
        <v>647</v>
      </c>
      <c r="AL7" s="24" t="s">
        <v>647</v>
      </c>
      <c r="AM7" s="24" t="s">
        <v>647</v>
      </c>
      <c r="AN7" s="24" t="s">
        <v>647</v>
      </c>
      <c r="AO7" s="24" t="s">
        <v>647</v>
      </c>
      <c r="AP7" s="24" t="s">
        <v>647</v>
      </c>
      <c r="AQ7" s="24" t="s">
        <v>647</v>
      </c>
      <c r="AR7" s="24" t="s">
        <v>647</v>
      </c>
      <c r="AS7" s="24" t="s">
        <v>647</v>
      </c>
      <c r="AT7" s="24" t="s">
        <v>647</v>
      </c>
      <c r="AU7" s="24" t="s">
        <v>647</v>
      </c>
      <c r="AV7" s="24" t="s">
        <v>647</v>
      </c>
      <c r="AW7" s="24"/>
    </row>
    <row r="8" spans="1:49" ht="13.8" x14ac:dyDescent="0.3">
      <c r="A8" s="25" t="s">
        <v>648</v>
      </c>
      <c r="B8" s="24" t="s">
        <v>649</v>
      </c>
      <c r="D8" s="24">
        <v>0</v>
      </c>
      <c r="E8" s="24">
        <v>1</v>
      </c>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row>
    <row r="9" spans="1:49" ht="13.8" x14ac:dyDescent="0.3">
      <c r="A9" s="25" t="s">
        <v>650</v>
      </c>
      <c r="B9" s="24">
        <v>1</v>
      </c>
      <c r="D9">
        <v>13</v>
      </c>
    </row>
    <row r="10" spans="1:49" ht="13.8" x14ac:dyDescent="0.3">
      <c r="A10" s="25" t="s">
        <v>651</v>
      </c>
      <c r="B10" s="24">
        <v>0.5</v>
      </c>
      <c r="D10" s="24">
        <v>20.905000000000001</v>
      </c>
      <c r="E10" s="24">
        <v>0.23</v>
      </c>
      <c r="F10" s="24">
        <v>9.1666666666666674E-2</v>
      </c>
      <c r="G10" s="24">
        <v>0.18500000000000003</v>
      </c>
      <c r="H10" s="24">
        <v>0.28500000000000003</v>
      </c>
      <c r="I10" s="24">
        <v>5.8333333333333334E-2</v>
      </c>
      <c r="J10" s="24">
        <v>8.666666666666667E-2</v>
      </c>
      <c r="K10" s="24">
        <v>3212.7466666666669</v>
      </c>
      <c r="L10" s="24">
        <v>2.996666666666667</v>
      </c>
      <c r="M10" s="24">
        <v>0.05</v>
      </c>
      <c r="N10" s="24">
        <v>0.53333333333333333</v>
      </c>
      <c r="O10" s="24">
        <v>9.1666666666666674E-2</v>
      </c>
      <c r="P10" s="24">
        <v>4.1666666666666671E-2</v>
      </c>
      <c r="Q10" s="24">
        <v>0.05</v>
      </c>
      <c r="R10" s="24">
        <v>0.28166666666666668</v>
      </c>
      <c r="S10" s="24">
        <v>0.13</v>
      </c>
      <c r="T10" s="24">
        <v>35.375</v>
      </c>
      <c r="U10" s="24">
        <v>0.19333333333333336</v>
      </c>
      <c r="V10" s="24">
        <v>0.18000000000000002</v>
      </c>
      <c r="W10" s="24">
        <v>0.72833333333333339</v>
      </c>
      <c r="X10" s="24">
        <v>1.385</v>
      </c>
      <c r="Y10" s="24">
        <v>1.1500000000000001</v>
      </c>
      <c r="Z10" s="24">
        <v>0.40166666666666667</v>
      </c>
      <c r="AA10" s="24">
        <v>3.8333333333333337E-2</v>
      </c>
      <c r="AB10" s="24">
        <v>0.30333333333333334</v>
      </c>
      <c r="AC10" s="24">
        <v>0.24833333333333335</v>
      </c>
      <c r="AD10" s="24">
        <v>6.1666666666666668E-2</v>
      </c>
      <c r="AE10" s="24">
        <v>2.6666666666666668E-2</v>
      </c>
      <c r="AF10" s="24">
        <v>0.05</v>
      </c>
      <c r="AG10" s="24">
        <v>0.54833333333333334</v>
      </c>
      <c r="AH10" s="24">
        <v>7.8333333333333338E-2</v>
      </c>
      <c r="AI10" s="24">
        <v>0.61166666666666669</v>
      </c>
      <c r="AJ10" s="24">
        <v>9.6666666666666679E-2</v>
      </c>
      <c r="AK10" s="24">
        <v>6.8333333333333343E-2</v>
      </c>
      <c r="AL10" s="24">
        <v>0.04</v>
      </c>
      <c r="AM10" s="24">
        <v>6.1666666666666668E-2</v>
      </c>
      <c r="AN10" s="24">
        <v>0.17166666666666669</v>
      </c>
      <c r="AO10" s="24">
        <v>0.33833333333333337</v>
      </c>
      <c r="AP10" s="24">
        <v>0.17166666666666669</v>
      </c>
      <c r="AQ10" s="24">
        <v>0.13</v>
      </c>
      <c r="AR10" s="24">
        <v>0.3116666666666667</v>
      </c>
      <c r="AS10" s="24">
        <v>0.15000000000000002</v>
      </c>
      <c r="AT10" s="24">
        <v>0.02</v>
      </c>
      <c r="AU10" s="24">
        <v>0.19833333333333333</v>
      </c>
      <c r="AV10" s="24">
        <v>0.62833333333333341</v>
      </c>
    </row>
    <row r="11" spans="1:49" ht="13.8" x14ac:dyDescent="0.3">
      <c r="A11" s="25" t="s">
        <v>652</v>
      </c>
      <c r="B11" s="24">
        <v>1</v>
      </c>
      <c r="D11" s="24">
        <v>11.899382357955998</v>
      </c>
      <c r="E11" s="24">
        <v>0.42118364098381827</v>
      </c>
      <c r="F11" s="24">
        <v>0.28879559157255369</v>
      </c>
      <c r="G11" s="24">
        <v>0.38862155265156118</v>
      </c>
      <c r="H11" s="24">
        <v>0.45179109330158984</v>
      </c>
      <c r="I11" s="24">
        <v>0.23456824022252351</v>
      </c>
      <c r="J11" s="24">
        <v>0.28158071973254489</v>
      </c>
      <c r="K11" s="24">
        <v>2738.2396656611136</v>
      </c>
      <c r="L11" s="24">
        <v>1.1054526666570852</v>
      </c>
      <c r="M11" s="24">
        <v>0.21812679530810955</v>
      </c>
      <c r="N11" s="24">
        <v>0.49930391167696198</v>
      </c>
      <c r="O11" s="24">
        <v>0.28879559157255347</v>
      </c>
      <c r="P11" s="24">
        <v>0.19999304384118813</v>
      </c>
      <c r="Q11" s="24">
        <v>0.21812679530811013</v>
      </c>
      <c r="R11" s="24">
        <v>0.4501870012736377</v>
      </c>
      <c r="S11" s="24">
        <v>0.33658403808135673</v>
      </c>
      <c r="T11" s="24">
        <v>11.564050058533144</v>
      </c>
      <c r="U11" s="24">
        <v>0.39524159120034369</v>
      </c>
      <c r="V11" s="24">
        <v>0.38450801120974598</v>
      </c>
      <c r="W11" s="24">
        <v>0.44519008589198761</v>
      </c>
      <c r="X11" s="24">
        <v>0.56032574594540885</v>
      </c>
      <c r="Y11" s="24">
        <v>0.35736935341174569</v>
      </c>
      <c r="Z11" s="24">
        <v>0.49064424502979515</v>
      </c>
      <c r="AA11" s="24">
        <v>0.19215991068468552</v>
      </c>
      <c r="AB11" s="24">
        <v>0.46008152963586263</v>
      </c>
      <c r="AC11" s="24">
        <v>0.43240665437386838</v>
      </c>
      <c r="AD11" s="24">
        <v>0.24074984881628569</v>
      </c>
      <c r="AE11" s="24">
        <v>0.16124170376780711</v>
      </c>
      <c r="AF11" s="24">
        <v>0.21812679530810983</v>
      </c>
      <c r="AG11" s="24">
        <v>0.49807364027901496</v>
      </c>
      <c r="AH11" s="24">
        <v>0.26891960101221679</v>
      </c>
      <c r="AI11" s="24">
        <v>0.48777771650971358</v>
      </c>
      <c r="AJ11" s="24">
        <v>0.29574989809961394</v>
      </c>
      <c r="AK11" s="24">
        <v>0.25252756782129554</v>
      </c>
      <c r="AL11" s="24">
        <v>0.19612268314690448</v>
      </c>
      <c r="AM11" s="24">
        <v>0.24074984881628569</v>
      </c>
      <c r="AN11" s="24">
        <v>0.37740510495261731</v>
      </c>
      <c r="AO11" s="24">
        <v>0.47353734620686555</v>
      </c>
      <c r="AP11" s="24">
        <v>0.37740510495261731</v>
      </c>
      <c r="AQ11" s="24">
        <v>0.33658403808135678</v>
      </c>
      <c r="AR11" s="24">
        <v>0.46356089502302389</v>
      </c>
      <c r="AS11" s="24">
        <v>0.35736935341174525</v>
      </c>
      <c r="AT11" s="24">
        <v>0.14011681270284301</v>
      </c>
      <c r="AU11" s="24">
        <v>0.39907726067626459</v>
      </c>
      <c r="AV11" s="24">
        <v>0.48365320522777661</v>
      </c>
    </row>
    <row r="12" spans="1:49" ht="13.8" x14ac:dyDescent="0.3">
      <c r="A12" s="25" t="s">
        <v>653</v>
      </c>
      <c r="B12" s="24" t="s">
        <v>654</v>
      </c>
    </row>
    <row r="13" spans="1:49" ht="13.8" x14ac:dyDescent="0.3">
      <c r="A13" s="25" t="s">
        <v>655</v>
      </c>
      <c r="B13" s="24" t="s">
        <v>656</v>
      </c>
    </row>
    <row r="14" spans="1:49" ht="13.8" x14ac:dyDescent="0.3">
      <c r="A14" s="25" t="s">
        <v>657</v>
      </c>
      <c r="B14" s="24" t="s">
        <v>656</v>
      </c>
    </row>
    <row r="15" spans="1:49" ht="13.8" x14ac:dyDescent="0.3">
      <c r="A15" s="25" t="s">
        <v>658</v>
      </c>
      <c r="B15" s="24" t="s">
        <v>659</v>
      </c>
      <c r="D15" s="24">
        <v>-0.88236973160624821</v>
      </c>
      <c r="E15" s="24">
        <v>-0.22182147615247663</v>
      </c>
      <c r="F15" s="24">
        <v>-2.9288002575155493E-2</v>
      </c>
      <c r="G15" s="24">
        <v>0.4137334070817224</v>
      </c>
      <c r="H15" s="24">
        <v>0.66146463669765787</v>
      </c>
      <c r="I15" s="24">
        <v>-0.10541760983078413</v>
      </c>
      <c r="J15" s="24">
        <v>0.26810779752964831</v>
      </c>
      <c r="K15" s="24">
        <v>-0.55970728500259259</v>
      </c>
      <c r="L15" s="24">
        <v>-0.29128796503858778</v>
      </c>
      <c r="M15" s="24">
        <v>-0.25283158900999902</v>
      </c>
      <c r="N15" s="24">
        <v>0.61659225059892087</v>
      </c>
      <c r="O15" s="24">
        <v>7.3032946075596558E-2</v>
      </c>
      <c r="P15" s="24">
        <v>-8.3872507927192433E-2</v>
      </c>
      <c r="Q15" s="24">
        <v>-0.1884651393684881</v>
      </c>
      <c r="R15" s="24">
        <v>-0.27977138872377455</v>
      </c>
      <c r="S15" s="24">
        <v>-0.10877470447303635</v>
      </c>
      <c r="T15" s="24">
        <v>0.17761946830400155</v>
      </c>
      <c r="U15" s="24">
        <v>8.1321731778312548E-2</v>
      </c>
      <c r="V15" s="24">
        <v>-0.72222211504457001</v>
      </c>
      <c r="W15" s="24">
        <v>0.50719727799270475</v>
      </c>
      <c r="X15" s="24">
        <v>0.15048989218059985</v>
      </c>
      <c r="Y15" s="24">
        <v>1.1240556649017333E-2</v>
      </c>
      <c r="Z15" s="24">
        <v>-0.59947157570509912</v>
      </c>
      <c r="AA15" s="24">
        <v>0.2786979460693661</v>
      </c>
      <c r="AB15" s="24">
        <v>-9.6757300503253638E-2</v>
      </c>
      <c r="AC15" s="24">
        <v>-1.1989453834017418</v>
      </c>
      <c r="AD15" s="24">
        <v>0.4022100843532222</v>
      </c>
      <c r="AE15" s="24">
        <v>-0.34673124171701564</v>
      </c>
      <c r="AF15" s="24">
        <v>-0.75370441950017419</v>
      </c>
      <c r="AG15" s="24">
        <v>0.76177471927562057</v>
      </c>
      <c r="AH15" s="24">
        <v>-8.6663956853921156E-2</v>
      </c>
      <c r="AI15" s="24">
        <v>-0.43361761760281187</v>
      </c>
      <c r="AJ15" s="24">
        <v>-0.32992250567636922</v>
      </c>
      <c r="AK15" s="24">
        <v>0.36400651132484202</v>
      </c>
      <c r="AL15" s="24">
        <v>0.22509539682133384</v>
      </c>
      <c r="AM15" s="24">
        <v>0.19065548687275305</v>
      </c>
      <c r="AN15" s="24">
        <v>0.14724165052730021</v>
      </c>
      <c r="AO15" s="24">
        <v>1.2354579510576934E-2</v>
      </c>
      <c r="AP15" s="24">
        <v>-0.26207410866038111</v>
      </c>
      <c r="AQ15" s="24">
        <v>0.20095504806871425</v>
      </c>
      <c r="AR15" s="24">
        <v>0.12675667320248071</v>
      </c>
      <c r="AS15" s="24">
        <v>-0.13417348598206855</v>
      </c>
      <c r="AT15" s="24">
        <v>-0.12266908131876859</v>
      </c>
      <c r="AU15" s="24">
        <v>0.26555960410479573</v>
      </c>
      <c r="AV15" s="24">
        <v>0.1849340489080511</v>
      </c>
      <c r="AW15" s="24">
        <v>-0.42917957164430492</v>
      </c>
    </row>
    <row r="16" spans="1:49" ht="13.8" x14ac:dyDescent="0.3">
      <c r="A16" s="25"/>
      <c r="B16" s="24" t="s">
        <v>660</v>
      </c>
      <c r="D16" s="24">
        <v>5.2834701331159119E-2</v>
      </c>
      <c r="E16" s="24">
        <v>-0.22433770120528068</v>
      </c>
      <c r="F16" s="24">
        <v>3.7740707842942346E-2</v>
      </c>
      <c r="G16" s="24">
        <v>0.42043548711378742</v>
      </c>
      <c r="H16" s="24">
        <v>-0.2882929078910092</v>
      </c>
      <c r="I16" s="24">
        <v>-0.31185666360720465</v>
      </c>
      <c r="J16" s="24">
        <v>-0.18625561206486613</v>
      </c>
      <c r="K16" s="24">
        <v>-0.31089129601115023</v>
      </c>
      <c r="L16" s="24">
        <v>0.50392758420890216</v>
      </c>
      <c r="M16" s="24">
        <v>-0.41677670908233588</v>
      </c>
      <c r="N16" s="24">
        <v>-0.20894975112210962</v>
      </c>
      <c r="O16" s="24">
        <v>-0.51520978770286807</v>
      </c>
      <c r="P16" s="24">
        <v>0.3217050618877737</v>
      </c>
      <c r="Q16" s="24">
        <v>0.15103359706767666</v>
      </c>
      <c r="R16" s="24">
        <v>0.95201749978542849</v>
      </c>
      <c r="S16" s="24">
        <v>-0.21138748289106124</v>
      </c>
      <c r="T16" s="24">
        <v>8.6569169257030029E-4</v>
      </c>
      <c r="U16" s="24">
        <v>7.818185822567264E-2</v>
      </c>
      <c r="V16" s="24">
        <v>-1.0827778531435288</v>
      </c>
      <c r="W16" s="24">
        <v>0.41902321219936417</v>
      </c>
      <c r="X16" s="24">
        <v>-0.3817892002745939</v>
      </c>
      <c r="Y16" s="24">
        <v>0.59312854001991111</v>
      </c>
      <c r="Z16" s="24">
        <v>-1.0310527238679486</v>
      </c>
      <c r="AA16" s="24">
        <v>-6.1234208295293066E-2</v>
      </c>
      <c r="AB16" s="24">
        <v>-0.75983748466388357</v>
      </c>
      <c r="AC16" s="24">
        <v>-1.2848835301714496</v>
      </c>
      <c r="AD16" s="24">
        <v>0.58191661325017885</v>
      </c>
      <c r="AE16" s="24">
        <v>-0.38196799592783531</v>
      </c>
      <c r="AF16" s="24">
        <v>-0.45488212413951712</v>
      </c>
      <c r="AG16" s="24">
        <v>0.98471187330666021</v>
      </c>
      <c r="AH16" s="24">
        <v>-1.3561285167559984</v>
      </c>
      <c r="AI16" s="24">
        <v>0.77505473663994451</v>
      </c>
      <c r="AJ16" s="24">
        <v>-0.67857244809734907</v>
      </c>
      <c r="AK16" s="24">
        <v>-0.33180142108004856</v>
      </c>
      <c r="AL16" s="24">
        <v>0.28234258379581956</v>
      </c>
      <c r="AM16" s="24">
        <v>0.80365397008967743</v>
      </c>
      <c r="AN16" s="24">
        <v>0.37693497041453039</v>
      </c>
      <c r="AO16" s="24">
        <v>-0.78875301893292915</v>
      </c>
      <c r="AP16" s="24">
        <v>0.44082353276362651</v>
      </c>
      <c r="AQ16" s="24">
        <v>0.15463661597001943</v>
      </c>
      <c r="AR16" s="24">
        <v>1.6955751933525942E-2</v>
      </c>
      <c r="AS16" s="24">
        <v>-1.1599833061787796</v>
      </c>
      <c r="AT16" s="24">
        <v>0.36196014358691792</v>
      </c>
      <c r="AU16" s="24">
        <v>0.96448060578884232</v>
      </c>
      <c r="AV16" s="24">
        <v>-1.6608389099748797</v>
      </c>
      <c r="AW16" s="24">
        <v>0.39644223048911115</v>
      </c>
    </row>
    <row r="17" spans="1:49" ht="13.8" x14ac:dyDescent="0.3">
      <c r="A17" s="25" t="s">
        <v>661</v>
      </c>
      <c r="B17" s="24" t="b">
        <v>1</v>
      </c>
      <c r="D17" s="24">
        <v>1.0999254716482449</v>
      </c>
      <c r="E17" s="24">
        <v>0.77292950449086517</v>
      </c>
      <c r="F17" s="24">
        <v>0.79433224612457165</v>
      </c>
      <c r="G17" s="24">
        <v>-0.37503862041057123</v>
      </c>
      <c r="H17" s="24">
        <v>1.3435238613704187E-3</v>
      </c>
      <c r="I17" s="24">
        <v>0.89078690994935217</v>
      </c>
      <c r="J17" s="24">
        <v>-8.2797185238159779E-2</v>
      </c>
      <c r="K17" s="24">
        <v>-0.93457018914551093</v>
      </c>
      <c r="L17" s="24">
        <v>-1.2189244424185506</v>
      </c>
      <c r="M17" s="24">
        <v>1.1256024627887036</v>
      </c>
      <c r="N17" s="24">
        <v>1.578934273552941</v>
      </c>
      <c r="O17" s="24">
        <v>0.22052643902575689</v>
      </c>
      <c r="P17" s="24">
        <v>-0.21742471490666201</v>
      </c>
      <c r="Q17" s="24">
        <v>2.2436104475345351</v>
      </c>
      <c r="R17" s="24">
        <v>0.13245571430840747</v>
      </c>
      <c r="S17" s="24">
        <v>-1.4918964775093959</v>
      </c>
      <c r="T17" s="24">
        <v>0.70739664276994807</v>
      </c>
      <c r="U17" s="24">
        <v>0.83256520895437269</v>
      </c>
      <c r="V17" s="24">
        <v>1.0098804890462345</v>
      </c>
      <c r="W17" s="24">
        <v>-0.54767750045700936</v>
      </c>
      <c r="X17" s="24">
        <v>-0.69407257349788731</v>
      </c>
      <c r="Y17" s="24">
        <v>0.79830817135440568</v>
      </c>
      <c r="Z17" s="24">
        <v>-0.11673895998055678</v>
      </c>
      <c r="AA17" s="24">
        <v>-3.6547341097089348E-2</v>
      </c>
      <c r="AB17" s="24">
        <v>-1.4782714356924043</v>
      </c>
      <c r="AC17" s="24">
        <v>-1.118355889886931</v>
      </c>
      <c r="AD17" s="24">
        <v>-0.87259374137020718</v>
      </c>
      <c r="AE17" s="24">
        <v>-0.12086612984657269</v>
      </c>
      <c r="AF17" s="24">
        <v>-0.30138617434142884</v>
      </c>
      <c r="AG17" s="24">
        <v>-0.76190448169727454</v>
      </c>
      <c r="AH17" s="24">
        <v>0.10474339290390698</v>
      </c>
      <c r="AI17" s="24">
        <v>-1.2291825119576265</v>
      </c>
      <c r="AJ17" s="24">
        <v>1.1190141853769862</v>
      </c>
      <c r="AK17" s="24">
        <v>0.45286956509338866</v>
      </c>
      <c r="AL17" s="24">
        <v>-0.11067331538136103</v>
      </c>
      <c r="AM17" s="24">
        <v>-0.79551274067820166</v>
      </c>
      <c r="AN17" s="24">
        <v>-0.70058496518265112</v>
      </c>
      <c r="AO17" s="24">
        <v>1.7423532805400068</v>
      </c>
      <c r="AP17" s="24">
        <v>0.89441981172141793</v>
      </c>
      <c r="AQ17" s="24">
        <v>-0.73490227550211706</v>
      </c>
      <c r="AR17" s="24">
        <v>1.0975565286034066</v>
      </c>
      <c r="AS17" s="24">
        <v>-0.10063430765668718</v>
      </c>
      <c r="AT17" s="24">
        <v>0.97553925007040387</v>
      </c>
      <c r="AU17" s="24">
        <v>1.0948221956924602</v>
      </c>
      <c r="AV17" s="24">
        <v>-0.16744283580551023</v>
      </c>
      <c r="AW17" s="24">
        <v>-0.27178625355295633</v>
      </c>
    </row>
    <row r="18" spans="1:49" ht="13.8" x14ac:dyDescent="0.3">
      <c r="A18" s="25" t="s">
        <v>662</v>
      </c>
      <c r="B18" s="24" t="s">
        <v>663</v>
      </c>
      <c r="D18" s="24">
        <v>0.46708494882753449</v>
      </c>
      <c r="E18" s="24">
        <v>-0.33094068005774269</v>
      </c>
      <c r="F18" s="24">
        <v>0.21176495049411451</v>
      </c>
      <c r="G18" s="24">
        <v>3.1841679855159906E-2</v>
      </c>
      <c r="H18" s="24">
        <v>-0.37856582718993037</v>
      </c>
      <c r="I18" s="24">
        <v>0.27725675730726984</v>
      </c>
      <c r="J18" s="24">
        <v>1.4475900047416E-3</v>
      </c>
      <c r="K18" s="24">
        <v>-0.36759125791161124</v>
      </c>
      <c r="L18" s="24">
        <v>0.29528135396345062</v>
      </c>
      <c r="M18" s="24">
        <v>-0.40745769911277757</v>
      </c>
      <c r="N18" s="24">
        <v>-0.83867634012472836</v>
      </c>
      <c r="O18" s="24">
        <v>-0.1118176199320122</v>
      </c>
      <c r="P18" s="24">
        <v>-0.15189691837627439</v>
      </c>
      <c r="Q18" s="24">
        <v>0.20262529471163618</v>
      </c>
      <c r="R18" s="24">
        <v>-0.62546695130767727</v>
      </c>
      <c r="S18" s="24">
        <v>-0.14905510949380132</v>
      </c>
      <c r="T18" s="24">
        <v>0.34391616058685409</v>
      </c>
      <c r="U18" s="24">
        <v>-8.396746633740132E-2</v>
      </c>
      <c r="V18" s="24">
        <v>0.25016406842927202</v>
      </c>
      <c r="W18" s="24">
        <v>-0.31414456193100493</v>
      </c>
      <c r="X18" s="24">
        <v>0.44157474922938761</v>
      </c>
      <c r="Y18" s="24">
        <v>-0.19895549077552799</v>
      </c>
      <c r="Z18" s="24">
        <v>1.0877947935545962</v>
      </c>
      <c r="AA18" s="24">
        <v>-0.15531999550683917</v>
      </c>
      <c r="AB18" s="24">
        <v>-0.82524500211030449</v>
      </c>
      <c r="AC18" s="24">
        <v>8.6338171021946936E-2</v>
      </c>
      <c r="AD18" s="24">
        <v>-4.6710335949700914E-2</v>
      </c>
      <c r="AE18" s="24">
        <v>0.33600631288142263</v>
      </c>
      <c r="AF18" s="24">
        <v>-0.80670893979810876</v>
      </c>
      <c r="AG18" s="24">
        <v>0.26039695522338713</v>
      </c>
      <c r="AH18" s="24">
        <v>0.42756201329690602</v>
      </c>
      <c r="AI18" s="24">
        <v>-2.6026790428110159E-2</v>
      </c>
      <c r="AJ18" s="24">
        <v>-0.72239699821197767</v>
      </c>
      <c r="AK18" s="24">
        <v>-0.36089336294322466</v>
      </c>
      <c r="AL18" s="24">
        <v>0.14727261643324721</v>
      </c>
      <c r="AM18" s="24">
        <v>-0.29589674701065621</v>
      </c>
      <c r="AN18" s="24">
        <v>-0.4013295059950534</v>
      </c>
      <c r="AO18" s="24">
        <v>-0.52559681114217982</v>
      </c>
      <c r="AP18" s="24">
        <v>0.19304790046198017</v>
      </c>
      <c r="AQ18" s="24">
        <v>-0.51161973566819818</v>
      </c>
      <c r="AR18" s="24">
        <v>0.45469047067122254</v>
      </c>
      <c r="AS18" s="24">
        <v>0.34161531419118868</v>
      </c>
      <c r="AT18" s="24">
        <v>-2.2882775900574828E-2</v>
      </c>
      <c r="AU18" s="24">
        <v>-0.77285443953649646</v>
      </c>
      <c r="AV18" s="24">
        <v>-0.69420120325547729</v>
      </c>
      <c r="AW18" s="24">
        <v>-0.53705923597657645</v>
      </c>
    </row>
    <row r="19" spans="1:49" ht="13.8" x14ac:dyDescent="0.3">
      <c r="A19" s="25" t="s">
        <v>664</v>
      </c>
      <c r="B19" s="24" t="s">
        <v>665</v>
      </c>
      <c r="D19" s="24">
        <v>-0.63542383630026245</v>
      </c>
      <c r="E19" s="24">
        <v>1.0855524009242719</v>
      </c>
      <c r="F19" s="24">
        <v>0.11776241949678709</v>
      </c>
      <c r="G19" s="24">
        <v>-0.15084050132047597</v>
      </c>
      <c r="H19" s="24">
        <v>-0.21546618388646679</v>
      </c>
      <c r="I19" s="24">
        <v>0.28557670089845116</v>
      </c>
      <c r="J19" s="24">
        <v>-1.4594178224154322</v>
      </c>
      <c r="K19" s="24">
        <v>0.17405159860520514</v>
      </c>
      <c r="L19" s="24">
        <v>-1.5952936530554287</v>
      </c>
      <c r="M19" s="24">
        <v>-1.333498412648461</v>
      </c>
      <c r="N19" s="24">
        <v>1.1063560813550466</v>
      </c>
      <c r="O19" s="24">
        <v>-0.2841011187139616</v>
      </c>
      <c r="P19" s="24">
        <v>-0.76360810326559536</v>
      </c>
      <c r="Q19" s="24">
        <v>-1.2399446189622378</v>
      </c>
      <c r="R19" s="24">
        <v>1.6571009156752434</v>
      </c>
      <c r="S19" s="24">
        <v>2.748679868424218E-2</v>
      </c>
      <c r="T19" s="24">
        <v>1.5603913187049046</v>
      </c>
      <c r="U19" s="24">
        <v>-2.7677518475065241</v>
      </c>
      <c r="V19" s="24">
        <v>-0.9875719682163695</v>
      </c>
      <c r="W19" s="24">
        <v>-1.0737140309618933</v>
      </c>
      <c r="X19" s="24">
        <v>-1.0106137746146833</v>
      </c>
      <c r="Y19" s="24">
        <v>0.63700353334184168</v>
      </c>
      <c r="Z19" s="24">
        <v>1.1676812495436861</v>
      </c>
      <c r="AA19" s="24">
        <v>0.13648733010280795</v>
      </c>
      <c r="AB19" s="24">
        <v>-2.4841452852484065</v>
      </c>
      <c r="AC19" s="24">
        <v>-0.71685696759093842</v>
      </c>
      <c r="AD19" s="24">
        <v>-0.53398768402974128</v>
      </c>
      <c r="AE19" s="24">
        <v>-0.76326439435535753</v>
      </c>
      <c r="AF19" s="24">
        <v>-1.9014380890288902</v>
      </c>
      <c r="AG19" s="24">
        <v>2.9998947454431244E-2</v>
      </c>
      <c r="AH19" s="24">
        <v>0.95624330923694933</v>
      </c>
      <c r="AI19" s="24">
        <v>-1.8952709273832327</v>
      </c>
      <c r="AJ19" s="24">
        <v>0.56106005960776506</v>
      </c>
      <c r="AK19" s="24">
        <v>0.4625507504483824</v>
      </c>
      <c r="AL19" s="24">
        <v>0.78850483195587995</v>
      </c>
      <c r="AM19" s="24">
        <v>0.63892407827777886</v>
      </c>
      <c r="AN19" s="24">
        <v>-0.41532029384706476</v>
      </c>
      <c r="AO19" s="24">
        <v>-7.3660289354169402E-3</v>
      </c>
      <c r="AP19" s="24">
        <v>-0.32466082856736372</v>
      </c>
      <c r="AQ19" s="24">
        <v>1.178356288717235</v>
      </c>
      <c r="AR19" s="24">
        <v>0.45715276840537883</v>
      </c>
      <c r="AS19" s="24">
        <v>-0.11315988347118366</v>
      </c>
      <c r="AT19" s="24">
        <v>-0.10893639428500977</v>
      </c>
      <c r="AU19" s="24">
        <v>-0.99441270072525068</v>
      </c>
      <c r="AV19" s="24">
        <v>0.11471419724448641</v>
      </c>
      <c r="AW19" s="24">
        <v>-1.3753425261324435</v>
      </c>
    </row>
    <row r="20" spans="1:49" ht="13.8" x14ac:dyDescent="0.3">
      <c r="D20" s="24">
        <v>2.3036890906635139</v>
      </c>
      <c r="E20" s="24">
        <v>1.5950126309514334</v>
      </c>
      <c r="F20" s="24">
        <v>-0.63623396809402399</v>
      </c>
      <c r="G20" s="24">
        <v>9.6852392863774159E-2</v>
      </c>
      <c r="H20" s="24">
        <v>-2.1692862583496133</v>
      </c>
      <c r="I20" s="24">
        <v>1.1842395968952357</v>
      </c>
      <c r="J20" s="24">
        <v>0.19188619040617844</v>
      </c>
      <c r="K20" s="24">
        <v>1.4166017932652613</v>
      </c>
      <c r="L20" s="24">
        <v>-1.0956611048701272</v>
      </c>
      <c r="M20" s="24">
        <v>0.66641658702277518</v>
      </c>
      <c r="N20" s="24">
        <v>0.63884083219196497</v>
      </c>
      <c r="O20" s="24">
        <v>-0.76019147026170808</v>
      </c>
      <c r="P20" s="24">
        <v>0.11950565717935643</v>
      </c>
      <c r="Q20" s="24">
        <v>6.7370116150809192E-2</v>
      </c>
      <c r="R20" s="24">
        <v>-0.64823836421876535</v>
      </c>
      <c r="S20" s="24">
        <v>-1.4288077166898021E-2</v>
      </c>
      <c r="T20" s="24">
        <v>-0.99669211478751396</v>
      </c>
      <c r="U20" s="24">
        <v>0.22628882355401203</v>
      </c>
      <c r="V20" s="24">
        <v>1.0891958228382423</v>
      </c>
      <c r="W20" s="24">
        <v>-0.64030460617011709</v>
      </c>
      <c r="X20" s="24">
        <v>-0.56763444071488711</v>
      </c>
      <c r="Y20" s="24">
        <v>0.73538457295810977</v>
      </c>
      <c r="Z20" s="24">
        <v>-0.58662243281978566</v>
      </c>
      <c r="AA20" s="24">
        <v>-0.52163005942709362</v>
      </c>
      <c r="AB20" s="24">
        <v>0.47921631664765557</v>
      </c>
      <c r="AC20" s="24">
        <v>1.4674587813470021</v>
      </c>
      <c r="AD20" s="24">
        <v>-0.79523128969923385</v>
      </c>
      <c r="AE20" s="24">
        <v>-0.59348391562101543</v>
      </c>
      <c r="AF20" s="24">
        <v>3.4435668982042192E-3</v>
      </c>
      <c r="AG20" s="24">
        <v>-0.23156233730442627</v>
      </c>
      <c r="AH20" s="24">
        <v>0.3921507459270408</v>
      </c>
      <c r="AI20" s="24">
        <v>-1.4631995428393367</v>
      </c>
      <c r="AJ20" s="24">
        <v>0.3033143486843855</v>
      </c>
      <c r="AK20" s="24">
        <v>-0.3999255546599661</v>
      </c>
      <c r="AL20" s="24">
        <v>-5.088524201216952E-2</v>
      </c>
      <c r="AM20" s="24">
        <v>1.8071073609542567</v>
      </c>
      <c r="AN20" s="24">
        <v>-0.96138441532072638</v>
      </c>
      <c r="AO20" s="24">
        <v>0.27470899075403232</v>
      </c>
      <c r="AP20" s="24">
        <v>0.70168342535978323</v>
      </c>
      <c r="AQ20" s="24">
        <v>-0.58812644156280836</v>
      </c>
      <c r="AR20" s="24">
        <v>0.83762831275140526</v>
      </c>
      <c r="AS20" s="24">
        <v>-0.10712720400224472</v>
      </c>
      <c r="AT20" s="24">
        <v>-1.7095057356407433</v>
      </c>
      <c r="AU20" s="24">
        <v>0.35500609096181018</v>
      </c>
      <c r="AV20" s="24">
        <v>-0.61662264750227513</v>
      </c>
      <c r="AW20" s="24">
        <v>-0.41225317531563527</v>
      </c>
    </row>
    <row r="21" spans="1:49" ht="13.8" x14ac:dyDescent="0.3">
      <c r="D21" s="24">
        <v>0.56276363075449753</v>
      </c>
      <c r="E21" s="24">
        <v>0.75012263452707051</v>
      </c>
      <c r="F21" s="24">
        <v>0.46837151189136977</v>
      </c>
      <c r="G21" s="24">
        <v>-1.8554101049888576</v>
      </c>
      <c r="H21" s="24">
        <v>-0.69476454902842233</v>
      </c>
      <c r="I21" s="24">
        <v>1.2435932886474177</v>
      </c>
      <c r="J21" s="24">
        <v>9.57485917778024E-2</v>
      </c>
      <c r="K21" s="24">
        <v>-6.4645702595509211E-2</v>
      </c>
      <c r="L21" s="24">
        <v>-0.21587824956892387</v>
      </c>
      <c r="M21" s="24">
        <v>-0.41990832863043281</v>
      </c>
      <c r="N21" s="24">
        <v>-4.4912837070225628E-2</v>
      </c>
      <c r="O21" s="24">
        <v>-2.3550011250687315</v>
      </c>
      <c r="P21" s="24">
        <v>-0.52673950975087125</v>
      </c>
      <c r="Q21" s="24">
        <v>-0.65995517017132854</v>
      </c>
      <c r="R21" s="24">
        <v>0.88064060129253818</v>
      </c>
      <c r="S21" s="24">
        <v>-0.20625908359029238</v>
      </c>
      <c r="T21" s="24">
        <v>-0.11349998968470987</v>
      </c>
      <c r="U21" s="24">
        <v>-0.12683970448455015</v>
      </c>
      <c r="V21" s="24">
        <v>1.0576093539850273</v>
      </c>
      <c r="W21" s="24">
        <v>-1.7253734429032415</v>
      </c>
      <c r="X21" s="24">
        <v>-0.15140975734350948</v>
      </c>
      <c r="Y21" s="24">
        <v>-0.79492391045064137</v>
      </c>
      <c r="Z21" s="24">
        <v>0.75660886631220703</v>
      </c>
      <c r="AA21" s="24">
        <v>0.1742752522849996</v>
      </c>
      <c r="AB21" s="24">
        <v>-0.17671284051585673</v>
      </c>
      <c r="AC21" s="24">
        <v>-0.52197009363723745</v>
      </c>
      <c r="AD21" s="24">
        <v>-2.0718565180177853E-2</v>
      </c>
      <c r="AE21" s="24">
        <v>0.75128545848623896</v>
      </c>
      <c r="AF21" s="24">
        <v>-0.33279480344025469</v>
      </c>
      <c r="AG21" s="24">
        <v>1.0895735693598532</v>
      </c>
      <c r="AH21" s="24">
        <v>0.46334145742239036</v>
      </c>
      <c r="AI21" s="24">
        <v>1.0370856086788536</v>
      </c>
      <c r="AJ21" s="24">
        <v>-0.52836818995305967</v>
      </c>
      <c r="AK21" s="24">
        <v>-1.2370398160967979E-4</v>
      </c>
      <c r="AL21" s="24">
        <v>-0.59427469052818116</v>
      </c>
      <c r="AM21" s="24">
        <v>6.7972733557467246E-2</v>
      </c>
      <c r="AN21" s="24">
        <v>0.43019337689925941</v>
      </c>
      <c r="AO21" s="24">
        <v>0.90444207786306963</v>
      </c>
      <c r="AP21" s="24">
        <v>1.410435543949955</v>
      </c>
      <c r="AQ21" s="24">
        <v>-0.71970747217654785</v>
      </c>
      <c r="AR21" s="24">
        <v>1.0004212615395742</v>
      </c>
      <c r="AS21" s="24">
        <v>-1.1868044999414384</v>
      </c>
      <c r="AT21" s="24">
        <v>0.26940913393047033</v>
      </c>
      <c r="AU21" s="24">
        <v>1.3065674365173638</v>
      </c>
      <c r="AV21" s="24">
        <v>-1.3100832798924675</v>
      </c>
      <c r="AW21" s="24">
        <v>0.21913883609761745</v>
      </c>
    </row>
    <row r="22" spans="1:49" ht="13.8" x14ac:dyDescent="0.3">
      <c r="D22" s="24">
        <v>-0.10941499036225766</v>
      </c>
      <c r="E22" s="24">
        <v>3.7941469309301819E-2</v>
      </c>
      <c r="F22" s="24">
        <v>0.72758359425893959</v>
      </c>
      <c r="G22" s="24">
        <v>0.55585735202859476</v>
      </c>
      <c r="H22" s="24">
        <v>-1.1055497762236717</v>
      </c>
      <c r="I22" s="24">
        <v>0.42267214347072263</v>
      </c>
      <c r="J22" s="24">
        <v>9.3258525870520803E-2</v>
      </c>
      <c r="K22" s="24">
        <v>-0.58074400482871902</v>
      </c>
      <c r="L22" s="24">
        <v>-1.1559744535443595</v>
      </c>
      <c r="M22" s="24">
        <v>-0.3167593362075003</v>
      </c>
      <c r="N22" s="24">
        <v>0.13880855872085926</v>
      </c>
      <c r="O22" s="24">
        <v>8.6314674275430985E-4</v>
      </c>
      <c r="P22" s="24">
        <v>-0.49591640777637264</v>
      </c>
      <c r="Q22" s="24">
        <v>-0.49446156038977512</v>
      </c>
      <c r="R22" s="24">
        <v>-0.21641114402084541</v>
      </c>
      <c r="S22" s="24">
        <v>-0.13756676091840173</v>
      </c>
      <c r="T22" s="24">
        <v>-0.53818147474649225</v>
      </c>
      <c r="U22" s="24">
        <v>-0.66841260485481235</v>
      </c>
      <c r="V22" s="24">
        <v>-0.28408155915021305</v>
      </c>
      <c r="W22" s="24">
        <v>0.16841217817367576</v>
      </c>
      <c r="X22" s="24">
        <v>0.47989945537391238</v>
      </c>
      <c r="Y22" s="24">
        <v>-0.18264760819972381</v>
      </c>
      <c r="Z22" s="24">
        <v>0.62694567018484226</v>
      </c>
      <c r="AA22" s="24">
        <v>0.44877845765790197</v>
      </c>
      <c r="AB22" s="24">
        <v>0.47602078952374371</v>
      </c>
      <c r="AC22" s="24">
        <v>-0.57250781315687094</v>
      </c>
      <c r="AD22" s="24">
        <v>-0.16447572986449535</v>
      </c>
      <c r="AE22" s="24">
        <v>0.48574231095224624</v>
      </c>
      <c r="AF22" s="24">
        <v>-0.17247535829315119</v>
      </c>
      <c r="AG22" s="24">
        <v>-0.13223888005722476</v>
      </c>
      <c r="AH22" s="24">
        <v>-0.30018714336288799</v>
      </c>
      <c r="AI22" s="24">
        <v>-0.41593294289084071</v>
      </c>
      <c r="AJ22" s="24">
        <v>-0.37770625468412322</v>
      </c>
      <c r="AK22" s="24">
        <v>0.58409579538859802</v>
      </c>
      <c r="AL22" s="24">
        <v>-6.5105316027245109E-3</v>
      </c>
      <c r="AM22" s="24">
        <v>-0.64448776070913449</v>
      </c>
      <c r="AN22" s="24">
        <v>-0.2449107547620378</v>
      </c>
      <c r="AO22" s="24">
        <v>0.16003500388835512</v>
      </c>
      <c r="AP22" s="24">
        <v>0.15937784744915898</v>
      </c>
      <c r="AQ22" s="24">
        <v>2.0866344940848179E-2</v>
      </c>
      <c r="AR22" s="24">
        <v>-6.2250623938605865E-2</v>
      </c>
      <c r="AS22" s="24">
        <v>0.35580689879535526</v>
      </c>
      <c r="AT22" s="24">
        <v>-0.38534251041194995</v>
      </c>
      <c r="AU22" s="24">
        <v>-0.71487885974437526</v>
      </c>
      <c r="AV22" s="24">
        <v>-4.6695698537027375E-2</v>
      </c>
      <c r="AW22" s="24">
        <v>0.14820004754092733</v>
      </c>
    </row>
    <row r="23" spans="1:49" ht="13.8" x14ac:dyDescent="0.3">
      <c r="D23" s="24">
        <v>-0.21352962892383631</v>
      </c>
      <c r="E23" s="24">
        <v>-1.0381320519531225</v>
      </c>
      <c r="F23" s="24">
        <v>0.56872131411057747</v>
      </c>
      <c r="G23" s="24">
        <v>-0.89529064087172128</v>
      </c>
      <c r="H23" s="24">
        <v>-4.0108030719888874E-2</v>
      </c>
      <c r="I23" s="24">
        <v>-0.77035289966383802</v>
      </c>
      <c r="J23" s="24">
        <v>0.89105945615759585</v>
      </c>
      <c r="K23" s="24">
        <v>1.6186419170059814</v>
      </c>
      <c r="L23" s="24">
        <v>-0.5465238144533977</v>
      </c>
      <c r="M23" s="24">
        <v>0.59250587755139961</v>
      </c>
      <c r="N23" s="24">
        <v>8.9937064775068798E-2</v>
      </c>
      <c r="O23" s="24">
        <v>-0.59419853212925711</v>
      </c>
      <c r="P23" s="24">
        <v>0.79663804465327637</v>
      </c>
      <c r="Q23" s="24">
        <v>0.2111222230061473</v>
      </c>
      <c r="R23" s="24">
        <v>0.17441038685243557</v>
      </c>
      <c r="S23" s="24">
        <v>-1.0055911368244124</v>
      </c>
      <c r="T23" s="24">
        <v>-0.64567583722301924</v>
      </c>
      <c r="U23" s="24">
        <v>9.4839805951597633E-2</v>
      </c>
      <c r="V23" s="24">
        <v>-7.2791765015339335E-2</v>
      </c>
      <c r="W23" s="24">
        <v>1.0607516921684568</v>
      </c>
      <c r="X23" s="24">
        <v>0.77132076019424123</v>
      </c>
      <c r="Y23" s="24">
        <v>0.33874395163620119</v>
      </c>
      <c r="Z23" s="24">
        <v>0.11886454967577778</v>
      </c>
      <c r="AA23" s="24">
        <v>0.34761028574785974</v>
      </c>
      <c r="AB23" s="24">
        <v>0.54889493815597179</v>
      </c>
      <c r="AC23" s="24">
        <v>0.31651456980934767</v>
      </c>
      <c r="AD23" s="24">
        <v>-0.34759377936492647</v>
      </c>
      <c r="AE23" s="24">
        <v>-0.25094639438327576</v>
      </c>
      <c r="AF23" s="24">
        <v>0.83996008258287103</v>
      </c>
      <c r="AG23" s="24">
        <v>-0.49209640167281771</v>
      </c>
      <c r="AH23" s="24">
        <v>0.7799710143604095</v>
      </c>
      <c r="AI23" s="24">
        <v>0.38645155069536208</v>
      </c>
      <c r="AJ23" s="24">
        <v>1.5294091620557764E-2</v>
      </c>
      <c r="AK23" s="24">
        <v>9.5372990056724422E-2</v>
      </c>
      <c r="AL23" s="24">
        <v>0.52152771906908113</v>
      </c>
      <c r="AM23" s="24">
        <v>-0.31254991528642295</v>
      </c>
      <c r="AN23" s="24">
        <v>-0.42984858891443523</v>
      </c>
      <c r="AO23" s="24">
        <v>0.50295826032112068</v>
      </c>
      <c r="AP23" s="24">
        <v>0.20797377432100614</v>
      </c>
      <c r="AQ23" s="24">
        <v>0.29135981772407898</v>
      </c>
      <c r="AR23" s="24">
        <v>0.59472167214977545</v>
      </c>
      <c r="AS23" s="24">
        <v>5.0876547572754623E-2</v>
      </c>
      <c r="AT23" s="24">
        <v>-2.6177227658479088E-3</v>
      </c>
      <c r="AU23" s="24">
        <v>0.40469516136861805</v>
      </c>
      <c r="AV23" s="24">
        <v>0.17237268820608873</v>
      </c>
      <c r="AW23" s="24">
        <v>-1.0775341497482105</v>
      </c>
    </row>
    <row r="24" spans="1:49" ht="13.8" x14ac:dyDescent="0.3">
      <c r="D24" s="24">
        <v>0.49824098924315868</v>
      </c>
      <c r="E24" s="24">
        <v>3.1057163197391921E-2</v>
      </c>
      <c r="F24" s="24">
        <v>0.54667327683179245</v>
      </c>
      <c r="G24" s="24">
        <v>-1.2770164778992188</v>
      </c>
      <c r="H24" s="24">
        <v>-0.8388852279347736</v>
      </c>
      <c r="I24" s="24">
        <v>0.3977388363452472</v>
      </c>
      <c r="J24" s="24">
        <v>0.95981249247422951</v>
      </c>
      <c r="K24" s="24">
        <v>1.2458706894130904</v>
      </c>
      <c r="L24" s="24">
        <v>-0.32843980546482854</v>
      </c>
      <c r="M24" s="24">
        <v>0.24121354719416577</v>
      </c>
      <c r="N24" s="24">
        <v>-6.9155520528604797E-2</v>
      </c>
      <c r="O24" s="24">
        <v>-0.80465190621345484</v>
      </c>
      <c r="P24" s="24">
        <v>-0.58408908693122596</v>
      </c>
      <c r="Q24" s="24">
        <v>-0.7249181338505033</v>
      </c>
      <c r="R24" s="24">
        <v>-1.4160467995430566</v>
      </c>
      <c r="S24" s="24">
        <v>-0.14444141745047376</v>
      </c>
      <c r="T24" s="24">
        <v>0.37518007553580696</v>
      </c>
      <c r="U24" s="24">
        <v>-0.51009336131795302</v>
      </c>
      <c r="V24" s="24">
        <v>-0.12150669755170572</v>
      </c>
      <c r="W24" s="24">
        <v>1.1482370647035649</v>
      </c>
      <c r="X24" s="24">
        <v>0.2849993746134824</v>
      </c>
      <c r="Y24" s="24">
        <v>-0.42302370736162714</v>
      </c>
      <c r="Z24" s="24">
        <v>-1.4746315079234305</v>
      </c>
      <c r="AA24" s="24">
        <v>3.6057124355194009E-2</v>
      </c>
      <c r="AB24" s="24">
        <v>0.20820219702127735</v>
      </c>
      <c r="AC24" s="24">
        <v>1.9070265510324724</v>
      </c>
      <c r="AD24" s="24">
        <v>-1.165894504216372</v>
      </c>
      <c r="AE24" s="24">
        <v>0.32019293355825951</v>
      </c>
      <c r="AF24" s="24">
        <v>0.32624664507148049</v>
      </c>
      <c r="AG24" s="24">
        <v>-1.5079199756453636</v>
      </c>
      <c r="AH24" s="24">
        <v>0.60163700864409742</v>
      </c>
      <c r="AI24" s="24">
        <v>-1.7779379280139767</v>
      </c>
      <c r="AJ24" s="24">
        <v>1.3081842111088362</v>
      </c>
      <c r="AK24" s="24">
        <v>-0.13422135636874807</v>
      </c>
      <c r="AL24" s="24">
        <v>-0.44640036293367225</v>
      </c>
      <c r="AM24" s="24">
        <v>-0.10711343662316607</v>
      </c>
      <c r="AN24" s="24">
        <v>0.60626327437484329</v>
      </c>
      <c r="AO24" s="24">
        <v>-1.2054690500031715</v>
      </c>
      <c r="AP24" s="24">
        <v>0.8241309123224535</v>
      </c>
      <c r="AQ24" s="24">
        <v>0.22257440614581644</v>
      </c>
      <c r="AR24" s="24">
        <v>1.6551602887757559</v>
      </c>
      <c r="AS24" s="24">
        <v>0.95312787484257966</v>
      </c>
      <c r="AT24" s="24">
        <v>0.81116205625905047</v>
      </c>
      <c r="AU24" s="24">
        <v>-1.0909867534530788</v>
      </c>
      <c r="AV24" s="24">
        <v>1.0608973038835194</v>
      </c>
      <c r="AW24" s="24">
        <v>0.41243785630979501</v>
      </c>
    </row>
    <row r="25" spans="1:49" ht="13.8" x14ac:dyDescent="0.3">
      <c r="D25" s="24">
        <v>0.14875410908704559</v>
      </c>
      <c r="E25" s="24">
        <v>-1.1830665669552098</v>
      </c>
      <c r="F25" s="24">
        <v>0.28297052346889801</v>
      </c>
      <c r="G25" s="24">
        <v>-0.58225251224271091</v>
      </c>
      <c r="H25" s="24">
        <v>1.3440520174195292</v>
      </c>
      <c r="I25" s="24">
        <v>9.5033358439028118E-2</v>
      </c>
      <c r="J25" s="24">
        <v>1.4309953030114724</v>
      </c>
      <c r="K25" s="24">
        <v>-0.47611703334900451</v>
      </c>
      <c r="L25" s="24">
        <v>-0.74412783773444735</v>
      </c>
      <c r="M25" s="24">
        <v>-1.2623882698655786</v>
      </c>
      <c r="N25" s="24">
        <v>0.58583134421331762</v>
      </c>
      <c r="O25" s="24">
        <v>-0.60051368971311725</v>
      </c>
      <c r="P25" s="24">
        <v>-0.72982619413472227</v>
      </c>
      <c r="Q25" s="24">
        <v>-0.70836006751197589</v>
      </c>
      <c r="R25" s="24">
        <v>-1.954174651124277</v>
      </c>
      <c r="S25" s="24">
        <v>0.94316650869496454</v>
      </c>
      <c r="T25" s="24">
        <v>-0.30741978586707752</v>
      </c>
      <c r="U25" s="24">
        <v>8.9644353841239338E-2</v>
      </c>
      <c r="V25" s="24">
        <v>0.34564330413250383</v>
      </c>
      <c r="W25" s="24">
        <v>-0.76824930785479617</v>
      </c>
      <c r="X25" s="24">
        <v>0.34134094597999143</v>
      </c>
      <c r="Y25" s="24">
        <v>-1.8306144020276351</v>
      </c>
      <c r="Z25" s="24">
        <v>-0.16211192581062225</v>
      </c>
      <c r="AA25" s="24">
        <v>0.89289900133232702</v>
      </c>
      <c r="AB25" s="24">
        <v>-1.2479257627072964</v>
      </c>
      <c r="AC25" s="24">
        <v>8.271632786562727E-2</v>
      </c>
      <c r="AD25" s="24">
        <v>0.21819246063949646</v>
      </c>
      <c r="AE25" s="24">
        <v>-0.20985689373314736</v>
      </c>
      <c r="AF25" s="24">
        <v>-0.76539393031627179</v>
      </c>
      <c r="AG25" s="24">
        <v>4.6394065151153366E-2</v>
      </c>
      <c r="AH25" s="24">
        <v>1.0726210369440534</v>
      </c>
      <c r="AI25" s="24">
        <v>-0.90634472536905653</v>
      </c>
      <c r="AJ25" s="24">
        <v>-1.9680249870313749</v>
      </c>
      <c r="AK25" s="24">
        <v>-1.1253784408531655</v>
      </c>
      <c r="AL25" s="24">
        <v>0.14733748633925106</v>
      </c>
      <c r="AM25" s="24">
        <v>-0.16836940167100409</v>
      </c>
      <c r="AN25" s="24">
        <v>-0.26562492120737441</v>
      </c>
      <c r="AO25" s="24">
        <v>-1.3357658633355012</v>
      </c>
      <c r="AP25" s="24">
        <v>0.31312138483560831</v>
      </c>
      <c r="AQ25" s="24">
        <v>0.45673276352154485</v>
      </c>
      <c r="AR25" s="24">
        <v>-0.66891154502171102</v>
      </c>
      <c r="AS25" s="24">
        <v>-1.8729113846316741</v>
      </c>
      <c r="AT25" s="24">
        <v>-0.34179142346045543</v>
      </c>
      <c r="AU25" s="24">
        <v>-0.92155318367863737</v>
      </c>
      <c r="AV25" s="24">
        <v>0.20608049419604552</v>
      </c>
      <c r="AW25" s="24">
        <v>0.41038982521169048</v>
      </c>
    </row>
    <row r="26" spans="1:49" ht="13.8" x14ac:dyDescent="0.3">
      <c r="D26" s="24">
        <v>0.48049793907426358</v>
      </c>
      <c r="E26" s="24">
        <v>-0.43748752353251746</v>
      </c>
      <c r="F26" s="24">
        <v>0.68933108680345967</v>
      </c>
      <c r="G26" s="24">
        <v>-0.2095024080606793</v>
      </c>
      <c r="H26" s="24">
        <v>0.28089030847772528</v>
      </c>
      <c r="I26" s="24">
        <v>-0.55947211828602683</v>
      </c>
      <c r="J26" s="24">
        <v>-0.66751684318549309</v>
      </c>
      <c r="K26" s="24">
        <v>1.1021484128268872</v>
      </c>
      <c r="L26" s="24">
        <v>0.42958392545859769</v>
      </c>
      <c r="M26" s="24">
        <v>1.6571439910817938</v>
      </c>
      <c r="N26" s="24">
        <v>1.1789840166555832</v>
      </c>
      <c r="O26" s="24">
        <v>-0.99618971797009714</v>
      </c>
      <c r="P26" s="24">
        <v>0.17688120070580432</v>
      </c>
      <c r="Q26" s="24">
        <v>0.48955261445916382</v>
      </c>
      <c r="R26" s="24">
        <v>0.80474468508850383</v>
      </c>
      <c r="S26" s="24">
        <v>-5.8623828962927456E-2</v>
      </c>
      <c r="T26" s="24">
        <v>-5.7897793921711724E-2</v>
      </c>
      <c r="U26" s="24">
        <v>1.1431156312965851</v>
      </c>
      <c r="V26" s="24">
        <v>0.28320279770048318</v>
      </c>
      <c r="W26" s="24">
        <v>-0.23071566311321604</v>
      </c>
      <c r="X26" s="24">
        <v>-0.3338401838456046</v>
      </c>
      <c r="Y26" s="24">
        <v>-0.2931113285730288</v>
      </c>
      <c r="Z26" s="24">
        <v>-0.38385797019314877</v>
      </c>
      <c r="AA26" s="24">
        <v>-0.38634474959434983</v>
      </c>
      <c r="AB26" s="24">
        <v>-0.55913796455320752</v>
      </c>
      <c r="AC26" s="24">
        <v>0.56365509274479353</v>
      </c>
      <c r="AD26" s="24">
        <v>-0.29026379166493754</v>
      </c>
      <c r="AE26" s="24">
        <v>0.41389577681503126</v>
      </c>
      <c r="AF26" s="24">
        <v>0.79806013888460992</v>
      </c>
      <c r="AG26" s="24">
        <v>-0.279611129795866</v>
      </c>
      <c r="AH26" s="24">
        <v>0.11660530405419113</v>
      </c>
      <c r="AI26" s="24">
        <v>2.2217194636291571E-2</v>
      </c>
      <c r="AJ26" s="24">
        <v>-0.17356430103977585</v>
      </c>
      <c r="AK26" s="24">
        <v>0.8685786022668992</v>
      </c>
      <c r="AL26" s="24">
        <v>-0.34773782918747947</v>
      </c>
      <c r="AM26" s="24">
        <v>0.99292907664030106</v>
      </c>
      <c r="AN26" s="24">
        <v>0.25068875343807068</v>
      </c>
      <c r="AO26" s="24">
        <v>0.96632962331860484</v>
      </c>
      <c r="AP26" s="24">
        <v>-0.47460909491645387</v>
      </c>
      <c r="AQ26" s="24">
        <v>-0.92680421542263869</v>
      </c>
      <c r="AR26" s="24">
        <v>1.4669261303407901</v>
      </c>
      <c r="AS26" s="24">
        <v>-1.8575278154616561</v>
      </c>
      <c r="AT26" s="24">
        <v>0.36733349510045715</v>
      </c>
      <c r="AU26" s="24">
        <v>-1.1126073787322777E-2</v>
      </c>
      <c r="AV26" s="24">
        <v>8.7208521753397841E-2</v>
      </c>
      <c r="AW26" s="24">
        <v>0.46886596858711344</v>
      </c>
    </row>
    <row r="27" spans="1:49" ht="13.8" x14ac:dyDescent="0.3">
      <c r="D27" s="24">
        <v>-0.83052471164284802</v>
      </c>
      <c r="E27" s="24">
        <v>-0.2561499221788574</v>
      </c>
      <c r="F27" s="24">
        <v>0.99070205602945449</v>
      </c>
      <c r="G27" s="24">
        <v>0.49364460999846083</v>
      </c>
      <c r="H27" s="24">
        <v>-0.20352021641520573</v>
      </c>
      <c r="I27" s="24">
        <v>-1.7867668162245951</v>
      </c>
      <c r="J27" s="24">
        <v>1.0457150919971168</v>
      </c>
      <c r="K27" s="24">
        <v>-1.0214244964438473E-2</v>
      </c>
      <c r="L27" s="24">
        <v>-0.27901296071038739</v>
      </c>
      <c r="M27" s="24">
        <v>0.49137462926643422</v>
      </c>
      <c r="N27" s="24">
        <v>1.8736112037446495</v>
      </c>
      <c r="O27" s="24">
        <v>-0.48239965150331732</v>
      </c>
      <c r="P27" s="24">
        <v>-0.47975015716550656</v>
      </c>
      <c r="Q27" s="24">
        <v>0.13619459398675288</v>
      </c>
      <c r="R27" s="24">
        <v>0.11129932404616084</v>
      </c>
      <c r="S27" s="24">
        <v>-1.1713101914523973</v>
      </c>
      <c r="T27" s="24">
        <v>0.24530170002408413</v>
      </c>
      <c r="U27" s="24">
        <v>-0.21411674022416499</v>
      </c>
      <c r="V27" s="24">
        <v>-0.30374863070665709</v>
      </c>
      <c r="W27" s="24">
        <v>1.0121861412560822</v>
      </c>
      <c r="X27" s="24">
        <v>1.5324438536146849</v>
      </c>
      <c r="Y27" s="24">
        <v>-1.1301626299898619</v>
      </c>
      <c r="Z27" s="24">
        <v>-1.0715772345352792</v>
      </c>
      <c r="AA27" s="24">
        <v>0.74518314498357541</v>
      </c>
      <c r="AB27" s="24">
        <v>-0.66474379829157537</v>
      </c>
      <c r="AC27" s="24">
        <v>-1.3119029933239226</v>
      </c>
      <c r="AD27" s="24">
        <v>0.86320333236418556</v>
      </c>
      <c r="AE27" s="24">
        <v>0.40820649307204443</v>
      </c>
      <c r="AF27" s="24">
        <v>-0.59531401654479377</v>
      </c>
      <c r="AG27" s="24">
        <v>-0.45095830372715845</v>
      </c>
      <c r="AH27" s="24">
        <v>-1.5934908227366746</v>
      </c>
      <c r="AI27" s="24">
        <v>-7.9933045003939746E-2</v>
      </c>
      <c r="AJ27" s="24">
        <v>0.40591851352418751</v>
      </c>
      <c r="AK27" s="24">
        <v>0.25768056727101579</v>
      </c>
      <c r="AL27" s="24">
        <v>0.55184325379781141</v>
      </c>
      <c r="AM27" s="24">
        <v>1.2857863369585272</v>
      </c>
      <c r="AN27" s="24">
        <v>-0.85236792856054011</v>
      </c>
      <c r="AO27" s="24">
        <v>-7.3098804994178465E-2</v>
      </c>
      <c r="AP27" s="24">
        <v>-0.19021954801438085</v>
      </c>
      <c r="AQ27" s="24">
        <v>-0.99837915604217198</v>
      </c>
      <c r="AR27" s="24">
        <v>0.5544028042879684</v>
      </c>
      <c r="AS27" s="24">
        <v>1.1280299957017861</v>
      </c>
      <c r="AT27" s="24">
        <v>0.73954566180484049</v>
      </c>
      <c r="AU27" s="24">
        <v>1.2213051830091155</v>
      </c>
      <c r="AV27" s="24">
        <v>-2.5927384866041337E-2</v>
      </c>
      <c r="AW27" s="24">
        <v>-0.31199536434020497</v>
      </c>
    </row>
    <row r="30" spans="1:49" ht="13.8" x14ac:dyDescent="0.3">
      <c r="D30" s="24">
        <v>2.061508145518669</v>
      </c>
      <c r="E30" s="24">
        <v>-2.0164684483929571</v>
      </c>
      <c r="F30" s="24">
        <v>-3.5144943036546255</v>
      </c>
      <c r="G30" s="24">
        <v>-1.0950801249458304</v>
      </c>
      <c r="H30" s="24">
        <v>-4.2137243659273418</v>
      </c>
      <c r="I30" s="24">
        <v>2.4568775072176723</v>
      </c>
      <c r="J30" s="24">
        <v>3.3245496942662949</v>
      </c>
      <c r="K30" s="24">
        <v>-1.0406184930395916</v>
      </c>
      <c r="L30" s="24">
        <v>-2.2669563700014774</v>
      </c>
      <c r="M30" s="24">
        <v>3.1392479149722061</v>
      </c>
      <c r="N30" s="24">
        <v>-3.4572175357656434</v>
      </c>
      <c r="O30" s="24">
        <v>2.0983491199941477</v>
      </c>
      <c r="P30" s="24">
        <v>-2.4863696897316068</v>
      </c>
      <c r="Q30" s="24">
        <v>0.93726995562462623</v>
      </c>
    </row>
    <row r="31" spans="1:49" ht="13.8" x14ac:dyDescent="0.3">
      <c r="D31" s="24">
        <v>-2.0583399635843671</v>
      </c>
      <c r="E31" s="24">
        <v>1.9554955301518098</v>
      </c>
      <c r="F31" s="24">
        <v>3.5102140031391209</v>
      </c>
      <c r="G31" s="24">
        <v>1.105683217957518</v>
      </c>
      <c r="H31" s="24">
        <v>4.23112176376923</v>
      </c>
      <c r="I31" s="24">
        <v>-2.4597533861742287</v>
      </c>
      <c r="J31" s="24">
        <v>-3.3295806493182485</v>
      </c>
      <c r="K31" s="24">
        <v>0.98820386007384564</v>
      </c>
      <c r="L31" s="24">
        <v>2.2749685998651792</v>
      </c>
      <c r="M31" s="24">
        <v>-3.1744760864595598</v>
      </c>
      <c r="N31" s="24">
        <v>3.4523126842766025</v>
      </c>
      <c r="O31" s="24">
        <v>-2.1162824108653986</v>
      </c>
      <c r="P31" s="24">
        <v>2.5173747924968368</v>
      </c>
      <c r="Q31" s="24">
        <v>-0.87245170604766764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Y600"/>
  <sheetViews>
    <sheetView showGridLines="0" topLeftCell="A63" workbookViewId="0">
      <selection activeCell="H82" sqref="H82"/>
    </sheetView>
  </sheetViews>
  <sheetFormatPr defaultRowHeight="13.2" x14ac:dyDescent="0.25"/>
  <cols>
    <col min="3" max="3" width="14.21875" bestFit="1" customWidth="1"/>
    <col min="16" max="16" width="13.5546875" bestFit="1" customWidth="1"/>
  </cols>
  <sheetData>
    <row r="1" spans="2:103" ht="18" x14ac:dyDescent="0.35">
      <c r="B1" s="23" t="s">
        <v>180</v>
      </c>
      <c r="N1" t="s">
        <v>754</v>
      </c>
      <c r="CQ1" s="24">
        <v>0.99836922171939857</v>
      </c>
      <c r="CR1" s="24" t="str">
        <f>"1"</f>
        <v>1</v>
      </c>
      <c r="CS1" t="str">
        <f ca="1">IF((OFFSET($A$1, 1 - 1, 95 - 1)) &gt;= (OFFSET($A$1, 54 - 1, 7 - 1)), "1","0")</f>
        <v>1</v>
      </c>
      <c r="CT1">
        <f ca="1" xml:space="preserve"> IF( AND( OFFSET($A$1, 1 - 1, 96 - 1) = "1", OFFSET($A$1, 1 - 1, 97 - 1) = "1" ), 1, IF( AND( OFFSET($A$1, 1 - 1, 96 - 1) = "1", OFFSET($A$1, 1 - 1, 97 - 1) = "0" ), 2, IF( AND( OFFSET($A$1, 1 - 1, 96 - 1) = "0", OFFSET($A$1, 1 - 1, 97 - 1) = "1" ), 3, 4 ) ) )</f>
        <v>1</v>
      </c>
      <c r="CV1" s="24">
        <v>0.87434762625113405</v>
      </c>
      <c r="CW1" s="24" t="str">
        <f t="shared" ref="CW1:CW10" si="0">"1"</f>
        <v>1</v>
      </c>
      <c r="CX1" t="str">
        <f ca="1">IF((OFFSET($A$1, 1 - 1, 100 - 1)) &gt;= (OFFSET($A$1, 78 - 1, 7 - 1)), "1","0")</f>
        <v>1</v>
      </c>
      <c r="CY1">
        <f ca="1" xml:space="preserve"> IF( AND( OFFSET($A$1, 1 - 1, 101 - 1) = "1", OFFSET($A$1, 1 - 1, 102 - 1) = "1" ), 1, IF( AND( OFFSET($A$1, 1 - 1, 101 - 1) = "1", OFFSET($A$1, 1 - 1, 102 - 1) = "0" ), 2, IF( AND( OFFSET($A$1, 1 - 1, 101 - 1) = "0", OFFSET($A$1, 1 - 1, 102 - 1) = "1" ), 3, 4 ) ) )</f>
        <v>1</v>
      </c>
    </row>
    <row r="2" spans="2:103" ht="13.8" x14ac:dyDescent="0.3">
      <c r="CQ2" s="24">
        <v>0.10877708079196234</v>
      </c>
      <c r="CR2" s="24" t="str">
        <f>"0"</f>
        <v>0</v>
      </c>
      <c r="CS2" t="str">
        <f ca="1">IF((OFFSET($A$1, 2 - 1, 95 - 1)) &gt;= (OFFSET($A$1, 54 - 1, 7 - 1)), "1","0")</f>
        <v>0</v>
      </c>
      <c r="CT2">
        <f ca="1" xml:space="preserve"> IF( AND( OFFSET($A$1, 2 - 1, 96 - 1) = "1", OFFSET($A$1, 2 - 1, 97 - 1) = "1" ), 1, IF( AND( OFFSET($A$1, 2 - 1, 96 - 1) = "1", OFFSET($A$1, 2 - 1, 97 - 1) = "0" ), 2, IF( AND( OFFSET($A$1, 2 - 1, 96 - 1) = "0", OFFSET($A$1, 2 - 1, 97 - 1) = "1" ), 3, 4 ) ) )</f>
        <v>4</v>
      </c>
      <c r="CV2" s="24">
        <v>0.59321503876526493</v>
      </c>
      <c r="CW2" s="24" t="str">
        <f t="shared" si="0"/>
        <v>1</v>
      </c>
      <c r="CX2" t="str">
        <f ca="1">IF((OFFSET($A$1, 2 - 1, 100 - 1)) &gt;= (OFFSET($A$1, 78 - 1, 7 - 1)), "1","0")</f>
        <v>1</v>
      </c>
      <c r="CY2">
        <f ca="1" xml:space="preserve"> IF( AND( OFFSET($A$1, 2 - 1, 101 - 1) = "1", OFFSET($A$1, 2 - 1, 102 - 1) = "1" ), 1, IF( AND( OFFSET($A$1, 2 - 1, 101 - 1) = "1", OFFSET($A$1, 2 - 1, 102 - 1) = "0" ), 2, IF( AND( OFFSET($A$1, 2 - 1, 101 - 1) = "0", OFFSET($A$1, 2 - 1, 102 - 1) = "1" ), 3, 4 ) ) )</f>
        <v>1</v>
      </c>
    </row>
    <row r="3" spans="2:103" ht="15.6" x14ac:dyDescent="0.3">
      <c r="B3" s="59" t="s">
        <v>136</v>
      </c>
      <c r="C3" s="60"/>
      <c r="D3" s="60"/>
      <c r="E3" s="60"/>
      <c r="F3" s="60"/>
      <c r="G3" s="60"/>
      <c r="H3" s="60"/>
      <c r="I3" s="60"/>
      <c r="J3" s="60"/>
      <c r="K3" s="60"/>
      <c r="L3" s="60"/>
      <c r="M3" s="61"/>
      <c r="P3" s="59" t="s">
        <v>137</v>
      </c>
      <c r="Q3" s="60"/>
      <c r="R3" s="60"/>
      <c r="S3" s="61"/>
      <c r="CQ3" s="24">
        <v>0.973907573627812</v>
      </c>
      <c r="CR3" s="24" t="str">
        <f>"1"</f>
        <v>1</v>
      </c>
      <c r="CS3" t="str">
        <f ca="1">IF((OFFSET($A$1, 3 - 1, 95 - 1)) &gt;= (OFFSET($A$1, 54 - 1, 7 - 1)), "1","0")</f>
        <v>1</v>
      </c>
      <c r="CT3">
        <f ca="1" xml:space="preserve"> IF( AND( OFFSET($A$1, 3 - 1, 96 - 1) = "1", OFFSET($A$1, 3 - 1, 97 - 1) = "1" ), 1, IF( AND( OFFSET($A$1, 3 - 1, 96 - 1) = "1", OFFSET($A$1, 3 - 1, 97 - 1) = "0" ), 2, IF( AND( OFFSET($A$1, 3 - 1, 96 - 1) = "0", OFFSET($A$1, 3 - 1, 97 - 1) = "1" ), 3, 4 ) ) )</f>
        <v>1</v>
      </c>
      <c r="CV3" s="24">
        <v>0.95215815005670812</v>
      </c>
      <c r="CW3" s="24" t="str">
        <f t="shared" si="0"/>
        <v>1</v>
      </c>
      <c r="CX3" t="str">
        <f ca="1">IF((OFFSET($A$1, 3 - 1, 100 - 1)) &gt;= (OFFSET($A$1, 78 - 1, 7 - 1)), "1","0")</f>
        <v>1</v>
      </c>
      <c r="CY3">
        <f ca="1" xml:space="preserve"> IF( AND( OFFSET($A$1, 3 - 1, 101 - 1) = "1", OFFSET($A$1, 3 - 1, 102 - 1) = "1" ), 1, IF( AND( OFFSET($A$1, 3 - 1, 101 - 1) = "1", OFFSET($A$1, 3 - 1, 102 - 1) = "0" ), 2, IF( AND( OFFSET($A$1, 3 - 1, 101 - 1) = "0", OFFSET($A$1, 3 - 1, 102 - 1) = "1" ), 3, 4 ) ) )</f>
        <v>1</v>
      </c>
    </row>
    <row r="4" spans="2:103" ht="13.8" x14ac:dyDescent="0.3">
      <c r="B4" s="65" t="s">
        <v>141</v>
      </c>
      <c r="C4" s="66"/>
      <c r="D4" s="65" t="s">
        <v>683</v>
      </c>
      <c r="E4" s="66"/>
      <c r="F4" s="65" t="s">
        <v>684</v>
      </c>
      <c r="G4" s="66"/>
      <c r="H4" s="65" t="s">
        <v>685</v>
      </c>
      <c r="I4" s="66"/>
      <c r="J4" s="65" t="s">
        <v>686</v>
      </c>
      <c r="K4" s="66"/>
      <c r="L4" s="65" t="s">
        <v>687</v>
      </c>
      <c r="M4" s="66"/>
      <c r="P4" s="26" t="s">
        <v>182</v>
      </c>
      <c r="Q4" s="26" t="s">
        <v>183</v>
      </c>
      <c r="R4" s="26" t="s">
        <v>139</v>
      </c>
      <c r="S4" s="26" t="s">
        <v>140</v>
      </c>
      <c r="CQ4" s="24">
        <v>6.4577967563259689E-2</v>
      </c>
      <c r="CR4" s="24" t="str">
        <f>"0"</f>
        <v>0</v>
      </c>
      <c r="CS4" t="str">
        <f ca="1">IF((OFFSET($A$1, 4 - 1, 95 - 1)) &gt;= (OFFSET($A$1, 54 - 1, 7 - 1)), "1","0")</f>
        <v>0</v>
      </c>
      <c r="CT4">
        <f ca="1" xml:space="preserve"> IF( AND( OFFSET($A$1, 4 - 1, 96 - 1) = "1", OFFSET($A$1, 4 - 1, 97 - 1) = "1" ), 1, IF( AND( OFFSET($A$1, 4 - 1, 96 - 1) = "1", OFFSET($A$1, 4 - 1, 97 - 1) = "0" ), 2, IF( AND( OFFSET($A$1, 4 - 1, 96 - 1) = "0", OFFSET($A$1, 4 - 1, 97 - 1) = "1" ), 3, 4 ) ) )</f>
        <v>4</v>
      </c>
      <c r="CV4" s="24">
        <v>0.97717321390086409</v>
      </c>
      <c r="CW4" s="24" t="str">
        <f t="shared" si="0"/>
        <v>1</v>
      </c>
      <c r="CX4" t="str">
        <f ca="1">IF((OFFSET($A$1, 4 - 1, 100 - 1)) &gt;= (OFFSET($A$1, 78 - 1, 7 - 1)), "1","0")</f>
        <v>1</v>
      </c>
      <c r="CY4">
        <f ca="1" xml:space="preserve"> IF( AND( OFFSET($A$1, 4 - 1, 101 - 1) = "1", OFFSET($A$1, 4 - 1, 102 - 1) = "1" ), 1, IF( AND( OFFSET($A$1, 4 - 1, 101 - 1) = "1", OFFSET($A$1, 4 - 1, 102 - 1) = "0" ), 2, IF( AND( OFFSET($A$1, 4 - 1, 101 - 1) = "0", OFFSET($A$1, 4 - 1, 102 - 1) = "1" ), 3, 4 ) ) )</f>
        <v>1</v>
      </c>
    </row>
    <row r="5" spans="2:103" ht="13.8" x14ac:dyDescent="0.3">
      <c r="P5" s="24">
        <v>62</v>
      </c>
      <c r="Q5" s="24">
        <v>319</v>
      </c>
      <c r="R5" s="24">
        <v>125</v>
      </c>
      <c r="S5" s="24">
        <v>506</v>
      </c>
      <c r="CQ5" s="24">
        <v>1.6390045549916687E-2</v>
      </c>
      <c r="CR5" s="24" t="str">
        <f>"0"</f>
        <v>0</v>
      </c>
      <c r="CS5" t="str">
        <f ca="1">IF((OFFSET($A$1, 5 - 1, 95 - 1)) &gt;= (OFFSET($A$1, 54 - 1, 7 - 1)), "1","0")</f>
        <v>0</v>
      </c>
      <c r="CT5">
        <f ca="1" xml:space="preserve"> IF( AND( OFFSET($A$1, 5 - 1, 96 - 1) = "1", OFFSET($A$1, 5 - 1, 97 - 1) = "1" ), 1, IF( AND( OFFSET($A$1, 5 - 1, 96 - 1) = "1", OFFSET($A$1, 5 - 1, 97 - 1) = "0" ), 2, IF( AND( OFFSET($A$1, 5 - 1, 96 - 1) = "0", OFFSET($A$1, 5 - 1, 97 - 1) = "1" ), 3, 4 ) ) )</f>
        <v>4</v>
      </c>
      <c r="CV5" s="24">
        <v>0.95397345621599516</v>
      </c>
      <c r="CW5" s="24" t="str">
        <f t="shared" si="0"/>
        <v>1</v>
      </c>
      <c r="CX5" t="str">
        <f ca="1">IF((OFFSET($A$1, 5 - 1, 100 - 1)) &gt;= (OFFSET($A$1, 78 - 1, 7 - 1)), "1","0")</f>
        <v>1</v>
      </c>
      <c r="CY5">
        <f ca="1" xml:space="preserve"> IF( AND( OFFSET($A$1, 5 - 1, 101 - 1) = "1", OFFSET($A$1, 5 - 1, 102 - 1) = "1" ), 1, IF( AND( OFFSET($A$1, 5 - 1, 101 - 1) = "1", OFFSET($A$1, 5 - 1, 102 - 1) = "0" ), 2, IF( AND( OFFSET($A$1, 5 - 1, 101 - 1) = "0", OFFSET($A$1, 5 - 1, 102 - 1) = "1" ), 3, 4 ) ) )</f>
        <v>1</v>
      </c>
    </row>
    <row r="6" spans="2:103" ht="13.8" x14ac:dyDescent="0.3">
      <c r="CQ6" s="24">
        <v>0.625080861979323</v>
      </c>
      <c r="CR6" s="24" t="str">
        <f>"1"</f>
        <v>1</v>
      </c>
      <c r="CS6" t="str">
        <f ca="1">IF((OFFSET($A$1, 6 - 1, 95 - 1)) &gt;= (OFFSET($A$1, 54 - 1, 7 - 1)), "1","0")</f>
        <v>1</v>
      </c>
      <c r="CT6">
        <f ca="1" xml:space="preserve"> IF( AND( OFFSET($A$1, 6 - 1, 96 - 1) = "1", OFFSET($A$1, 6 - 1, 97 - 1) = "1" ), 1, IF( AND( OFFSET($A$1, 6 - 1, 96 - 1) = "1", OFFSET($A$1, 6 - 1, 97 - 1) = "0" ), 2, IF( AND( OFFSET($A$1, 6 - 1, 96 - 1) = "0", OFFSET($A$1, 6 - 1, 97 - 1) = "1" ), 3, 4 ) ) )</f>
        <v>1</v>
      </c>
      <c r="CV6" s="24">
        <v>0.99002479955386502</v>
      </c>
      <c r="CW6" s="24" t="str">
        <f t="shared" si="0"/>
        <v>1</v>
      </c>
      <c r="CX6" t="str">
        <f ca="1">IF((OFFSET($A$1, 6 - 1, 100 - 1)) &gt;= (OFFSET($A$1, 78 - 1, 7 - 1)), "1","0")</f>
        <v>1</v>
      </c>
      <c r="CY6">
        <f ca="1" xml:space="preserve"> IF( AND( OFFSET($A$1, 6 - 1, 101 - 1) = "1", OFFSET($A$1, 6 - 1, 102 - 1) = "1" ), 1, IF( AND( OFFSET($A$1, 6 - 1, 101 - 1) = "1", OFFSET($A$1, 6 - 1, 102 - 1) = "0" ), 2, IF( AND( OFFSET($A$1, 6 - 1, 101 - 1) = "0", OFFSET($A$1, 6 - 1, 102 - 1) = "1" ), 3, 4 ) ) )</f>
        <v>1</v>
      </c>
    </row>
    <row r="7" spans="2:103" ht="13.8" x14ac:dyDescent="0.3">
      <c r="CQ7" s="24">
        <v>5.3573051783992173E-2</v>
      </c>
      <c r="CR7" s="24" t="str">
        <f>"0"</f>
        <v>0</v>
      </c>
      <c r="CS7" t="str">
        <f ca="1">IF((OFFSET($A$1, 7 - 1, 95 - 1)) &gt;= (OFFSET($A$1, 54 - 1, 7 - 1)), "1","0")</f>
        <v>0</v>
      </c>
      <c r="CT7">
        <f ca="1" xml:space="preserve"> IF( AND( OFFSET($A$1, 7 - 1, 96 - 1) = "1", OFFSET($A$1, 7 - 1, 97 - 1) = "1" ), 1, IF( AND( OFFSET($A$1, 7 - 1, 96 - 1) = "1", OFFSET($A$1, 7 - 1, 97 - 1) = "0" ), 2, IF( AND( OFFSET($A$1, 7 - 1, 96 - 1) = "0", OFFSET($A$1, 7 - 1, 97 - 1) = "1" ), 3, 4 ) ) )</f>
        <v>4</v>
      </c>
      <c r="CV7" s="24">
        <v>0.97160788144731547</v>
      </c>
      <c r="CW7" s="24" t="str">
        <f t="shared" si="0"/>
        <v>1</v>
      </c>
      <c r="CX7" t="str">
        <f ca="1">IF((OFFSET($A$1, 7 - 1, 100 - 1)) &gt;= (OFFSET($A$1, 78 - 1, 7 - 1)), "1","0")</f>
        <v>1</v>
      </c>
      <c r="CY7">
        <f ca="1" xml:space="preserve"> IF( AND( OFFSET($A$1, 7 - 1, 101 - 1) = "1", OFFSET($A$1, 7 - 1, 102 - 1) = "1" ), 1, IF( AND( OFFSET($A$1, 7 - 1, 101 - 1) = "1", OFFSET($A$1, 7 - 1, 102 - 1) = "0" ), 2, IF( AND( OFFSET($A$1, 7 - 1, 101 - 1) = "0", OFFSET($A$1, 7 - 1, 102 - 1) = "1" ), 3, 4 ) ) )</f>
        <v>1</v>
      </c>
    </row>
    <row r="8" spans="2:103" ht="13.8" x14ac:dyDescent="0.3">
      <c r="CQ8" s="24">
        <v>0.96962510325485496</v>
      </c>
      <c r="CR8" s="24" t="str">
        <f t="shared" ref="CR8:CR24" si="1">"1"</f>
        <v>1</v>
      </c>
      <c r="CS8" t="str">
        <f ca="1">IF((OFFSET($A$1, 8 - 1, 95 - 1)) &gt;= (OFFSET($A$1, 54 - 1, 7 - 1)), "1","0")</f>
        <v>1</v>
      </c>
      <c r="CT8">
        <f ca="1" xml:space="preserve"> IF( AND( OFFSET($A$1, 8 - 1, 96 - 1) = "1", OFFSET($A$1, 8 - 1, 97 - 1) = "1" ), 1, IF( AND( OFFSET($A$1, 8 - 1, 96 - 1) = "1", OFFSET($A$1, 8 - 1, 97 - 1) = "0" ), 2, IF( AND( OFFSET($A$1, 8 - 1, 96 - 1) = "0", OFFSET($A$1, 8 - 1, 97 - 1) = "1" ), 3, 4 ) ) )</f>
        <v>1</v>
      </c>
      <c r="CV8" s="24">
        <v>0.98840838574875722</v>
      </c>
      <c r="CW8" s="24" t="str">
        <f t="shared" si="0"/>
        <v>1</v>
      </c>
      <c r="CX8" t="str">
        <f ca="1">IF((OFFSET($A$1, 8 - 1, 100 - 1)) &gt;= (OFFSET($A$1, 78 - 1, 7 - 1)), "1","0")</f>
        <v>1</v>
      </c>
      <c r="CY8">
        <f ca="1" xml:space="preserve"> IF( AND( OFFSET($A$1, 8 - 1, 101 - 1) = "1", OFFSET($A$1, 8 - 1, 102 - 1) = "1" ), 1, IF( AND( OFFSET($A$1, 8 - 1, 101 - 1) = "1", OFFSET($A$1, 8 - 1, 102 - 1) = "0" ), 2, IF( AND( OFFSET($A$1, 8 - 1, 101 - 1) = "0", OFFSET($A$1, 8 - 1, 102 - 1) = "1" ), 3, 4 ) ) )</f>
        <v>1</v>
      </c>
    </row>
    <row r="9" spans="2:103" ht="13.8" x14ac:dyDescent="0.3">
      <c r="CQ9" s="24">
        <v>0.96196648319777656</v>
      </c>
      <c r="CR9" s="24" t="str">
        <f t="shared" si="1"/>
        <v>1</v>
      </c>
      <c r="CS9" t="str">
        <f ca="1">IF((OFFSET($A$1, 9 - 1, 95 - 1)) &gt;= (OFFSET($A$1, 54 - 1, 7 - 1)), "1","0")</f>
        <v>1</v>
      </c>
      <c r="CT9">
        <f ca="1" xml:space="preserve"> IF( AND( OFFSET($A$1, 9 - 1, 96 - 1) = "1", OFFSET($A$1, 9 - 1, 97 - 1) = "1" ), 1, IF( AND( OFFSET($A$1, 9 - 1, 96 - 1) = "1", OFFSET($A$1, 9 - 1, 97 - 1) = "0" ), 2, IF( AND( OFFSET($A$1, 9 - 1, 96 - 1) = "0", OFFSET($A$1, 9 - 1, 97 - 1) = "1" ), 3, 4 ) ) )</f>
        <v>1</v>
      </c>
      <c r="CV9" s="24">
        <v>0.62111086724657361</v>
      </c>
      <c r="CW9" s="24" t="str">
        <f t="shared" si="0"/>
        <v>1</v>
      </c>
      <c r="CX9" t="str">
        <f ca="1">IF((OFFSET($A$1, 9 - 1, 100 - 1)) &gt;= (OFFSET($A$1, 78 - 1, 7 - 1)), "1","0")</f>
        <v>1</v>
      </c>
      <c r="CY9">
        <f ca="1" xml:space="preserve"> IF( AND( OFFSET($A$1, 9 - 1, 101 - 1) = "1", OFFSET($A$1, 9 - 1, 102 - 1) = "1" ), 1, IF( AND( OFFSET($A$1, 9 - 1, 101 - 1) = "1", OFFSET($A$1, 9 - 1, 102 - 1) = "0" ), 2, IF( AND( OFFSET($A$1, 9 - 1, 101 - 1) = "0", OFFSET($A$1, 9 - 1, 102 - 1) = "1" ), 3, 4 ) ) )</f>
        <v>1</v>
      </c>
    </row>
    <row r="10" spans="2:103" ht="18" x14ac:dyDescent="0.35">
      <c r="B10" s="22" t="s">
        <v>141</v>
      </c>
      <c r="CQ10" s="24">
        <v>0.99970859366622788</v>
      </c>
      <c r="CR10" s="24" t="str">
        <f t="shared" si="1"/>
        <v>1</v>
      </c>
      <c r="CS10" t="str">
        <f ca="1">IF((OFFSET($A$1, 10 - 1, 95 - 1)) &gt;= (OFFSET($A$1, 54 - 1, 7 - 1)), "1","0")</f>
        <v>1</v>
      </c>
      <c r="CT10">
        <f ca="1" xml:space="preserve"> IF( AND( OFFSET($A$1, 10 - 1, 96 - 1) = "1", OFFSET($A$1, 10 - 1, 97 - 1) = "1" ), 1, IF( AND( OFFSET($A$1, 10 - 1, 96 - 1) = "1", OFFSET($A$1, 10 - 1, 97 - 1) = "0" ), 2, IF( AND( OFFSET($A$1, 10 - 1, 96 - 1) = "0", OFFSET($A$1, 10 - 1, 97 - 1) = "1" ), 3, 4 ) ) )</f>
        <v>1</v>
      </c>
      <c r="CV10" s="24">
        <v>0.99694404204583742</v>
      </c>
      <c r="CW10" s="24" t="str">
        <f t="shared" si="0"/>
        <v>1</v>
      </c>
      <c r="CX10" t="str">
        <f ca="1">IF((OFFSET($A$1, 10 - 1, 100 - 1)) &gt;= (OFFSET($A$1, 78 - 1, 7 - 1)), "1","0")</f>
        <v>1</v>
      </c>
      <c r="CY10">
        <f ca="1" xml:space="preserve"> IF( AND( OFFSET($A$1, 10 - 1, 101 - 1) = "1", OFFSET($A$1, 10 - 1, 102 - 1) = "1" ), 1, IF( AND( OFFSET($A$1, 10 - 1, 101 - 1) = "1", OFFSET($A$1, 10 - 1, 102 - 1) = "0" ), 2, IF( AND( OFFSET($A$1, 10 - 1, 101 - 1) = "0", OFFSET($A$1, 10 - 1, 102 - 1) = "1" ), 3, 4 ) ) )</f>
        <v>1</v>
      </c>
    </row>
    <row r="11" spans="2:103" ht="13.8" x14ac:dyDescent="0.3">
      <c r="CQ11" s="24">
        <v>0.98972658838541627</v>
      </c>
      <c r="CR11" s="24" t="str">
        <f t="shared" si="1"/>
        <v>1</v>
      </c>
      <c r="CS11" t="str">
        <f ca="1">IF((OFFSET($A$1, 11 - 1, 95 - 1)) &gt;= (OFFSET($A$1, 54 - 1, 7 - 1)), "1","0")</f>
        <v>1</v>
      </c>
      <c r="CT11">
        <f ca="1" xml:space="preserve"> IF( AND( OFFSET($A$1, 11 - 1, 96 - 1) = "1", OFFSET($A$1, 11 - 1, 97 - 1) = "1" ), 1, IF( AND( OFFSET($A$1, 11 - 1, 96 - 1) = "1", OFFSET($A$1, 11 - 1, 97 - 1) = "0" ), 2, IF( AND( OFFSET($A$1, 11 - 1, 96 - 1) = "0", OFFSET($A$1, 11 - 1, 97 - 1) = "1" ), 3, 4 ) ) )</f>
        <v>1</v>
      </c>
      <c r="CV11" s="24">
        <v>0.26545735282373073</v>
      </c>
      <c r="CW11" s="24" t="str">
        <f>"0"</f>
        <v>0</v>
      </c>
      <c r="CX11" t="str">
        <f ca="1">IF((OFFSET($A$1, 11 - 1, 100 - 1)) &gt;= (OFFSET($A$1, 78 - 1, 7 - 1)), "1","0")</f>
        <v>0</v>
      </c>
      <c r="CY11">
        <f ca="1" xml:space="preserve"> IF( AND( OFFSET($A$1, 11 - 1, 101 - 1) = "1", OFFSET($A$1, 11 - 1, 102 - 1) = "1" ), 1, IF( AND( OFFSET($A$1, 11 - 1, 101 - 1) = "1", OFFSET($A$1, 11 - 1, 102 - 1) = "0" ), 2, IF( AND( OFFSET($A$1, 11 - 1, 101 - 1) = "0", OFFSET($A$1, 11 - 1, 102 - 1) = "1" ), 3, 4 ) ) )</f>
        <v>4</v>
      </c>
    </row>
    <row r="12" spans="2:103" ht="15.6" x14ac:dyDescent="0.3">
      <c r="C12" s="59" t="s">
        <v>142</v>
      </c>
      <c r="D12" s="60"/>
      <c r="E12" s="60"/>
      <c r="F12" s="60"/>
      <c r="G12" s="60"/>
      <c r="H12" s="60"/>
      <c r="I12" s="60"/>
      <c r="J12" s="60"/>
      <c r="K12" s="61"/>
      <c r="CQ12" s="24">
        <v>0.99794613695693157</v>
      </c>
      <c r="CR12" s="24" t="str">
        <f t="shared" si="1"/>
        <v>1</v>
      </c>
      <c r="CS12" t="str">
        <f ca="1">IF((OFFSET($A$1, 12 - 1, 95 - 1)) &gt;= (OFFSET($A$1, 54 - 1, 7 - 1)), "1","0")</f>
        <v>1</v>
      </c>
      <c r="CT12">
        <f ca="1" xml:space="preserve"> IF( AND( OFFSET($A$1, 12 - 1, 96 - 1) = "1", OFFSET($A$1, 12 - 1, 97 - 1) = "1" ), 1, IF( AND( OFFSET($A$1, 12 - 1, 96 - 1) = "1", OFFSET($A$1, 12 - 1, 97 - 1) = "0" ), 2, IF( AND( OFFSET($A$1, 12 - 1, 96 - 1) = "0", OFFSET($A$1, 12 - 1, 97 - 1) = "1" ), 3, 4 ) ) )</f>
        <v>1</v>
      </c>
      <c r="CV12" s="24">
        <v>0.99977098316086166</v>
      </c>
      <c r="CW12" s="24" t="str">
        <f>"1"</f>
        <v>1</v>
      </c>
      <c r="CX12" t="str">
        <f ca="1">IF((OFFSET($A$1, 12 - 1, 100 - 1)) &gt;= (OFFSET($A$1, 78 - 1, 7 - 1)), "1","0")</f>
        <v>1</v>
      </c>
      <c r="CY12">
        <f ca="1" xml:space="preserve"> IF( AND( OFFSET($A$1, 12 - 1, 101 - 1) = "1", OFFSET($A$1, 12 - 1, 102 - 1) = "1" ), 1, IF( AND( OFFSET($A$1, 12 - 1, 101 - 1) = "1", OFFSET($A$1, 12 - 1, 102 - 1) = "0" ), 2, IF( AND( OFFSET($A$1, 12 - 1, 101 - 1) = "0", OFFSET($A$1, 12 - 1, 102 - 1) = "1" ), 3, 4 ) ) )</f>
        <v>1</v>
      </c>
    </row>
    <row r="13" spans="2:103" ht="13.8" x14ac:dyDescent="0.3">
      <c r="C13" s="62" t="s">
        <v>143</v>
      </c>
      <c r="D13" s="63"/>
      <c r="E13" s="63"/>
      <c r="F13" s="64"/>
      <c r="G13" s="69" t="s">
        <v>144</v>
      </c>
      <c r="H13" s="70"/>
      <c r="I13" s="70"/>
      <c r="J13" s="70"/>
      <c r="K13" s="71"/>
      <c r="CQ13" s="24">
        <v>0.99885270693251205</v>
      </c>
      <c r="CR13" s="24" t="str">
        <f t="shared" si="1"/>
        <v>1</v>
      </c>
      <c r="CS13" t="str">
        <f ca="1">IF((OFFSET($A$1, 13 - 1, 95 - 1)) &gt;= (OFFSET($A$1, 54 - 1, 7 - 1)), "1","0")</f>
        <v>1</v>
      </c>
      <c r="CT13">
        <f ca="1" xml:space="preserve"> IF( AND( OFFSET($A$1, 13 - 1, 96 - 1) = "1", OFFSET($A$1, 13 - 1, 97 - 1) = "1" ), 1, IF( AND( OFFSET($A$1, 13 - 1, 96 - 1) = "1", OFFSET($A$1, 13 - 1, 97 - 1) = "0" ), 2, IF( AND( OFFSET($A$1, 13 - 1, 96 - 1) = "0", OFFSET($A$1, 13 - 1, 97 - 1) = "1" ), 3, 4 ) ) )</f>
        <v>1</v>
      </c>
      <c r="CV13" s="24">
        <v>0.93883196553453285</v>
      </c>
      <c r="CW13" s="24" t="str">
        <f>"1"</f>
        <v>1</v>
      </c>
      <c r="CX13" t="str">
        <f ca="1">IF((OFFSET($A$1, 13 - 1, 100 - 1)) &gt;= (OFFSET($A$1, 78 - 1, 7 - 1)), "1","0")</f>
        <v>1</v>
      </c>
      <c r="CY13">
        <f ca="1" xml:space="preserve"> IF( AND( OFFSET($A$1, 13 - 1, 101 - 1) = "1", OFFSET($A$1, 13 - 1, 102 - 1) = "1" ), 1, IF( AND( OFFSET($A$1, 13 - 1, 101 - 1) = "1", OFFSET($A$1, 13 - 1, 102 - 1) = "0" ), 2, IF( AND( OFFSET($A$1, 13 - 1, 101 - 1) = "0", OFFSET($A$1, 13 - 1, 102 - 1) = "1" ), 3, 4 ) ) )</f>
        <v>1</v>
      </c>
    </row>
    <row r="14" spans="2:103" ht="13.8" x14ac:dyDescent="0.3">
      <c r="C14" s="62" t="s">
        <v>145</v>
      </c>
      <c r="D14" s="63"/>
      <c r="E14" s="63"/>
      <c r="F14" s="64"/>
      <c r="G14" s="69" t="s">
        <v>184</v>
      </c>
      <c r="H14" s="70"/>
      <c r="I14" s="70"/>
      <c r="J14" s="70"/>
      <c r="K14" s="71"/>
      <c r="CQ14" s="24">
        <v>0.99984228516939999</v>
      </c>
      <c r="CR14" s="24" t="str">
        <f t="shared" si="1"/>
        <v>1</v>
      </c>
      <c r="CS14" t="str">
        <f ca="1">IF((OFFSET($A$1, 14 - 1, 95 - 1)) &gt;= (OFFSET($A$1, 54 - 1, 7 - 1)), "1","0")</f>
        <v>1</v>
      </c>
      <c r="CT14">
        <f ca="1" xml:space="preserve"> IF( AND( OFFSET($A$1, 14 - 1, 96 - 1) = "1", OFFSET($A$1, 14 - 1, 97 - 1) = "1" ), 1, IF( AND( OFFSET($A$1, 14 - 1, 96 - 1) = "1", OFFSET($A$1, 14 - 1, 97 - 1) = "0" ), 2, IF( AND( OFFSET($A$1, 14 - 1, 96 - 1) = "0", OFFSET($A$1, 14 - 1, 97 - 1) = "1" ), 3, 4 ) ) )</f>
        <v>1</v>
      </c>
      <c r="CV14" s="24">
        <v>0.87451500166202301</v>
      </c>
      <c r="CW14" s="24" t="str">
        <f>"0"</f>
        <v>0</v>
      </c>
      <c r="CX14" t="str">
        <f ca="1">IF((OFFSET($A$1, 14 - 1, 100 - 1)) &gt;= (OFFSET($A$1, 78 - 1, 7 - 1)), "1","0")</f>
        <v>1</v>
      </c>
      <c r="CY14">
        <f ca="1" xml:space="preserve"> IF( AND( OFFSET($A$1, 14 - 1, 101 - 1) = "1", OFFSET($A$1, 14 - 1, 102 - 1) = "1" ), 1, IF( AND( OFFSET($A$1, 14 - 1, 101 - 1) = "1", OFFSET($A$1, 14 - 1, 102 - 1) = "0" ), 2, IF( AND( OFFSET($A$1, 14 - 1, 101 - 1) = "0", OFFSET($A$1, 14 - 1, 102 - 1) = "1" ), 3, 4 ) ) )</f>
        <v>3</v>
      </c>
    </row>
    <row r="15" spans="2:103" ht="13.8" x14ac:dyDescent="0.3">
      <c r="C15" s="62" t="s">
        <v>185</v>
      </c>
      <c r="D15" s="63"/>
      <c r="E15" s="63"/>
      <c r="F15" s="64"/>
      <c r="G15" s="69">
        <v>600</v>
      </c>
      <c r="H15" s="70"/>
      <c r="I15" s="70"/>
      <c r="J15" s="70"/>
      <c r="K15" s="71"/>
      <c r="CQ15" s="24">
        <v>0.85842546547770449</v>
      </c>
      <c r="CR15" s="24" t="str">
        <f t="shared" si="1"/>
        <v>1</v>
      </c>
      <c r="CS15" t="str">
        <f ca="1">IF((OFFSET($A$1, 15 - 1, 95 - 1)) &gt;= (OFFSET($A$1, 54 - 1, 7 - 1)), "1","0")</f>
        <v>1</v>
      </c>
      <c r="CT15">
        <f ca="1" xml:space="preserve"> IF( AND( OFFSET($A$1, 15 - 1, 96 - 1) = "1", OFFSET($A$1, 15 - 1, 97 - 1) = "1" ), 1, IF( AND( OFFSET($A$1, 15 - 1, 96 - 1) = "1", OFFSET($A$1, 15 - 1, 97 - 1) = "0" ), 2, IF( AND( OFFSET($A$1, 15 - 1, 96 - 1) = "0", OFFSET($A$1, 15 - 1, 97 - 1) = "1" ), 3, 4 ) ) )</f>
        <v>1</v>
      </c>
      <c r="CV15" s="24">
        <v>0.94486123515265164</v>
      </c>
      <c r="CW15" s="24" t="str">
        <f>"1"</f>
        <v>1</v>
      </c>
      <c r="CX15" t="str">
        <f ca="1">IF((OFFSET($A$1, 15 - 1, 100 - 1)) &gt;= (OFFSET($A$1, 78 - 1, 7 - 1)), "1","0")</f>
        <v>1</v>
      </c>
      <c r="CY15">
        <f ca="1" xml:space="preserve"> IF( AND( OFFSET($A$1, 15 - 1, 101 - 1) = "1", OFFSET($A$1, 15 - 1, 102 - 1) = "1" ), 1, IF( AND( OFFSET($A$1, 15 - 1, 101 - 1) = "1", OFFSET($A$1, 15 - 1, 102 - 1) = "0" ), 2, IF( AND( OFFSET($A$1, 15 - 1, 101 - 1) = "0", OFFSET($A$1, 15 - 1, 102 - 1) = "1" ), 3, 4 ) ) )</f>
        <v>1</v>
      </c>
    </row>
    <row r="16" spans="2:103" ht="13.8" x14ac:dyDescent="0.3">
      <c r="C16" s="62" t="s">
        <v>186</v>
      </c>
      <c r="D16" s="63"/>
      <c r="E16" s="63"/>
      <c r="F16" s="64"/>
      <c r="G16" s="69">
        <v>400</v>
      </c>
      <c r="H16" s="70"/>
      <c r="I16" s="70"/>
      <c r="J16" s="70"/>
      <c r="K16" s="71"/>
      <c r="CQ16" s="24">
        <v>0.98876974874825785</v>
      </c>
      <c r="CR16" s="24" t="str">
        <f t="shared" si="1"/>
        <v>1</v>
      </c>
      <c r="CS16" t="str">
        <f ca="1">IF((OFFSET($A$1, 16 - 1, 95 - 1)) &gt;= (OFFSET($A$1, 54 - 1, 7 - 1)), "1","0")</f>
        <v>1</v>
      </c>
      <c r="CT16">
        <f ca="1" xml:space="preserve"> IF( AND( OFFSET($A$1, 16 - 1, 96 - 1) = "1", OFFSET($A$1, 16 - 1, 97 - 1) = "1" ), 1, IF( AND( OFFSET($A$1, 16 - 1, 96 - 1) = "1", OFFSET($A$1, 16 - 1, 97 - 1) = "0" ), 2, IF( AND( OFFSET($A$1, 16 - 1, 96 - 1) = "0", OFFSET($A$1, 16 - 1, 97 - 1) = "1" ), 3, 4 ) ) )</f>
        <v>1</v>
      </c>
      <c r="CV16" s="24">
        <v>0.99951522088120759</v>
      </c>
      <c r="CW16" s="24" t="str">
        <f>"1"</f>
        <v>1</v>
      </c>
      <c r="CX16" t="str">
        <f ca="1">IF((OFFSET($A$1, 16 - 1, 100 - 1)) &gt;= (OFFSET($A$1, 78 - 1, 7 - 1)), "1","0")</f>
        <v>1</v>
      </c>
      <c r="CY16">
        <f ca="1" xml:space="preserve"> IF( AND( OFFSET($A$1, 16 - 1, 101 - 1) = "1", OFFSET($A$1, 16 - 1, 102 - 1) = "1" ), 1, IF( AND( OFFSET($A$1, 16 - 1, 101 - 1) = "1", OFFSET($A$1, 16 - 1, 102 - 1) = "0" ), 2, IF( AND( OFFSET($A$1, 16 - 1, 101 - 1) = "0", OFFSET($A$1, 16 - 1, 102 - 1) = "1" ), 3, 4 ) ) )</f>
        <v>1</v>
      </c>
    </row>
    <row r="17" spans="3:103" ht="13.8" x14ac:dyDescent="0.3">
      <c r="CQ17" s="24">
        <v>0.99765734361281311</v>
      </c>
      <c r="CR17" s="24" t="str">
        <f t="shared" si="1"/>
        <v>1</v>
      </c>
      <c r="CS17" t="str">
        <f ca="1">IF((OFFSET($A$1, 17 - 1, 95 - 1)) &gt;= (OFFSET($A$1, 54 - 1, 7 - 1)), "1","0")</f>
        <v>1</v>
      </c>
      <c r="CT17">
        <f ca="1" xml:space="preserve"> IF( AND( OFFSET($A$1, 17 - 1, 96 - 1) = "1", OFFSET($A$1, 17 - 1, 97 - 1) = "1" ), 1, IF( AND( OFFSET($A$1, 17 - 1, 96 - 1) = "1", OFFSET($A$1, 17 - 1, 97 - 1) = "0" ), 2, IF( AND( OFFSET($A$1, 17 - 1, 96 - 1) = "0", OFFSET($A$1, 17 - 1, 97 - 1) = "1" ), 3, 4 ) ) )</f>
        <v>1</v>
      </c>
      <c r="CV17" s="24">
        <v>0.83073907531379187</v>
      </c>
      <c r="CW17" s="24" t="str">
        <f>"1"</f>
        <v>1</v>
      </c>
      <c r="CX17" t="str">
        <f ca="1">IF((OFFSET($A$1, 17 - 1, 100 - 1)) &gt;= (OFFSET($A$1, 78 - 1, 7 - 1)), "1","0")</f>
        <v>1</v>
      </c>
      <c r="CY17">
        <f ca="1" xml:space="preserve"> IF( AND( OFFSET($A$1, 17 - 1, 101 - 1) = "1", OFFSET($A$1, 17 - 1, 102 - 1) = "1" ), 1, IF( AND( OFFSET($A$1, 17 - 1, 101 - 1) = "1", OFFSET($A$1, 17 - 1, 102 - 1) = "0" ), 2, IF( AND( OFFSET($A$1, 17 - 1, 101 - 1) = "0", OFFSET($A$1, 17 - 1, 102 - 1) = "1" ), 3, 4 ) ) )</f>
        <v>1</v>
      </c>
    </row>
    <row r="18" spans="3:103" ht="15.6" x14ac:dyDescent="0.3">
      <c r="C18" s="59" t="s">
        <v>187</v>
      </c>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1"/>
      <c r="CQ18" s="24">
        <v>0.86606278936368541</v>
      </c>
      <c r="CR18" s="24" t="str">
        <f t="shared" si="1"/>
        <v>1</v>
      </c>
      <c r="CS18" t="str">
        <f ca="1">IF((OFFSET($A$1, 18 - 1, 95 - 1)) &gt;= (OFFSET($A$1, 54 - 1, 7 - 1)), "1","0")</f>
        <v>1</v>
      </c>
      <c r="CT18">
        <f ca="1" xml:space="preserve"> IF( AND( OFFSET($A$1, 18 - 1, 96 - 1) = "1", OFFSET($A$1, 18 - 1, 97 - 1) = "1" ), 1, IF( AND( OFFSET($A$1, 18 - 1, 96 - 1) = "1", OFFSET($A$1, 18 - 1, 97 - 1) = "0" ), 2, IF( AND( OFFSET($A$1, 18 - 1, 96 - 1) = "0", OFFSET($A$1, 18 - 1, 97 - 1) = "1" ), 3, 4 ) ) )</f>
        <v>1</v>
      </c>
      <c r="CV18" s="24">
        <v>0.99934194955542877</v>
      </c>
      <c r="CW18" s="24" t="str">
        <f>"0"</f>
        <v>0</v>
      </c>
      <c r="CX18" t="str">
        <f ca="1">IF((OFFSET($A$1, 18 - 1, 100 - 1)) &gt;= (OFFSET($A$1, 78 - 1, 7 - 1)), "1","0")</f>
        <v>1</v>
      </c>
      <c r="CY18">
        <f ca="1" xml:space="preserve"> IF( AND( OFFSET($A$1, 18 - 1, 101 - 1) = "1", OFFSET($A$1, 18 - 1, 102 - 1) = "1" ), 1, IF( AND( OFFSET($A$1, 18 - 1, 101 - 1) = "1", OFFSET($A$1, 18 - 1, 102 - 1) = "0" ), 2, IF( AND( OFFSET($A$1, 18 - 1, 101 - 1) = "0", OFFSET($A$1, 18 - 1, 102 - 1) = "1" ), 3, 4 ) ) )</f>
        <v>3</v>
      </c>
    </row>
    <row r="19" spans="3:103" ht="13.8" x14ac:dyDescent="0.3">
      <c r="C19" s="62" t="s">
        <v>188</v>
      </c>
      <c r="D19" s="64"/>
      <c r="E19" s="69">
        <v>45</v>
      </c>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1"/>
      <c r="CQ19" s="24">
        <v>0.89083086236600462</v>
      </c>
      <c r="CR19" s="24" t="str">
        <f t="shared" si="1"/>
        <v>1</v>
      </c>
      <c r="CS19" t="str">
        <f ca="1">IF((OFFSET($A$1, 19 - 1, 95 - 1)) &gt;= (OFFSET($A$1, 54 - 1, 7 - 1)), "1","0")</f>
        <v>1</v>
      </c>
      <c r="CT19">
        <f ca="1" xml:space="preserve"> IF( AND( OFFSET($A$1, 19 - 1, 96 - 1) = "1", OFFSET($A$1, 19 - 1, 97 - 1) = "1" ), 1, IF( AND( OFFSET($A$1, 19 - 1, 96 - 1) = "1", OFFSET($A$1, 19 - 1, 97 - 1) = "0" ), 2, IF( AND( OFFSET($A$1, 19 - 1, 96 - 1) = "0", OFFSET($A$1, 19 - 1, 97 - 1) = "1" ), 3, 4 ) ) )</f>
        <v>1</v>
      </c>
      <c r="CV19" s="24">
        <v>0.75165909335897207</v>
      </c>
      <c r="CW19" s="24" t="str">
        <f t="shared" ref="CW19:CW24" si="2">"1"</f>
        <v>1</v>
      </c>
      <c r="CX19" t="str">
        <f ca="1">IF((OFFSET($A$1, 19 - 1, 100 - 1)) &gt;= (OFFSET($A$1, 78 - 1, 7 - 1)), "1","0")</f>
        <v>1</v>
      </c>
      <c r="CY19">
        <f ca="1" xml:space="preserve"> IF( AND( OFFSET($A$1, 19 - 1, 101 - 1) = "1", OFFSET($A$1, 19 - 1, 102 - 1) = "1" ), 1, IF( AND( OFFSET($A$1, 19 - 1, 101 - 1) = "1", OFFSET($A$1, 19 - 1, 102 - 1) = "0" ), 2, IF( AND( OFFSET($A$1, 19 - 1, 101 - 1) = "0", OFFSET($A$1, 19 - 1, 102 - 1) = "1" ), 3, 4 ) ) )</f>
        <v>1</v>
      </c>
    </row>
    <row r="20" spans="3:103" ht="13.8" x14ac:dyDescent="0.3">
      <c r="C20" s="62" t="s">
        <v>189</v>
      </c>
      <c r="D20" s="64"/>
      <c r="E20" s="24" t="s">
        <v>0</v>
      </c>
      <c r="F20" s="24" t="s">
        <v>68</v>
      </c>
      <c r="G20" s="24" t="s">
        <v>69</v>
      </c>
      <c r="H20" s="24" t="s">
        <v>70</v>
      </c>
      <c r="I20" s="24" t="s">
        <v>71</v>
      </c>
      <c r="J20" s="24" t="s">
        <v>81</v>
      </c>
      <c r="K20" s="24" t="s">
        <v>72</v>
      </c>
      <c r="L20" s="24" t="s">
        <v>2</v>
      </c>
      <c r="M20" s="24" t="s">
        <v>6</v>
      </c>
      <c r="N20" s="24" t="s">
        <v>74</v>
      </c>
      <c r="O20" s="24" t="s">
        <v>75</v>
      </c>
      <c r="P20" s="24" t="s">
        <v>76</v>
      </c>
      <c r="Q20" s="24" t="s">
        <v>73</v>
      </c>
      <c r="R20" s="24" t="s">
        <v>77</v>
      </c>
      <c r="S20" s="24" t="s">
        <v>78</v>
      </c>
      <c r="T20" s="24" t="s">
        <v>82</v>
      </c>
      <c r="U20" s="24" t="s">
        <v>8</v>
      </c>
      <c r="V20" s="24" t="s">
        <v>79</v>
      </c>
      <c r="W20" s="24" t="s">
        <v>80</v>
      </c>
      <c r="X20" s="24" t="s">
        <v>83</v>
      </c>
      <c r="Y20" s="24" t="s">
        <v>9</v>
      </c>
      <c r="Z20" s="24" t="s">
        <v>11</v>
      </c>
      <c r="AA20" s="24" t="s">
        <v>12</v>
      </c>
      <c r="AB20" s="24" t="s">
        <v>13</v>
      </c>
      <c r="AC20" s="24" t="s">
        <v>152</v>
      </c>
      <c r="AD20" s="24" t="s">
        <v>153</v>
      </c>
      <c r="AE20" s="24" t="s">
        <v>154</v>
      </c>
      <c r="AF20" s="24" t="s">
        <v>156</v>
      </c>
      <c r="AG20" s="24" t="s">
        <v>157</v>
      </c>
      <c r="AH20" s="24" t="s">
        <v>158</v>
      </c>
      <c r="AI20" s="24" t="s">
        <v>159</v>
      </c>
      <c r="AJ20" s="24" t="s">
        <v>161</v>
      </c>
      <c r="AK20" s="24" t="s">
        <v>162</v>
      </c>
      <c r="AL20" s="24" t="s">
        <v>163</v>
      </c>
      <c r="AM20" s="24" t="s">
        <v>164</v>
      </c>
      <c r="AN20" s="24" t="s">
        <v>166</v>
      </c>
      <c r="AO20" s="24" t="s">
        <v>167</v>
      </c>
      <c r="AP20" s="24" t="s">
        <v>168</v>
      </c>
      <c r="AQ20" s="24" t="s">
        <v>169</v>
      </c>
      <c r="AR20" s="24" t="s">
        <v>171</v>
      </c>
      <c r="AS20" s="24" t="s">
        <v>172</v>
      </c>
      <c r="AT20" s="24" t="s">
        <v>173</v>
      </c>
      <c r="AU20" s="24" t="s">
        <v>176</v>
      </c>
      <c r="AV20" s="24" t="s">
        <v>177</v>
      </c>
      <c r="AW20" s="24" t="s">
        <v>178</v>
      </c>
      <c r="CQ20" s="24">
        <v>0.96806978418363898</v>
      </c>
      <c r="CR20" s="24" t="str">
        <f t="shared" si="1"/>
        <v>1</v>
      </c>
      <c r="CS20" t="str">
        <f ca="1">IF((OFFSET($A$1, 20 - 1, 95 - 1)) &gt;= (OFFSET($A$1, 54 - 1, 7 - 1)), "1","0")</f>
        <v>1</v>
      </c>
      <c r="CT20">
        <f ca="1" xml:space="preserve"> IF( AND( OFFSET($A$1, 20 - 1, 96 - 1) = "1", OFFSET($A$1, 20 - 1, 97 - 1) = "1" ), 1, IF( AND( OFFSET($A$1, 20 - 1, 96 - 1) = "1", OFFSET($A$1, 20 - 1, 97 - 1) = "0" ), 2, IF( AND( OFFSET($A$1, 20 - 1, 96 - 1) = "0", OFFSET($A$1, 20 - 1, 97 - 1) = "1" ), 3, 4 ) ) )</f>
        <v>1</v>
      </c>
      <c r="CV20" s="24">
        <v>4.8440961300600903E-2</v>
      </c>
      <c r="CW20" s="24" t="str">
        <f t="shared" si="2"/>
        <v>1</v>
      </c>
      <c r="CX20" t="str">
        <f ca="1">IF((OFFSET($A$1, 20 - 1, 100 - 1)) &gt;= (OFFSET($A$1, 78 - 1, 7 - 1)), "1","0")</f>
        <v>0</v>
      </c>
      <c r="CY20">
        <f ca="1" xml:space="preserve"> IF( AND( OFFSET($A$1, 20 - 1, 101 - 1) = "1", OFFSET($A$1, 20 - 1, 102 - 1) = "1" ), 1, IF( AND( OFFSET($A$1, 20 - 1, 101 - 1) = "1", OFFSET($A$1, 20 - 1, 102 - 1) = "0" ), 2, IF( AND( OFFSET($A$1, 20 - 1, 101 - 1) = "0", OFFSET($A$1, 20 - 1, 102 - 1) = "1" ), 3, 4 ) ) )</f>
        <v>2</v>
      </c>
    </row>
    <row r="21" spans="3:103" ht="13.8" x14ac:dyDescent="0.3">
      <c r="C21" s="62" t="s">
        <v>190</v>
      </c>
      <c r="D21" s="64"/>
      <c r="E21" s="67" t="s">
        <v>14</v>
      </c>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6"/>
      <c r="CQ21" s="24">
        <v>0.8935784599781631</v>
      </c>
      <c r="CR21" s="24" t="str">
        <f t="shared" si="1"/>
        <v>1</v>
      </c>
      <c r="CS21" t="str">
        <f ca="1">IF((OFFSET($A$1, 21 - 1, 95 - 1)) &gt;= (OFFSET($A$1, 54 - 1, 7 - 1)), "1","0")</f>
        <v>1</v>
      </c>
      <c r="CT21">
        <f ca="1" xml:space="preserve"> IF( AND( OFFSET($A$1, 21 - 1, 96 - 1) = "1", OFFSET($A$1, 21 - 1, 97 - 1) = "1" ), 1, IF( AND( OFFSET($A$1, 21 - 1, 96 - 1) = "1", OFFSET($A$1, 21 - 1, 97 - 1) = "0" ), 2, IF( AND( OFFSET($A$1, 21 - 1, 96 - 1) = "0", OFFSET($A$1, 21 - 1, 97 - 1) = "1" ), 3, 4 ) ) )</f>
        <v>1</v>
      </c>
      <c r="CV21" s="24">
        <v>0.89900227784620967</v>
      </c>
      <c r="CW21" s="24" t="str">
        <f t="shared" si="2"/>
        <v>1</v>
      </c>
      <c r="CX21" t="str">
        <f ca="1">IF((OFFSET($A$1, 21 - 1, 100 - 1)) &gt;= (OFFSET($A$1, 78 - 1, 7 - 1)), "1","0")</f>
        <v>1</v>
      </c>
      <c r="CY21">
        <f ca="1" xml:space="preserve"> IF( AND( OFFSET($A$1, 21 - 1, 101 - 1) = "1", OFFSET($A$1, 21 - 1, 102 - 1) = "1" ), 1, IF( AND( OFFSET($A$1, 21 - 1, 101 - 1) = "1", OFFSET($A$1, 21 - 1, 102 - 1) = "0" ), 2, IF( AND( OFFSET($A$1, 21 - 1, 101 - 1) = "0", OFFSET($A$1, 21 - 1, 102 - 1) = "1" ), 3, 4 ) ) )</f>
        <v>1</v>
      </c>
    </row>
    <row r="22" spans="3:103" ht="13.8" x14ac:dyDescent="0.3">
      <c r="CQ22" s="24">
        <v>0.99948034918626349</v>
      </c>
      <c r="CR22" s="24" t="str">
        <f t="shared" si="1"/>
        <v>1</v>
      </c>
      <c r="CS22" t="str">
        <f ca="1">IF((OFFSET($A$1, 22 - 1, 95 - 1)) &gt;= (OFFSET($A$1, 54 - 1, 7 - 1)), "1","0")</f>
        <v>1</v>
      </c>
      <c r="CT22">
        <f ca="1" xml:space="preserve"> IF( AND( OFFSET($A$1, 22 - 1, 96 - 1) = "1", OFFSET($A$1, 22 - 1, 97 - 1) = "1" ), 1, IF( AND( OFFSET($A$1, 22 - 1, 96 - 1) = "1", OFFSET($A$1, 22 - 1, 97 - 1) = "0" ), 2, IF( AND( OFFSET($A$1, 22 - 1, 96 - 1) = "0", OFFSET($A$1, 22 - 1, 97 - 1) = "1" ), 3, 4 ) ) )</f>
        <v>1</v>
      </c>
      <c r="CV22" s="24">
        <v>5.7879302412111623E-3</v>
      </c>
      <c r="CW22" s="24" t="str">
        <f t="shared" si="2"/>
        <v>1</v>
      </c>
      <c r="CX22" t="str">
        <f ca="1">IF((OFFSET($A$1, 22 - 1, 100 - 1)) &gt;= (OFFSET($A$1, 78 - 1, 7 - 1)), "1","0")</f>
        <v>0</v>
      </c>
      <c r="CY22">
        <f ca="1" xml:space="preserve"> IF( AND( OFFSET($A$1, 22 - 1, 101 - 1) = "1", OFFSET($A$1, 22 - 1, 102 - 1) = "1" ), 1, IF( AND( OFFSET($A$1, 22 - 1, 101 - 1) = "1", OFFSET($A$1, 22 - 1, 102 - 1) = "0" ), 2, IF( AND( OFFSET($A$1, 22 - 1, 101 - 1) = "0", OFFSET($A$1, 22 - 1, 102 - 1) = "1" ), 3, 4 ) ) )</f>
        <v>2</v>
      </c>
    </row>
    <row r="23" spans="3:103" ht="15.6" x14ac:dyDescent="0.3">
      <c r="C23" s="59" t="s">
        <v>191</v>
      </c>
      <c r="D23" s="60"/>
      <c r="E23" s="60"/>
      <c r="F23" s="60"/>
      <c r="G23" s="60"/>
      <c r="H23" s="60"/>
      <c r="I23" s="60"/>
      <c r="J23" s="61"/>
      <c r="CQ23" s="24">
        <v>0.98268444694168711</v>
      </c>
      <c r="CR23" s="24" t="str">
        <f t="shared" si="1"/>
        <v>1</v>
      </c>
      <c r="CS23" t="str">
        <f ca="1">IF((OFFSET($A$1, 23 - 1, 95 - 1)) &gt;= (OFFSET($A$1, 54 - 1, 7 - 1)), "1","0")</f>
        <v>1</v>
      </c>
      <c r="CT23">
        <f ca="1" xml:space="preserve"> IF( AND( OFFSET($A$1, 23 - 1, 96 - 1) = "1", OFFSET($A$1, 23 - 1, 97 - 1) = "1" ), 1, IF( AND( OFFSET($A$1, 23 - 1, 96 - 1) = "1", OFFSET($A$1, 23 - 1, 97 - 1) = "0" ), 2, IF( AND( OFFSET($A$1, 23 - 1, 96 - 1) = "0", OFFSET($A$1, 23 - 1, 97 - 1) = "1" ), 3, 4 ) ) )</f>
        <v>1</v>
      </c>
      <c r="CV23" s="24">
        <v>0.83685195582749361</v>
      </c>
      <c r="CW23" s="24" t="str">
        <f t="shared" si="2"/>
        <v>1</v>
      </c>
      <c r="CX23" t="str">
        <f ca="1">IF((OFFSET($A$1, 23 - 1, 100 - 1)) &gt;= (OFFSET($A$1, 78 - 1, 7 - 1)), "1","0")</f>
        <v>1</v>
      </c>
      <c r="CY23">
        <f ca="1" xml:space="preserve"> IF( AND( OFFSET($A$1, 23 - 1, 101 - 1) = "1", OFFSET($A$1, 23 - 1, 102 - 1) = "1" ), 1, IF( AND( OFFSET($A$1, 23 - 1, 101 - 1) = "1", OFFSET($A$1, 23 - 1, 102 - 1) = "0" ), 2, IF( AND( OFFSET($A$1, 23 - 1, 101 - 1) = "0", OFFSET($A$1, 23 - 1, 102 - 1) = "1" ), 3, 4 ) ) )</f>
        <v>1</v>
      </c>
    </row>
    <row r="24" spans="3:103" ht="13.8" x14ac:dyDescent="0.3">
      <c r="C24" s="62" t="s">
        <v>192</v>
      </c>
      <c r="D24" s="63"/>
      <c r="E24" s="63"/>
      <c r="F24" s="64"/>
      <c r="G24" s="69" t="s">
        <v>193</v>
      </c>
      <c r="H24" s="70"/>
      <c r="I24" s="70"/>
      <c r="J24" s="71"/>
      <c r="CQ24" s="24">
        <v>0.91870669178159603</v>
      </c>
      <c r="CR24" s="24" t="str">
        <f t="shared" si="1"/>
        <v>1</v>
      </c>
      <c r="CS24" t="str">
        <f ca="1">IF((OFFSET($A$1, 24 - 1, 95 - 1)) &gt;= (OFFSET($A$1, 54 - 1, 7 - 1)), "1","0")</f>
        <v>1</v>
      </c>
      <c r="CT24">
        <f ca="1" xml:space="preserve"> IF( AND( OFFSET($A$1, 24 - 1, 96 - 1) = "1", OFFSET($A$1, 24 - 1, 97 - 1) = "1" ), 1, IF( AND( OFFSET($A$1, 24 - 1, 96 - 1) = "1", OFFSET($A$1, 24 - 1, 97 - 1) = "0" ), 2, IF( AND( OFFSET($A$1, 24 - 1, 96 - 1) = "0", OFFSET($A$1, 24 - 1, 97 - 1) = "1" ), 3, 4 ) ) )</f>
        <v>1</v>
      </c>
      <c r="CV24" s="24">
        <v>0.81922965689692928</v>
      </c>
      <c r="CW24" s="24" t="str">
        <f t="shared" si="2"/>
        <v>1</v>
      </c>
      <c r="CX24" t="str">
        <f ca="1">IF((OFFSET($A$1, 24 - 1, 100 - 1)) &gt;= (OFFSET($A$1, 78 - 1, 7 - 1)), "1","0")</f>
        <v>1</v>
      </c>
      <c r="CY24">
        <f ca="1" xml:space="preserve"> IF( AND( OFFSET($A$1, 24 - 1, 101 - 1) = "1", OFFSET($A$1, 24 - 1, 102 - 1) = "1" ), 1, IF( AND( OFFSET($A$1, 24 - 1, 101 - 1) = "1", OFFSET($A$1, 24 - 1, 102 - 1) = "0" ), 2, IF( AND( OFFSET($A$1, 24 - 1, 101 - 1) = "0", OFFSET($A$1, 24 - 1, 102 - 1) = "1" ), 3, 4 ) ) )</f>
        <v>1</v>
      </c>
    </row>
    <row r="25" spans="3:103" ht="13.8" x14ac:dyDescent="0.3">
      <c r="C25" s="62" t="s">
        <v>194</v>
      </c>
      <c r="D25" s="63"/>
      <c r="E25" s="63"/>
      <c r="F25" s="64"/>
      <c r="G25" s="69" t="s">
        <v>695</v>
      </c>
      <c r="H25" s="70"/>
      <c r="I25" s="70"/>
      <c r="J25" s="71"/>
      <c r="CQ25" s="24">
        <v>7.6206541394327601E-2</v>
      </c>
      <c r="CR25" s="24" t="str">
        <f>"0"</f>
        <v>0</v>
      </c>
      <c r="CS25" t="str">
        <f ca="1">IF((OFFSET($A$1, 25 - 1, 95 - 1)) &gt;= (OFFSET($A$1, 54 - 1, 7 - 1)), "1","0")</f>
        <v>0</v>
      </c>
      <c r="CT25">
        <f ca="1" xml:space="preserve"> IF( AND( OFFSET($A$1, 25 - 1, 96 - 1) = "1", OFFSET($A$1, 25 - 1, 97 - 1) = "1" ), 1, IF( AND( OFFSET($A$1, 25 - 1, 96 - 1) = "1", OFFSET($A$1, 25 - 1, 97 - 1) = "0" ), 2, IF( AND( OFFSET($A$1, 25 - 1, 96 - 1) = "0", OFFSET($A$1, 25 - 1, 97 - 1) = "1" ), 3, 4 ) ) )</f>
        <v>4</v>
      </c>
      <c r="CV25" s="24">
        <v>7.6935697794401903E-2</v>
      </c>
      <c r="CW25" s="24" t="str">
        <f>"0"</f>
        <v>0</v>
      </c>
      <c r="CX25" t="str">
        <f ca="1">IF((OFFSET($A$1, 25 - 1, 100 - 1)) &gt;= (OFFSET($A$1, 78 - 1, 7 - 1)), "1","0")</f>
        <v>0</v>
      </c>
      <c r="CY25">
        <f ca="1" xml:space="preserve"> IF( AND( OFFSET($A$1, 25 - 1, 101 - 1) = "1", OFFSET($A$1, 25 - 1, 102 - 1) = "1" ), 1, IF( AND( OFFSET($A$1, 25 - 1, 101 - 1) = "1", OFFSET($A$1, 25 - 1, 102 - 1) = "0" ), 2, IF( AND( OFFSET($A$1, 25 - 1, 101 - 1) = "0", OFFSET($A$1, 25 - 1, 102 - 1) = "1" ), 3, 4 ) ) )</f>
        <v>4</v>
      </c>
    </row>
    <row r="26" spans="3:103" ht="13.8" x14ac:dyDescent="0.3">
      <c r="C26" s="62" t="s">
        <v>196</v>
      </c>
      <c r="D26" s="63"/>
      <c r="E26" s="63"/>
      <c r="F26" s="64"/>
      <c r="G26" s="69">
        <v>12345</v>
      </c>
      <c r="H26" s="70"/>
      <c r="I26" s="70"/>
      <c r="J26" s="71"/>
      <c r="CQ26" s="24">
        <v>0.99939756613094555</v>
      </c>
      <c r="CR26" s="24" t="str">
        <f>"1"</f>
        <v>1</v>
      </c>
      <c r="CS26" t="str">
        <f ca="1">IF((OFFSET($A$1, 26 - 1, 95 - 1)) &gt;= (OFFSET($A$1, 54 - 1, 7 - 1)), "1","0")</f>
        <v>1</v>
      </c>
      <c r="CT26">
        <f ca="1" xml:space="preserve"> IF( AND( OFFSET($A$1, 26 - 1, 96 - 1) = "1", OFFSET($A$1, 26 - 1, 97 - 1) = "1" ), 1, IF( AND( OFFSET($A$1, 26 - 1, 96 - 1) = "1", OFFSET($A$1, 26 - 1, 97 - 1) = "0" ), 2, IF( AND( OFFSET($A$1, 26 - 1, 96 - 1) = "0", OFFSET($A$1, 26 - 1, 97 - 1) = "1" ), 3, 4 ) ) )</f>
        <v>1</v>
      </c>
      <c r="CV26" s="24">
        <v>0.99858602073615921</v>
      </c>
      <c r="CW26" s="24" t="str">
        <f>"0"</f>
        <v>0</v>
      </c>
      <c r="CX26" t="str">
        <f ca="1">IF((OFFSET($A$1, 26 - 1, 100 - 1)) &gt;= (OFFSET($A$1, 78 - 1, 7 - 1)), "1","0")</f>
        <v>1</v>
      </c>
      <c r="CY26">
        <f ca="1" xml:space="preserve"> IF( AND( OFFSET($A$1, 26 - 1, 101 - 1) = "1", OFFSET($A$1, 26 - 1, 102 - 1) = "1" ), 1, IF( AND( OFFSET($A$1, 26 - 1, 101 - 1) = "1", OFFSET($A$1, 26 - 1, 102 - 1) = "0" ), 2, IF( AND( OFFSET($A$1, 26 - 1, 101 - 1) = "0", OFFSET($A$1, 26 - 1, 102 - 1) = "1" ), 3, 4 ) ) )</f>
        <v>3</v>
      </c>
    </row>
    <row r="27" spans="3:103" ht="13.8" x14ac:dyDescent="0.3">
      <c r="C27" s="62" t="s">
        <v>652</v>
      </c>
      <c r="D27" s="63"/>
      <c r="E27" s="63"/>
      <c r="F27" s="64"/>
      <c r="G27" s="69">
        <v>1</v>
      </c>
      <c r="H27" s="70"/>
      <c r="I27" s="70"/>
      <c r="J27" s="71"/>
      <c r="CQ27" s="24">
        <v>0.97210164361022677</v>
      </c>
      <c r="CR27" s="24" t="str">
        <f>"1"</f>
        <v>1</v>
      </c>
      <c r="CS27" t="str">
        <f ca="1">IF((OFFSET($A$1, 27 - 1, 95 - 1)) &gt;= (OFFSET($A$1, 54 - 1, 7 - 1)), "1","0")</f>
        <v>1</v>
      </c>
      <c r="CT27">
        <f ca="1" xml:space="preserve"> IF( AND( OFFSET($A$1, 27 - 1, 96 - 1) = "1", OFFSET($A$1, 27 - 1, 97 - 1) = "1" ), 1, IF( AND( OFFSET($A$1, 27 - 1, 96 - 1) = "1", OFFSET($A$1, 27 - 1, 97 - 1) = "0" ), 2, IF( AND( OFFSET($A$1, 27 - 1, 96 - 1) = "0", OFFSET($A$1, 27 - 1, 97 - 1) = "1" ), 3, 4 ) ) )</f>
        <v>1</v>
      </c>
      <c r="CV27" s="24">
        <v>0.99858085703081767</v>
      </c>
      <c r="CW27" s="24" t="str">
        <f>"1"</f>
        <v>1</v>
      </c>
      <c r="CX27" t="str">
        <f ca="1">IF((OFFSET($A$1, 27 - 1, 100 - 1)) &gt;= (OFFSET($A$1, 78 - 1, 7 - 1)), "1","0")</f>
        <v>1</v>
      </c>
      <c r="CY27">
        <f ca="1" xml:space="preserve"> IF( AND( OFFSET($A$1, 27 - 1, 101 - 1) = "1", OFFSET($A$1, 27 - 1, 102 - 1) = "1" ), 1, IF( AND( OFFSET($A$1, 27 - 1, 101 - 1) = "1", OFFSET($A$1, 27 - 1, 102 - 1) = "0" ), 2, IF( AND( OFFSET($A$1, 27 - 1, 101 - 1) = "0", OFFSET($A$1, 27 - 1, 102 - 1) = "1" ), 3, 4 ) ) )</f>
        <v>1</v>
      </c>
    </row>
    <row r="28" spans="3:103" ht="13.8" x14ac:dyDescent="0.3">
      <c r="C28" s="62" t="s">
        <v>696</v>
      </c>
      <c r="D28" s="63"/>
      <c r="E28" s="63"/>
      <c r="F28" s="64"/>
      <c r="G28" s="69">
        <v>13</v>
      </c>
      <c r="H28" s="70"/>
      <c r="I28" s="70"/>
      <c r="J28" s="71"/>
      <c r="CQ28" s="24">
        <v>0.99737419564054774</v>
      </c>
      <c r="CR28" s="24" t="str">
        <f>"1"</f>
        <v>1</v>
      </c>
      <c r="CS28" t="str">
        <f ca="1">IF((OFFSET($A$1, 28 - 1, 95 - 1)) &gt;= (OFFSET($A$1, 54 - 1, 7 - 1)), "1","0")</f>
        <v>1</v>
      </c>
      <c r="CT28">
        <f ca="1" xml:space="preserve"> IF( AND( OFFSET($A$1, 28 - 1, 96 - 1) = "1", OFFSET($A$1, 28 - 1, 97 - 1) = "1" ), 1, IF( AND( OFFSET($A$1, 28 - 1, 96 - 1) = "1", OFFSET($A$1, 28 - 1, 97 - 1) = "0" ), 2, IF( AND( OFFSET($A$1, 28 - 1, 96 - 1) = "0", OFFSET($A$1, 28 - 1, 97 - 1) = "1" ), 3, 4 ) ) )</f>
        <v>1</v>
      </c>
      <c r="CV28" s="24">
        <v>0.28474562015116756</v>
      </c>
      <c r="CW28" s="24" t="str">
        <f>"0"</f>
        <v>0</v>
      </c>
      <c r="CX28" t="str">
        <f ca="1">IF((OFFSET($A$1, 28 - 1, 100 - 1)) &gt;= (OFFSET($A$1, 78 - 1, 7 - 1)), "1","0")</f>
        <v>0</v>
      </c>
      <c r="CY28">
        <f ca="1" xml:space="preserve"> IF( AND( OFFSET($A$1, 28 - 1, 101 - 1) = "1", OFFSET($A$1, 28 - 1, 102 - 1) = "1" ), 1, IF( AND( OFFSET($A$1, 28 - 1, 101 - 1) = "1", OFFSET($A$1, 28 - 1, 102 - 1) = "0" ), 2, IF( AND( OFFSET($A$1, 28 - 1, 101 - 1) = "0", OFFSET($A$1, 28 - 1, 102 - 1) = "1" ), 3, 4 ) ) )</f>
        <v>4</v>
      </c>
    </row>
    <row r="29" spans="3:103" ht="13.8" x14ac:dyDescent="0.3">
      <c r="C29" s="62" t="s">
        <v>200</v>
      </c>
      <c r="D29" s="63"/>
      <c r="E29" s="63"/>
      <c r="F29" s="64"/>
      <c r="G29" s="69">
        <v>50</v>
      </c>
      <c r="H29" s="70"/>
      <c r="I29" s="70"/>
      <c r="J29" s="71"/>
      <c r="CQ29" s="24">
        <v>0.99704372752138104</v>
      </c>
      <c r="CR29" s="24" t="str">
        <f>"1"</f>
        <v>1</v>
      </c>
      <c r="CS29" t="str">
        <f ca="1">IF((OFFSET($A$1, 29 - 1, 95 - 1)) &gt;= (OFFSET($A$1, 54 - 1, 7 - 1)), "1","0")</f>
        <v>1</v>
      </c>
      <c r="CT29">
        <f ca="1" xml:space="preserve"> IF( AND( OFFSET($A$1, 29 - 1, 96 - 1) = "1", OFFSET($A$1, 29 - 1, 97 - 1) = "1" ), 1, IF( AND( OFFSET($A$1, 29 - 1, 96 - 1) = "1", OFFSET($A$1, 29 - 1, 97 - 1) = "0" ), 2, IF( AND( OFFSET($A$1, 29 - 1, 96 - 1) = "0", OFFSET($A$1, 29 - 1, 97 - 1) = "1" ), 3, 4 ) ) )</f>
        <v>1</v>
      </c>
      <c r="CV29" s="24">
        <v>0.99968231630819682</v>
      </c>
      <c r="CW29" s="24" t="str">
        <f>"1"</f>
        <v>1</v>
      </c>
      <c r="CX29" t="str">
        <f ca="1">IF((OFFSET($A$1, 29 - 1, 100 - 1)) &gt;= (OFFSET($A$1, 78 - 1, 7 - 1)), "1","0")</f>
        <v>1</v>
      </c>
      <c r="CY29">
        <f ca="1" xml:space="preserve"> IF( AND( OFFSET($A$1, 29 - 1, 101 - 1) = "1", OFFSET($A$1, 29 - 1, 102 - 1) = "1" ), 1, IF( AND( OFFSET($A$1, 29 - 1, 101 - 1) = "1", OFFSET($A$1, 29 - 1, 102 - 1) = "0" ), 2, IF( AND( OFFSET($A$1, 29 - 1, 101 - 1) = "0", OFFSET($A$1, 29 - 1, 102 - 1) = "1" ), 3, 4 ) ) )</f>
        <v>1</v>
      </c>
    </row>
    <row r="30" spans="3:103" ht="13.8" x14ac:dyDescent="0.3">
      <c r="C30" s="62" t="s">
        <v>201</v>
      </c>
      <c r="D30" s="63"/>
      <c r="E30" s="63"/>
      <c r="F30" s="64"/>
      <c r="G30" s="69">
        <v>0.1</v>
      </c>
      <c r="H30" s="70"/>
      <c r="I30" s="70"/>
      <c r="J30" s="71"/>
      <c r="CQ30" s="24">
        <v>0.8704637600047237</v>
      </c>
      <c r="CR30" s="24" t="str">
        <f>"1"</f>
        <v>1</v>
      </c>
      <c r="CS30" t="str">
        <f ca="1">IF((OFFSET($A$1, 30 - 1, 95 - 1)) &gt;= (OFFSET($A$1, 54 - 1, 7 - 1)), "1","0")</f>
        <v>1</v>
      </c>
      <c r="CT30">
        <f ca="1" xml:space="preserve"> IF( AND( OFFSET($A$1, 30 - 1, 96 - 1) = "1", OFFSET($A$1, 30 - 1, 97 - 1) = "1" ), 1, IF( AND( OFFSET($A$1, 30 - 1, 96 - 1) = "1", OFFSET($A$1, 30 - 1, 97 - 1) = "0" ), 2, IF( AND( OFFSET($A$1, 30 - 1, 96 - 1) = "0", OFFSET($A$1, 30 - 1, 97 - 1) = "1" ), 3, 4 ) ) )</f>
        <v>1</v>
      </c>
      <c r="CV30" s="24">
        <v>0.99228608996507195</v>
      </c>
      <c r="CW30" s="24" t="str">
        <f>"1"</f>
        <v>1</v>
      </c>
      <c r="CX30" t="str">
        <f ca="1">IF((OFFSET($A$1, 30 - 1, 100 - 1)) &gt;= (OFFSET($A$1, 78 - 1, 7 - 1)), "1","0")</f>
        <v>1</v>
      </c>
      <c r="CY30">
        <f ca="1" xml:space="preserve"> IF( AND( OFFSET($A$1, 30 - 1, 101 - 1) = "1", OFFSET($A$1, 30 - 1, 102 - 1) = "1" ), 1, IF( AND( OFFSET($A$1, 30 - 1, 101 - 1) = "1", OFFSET($A$1, 30 - 1, 102 - 1) = "0" ), 2, IF( AND( OFFSET($A$1, 30 - 1, 101 - 1) = "0", OFFSET($A$1, 30 - 1, 102 - 1) = "1" ), 3, 4 ) ) )</f>
        <v>1</v>
      </c>
    </row>
    <row r="31" spans="3:103" ht="13.8" x14ac:dyDescent="0.3">
      <c r="C31" s="62" t="s">
        <v>202</v>
      </c>
      <c r="D31" s="63"/>
      <c r="E31" s="63"/>
      <c r="F31" s="64"/>
      <c r="G31" s="69">
        <v>0.6</v>
      </c>
      <c r="H31" s="70"/>
      <c r="I31" s="70"/>
      <c r="J31" s="71"/>
      <c r="CQ31" s="24">
        <v>0.20905491373098742</v>
      </c>
      <c r="CR31" s="24" t="str">
        <f>"0"</f>
        <v>0</v>
      </c>
      <c r="CS31" t="str">
        <f ca="1">IF((OFFSET($A$1, 31 - 1, 95 - 1)) &gt;= (OFFSET($A$1, 54 - 1, 7 - 1)), "1","0")</f>
        <v>0</v>
      </c>
      <c r="CT31">
        <f ca="1" xml:space="preserve"> IF( AND( OFFSET($A$1, 31 - 1, 96 - 1) = "1", OFFSET($A$1, 31 - 1, 97 - 1) = "1" ), 1, IF( AND( OFFSET($A$1, 31 - 1, 96 - 1) = "1", OFFSET($A$1, 31 - 1, 97 - 1) = "0" ), 2, IF( AND( OFFSET($A$1, 31 - 1, 96 - 1) = "0", OFFSET($A$1, 31 - 1, 97 - 1) = "1" ), 3, 4 ) ) )</f>
        <v>4</v>
      </c>
      <c r="CV31" s="24">
        <v>0.86408932934556737</v>
      </c>
      <c r="CW31" s="24" t="str">
        <f>"0"</f>
        <v>0</v>
      </c>
      <c r="CX31" t="str">
        <f ca="1">IF((OFFSET($A$1, 31 - 1, 100 - 1)) &gt;= (OFFSET($A$1, 78 - 1, 7 - 1)), "1","0")</f>
        <v>1</v>
      </c>
      <c r="CY31">
        <f ca="1" xml:space="preserve"> IF( AND( OFFSET($A$1, 31 - 1, 101 - 1) = "1", OFFSET($A$1, 31 - 1, 102 - 1) = "1" ), 1, IF( AND( OFFSET($A$1, 31 - 1, 101 - 1) = "1", OFFSET($A$1, 31 - 1, 102 - 1) = "0" ), 2, IF( AND( OFFSET($A$1, 31 - 1, 101 - 1) = "0", OFFSET($A$1, 31 - 1, 102 - 1) = "1" ), 3, 4 ) ) )</f>
        <v>3</v>
      </c>
    </row>
    <row r="32" spans="3:103" ht="13.8" x14ac:dyDescent="0.3">
      <c r="C32" s="62" t="s">
        <v>203</v>
      </c>
      <c r="D32" s="63"/>
      <c r="E32" s="63"/>
      <c r="F32" s="64"/>
      <c r="G32" s="69">
        <v>0.01</v>
      </c>
      <c r="H32" s="70"/>
      <c r="I32" s="70"/>
      <c r="J32" s="71"/>
      <c r="CQ32" s="24">
        <v>0.88256358913217969</v>
      </c>
      <c r="CR32" s="24" t="str">
        <f>"1"</f>
        <v>1</v>
      </c>
      <c r="CS32" t="str">
        <f ca="1">IF((OFFSET($A$1, 32 - 1, 95 - 1)) &gt;= (OFFSET($A$1, 54 - 1, 7 - 1)), "1","0")</f>
        <v>1</v>
      </c>
      <c r="CT32">
        <f ca="1" xml:space="preserve"> IF( AND( OFFSET($A$1, 32 - 1, 96 - 1) = "1", OFFSET($A$1, 32 - 1, 97 - 1) = "1" ), 1, IF( AND( OFFSET($A$1, 32 - 1, 96 - 1) = "1", OFFSET($A$1, 32 - 1, 97 - 1) = "0" ), 2, IF( AND( OFFSET($A$1, 32 - 1, 96 - 1) = "0", OFFSET($A$1, 32 - 1, 97 - 1) = "1" ), 3, 4 ) ) )</f>
        <v>1</v>
      </c>
      <c r="CV32" s="24">
        <v>0.99997730288060493</v>
      </c>
      <c r="CW32" s="24" t="str">
        <f>"1"</f>
        <v>1</v>
      </c>
      <c r="CX32" t="str">
        <f ca="1">IF((OFFSET($A$1, 32 - 1, 100 - 1)) &gt;= (OFFSET($A$1, 78 - 1, 7 - 1)), "1","0")</f>
        <v>1</v>
      </c>
      <c r="CY32">
        <f ca="1" xml:space="preserve"> IF( AND( OFFSET($A$1, 32 - 1, 101 - 1) = "1", OFFSET($A$1, 32 - 1, 102 - 1) = "1" ), 1, IF( AND( OFFSET($A$1, 32 - 1, 101 - 1) = "1", OFFSET($A$1, 32 - 1, 102 - 1) = "0" ), 2, IF( AND( OFFSET($A$1, 32 - 1, 101 - 1) = "0", OFFSET($A$1, 32 - 1, 102 - 1) = "1" ), 3, 4 ) ) )</f>
        <v>1</v>
      </c>
    </row>
    <row r="33" spans="2:103" ht="13.8" x14ac:dyDescent="0.3">
      <c r="C33" s="62" t="s">
        <v>204</v>
      </c>
      <c r="D33" s="63"/>
      <c r="E33" s="63"/>
      <c r="F33" s="64"/>
      <c r="G33" s="69">
        <v>0</v>
      </c>
      <c r="H33" s="70"/>
      <c r="I33" s="70"/>
      <c r="J33" s="71"/>
      <c r="CQ33" s="24">
        <v>5.1824659445242442E-2</v>
      </c>
      <c r="CR33" s="24" t="str">
        <f>"0"</f>
        <v>0</v>
      </c>
      <c r="CS33" t="str">
        <f ca="1">IF((OFFSET($A$1, 33 - 1, 95 - 1)) &gt;= (OFFSET($A$1, 54 - 1, 7 - 1)), "1","0")</f>
        <v>0</v>
      </c>
      <c r="CT33">
        <f ca="1" xml:space="preserve"> IF( AND( OFFSET($A$1, 33 - 1, 96 - 1) = "1", OFFSET($A$1, 33 - 1, 97 - 1) = "1" ), 1, IF( AND( OFFSET($A$1, 33 - 1, 96 - 1) = "1", OFFSET($A$1, 33 - 1, 97 - 1) = "0" ), 2, IF( AND( OFFSET($A$1, 33 - 1, 96 - 1) = "0", OFFSET($A$1, 33 - 1, 97 - 1) = "1" ), 3, 4 ) ) )</f>
        <v>4</v>
      </c>
      <c r="CV33" s="24">
        <v>0.45123841923971875</v>
      </c>
      <c r="CW33" s="24" t="str">
        <f>"0"</f>
        <v>0</v>
      </c>
      <c r="CX33" t="str">
        <f ca="1">IF((OFFSET($A$1, 33 - 1, 100 - 1)) &gt;= (OFFSET($A$1, 78 - 1, 7 - 1)), "1","0")</f>
        <v>0</v>
      </c>
      <c r="CY33">
        <f ca="1" xml:space="preserve"> IF( AND( OFFSET($A$1, 33 - 1, 101 - 1) = "1", OFFSET($A$1, 33 - 1, 102 - 1) = "1" ), 1, IF( AND( OFFSET($A$1, 33 - 1, 101 - 1) = "1", OFFSET($A$1, 33 - 1, 102 - 1) = "0" ), 2, IF( AND( OFFSET($A$1, 33 - 1, 101 - 1) = "0", OFFSET($A$1, 33 - 1, 102 - 1) = "1" ), 3, 4 ) ) )</f>
        <v>4</v>
      </c>
    </row>
    <row r="34" spans="2:103" ht="13.8" x14ac:dyDescent="0.3">
      <c r="C34" s="62" t="s">
        <v>205</v>
      </c>
      <c r="D34" s="63"/>
      <c r="E34" s="63"/>
      <c r="F34" s="64"/>
      <c r="G34" s="69" t="s">
        <v>206</v>
      </c>
      <c r="H34" s="70"/>
      <c r="I34" s="70"/>
      <c r="J34" s="71"/>
      <c r="CQ34" s="24">
        <v>0.99383842672838729</v>
      </c>
      <c r="CR34" s="24" t="str">
        <f t="shared" ref="CR34:CR43" si="3">"1"</f>
        <v>1</v>
      </c>
      <c r="CS34" t="str">
        <f ca="1">IF((OFFSET($A$1, 34 - 1, 95 - 1)) &gt;= (OFFSET($A$1, 54 - 1, 7 - 1)), "1","0")</f>
        <v>1</v>
      </c>
      <c r="CT34">
        <f ca="1" xml:space="preserve"> IF( AND( OFFSET($A$1, 34 - 1, 96 - 1) = "1", OFFSET($A$1, 34 - 1, 97 - 1) = "1" ), 1, IF( AND( OFFSET($A$1, 34 - 1, 96 - 1) = "1", OFFSET($A$1, 34 - 1, 97 - 1) = "0" ), 2, IF( AND( OFFSET($A$1, 34 - 1, 96 - 1) = "0", OFFSET($A$1, 34 - 1, 97 - 1) = "1" ), 3, 4 ) ) )</f>
        <v>1</v>
      </c>
      <c r="CV34" s="24">
        <v>0.46781217776498685</v>
      </c>
      <c r="CW34" s="24" t="str">
        <f>"1"</f>
        <v>1</v>
      </c>
      <c r="CX34" t="str">
        <f ca="1">IF((OFFSET($A$1, 34 - 1, 100 - 1)) &gt;= (OFFSET($A$1, 78 - 1, 7 - 1)), "1","0")</f>
        <v>0</v>
      </c>
      <c r="CY34">
        <f ca="1" xml:space="preserve"> IF( AND( OFFSET($A$1, 34 - 1, 101 - 1) = "1", OFFSET($A$1, 34 - 1, 102 - 1) = "1" ), 1, IF( AND( OFFSET($A$1, 34 - 1, 101 - 1) = "1", OFFSET($A$1, 34 - 1, 102 - 1) = "0" ), 2, IF( AND( OFFSET($A$1, 34 - 1, 101 - 1) = "0", OFFSET($A$1, 34 - 1, 102 - 1) = "1" ), 3, 4 ) ) )</f>
        <v>2</v>
      </c>
    </row>
    <row r="35" spans="2:103" ht="13.8" x14ac:dyDescent="0.3">
      <c r="C35" s="62" t="s">
        <v>207</v>
      </c>
      <c r="D35" s="63"/>
      <c r="E35" s="63"/>
      <c r="F35" s="64"/>
      <c r="G35" s="69" t="s">
        <v>208</v>
      </c>
      <c r="H35" s="70"/>
      <c r="I35" s="70"/>
      <c r="J35" s="71"/>
      <c r="CQ35" s="24">
        <v>0.99994367394033645</v>
      </c>
      <c r="CR35" s="24" t="str">
        <f t="shared" si="3"/>
        <v>1</v>
      </c>
      <c r="CS35" t="str">
        <f ca="1">IF((OFFSET($A$1, 35 - 1, 95 - 1)) &gt;= (OFFSET($A$1, 54 - 1, 7 - 1)), "1","0")</f>
        <v>1</v>
      </c>
      <c r="CT35">
        <f ca="1" xml:space="preserve"> IF( AND( OFFSET($A$1, 35 - 1, 96 - 1) = "1", OFFSET($A$1, 35 - 1, 97 - 1) = "1" ), 1, IF( AND( OFFSET($A$1, 35 - 1, 96 - 1) = "1", OFFSET($A$1, 35 - 1, 97 - 1) = "0" ), 2, IF( AND( OFFSET($A$1, 35 - 1, 96 - 1) = "0", OFFSET($A$1, 35 - 1, 97 - 1) = "1" ), 3, 4 ) ) )</f>
        <v>1</v>
      </c>
      <c r="CV35" s="24">
        <v>0.98909863214957827</v>
      </c>
      <c r="CW35" s="24" t="str">
        <f>"1"</f>
        <v>1</v>
      </c>
      <c r="CX35" t="str">
        <f ca="1">IF((OFFSET($A$1, 35 - 1, 100 - 1)) &gt;= (OFFSET($A$1, 78 - 1, 7 - 1)), "1","0")</f>
        <v>1</v>
      </c>
      <c r="CY35">
        <f ca="1" xml:space="preserve"> IF( AND( OFFSET($A$1, 35 - 1, 101 - 1) = "1", OFFSET($A$1, 35 - 1, 102 - 1) = "1" ), 1, IF( AND( OFFSET($A$1, 35 - 1, 101 - 1) = "1", OFFSET($A$1, 35 - 1, 102 - 1) = "0" ), 2, IF( AND( OFFSET($A$1, 35 - 1, 101 - 1) = "0", OFFSET($A$1, 35 - 1, 102 - 1) = "1" ), 3, 4 ) ) )</f>
        <v>1</v>
      </c>
    </row>
    <row r="36" spans="2:103" ht="13.8" x14ac:dyDescent="0.3">
      <c r="C36" s="62" t="s">
        <v>209</v>
      </c>
      <c r="D36" s="63"/>
      <c r="E36" s="63"/>
      <c r="F36" s="64"/>
      <c r="G36" s="69" t="s">
        <v>208</v>
      </c>
      <c r="H36" s="70"/>
      <c r="I36" s="70"/>
      <c r="J36" s="71"/>
      <c r="CQ36" s="24">
        <v>0.8900021282602073</v>
      </c>
      <c r="CR36" s="24" t="str">
        <f t="shared" si="3"/>
        <v>1</v>
      </c>
      <c r="CS36" t="str">
        <f ca="1">IF((OFFSET($A$1, 36 - 1, 95 - 1)) &gt;= (OFFSET($A$1, 54 - 1, 7 - 1)), "1","0")</f>
        <v>1</v>
      </c>
      <c r="CT36">
        <f ca="1" xml:space="preserve"> IF( AND( OFFSET($A$1, 36 - 1, 96 - 1) = "1", OFFSET($A$1, 36 - 1, 97 - 1) = "1" ), 1, IF( AND( OFFSET($A$1, 36 - 1, 96 - 1) = "1", OFFSET($A$1, 36 - 1, 97 - 1) = "0" ), 2, IF( AND( OFFSET($A$1, 36 - 1, 96 - 1) = "0", OFFSET($A$1, 36 - 1, 97 - 1) = "1" ), 3, 4 ) ) )</f>
        <v>1</v>
      </c>
      <c r="CV36" s="24">
        <v>0.9996981646878127</v>
      </c>
      <c r="CW36" s="24" t="str">
        <f>"1"</f>
        <v>1</v>
      </c>
      <c r="CX36" t="str">
        <f ca="1">IF((OFFSET($A$1, 36 - 1, 100 - 1)) &gt;= (OFFSET($A$1, 78 - 1, 7 - 1)), "1","0")</f>
        <v>1</v>
      </c>
      <c r="CY36">
        <f ca="1" xml:space="preserve"> IF( AND( OFFSET($A$1, 36 - 1, 101 - 1) = "1", OFFSET($A$1, 36 - 1, 102 - 1) = "1" ), 1, IF( AND( OFFSET($A$1, 36 - 1, 101 - 1) = "1", OFFSET($A$1, 36 - 1, 102 - 1) = "0" ), 2, IF( AND( OFFSET($A$1, 36 - 1, 101 - 1) = "0", OFFSET($A$1, 36 - 1, 102 - 1) = "1" ), 3, 4 ) ) )</f>
        <v>1</v>
      </c>
    </row>
    <row r="37" spans="2:103" ht="13.8" x14ac:dyDescent="0.3">
      <c r="CQ37" s="24">
        <v>0.99909503223704821</v>
      </c>
      <c r="CR37" s="24" t="str">
        <f t="shared" si="3"/>
        <v>1</v>
      </c>
      <c r="CS37" t="str">
        <f ca="1">IF((OFFSET($A$1, 37 - 1, 95 - 1)) &gt;= (OFFSET($A$1, 54 - 1, 7 - 1)), "1","0")</f>
        <v>1</v>
      </c>
      <c r="CT37">
        <f ca="1" xml:space="preserve"> IF( AND( OFFSET($A$1, 37 - 1, 96 - 1) = "1", OFFSET($A$1, 37 - 1, 97 - 1) = "1" ), 1, IF( AND( OFFSET($A$1, 37 - 1, 96 - 1) = "1", OFFSET($A$1, 37 - 1, 97 - 1) = "0" ), 2, IF( AND( OFFSET($A$1, 37 - 1, 96 - 1) = "0", OFFSET($A$1, 37 - 1, 97 - 1) = "1" ), 3, 4 ) ) )</f>
        <v>1</v>
      </c>
      <c r="CV37" s="24">
        <v>0.96867236614090935</v>
      </c>
      <c r="CW37" s="24" t="str">
        <f>"1"</f>
        <v>1</v>
      </c>
      <c r="CX37" t="str">
        <f ca="1">IF((OFFSET($A$1, 37 - 1, 100 - 1)) &gt;= (OFFSET($A$1, 78 - 1, 7 - 1)), "1","0")</f>
        <v>1</v>
      </c>
      <c r="CY37">
        <f ca="1" xml:space="preserve"> IF( AND( OFFSET($A$1, 37 - 1, 101 - 1) = "1", OFFSET($A$1, 37 - 1, 102 - 1) = "1" ), 1, IF( AND( OFFSET($A$1, 37 - 1, 101 - 1) = "1", OFFSET($A$1, 37 - 1, 102 - 1) = "0" ), 2, IF( AND( OFFSET($A$1, 37 - 1, 101 - 1) = "0", OFFSET($A$1, 37 - 1, 102 - 1) = "1" ), 3, 4 ) ) )</f>
        <v>1</v>
      </c>
    </row>
    <row r="38" spans="2:103" ht="15.6" x14ac:dyDescent="0.3">
      <c r="C38" s="59" t="s">
        <v>697</v>
      </c>
      <c r="D38" s="60"/>
      <c r="E38" s="60"/>
      <c r="F38" s="60"/>
      <c r="G38" s="61"/>
      <c r="CQ38" s="24">
        <v>0.89475688369259632</v>
      </c>
      <c r="CR38" s="24" t="str">
        <f t="shared" si="3"/>
        <v>1</v>
      </c>
      <c r="CS38" t="str">
        <f ca="1">IF((OFFSET($A$1, 38 - 1, 95 - 1)) &gt;= (OFFSET($A$1, 54 - 1, 7 - 1)), "1","0")</f>
        <v>1</v>
      </c>
      <c r="CT38">
        <f ca="1" xml:space="preserve"> IF( AND( OFFSET($A$1, 38 - 1, 96 - 1) = "1", OFFSET($A$1, 38 - 1, 97 - 1) = "1" ), 1, IF( AND( OFFSET($A$1, 38 - 1, 96 - 1) = "1", OFFSET($A$1, 38 - 1, 97 - 1) = "0" ), 2, IF( AND( OFFSET($A$1, 38 - 1, 96 - 1) = "0", OFFSET($A$1, 38 - 1, 97 - 1) = "1" ), 3, 4 ) ) )</f>
        <v>1</v>
      </c>
      <c r="CV38" s="24">
        <v>5.1854070168270892E-2</v>
      </c>
      <c r="CW38" s="24" t="str">
        <f>"0"</f>
        <v>0</v>
      </c>
      <c r="CX38" t="str">
        <f ca="1">IF((OFFSET($A$1, 38 - 1, 100 - 1)) &gt;= (OFFSET($A$1, 78 - 1, 7 - 1)), "1","0")</f>
        <v>0</v>
      </c>
      <c r="CY38">
        <f ca="1" xml:space="preserve"> IF( AND( OFFSET($A$1, 38 - 1, 101 - 1) = "1", OFFSET($A$1, 38 - 1, 102 - 1) = "1" ), 1, IF( AND( OFFSET($A$1, 38 - 1, 101 - 1) = "1", OFFSET($A$1, 38 - 1, 102 - 1) = "0" ), 2, IF( AND( OFFSET($A$1, 38 - 1, 101 - 1) = "0", OFFSET($A$1, 38 - 1, 102 - 1) = "1" ), 3, 4 ) ) )</f>
        <v>4</v>
      </c>
    </row>
    <row r="39" spans="2:103" ht="13.8" x14ac:dyDescent="0.3">
      <c r="C39" s="67" t="s">
        <v>698</v>
      </c>
      <c r="D39" s="68"/>
      <c r="E39" s="68"/>
      <c r="F39" s="68"/>
      <c r="G39" s="66"/>
      <c r="CQ39" s="24">
        <v>0.83111523382097252</v>
      </c>
      <c r="CR39" s="24" t="str">
        <f t="shared" si="3"/>
        <v>1</v>
      </c>
      <c r="CS39" t="str">
        <f ca="1">IF((OFFSET($A$1, 39 - 1, 95 - 1)) &gt;= (OFFSET($A$1, 54 - 1, 7 - 1)), "1","0")</f>
        <v>1</v>
      </c>
      <c r="CT39">
        <f ca="1" xml:space="preserve"> IF( AND( OFFSET($A$1, 39 - 1, 96 - 1) = "1", OFFSET($A$1, 39 - 1, 97 - 1) = "1" ), 1, IF( AND( OFFSET($A$1, 39 - 1, 96 - 1) = "1", OFFSET($A$1, 39 - 1, 97 - 1) = "0" ), 2, IF( AND( OFFSET($A$1, 39 - 1, 96 - 1) = "0", OFFSET($A$1, 39 - 1, 97 - 1) = "1" ), 3, 4 ) ) )</f>
        <v>1</v>
      </c>
      <c r="CV39" s="24">
        <v>0.99992842367217494</v>
      </c>
      <c r="CW39" s="24" t="str">
        <f>"1"</f>
        <v>1</v>
      </c>
      <c r="CX39" t="str">
        <f ca="1">IF((OFFSET($A$1, 39 - 1, 100 - 1)) &gt;= (OFFSET($A$1, 78 - 1, 7 - 1)), "1","0")</f>
        <v>1</v>
      </c>
      <c r="CY39">
        <f ca="1" xml:space="preserve"> IF( AND( OFFSET($A$1, 39 - 1, 101 - 1) = "1", OFFSET($A$1, 39 - 1, 102 - 1) = "1" ), 1, IF( AND( OFFSET($A$1, 39 - 1, 101 - 1) = "1", OFFSET($A$1, 39 - 1, 102 - 1) = "0" ), 2, IF( AND( OFFSET($A$1, 39 - 1, 101 - 1) = "0", OFFSET($A$1, 39 - 1, 102 - 1) = "1" ), 3, 4 ) ) )</f>
        <v>1</v>
      </c>
    </row>
    <row r="40" spans="2:103" ht="13.8" x14ac:dyDescent="0.3">
      <c r="C40" s="67" t="s">
        <v>700</v>
      </c>
      <c r="D40" s="68"/>
      <c r="E40" s="68"/>
      <c r="F40" s="68"/>
      <c r="G40" s="66"/>
      <c r="CQ40" s="24">
        <v>0.87834584717625874</v>
      </c>
      <c r="CR40" s="24" t="str">
        <f t="shared" si="3"/>
        <v>1</v>
      </c>
      <c r="CS40" t="str">
        <f ca="1">IF((OFFSET($A$1, 40 - 1, 95 - 1)) &gt;= (OFFSET($A$1, 54 - 1, 7 - 1)), "1","0")</f>
        <v>1</v>
      </c>
      <c r="CT40">
        <f ca="1" xml:space="preserve"> IF( AND( OFFSET($A$1, 40 - 1, 96 - 1) = "1", OFFSET($A$1, 40 - 1, 97 - 1) = "1" ), 1, IF( AND( OFFSET($A$1, 40 - 1, 96 - 1) = "1", OFFSET($A$1, 40 - 1, 97 - 1) = "0" ), 2, IF( AND( OFFSET($A$1, 40 - 1, 96 - 1) = "0", OFFSET($A$1, 40 - 1, 97 - 1) = "1" ), 3, 4 ) ) )</f>
        <v>1</v>
      </c>
      <c r="CV40" s="24">
        <v>0.63342701827804937</v>
      </c>
      <c r="CW40" s="24" t="str">
        <f>"1"</f>
        <v>1</v>
      </c>
      <c r="CX40" t="str">
        <f ca="1">IF((OFFSET($A$1, 40 - 1, 100 - 1)) &gt;= (OFFSET($A$1, 78 - 1, 7 - 1)), "1","0")</f>
        <v>1</v>
      </c>
      <c r="CY40">
        <f ca="1" xml:space="preserve"> IF( AND( OFFSET($A$1, 40 - 1, 101 - 1) = "1", OFFSET($A$1, 40 - 1, 102 - 1) = "1" ), 1, IF( AND( OFFSET($A$1, 40 - 1, 101 - 1) = "1", OFFSET($A$1, 40 - 1, 102 - 1) = "0" ), 2, IF( AND( OFFSET($A$1, 40 - 1, 101 - 1) = "0", OFFSET($A$1, 40 - 1, 102 - 1) = "1" ), 3, 4 ) ) )</f>
        <v>1</v>
      </c>
    </row>
    <row r="41" spans="2:103" ht="13.8" x14ac:dyDescent="0.3">
      <c r="CQ41" s="24">
        <v>0.92664899287463198</v>
      </c>
      <c r="CR41" s="24" t="str">
        <f t="shared" si="3"/>
        <v>1</v>
      </c>
      <c r="CS41" t="str">
        <f ca="1">IF((OFFSET($A$1, 41 - 1, 95 - 1)) &gt;= (OFFSET($A$1, 54 - 1, 7 - 1)), "1","0")</f>
        <v>1</v>
      </c>
      <c r="CT41">
        <f ca="1" xml:space="preserve"> IF( AND( OFFSET($A$1, 41 - 1, 96 - 1) = "1", OFFSET($A$1, 41 - 1, 97 - 1) = "1" ), 1, IF( AND( OFFSET($A$1, 41 - 1, 96 - 1) = "1", OFFSET($A$1, 41 - 1, 97 - 1) = "0" ), 2, IF( AND( OFFSET($A$1, 41 - 1, 96 - 1) = "0", OFFSET($A$1, 41 - 1, 97 - 1) = "1" ), 3, 4 ) ) )</f>
        <v>1</v>
      </c>
      <c r="CV41" s="24">
        <v>0.79110636530925083</v>
      </c>
      <c r="CW41" s="24" t="str">
        <f>"1"</f>
        <v>1</v>
      </c>
      <c r="CX41" t="str">
        <f ca="1">IF((OFFSET($A$1, 41 - 1, 100 - 1)) &gt;= (OFFSET($A$1, 78 - 1, 7 - 1)), "1","0")</f>
        <v>1</v>
      </c>
      <c r="CY41">
        <f ca="1" xml:space="preserve"> IF( AND( OFFSET($A$1, 41 - 1, 101 - 1) = "1", OFFSET($A$1, 41 - 1, 102 - 1) = "1" ), 1, IF( AND( OFFSET($A$1, 41 - 1, 101 - 1) = "1", OFFSET($A$1, 41 - 1, 102 - 1) = "0" ), 2, IF( AND( OFFSET($A$1, 41 - 1, 101 - 1) = "0", OFFSET($A$1, 41 - 1, 102 - 1) = "1" ), 3, 4 ) ) )</f>
        <v>1</v>
      </c>
    </row>
    <row r="42" spans="2:103" ht="13.8" x14ac:dyDescent="0.3">
      <c r="CQ42" s="24">
        <v>0.95876416532611419</v>
      </c>
      <c r="CR42" s="24" t="str">
        <f t="shared" si="3"/>
        <v>1</v>
      </c>
      <c r="CS42" t="str">
        <f ca="1">IF((OFFSET($A$1, 42 - 1, 95 - 1)) &gt;= (OFFSET($A$1, 54 - 1, 7 - 1)), "1","0")</f>
        <v>1</v>
      </c>
      <c r="CT42">
        <f ca="1" xml:space="preserve"> IF( AND( OFFSET($A$1, 42 - 1, 96 - 1) = "1", OFFSET($A$1, 42 - 1, 97 - 1) = "1" ), 1, IF( AND( OFFSET($A$1, 42 - 1, 96 - 1) = "1", OFFSET($A$1, 42 - 1, 97 - 1) = "0" ), 2, IF( AND( OFFSET($A$1, 42 - 1, 96 - 1) = "0", OFFSET($A$1, 42 - 1, 97 - 1) = "1" ), 3, 4 ) ) )</f>
        <v>1</v>
      </c>
      <c r="CV42" s="24">
        <v>0.94419809018507861</v>
      </c>
      <c r="CW42" s="24" t="str">
        <f>"1"</f>
        <v>1</v>
      </c>
      <c r="CX42" t="str">
        <f ca="1">IF((OFFSET($A$1, 42 - 1, 100 - 1)) &gt;= (OFFSET($A$1, 78 - 1, 7 - 1)), "1","0")</f>
        <v>1</v>
      </c>
      <c r="CY42">
        <f ca="1" xml:space="preserve"> IF( AND( OFFSET($A$1, 42 - 1, 101 - 1) = "1", OFFSET($A$1, 42 - 1, 102 - 1) = "1" ), 1, IF( AND( OFFSET($A$1, 42 - 1, 101 - 1) = "1", OFFSET($A$1, 42 - 1, 102 - 1) = "0" ), 2, IF( AND( OFFSET($A$1, 42 - 1, 101 - 1) = "0", OFFSET($A$1, 42 - 1, 102 - 1) = "1" ), 3, 4 ) ) )</f>
        <v>1</v>
      </c>
    </row>
    <row r="43" spans="2:103" ht="18" x14ac:dyDescent="0.35">
      <c r="B43" s="22" t="s">
        <v>702</v>
      </c>
      <c r="CQ43" s="24">
        <v>0.88336277721080236</v>
      </c>
      <c r="CR43" s="24" t="str">
        <f t="shared" si="3"/>
        <v>1</v>
      </c>
      <c r="CS43" t="str">
        <f ca="1">IF((OFFSET($A$1, 43 - 1, 95 - 1)) &gt;= (OFFSET($A$1, 54 - 1, 7 - 1)), "1","0")</f>
        <v>1</v>
      </c>
      <c r="CT43">
        <f ca="1" xml:space="preserve"> IF( AND( OFFSET($A$1, 43 - 1, 96 - 1) = "1", OFFSET($A$1, 43 - 1, 97 - 1) = "1" ), 1, IF( AND( OFFSET($A$1, 43 - 1, 96 - 1) = "1", OFFSET($A$1, 43 - 1, 97 - 1) = "0" ), 2, IF( AND( OFFSET($A$1, 43 - 1, 96 - 1) = "0", OFFSET($A$1, 43 - 1, 97 - 1) = "1" ), 3, 4 ) ) )</f>
        <v>1</v>
      </c>
      <c r="CV43" s="24">
        <v>1.9073361890924172E-3</v>
      </c>
      <c r="CW43" s="24" t="str">
        <f>"0"</f>
        <v>0</v>
      </c>
      <c r="CX43" t="str">
        <f ca="1">IF((OFFSET($A$1, 43 - 1, 100 - 1)) &gt;= (OFFSET($A$1, 78 - 1, 7 - 1)), "1","0")</f>
        <v>0</v>
      </c>
      <c r="CY43">
        <f ca="1" xml:space="preserve"> IF( AND( OFFSET($A$1, 43 - 1, 101 - 1) = "1", OFFSET($A$1, 43 - 1, 102 - 1) = "1" ), 1, IF( AND( OFFSET($A$1, 43 - 1, 101 - 1) = "1", OFFSET($A$1, 43 - 1, 102 - 1) = "0" ), 2, IF( AND( OFFSET($A$1, 43 - 1, 101 - 1) = "0", OFFSET($A$1, 43 - 1, 102 - 1) = "1" ), 3, 4 ) ) )</f>
        <v>4</v>
      </c>
    </row>
    <row r="44" spans="2:103" ht="13.8" x14ac:dyDescent="0.3">
      <c r="CQ44" s="24">
        <v>0.96952571650005426</v>
      </c>
      <c r="CR44" s="24" t="str">
        <f>"0"</f>
        <v>0</v>
      </c>
      <c r="CS44" t="str">
        <f ca="1">IF((OFFSET($A$1, 44 - 1, 95 - 1)) &gt;= (OFFSET($A$1, 54 - 1, 7 - 1)), "1","0")</f>
        <v>1</v>
      </c>
      <c r="CT44">
        <f ca="1" xml:space="preserve"> IF( AND( OFFSET($A$1, 44 - 1, 96 - 1) = "1", OFFSET($A$1, 44 - 1, 97 - 1) = "1" ), 1, IF( AND( OFFSET($A$1, 44 - 1, 96 - 1) = "1", OFFSET($A$1, 44 - 1, 97 - 1) = "0" ), 2, IF( AND( OFFSET($A$1, 44 - 1, 96 - 1) = "0", OFFSET($A$1, 44 - 1, 97 - 1) = "1" ), 3, 4 ) ) )</f>
        <v>3</v>
      </c>
      <c r="CV44" s="24">
        <v>9.3289112785410161E-2</v>
      </c>
      <c r="CW44" s="24" t="str">
        <f>"1"</f>
        <v>1</v>
      </c>
      <c r="CX44" t="str">
        <f ca="1">IF((OFFSET($A$1, 44 - 1, 100 - 1)) &gt;= (OFFSET($A$1, 78 - 1, 7 - 1)), "1","0")</f>
        <v>0</v>
      </c>
      <c r="CY44">
        <f ca="1" xml:space="preserve"> IF( AND( OFFSET($A$1, 44 - 1, 101 - 1) = "1", OFFSET($A$1, 44 - 1, 102 - 1) = "1" ), 1, IF( AND( OFFSET($A$1, 44 - 1, 101 - 1) = "1", OFFSET($A$1, 44 - 1, 102 - 1) = "0" ), 2, IF( AND( OFFSET($A$1, 44 - 1, 101 - 1) = "0", OFFSET($A$1, 44 - 1, 102 - 1) = "1" ), 3, 4 ) ) )</f>
        <v>2</v>
      </c>
    </row>
    <row r="45" spans="2:103" ht="13.8" x14ac:dyDescent="0.3">
      <c r="C45" s="67" t="s">
        <v>703</v>
      </c>
      <c r="D45" s="68"/>
      <c r="E45" s="68"/>
      <c r="F45" s="68"/>
      <c r="G45" s="66"/>
      <c r="CQ45" s="24">
        <v>0.99918384415377437</v>
      </c>
      <c r="CR45" s="24" t="str">
        <f>"1"</f>
        <v>1</v>
      </c>
      <c r="CS45" t="str">
        <f ca="1">IF((OFFSET($A$1, 45 - 1, 95 - 1)) &gt;= (OFFSET($A$1, 54 - 1, 7 - 1)), "1","0")</f>
        <v>1</v>
      </c>
      <c r="CT45">
        <f ca="1" xml:space="preserve"> IF( AND( OFFSET($A$1, 45 - 1, 96 - 1) = "1", OFFSET($A$1, 45 - 1, 97 - 1) = "1" ), 1, IF( AND( OFFSET($A$1, 45 - 1, 96 - 1) = "1", OFFSET($A$1, 45 - 1, 97 - 1) = "0" ), 2, IF( AND( OFFSET($A$1, 45 - 1, 96 - 1) = "0", OFFSET($A$1, 45 - 1, 97 - 1) = "1" ), 3, 4 ) ) )</f>
        <v>1</v>
      </c>
      <c r="CV45" s="24">
        <v>0.996082479829972</v>
      </c>
      <c r="CW45" s="24" t="str">
        <f>"1"</f>
        <v>1</v>
      </c>
      <c r="CX45" t="str">
        <f ca="1">IF((OFFSET($A$1, 45 - 1, 100 - 1)) &gt;= (OFFSET($A$1, 78 - 1, 7 - 1)), "1","0")</f>
        <v>1</v>
      </c>
      <c r="CY45">
        <f ca="1" xml:space="preserve"> IF( AND( OFFSET($A$1, 45 - 1, 101 - 1) = "1", OFFSET($A$1, 45 - 1, 102 - 1) = "1" ), 1, IF( AND( OFFSET($A$1, 45 - 1, 101 - 1) = "1", OFFSET($A$1, 45 - 1, 102 - 1) = "0" ), 2, IF( AND( OFFSET($A$1, 45 - 1, 101 - 1) = "0", OFFSET($A$1, 45 - 1, 102 - 1) = "1" ), 3, 4 ) ) )</f>
        <v>1</v>
      </c>
    </row>
    <row r="46" spans="2:103" ht="13.8" x14ac:dyDescent="0.3">
      <c r="CQ46" s="24">
        <v>0.91136692837295008</v>
      </c>
      <c r="CR46" s="24" t="str">
        <f>"1"</f>
        <v>1</v>
      </c>
      <c r="CS46" t="str">
        <f ca="1">IF((OFFSET($A$1, 46 - 1, 95 - 1)) &gt;= (OFFSET($A$1, 54 - 1, 7 - 1)), "1","0")</f>
        <v>1</v>
      </c>
      <c r="CT46">
        <f ca="1" xml:space="preserve"> IF( AND( OFFSET($A$1, 46 - 1, 96 - 1) = "1", OFFSET($A$1, 46 - 1, 97 - 1) = "1" ), 1, IF( AND( OFFSET($A$1, 46 - 1, 96 - 1) = "1", OFFSET($A$1, 46 - 1, 97 - 1) = "0" ), 2, IF( AND( OFFSET($A$1, 46 - 1, 96 - 1) = "0", OFFSET($A$1, 46 - 1, 97 - 1) = "1" ), 3, 4 ) ) )</f>
        <v>1</v>
      </c>
      <c r="CV46" s="24">
        <v>0.97530535417554687</v>
      </c>
      <c r="CW46" s="24" t="str">
        <f>"0"</f>
        <v>0</v>
      </c>
      <c r="CX46" t="str">
        <f ca="1">IF((OFFSET($A$1, 46 - 1, 100 - 1)) &gt;= (OFFSET($A$1, 78 - 1, 7 - 1)), "1","0")</f>
        <v>1</v>
      </c>
      <c r="CY46">
        <f ca="1" xml:space="preserve"> IF( AND( OFFSET($A$1, 46 - 1, 101 - 1) = "1", OFFSET($A$1, 46 - 1, 102 - 1) = "1" ), 1, IF( AND( OFFSET($A$1, 46 - 1, 101 - 1) = "1", OFFSET($A$1, 46 - 1, 102 - 1) = "0" ), 2, IF( AND( OFFSET($A$1, 46 - 1, 101 - 1) = "0", OFFSET($A$1, 46 - 1, 102 - 1) = "1" ), 3, 4 ) ) )</f>
        <v>3</v>
      </c>
    </row>
    <row r="47" spans="2:103" ht="13.8" x14ac:dyDescent="0.3">
      <c r="C47" s="26" t="s">
        <v>332</v>
      </c>
      <c r="D47" s="26" t="s">
        <v>704</v>
      </c>
      <c r="CQ47" s="24">
        <v>0.90370586364101224</v>
      </c>
      <c r="CR47" s="24" t="str">
        <f>"1"</f>
        <v>1</v>
      </c>
      <c r="CS47" t="str">
        <f ca="1">IF((OFFSET($A$1, 47 - 1, 95 - 1)) &gt;= (OFFSET($A$1, 54 - 1, 7 - 1)), "1","0")</f>
        <v>1</v>
      </c>
      <c r="CT47">
        <f ca="1" xml:space="preserve"> IF( AND( OFFSET($A$1, 47 - 1, 96 - 1) = "1", OFFSET($A$1, 47 - 1, 97 - 1) = "1" ), 1, IF( AND( OFFSET($A$1, 47 - 1, 96 - 1) = "1", OFFSET($A$1, 47 - 1, 97 - 1) = "0" ), 2, IF( AND( OFFSET($A$1, 47 - 1, 96 - 1) = "0", OFFSET($A$1, 47 - 1, 97 - 1) = "1" ), 3, 4 ) ) )</f>
        <v>1</v>
      </c>
      <c r="CV47" s="24">
        <v>9.6382457105394559E-2</v>
      </c>
      <c r="CW47" s="24" t="str">
        <f>"0"</f>
        <v>0</v>
      </c>
      <c r="CX47" t="str">
        <f ca="1">IF((OFFSET($A$1, 47 - 1, 100 - 1)) &gt;= (OFFSET($A$1, 78 - 1, 7 - 1)), "1","0")</f>
        <v>0</v>
      </c>
      <c r="CY47">
        <f ca="1" xml:space="preserve"> IF( AND( OFFSET($A$1, 47 - 1, 101 - 1) = "1", OFFSET($A$1, 47 - 1, 102 - 1) = "1" ), 1, IF( AND( OFFSET($A$1, 47 - 1, 101 - 1) = "1", OFFSET($A$1, 47 - 1, 102 - 1) = "0" ), 2, IF( AND( OFFSET($A$1, 47 - 1, 101 - 1) = "0", OFFSET($A$1, 47 - 1, 102 - 1) = "1" ), 3, 4 ) ) )</f>
        <v>4</v>
      </c>
    </row>
    <row r="48" spans="2:103" ht="13.8" x14ac:dyDescent="0.3">
      <c r="C48" s="25">
        <v>0</v>
      </c>
      <c r="D48" s="24">
        <v>0.28500000000000003</v>
      </c>
      <c r="CQ48" s="24">
        <v>3.8722781491895876E-2</v>
      </c>
      <c r="CR48" s="24" t="str">
        <f>"0"</f>
        <v>0</v>
      </c>
      <c r="CS48" t="str">
        <f ca="1">IF((OFFSET($A$1, 48 - 1, 95 - 1)) &gt;= (OFFSET($A$1, 54 - 1, 7 - 1)), "1","0")</f>
        <v>0</v>
      </c>
      <c r="CT48">
        <f ca="1" xml:space="preserve"> IF( AND( OFFSET($A$1, 48 - 1, 96 - 1) = "1", OFFSET($A$1, 48 - 1, 97 - 1) = "1" ), 1, IF( AND( OFFSET($A$1, 48 - 1, 96 - 1) = "1", OFFSET($A$1, 48 - 1, 97 - 1) = "0" ), 2, IF( AND( OFFSET($A$1, 48 - 1, 96 - 1) = "0", OFFSET($A$1, 48 - 1, 97 - 1) = "1" ), 3, 4 ) ) )</f>
        <v>4</v>
      </c>
      <c r="CV48" s="24">
        <v>0.99200584999123675</v>
      </c>
      <c r="CW48" s="24" t="str">
        <f>"1"</f>
        <v>1</v>
      </c>
      <c r="CX48" t="str">
        <f ca="1">IF((OFFSET($A$1, 48 - 1, 100 - 1)) &gt;= (OFFSET($A$1, 78 - 1, 7 - 1)), "1","0")</f>
        <v>1</v>
      </c>
      <c r="CY48">
        <f ca="1" xml:space="preserve"> IF( AND( OFFSET($A$1, 48 - 1, 101 - 1) = "1", OFFSET($A$1, 48 - 1, 102 - 1) = "1" ), 1, IF( AND( OFFSET($A$1, 48 - 1, 101 - 1) = "1", OFFSET($A$1, 48 - 1, 102 - 1) = "0" ), 2, IF( AND( OFFSET($A$1, 48 - 1, 101 - 1) = "0", OFFSET($A$1, 48 - 1, 102 - 1) = "1" ), 3, 4 ) ) )</f>
        <v>1</v>
      </c>
    </row>
    <row r="49" spans="2:103" ht="13.8" x14ac:dyDescent="0.3">
      <c r="C49" s="25">
        <v>1</v>
      </c>
      <c r="D49" s="24">
        <v>0.71500000000000008</v>
      </c>
      <c r="CQ49" s="24">
        <v>0.94793909425259515</v>
      </c>
      <c r="CR49" s="24" t="str">
        <f t="shared" ref="CR49:CR55" si="4">"1"</f>
        <v>1</v>
      </c>
      <c r="CS49" t="str">
        <f ca="1">IF((OFFSET($A$1, 49 - 1, 95 - 1)) &gt;= (OFFSET($A$1, 54 - 1, 7 - 1)), "1","0")</f>
        <v>1</v>
      </c>
      <c r="CT49">
        <f ca="1" xml:space="preserve"> IF( AND( OFFSET($A$1, 49 - 1, 96 - 1) = "1", OFFSET($A$1, 49 - 1, 97 - 1) = "1" ), 1, IF( AND( OFFSET($A$1, 49 - 1, 96 - 1) = "1", OFFSET($A$1, 49 - 1, 97 - 1) = "0" ), 2, IF( AND( OFFSET($A$1, 49 - 1, 96 - 1) = "0", OFFSET($A$1, 49 - 1, 97 - 1) = "1" ), 3, 4 ) ) )</f>
        <v>1</v>
      </c>
      <c r="CV49" s="24">
        <v>0.99953118855785461</v>
      </c>
      <c r="CW49" s="24" t="str">
        <f>"1"</f>
        <v>1</v>
      </c>
      <c r="CX49" t="str">
        <f ca="1">IF((OFFSET($A$1, 49 - 1, 100 - 1)) &gt;= (OFFSET($A$1, 78 - 1, 7 - 1)), "1","0")</f>
        <v>1</v>
      </c>
      <c r="CY49">
        <f ca="1" xml:space="preserve"> IF( AND( OFFSET($A$1, 49 - 1, 101 - 1) = "1", OFFSET($A$1, 49 - 1, 102 - 1) = "1" ), 1, IF( AND( OFFSET($A$1, 49 - 1, 101 - 1) = "1", OFFSET($A$1, 49 - 1, 102 - 1) = "0" ), 2, IF( AND( OFFSET($A$1, 49 - 1, 101 - 1) = "0", OFFSET($A$1, 49 - 1, 102 - 1) = "1" ), 3, 4 ) ) )</f>
        <v>1</v>
      </c>
    </row>
    <row r="50" spans="2:103" ht="13.8" x14ac:dyDescent="0.3">
      <c r="CQ50" s="24">
        <v>0.99977560145930999</v>
      </c>
      <c r="CR50" s="24" t="str">
        <f t="shared" si="4"/>
        <v>1</v>
      </c>
      <c r="CS50" t="str">
        <f ca="1">IF((OFFSET($A$1, 50 - 1, 95 - 1)) &gt;= (OFFSET($A$1, 54 - 1, 7 - 1)), "1","0")</f>
        <v>1</v>
      </c>
      <c r="CT50">
        <f ca="1" xml:space="preserve"> IF( AND( OFFSET($A$1, 50 - 1, 96 - 1) = "1", OFFSET($A$1, 50 - 1, 97 - 1) = "1" ), 1, IF( AND( OFFSET($A$1, 50 - 1, 96 - 1) = "1", OFFSET($A$1, 50 - 1, 97 - 1) = "0" ), 2, IF( AND( OFFSET($A$1, 50 - 1, 96 - 1) = "0", OFFSET($A$1, 50 - 1, 97 - 1) = "1" ), 3, 4 ) ) )</f>
        <v>1</v>
      </c>
      <c r="CV50" s="24">
        <v>0.8634558741080528</v>
      </c>
      <c r="CW50" s="24" t="str">
        <f>"0"</f>
        <v>0</v>
      </c>
      <c r="CX50" t="str">
        <f ca="1">IF((OFFSET($A$1, 50 - 1, 100 - 1)) &gt;= (OFFSET($A$1, 78 - 1, 7 - 1)), "1","0")</f>
        <v>1</v>
      </c>
      <c r="CY50">
        <f ca="1" xml:space="preserve"> IF( AND( OFFSET($A$1, 50 - 1, 101 - 1) = "1", OFFSET($A$1, 50 - 1, 102 - 1) = "1" ), 1, IF( AND( OFFSET($A$1, 50 - 1, 101 - 1) = "1", OFFSET($A$1, 50 - 1, 102 - 1) = "0" ), 2, IF( AND( OFFSET($A$1, 50 - 1, 101 - 1) = "0", OFFSET($A$1, 50 - 1, 102 - 1) = "1" ), 3, 4 ) ) )</f>
        <v>3</v>
      </c>
    </row>
    <row r="51" spans="2:103" ht="13.8" x14ac:dyDescent="0.3">
      <c r="CQ51" s="24">
        <v>0.95502142531008793</v>
      </c>
      <c r="CR51" s="24" t="str">
        <f t="shared" si="4"/>
        <v>1</v>
      </c>
      <c r="CS51" t="str">
        <f ca="1">IF((OFFSET($A$1, 51 - 1, 95 - 1)) &gt;= (OFFSET($A$1, 54 - 1, 7 - 1)), "1","0")</f>
        <v>1</v>
      </c>
      <c r="CT51">
        <f ca="1" xml:space="preserve"> IF( AND( OFFSET($A$1, 51 - 1, 96 - 1) = "1", OFFSET($A$1, 51 - 1, 97 - 1) = "1" ), 1, IF( AND( OFFSET($A$1, 51 - 1, 96 - 1) = "1", OFFSET($A$1, 51 - 1, 97 - 1) = "0" ), 2, IF( AND( OFFSET($A$1, 51 - 1, 96 - 1) = "0", OFFSET($A$1, 51 - 1, 97 - 1) = "1" ), 3, 4 ) ) )</f>
        <v>1</v>
      </c>
      <c r="CV51" s="24">
        <v>0.92970574437497455</v>
      </c>
      <c r="CW51" s="24" t="str">
        <f>"1"</f>
        <v>1</v>
      </c>
      <c r="CX51" t="str">
        <f ca="1">IF((OFFSET($A$1, 51 - 1, 100 - 1)) &gt;= (OFFSET($A$1, 78 - 1, 7 - 1)), "1","0")</f>
        <v>1</v>
      </c>
      <c r="CY51">
        <f ca="1" xml:space="preserve"> IF( AND( OFFSET($A$1, 51 - 1, 101 - 1) = "1", OFFSET($A$1, 51 - 1, 102 - 1) = "1" ), 1, IF( AND( OFFSET($A$1, 51 - 1, 101 - 1) = "1", OFFSET($A$1, 51 - 1, 102 - 1) = "0" ), 2, IF( AND( OFFSET($A$1, 51 - 1, 101 - 1) = "0", OFFSET($A$1, 51 - 1, 102 - 1) = "1" ), 3, 4 ) ) )</f>
        <v>1</v>
      </c>
    </row>
    <row r="52" spans="2:103" ht="18" x14ac:dyDescent="0.35">
      <c r="B52" s="22" t="s">
        <v>705</v>
      </c>
      <c r="CQ52" s="24">
        <v>0.9360747500194454</v>
      </c>
      <c r="CR52" s="24" t="str">
        <f t="shared" si="4"/>
        <v>1</v>
      </c>
      <c r="CS52" t="str">
        <f ca="1">IF((OFFSET($A$1, 52 - 1, 95 - 1)) &gt;= (OFFSET($A$1, 54 - 1, 7 - 1)), "1","0")</f>
        <v>1</v>
      </c>
      <c r="CT52">
        <f ca="1" xml:space="preserve"> IF( AND( OFFSET($A$1, 52 - 1, 96 - 1) = "1", OFFSET($A$1, 52 - 1, 97 - 1) = "1" ), 1, IF( AND( OFFSET($A$1, 52 - 1, 96 - 1) = "1", OFFSET($A$1, 52 - 1, 97 - 1) = "0" ), 2, IF( AND( OFFSET($A$1, 52 - 1, 96 - 1) = "0", OFFSET($A$1, 52 - 1, 97 - 1) = "1" ), 3, 4 ) ) )</f>
        <v>1</v>
      </c>
      <c r="CV52" s="24">
        <v>0.99778753986765489</v>
      </c>
      <c r="CW52" s="24" t="str">
        <f>"0"</f>
        <v>0</v>
      </c>
      <c r="CX52" t="str">
        <f ca="1">IF((OFFSET($A$1, 52 - 1, 100 - 1)) &gt;= (OFFSET($A$1, 78 - 1, 7 - 1)), "1","0")</f>
        <v>1</v>
      </c>
      <c r="CY52">
        <f ca="1" xml:space="preserve"> IF( AND( OFFSET($A$1, 52 - 1, 101 - 1) = "1", OFFSET($A$1, 52 - 1, 102 - 1) = "1" ), 1, IF( AND( OFFSET($A$1, 52 - 1, 101 - 1) = "1", OFFSET($A$1, 52 - 1, 102 - 1) = "0" ), 2, IF( AND( OFFSET($A$1, 52 - 1, 101 - 1) = "0", OFFSET($A$1, 52 - 1, 102 - 1) = "1" ), 3, 4 ) ) )</f>
        <v>3</v>
      </c>
    </row>
    <row r="53" spans="2:103" ht="13.8" x14ac:dyDescent="0.3">
      <c r="CQ53" s="24">
        <v>0.97201501417162217</v>
      </c>
      <c r="CR53" s="24" t="str">
        <f t="shared" si="4"/>
        <v>1</v>
      </c>
      <c r="CS53" t="str">
        <f ca="1">IF((OFFSET($A$1, 53 - 1, 95 - 1)) &gt;= (OFFSET($A$1, 54 - 1, 7 - 1)), "1","0")</f>
        <v>1</v>
      </c>
      <c r="CT53">
        <f ca="1" xml:space="preserve"> IF( AND( OFFSET($A$1, 53 - 1, 96 - 1) = "1", OFFSET($A$1, 53 - 1, 97 - 1) = "1" ), 1, IF( AND( OFFSET($A$1, 53 - 1, 96 - 1) = "1", OFFSET($A$1, 53 - 1, 97 - 1) = "0" ), 2, IF( AND( OFFSET($A$1, 53 - 1, 96 - 1) = "0", OFFSET($A$1, 53 - 1, 97 - 1) = "1" ), 3, 4 ) ) )</f>
        <v>1</v>
      </c>
      <c r="CV53" s="24">
        <v>0.94223821394514629</v>
      </c>
      <c r="CW53" s="24" t="str">
        <f>"0"</f>
        <v>0</v>
      </c>
      <c r="CX53" t="str">
        <f ca="1">IF((OFFSET($A$1, 53 - 1, 100 - 1)) &gt;= (OFFSET($A$1, 78 - 1, 7 - 1)), "1","0")</f>
        <v>1</v>
      </c>
      <c r="CY53">
        <f ca="1" xml:space="preserve"> IF( AND( OFFSET($A$1, 53 - 1, 101 - 1) = "1", OFFSET($A$1, 53 - 1, 102 - 1) = "1" ), 1, IF( AND( OFFSET($A$1, 53 - 1, 101 - 1) = "1", OFFSET($A$1, 53 - 1, 102 - 1) = "0" ), 2, IF( AND( OFFSET($A$1, 53 - 1, 101 - 1) = "0", OFFSET($A$1, 53 - 1, 102 - 1) = "1" ), 3, 4 ) ) )</f>
        <v>3</v>
      </c>
    </row>
    <row r="54" spans="2:103" ht="13.8" x14ac:dyDescent="0.3">
      <c r="C54" s="72" t="s">
        <v>706</v>
      </c>
      <c r="D54" s="73"/>
      <c r="E54" s="73"/>
      <c r="F54" s="74"/>
      <c r="G54" s="35">
        <v>0.5</v>
      </c>
      <c r="H54" s="72" t="s">
        <v>707</v>
      </c>
      <c r="I54" s="73"/>
      <c r="J54" s="73"/>
      <c r="K54" s="73"/>
      <c r="L54" s="73"/>
      <c r="M54" s="74"/>
      <c r="CQ54" s="24">
        <v>0.97020705895221504</v>
      </c>
      <c r="CR54" s="24" t="str">
        <f t="shared" si="4"/>
        <v>1</v>
      </c>
      <c r="CS54" t="str">
        <f ca="1">IF((OFFSET($A$1, 54 - 1, 95 - 1)) &gt;= (OFFSET($A$1, 54 - 1, 7 - 1)), "1","0")</f>
        <v>1</v>
      </c>
      <c r="CT54">
        <f ca="1" xml:space="preserve"> IF( AND( OFFSET($A$1, 54 - 1, 96 - 1) = "1", OFFSET($A$1, 54 - 1, 97 - 1) = "1" ), 1, IF( AND( OFFSET($A$1, 54 - 1, 96 - 1) = "1", OFFSET($A$1, 54 - 1, 97 - 1) = "0" ), 2, IF( AND( OFFSET($A$1, 54 - 1, 96 - 1) = "0", OFFSET($A$1, 54 - 1, 97 - 1) = "1" ), 3, 4 ) ) )</f>
        <v>1</v>
      </c>
      <c r="CV54" s="24">
        <v>0.96448907659647509</v>
      </c>
      <c r="CW54" s="24" t="str">
        <f>"1"</f>
        <v>1</v>
      </c>
      <c r="CX54" t="str">
        <f ca="1">IF((OFFSET($A$1, 54 - 1, 100 - 1)) &gt;= (OFFSET($A$1, 78 - 1, 7 - 1)), "1","0")</f>
        <v>1</v>
      </c>
      <c r="CY54">
        <f ca="1" xml:space="preserve"> IF( AND( OFFSET($A$1, 54 - 1, 101 - 1) = "1", OFFSET($A$1, 54 - 1, 102 - 1) = "1" ), 1, IF( AND( OFFSET($A$1, 54 - 1, 101 - 1) = "1", OFFSET($A$1, 54 - 1, 102 - 1) = "0" ), 2, IF( AND( OFFSET($A$1, 54 - 1, 101 - 1) = "0", OFFSET($A$1, 54 - 1, 102 - 1) = "1" ), 3, 4 ) ) )</f>
        <v>1</v>
      </c>
    </row>
    <row r="55" spans="2:103" ht="13.8" x14ac:dyDescent="0.3">
      <c r="CQ55" s="24">
        <v>0.92890314981366262</v>
      </c>
      <c r="CR55" s="24" t="str">
        <f t="shared" si="4"/>
        <v>1</v>
      </c>
      <c r="CS55" t="str">
        <f ca="1">IF((OFFSET($A$1, 55 - 1, 95 - 1)) &gt;= (OFFSET($A$1, 54 - 1, 7 - 1)), "1","0")</f>
        <v>1</v>
      </c>
      <c r="CT55">
        <f ca="1" xml:space="preserve"> IF( AND( OFFSET($A$1, 55 - 1, 96 - 1) = "1", OFFSET($A$1, 55 - 1, 97 - 1) = "1" ), 1, IF( AND( OFFSET($A$1, 55 - 1, 96 - 1) = "1", OFFSET($A$1, 55 - 1, 97 - 1) = "0" ), 2, IF( AND( OFFSET($A$1, 55 - 1, 96 - 1) = "0", OFFSET($A$1, 55 - 1, 97 - 1) = "1" ), 3, 4 ) ) )</f>
        <v>1</v>
      </c>
      <c r="CV55" s="24">
        <v>0.90745386112901638</v>
      </c>
      <c r="CW55" s="24" t="str">
        <f>"0"</f>
        <v>0</v>
      </c>
      <c r="CX55" t="str">
        <f ca="1">IF((OFFSET($A$1, 55 - 1, 100 - 1)) &gt;= (OFFSET($A$1, 78 - 1, 7 - 1)), "1","0")</f>
        <v>1</v>
      </c>
      <c r="CY55">
        <f ca="1" xml:space="preserve"> IF( AND( OFFSET($A$1, 55 - 1, 101 - 1) = "1", OFFSET($A$1, 55 - 1, 102 - 1) = "1" ), 1, IF( AND( OFFSET($A$1, 55 - 1, 101 - 1) = "1", OFFSET($A$1, 55 - 1, 102 - 1) = "0" ), 2, IF( AND( OFFSET($A$1, 55 - 1, 101 - 1) = "0", OFFSET($A$1, 55 - 1, 102 - 1) = "1" ), 3, 4 ) ) )</f>
        <v>3</v>
      </c>
    </row>
    <row r="56" spans="2:103" ht="15.6" x14ac:dyDescent="0.3">
      <c r="C56" s="59" t="s">
        <v>329</v>
      </c>
      <c r="D56" s="60"/>
      <c r="E56" s="61"/>
      <c r="CQ56" s="24">
        <v>9.1700637116739481E-2</v>
      </c>
      <c r="CR56" s="24" t="str">
        <f>"0"</f>
        <v>0</v>
      </c>
      <c r="CS56" t="str">
        <f ca="1">IF((OFFSET($A$1, 56 - 1, 95 - 1)) &gt;= (OFFSET($A$1, 54 - 1, 7 - 1)), "1","0")</f>
        <v>0</v>
      </c>
      <c r="CT56">
        <f ca="1" xml:space="preserve"> IF( AND( OFFSET($A$1, 56 - 1, 96 - 1) = "1", OFFSET($A$1, 56 - 1, 97 - 1) = "1" ), 1, IF( AND( OFFSET($A$1, 56 - 1, 96 - 1) = "1", OFFSET($A$1, 56 - 1, 97 - 1) = "0" ), 2, IF( AND( OFFSET($A$1, 56 - 1, 96 - 1) = "0", OFFSET($A$1, 56 - 1, 97 - 1) = "1" ), 3, 4 ) ) )</f>
        <v>4</v>
      </c>
      <c r="CV56" s="24">
        <v>0.99773731291759338</v>
      </c>
      <c r="CW56" s="24" t="str">
        <f>"0"</f>
        <v>0</v>
      </c>
      <c r="CX56" t="str">
        <f ca="1">IF((OFFSET($A$1, 56 - 1, 100 - 1)) &gt;= (OFFSET($A$1, 78 - 1, 7 - 1)), "1","0")</f>
        <v>1</v>
      </c>
      <c r="CY56">
        <f ca="1" xml:space="preserve"> IF( AND( OFFSET($A$1, 56 - 1, 101 - 1) = "1", OFFSET($A$1, 56 - 1, 102 - 1) = "1" ), 1, IF( AND( OFFSET($A$1, 56 - 1, 101 - 1) = "1", OFFSET($A$1, 56 - 1, 102 - 1) = "0" ), 2, IF( AND( OFFSET($A$1, 56 - 1, 101 - 1) = "0", OFFSET($A$1, 56 - 1, 102 - 1) = "1" ), 3, 4 ) ) )</f>
        <v>3</v>
      </c>
    </row>
    <row r="57" spans="2:103" ht="13.8" x14ac:dyDescent="0.3">
      <c r="C57" s="26"/>
      <c r="D57" s="75" t="s">
        <v>330</v>
      </c>
      <c r="E57" s="76"/>
      <c r="CQ57" s="24">
        <v>5.0457346503322398E-2</v>
      </c>
      <c r="CR57" s="24" t="str">
        <f>"0"</f>
        <v>0</v>
      </c>
      <c r="CS57" t="str">
        <f ca="1">IF((OFFSET($A$1, 57 - 1, 95 - 1)) &gt;= (OFFSET($A$1, 54 - 1, 7 - 1)), "1","0")</f>
        <v>0</v>
      </c>
      <c r="CT57">
        <f ca="1" xml:space="preserve"> IF( AND( OFFSET($A$1, 57 - 1, 96 - 1) = "1", OFFSET($A$1, 57 - 1, 97 - 1) = "1" ), 1, IF( AND( OFFSET($A$1, 57 - 1, 96 - 1) = "1", OFFSET($A$1, 57 - 1, 97 - 1) = "0" ), 2, IF( AND( OFFSET($A$1, 57 - 1, 96 - 1) = "0", OFFSET($A$1, 57 - 1, 97 - 1) = "1" ), 3, 4 ) ) )</f>
        <v>4</v>
      </c>
      <c r="CV57" s="24">
        <v>0.52187526333900425</v>
      </c>
      <c r="CW57" s="24" t="str">
        <f>"0"</f>
        <v>0</v>
      </c>
      <c r="CX57" t="str">
        <f ca="1">IF((OFFSET($A$1, 57 - 1, 100 - 1)) &gt;= (OFFSET($A$1, 78 - 1, 7 - 1)), "1","0")</f>
        <v>1</v>
      </c>
      <c r="CY57">
        <f ca="1" xml:space="preserve"> IF( AND( OFFSET($A$1, 57 - 1, 101 - 1) = "1", OFFSET($A$1, 57 - 1, 102 - 1) = "1" ), 1, IF( AND( OFFSET($A$1, 57 - 1, 101 - 1) = "1", OFFSET($A$1, 57 - 1, 102 - 1) = "0" ), 2, IF( AND( OFFSET($A$1, 57 - 1, 101 - 1) = "0", OFFSET($A$1, 57 - 1, 102 - 1) = "1" ), 3, 4 ) ) )</f>
        <v>3</v>
      </c>
    </row>
    <row r="58" spans="2:103" ht="13.8" x14ac:dyDescent="0.3">
      <c r="C58" s="25" t="s">
        <v>331</v>
      </c>
      <c r="D58" s="26">
        <v>1</v>
      </c>
      <c r="E58" s="26">
        <v>0</v>
      </c>
      <c r="CQ58" s="24">
        <v>0.87481408323042986</v>
      </c>
      <c r="CR58" s="24" t="str">
        <f>"1"</f>
        <v>1</v>
      </c>
      <c r="CS58" t="str">
        <f ca="1">IF((OFFSET($A$1, 58 - 1, 95 - 1)) &gt;= (OFFSET($A$1, 54 - 1, 7 - 1)), "1","0")</f>
        <v>1</v>
      </c>
      <c r="CT58">
        <f ca="1" xml:space="preserve"> IF( AND( OFFSET($A$1, 58 - 1, 96 - 1) = "1", OFFSET($A$1, 58 - 1, 97 - 1) = "1" ), 1, IF( AND( OFFSET($A$1, 58 - 1, 96 - 1) = "1", OFFSET($A$1, 58 - 1, 97 - 1) = "0" ), 2, IF( AND( OFFSET($A$1, 58 - 1, 96 - 1) = "0", OFFSET($A$1, 58 - 1, 97 - 1) = "1" ), 3, 4 ) ) )</f>
        <v>1</v>
      </c>
      <c r="CV58" s="24">
        <v>0.9772000588942088</v>
      </c>
      <c r="CW58" s="24" t="str">
        <f>"1"</f>
        <v>1</v>
      </c>
      <c r="CX58" t="str">
        <f ca="1">IF((OFFSET($A$1, 58 - 1, 100 - 1)) &gt;= (OFFSET($A$1, 78 - 1, 7 - 1)), "1","0")</f>
        <v>1</v>
      </c>
      <c r="CY58">
        <f ca="1" xml:space="preserve"> IF( AND( OFFSET($A$1, 58 - 1, 101 - 1) = "1", OFFSET($A$1, 58 - 1, 102 - 1) = "1" ), 1, IF( AND( OFFSET($A$1, 58 - 1, 101 - 1) = "1", OFFSET($A$1, 58 - 1, 102 - 1) = "0" ), 2, IF( AND( OFFSET($A$1, 58 - 1, 101 - 1) = "0", OFFSET($A$1, 58 - 1, 102 - 1) = "1" ), 3, 4 ) ) )</f>
        <v>1</v>
      </c>
    </row>
    <row r="59" spans="2:103" ht="13.8" x14ac:dyDescent="0.3">
      <c r="C59" s="25">
        <v>1</v>
      </c>
      <c r="D59" s="24">
        <f ca="1" xml:space="preserve"> COUNTIF( OFFSET($A$1, 1 - 1, 98 - 1, 601, 1), 1 )</f>
        <v>428</v>
      </c>
      <c r="E59" s="24">
        <f ca="1" xml:space="preserve"> COUNTIF( OFFSET($A$1, 1 - 1, 98 - 1, 601, 1), 2 )</f>
        <v>1</v>
      </c>
      <c r="CQ59" s="24">
        <v>0.97688287065389967</v>
      </c>
      <c r="CR59" s="24" t="str">
        <f>"1"</f>
        <v>1</v>
      </c>
      <c r="CS59" t="str">
        <f ca="1">IF((OFFSET($A$1, 59 - 1, 95 - 1)) &gt;= (OFFSET($A$1, 54 - 1, 7 - 1)), "1","0")</f>
        <v>1</v>
      </c>
      <c r="CT59">
        <f ca="1" xml:space="preserve"> IF( AND( OFFSET($A$1, 59 - 1, 96 - 1) = "1", OFFSET($A$1, 59 - 1, 97 - 1) = "1" ), 1, IF( AND( OFFSET($A$1, 59 - 1, 96 - 1) = "1", OFFSET($A$1, 59 - 1, 97 - 1) = "0" ), 2, IF( AND( OFFSET($A$1, 59 - 1, 96 - 1) = "0", OFFSET($A$1, 59 - 1, 97 - 1) = "1" ), 3, 4 ) ) )</f>
        <v>1</v>
      </c>
      <c r="CV59" s="24">
        <v>0.91683476670327646</v>
      </c>
      <c r="CW59" s="24" t="str">
        <f>"1"</f>
        <v>1</v>
      </c>
      <c r="CX59" t="str">
        <f ca="1">IF((OFFSET($A$1, 59 - 1, 100 - 1)) &gt;= (OFFSET($A$1, 78 - 1, 7 - 1)), "1","0")</f>
        <v>1</v>
      </c>
      <c r="CY59">
        <f ca="1" xml:space="preserve"> IF( AND( OFFSET($A$1, 59 - 1, 101 - 1) = "1", OFFSET($A$1, 59 - 1, 102 - 1) = "1" ), 1, IF( AND( OFFSET($A$1, 59 - 1, 101 - 1) = "1", OFFSET($A$1, 59 - 1, 102 - 1) = "0" ), 2, IF( AND( OFFSET($A$1, 59 - 1, 101 - 1) = "0", OFFSET($A$1, 59 - 1, 102 - 1) = "1" ), 3, 4 ) ) )</f>
        <v>1</v>
      </c>
    </row>
    <row r="60" spans="2:103" ht="13.8" x14ac:dyDescent="0.3">
      <c r="C60" s="25">
        <v>0</v>
      </c>
      <c r="D60" s="24">
        <f ca="1" xml:space="preserve"> COUNTIF( OFFSET($A$1, 1 - 1, 98 - 1, 601, 1), 3 )</f>
        <v>5</v>
      </c>
      <c r="E60" s="24">
        <f ca="1" xml:space="preserve"> COUNTIF( OFFSET($A$1, 1 - 1, 98 - 1, 601, 1), 4 )</f>
        <v>166</v>
      </c>
      <c r="CQ60" s="24">
        <v>0.99504038003185891</v>
      </c>
      <c r="CR60" s="24" t="str">
        <f>"1"</f>
        <v>1</v>
      </c>
      <c r="CS60" t="str">
        <f ca="1">IF((OFFSET($A$1, 60 - 1, 95 - 1)) &gt;= (OFFSET($A$1, 54 - 1, 7 - 1)), "1","0")</f>
        <v>1</v>
      </c>
      <c r="CT60">
        <f ca="1" xml:space="preserve"> IF( AND( OFFSET($A$1, 60 - 1, 96 - 1) = "1", OFFSET($A$1, 60 - 1, 97 - 1) = "1" ), 1, IF( AND( OFFSET($A$1, 60 - 1, 96 - 1) = "1", OFFSET($A$1, 60 - 1, 97 - 1) = "0" ), 2, IF( AND( OFFSET($A$1, 60 - 1, 96 - 1) = "0", OFFSET($A$1, 60 - 1, 97 - 1) = "1" ), 3, 4 ) ) )</f>
        <v>1</v>
      </c>
      <c r="CV60" s="24">
        <v>3.0723709483662749E-3</v>
      </c>
      <c r="CW60" s="24" t="str">
        <f>"0"</f>
        <v>0</v>
      </c>
      <c r="CX60" t="str">
        <f ca="1">IF((OFFSET($A$1, 60 - 1, 100 - 1)) &gt;= (OFFSET($A$1, 78 - 1, 7 - 1)), "1","0")</f>
        <v>0</v>
      </c>
      <c r="CY60">
        <f ca="1" xml:space="preserve"> IF( AND( OFFSET($A$1, 60 - 1, 101 - 1) = "1", OFFSET($A$1, 60 - 1, 102 - 1) = "1" ), 1, IF( AND( OFFSET($A$1, 60 - 1, 101 - 1) = "1", OFFSET($A$1, 60 - 1, 102 - 1) = "0" ), 2, IF( AND( OFFSET($A$1, 60 - 1, 101 - 1) = "0", OFFSET($A$1, 60 - 1, 102 - 1) = "1" ), 3, 4 ) ) )</f>
        <v>4</v>
      </c>
    </row>
    <row r="61" spans="2:103" ht="13.8" x14ac:dyDescent="0.3">
      <c r="CQ61" s="24">
        <v>0.93132770431376521</v>
      </c>
      <c r="CR61" s="24" t="str">
        <f>"1"</f>
        <v>1</v>
      </c>
      <c r="CS61" t="str">
        <f ca="1">IF((OFFSET($A$1, 61 - 1, 95 - 1)) &gt;= (OFFSET($A$1, 54 - 1, 7 - 1)), "1","0")</f>
        <v>1</v>
      </c>
      <c r="CT61">
        <f ca="1" xml:space="preserve"> IF( AND( OFFSET($A$1, 61 - 1, 96 - 1) = "1", OFFSET($A$1, 61 - 1, 97 - 1) = "1" ), 1, IF( AND( OFFSET($A$1, 61 - 1, 96 - 1) = "1", OFFSET($A$1, 61 - 1, 97 - 1) = "0" ), 2, IF( AND( OFFSET($A$1, 61 - 1, 96 - 1) = "0", OFFSET($A$1, 61 - 1, 97 - 1) = "1" ), 3, 4 ) ) )</f>
        <v>1</v>
      </c>
      <c r="CV61" s="24">
        <v>0.95030837852996486</v>
      </c>
      <c r="CW61" s="24" t="str">
        <f>"0"</f>
        <v>0</v>
      </c>
      <c r="CX61" t="str">
        <f ca="1">IF((OFFSET($A$1, 61 - 1, 100 - 1)) &gt;= (OFFSET($A$1, 78 - 1, 7 - 1)), "1","0")</f>
        <v>1</v>
      </c>
      <c r="CY61">
        <f ca="1" xml:space="preserve"> IF( AND( OFFSET($A$1, 61 - 1, 101 - 1) = "1", OFFSET($A$1, 61 - 1, 102 - 1) = "1" ), 1, IF( AND( OFFSET($A$1, 61 - 1, 101 - 1) = "1", OFFSET($A$1, 61 - 1, 102 - 1) = "0" ), 2, IF( AND( OFFSET($A$1, 61 - 1, 101 - 1) = "0", OFFSET($A$1, 61 - 1, 102 - 1) = "1" ), 3, 4 ) ) )</f>
        <v>3</v>
      </c>
    </row>
    <row r="62" spans="2:103" ht="15.6" x14ac:dyDescent="0.3">
      <c r="C62" s="59" t="s">
        <v>210</v>
      </c>
      <c r="D62" s="60"/>
      <c r="E62" s="60"/>
      <c r="F62" s="61"/>
      <c r="CQ62" s="24">
        <v>0.90882511192783155</v>
      </c>
      <c r="CR62" s="24" t="str">
        <f>"1"</f>
        <v>1</v>
      </c>
      <c r="CS62" t="str">
        <f ca="1">IF((OFFSET($A$1, 62 - 1, 95 - 1)) &gt;= (OFFSET($A$1, 54 - 1, 7 - 1)), "1","0")</f>
        <v>1</v>
      </c>
      <c r="CT62">
        <f ca="1" xml:space="preserve"> IF( AND( OFFSET($A$1, 62 - 1, 96 - 1) = "1", OFFSET($A$1, 62 - 1, 97 - 1) = "1" ), 1, IF( AND( OFFSET($A$1, 62 - 1, 96 - 1) = "1", OFFSET($A$1, 62 - 1, 97 - 1) = "0" ), 2, IF( AND( OFFSET($A$1, 62 - 1, 96 - 1) = "0", OFFSET($A$1, 62 - 1, 97 - 1) = "1" ), 3, 4 ) ) )</f>
        <v>1</v>
      </c>
      <c r="CV62" s="24">
        <v>0.26787052071055056</v>
      </c>
      <c r="CW62" s="24" t="str">
        <f>"1"</f>
        <v>1</v>
      </c>
      <c r="CX62" t="str">
        <f ca="1">IF((OFFSET($A$1, 62 - 1, 100 - 1)) &gt;= (OFFSET($A$1, 78 - 1, 7 - 1)), "1","0")</f>
        <v>0</v>
      </c>
      <c r="CY62">
        <f ca="1" xml:space="preserve"> IF( AND( OFFSET($A$1, 62 - 1, 101 - 1) = "1", OFFSET($A$1, 62 - 1, 102 - 1) = "1" ), 1, IF( AND( OFFSET($A$1, 62 - 1, 101 - 1) = "1", OFFSET($A$1, 62 - 1, 102 - 1) = "0" ), 2, IF( AND( OFFSET($A$1, 62 - 1, 101 - 1) = "0", OFFSET($A$1, 62 - 1, 102 - 1) = "1" ), 3, 4 ) ) )</f>
        <v>2</v>
      </c>
    </row>
    <row r="63" spans="2:103" ht="13.8" x14ac:dyDescent="0.3">
      <c r="C63" s="26" t="s">
        <v>332</v>
      </c>
      <c r="D63" s="26" t="s">
        <v>333</v>
      </c>
      <c r="E63" s="26" t="s">
        <v>334</v>
      </c>
      <c r="F63" s="26" t="s">
        <v>335</v>
      </c>
      <c r="CQ63" s="24">
        <v>7.0363610860988413E-2</v>
      </c>
      <c r="CR63" s="24" t="str">
        <f>"0"</f>
        <v>0</v>
      </c>
      <c r="CS63" t="str">
        <f ca="1">IF((OFFSET($A$1, 63 - 1, 95 - 1)) &gt;= (OFFSET($A$1, 54 - 1, 7 - 1)), "1","0")</f>
        <v>0</v>
      </c>
      <c r="CT63">
        <f ca="1" xml:space="preserve"> IF( AND( OFFSET($A$1, 63 - 1, 96 - 1) = "1", OFFSET($A$1, 63 - 1, 97 - 1) = "1" ), 1, IF( AND( OFFSET($A$1, 63 - 1, 96 - 1) = "1", OFFSET($A$1, 63 - 1, 97 - 1) = "0" ), 2, IF( AND( OFFSET($A$1, 63 - 1, 96 - 1) = "0", OFFSET($A$1, 63 - 1, 97 - 1) = "1" ), 3, 4 ) ) )</f>
        <v>4</v>
      </c>
      <c r="CV63" s="24">
        <v>0.52135618830060426</v>
      </c>
      <c r="CW63" s="24" t="str">
        <f>"0"</f>
        <v>0</v>
      </c>
      <c r="CX63" t="str">
        <f ca="1">IF((OFFSET($A$1, 63 - 1, 100 - 1)) &gt;= (OFFSET($A$1, 78 - 1, 7 - 1)), "1","0")</f>
        <v>1</v>
      </c>
      <c r="CY63">
        <f ca="1" xml:space="preserve"> IF( AND( OFFSET($A$1, 63 - 1, 101 - 1) = "1", OFFSET($A$1, 63 - 1, 102 - 1) = "1" ), 1, IF( AND( OFFSET($A$1, 63 - 1, 101 - 1) = "1", OFFSET($A$1, 63 - 1, 102 - 1) = "0" ), 2, IF( AND( OFFSET($A$1, 63 - 1, 101 - 1) = "0", OFFSET($A$1, 63 - 1, 102 - 1) = "1" ), 3, 4 ) ) )</f>
        <v>3</v>
      </c>
    </row>
    <row r="64" spans="2:103" ht="13.8" x14ac:dyDescent="0.3">
      <c r="C64" s="25">
        <v>1</v>
      </c>
      <c r="D64" s="24">
        <f ca="1">SUM(OFFSET($A$1, 59 - 1, 4 - 1, 1, 2))</f>
        <v>429</v>
      </c>
      <c r="E64" s="24">
        <f ca="1">SUM(OFFSET($A$1, 59 - 1, 4 - 1, 1, 2)) - OFFSET($A$1, 59 - 1, 4 - 1)</f>
        <v>1</v>
      </c>
      <c r="F64" s="24">
        <f ca="1">IF(OFFSET($A$1, 64 - 1, 4 - 1)=0,"Undefined",((OFFSET($A$1, 64 - 1, 5 - 1))*100) / (OFFSET($A$1, 64 - 1, 4 - 1)))</f>
        <v>0.23310023310023309</v>
      </c>
      <c r="CQ64" s="24">
        <v>0.95450776011934335</v>
      </c>
      <c r="CR64" s="24" t="str">
        <f>"1"</f>
        <v>1</v>
      </c>
      <c r="CS64" t="str">
        <f ca="1">IF((OFFSET($A$1, 64 - 1, 95 - 1)) &gt;= (OFFSET($A$1, 54 - 1, 7 - 1)), "1","0")</f>
        <v>1</v>
      </c>
      <c r="CT64">
        <f ca="1" xml:space="preserve"> IF( AND( OFFSET($A$1, 64 - 1, 96 - 1) = "1", OFFSET($A$1, 64 - 1, 97 - 1) = "1" ), 1, IF( AND( OFFSET($A$1, 64 - 1, 96 - 1) = "1", OFFSET($A$1, 64 - 1, 97 - 1) = "0" ), 2, IF( AND( OFFSET($A$1, 64 - 1, 96 - 1) = "0", OFFSET($A$1, 64 - 1, 97 - 1) = "1" ), 3, 4 ) ) )</f>
        <v>1</v>
      </c>
      <c r="CV64" s="24">
        <v>2.2509552498716116E-2</v>
      </c>
      <c r="CW64" s="24" t="str">
        <f>"0"</f>
        <v>0</v>
      </c>
      <c r="CX64" t="str">
        <f ca="1">IF((OFFSET($A$1, 64 - 1, 100 - 1)) &gt;= (OFFSET($A$1, 78 - 1, 7 - 1)), "1","0")</f>
        <v>0</v>
      </c>
      <c r="CY64">
        <f ca="1" xml:space="preserve"> IF( AND( OFFSET($A$1, 64 - 1, 101 - 1) = "1", OFFSET($A$1, 64 - 1, 102 - 1) = "1" ), 1, IF( AND( OFFSET($A$1, 64 - 1, 101 - 1) = "1", OFFSET($A$1, 64 - 1, 102 - 1) = "0" ), 2, IF( AND( OFFSET($A$1, 64 - 1, 101 - 1) = "0", OFFSET($A$1, 64 - 1, 102 - 1) = "1" ), 3, 4 ) ) )</f>
        <v>4</v>
      </c>
    </row>
    <row r="65" spans="2:103" ht="13.8" x14ac:dyDescent="0.3">
      <c r="C65" s="25">
        <v>0</v>
      </c>
      <c r="D65" s="24">
        <f ca="1">SUM(OFFSET($A$1, 60 - 1, 4 - 1, 1, 2))</f>
        <v>171</v>
      </c>
      <c r="E65" s="24">
        <f ca="1">SUM(OFFSET($A$1, 60 - 1, 4 - 1, 1, 2)) - OFFSET($A$1, 60 - 1, 5 - 1)</f>
        <v>5</v>
      </c>
      <c r="F65" s="24">
        <f ca="1">IF(OFFSET($A$1, 65 - 1, 4 - 1)=0,"Undefined",((OFFSET($A$1, 65 - 1, 5 - 1))*100) / (OFFSET($A$1, 65 - 1, 4 - 1)))</f>
        <v>2.9239766081871346</v>
      </c>
      <c r="CQ65" s="24">
        <v>0.94444329615513156</v>
      </c>
      <c r="CR65" s="24" t="str">
        <f>"1"</f>
        <v>1</v>
      </c>
      <c r="CS65" t="str">
        <f ca="1">IF((OFFSET($A$1, 65 - 1, 95 - 1)) &gt;= (OFFSET($A$1, 54 - 1, 7 - 1)), "1","0")</f>
        <v>1</v>
      </c>
      <c r="CT65">
        <f ca="1" xml:space="preserve"> IF( AND( OFFSET($A$1, 65 - 1, 96 - 1) = "1", OFFSET($A$1, 65 - 1, 97 - 1) = "1" ), 1, IF( AND( OFFSET($A$1, 65 - 1, 96 - 1) = "1", OFFSET($A$1, 65 - 1, 97 - 1) = "0" ), 2, IF( AND( OFFSET($A$1, 65 - 1, 96 - 1) = "0", OFFSET($A$1, 65 - 1, 97 - 1) = "1" ), 3, 4 ) ) )</f>
        <v>1</v>
      </c>
      <c r="CV65" s="24">
        <v>0.9677269126105863</v>
      </c>
      <c r="CW65" s="24" t="str">
        <f>"1"</f>
        <v>1</v>
      </c>
      <c r="CX65" t="str">
        <f ca="1">IF((OFFSET($A$1, 65 - 1, 100 - 1)) &gt;= (OFFSET($A$1, 78 - 1, 7 - 1)), "1","0")</f>
        <v>1</v>
      </c>
      <c r="CY65">
        <f ca="1" xml:space="preserve"> IF( AND( OFFSET($A$1, 65 - 1, 101 - 1) = "1", OFFSET($A$1, 65 - 1, 102 - 1) = "1" ), 1, IF( AND( OFFSET($A$1, 65 - 1, 101 - 1) = "1", OFFSET($A$1, 65 - 1, 102 - 1) = "0" ), 2, IF( AND( OFFSET($A$1, 65 - 1, 101 - 1) = "0", OFFSET($A$1, 65 - 1, 102 - 1) = "1" ), 3, 4 ) ) )</f>
        <v>1</v>
      </c>
    </row>
    <row r="66" spans="2:103" ht="13.8" x14ac:dyDescent="0.3">
      <c r="C66" s="25" t="s">
        <v>336</v>
      </c>
      <c r="D66" s="24">
        <f ca="1">SUM(OFFSET($A$1, 64 - 1, 4 - 1, 2, 1))</f>
        <v>600</v>
      </c>
      <c r="E66" s="24">
        <f ca="1">SUM(OFFSET($A$1, 64 - 1, 5 - 1, 2, 1))</f>
        <v>6</v>
      </c>
      <c r="F66" s="24">
        <f ca="1">IF(OFFSET($A$1, 66 - 1, 4 - 1)=0,"Undefined",((OFFSET($A$1, 66 - 1, 5 - 1))*100) / (OFFSET($A$1, 66 - 1, 4 - 1)))</f>
        <v>1</v>
      </c>
      <c r="CQ66" s="24">
        <v>6.6006693212772069E-2</v>
      </c>
      <c r="CR66" s="24" t="str">
        <f>"0"</f>
        <v>0</v>
      </c>
      <c r="CS66" t="str">
        <f ca="1">IF((OFFSET($A$1, 66 - 1, 95 - 1)) &gt;= (OFFSET($A$1, 54 - 1, 7 - 1)), "1","0")</f>
        <v>0</v>
      </c>
      <c r="CT66">
        <f ca="1" xml:space="preserve"> IF( AND( OFFSET($A$1, 66 - 1, 96 - 1) = "1", OFFSET($A$1, 66 - 1, 97 - 1) = "1" ), 1, IF( AND( OFFSET($A$1, 66 - 1, 96 - 1) = "1", OFFSET($A$1, 66 - 1, 97 - 1) = "0" ), 2, IF( AND( OFFSET($A$1, 66 - 1, 96 - 1) = "0", OFFSET($A$1, 66 - 1, 97 - 1) = "1" ), 3, 4 ) ) )</f>
        <v>4</v>
      </c>
      <c r="CV66" s="24">
        <v>0.9979518807088974</v>
      </c>
      <c r="CW66" s="24" t="str">
        <f>"1"</f>
        <v>1</v>
      </c>
      <c r="CX66" t="str">
        <f ca="1">IF((OFFSET($A$1, 66 - 1, 100 - 1)) &gt;= (OFFSET($A$1, 78 - 1, 7 - 1)), "1","0")</f>
        <v>1</v>
      </c>
      <c r="CY66">
        <f ca="1" xml:space="preserve"> IF( AND( OFFSET($A$1, 66 - 1, 101 - 1) = "1", OFFSET($A$1, 66 - 1, 102 - 1) = "1" ), 1, IF( AND( OFFSET($A$1, 66 - 1, 101 - 1) = "1", OFFSET($A$1, 66 - 1, 102 - 1) = "0" ), 2, IF( AND( OFFSET($A$1, 66 - 1, 101 - 1) = "0", OFFSET($A$1, 66 - 1, 102 - 1) = "1" ), 3, 4 ) ) )</f>
        <v>1</v>
      </c>
    </row>
    <row r="67" spans="2:103" ht="13.8" x14ac:dyDescent="0.3">
      <c r="CQ67" s="24">
        <v>0.88260717675027511</v>
      </c>
      <c r="CR67" s="24" t="str">
        <f>"1"</f>
        <v>1</v>
      </c>
      <c r="CS67" t="str">
        <f ca="1">IF((OFFSET($A$1, 67 - 1, 95 - 1)) &gt;= (OFFSET($A$1, 54 - 1, 7 - 1)), "1","0")</f>
        <v>1</v>
      </c>
      <c r="CT67">
        <f ca="1" xml:space="preserve"> IF( AND( OFFSET($A$1, 67 - 1, 96 - 1) = "1", OFFSET($A$1, 67 - 1, 97 - 1) = "1" ), 1, IF( AND( OFFSET($A$1, 67 - 1, 96 - 1) = "1", OFFSET($A$1, 67 - 1, 97 - 1) = "0" ), 2, IF( AND( OFFSET($A$1, 67 - 1, 96 - 1) = "0", OFFSET($A$1, 67 - 1, 97 - 1) = "1" ), 3, 4 ) ) )</f>
        <v>1</v>
      </c>
      <c r="CV67" s="24">
        <v>0.98988533534586542</v>
      </c>
      <c r="CW67" s="24" t="str">
        <f>"1"</f>
        <v>1</v>
      </c>
      <c r="CX67" t="str">
        <f ca="1">IF((OFFSET($A$1, 67 - 1, 100 - 1)) &gt;= (OFFSET($A$1, 78 - 1, 7 - 1)), "1","0")</f>
        <v>1</v>
      </c>
      <c r="CY67">
        <f ca="1" xml:space="preserve"> IF( AND( OFFSET($A$1, 67 - 1, 101 - 1) = "1", OFFSET($A$1, 67 - 1, 102 - 1) = "1" ), 1, IF( AND( OFFSET($A$1, 67 - 1, 101 - 1) = "1", OFFSET($A$1, 67 - 1, 102 - 1) = "0" ), 2, IF( AND( OFFSET($A$1, 67 - 1, 101 - 1) = "0", OFFSET($A$1, 67 - 1, 102 - 1) = "1" ), 3, 4 ) ) )</f>
        <v>1</v>
      </c>
    </row>
    <row r="68" spans="2:103" ht="15.6" x14ac:dyDescent="0.3">
      <c r="C68" s="59" t="s">
        <v>708</v>
      </c>
      <c r="D68" s="60"/>
      <c r="E68" s="61"/>
      <c r="CQ68" s="24">
        <v>0.97108776608861602</v>
      </c>
      <c r="CR68" s="24" t="str">
        <f>"1"</f>
        <v>1</v>
      </c>
      <c r="CS68" t="str">
        <f ca="1">IF((OFFSET($A$1, 68 - 1, 95 - 1)) &gt;= (OFFSET($A$1, 54 - 1, 7 - 1)), "1","0")</f>
        <v>1</v>
      </c>
      <c r="CT68">
        <f ca="1" xml:space="preserve"> IF( AND( OFFSET($A$1, 68 - 1, 96 - 1) = "1", OFFSET($A$1, 68 - 1, 97 - 1) = "1" ), 1, IF( AND( OFFSET($A$1, 68 - 1, 96 - 1) = "1", OFFSET($A$1, 68 - 1, 97 - 1) = "0" ), 2, IF( AND( OFFSET($A$1, 68 - 1, 96 - 1) = "0", OFFSET($A$1, 68 - 1, 97 - 1) = "1" ), 3, 4 ) ) )</f>
        <v>1</v>
      </c>
      <c r="CV68" s="24">
        <v>4.8818010201462612E-2</v>
      </c>
      <c r="CW68" s="24" t="str">
        <f>"0"</f>
        <v>0</v>
      </c>
      <c r="CX68" t="str">
        <f ca="1">IF((OFFSET($A$1, 68 - 1, 100 - 1)) &gt;= (OFFSET($A$1, 78 - 1, 7 - 1)), "1","0")</f>
        <v>0</v>
      </c>
      <c r="CY68">
        <f ca="1" xml:space="preserve"> IF( AND( OFFSET($A$1, 68 - 1, 101 - 1) = "1", OFFSET($A$1, 68 - 1, 102 - 1) = "1" ), 1, IF( AND( OFFSET($A$1, 68 - 1, 101 - 1) = "1", OFFSET($A$1, 68 - 1, 102 - 1) = "0" ), 2, IF( AND( OFFSET($A$1, 68 - 1, 101 - 1) = "0", OFFSET($A$1, 68 - 1, 102 - 1) = "1" ), 3, 4 ) ) )</f>
        <v>4</v>
      </c>
    </row>
    <row r="69" spans="2:103" ht="13.8" x14ac:dyDescent="0.3">
      <c r="C69" s="62" t="s">
        <v>709</v>
      </c>
      <c r="D69" s="64"/>
      <c r="E69" s="34">
        <v>1</v>
      </c>
      <c r="CQ69" s="24">
        <v>0.83533129338120804</v>
      </c>
      <c r="CR69" s="24" t="str">
        <f>"1"</f>
        <v>1</v>
      </c>
      <c r="CS69" t="str">
        <f ca="1">IF((OFFSET($A$1, 69 - 1, 95 - 1)) &gt;= (OFFSET($A$1, 54 - 1, 7 - 1)), "1","0")</f>
        <v>1</v>
      </c>
      <c r="CT69">
        <f ca="1" xml:space="preserve"> IF( AND( OFFSET($A$1, 69 - 1, 96 - 1) = "1", OFFSET($A$1, 69 - 1, 97 - 1) = "1" ), 1, IF( AND( OFFSET($A$1, 69 - 1, 96 - 1) = "1", OFFSET($A$1, 69 - 1, 97 - 1) = "0" ), 2, IF( AND( OFFSET($A$1, 69 - 1, 96 - 1) = "0", OFFSET($A$1, 69 - 1, 97 - 1) = "1" ), 3, 4 ) ) )</f>
        <v>1</v>
      </c>
      <c r="CV69" s="24">
        <v>0.99981300481090163</v>
      </c>
      <c r="CW69" s="24" t="str">
        <f>"1"</f>
        <v>1</v>
      </c>
      <c r="CX69" t="str">
        <f ca="1">IF((OFFSET($A$1, 69 - 1, 100 - 1)) &gt;= (OFFSET($A$1, 78 - 1, 7 - 1)), "1","0")</f>
        <v>1</v>
      </c>
      <c r="CY69">
        <f ca="1" xml:space="preserve"> IF( AND( OFFSET($A$1, 69 - 1, 101 - 1) = "1", OFFSET($A$1, 69 - 1, 102 - 1) = "1" ), 1, IF( AND( OFFSET($A$1, 69 - 1, 101 - 1) = "1", OFFSET($A$1, 69 - 1, 102 - 1) = "0" ), 2, IF( AND( OFFSET($A$1, 69 - 1, 101 - 1) = "0", OFFSET($A$1, 69 - 1, 102 - 1) = "1" ), 3, 4 ) ) )</f>
        <v>1</v>
      </c>
    </row>
    <row r="70" spans="2:103" ht="13.8" x14ac:dyDescent="0.3">
      <c r="C70" s="62" t="s">
        <v>710</v>
      </c>
      <c r="D70" s="64"/>
      <c r="E70" s="34">
        <f ca="1">IF((OFFSET($A$1, 59 - 1, 4 - 1) + OFFSET($A$1, 60 - 1, 4 - 1)) = 0,"Undefined",OFFSET($A$1, 59 - 1, 4 - 1)/(OFFSET($A$1, 59 - 1, 4 - 1) + OFFSET($A$1, 60 - 1, 4 - 1)))</f>
        <v>0.98845265588914555</v>
      </c>
      <c r="CQ70" s="24">
        <v>8.8529800139032375E-2</v>
      </c>
      <c r="CR70" s="24" t="str">
        <f>"0"</f>
        <v>0</v>
      </c>
      <c r="CS70" t="str">
        <f ca="1">IF((OFFSET($A$1, 70 - 1, 95 - 1)) &gt;= (OFFSET($A$1, 54 - 1, 7 - 1)), "1","0")</f>
        <v>0</v>
      </c>
      <c r="CT70">
        <f ca="1" xml:space="preserve"> IF( AND( OFFSET($A$1, 70 - 1, 96 - 1) = "1", OFFSET($A$1, 70 - 1, 97 - 1) = "1" ), 1, IF( AND( OFFSET($A$1, 70 - 1, 96 - 1) = "1", OFFSET($A$1, 70 - 1, 97 - 1) = "0" ), 2, IF( AND( OFFSET($A$1, 70 - 1, 96 - 1) = "0", OFFSET($A$1, 70 - 1, 97 - 1) = "1" ), 3, 4 ) ) )</f>
        <v>4</v>
      </c>
      <c r="CV70" s="24">
        <v>0.93398327045477014</v>
      </c>
      <c r="CW70" s="24" t="str">
        <f>"0"</f>
        <v>0</v>
      </c>
      <c r="CX70" t="str">
        <f ca="1">IF((OFFSET($A$1, 70 - 1, 100 - 1)) &gt;= (OFFSET($A$1, 78 - 1, 7 - 1)), "1","0")</f>
        <v>1</v>
      </c>
      <c r="CY70">
        <f ca="1" xml:space="preserve"> IF( AND( OFFSET($A$1, 70 - 1, 101 - 1) = "1", OFFSET($A$1, 70 - 1, 102 - 1) = "1" ), 1, IF( AND( OFFSET($A$1, 70 - 1, 101 - 1) = "1", OFFSET($A$1, 70 - 1, 102 - 1) = "0" ), 2, IF( AND( OFFSET($A$1, 70 - 1, 101 - 1) = "0", OFFSET($A$1, 70 - 1, 102 - 1) = "1" ), 3, 4 ) ) )</f>
        <v>3</v>
      </c>
    </row>
    <row r="71" spans="2:103" ht="13.8" x14ac:dyDescent="0.3">
      <c r="C71" s="62" t="s">
        <v>711</v>
      </c>
      <c r="D71" s="64"/>
      <c r="E71" s="34">
        <f ca="1">IF((OFFSET($A$1, 59 - 1, 4 - 1) + OFFSET($A$1, 59 - 1, 5 - 1)) = 0,"Undefined",OFFSET($A$1, 59 - 1, 4 - 1)/(OFFSET($A$1, 59 - 1, 4 - 1) + OFFSET($A$1, 59 - 1, 5 - 1)))</f>
        <v>0.99766899766899764</v>
      </c>
      <c r="CQ71" s="24">
        <v>0.96640336408201655</v>
      </c>
      <c r="CR71" s="24" t="str">
        <f>"1"</f>
        <v>1</v>
      </c>
      <c r="CS71" t="str">
        <f ca="1">IF((OFFSET($A$1, 71 - 1, 95 - 1)) &gt;= (OFFSET($A$1, 54 - 1, 7 - 1)), "1","0")</f>
        <v>1</v>
      </c>
      <c r="CT71">
        <f ca="1" xml:space="preserve"> IF( AND( OFFSET($A$1, 71 - 1, 96 - 1) = "1", OFFSET($A$1, 71 - 1, 97 - 1) = "1" ), 1, IF( AND( OFFSET($A$1, 71 - 1, 96 - 1) = "1", OFFSET($A$1, 71 - 1, 97 - 1) = "0" ), 2, IF( AND( OFFSET($A$1, 71 - 1, 96 - 1) = "0", OFFSET($A$1, 71 - 1, 97 - 1) = "1" ), 3, 4 ) ) )</f>
        <v>1</v>
      </c>
      <c r="CV71" s="24">
        <v>0.92062086621785721</v>
      </c>
      <c r="CW71" s="24" t="str">
        <f>"1"</f>
        <v>1</v>
      </c>
      <c r="CX71" t="str">
        <f ca="1">IF((OFFSET($A$1, 71 - 1, 100 - 1)) &gt;= (OFFSET($A$1, 78 - 1, 7 - 1)), "1","0")</f>
        <v>1</v>
      </c>
      <c r="CY71">
        <f ca="1" xml:space="preserve"> IF( AND( OFFSET($A$1, 71 - 1, 101 - 1) = "1", OFFSET($A$1, 71 - 1, 102 - 1) = "1" ), 1, IF( AND( OFFSET($A$1, 71 - 1, 101 - 1) = "1", OFFSET($A$1, 71 - 1, 102 - 1) = "0" ), 2, IF( AND( OFFSET($A$1, 71 - 1, 101 - 1) = "0", OFFSET($A$1, 71 - 1, 102 - 1) = "1" ), 3, 4 ) ) )</f>
        <v>1</v>
      </c>
    </row>
    <row r="72" spans="2:103" ht="13.8" x14ac:dyDescent="0.3">
      <c r="C72" s="62" t="s">
        <v>712</v>
      </c>
      <c r="D72" s="64"/>
      <c r="E72" s="34">
        <f ca="1">IF((OFFSET($A$1, 60 - 1, 4 - 1) + OFFSET($A$1, 60 - 1, 5 - 1)) = 0,"Undefined",OFFSET($A$1, 60 - 1, 5 - 1)/(OFFSET($A$1, 60 - 1, 4 - 1) + OFFSET($A$1, 60 - 1, 5 - 1)))</f>
        <v>0.9707602339181286</v>
      </c>
      <c r="CQ72" s="24">
        <v>5.4977133135563884E-2</v>
      </c>
      <c r="CR72" s="24" t="str">
        <f>"0"</f>
        <v>0</v>
      </c>
      <c r="CS72" t="str">
        <f ca="1">IF((OFFSET($A$1, 72 - 1, 95 - 1)) &gt;= (OFFSET($A$1, 54 - 1, 7 - 1)), "1","0")</f>
        <v>0</v>
      </c>
      <c r="CT72">
        <f ca="1" xml:space="preserve"> IF( AND( OFFSET($A$1, 72 - 1, 96 - 1) = "1", OFFSET($A$1, 72 - 1, 97 - 1) = "1" ), 1, IF( AND( OFFSET($A$1, 72 - 1, 96 - 1) = "1", OFFSET($A$1, 72 - 1, 97 - 1) = "0" ), 2, IF( AND( OFFSET($A$1, 72 - 1, 96 - 1) = "0", OFFSET($A$1, 72 - 1, 97 - 1) = "1" ), 3, 4 ) ) )</f>
        <v>4</v>
      </c>
      <c r="CV72" s="24">
        <v>0.99891590297628174</v>
      </c>
      <c r="CW72" s="24" t="str">
        <f>"0"</f>
        <v>0</v>
      </c>
      <c r="CX72" t="str">
        <f ca="1">IF((OFFSET($A$1, 72 - 1, 100 - 1)) &gt;= (OFFSET($A$1, 78 - 1, 7 - 1)), "1","0")</f>
        <v>1</v>
      </c>
      <c r="CY72">
        <f ca="1" xml:space="preserve"> IF( AND( OFFSET($A$1, 72 - 1, 101 - 1) = "1", OFFSET($A$1, 72 - 1, 102 - 1) = "1" ), 1, IF( AND( OFFSET($A$1, 72 - 1, 101 - 1) = "1", OFFSET($A$1, 72 - 1, 102 - 1) = "0" ), 2, IF( AND( OFFSET($A$1, 72 - 1, 101 - 1) = "0", OFFSET($A$1, 72 - 1, 102 - 1) = "1" ), 3, 4 ) ) )</f>
        <v>3</v>
      </c>
    </row>
    <row r="73" spans="2:103" ht="13.8" x14ac:dyDescent="0.3">
      <c r="C73" s="62" t="s">
        <v>713</v>
      </c>
      <c r="D73" s="64"/>
      <c r="E73" s="34">
        <f ca="1">IF(OR(OFFSET($A$1, 70 - 1, 5 - 1)="Undefined",OFFSET($A$1, 71 - 1, 5 - 1)="Undefined"),"Undefined",IF((OFFSET($A$1, 70 - 1, 5 - 1) + OFFSET($A$1, 71 - 1, 5 - 1))=0,"Undefined",2*OFFSET($A$1, 70 - 1, 5 - 1)*OFFSET($A$1, 71 - 1, 5 - 1)/(OFFSET($A$1, 70 - 1, 5 - 1)+OFFSET($A$1, 71 - 1, 5 - 1))))</f>
        <v>0.99303944315545245</v>
      </c>
      <c r="CQ73" s="24">
        <v>0.10493613357302434</v>
      </c>
      <c r="CR73" s="24" t="str">
        <f>"0"</f>
        <v>0</v>
      </c>
      <c r="CS73" t="str">
        <f ca="1">IF((OFFSET($A$1, 73 - 1, 95 - 1)) &gt;= (OFFSET($A$1, 54 - 1, 7 - 1)), "1","0")</f>
        <v>0</v>
      </c>
      <c r="CT73">
        <f ca="1" xml:space="preserve"> IF( AND( OFFSET($A$1, 73 - 1, 96 - 1) = "1", OFFSET($A$1, 73 - 1, 97 - 1) = "1" ), 1, IF( AND( OFFSET($A$1, 73 - 1, 96 - 1) = "1", OFFSET($A$1, 73 - 1, 97 - 1) = "0" ), 2, IF( AND( OFFSET($A$1, 73 - 1, 96 - 1) = "0", OFFSET($A$1, 73 - 1, 97 - 1) = "1" ), 3, 4 ) ) )</f>
        <v>4</v>
      </c>
      <c r="CV73" s="24">
        <v>0.9992824342369151</v>
      </c>
      <c r="CW73" s="24" t="str">
        <f>"1"</f>
        <v>1</v>
      </c>
      <c r="CX73" t="str">
        <f ca="1">IF((OFFSET($A$1, 73 - 1, 100 - 1)) &gt;= (OFFSET($A$1, 78 - 1, 7 - 1)), "1","0")</f>
        <v>1</v>
      </c>
      <c r="CY73">
        <f ca="1" xml:space="preserve"> IF( AND( OFFSET($A$1, 73 - 1, 101 - 1) = "1", OFFSET($A$1, 73 - 1, 102 - 1) = "1" ), 1, IF( AND( OFFSET($A$1, 73 - 1, 101 - 1) = "1", OFFSET($A$1, 73 - 1, 102 - 1) = "0" ), 2, IF( AND( OFFSET($A$1, 73 - 1, 101 - 1) = "0", OFFSET($A$1, 73 - 1, 102 - 1) = "1" ), 3, 4 ) ) )</f>
        <v>1</v>
      </c>
    </row>
    <row r="74" spans="2:103" ht="13.8" x14ac:dyDescent="0.3">
      <c r="CQ74" s="24">
        <v>0.95126482584728889</v>
      </c>
      <c r="CR74" s="24" t="str">
        <f t="shared" ref="CR74:CR84" si="5">"1"</f>
        <v>1</v>
      </c>
      <c r="CS74" t="str">
        <f ca="1">IF((OFFSET($A$1, 74 - 1, 95 - 1)) &gt;= (OFFSET($A$1, 54 - 1, 7 - 1)), "1","0")</f>
        <v>1</v>
      </c>
      <c r="CT74">
        <f ca="1" xml:space="preserve"> IF( AND( OFFSET($A$1, 74 - 1, 96 - 1) = "1", OFFSET($A$1, 74 - 1, 97 - 1) = "1" ), 1, IF( AND( OFFSET($A$1, 74 - 1, 96 - 1) = "1", OFFSET($A$1, 74 - 1, 97 - 1) = "0" ), 2, IF( AND( OFFSET($A$1, 74 - 1, 96 - 1) = "0", OFFSET($A$1, 74 - 1, 97 - 1) = "1" ), 3, 4 ) ) )</f>
        <v>1</v>
      </c>
      <c r="CV74" s="24">
        <v>0.50525528380816942</v>
      </c>
      <c r="CW74" s="24" t="str">
        <f>"0"</f>
        <v>0</v>
      </c>
      <c r="CX74" t="str">
        <f ca="1">IF((OFFSET($A$1, 74 - 1, 100 - 1)) &gt;= (OFFSET($A$1, 78 - 1, 7 - 1)), "1","0")</f>
        <v>1</v>
      </c>
      <c r="CY74">
        <f ca="1" xml:space="preserve"> IF( AND( OFFSET($A$1, 74 - 1, 101 - 1) = "1", OFFSET($A$1, 74 - 1, 102 - 1) = "1" ), 1, IF( AND( OFFSET($A$1, 74 - 1, 101 - 1) = "1", OFFSET($A$1, 74 - 1, 102 - 1) = "0" ), 2, IF( AND( OFFSET($A$1, 74 - 1, 101 - 1) = "0", OFFSET($A$1, 74 - 1, 102 - 1) = "1" ), 3, 4 ) ) )</f>
        <v>3</v>
      </c>
    </row>
    <row r="75" spans="2:103" ht="13.8" x14ac:dyDescent="0.3">
      <c r="CQ75" s="24">
        <v>0.90347606175845585</v>
      </c>
      <c r="CR75" s="24" t="str">
        <f t="shared" si="5"/>
        <v>1</v>
      </c>
      <c r="CS75" t="str">
        <f ca="1">IF((OFFSET($A$1, 75 - 1, 95 - 1)) &gt;= (OFFSET($A$1, 54 - 1, 7 - 1)), "1","0")</f>
        <v>1</v>
      </c>
      <c r="CT75">
        <f ca="1" xml:space="preserve"> IF( AND( OFFSET($A$1, 75 - 1, 96 - 1) = "1", OFFSET($A$1, 75 - 1, 97 - 1) = "1" ), 1, IF( AND( OFFSET($A$1, 75 - 1, 96 - 1) = "1", OFFSET($A$1, 75 - 1, 97 - 1) = "0" ), 2, IF( AND( OFFSET($A$1, 75 - 1, 96 - 1) = "0", OFFSET($A$1, 75 - 1, 97 - 1) = "1" ), 3, 4 ) ) )</f>
        <v>1</v>
      </c>
      <c r="CV75" s="24">
        <v>0.74933419114873112</v>
      </c>
      <c r="CW75" s="24" t="str">
        <f t="shared" ref="CW75:CW84" si="6">"1"</f>
        <v>1</v>
      </c>
      <c r="CX75" t="str">
        <f ca="1">IF((OFFSET($A$1, 75 - 1, 100 - 1)) &gt;= (OFFSET($A$1, 78 - 1, 7 - 1)), "1","0")</f>
        <v>1</v>
      </c>
      <c r="CY75">
        <f ca="1" xml:space="preserve"> IF( AND( OFFSET($A$1, 75 - 1, 101 - 1) = "1", OFFSET($A$1, 75 - 1, 102 - 1) = "1" ), 1, IF( AND( OFFSET($A$1, 75 - 1, 101 - 1) = "1", OFFSET($A$1, 75 - 1, 102 - 1) = "0" ), 2, IF( AND( OFFSET($A$1, 75 - 1, 101 - 1) = "0", OFFSET($A$1, 75 - 1, 102 - 1) = "1" ), 3, 4 ) ) )</f>
        <v>1</v>
      </c>
    </row>
    <row r="76" spans="2:103" ht="18" x14ac:dyDescent="0.35">
      <c r="B76" s="22" t="s">
        <v>714</v>
      </c>
      <c r="CQ76" s="24">
        <v>0.9949180226366392</v>
      </c>
      <c r="CR76" s="24" t="str">
        <f t="shared" si="5"/>
        <v>1</v>
      </c>
      <c r="CS76" t="str">
        <f ca="1">IF((OFFSET($A$1, 76 - 1, 95 - 1)) &gt;= (OFFSET($A$1, 54 - 1, 7 - 1)), "1","0")</f>
        <v>1</v>
      </c>
      <c r="CT76">
        <f ca="1" xml:space="preserve"> IF( AND( OFFSET($A$1, 76 - 1, 96 - 1) = "1", OFFSET($A$1, 76 - 1, 97 - 1) = "1" ), 1, IF( AND( OFFSET($A$1, 76 - 1, 96 - 1) = "1", OFFSET($A$1, 76 - 1, 97 - 1) = "0" ), 2, IF( AND( OFFSET($A$1, 76 - 1, 96 - 1) = "0", OFFSET($A$1, 76 - 1, 97 - 1) = "1" ), 3, 4 ) ) )</f>
        <v>1</v>
      </c>
      <c r="CV76" s="24">
        <v>0.96933642587059954</v>
      </c>
      <c r="CW76" s="24" t="str">
        <f t="shared" si="6"/>
        <v>1</v>
      </c>
      <c r="CX76" t="str">
        <f ca="1">IF((OFFSET($A$1, 76 - 1, 100 - 1)) &gt;= (OFFSET($A$1, 78 - 1, 7 - 1)), "1","0")</f>
        <v>1</v>
      </c>
      <c r="CY76">
        <f ca="1" xml:space="preserve"> IF( AND( OFFSET($A$1, 76 - 1, 101 - 1) = "1", OFFSET($A$1, 76 - 1, 102 - 1) = "1" ), 1, IF( AND( OFFSET($A$1, 76 - 1, 101 - 1) = "1", OFFSET($A$1, 76 - 1, 102 - 1) = "0" ), 2, IF( AND( OFFSET($A$1, 76 - 1, 101 - 1) = "0", OFFSET($A$1, 76 - 1, 102 - 1) = "1" ), 3, 4 ) ) )</f>
        <v>1</v>
      </c>
    </row>
    <row r="77" spans="2:103" ht="13.8" x14ac:dyDescent="0.3">
      <c r="CQ77" s="24">
        <v>0.99995597074850007</v>
      </c>
      <c r="CR77" s="24" t="str">
        <f t="shared" si="5"/>
        <v>1</v>
      </c>
      <c r="CS77" t="str">
        <f ca="1">IF((OFFSET($A$1, 77 - 1, 95 - 1)) &gt;= (OFFSET($A$1, 54 - 1, 7 - 1)), "1","0")</f>
        <v>1</v>
      </c>
      <c r="CT77">
        <f ca="1" xml:space="preserve"> IF( AND( OFFSET($A$1, 77 - 1, 96 - 1) = "1", OFFSET($A$1, 77 - 1, 97 - 1) = "1" ), 1, IF( AND( OFFSET($A$1, 77 - 1, 96 - 1) = "1", OFFSET($A$1, 77 - 1, 97 - 1) = "0" ), 2, IF( AND( OFFSET($A$1, 77 - 1, 96 - 1) = "0", OFFSET($A$1, 77 - 1, 97 - 1) = "1" ), 3, 4 ) ) )</f>
        <v>1</v>
      </c>
      <c r="CV77" s="24">
        <v>0.19020489696349377</v>
      </c>
      <c r="CW77" s="24" t="str">
        <f t="shared" si="6"/>
        <v>1</v>
      </c>
      <c r="CX77" t="str">
        <f ca="1">IF((OFFSET($A$1, 77 - 1, 100 - 1)) &gt;= (OFFSET($A$1, 78 - 1, 7 - 1)), "1","0")</f>
        <v>0</v>
      </c>
      <c r="CY77">
        <f ca="1" xml:space="preserve"> IF( AND( OFFSET($A$1, 77 - 1, 101 - 1) = "1", OFFSET($A$1, 77 - 1, 102 - 1) = "1" ), 1, IF( AND( OFFSET($A$1, 77 - 1, 101 - 1) = "1", OFFSET($A$1, 77 - 1, 102 - 1) = "0" ), 2, IF( AND( OFFSET($A$1, 77 - 1, 101 - 1) = "0", OFFSET($A$1, 77 - 1, 102 - 1) = "1" ), 3, 4 ) ) )</f>
        <v>2</v>
      </c>
    </row>
    <row r="78" spans="2:103" ht="13.8" x14ac:dyDescent="0.3">
      <c r="C78" s="72" t="s">
        <v>706</v>
      </c>
      <c r="D78" s="73"/>
      <c r="E78" s="73"/>
      <c r="F78" s="74"/>
      <c r="G78" s="35">
        <v>0.5</v>
      </c>
      <c r="H78" s="72" t="s">
        <v>707</v>
      </c>
      <c r="I78" s="73"/>
      <c r="J78" s="73"/>
      <c r="K78" s="73"/>
      <c r="L78" s="73"/>
      <c r="M78" s="74"/>
      <c r="CQ78" s="24">
        <v>0.98298015602225408</v>
      </c>
      <c r="CR78" s="24" t="str">
        <f t="shared" si="5"/>
        <v>1</v>
      </c>
      <c r="CS78" t="str">
        <f ca="1">IF((OFFSET($A$1, 78 - 1, 95 - 1)) &gt;= (OFFSET($A$1, 54 - 1, 7 - 1)), "1","0")</f>
        <v>1</v>
      </c>
      <c r="CT78">
        <f ca="1" xml:space="preserve"> IF( AND( OFFSET($A$1, 78 - 1, 96 - 1) = "1", OFFSET($A$1, 78 - 1, 97 - 1) = "1" ), 1, IF( AND( OFFSET($A$1, 78 - 1, 96 - 1) = "1", OFFSET($A$1, 78 - 1, 97 - 1) = "0" ), 2, IF( AND( OFFSET($A$1, 78 - 1, 96 - 1) = "0", OFFSET($A$1, 78 - 1, 97 - 1) = "1" ), 3, 4 ) ) )</f>
        <v>1</v>
      </c>
      <c r="CV78" s="24">
        <v>0.52081221856692239</v>
      </c>
      <c r="CW78" s="24" t="str">
        <f t="shared" si="6"/>
        <v>1</v>
      </c>
      <c r="CX78" t="str">
        <f ca="1">IF((OFFSET($A$1, 78 - 1, 100 - 1)) &gt;= (OFFSET($A$1, 78 - 1, 7 - 1)), "1","0")</f>
        <v>1</v>
      </c>
      <c r="CY78">
        <f ca="1" xml:space="preserve"> IF( AND( OFFSET($A$1, 78 - 1, 101 - 1) = "1", OFFSET($A$1, 78 - 1, 102 - 1) = "1" ), 1, IF( AND( OFFSET($A$1, 78 - 1, 101 - 1) = "1", OFFSET($A$1, 78 - 1, 102 - 1) = "0" ), 2, IF( AND( OFFSET($A$1, 78 - 1, 101 - 1) = "0", OFFSET($A$1, 78 - 1, 102 - 1) = "1" ), 3, 4 ) ) )</f>
        <v>1</v>
      </c>
    </row>
    <row r="79" spans="2:103" ht="13.8" x14ac:dyDescent="0.3">
      <c r="CQ79" s="24">
        <v>0.87067662645460087</v>
      </c>
      <c r="CR79" s="24" t="str">
        <f t="shared" si="5"/>
        <v>1</v>
      </c>
      <c r="CS79" t="str">
        <f ca="1">IF((OFFSET($A$1, 79 - 1, 95 - 1)) &gt;= (OFFSET($A$1, 54 - 1, 7 - 1)), "1","0")</f>
        <v>1</v>
      </c>
      <c r="CT79">
        <f ca="1" xml:space="preserve"> IF( AND( OFFSET($A$1, 79 - 1, 96 - 1) = "1", OFFSET($A$1, 79 - 1, 97 - 1) = "1" ), 1, IF( AND( OFFSET($A$1, 79 - 1, 96 - 1) = "1", OFFSET($A$1, 79 - 1, 97 - 1) = "0" ), 2, IF( AND( OFFSET($A$1, 79 - 1, 96 - 1) = "0", OFFSET($A$1, 79 - 1, 97 - 1) = "1" ), 3, 4 ) ) )</f>
        <v>1</v>
      </c>
      <c r="CV79" s="24">
        <v>0.99500334685619996</v>
      </c>
      <c r="CW79" s="24" t="str">
        <f t="shared" si="6"/>
        <v>1</v>
      </c>
      <c r="CX79" t="str">
        <f ca="1">IF((OFFSET($A$1, 79 - 1, 100 - 1)) &gt;= (OFFSET($A$1, 78 - 1, 7 - 1)), "1","0")</f>
        <v>1</v>
      </c>
      <c r="CY79">
        <f ca="1" xml:space="preserve"> IF( AND( OFFSET($A$1, 79 - 1, 101 - 1) = "1", OFFSET($A$1, 79 - 1, 102 - 1) = "1" ), 1, IF( AND( OFFSET($A$1, 79 - 1, 101 - 1) = "1", OFFSET($A$1, 79 - 1, 102 - 1) = "0" ), 2, IF( AND( OFFSET($A$1, 79 - 1, 101 - 1) = "0", OFFSET($A$1, 79 - 1, 102 - 1) = "1" ), 3, 4 ) ) )</f>
        <v>1</v>
      </c>
    </row>
    <row r="80" spans="2:103" ht="15.6" x14ac:dyDescent="0.3">
      <c r="C80" s="59" t="s">
        <v>329</v>
      </c>
      <c r="D80" s="60"/>
      <c r="E80" s="61"/>
      <c r="CQ80" s="24">
        <v>0.99051644030862462</v>
      </c>
      <c r="CR80" s="24" t="str">
        <f t="shared" si="5"/>
        <v>1</v>
      </c>
      <c r="CS80" t="str">
        <f ca="1">IF((OFFSET($A$1, 80 - 1, 95 - 1)) &gt;= (OFFSET($A$1, 54 - 1, 7 - 1)), "1","0")</f>
        <v>1</v>
      </c>
      <c r="CT80">
        <f ca="1" xml:space="preserve"> IF( AND( OFFSET($A$1, 80 - 1, 96 - 1) = "1", OFFSET($A$1, 80 - 1, 97 - 1) = "1" ), 1, IF( AND( OFFSET($A$1, 80 - 1, 96 - 1) = "1", OFFSET($A$1, 80 - 1, 97 - 1) = "0" ), 2, IF( AND( OFFSET($A$1, 80 - 1, 96 - 1) = "0", OFFSET($A$1, 80 - 1, 97 - 1) = "1" ), 3, 4 ) ) )</f>
        <v>1</v>
      </c>
      <c r="CV80" s="24">
        <v>0.99926965302780368</v>
      </c>
      <c r="CW80" s="24" t="str">
        <f t="shared" si="6"/>
        <v>1</v>
      </c>
      <c r="CX80" t="str">
        <f ca="1">IF((OFFSET($A$1, 80 - 1, 100 - 1)) &gt;= (OFFSET($A$1, 78 - 1, 7 - 1)), "1","0")</f>
        <v>1</v>
      </c>
      <c r="CY80">
        <f ca="1" xml:space="preserve"> IF( AND( OFFSET($A$1, 80 - 1, 101 - 1) = "1", OFFSET($A$1, 80 - 1, 102 - 1) = "1" ), 1, IF( AND( OFFSET($A$1, 80 - 1, 101 - 1) = "1", OFFSET($A$1, 80 - 1, 102 - 1) = "0" ), 2, IF( AND( OFFSET($A$1, 80 - 1, 101 - 1) = "0", OFFSET($A$1, 80 - 1, 102 - 1) = "1" ), 3, 4 ) ) )</f>
        <v>1</v>
      </c>
    </row>
    <row r="81" spans="3:103" ht="13.8" x14ac:dyDescent="0.3">
      <c r="C81" s="26"/>
      <c r="D81" s="75" t="s">
        <v>330</v>
      </c>
      <c r="E81" s="76"/>
      <c r="CQ81" s="24">
        <v>0.90110115056089013</v>
      </c>
      <c r="CR81" s="24" t="str">
        <f t="shared" si="5"/>
        <v>1</v>
      </c>
      <c r="CS81" t="str">
        <f ca="1">IF((OFFSET($A$1, 81 - 1, 95 - 1)) &gt;= (OFFSET($A$1, 54 - 1, 7 - 1)), "1","0")</f>
        <v>1</v>
      </c>
      <c r="CT81">
        <f ca="1" xml:space="preserve"> IF( AND( OFFSET($A$1, 81 - 1, 96 - 1) = "1", OFFSET($A$1, 81 - 1, 97 - 1) = "1" ), 1, IF( AND( OFFSET($A$1, 81 - 1, 96 - 1) = "1", OFFSET($A$1, 81 - 1, 97 - 1) = "0" ), 2, IF( AND( OFFSET($A$1, 81 - 1, 96 - 1) = "0", OFFSET($A$1, 81 - 1, 97 - 1) = "1" ), 3, 4 ) ) )</f>
        <v>1</v>
      </c>
      <c r="CV81" s="24">
        <v>0.96663644139464922</v>
      </c>
      <c r="CW81" s="24" t="str">
        <f t="shared" si="6"/>
        <v>1</v>
      </c>
      <c r="CX81" t="str">
        <f ca="1">IF((OFFSET($A$1, 81 - 1, 100 - 1)) &gt;= (OFFSET($A$1, 78 - 1, 7 - 1)), "1","0")</f>
        <v>1</v>
      </c>
      <c r="CY81">
        <f ca="1" xml:space="preserve"> IF( AND( OFFSET($A$1, 81 - 1, 101 - 1) = "1", OFFSET($A$1, 81 - 1, 102 - 1) = "1" ), 1, IF( AND( OFFSET($A$1, 81 - 1, 101 - 1) = "1", OFFSET($A$1, 81 - 1, 102 - 1) = "0" ), 2, IF( AND( OFFSET($A$1, 81 - 1, 101 - 1) = "0", OFFSET($A$1, 81 - 1, 102 - 1) = "1" ), 3, 4 ) ) )</f>
        <v>1</v>
      </c>
    </row>
    <row r="82" spans="3:103" ht="13.8" x14ac:dyDescent="0.3">
      <c r="C82" s="25" t="s">
        <v>331</v>
      </c>
      <c r="D82" s="26">
        <v>1</v>
      </c>
      <c r="E82" s="26">
        <v>0</v>
      </c>
      <c r="CQ82" s="24">
        <v>0.99969915520699792</v>
      </c>
      <c r="CR82" s="24" t="str">
        <f t="shared" si="5"/>
        <v>1</v>
      </c>
      <c r="CS82" t="str">
        <f ca="1">IF((OFFSET($A$1, 82 - 1, 95 - 1)) &gt;= (OFFSET($A$1, 54 - 1, 7 - 1)), "1","0")</f>
        <v>1</v>
      </c>
      <c r="CT82">
        <f ca="1" xml:space="preserve"> IF( AND( OFFSET($A$1, 82 - 1, 96 - 1) = "1", OFFSET($A$1, 82 - 1, 97 - 1) = "1" ), 1, IF( AND( OFFSET($A$1, 82 - 1, 96 - 1) = "1", OFFSET($A$1, 82 - 1, 97 - 1) = "0" ), 2, IF( AND( OFFSET($A$1, 82 - 1, 96 - 1) = "0", OFFSET($A$1, 82 - 1, 97 - 1) = "1" ), 3, 4 ) ) )</f>
        <v>1</v>
      </c>
      <c r="CV82" s="24">
        <v>0.99477751701205674</v>
      </c>
      <c r="CW82" s="24" t="str">
        <f t="shared" si="6"/>
        <v>1</v>
      </c>
      <c r="CX82" t="str">
        <f ca="1">IF((OFFSET($A$1, 82 - 1, 100 - 1)) &gt;= (OFFSET($A$1, 78 - 1, 7 - 1)), "1","0")</f>
        <v>1</v>
      </c>
      <c r="CY82">
        <f ca="1" xml:space="preserve"> IF( AND( OFFSET($A$1, 82 - 1, 101 - 1) = "1", OFFSET($A$1, 82 - 1, 102 - 1) = "1" ), 1, IF( AND( OFFSET($A$1, 82 - 1, 101 - 1) = "1", OFFSET($A$1, 82 - 1, 102 - 1) = "0" ), 2, IF( AND( OFFSET($A$1, 82 - 1, 101 - 1) = "0", OFFSET($A$1, 82 - 1, 102 - 1) = "1" ), 3, 4 ) ) )</f>
        <v>1</v>
      </c>
    </row>
    <row r="83" spans="3:103" ht="13.8" x14ac:dyDescent="0.3">
      <c r="C83" s="25">
        <v>1</v>
      </c>
      <c r="D83" s="24">
        <f ca="1" xml:space="preserve"> COUNTIF( OFFSET($A$1, 1 - 1, 103 - 1, 401, 1), 1 )</f>
        <v>231</v>
      </c>
      <c r="E83" s="24">
        <f ca="1" xml:space="preserve"> COUNTIF( OFFSET($A$1, 1 - 1, 103 - 1, 401, 1), 2 )</f>
        <v>40</v>
      </c>
      <c r="CQ83" s="24">
        <v>0.99646898363650838</v>
      </c>
      <c r="CR83" s="24" t="str">
        <f t="shared" si="5"/>
        <v>1</v>
      </c>
      <c r="CS83" t="str">
        <f ca="1">IF((OFFSET($A$1, 83 - 1, 95 - 1)) &gt;= (OFFSET($A$1, 54 - 1, 7 - 1)), "1","0")</f>
        <v>1</v>
      </c>
      <c r="CT83">
        <f ca="1" xml:space="preserve"> IF( AND( OFFSET($A$1, 83 - 1, 96 - 1) = "1", OFFSET($A$1, 83 - 1, 97 - 1) = "1" ), 1, IF( AND( OFFSET($A$1, 83 - 1, 96 - 1) = "1", OFFSET($A$1, 83 - 1, 97 - 1) = "0" ), 2, IF( AND( OFFSET($A$1, 83 - 1, 96 - 1) = "0", OFFSET($A$1, 83 - 1, 97 - 1) = "1" ), 3, 4 ) ) )</f>
        <v>1</v>
      </c>
      <c r="CV83" s="24">
        <v>0.9979982726896397</v>
      </c>
      <c r="CW83" s="24" t="str">
        <f t="shared" si="6"/>
        <v>1</v>
      </c>
      <c r="CX83" t="str">
        <f ca="1">IF((OFFSET($A$1, 83 - 1, 100 - 1)) &gt;= (OFFSET($A$1, 78 - 1, 7 - 1)), "1","0")</f>
        <v>1</v>
      </c>
      <c r="CY83">
        <f ca="1" xml:space="preserve"> IF( AND( OFFSET($A$1, 83 - 1, 101 - 1) = "1", OFFSET($A$1, 83 - 1, 102 - 1) = "1" ), 1, IF( AND( OFFSET($A$1, 83 - 1, 101 - 1) = "1", OFFSET($A$1, 83 - 1, 102 - 1) = "0" ), 2, IF( AND( OFFSET($A$1, 83 - 1, 101 - 1) = "0", OFFSET($A$1, 83 - 1, 102 - 1) = "1" ), 3, 4 ) ) )</f>
        <v>1</v>
      </c>
    </row>
    <row r="84" spans="3:103" ht="13.8" x14ac:dyDescent="0.3">
      <c r="C84" s="25">
        <v>0</v>
      </c>
      <c r="D84" s="24">
        <f ca="1" xml:space="preserve"> COUNTIF( OFFSET($A$1, 1 - 1, 103 - 1, 401, 1), 3 )</f>
        <v>61</v>
      </c>
      <c r="E84" s="24">
        <f ca="1" xml:space="preserve"> COUNTIF( OFFSET($A$1, 1 - 1, 103 - 1, 401, 1), 4 )</f>
        <v>68</v>
      </c>
      <c r="CQ84" s="24">
        <v>0.98835257301044432</v>
      </c>
      <c r="CR84" s="24" t="str">
        <f t="shared" si="5"/>
        <v>1</v>
      </c>
      <c r="CS84" t="str">
        <f ca="1">IF((OFFSET($A$1, 84 - 1, 95 - 1)) &gt;= (OFFSET($A$1, 54 - 1, 7 - 1)), "1","0")</f>
        <v>1</v>
      </c>
      <c r="CT84">
        <f ca="1" xml:space="preserve"> IF( AND( OFFSET($A$1, 84 - 1, 96 - 1) = "1", OFFSET($A$1, 84 - 1, 97 - 1) = "1" ), 1, IF( AND( OFFSET($A$1, 84 - 1, 96 - 1) = "1", OFFSET($A$1, 84 - 1, 97 - 1) = "0" ), 2, IF( AND( OFFSET($A$1, 84 - 1, 96 - 1) = "0", OFFSET($A$1, 84 - 1, 97 - 1) = "1" ), 3, 4 ) ) )</f>
        <v>1</v>
      </c>
      <c r="CV84" s="24">
        <v>0.73350165196845163</v>
      </c>
      <c r="CW84" s="24" t="str">
        <f t="shared" si="6"/>
        <v>1</v>
      </c>
      <c r="CX84" t="str">
        <f ca="1">IF((OFFSET($A$1, 84 - 1, 100 - 1)) &gt;= (OFFSET($A$1, 78 - 1, 7 - 1)), "1","0")</f>
        <v>1</v>
      </c>
      <c r="CY84">
        <f ca="1" xml:space="preserve"> IF( AND( OFFSET($A$1, 84 - 1, 101 - 1) = "1", OFFSET($A$1, 84 - 1, 102 - 1) = "1" ), 1, IF( AND( OFFSET($A$1, 84 - 1, 101 - 1) = "1", OFFSET($A$1, 84 - 1, 102 - 1) = "0" ), 2, IF( AND( OFFSET($A$1, 84 - 1, 101 - 1) = "0", OFFSET($A$1, 84 - 1, 102 - 1) = "1" ), 3, 4 ) ) )</f>
        <v>1</v>
      </c>
    </row>
    <row r="85" spans="3:103" ht="13.8" x14ac:dyDescent="0.3">
      <c r="CQ85" s="24">
        <v>8.3203465629753739E-2</v>
      </c>
      <c r="CR85" s="24" t="str">
        <f>"0"</f>
        <v>0</v>
      </c>
      <c r="CS85" t="str">
        <f ca="1">IF((OFFSET($A$1, 85 - 1, 95 - 1)) &gt;= (OFFSET($A$1, 54 - 1, 7 - 1)), "1","0")</f>
        <v>0</v>
      </c>
      <c r="CT85">
        <f ca="1" xml:space="preserve"> IF( AND( OFFSET($A$1, 85 - 1, 96 - 1) = "1", OFFSET($A$1, 85 - 1, 97 - 1) = "1" ), 1, IF( AND( OFFSET($A$1, 85 - 1, 96 - 1) = "1", OFFSET($A$1, 85 - 1, 97 - 1) = "0" ), 2, IF( AND( OFFSET($A$1, 85 - 1, 96 - 1) = "0", OFFSET($A$1, 85 - 1, 97 - 1) = "1" ), 3, 4 ) ) )</f>
        <v>4</v>
      </c>
      <c r="CV85" s="24">
        <v>8.7600907897032454E-2</v>
      </c>
      <c r="CW85" s="24" t="str">
        <f>"0"</f>
        <v>0</v>
      </c>
      <c r="CX85" t="str">
        <f ca="1">IF((OFFSET($A$1, 85 - 1, 100 - 1)) &gt;= (OFFSET($A$1, 78 - 1, 7 - 1)), "1","0")</f>
        <v>0</v>
      </c>
      <c r="CY85">
        <f ca="1" xml:space="preserve"> IF( AND( OFFSET($A$1, 85 - 1, 101 - 1) = "1", OFFSET($A$1, 85 - 1, 102 - 1) = "1" ), 1, IF( AND( OFFSET($A$1, 85 - 1, 101 - 1) = "1", OFFSET($A$1, 85 - 1, 102 - 1) = "0" ), 2, IF( AND( OFFSET($A$1, 85 - 1, 101 - 1) = "0", OFFSET($A$1, 85 - 1, 102 - 1) = "1" ), 3, 4 ) ) )</f>
        <v>4</v>
      </c>
    </row>
    <row r="86" spans="3:103" ht="15.6" x14ac:dyDescent="0.3">
      <c r="C86" s="59" t="s">
        <v>210</v>
      </c>
      <c r="D86" s="60"/>
      <c r="E86" s="60"/>
      <c r="F86" s="61"/>
      <c r="CQ86" s="24">
        <v>0.99971201990404146</v>
      </c>
      <c r="CR86" s="24" t="str">
        <f>"1"</f>
        <v>1</v>
      </c>
      <c r="CS86" t="str">
        <f ca="1">IF((OFFSET($A$1, 86 - 1, 95 - 1)) &gt;= (OFFSET($A$1, 54 - 1, 7 - 1)), "1","0")</f>
        <v>1</v>
      </c>
      <c r="CT86">
        <f ca="1" xml:space="preserve"> IF( AND( OFFSET($A$1, 86 - 1, 96 - 1) = "1", OFFSET($A$1, 86 - 1, 97 - 1) = "1" ), 1, IF( AND( OFFSET($A$1, 86 - 1, 96 - 1) = "1", OFFSET($A$1, 86 - 1, 97 - 1) = "0" ), 2, IF( AND( OFFSET($A$1, 86 - 1, 96 - 1) = "0", OFFSET($A$1, 86 - 1, 97 - 1) = "1" ), 3, 4 ) ) )</f>
        <v>1</v>
      </c>
      <c r="CV86" s="24">
        <v>0.94731927860097775</v>
      </c>
      <c r="CW86" s="24" t="str">
        <f>"1"</f>
        <v>1</v>
      </c>
      <c r="CX86" t="str">
        <f ca="1">IF((OFFSET($A$1, 86 - 1, 100 - 1)) &gt;= (OFFSET($A$1, 78 - 1, 7 - 1)), "1","0")</f>
        <v>1</v>
      </c>
      <c r="CY86">
        <f ca="1" xml:space="preserve"> IF( AND( OFFSET($A$1, 86 - 1, 101 - 1) = "1", OFFSET($A$1, 86 - 1, 102 - 1) = "1" ), 1, IF( AND( OFFSET($A$1, 86 - 1, 101 - 1) = "1", OFFSET($A$1, 86 - 1, 102 - 1) = "0" ), 2, IF( AND( OFFSET($A$1, 86 - 1, 101 - 1) = "0", OFFSET($A$1, 86 - 1, 102 - 1) = "1" ), 3, 4 ) ) )</f>
        <v>1</v>
      </c>
    </row>
    <row r="87" spans="3:103" ht="13.8" x14ac:dyDescent="0.3">
      <c r="C87" s="26" t="s">
        <v>332</v>
      </c>
      <c r="D87" s="26" t="s">
        <v>333</v>
      </c>
      <c r="E87" s="26" t="s">
        <v>334</v>
      </c>
      <c r="F87" s="26" t="s">
        <v>335</v>
      </c>
      <c r="CQ87" s="24">
        <v>0.98835594551609418</v>
      </c>
      <c r="CR87" s="24" t="str">
        <f>"1"</f>
        <v>1</v>
      </c>
      <c r="CS87" t="str">
        <f ca="1">IF((OFFSET($A$1, 87 - 1, 95 - 1)) &gt;= (OFFSET($A$1, 54 - 1, 7 - 1)), "1","0")</f>
        <v>1</v>
      </c>
      <c r="CT87">
        <f ca="1" xml:space="preserve"> IF( AND( OFFSET($A$1, 87 - 1, 96 - 1) = "1", OFFSET($A$1, 87 - 1, 97 - 1) = "1" ), 1, IF( AND( OFFSET($A$1, 87 - 1, 96 - 1) = "1", OFFSET($A$1, 87 - 1, 97 - 1) = "0" ), 2, IF( AND( OFFSET($A$1, 87 - 1, 96 - 1) = "0", OFFSET($A$1, 87 - 1, 97 - 1) = "1" ), 3, 4 ) ) )</f>
        <v>1</v>
      </c>
      <c r="CV87" s="24">
        <v>0.97824515431743342</v>
      </c>
      <c r="CW87" s="24" t="str">
        <f>"1"</f>
        <v>1</v>
      </c>
      <c r="CX87" t="str">
        <f ca="1">IF((OFFSET($A$1, 87 - 1, 100 - 1)) &gt;= (OFFSET($A$1, 78 - 1, 7 - 1)), "1","0")</f>
        <v>1</v>
      </c>
      <c r="CY87">
        <f ca="1" xml:space="preserve"> IF( AND( OFFSET($A$1, 87 - 1, 101 - 1) = "1", OFFSET($A$1, 87 - 1, 102 - 1) = "1" ), 1, IF( AND( OFFSET($A$1, 87 - 1, 101 - 1) = "1", OFFSET($A$1, 87 - 1, 102 - 1) = "0" ), 2, IF( AND( OFFSET($A$1, 87 - 1, 101 - 1) = "0", OFFSET($A$1, 87 - 1, 102 - 1) = "1" ), 3, 4 ) ) )</f>
        <v>1</v>
      </c>
    </row>
    <row r="88" spans="3:103" ht="13.8" x14ac:dyDescent="0.3">
      <c r="C88" s="25">
        <v>1</v>
      </c>
      <c r="D88" s="24">
        <f ca="1">SUM(OFFSET($A$1, 83 - 1, 4 - 1, 1, 2))</f>
        <v>271</v>
      </c>
      <c r="E88" s="24">
        <f ca="1">SUM(OFFSET($A$1, 83 - 1, 4 - 1, 1, 2)) - OFFSET($A$1, 83 - 1, 4 - 1)</f>
        <v>40</v>
      </c>
      <c r="F88" s="24">
        <f ca="1">IF(OFFSET($A$1, 88 - 1, 4 - 1)=0,"Undefined",((OFFSET($A$1, 88 - 1, 5 - 1))*100) / (OFFSET($A$1, 88 - 1, 4 - 1)))</f>
        <v>14.760147601476016</v>
      </c>
      <c r="CQ88" s="24">
        <v>0.92993874385054276</v>
      </c>
      <c r="CR88" s="24" t="str">
        <f>"1"</f>
        <v>1</v>
      </c>
      <c r="CS88" t="str">
        <f ca="1">IF((OFFSET($A$1, 88 - 1, 95 - 1)) &gt;= (OFFSET($A$1, 54 - 1, 7 - 1)), "1","0")</f>
        <v>1</v>
      </c>
      <c r="CT88">
        <f ca="1" xml:space="preserve"> IF( AND( OFFSET($A$1, 88 - 1, 96 - 1) = "1", OFFSET($A$1, 88 - 1, 97 - 1) = "1" ), 1, IF( AND( OFFSET($A$1, 88 - 1, 96 - 1) = "1", OFFSET($A$1, 88 - 1, 97 - 1) = "0" ), 2, IF( AND( OFFSET($A$1, 88 - 1, 96 - 1) = "0", OFFSET($A$1, 88 - 1, 97 - 1) = "1" ), 3, 4 ) ) )</f>
        <v>1</v>
      </c>
      <c r="CV88" s="24">
        <v>0.28493132206462318</v>
      </c>
      <c r="CW88" s="24" t="str">
        <f>"1"</f>
        <v>1</v>
      </c>
      <c r="CX88" t="str">
        <f ca="1">IF((OFFSET($A$1, 88 - 1, 100 - 1)) &gt;= (OFFSET($A$1, 78 - 1, 7 - 1)), "1","0")</f>
        <v>0</v>
      </c>
      <c r="CY88">
        <f ca="1" xml:space="preserve"> IF( AND( OFFSET($A$1, 88 - 1, 101 - 1) = "1", OFFSET($A$1, 88 - 1, 102 - 1) = "1" ), 1, IF( AND( OFFSET($A$1, 88 - 1, 101 - 1) = "1", OFFSET($A$1, 88 - 1, 102 - 1) = "0" ), 2, IF( AND( OFFSET($A$1, 88 - 1, 101 - 1) = "0", OFFSET($A$1, 88 - 1, 102 - 1) = "1" ), 3, 4 ) ) )</f>
        <v>2</v>
      </c>
    </row>
    <row r="89" spans="3:103" ht="13.8" x14ac:dyDescent="0.3">
      <c r="C89" s="25">
        <v>0</v>
      </c>
      <c r="D89" s="24">
        <f ca="1">SUM(OFFSET($A$1, 84 - 1, 4 - 1, 1, 2))</f>
        <v>129</v>
      </c>
      <c r="E89" s="24">
        <f ca="1">SUM(OFFSET($A$1, 84 - 1, 4 - 1, 1, 2)) - OFFSET($A$1, 84 - 1, 5 - 1)</f>
        <v>61</v>
      </c>
      <c r="F89" s="24">
        <f ca="1">IF(OFFSET($A$1, 89 - 1, 4 - 1)=0,"Undefined",((OFFSET($A$1, 89 - 1, 5 - 1))*100) / (OFFSET($A$1, 89 - 1, 4 - 1)))</f>
        <v>47.286821705426355</v>
      </c>
      <c r="CQ89" s="24">
        <v>0.85857293323344797</v>
      </c>
      <c r="CR89" s="24" t="str">
        <f>"1"</f>
        <v>1</v>
      </c>
      <c r="CS89" t="str">
        <f ca="1">IF((OFFSET($A$1, 89 - 1, 95 - 1)) &gt;= (OFFSET($A$1, 54 - 1, 7 - 1)), "1","0")</f>
        <v>1</v>
      </c>
      <c r="CT89">
        <f ca="1" xml:space="preserve"> IF( AND( OFFSET($A$1, 89 - 1, 96 - 1) = "1", OFFSET($A$1, 89 - 1, 97 - 1) = "1" ), 1, IF( AND( OFFSET($A$1, 89 - 1, 96 - 1) = "1", OFFSET($A$1, 89 - 1, 97 - 1) = "0" ), 2, IF( AND( OFFSET($A$1, 89 - 1, 96 - 1) = "0", OFFSET($A$1, 89 - 1, 97 - 1) = "1" ), 3, 4 ) ) )</f>
        <v>1</v>
      </c>
      <c r="CV89" s="24">
        <v>0.97278067054231188</v>
      </c>
      <c r="CW89" s="24" t="str">
        <f>"0"</f>
        <v>0</v>
      </c>
      <c r="CX89" t="str">
        <f ca="1">IF((OFFSET($A$1, 89 - 1, 100 - 1)) &gt;= (OFFSET($A$1, 78 - 1, 7 - 1)), "1","0")</f>
        <v>1</v>
      </c>
      <c r="CY89">
        <f ca="1" xml:space="preserve"> IF( AND( OFFSET($A$1, 89 - 1, 101 - 1) = "1", OFFSET($A$1, 89 - 1, 102 - 1) = "1" ), 1, IF( AND( OFFSET($A$1, 89 - 1, 101 - 1) = "1", OFFSET($A$1, 89 - 1, 102 - 1) = "0" ), 2, IF( AND( OFFSET($A$1, 89 - 1, 101 - 1) = "0", OFFSET($A$1, 89 - 1, 102 - 1) = "1" ), 3, 4 ) ) )</f>
        <v>3</v>
      </c>
    </row>
    <row r="90" spans="3:103" ht="13.8" x14ac:dyDescent="0.3">
      <c r="C90" s="25" t="s">
        <v>336</v>
      </c>
      <c r="D90" s="24">
        <f ca="1">SUM(OFFSET($A$1, 88 - 1, 4 - 1, 2, 1))</f>
        <v>400</v>
      </c>
      <c r="E90" s="24">
        <f ca="1">SUM(OFFSET($A$1, 88 - 1, 5 - 1, 2, 1))</f>
        <v>101</v>
      </c>
      <c r="F90" s="24">
        <f ca="1">IF(OFFSET($A$1, 90 - 1, 4 - 1)=0,"Undefined",((OFFSET($A$1, 90 - 1, 5 - 1))*100) / (OFFSET($A$1, 90 - 1, 4 - 1)))</f>
        <v>25.25</v>
      </c>
      <c r="CQ90" s="24">
        <v>0.99787382369333699</v>
      </c>
      <c r="CR90" s="24" t="str">
        <f>"1"</f>
        <v>1</v>
      </c>
      <c r="CS90" t="str">
        <f ca="1">IF((OFFSET($A$1, 90 - 1, 95 - 1)) &gt;= (OFFSET($A$1, 54 - 1, 7 - 1)), "1","0")</f>
        <v>1</v>
      </c>
      <c r="CT90">
        <f ca="1" xml:space="preserve"> IF( AND( OFFSET($A$1, 90 - 1, 96 - 1) = "1", OFFSET($A$1, 90 - 1, 97 - 1) = "1" ), 1, IF( AND( OFFSET($A$1, 90 - 1, 96 - 1) = "1", OFFSET($A$1, 90 - 1, 97 - 1) = "0" ), 2, IF( AND( OFFSET($A$1, 90 - 1, 96 - 1) = "0", OFFSET($A$1, 90 - 1, 97 - 1) = "1" ), 3, 4 ) ) )</f>
        <v>1</v>
      </c>
      <c r="CV90" s="24">
        <v>0.24646430703787522</v>
      </c>
      <c r="CW90" s="24" t="str">
        <f>"0"</f>
        <v>0</v>
      </c>
      <c r="CX90" t="str">
        <f ca="1">IF((OFFSET($A$1, 90 - 1, 100 - 1)) &gt;= (OFFSET($A$1, 78 - 1, 7 - 1)), "1","0")</f>
        <v>0</v>
      </c>
      <c r="CY90">
        <f ca="1" xml:space="preserve"> IF( AND( OFFSET($A$1, 90 - 1, 101 - 1) = "1", OFFSET($A$1, 90 - 1, 102 - 1) = "1" ), 1, IF( AND( OFFSET($A$1, 90 - 1, 101 - 1) = "1", OFFSET($A$1, 90 - 1, 102 - 1) = "0" ), 2, IF( AND( OFFSET($A$1, 90 - 1, 101 - 1) = "0", OFFSET($A$1, 90 - 1, 102 - 1) = "1" ), 3, 4 ) ) )</f>
        <v>4</v>
      </c>
    </row>
    <row r="91" spans="3:103" ht="13.8" x14ac:dyDescent="0.3">
      <c r="CQ91" s="24">
        <v>7.7183092166357228E-2</v>
      </c>
      <c r="CR91" s="24" t="str">
        <f>"0"</f>
        <v>0</v>
      </c>
      <c r="CS91" t="str">
        <f ca="1">IF((OFFSET($A$1, 91 - 1, 95 - 1)) &gt;= (OFFSET($A$1, 54 - 1, 7 - 1)), "1","0")</f>
        <v>0</v>
      </c>
      <c r="CT91">
        <f ca="1" xml:space="preserve"> IF( AND( OFFSET($A$1, 91 - 1, 96 - 1) = "1", OFFSET($A$1, 91 - 1, 97 - 1) = "1" ), 1, IF( AND( OFFSET($A$1, 91 - 1, 96 - 1) = "1", OFFSET($A$1, 91 - 1, 97 - 1) = "0" ), 2, IF( AND( OFFSET($A$1, 91 - 1, 96 - 1) = "0", OFFSET($A$1, 91 - 1, 97 - 1) = "1" ), 3, 4 ) ) )</f>
        <v>4</v>
      </c>
      <c r="CV91" s="24">
        <v>0.98330227997207464</v>
      </c>
      <c r="CW91" s="24" t="str">
        <f>"1"</f>
        <v>1</v>
      </c>
      <c r="CX91" t="str">
        <f ca="1">IF((OFFSET($A$1, 91 - 1, 100 - 1)) &gt;= (OFFSET($A$1, 78 - 1, 7 - 1)), "1","0")</f>
        <v>1</v>
      </c>
      <c r="CY91">
        <f ca="1" xml:space="preserve"> IF( AND( OFFSET($A$1, 91 - 1, 101 - 1) = "1", OFFSET($A$1, 91 - 1, 102 - 1) = "1" ), 1, IF( AND( OFFSET($A$1, 91 - 1, 101 - 1) = "1", OFFSET($A$1, 91 - 1, 102 - 1) = "0" ), 2, IF( AND( OFFSET($A$1, 91 - 1, 101 - 1) = "0", OFFSET($A$1, 91 - 1, 102 - 1) = "1" ), 3, 4 ) ) )</f>
        <v>1</v>
      </c>
    </row>
    <row r="92" spans="3:103" ht="15.6" x14ac:dyDescent="0.3">
      <c r="C92" s="59" t="s">
        <v>708</v>
      </c>
      <c r="D92" s="60"/>
      <c r="E92" s="61"/>
      <c r="CQ92" s="24">
        <v>0.98902610185984241</v>
      </c>
      <c r="CR92" s="24" t="str">
        <f>"1"</f>
        <v>1</v>
      </c>
      <c r="CS92" t="str">
        <f ca="1">IF((OFFSET($A$1, 92 - 1, 95 - 1)) &gt;= (OFFSET($A$1, 54 - 1, 7 - 1)), "1","0")</f>
        <v>1</v>
      </c>
      <c r="CT92">
        <f ca="1" xml:space="preserve"> IF( AND( OFFSET($A$1, 92 - 1, 96 - 1) = "1", OFFSET($A$1, 92 - 1, 97 - 1) = "1" ), 1, IF( AND( OFFSET($A$1, 92 - 1, 96 - 1) = "1", OFFSET($A$1, 92 - 1, 97 - 1) = "0" ), 2, IF( AND( OFFSET($A$1, 92 - 1, 96 - 1) = "0", OFFSET($A$1, 92 - 1, 97 - 1) = "1" ), 3, 4 ) ) )</f>
        <v>1</v>
      </c>
      <c r="CV92" s="24">
        <v>0.76704232984974885</v>
      </c>
      <c r="CW92" s="24" t="str">
        <f>"0"</f>
        <v>0</v>
      </c>
      <c r="CX92" t="str">
        <f ca="1">IF((OFFSET($A$1, 92 - 1, 100 - 1)) &gt;= (OFFSET($A$1, 78 - 1, 7 - 1)), "1","0")</f>
        <v>1</v>
      </c>
      <c r="CY92">
        <f ca="1" xml:space="preserve"> IF( AND( OFFSET($A$1, 92 - 1, 101 - 1) = "1", OFFSET($A$1, 92 - 1, 102 - 1) = "1" ), 1, IF( AND( OFFSET($A$1, 92 - 1, 101 - 1) = "1", OFFSET($A$1, 92 - 1, 102 - 1) = "0" ), 2, IF( AND( OFFSET($A$1, 92 - 1, 101 - 1) = "0", OFFSET($A$1, 92 - 1, 102 - 1) = "1" ), 3, 4 ) ) )</f>
        <v>3</v>
      </c>
    </row>
    <row r="93" spans="3:103" ht="13.8" x14ac:dyDescent="0.3">
      <c r="C93" s="62" t="s">
        <v>709</v>
      </c>
      <c r="D93" s="64"/>
      <c r="E93" s="34">
        <v>1</v>
      </c>
      <c r="CQ93" s="24">
        <v>0.88779671715266306</v>
      </c>
      <c r="CR93" s="24" t="str">
        <f>"1"</f>
        <v>1</v>
      </c>
      <c r="CS93" t="str">
        <f ca="1">IF((OFFSET($A$1, 93 - 1, 95 - 1)) &gt;= (OFFSET($A$1, 54 - 1, 7 - 1)), "1","0")</f>
        <v>1</v>
      </c>
      <c r="CT93">
        <f ca="1" xml:space="preserve"> IF( AND( OFFSET($A$1, 93 - 1, 96 - 1) = "1", OFFSET($A$1, 93 - 1, 97 - 1) = "1" ), 1, IF( AND( OFFSET($A$1, 93 - 1, 96 - 1) = "1", OFFSET($A$1, 93 - 1, 97 - 1) = "0" ), 2, IF( AND( OFFSET($A$1, 93 - 1, 96 - 1) = "0", OFFSET($A$1, 93 - 1, 97 - 1) = "1" ), 3, 4 ) ) )</f>
        <v>1</v>
      </c>
      <c r="CV93" s="24">
        <v>0.99928062095654802</v>
      </c>
      <c r="CW93" s="24" t="str">
        <f>"1"</f>
        <v>1</v>
      </c>
      <c r="CX93" t="str">
        <f ca="1">IF((OFFSET($A$1, 93 - 1, 100 - 1)) &gt;= (OFFSET($A$1, 78 - 1, 7 - 1)), "1","0")</f>
        <v>1</v>
      </c>
      <c r="CY93">
        <f ca="1" xml:space="preserve"> IF( AND( OFFSET($A$1, 93 - 1, 101 - 1) = "1", OFFSET($A$1, 93 - 1, 102 - 1) = "1" ), 1, IF( AND( OFFSET($A$1, 93 - 1, 101 - 1) = "1", OFFSET($A$1, 93 - 1, 102 - 1) = "0" ), 2, IF( AND( OFFSET($A$1, 93 - 1, 101 - 1) = "0", OFFSET($A$1, 93 - 1, 102 - 1) = "1" ), 3, 4 ) ) )</f>
        <v>1</v>
      </c>
    </row>
    <row r="94" spans="3:103" ht="13.8" x14ac:dyDescent="0.3">
      <c r="C94" s="62" t="s">
        <v>710</v>
      </c>
      <c r="D94" s="64"/>
      <c r="E94" s="34">
        <f ca="1">IF((OFFSET($A$1, 83 - 1, 4 - 1) + OFFSET($A$1, 84 - 1, 4 - 1)) = 0,"Undefined",OFFSET($A$1, 83 - 1, 4 - 1)/(OFFSET($A$1, 83 - 1, 4 - 1) + OFFSET($A$1, 84 - 1, 4 - 1)))</f>
        <v>0.79109589041095896</v>
      </c>
      <c r="CQ94" s="24">
        <v>6.9287341994419244E-2</v>
      </c>
      <c r="CR94" s="24" t="str">
        <f>"0"</f>
        <v>0</v>
      </c>
      <c r="CS94" t="str">
        <f ca="1">IF((OFFSET($A$1, 94 - 1, 95 - 1)) &gt;= (OFFSET($A$1, 54 - 1, 7 - 1)), "1","0")</f>
        <v>0</v>
      </c>
      <c r="CT94">
        <f ca="1" xml:space="preserve"> IF( AND( OFFSET($A$1, 94 - 1, 96 - 1) = "1", OFFSET($A$1, 94 - 1, 97 - 1) = "1" ), 1, IF( AND( OFFSET($A$1, 94 - 1, 96 - 1) = "1", OFFSET($A$1, 94 - 1, 97 - 1) = "0" ), 2, IF( AND( OFFSET($A$1, 94 - 1, 96 - 1) = "0", OFFSET($A$1, 94 - 1, 97 - 1) = "1" ), 3, 4 ) ) )</f>
        <v>4</v>
      </c>
      <c r="CV94" s="24">
        <v>0.84857651477372953</v>
      </c>
      <c r="CW94" s="24" t="str">
        <f>"0"</f>
        <v>0</v>
      </c>
      <c r="CX94" t="str">
        <f ca="1">IF((OFFSET($A$1, 94 - 1, 100 - 1)) &gt;= (OFFSET($A$1, 78 - 1, 7 - 1)), "1","0")</f>
        <v>1</v>
      </c>
      <c r="CY94">
        <f ca="1" xml:space="preserve"> IF( AND( OFFSET($A$1, 94 - 1, 101 - 1) = "1", OFFSET($A$1, 94 - 1, 102 - 1) = "1" ), 1, IF( AND( OFFSET($A$1, 94 - 1, 101 - 1) = "1", OFFSET($A$1, 94 - 1, 102 - 1) = "0" ), 2, IF( AND( OFFSET($A$1, 94 - 1, 101 - 1) = "0", OFFSET($A$1, 94 - 1, 102 - 1) = "1" ), 3, 4 ) ) )</f>
        <v>3</v>
      </c>
    </row>
    <row r="95" spans="3:103" ht="13.8" x14ac:dyDescent="0.3">
      <c r="C95" s="62" t="s">
        <v>711</v>
      </c>
      <c r="D95" s="64"/>
      <c r="E95" s="34">
        <f ca="1">IF((OFFSET($A$1, 83 - 1, 4 - 1) + OFFSET($A$1, 83 - 1, 5 - 1)) = 0,"Undefined",OFFSET($A$1, 83 - 1, 4 - 1)/(OFFSET($A$1, 83 - 1, 4 - 1) + OFFSET($A$1, 83 - 1, 5 - 1)))</f>
        <v>0.85239852398523985</v>
      </c>
      <c r="CQ95" s="24">
        <v>0.99951513059596131</v>
      </c>
      <c r="CR95" s="24" t="str">
        <f>"1"</f>
        <v>1</v>
      </c>
      <c r="CS95" t="str">
        <f ca="1">IF((OFFSET($A$1, 95 - 1, 95 - 1)) &gt;= (OFFSET($A$1, 54 - 1, 7 - 1)), "1","0")</f>
        <v>1</v>
      </c>
      <c r="CT95">
        <f ca="1" xml:space="preserve"> IF( AND( OFFSET($A$1, 95 - 1, 96 - 1) = "1", OFFSET($A$1, 95 - 1, 97 - 1) = "1" ), 1, IF( AND( OFFSET($A$1, 95 - 1, 96 - 1) = "1", OFFSET($A$1, 95 - 1, 97 - 1) = "0" ), 2, IF( AND( OFFSET($A$1, 95 - 1, 96 - 1) = "0", OFFSET($A$1, 95 - 1, 97 - 1) = "1" ), 3, 4 ) ) )</f>
        <v>1</v>
      </c>
      <c r="CV95" s="24">
        <v>0.88021596200783847</v>
      </c>
      <c r="CW95" s="24" t="str">
        <f>"1"</f>
        <v>1</v>
      </c>
      <c r="CX95" t="str">
        <f ca="1">IF((OFFSET($A$1, 95 - 1, 100 - 1)) &gt;= (OFFSET($A$1, 78 - 1, 7 - 1)), "1","0")</f>
        <v>1</v>
      </c>
      <c r="CY95">
        <f ca="1" xml:space="preserve"> IF( AND( OFFSET($A$1, 95 - 1, 101 - 1) = "1", OFFSET($A$1, 95 - 1, 102 - 1) = "1" ), 1, IF( AND( OFFSET($A$1, 95 - 1, 101 - 1) = "1", OFFSET($A$1, 95 - 1, 102 - 1) = "0" ), 2, IF( AND( OFFSET($A$1, 95 - 1, 101 - 1) = "0", OFFSET($A$1, 95 - 1, 102 - 1) = "1" ), 3, 4 ) ) )</f>
        <v>1</v>
      </c>
    </row>
    <row r="96" spans="3:103" ht="13.8" x14ac:dyDescent="0.3">
      <c r="C96" s="62" t="s">
        <v>712</v>
      </c>
      <c r="D96" s="64"/>
      <c r="E96" s="34">
        <f ca="1">IF((OFFSET($A$1, 84 - 1, 4 - 1) + OFFSET($A$1, 84 - 1, 5 - 1)) = 0,"Undefined",OFFSET($A$1, 84 - 1, 5 - 1)/(OFFSET($A$1, 84 - 1, 4 - 1) + OFFSET($A$1, 84 - 1, 5 - 1)))</f>
        <v>0.52713178294573648</v>
      </c>
      <c r="CQ96" s="24">
        <v>0.9986860597089352</v>
      </c>
      <c r="CR96" s="24" t="str">
        <f>"1"</f>
        <v>1</v>
      </c>
      <c r="CS96" t="str">
        <f ca="1">IF((OFFSET($A$1, 96 - 1, 95 - 1)) &gt;= (OFFSET($A$1, 54 - 1, 7 - 1)), "1","0")</f>
        <v>1</v>
      </c>
      <c r="CT96">
        <f ca="1" xml:space="preserve"> IF( AND( OFFSET($A$1, 96 - 1, 96 - 1) = "1", OFFSET($A$1, 96 - 1, 97 - 1) = "1" ), 1, IF( AND( OFFSET($A$1, 96 - 1, 96 - 1) = "1", OFFSET($A$1, 96 - 1, 97 - 1) = "0" ), 2, IF( AND( OFFSET($A$1, 96 - 1, 96 - 1) = "0", OFFSET($A$1, 96 - 1, 97 - 1) = "1" ), 3, 4 ) ) )</f>
        <v>1</v>
      </c>
      <c r="CV96" s="24">
        <v>0.36888447156695819</v>
      </c>
      <c r="CW96" s="24" t="str">
        <f>"0"</f>
        <v>0</v>
      </c>
      <c r="CX96" t="str">
        <f ca="1">IF((OFFSET($A$1, 96 - 1, 100 - 1)) &gt;= (OFFSET($A$1, 78 - 1, 7 - 1)), "1","0")</f>
        <v>0</v>
      </c>
      <c r="CY96">
        <f ca="1" xml:space="preserve"> IF( AND( OFFSET($A$1, 96 - 1, 101 - 1) = "1", OFFSET($A$1, 96 - 1, 102 - 1) = "1" ), 1, IF( AND( OFFSET($A$1, 96 - 1, 101 - 1) = "1", OFFSET($A$1, 96 - 1, 102 - 1) = "0" ), 2, IF( AND( OFFSET($A$1, 96 - 1, 101 - 1) = "0", OFFSET($A$1, 96 - 1, 102 - 1) = "1" ), 3, 4 ) ) )</f>
        <v>4</v>
      </c>
    </row>
    <row r="97" spans="2:103" ht="13.8" x14ac:dyDescent="0.3">
      <c r="C97" s="62" t="s">
        <v>713</v>
      </c>
      <c r="D97" s="64"/>
      <c r="E97" s="34">
        <f ca="1">IF(OR(OFFSET($A$1, 94 - 1, 5 - 1)="Undefined",OFFSET($A$1, 95 - 1, 5 - 1)="Undefined"),"Undefined",IF((OFFSET($A$1, 94 - 1, 5 - 1) + OFFSET($A$1, 95 - 1, 5 - 1))=0,"Undefined",2*OFFSET($A$1, 94 - 1, 5 - 1)*OFFSET($A$1, 95 - 1, 5 - 1)/(OFFSET($A$1, 94 - 1, 5 - 1)+OFFSET($A$1, 95 - 1, 5 - 1))))</f>
        <v>0.82060390763765556</v>
      </c>
      <c r="CQ97" s="24">
        <v>8.6169992145245233E-2</v>
      </c>
      <c r="CR97" s="24" t="str">
        <f>"0"</f>
        <v>0</v>
      </c>
      <c r="CS97" t="str">
        <f ca="1">IF((OFFSET($A$1, 97 - 1, 95 - 1)) &gt;= (OFFSET($A$1, 54 - 1, 7 - 1)), "1","0")</f>
        <v>0</v>
      </c>
      <c r="CT97">
        <f ca="1" xml:space="preserve"> IF( AND( OFFSET($A$1, 97 - 1, 96 - 1) = "1", OFFSET($A$1, 97 - 1, 97 - 1) = "1" ), 1, IF( AND( OFFSET($A$1, 97 - 1, 96 - 1) = "1", OFFSET($A$1, 97 - 1, 97 - 1) = "0" ), 2, IF( AND( OFFSET($A$1, 97 - 1, 96 - 1) = "0", OFFSET($A$1, 97 - 1, 97 - 1) = "1" ), 3, 4 ) ) )</f>
        <v>4</v>
      </c>
      <c r="CV97" s="24">
        <v>0.8379693382507819</v>
      </c>
      <c r="CW97" s="24" t="str">
        <f>"1"</f>
        <v>1</v>
      </c>
      <c r="CX97" t="str">
        <f ca="1">IF((OFFSET($A$1, 97 - 1, 100 - 1)) &gt;= (OFFSET($A$1, 78 - 1, 7 - 1)), "1","0")</f>
        <v>1</v>
      </c>
      <c r="CY97">
        <f ca="1" xml:space="preserve"> IF( AND( OFFSET($A$1, 97 - 1, 101 - 1) = "1", OFFSET($A$1, 97 - 1, 102 - 1) = "1" ), 1, IF( AND( OFFSET($A$1, 97 - 1, 101 - 1) = "1", OFFSET($A$1, 97 - 1, 102 - 1) = "0" ), 2, IF( AND( OFFSET($A$1, 97 - 1, 101 - 1) = "0", OFFSET($A$1, 97 - 1, 102 - 1) = "1" ), 3, 4 ) ) )</f>
        <v>1</v>
      </c>
    </row>
    <row r="98" spans="2:103" ht="13.8" x14ac:dyDescent="0.3">
      <c r="CQ98" s="24">
        <v>1.7295224376272407E-2</v>
      </c>
      <c r="CR98" s="24" t="str">
        <f>"0"</f>
        <v>0</v>
      </c>
      <c r="CS98" t="str">
        <f ca="1">IF((OFFSET($A$1, 98 - 1, 95 - 1)) &gt;= (OFFSET($A$1, 54 - 1, 7 - 1)), "1","0")</f>
        <v>0</v>
      </c>
      <c r="CT98">
        <f ca="1" xml:space="preserve"> IF( AND( OFFSET($A$1, 98 - 1, 96 - 1) = "1", OFFSET($A$1, 98 - 1, 97 - 1) = "1" ), 1, IF( AND( OFFSET($A$1, 98 - 1, 96 - 1) = "1", OFFSET($A$1, 98 - 1, 97 - 1) = "0" ), 2, IF( AND( OFFSET($A$1, 98 - 1, 96 - 1) = "0", OFFSET($A$1, 98 - 1, 97 - 1) = "1" ), 3, 4 ) ) )</f>
        <v>4</v>
      </c>
      <c r="CV98" s="24">
        <v>0.99871931335733177</v>
      </c>
      <c r="CW98" s="24" t="str">
        <f>"1"</f>
        <v>1</v>
      </c>
      <c r="CX98" t="str">
        <f ca="1">IF((OFFSET($A$1, 98 - 1, 100 - 1)) &gt;= (OFFSET($A$1, 78 - 1, 7 - 1)), "1","0")</f>
        <v>1</v>
      </c>
      <c r="CY98">
        <f ca="1" xml:space="preserve"> IF( AND( OFFSET($A$1, 98 - 1, 101 - 1) = "1", OFFSET($A$1, 98 - 1, 102 - 1) = "1" ), 1, IF( AND( OFFSET($A$1, 98 - 1, 101 - 1) = "1", OFFSET($A$1, 98 - 1, 102 - 1) = "0" ), 2, IF( AND( OFFSET($A$1, 98 - 1, 101 - 1) = "0", OFFSET($A$1, 98 - 1, 102 - 1) = "1" ), 3, 4 ) ) )</f>
        <v>1</v>
      </c>
    </row>
    <row r="99" spans="2:103" ht="13.8" x14ac:dyDescent="0.3">
      <c r="CQ99" s="24">
        <v>6.7592247227494628E-2</v>
      </c>
      <c r="CR99" s="24" t="str">
        <f>"0"</f>
        <v>0</v>
      </c>
      <c r="CS99" t="str">
        <f ca="1">IF((OFFSET($A$1, 99 - 1, 95 - 1)) &gt;= (OFFSET($A$1, 54 - 1, 7 - 1)), "1","0")</f>
        <v>0</v>
      </c>
      <c r="CT99">
        <f ca="1" xml:space="preserve"> IF( AND( OFFSET($A$1, 99 - 1, 96 - 1) = "1", OFFSET($A$1, 99 - 1, 97 - 1) = "1" ), 1, IF( AND( OFFSET($A$1, 99 - 1, 96 - 1) = "1", OFFSET($A$1, 99 - 1, 97 - 1) = "0" ), 2, IF( AND( OFFSET($A$1, 99 - 1, 96 - 1) = "0", OFFSET($A$1, 99 - 1, 97 - 1) = "1" ), 3, 4 ) ) )</f>
        <v>4</v>
      </c>
      <c r="CV99" s="24">
        <v>0.96150248289177276</v>
      </c>
      <c r="CW99" s="24" t="str">
        <f>"0"</f>
        <v>0</v>
      </c>
      <c r="CX99" t="str">
        <f ca="1">IF((OFFSET($A$1, 99 - 1, 100 - 1)) &gt;= (OFFSET($A$1, 78 - 1, 7 - 1)), "1","0")</f>
        <v>1</v>
      </c>
      <c r="CY99">
        <f ca="1" xml:space="preserve"> IF( AND( OFFSET($A$1, 99 - 1, 101 - 1) = "1", OFFSET($A$1, 99 - 1, 102 - 1) = "1" ), 1, IF( AND( OFFSET($A$1, 99 - 1, 101 - 1) = "1", OFFSET($A$1, 99 - 1, 102 - 1) = "0" ), 2, IF( AND( OFFSET($A$1, 99 - 1, 101 - 1) = "0", OFFSET($A$1, 99 - 1, 102 - 1) = "1" ), 3, 4 ) ) )</f>
        <v>3</v>
      </c>
    </row>
    <row r="100" spans="2:103" ht="18" x14ac:dyDescent="0.35">
      <c r="B100" s="22" t="s">
        <v>715</v>
      </c>
      <c r="CQ100" s="24">
        <v>0.98549675603544862</v>
      </c>
      <c r="CR100" s="24" t="str">
        <f>"1"</f>
        <v>1</v>
      </c>
      <c r="CS100" t="str">
        <f ca="1">IF((OFFSET($A$1, 100 - 1, 95 - 1)) &gt;= (OFFSET($A$1, 54 - 1, 7 - 1)), "1","0")</f>
        <v>1</v>
      </c>
      <c r="CT100">
        <f ca="1" xml:space="preserve"> IF( AND( OFFSET($A$1, 100 - 1, 96 - 1) = "1", OFFSET($A$1, 100 - 1, 97 - 1) = "1" ), 1, IF( AND( OFFSET($A$1, 100 - 1, 96 - 1) = "1", OFFSET($A$1, 100 - 1, 97 - 1) = "0" ), 2, IF( AND( OFFSET($A$1, 100 - 1, 96 - 1) = "0", OFFSET($A$1, 100 - 1, 97 - 1) = "1" ), 3, 4 ) ) )</f>
        <v>1</v>
      </c>
      <c r="CV100" s="24">
        <v>0.82614834005972071</v>
      </c>
      <c r="CW100" s="24" t="str">
        <f>"0"</f>
        <v>0</v>
      </c>
      <c r="CX100" t="str">
        <f ca="1">IF((OFFSET($A$1, 100 - 1, 100 - 1)) &gt;= (OFFSET($A$1, 78 - 1, 7 - 1)), "1","0")</f>
        <v>1</v>
      </c>
      <c r="CY100">
        <f ca="1" xml:space="preserve"> IF( AND( OFFSET($A$1, 100 - 1, 101 - 1) = "1", OFFSET($A$1, 100 - 1, 102 - 1) = "1" ), 1, IF( AND( OFFSET($A$1, 100 - 1, 101 - 1) = "1", OFFSET($A$1, 100 - 1, 102 - 1) = "0" ), 2, IF( AND( OFFSET($A$1, 100 - 1, 101 - 1) = "0", OFFSET($A$1, 100 - 1, 102 - 1) = "1" ), 3, 4 ) ) )</f>
        <v>3</v>
      </c>
    </row>
    <row r="101" spans="2:103" ht="13.8" x14ac:dyDescent="0.3">
      <c r="CQ101" s="24">
        <v>3.4363402630854713E-3</v>
      </c>
      <c r="CR101" s="24" t="str">
        <f>"0"</f>
        <v>0</v>
      </c>
      <c r="CS101" t="str">
        <f ca="1">IF((OFFSET($A$1, 101 - 1, 95 - 1)) &gt;= (OFFSET($A$1, 54 - 1, 7 - 1)), "1","0")</f>
        <v>0</v>
      </c>
      <c r="CT101">
        <f ca="1" xml:space="preserve"> IF( AND( OFFSET($A$1, 101 - 1, 96 - 1) = "1", OFFSET($A$1, 101 - 1, 97 - 1) = "1" ), 1, IF( AND( OFFSET($A$1, 101 - 1, 96 - 1) = "1", OFFSET($A$1, 101 - 1, 97 - 1) = "0" ), 2, IF( AND( OFFSET($A$1, 101 - 1, 96 - 1) = "0", OFFSET($A$1, 101 - 1, 97 - 1) = "1" ), 3, 4 ) ) )</f>
        <v>4</v>
      </c>
      <c r="CV101" s="24">
        <v>7.0283866286670119E-2</v>
      </c>
      <c r="CW101" s="24" t="str">
        <f>"0"</f>
        <v>0</v>
      </c>
      <c r="CX101" t="str">
        <f ca="1">IF((OFFSET($A$1, 101 - 1, 100 - 1)) &gt;= (OFFSET($A$1, 78 - 1, 7 - 1)), "1","0")</f>
        <v>0</v>
      </c>
      <c r="CY101">
        <f ca="1" xml:space="preserve"> IF( AND( OFFSET($A$1, 101 - 1, 101 - 1) = "1", OFFSET($A$1, 101 - 1, 102 - 1) = "1" ), 1, IF( AND( OFFSET($A$1, 101 - 1, 101 - 1) = "1", OFFSET($A$1, 101 - 1, 102 - 1) = "0" ), 2, IF( AND( OFFSET($A$1, 101 - 1, 101 - 1) = "0", OFFSET($A$1, 101 - 1, 102 - 1) = "1" ), 3, 4 ) ) )</f>
        <v>4</v>
      </c>
    </row>
    <row r="102" spans="2:103" ht="13.8" x14ac:dyDescent="0.3">
      <c r="D102" s="77" t="s">
        <v>716</v>
      </c>
      <c r="E102" s="77"/>
      <c r="F102" s="77"/>
      <c r="G102" s="77"/>
      <c r="H102" s="77"/>
      <c r="I102" s="77"/>
      <c r="J102" s="77"/>
      <c r="K102" s="77"/>
      <c r="L102" s="77"/>
      <c r="M102" s="77"/>
      <c r="N102" s="77"/>
      <c r="O102" s="77"/>
      <c r="P102" s="77"/>
      <c r="Q102" s="77"/>
      <c r="R102" s="77"/>
      <c r="S102" s="77"/>
      <c r="T102" s="77"/>
      <c r="U102" s="77"/>
      <c r="V102" s="77"/>
      <c r="W102" s="77"/>
      <c r="X102" s="77"/>
      <c r="Y102" s="77"/>
      <c r="Z102" s="77"/>
      <c r="AA102" s="77"/>
      <c r="AB102" s="77"/>
      <c r="AC102" s="77"/>
      <c r="AD102" s="77"/>
      <c r="AE102" s="77"/>
      <c r="AF102" s="77"/>
      <c r="AG102" s="77"/>
      <c r="AH102" s="77"/>
      <c r="AI102" s="77"/>
      <c r="AJ102" s="77"/>
      <c r="AK102" s="77"/>
      <c r="AL102" s="77"/>
      <c r="AM102" s="77"/>
      <c r="AN102" s="77"/>
      <c r="AO102" s="77"/>
      <c r="AP102" s="77"/>
      <c r="AQ102" s="77"/>
      <c r="AR102" s="77"/>
      <c r="AS102" s="77"/>
      <c r="AT102" s="77"/>
      <c r="AU102" s="77"/>
      <c r="AV102" s="77"/>
      <c r="AW102" s="77"/>
      <c r="CQ102" s="24">
        <v>0.97965628820400896</v>
      </c>
      <c r="CR102" s="24" t="str">
        <f>"1"</f>
        <v>1</v>
      </c>
      <c r="CS102" t="str">
        <f ca="1">IF((OFFSET($A$1, 102 - 1, 95 - 1)) &gt;= (OFFSET($A$1, 54 - 1, 7 - 1)), "1","0")</f>
        <v>1</v>
      </c>
      <c r="CT102">
        <f ca="1" xml:space="preserve"> IF( AND( OFFSET($A$1, 102 - 1, 96 - 1) = "1", OFFSET($A$1, 102 - 1, 97 - 1) = "1" ), 1, IF( AND( OFFSET($A$1, 102 - 1, 96 - 1) = "1", OFFSET($A$1, 102 - 1, 97 - 1) = "0" ), 2, IF( AND( OFFSET($A$1, 102 - 1, 96 - 1) = "0", OFFSET($A$1, 102 - 1, 97 - 1) = "1" ), 3, 4 ) ) )</f>
        <v>1</v>
      </c>
      <c r="CV102" s="24">
        <v>0.99894165721463724</v>
      </c>
      <c r="CW102" s="24" t="str">
        <f>"1"</f>
        <v>1</v>
      </c>
      <c r="CX102" t="str">
        <f ca="1">IF((OFFSET($A$1, 102 - 1, 100 - 1)) &gt;= (OFFSET($A$1, 78 - 1, 7 - 1)), "1","0")</f>
        <v>1</v>
      </c>
      <c r="CY102">
        <f ca="1" xml:space="preserve"> IF( AND( OFFSET($A$1, 102 - 1, 101 - 1) = "1", OFFSET($A$1, 102 - 1, 102 - 1) = "1" ), 1, IF( AND( OFFSET($A$1, 102 - 1, 101 - 1) = "1", OFFSET($A$1, 102 - 1, 102 - 1) = "0" ), 2, IF( AND( OFFSET($A$1, 102 - 1, 101 - 1) = "0", OFFSET($A$1, 102 - 1, 102 - 1) = "1" ), 3, 4 ) ) )</f>
        <v>1</v>
      </c>
    </row>
    <row r="103" spans="2:103" ht="13.8" x14ac:dyDescent="0.3">
      <c r="C103" s="36" t="s">
        <v>717</v>
      </c>
      <c r="D103" s="26" t="s">
        <v>0</v>
      </c>
      <c r="E103" s="26" t="s">
        <v>68</v>
      </c>
      <c r="F103" s="26" t="s">
        <v>69</v>
      </c>
      <c r="G103" s="26" t="s">
        <v>70</v>
      </c>
      <c r="H103" s="26" t="s">
        <v>71</v>
      </c>
      <c r="I103" s="26" t="s">
        <v>81</v>
      </c>
      <c r="J103" s="26" t="s">
        <v>72</v>
      </c>
      <c r="K103" s="26" t="s">
        <v>2</v>
      </c>
      <c r="L103" s="26" t="s">
        <v>6</v>
      </c>
      <c r="M103" s="26" t="s">
        <v>74</v>
      </c>
      <c r="N103" s="26" t="s">
        <v>75</v>
      </c>
      <c r="O103" s="26" t="s">
        <v>76</v>
      </c>
      <c r="P103" s="26" t="s">
        <v>73</v>
      </c>
      <c r="Q103" s="26" t="s">
        <v>77</v>
      </c>
      <c r="R103" s="26" t="s">
        <v>78</v>
      </c>
      <c r="S103" s="26" t="s">
        <v>82</v>
      </c>
      <c r="T103" s="26" t="s">
        <v>8</v>
      </c>
      <c r="U103" s="26" t="s">
        <v>79</v>
      </c>
      <c r="V103" s="26" t="s">
        <v>80</v>
      </c>
      <c r="W103" s="26" t="s">
        <v>83</v>
      </c>
      <c r="X103" s="26" t="s">
        <v>9</v>
      </c>
      <c r="Y103" s="26" t="s">
        <v>11</v>
      </c>
      <c r="Z103" s="26" t="s">
        <v>12</v>
      </c>
      <c r="AA103" s="26" t="s">
        <v>13</v>
      </c>
      <c r="AB103" s="26" t="s">
        <v>152</v>
      </c>
      <c r="AC103" s="26" t="s">
        <v>153</v>
      </c>
      <c r="AD103" s="26" t="s">
        <v>154</v>
      </c>
      <c r="AE103" s="26" t="s">
        <v>156</v>
      </c>
      <c r="AF103" s="26" t="s">
        <v>157</v>
      </c>
      <c r="AG103" s="26" t="s">
        <v>158</v>
      </c>
      <c r="AH103" s="26" t="s">
        <v>159</v>
      </c>
      <c r="AI103" s="26" t="s">
        <v>161</v>
      </c>
      <c r="AJ103" s="26" t="s">
        <v>162</v>
      </c>
      <c r="AK103" s="26" t="s">
        <v>163</v>
      </c>
      <c r="AL103" s="26" t="s">
        <v>164</v>
      </c>
      <c r="AM103" s="26" t="s">
        <v>166</v>
      </c>
      <c r="AN103" s="26" t="s">
        <v>167</v>
      </c>
      <c r="AO103" s="26" t="s">
        <v>168</v>
      </c>
      <c r="AP103" s="26" t="s">
        <v>169</v>
      </c>
      <c r="AQ103" s="26" t="s">
        <v>171</v>
      </c>
      <c r="AR103" s="26" t="s">
        <v>172</v>
      </c>
      <c r="AS103" s="26" t="s">
        <v>173</v>
      </c>
      <c r="AT103" s="26" t="s">
        <v>176</v>
      </c>
      <c r="AU103" s="26" t="s">
        <v>177</v>
      </c>
      <c r="AV103" s="26" t="s">
        <v>178</v>
      </c>
      <c r="AW103" s="26" t="s">
        <v>732</v>
      </c>
      <c r="CQ103" s="24">
        <v>4.6045261985854256E-2</v>
      </c>
      <c r="CR103" s="24" t="str">
        <f>"0"</f>
        <v>0</v>
      </c>
      <c r="CS103" t="str">
        <f ca="1">IF((OFFSET($A$1, 103 - 1, 95 - 1)) &gt;= (OFFSET($A$1, 54 - 1, 7 - 1)), "1","0")</f>
        <v>0</v>
      </c>
      <c r="CT103">
        <f ca="1" xml:space="preserve"> IF( AND( OFFSET($A$1, 103 - 1, 96 - 1) = "1", OFFSET($A$1, 103 - 1, 97 - 1) = "1" ), 1, IF( AND( OFFSET($A$1, 103 - 1, 96 - 1) = "1", OFFSET($A$1, 103 - 1, 97 - 1) = "0" ), 2, IF( AND( OFFSET($A$1, 103 - 1, 96 - 1) = "0", OFFSET($A$1, 103 - 1, 97 - 1) = "1" ), 3, 4 ) ) )</f>
        <v>4</v>
      </c>
      <c r="CV103" s="24">
        <v>0.99896065067578355</v>
      </c>
      <c r="CW103" s="24" t="str">
        <f>"1"</f>
        <v>1</v>
      </c>
      <c r="CX103" t="str">
        <f ca="1">IF((OFFSET($A$1, 103 - 1, 100 - 1)) &gt;= (OFFSET($A$1, 78 - 1, 7 - 1)), "1","0")</f>
        <v>1</v>
      </c>
      <c r="CY103">
        <f ca="1" xml:space="preserve"> IF( AND( OFFSET($A$1, 103 - 1, 101 - 1) = "1", OFFSET($A$1, 103 - 1, 102 - 1) = "1" ), 1, IF( AND( OFFSET($A$1, 103 - 1, 101 - 1) = "1", OFFSET($A$1, 103 - 1, 102 - 1) = "0" ), 2, IF( AND( OFFSET($A$1, 103 - 1, 101 - 1) = "0", OFFSET($A$1, 103 - 1, 102 - 1) = "1" ), 3, 4 ) ) )</f>
        <v>1</v>
      </c>
    </row>
    <row r="104" spans="2:103" ht="13.8" x14ac:dyDescent="0.3">
      <c r="C104" s="26" t="s">
        <v>718</v>
      </c>
      <c r="D104" s="24">
        <v>-1.0732853813372389</v>
      </c>
      <c r="E104" s="24">
        <v>-0.40489127029025429</v>
      </c>
      <c r="F104" s="24">
        <v>-3.1808929742041622E-2</v>
      </c>
      <c r="G104" s="24">
        <v>0.49061518641476942</v>
      </c>
      <c r="H104" s="24">
        <v>0.79185235800865561</v>
      </c>
      <c r="I104" s="24">
        <v>-0.22730096324837487</v>
      </c>
      <c r="J104" s="24">
        <v>0.30173623094128271</v>
      </c>
      <c r="K104" s="24">
        <v>-0.60102615930889258</v>
      </c>
      <c r="L104" s="24">
        <v>-0.27748298406105965</v>
      </c>
      <c r="M104" s="24">
        <v>-0.23436634322846553</v>
      </c>
      <c r="N104" s="24">
        <v>0.68036562038217518</v>
      </c>
      <c r="O104" s="24">
        <v>-1.372257459643181E-2</v>
      </c>
      <c r="P104" s="24">
        <v>-7.639428687841289E-2</v>
      </c>
      <c r="Q104" s="24">
        <v>-0.29981117578242183</v>
      </c>
      <c r="R104" s="24">
        <v>-0.3004896433603309</v>
      </c>
      <c r="S104" s="24">
        <v>-0.15809849353891162</v>
      </c>
      <c r="T104" s="24">
        <v>0.26538630984307798</v>
      </c>
      <c r="U104" s="24">
        <v>9.2413069189918373E-2</v>
      </c>
      <c r="V104" s="24">
        <v>-0.95340466171251781</v>
      </c>
      <c r="W104" s="24">
        <v>0.55851896969477899</v>
      </c>
      <c r="X104" s="24">
        <v>3.523571710870959E-3</v>
      </c>
      <c r="Y104" s="24">
        <v>0.20855515492520155</v>
      </c>
      <c r="Z104" s="24">
        <v>-0.69778599006093056</v>
      </c>
      <c r="AA104" s="24">
        <v>0.28187768187590667</v>
      </c>
      <c r="AB104" s="24">
        <v>0.17294847439567129</v>
      </c>
      <c r="AC104" s="24">
        <v>-1.3655688190364605</v>
      </c>
      <c r="AD104" s="24">
        <v>0.43631702566502206</v>
      </c>
      <c r="AE104" s="24">
        <v>-0.40128760246490042</v>
      </c>
      <c r="AF104" s="24">
        <v>-0.75847641043174374</v>
      </c>
      <c r="AG104" s="24">
        <v>0.88469437572600196</v>
      </c>
      <c r="AH104" s="24">
        <v>-5.6591116192740654E-2</v>
      </c>
      <c r="AI104" s="24">
        <v>-0.63068215168939434</v>
      </c>
      <c r="AJ104" s="24">
        <v>-0.51182974168757367</v>
      </c>
      <c r="AK104" s="24">
        <v>0.30830724513689722</v>
      </c>
      <c r="AL104" s="24">
        <v>0.34386007931013468</v>
      </c>
      <c r="AM104" s="24">
        <v>0.21184676002693506</v>
      </c>
      <c r="AN104" s="24">
        <v>0.1391439556827137</v>
      </c>
      <c r="AO104" s="24">
        <v>4.599776217438354E-2</v>
      </c>
      <c r="AP104" s="24">
        <v>-0.36930506101758004</v>
      </c>
      <c r="AQ104" s="24">
        <v>0.19289558887187871</v>
      </c>
      <c r="AR104" s="24">
        <v>0.21186146987042304</v>
      </c>
      <c r="AS104" s="24">
        <v>-0.19240026899072021</v>
      </c>
      <c r="AT104" s="24">
        <v>-0.13246868625967337</v>
      </c>
      <c r="AU104" s="24">
        <v>0.29254181144337355</v>
      </c>
      <c r="AV104" s="24">
        <v>0.26044842310389676</v>
      </c>
      <c r="AW104" s="24">
        <v>-0.43846811762819088</v>
      </c>
      <c r="CQ104" s="24">
        <v>0.88169248090953289</v>
      </c>
      <c r="CR104" s="24" t="str">
        <f>"1"</f>
        <v>1</v>
      </c>
      <c r="CS104" t="str">
        <f ca="1">IF((OFFSET($A$1, 104 - 1, 95 - 1)) &gt;= (OFFSET($A$1, 54 - 1, 7 - 1)), "1","0")</f>
        <v>1</v>
      </c>
      <c r="CT104">
        <f ca="1" xml:space="preserve"> IF( AND( OFFSET($A$1, 104 - 1, 96 - 1) = "1", OFFSET($A$1, 104 - 1, 97 - 1) = "1" ), 1, IF( AND( OFFSET($A$1, 104 - 1, 96 - 1) = "1", OFFSET($A$1, 104 - 1, 97 - 1) = "0" ), 2, IF( AND( OFFSET($A$1, 104 - 1, 96 - 1) = "0", OFFSET($A$1, 104 - 1, 97 - 1) = "1" ), 3, 4 ) ) )</f>
        <v>1</v>
      </c>
      <c r="CV104" s="24">
        <v>0.24645611770716175</v>
      </c>
      <c r="CW104" s="24" t="str">
        <f>"0"</f>
        <v>0</v>
      </c>
      <c r="CX104" t="str">
        <f ca="1">IF((OFFSET($A$1, 104 - 1, 100 - 1)) &gt;= (OFFSET($A$1, 78 - 1, 7 - 1)), "1","0")</f>
        <v>0</v>
      </c>
      <c r="CY104">
        <f ca="1" xml:space="preserve"> IF( AND( OFFSET($A$1, 104 - 1, 101 - 1) = "1", OFFSET($A$1, 104 - 1, 102 - 1) = "1" ), 1, IF( AND( OFFSET($A$1, 104 - 1, 101 - 1) = "1", OFFSET($A$1, 104 - 1, 102 - 1) = "0" ), 2, IF( AND( OFFSET($A$1, 104 - 1, 101 - 1) = "0", OFFSET($A$1, 104 - 1, 102 - 1) = "1" ), 3, 4 ) ) )</f>
        <v>4</v>
      </c>
    </row>
    <row r="105" spans="2:103" ht="13.8" x14ac:dyDescent="0.3">
      <c r="C105" s="26" t="s">
        <v>719</v>
      </c>
      <c r="D105" s="24">
        <v>-1.1653809305243068E-2</v>
      </c>
      <c r="E105" s="24">
        <v>-0.23311965662248543</v>
      </c>
      <c r="F105" s="24">
        <v>2.3837642970637212E-2</v>
      </c>
      <c r="G105" s="24">
        <v>0.41502608970624111</v>
      </c>
      <c r="H105" s="24">
        <v>-0.28276091572872214</v>
      </c>
      <c r="I105" s="24">
        <v>-0.32067484886781289</v>
      </c>
      <c r="J105" s="24">
        <v>-0.22937765398022439</v>
      </c>
      <c r="K105" s="24">
        <v>-0.31404523246361238</v>
      </c>
      <c r="L105" s="24">
        <v>0.52831239945514974</v>
      </c>
      <c r="M105" s="24">
        <v>-0.48132677070492008</v>
      </c>
      <c r="N105" s="24">
        <v>-0.29796995814595245</v>
      </c>
      <c r="O105" s="24">
        <v>-0.45135524173338687</v>
      </c>
      <c r="P105" s="24">
        <v>0.45435122030132813</v>
      </c>
      <c r="Q105" s="24">
        <v>0.24913830072491486</v>
      </c>
      <c r="R105" s="24">
        <v>1.048152731235465</v>
      </c>
      <c r="S105" s="24">
        <v>-0.21374109025551305</v>
      </c>
      <c r="T105" s="24">
        <v>-6.8216881336976676E-2</v>
      </c>
      <c r="U105" s="24">
        <v>3.4644713556872535E-2</v>
      </c>
      <c r="V105" s="24">
        <v>-1.1848522435771813</v>
      </c>
      <c r="W105" s="24">
        <v>0.43827509208742016</v>
      </c>
      <c r="X105" s="24">
        <v>-0.41445815603971337</v>
      </c>
      <c r="Y105" s="24">
        <v>0.64796011981075718</v>
      </c>
      <c r="Z105" s="24">
        <v>-1.2525765563299822</v>
      </c>
      <c r="AA105" s="24">
        <v>-6.5459602087812624E-2</v>
      </c>
      <c r="AB105" s="24">
        <v>-0.8241478406481888</v>
      </c>
      <c r="AC105" s="24">
        <v>-1.3672067988122478</v>
      </c>
      <c r="AD105" s="24">
        <v>0.61024736065913687</v>
      </c>
      <c r="AE105" s="24">
        <v>-0.41559835345921792</v>
      </c>
      <c r="AF105" s="24">
        <v>-0.51857474948631377</v>
      </c>
      <c r="AG105" s="24">
        <v>1.0043357468545526</v>
      </c>
      <c r="AH105" s="24">
        <v>-1.4177168832893934</v>
      </c>
      <c r="AI105" s="24">
        <v>0.86778860822488724</v>
      </c>
      <c r="AJ105" s="24">
        <v>-0.7175945016984645</v>
      </c>
      <c r="AK105" s="24">
        <v>-0.3735435554082015</v>
      </c>
      <c r="AL105" s="24">
        <v>0.26871611172356114</v>
      </c>
      <c r="AM105" s="24">
        <v>0.6928851842742797</v>
      </c>
      <c r="AN105" s="24">
        <v>0.49032697450619767</v>
      </c>
      <c r="AO105" s="24">
        <v>-0.84213514767452902</v>
      </c>
      <c r="AP105" s="24">
        <v>0.54248374895110385</v>
      </c>
      <c r="AQ105" s="24">
        <v>-0.10782555282424834</v>
      </c>
      <c r="AR105" s="24">
        <v>1.2067371429671856E-2</v>
      </c>
      <c r="AS105" s="24">
        <v>-1.1429273228849812</v>
      </c>
      <c r="AT105" s="24">
        <v>0.32284515988960288</v>
      </c>
      <c r="AU105" s="24">
        <v>0.90102360163625828</v>
      </c>
      <c r="AV105" s="24">
        <v>-1.7323746641482893</v>
      </c>
      <c r="AW105" s="24">
        <v>0.32337516580349956</v>
      </c>
      <c r="CQ105" s="24">
        <v>7.4988077110300214E-2</v>
      </c>
      <c r="CR105" s="24" t="str">
        <f>"0"</f>
        <v>0</v>
      </c>
      <c r="CS105" t="str">
        <f ca="1">IF((OFFSET($A$1, 105 - 1, 95 - 1)) &gt;= (OFFSET($A$1, 54 - 1, 7 - 1)), "1","0")</f>
        <v>0</v>
      </c>
      <c r="CT105">
        <f ca="1" xml:space="preserve"> IF( AND( OFFSET($A$1, 105 - 1, 96 - 1) = "1", OFFSET($A$1, 105 - 1, 97 - 1) = "1" ), 1, IF( AND( OFFSET($A$1, 105 - 1, 96 - 1) = "1", OFFSET($A$1, 105 - 1, 97 - 1) = "0" ), 2, IF( AND( OFFSET($A$1, 105 - 1, 96 - 1) = "0", OFFSET($A$1, 105 - 1, 97 - 1) = "1" ), 3, 4 ) ) )</f>
        <v>4</v>
      </c>
      <c r="CV105" s="24">
        <v>0.99097477775374476</v>
      </c>
      <c r="CW105" s="24" t="str">
        <f>"1"</f>
        <v>1</v>
      </c>
      <c r="CX105" t="str">
        <f ca="1">IF((OFFSET($A$1, 105 - 1, 100 - 1)) &gt;= (OFFSET($A$1, 78 - 1, 7 - 1)), "1","0")</f>
        <v>1</v>
      </c>
      <c r="CY105">
        <f ca="1" xml:space="preserve"> IF( AND( OFFSET($A$1, 105 - 1, 101 - 1) = "1", OFFSET($A$1, 105 - 1, 102 - 1) = "1" ), 1, IF( AND( OFFSET($A$1, 105 - 1, 101 - 1) = "1", OFFSET($A$1, 105 - 1, 102 - 1) = "0" ), 2, IF( AND( OFFSET($A$1, 105 - 1, 101 - 1) = "0", OFFSET($A$1, 105 - 1, 102 - 1) = "1" ), 3, 4 ) ) )</f>
        <v>1</v>
      </c>
    </row>
    <row r="106" spans="2:103" ht="13.8" x14ac:dyDescent="0.3">
      <c r="C106" s="26" t="s">
        <v>720</v>
      </c>
      <c r="D106" s="24">
        <v>1.2176744842263219</v>
      </c>
      <c r="E106" s="24">
        <v>0.96906997660874106</v>
      </c>
      <c r="F106" s="24">
        <v>0.88150308894429041</v>
      </c>
      <c r="G106" s="24">
        <v>-0.46342565451452156</v>
      </c>
      <c r="H106" s="24">
        <v>-6.9324289747574416E-2</v>
      </c>
      <c r="I106" s="24">
        <v>1.0062840023880015</v>
      </c>
      <c r="J106" s="24">
        <v>2.5670242159707896E-2</v>
      </c>
      <c r="K106" s="24">
        <v>-1.1820836113444417</v>
      </c>
      <c r="L106" s="24">
        <v>-1.3527489593339828</v>
      </c>
      <c r="M106" s="24">
        <v>1.0970531867842417</v>
      </c>
      <c r="N106" s="24">
        <v>1.5793772787434086</v>
      </c>
      <c r="O106" s="24">
        <v>0.26323929866298656</v>
      </c>
      <c r="P106" s="24">
        <v>-0.20610859659992264</v>
      </c>
      <c r="Q106" s="24">
        <v>2.2548357316482286</v>
      </c>
      <c r="R106" s="24">
        <v>5.1418152748153888E-2</v>
      </c>
      <c r="S106" s="24">
        <v>-1.6859788096590567</v>
      </c>
      <c r="T106" s="24">
        <v>0.86332836549103409</v>
      </c>
      <c r="U106" s="24">
        <v>0.79725904108661094</v>
      </c>
      <c r="V106" s="24">
        <v>1.2191372920019024</v>
      </c>
      <c r="W106" s="24">
        <v>-0.5160423643462011</v>
      </c>
      <c r="X106" s="24">
        <v>-0.94623068294276036</v>
      </c>
      <c r="Y106" s="24">
        <v>0.86274618514744672</v>
      </c>
      <c r="Z106" s="24">
        <v>-0.20058707957563718</v>
      </c>
      <c r="AA106" s="24">
        <v>-6.2421414758412376E-2</v>
      </c>
      <c r="AB106" s="24">
        <v>-1.3371865293999761</v>
      </c>
      <c r="AC106" s="24">
        <v>-1.2340616910133853</v>
      </c>
      <c r="AD106" s="24">
        <v>-0.81494411950205581</v>
      </c>
      <c r="AE106" s="24">
        <v>-0.16224351915703042</v>
      </c>
      <c r="AF106" s="24">
        <v>-0.39581076255818054</v>
      </c>
      <c r="AG106" s="24">
        <v>-0.7316127036553064</v>
      </c>
      <c r="AH106" s="24">
        <v>-3.0625232929896461E-2</v>
      </c>
      <c r="AI106" s="24">
        <v>-1.2179207690869907</v>
      </c>
      <c r="AJ106" s="24">
        <v>1.1807657554302993</v>
      </c>
      <c r="AK106" s="24">
        <v>0.40184177460232429</v>
      </c>
      <c r="AL106" s="24">
        <v>-0.35045732188685452</v>
      </c>
      <c r="AM106" s="24">
        <v>-0.78011121163963704</v>
      </c>
      <c r="AN106" s="24">
        <v>-0.62520049632763564</v>
      </c>
      <c r="AO106" s="24">
        <v>1.8525423264057537</v>
      </c>
      <c r="AP106" s="24">
        <v>0.78924650733179946</v>
      </c>
      <c r="AQ106" s="24">
        <v>-0.62509567501703045</v>
      </c>
      <c r="AR106" s="24">
        <v>0.8847337914005442</v>
      </c>
      <c r="AS106" s="24">
        <v>-0.10433719878747108</v>
      </c>
      <c r="AT106" s="24">
        <v>0.99475767474159715</v>
      </c>
      <c r="AU106" s="24">
        <v>1.0072268533214896</v>
      </c>
      <c r="AV106" s="24">
        <v>-8.9599968596385457E-2</v>
      </c>
      <c r="AW106" s="24">
        <v>-0.25261965570352513</v>
      </c>
      <c r="CQ106" s="24">
        <v>3.1339036348581484E-2</v>
      </c>
      <c r="CR106" s="24" t="str">
        <f>"0"</f>
        <v>0</v>
      </c>
      <c r="CS106" t="str">
        <f ca="1">IF((OFFSET($A$1, 106 - 1, 95 - 1)) &gt;= (OFFSET($A$1, 54 - 1, 7 - 1)), "1","0")</f>
        <v>0</v>
      </c>
      <c r="CT106">
        <f ca="1" xml:space="preserve"> IF( AND( OFFSET($A$1, 106 - 1, 96 - 1) = "1", OFFSET($A$1, 106 - 1, 97 - 1) = "1" ), 1, IF( AND( OFFSET($A$1, 106 - 1, 96 - 1) = "1", OFFSET($A$1, 106 - 1, 97 - 1) = "0" ), 2, IF( AND( OFFSET($A$1, 106 - 1, 96 - 1) = "0", OFFSET($A$1, 106 - 1, 97 - 1) = "1" ), 3, 4 ) ) )</f>
        <v>4</v>
      </c>
      <c r="CV106" s="24">
        <v>0.87899515396764649</v>
      </c>
      <c r="CW106" s="24" t="str">
        <f>"1"</f>
        <v>1</v>
      </c>
      <c r="CX106" t="str">
        <f ca="1">IF((OFFSET($A$1, 106 - 1, 100 - 1)) &gt;= (OFFSET($A$1, 78 - 1, 7 - 1)), "1","0")</f>
        <v>1</v>
      </c>
      <c r="CY106">
        <f ca="1" xml:space="preserve"> IF( AND( OFFSET($A$1, 106 - 1, 101 - 1) = "1", OFFSET($A$1, 106 - 1, 102 - 1) = "1" ), 1, IF( AND( OFFSET($A$1, 106 - 1, 101 - 1) = "1", OFFSET($A$1, 106 - 1, 102 - 1) = "0" ), 2, IF( AND( OFFSET($A$1, 106 - 1, 101 - 1) = "0", OFFSET($A$1, 106 - 1, 102 - 1) = "1" ), 3, 4 ) ) )</f>
        <v>1</v>
      </c>
    </row>
    <row r="107" spans="2:103" ht="13.8" x14ac:dyDescent="0.3">
      <c r="C107" s="26" t="s">
        <v>721</v>
      </c>
      <c r="D107" s="24">
        <v>0.652879714546444</v>
      </c>
      <c r="E107" s="24">
        <v>-0.25244126955022117</v>
      </c>
      <c r="F107" s="24">
        <v>0.15033667273506637</v>
      </c>
      <c r="G107" s="24">
        <v>-4.9334940602864504E-3</v>
      </c>
      <c r="H107" s="24">
        <v>-0.47739556495441071</v>
      </c>
      <c r="I107" s="24">
        <v>0.3378644345993248</v>
      </c>
      <c r="J107" s="24">
        <v>3.9487337448199863E-2</v>
      </c>
      <c r="K107" s="24">
        <v>-0.10646156583136861</v>
      </c>
      <c r="L107" s="24">
        <v>0.28157645391623104</v>
      </c>
      <c r="M107" s="24">
        <v>-0.18462481077905324</v>
      </c>
      <c r="N107" s="24">
        <v>-1.0448540621659597</v>
      </c>
      <c r="O107" s="24">
        <v>-0.13832346334856715</v>
      </c>
      <c r="P107" s="24">
        <v>0.16153558278147401</v>
      </c>
      <c r="Q107" s="24">
        <v>0.20860022397199754</v>
      </c>
      <c r="R107" s="24">
        <v>-0.78464864448507254</v>
      </c>
      <c r="S107" s="24">
        <v>-0.1873655423609363</v>
      </c>
      <c r="T107" s="24">
        <v>0.31548806015063985</v>
      </c>
      <c r="U107" s="24">
        <v>4.5132097559084143E-2</v>
      </c>
      <c r="V107" s="24">
        <v>0.33355930109154003</v>
      </c>
      <c r="W107" s="24">
        <v>-0.23843370486752036</v>
      </c>
      <c r="X107" s="24">
        <v>0.37050046779107781</v>
      </c>
      <c r="Y107" s="24">
        <v>-0.43669558233818084</v>
      </c>
      <c r="Z107" s="24">
        <v>0.9793288909960608</v>
      </c>
      <c r="AA107" s="24">
        <v>-0.13578709850684287</v>
      </c>
      <c r="AB107" s="24">
        <v>-0.76985711696810277</v>
      </c>
      <c r="AC107" s="24">
        <v>6.1082403039368328E-2</v>
      </c>
      <c r="AD107" s="24">
        <v>3.6381346634340346E-2</v>
      </c>
      <c r="AE107" s="24">
        <v>0.38300928908567244</v>
      </c>
      <c r="AF107" s="24">
        <v>-0.83974374783568417</v>
      </c>
      <c r="AG107" s="24">
        <v>0.31419320029049652</v>
      </c>
      <c r="AH107" s="24">
        <v>0.30000997931535839</v>
      </c>
      <c r="AI107" s="24">
        <v>0.1930355140462704</v>
      </c>
      <c r="AJ107" s="24">
        <v>-0.7546940671379907</v>
      </c>
      <c r="AK107" s="24">
        <v>-0.33168481009823458</v>
      </c>
      <c r="AL107" s="24">
        <v>-7.8786010978913648E-2</v>
      </c>
      <c r="AM107" s="24">
        <v>-4.994789578416263E-2</v>
      </c>
      <c r="AN107" s="24">
        <v>-0.46223414050047262</v>
      </c>
      <c r="AO107" s="24">
        <v>-0.42768449914105733</v>
      </c>
      <c r="AP107" s="24">
        <v>0.14509410773150697</v>
      </c>
      <c r="AQ107" s="24">
        <v>-0.65411558196597874</v>
      </c>
      <c r="AR107" s="24">
        <v>0.47549594666561473</v>
      </c>
      <c r="AS107" s="24">
        <v>0.52966276377840715</v>
      </c>
      <c r="AT107" s="24">
        <v>-1.944662580734657E-2</v>
      </c>
      <c r="AU107" s="24">
        <v>-0.77608043624917611</v>
      </c>
      <c r="AV107" s="24">
        <v>-0.89509708822575162</v>
      </c>
      <c r="AW107" s="24">
        <v>-0.70625255387842256</v>
      </c>
      <c r="CQ107" s="24">
        <v>6.7690510758362757E-2</v>
      </c>
      <c r="CR107" s="24" t="str">
        <f>"0"</f>
        <v>0</v>
      </c>
      <c r="CS107" t="str">
        <f ca="1">IF((OFFSET($A$1, 107 - 1, 95 - 1)) &gt;= (OFFSET($A$1, 54 - 1, 7 - 1)), "1","0")</f>
        <v>0</v>
      </c>
      <c r="CT107">
        <f ca="1" xml:space="preserve"> IF( AND( OFFSET($A$1, 107 - 1, 96 - 1) = "1", OFFSET($A$1, 107 - 1, 97 - 1) = "1" ), 1, IF( AND( OFFSET($A$1, 107 - 1, 96 - 1) = "1", OFFSET($A$1, 107 - 1, 97 - 1) = "0" ), 2, IF( AND( OFFSET($A$1, 107 - 1, 96 - 1) = "0", OFFSET($A$1, 107 - 1, 97 - 1) = "1" ), 3, 4 ) ) )</f>
        <v>4</v>
      </c>
      <c r="CV107" s="24">
        <v>9.5136299683565004E-2</v>
      </c>
      <c r="CW107" s="24" t="str">
        <f>"0"</f>
        <v>0</v>
      </c>
      <c r="CX107" t="str">
        <f ca="1">IF((OFFSET($A$1, 107 - 1, 100 - 1)) &gt;= (OFFSET($A$1, 78 - 1, 7 - 1)), "1","0")</f>
        <v>0</v>
      </c>
      <c r="CY107">
        <f ca="1" xml:space="preserve"> IF( AND( OFFSET($A$1, 107 - 1, 101 - 1) = "1", OFFSET($A$1, 107 - 1, 102 - 1) = "1" ), 1, IF( AND( OFFSET($A$1, 107 - 1, 101 - 1) = "1", OFFSET($A$1, 107 - 1, 102 - 1) = "0" ), 2, IF( AND( OFFSET($A$1, 107 - 1, 101 - 1) = "0", OFFSET($A$1, 107 - 1, 102 - 1) = "1" ), 3, 4 ) ) )</f>
        <v>4</v>
      </c>
    </row>
    <row r="108" spans="2:103" ht="13.8" x14ac:dyDescent="0.3">
      <c r="C108" s="26" t="s">
        <v>722</v>
      </c>
      <c r="D108" s="24">
        <v>-0.70575045823240501</v>
      </c>
      <c r="E108" s="24">
        <v>1.087011857034432</v>
      </c>
      <c r="F108" s="24">
        <v>0.12876327315730265</v>
      </c>
      <c r="G108" s="24">
        <v>-8.9640501098393874E-2</v>
      </c>
      <c r="H108" s="24">
        <v>-0.13115858323721566</v>
      </c>
      <c r="I108" s="24">
        <v>0.30171660792968952</v>
      </c>
      <c r="J108" s="24">
        <v>-1.5469945187914258</v>
      </c>
      <c r="K108" s="24">
        <v>0.16409333847161151</v>
      </c>
      <c r="L108" s="24">
        <v>-1.6381882243991901</v>
      </c>
      <c r="M108" s="24">
        <v>-1.2719251768075421</v>
      </c>
      <c r="N108" s="24">
        <v>1.2944630925449514</v>
      </c>
      <c r="O108" s="24">
        <v>-0.31701431601707475</v>
      </c>
      <c r="P108" s="24">
        <v>-0.82815425255775776</v>
      </c>
      <c r="Q108" s="24">
        <v>-1.3329269139329634</v>
      </c>
      <c r="R108" s="24">
        <v>1.7482087592573488</v>
      </c>
      <c r="S108" s="24">
        <v>0.13138117738392621</v>
      </c>
      <c r="T108" s="24">
        <v>1.5295741428819858</v>
      </c>
      <c r="U108" s="24">
        <v>-2.7755887686969056</v>
      </c>
      <c r="V108" s="24">
        <v>-1.0909323151754486</v>
      </c>
      <c r="W108" s="24">
        <v>-1.0515490858580046</v>
      </c>
      <c r="X108" s="24">
        <v>-0.94147907471030412</v>
      </c>
      <c r="Y108" s="24">
        <v>0.83812108415737085</v>
      </c>
      <c r="Z108" s="24">
        <v>1.2075761336503361</v>
      </c>
      <c r="AA108" s="24">
        <v>0.14177133324169836</v>
      </c>
      <c r="AB108" s="24">
        <v>-2.4228337574150518</v>
      </c>
      <c r="AC108" s="24">
        <v>-0.73820901229092117</v>
      </c>
      <c r="AD108" s="24">
        <v>-0.63196965489586088</v>
      </c>
      <c r="AE108" s="24">
        <v>-0.85417908983259394</v>
      </c>
      <c r="AF108" s="24">
        <v>-1.9327129893011246</v>
      </c>
      <c r="AG108" s="24">
        <v>0.15968172119945492</v>
      </c>
      <c r="AH108" s="24">
        <v>0.99026064059971519</v>
      </c>
      <c r="AI108" s="24">
        <v>-2.0784243509093221</v>
      </c>
      <c r="AJ108" s="24">
        <v>0.45386636179673789</v>
      </c>
      <c r="AK108" s="24">
        <v>0.30638393937053138</v>
      </c>
      <c r="AL108" s="24">
        <v>0.76478622257318063</v>
      </c>
      <c r="AM108" s="24">
        <v>0.5692381358829055</v>
      </c>
      <c r="AN108" s="24">
        <v>-0.45597513286493924</v>
      </c>
      <c r="AO108" s="24">
        <v>-3.9492638047929816E-2</v>
      </c>
      <c r="AP108" s="24">
        <v>-0.49962728581806615</v>
      </c>
      <c r="AQ108" s="24">
        <v>1.2480470346828463</v>
      </c>
      <c r="AR108" s="24">
        <v>0.49426660580864307</v>
      </c>
      <c r="AS108" s="24">
        <v>-0.16456772457651866</v>
      </c>
      <c r="AT108" s="24">
        <v>-0.12207588201908148</v>
      </c>
      <c r="AU108" s="24">
        <v>-1.0634596264490244</v>
      </c>
      <c r="AV108" s="24">
        <v>0.19339020893837222</v>
      </c>
      <c r="AW108" s="24">
        <v>-1.2377835126965626</v>
      </c>
      <c r="CQ108" s="24">
        <v>9.2526301035180364E-2</v>
      </c>
      <c r="CR108" s="24" t="str">
        <f>"0"</f>
        <v>0</v>
      </c>
      <c r="CS108" t="str">
        <f ca="1">IF((OFFSET($A$1, 108 - 1, 95 - 1)) &gt;= (OFFSET($A$1, 54 - 1, 7 - 1)), "1","0")</f>
        <v>0</v>
      </c>
      <c r="CT108">
        <f ca="1" xml:space="preserve"> IF( AND( OFFSET($A$1, 108 - 1, 96 - 1) = "1", OFFSET($A$1, 108 - 1, 97 - 1) = "1" ), 1, IF( AND( OFFSET($A$1, 108 - 1, 96 - 1) = "1", OFFSET($A$1, 108 - 1, 97 - 1) = "0" ), 2, IF( AND( OFFSET($A$1, 108 - 1, 96 - 1) = "0", OFFSET($A$1, 108 - 1, 97 - 1) = "1" ), 3, 4 ) ) )</f>
        <v>4</v>
      </c>
      <c r="CV108" s="24">
        <v>0.44750933678560928</v>
      </c>
      <c r="CW108" s="24" t="str">
        <f>"1"</f>
        <v>1</v>
      </c>
      <c r="CX108" t="str">
        <f ca="1">IF((OFFSET($A$1, 108 - 1, 100 - 1)) &gt;= (OFFSET($A$1, 78 - 1, 7 - 1)), "1","0")</f>
        <v>0</v>
      </c>
      <c r="CY108">
        <f ca="1" xml:space="preserve"> IF( AND( OFFSET($A$1, 108 - 1, 101 - 1) = "1", OFFSET($A$1, 108 - 1, 102 - 1) = "1" ), 1, IF( AND( OFFSET($A$1, 108 - 1, 101 - 1) = "1", OFFSET($A$1, 108 - 1, 102 - 1) = "0" ), 2, IF( AND( OFFSET($A$1, 108 - 1, 101 - 1) = "0", OFFSET($A$1, 108 - 1, 102 - 1) = "1" ), 3, 4 ) ) )</f>
        <v>2</v>
      </c>
    </row>
    <row r="109" spans="2:103" ht="13.8" x14ac:dyDescent="0.3">
      <c r="C109" s="26" t="s">
        <v>723</v>
      </c>
      <c r="D109" s="24">
        <v>2.359538078378141</v>
      </c>
      <c r="E109" s="24">
        <v>1.5342626611538348</v>
      </c>
      <c r="F109" s="24">
        <v>-0.70396637001221873</v>
      </c>
      <c r="G109" s="24">
        <v>0.10931690674292587</v>
      </c>
      <c r="H109" s="24">
        <v>-2.3143138489059494</v>
      </c>
      <c r="I109" s="24">
        <v>1.1242084204365503</v>
      </c>
      <c r="J109" s="24">
        <v>0.19556288805498306</v>
      </c>
      <c r="K109" s="24">
        <v>1.4775532118150509</v>
      </c>
      <c r="L109" s="24">
        <v>-0.96139007396914211</v>
      </c>
      <c r="M109" s="24">
        <v>0.74292390696948407</v>
      </c>
      <c r="N109" s="24">
        <v>0.61311453568923424</v>
      </c>
      <c r="O109" s="24">
        <v>-0.79140083109871373</v>
      </c>
      <c r="P109" s="24">
        <v>0.20443942984547409</v>
      </c>
      <c r="Q109" s="24">
        <v>6.3038145193855227E-2</v>
      </c>
      <c r="R109" s="24">
        <v>-0.67611791759598805</v>
      </c>
      <c r="S109" s="24">
        <v>-1.9095500988074256E-2</v>
      </c>
      <c r="T109" s="24">
        <v>-0.99994348494870366</v>
      </c>
      <c r="U109" s="24">
        <v>0.12448257980103632</v>
      </c>
      <c r="V109" s="24">
        <v>1.0749537619706295</v>
      </c>
      <c r="W109" s="24">
        <v>-0.62027554807227492</v>
      </c>
      <c r="X109" s="24">
        <v>-0.45876355500362631</v>
      </c>
      <c r="Y109" s="24">
        <v>0.9237096681341681</v>
      </c>
      <c r="Z109" s="24">
        <v>-0.81591057833853098</v>
      </c>
      <c r="AA109" s="24">
        <v>-0.53551220199892513</v>
      </c>
      <c r="AB109" s="24">
        <v>0.60237102333451353</v>
      </c>
      <c r="AC109" s="24">
        <v>1.5079213529649014</v>
      </c>
      <c r="AD109" s="24">
        <v>-0.76709682771574206</v>
      </c>
      <c r="AE109" s="24">
        <v>-0.6199021265318625</v>
      </c>
      <c r="AF109" s="24">
        <v>-1.0718196463034749E-2</v>
      </c>
      <c r="AG109" s="24">
        <v>-0.36043332496897384</v>
      </c>
      <c r="AH109" s="24">
        <v>0.53210180601434653</v>
      </c>
      <c r="AI109" s="24">
        <v>-1.5680832247236389</v>
      </c>
      <c r="AJ109" s="24">
        <v>0.20408072792456344</v>
      </c>
      <c r="AK109" s="24">
        <v>-0.41565230298532668</v>
      </c>
      <c r="AL109" s="24">
        <v>0.41055123988157155</v>
      </c>
      <c r="AM109" s="24">
        <v>1.9042414060625683</v>
      </c>
      <c r="AN109" s="24">
        <v>-1.0149436756764016</v>
      </c>
      <c r="AO109" s="24">
        <v>0.29105294197356929</v>
      </c>
      <c r="AP109" s="24">
        <v>0.69980504758742679</v>
      </c>
      <c r="AQ109" s="24">
        <v>-0.62497129397763707</v>
      </c>
      <c r="AR109" s="24">
        <v>0.76294040898118387</v>
      </c>
      <c r="AS109" s="24">
        <v>-7.3118411607234313E-2</v>
      </c>
      <c r="AT109" s="24">
        <v>-1.7425000085440319</v>
      </c>
      <c r="AU109" s="24">
        <v>0.30873748934991402</v>
      </c>
      <c r="AV109" s="24">
        <v>-0.56394160569098606</v>
      </c>
      <c r="AW109" s="24">
        <v>-0.32528633536713397</v>
      </c>
      <c r="CQ109" s="24">
        <v>5.7730500464661418E-3</v>
      </c>
      <c r="CR109" s="24" t="str">
        <f>"0"</f>
        <v>0</v>
      </c>
      <c r="CS109" t="str">
        <f ca="1">IF((OFFSET($A$1, 109 - 1, 95 - 1)) &gt;= (OFFSET($A$1, 54 - 1, 7 - 1)), "1","0")</f>
        <v>0</v>
      </c>
      <c r="CT109">
        <f ca="1" xml:space="preserve"> IF( AND( OFFSET($A$1, 109 - 1, 96 - 1) = "1", OFFSET($A$1, 109 - 1, 97 - 1) = "1" ), 1, IF( AND( OFFSET($A$1, 109 - 1, 96 - 1) = "1", OFFSET($A$1, 109 - 1, 97 - 1) = "0" ), 2, IF( AND( OFFSET($A$1, 109 - 1, 96 - 1) = "0", OFFSET($A$1, 109 - 1, 97 - 1) = "1" ), 3, 4 ) ) )</f>
        <v>4</v>
      </c>
      <c r="CV109" s="24">
        <v>0.99800133495332721</v>
      </c>
      <c r="CW109" s="24" t="str">
        <f>"1"</f>
        <v>1</v>
      </c>
      <c r="CX109" t="str">
        <f ca="1">IF((OFFSET($A$1, 109 - 1, 100 - 1)) &gt;= (OFFSET($A$1, 78 - 1, 7 - 1)), "1","0")</f>
        <v>1</v>
      </c>
      <c r="CY109">
        <f ca="1" xml:space="preserve"> IF( AND( OFFSET($A$1, 109 - 1, 101 - 1) = "1", OFFSET($A$1, 109 - 1, 102 - 1) = "1" ), 1, IF( AND( OFFSET($A$1, 109 - 1, 101 - 1) = "1", OFFSET($A$1, 109 - 1, 102 - 1) = "0" ), 2, IF( AND( OFFSET($A$1, 109 - 1, 101 - 1) = "0", OFFSET($A$1, 109 - 1, 102 - 1) = "1" ), 3, 4 ) ) )</f>
        <v>1</v>
      </c>
    </row>
    <row r="110" spans="2:103" ht="13.8" x14ac:dyDescent="0.3">
      <c r="C110" s="26" t="s">
        <v>724</v>
      </c>
      <c r="D110" s="24">
        <v>0.51222023004031092</v>
      </c>
      <c r="E110" s="24">
        <v>0.84603030679207136</v>
      </c>
      <c r="F110" s="24">
        <v>0.66417519278067816</v>
      </c>
      <c r="G110" s="24">
        <v>-1.9560116305650666</v>
      </c>
      <c r="H110" s="24">
        <v>-0.82795493112259422</v>
      </c>
      <c r="I110" s="24">
        <v>1.2348495742221981</v>
      </c>
      <c r="J110" s="24">
        <v>0.16418332053366425</v>
      </c>
      <c r="K110" s="24">
        <v>-5.2620504259450987E-2</v>
      </c>
      <c r="L110" s="24">
        <v>-0.35886346368897443</v>
      </c>
      <c r="M110" s="24">
        <v>-0.40375860608710484</v>
      </c>
      <c r="N110" s="24">
        <v>-0.11510704456888611</v>
      </c>
      <c r="O110" s="24">
        <v>-2.4266052261577746</v>
      </c>
      <c r="P110" s="24">
        <v>-0.50466940079109579</v>
      </c>
      <c r="Q110" s="24">
        <v>-0.74729685660023881</v>
      </c>
      <c r="R110" s="24">
        <v>0.95150543301228108</v>
      </c>
      <c r="S110" s="24">
        <v>-0.47626143120608189</v>
      </c>
      <c r="T110" s="24">
        <v>-0.14565683276394742</v>
      </c>
      <c r="U110" s="24">
        <v>-0.12311175621187863</v>
      </c>
      <c r="V110" s="24">
        <v>1.104299870791984</v>
      </c>
      <c r="W110" s="24">
        <v>-1.9473769994727903</v>
      </c>
      <c r="X110" s="24">
        <v>-0.21306961687485737</v>
      </c>
      <c r="Y110" s="24">
        <v>-0.77710743629079815</v>
      </c>
      <c r="Z110" s="24">
        <v>0.70697464222846196</v>
      </c>
      <c r="AA110" s="24">
        <v>0.19831464277947994</v>
      </c>
      <c r="AB110" s="24">
        <v>-0.18634952097785976</v>
      </c>
      <c r="AC110" s="24">
        <v>-0.59734772534424185</v>
      </c>
      <c r="AD110" s="24">
        <v>-9.7022619010727257E-2</v>
      </c>
      <c r="AE110" s="24">
        <v>0.89609103664025569</v>
      </c>
      <c r="AF110" s="24">
        <v>-0.30585992021782682</v>
      </c>
      <c r="AG110" s="24">
        <v>1.2395829840739623</v>
      </c>
      <c r="AH110" s="24">
        <v>0.4421470446230798</v>
      </c>
      <c r="AI110" s="24">
        <v>1.0119770863078548</v>
      </c>
      <c r="AJ110" s="24">
        <v>-0.60916373700341098</v>
      </c>
      <c r="AK110" s="24">
        <v>-0.111353884016603</v>
      </c>
      <c r="AL110" s="24">
        <v>-0.70605588547752018</v>
      </c>
      <c r="AM110" s="24">
        <v>9.1600635140261219E-2</v>
      </c>
      <c r="AN110" s="24">
        <v>0.46204821879953378</v>
      </c>
      <c r="AO110" s="24">
        <v>0.96596628625013969</v>
      </c>
      <c r="AP110" s="24">
        <v>1.5296087271858345</v>
      </c>
      <c r="AQ110" s="24">
        <v>-0.76154756694354742</v>
      </c>
      <c r="AR110" s="24">
        <v>0.97981633717762873</v>
      </c>
      <c r="AS110" s="24">
        <v>-1.2624315889397457</v>
      </c>
      <c r="AT110" s="24">
        <v>0.28280887868022064</v>
      </c>
      <c r="AU110" s="24">
        <v>1.3599436846933615</v>
      </c>
      <c r="AV110" s="24">
        <v>-1.2088289803391719</v>
      </c>
      <c r="AW110" s="24">
        <v>0.11186896349533397</v>
      </c>
      <c r="CQ110" s="24">
        <v>0.91301663048357518</v>
      </c>
      <c r="CR110" s="24" t="str">
        <f t="shared" ref="CR110:CR126" si="7">"1"</f>
        <v>1</v>
      </c>
      <c r="CS110" t="str">
        <f ca="1">IF((OFFSET($A$1, 110 - 1, 95 - 1)) &gt;= (OFFSET($A$1, 54 - 1, 7 - 1)), "1","0")</f>
        <v>1</v>
      </c>
      <c r="CT110">
        <f ca="1" xml:space="preserve"> IF( AND( OFFSET($A$1, 110 - 1, 96 - 1) = "1", OFFSET($A$1, 110 - 1, 97 - 1) = "1" ), 1, IF( AND( OFFSET($A$1, 110 - 1, 96 - 1) = "1", OFFSET($A$1, 110 - 1, 97 - 1) = "0" ), 2, IF( AND( OFFSET($A$1, 110 - 1, 96 - 1) = "0", OFFSET($A$1, 110 - 1, 97 - 1) = "1" ), 3, 4 ) ) )</f>
        <v>1</v>
      </c>
      <c r="CV110" s="24">
        <v>0.74283949960352469</v>
      </c>
      <c r="CW110" s="24" t="str">
        <f>"0"</f>
        <v>0</v>
      </c>
      <c r="CX110" t="str">
        <f ca="1">IF((OFFSET($A$1, 110 - 1, 100 - 1)) &gt;= (OFFSET($A$1, 78 - 1, 7 - 1)), "1","0")</f>
        <v>1</v>
      </c>
      <c r="CY110">
        <f ca="1" xml:space="preserve"> IF( AND( OFFSET($A$1, 110 - 1, 101 - 1) = "1", OFFSET($A$1, 110 - 1, 102 - 1) = "1" ), 1, IF( AND( OFFSET($A$1, 110 - 1, 101 - 1) = "1", OFFSET($A$1, 110 - 1, 102 - 1) = "0" ), 2, IF( AND( OFFSET($A$1, 110 - 1, 101 - 1) = "0", OFFSET($A$1, 110 - 1, 102 - 1) = "1" ), 3, 4 ) ) )</f>
        <v>3</v>
      </c>
    </row>
    <row r="111" spans="2:103" ht="13.8" x14ac:dyDescent="0.3">
      <c r="C111" s="26" t="s">
        <v>725</v>
      </c>
      <c r="D111" s="24">
        <v>-0.10065459875160532</v>
      </c>
      <c r="E111" s="24">
        <v>2.4853723442478017E-2</v>
      </c>
      <c r="F111" s="24">
        <v>0.81566499689743843</v>
      </c>
      <c r="G111" s="24">
        <v>0.63391319763082965</v>
      </c>
      <c r="H111" s="24">
        <v>-1.1376884680438462</v>
      </c>
      <c r="I111" s="24">
        <v>0.44925627972040244</v>
      </c>
      <c r="J111" s="24">
        <v>0.1060894732614157</v>
      </c>
      <c r="K111" s="24">
        <v>-0.5305788893137835</v>
      </c>
      <c r="L111" s="24">
        <v>-1.3411137112500067</v>
      </c>
      <c r="M111" s="24">
        <v>-0.26422594612953715</v>
      </c>
      <c r="N111" s="24">
        <v>0.10766869373004372</v>
      </c>
      <c r="O111" s="24">
        <v>2.9503732150712537E-2</v>
      </c>
      <c r="P111" s="24">
        <v>-0.48448483782969048</v>
      </c>
      <c r="Q111" s="24">
        <v>-0.50235979195763558</v>
      </c>
      <c r="R111" s="24">
        <v>-0.14567672255776343</v>
      </c>
      <c r="S111" s="24">
        <v>-4.9397731430288389E-2</v>
      </c>
      <c r="T111" s="24">
        <v>-0.4914001284898985</v>
      </c>
      <c r="U111" s="24">
        <v>-0.75871248545590975</v>
      </c>
      <c r="V111" s="24">
        <v>-0.31269623997077722</v>
      </c>
      <c r="W111" s="24">
        <v>0.16571760628029591</v>
      </c>
      <c r="X111" s="24">
        <v>0.43285119893499913</v>
      </c>
      <c r="Y111" s="24">
        <v>-0.13439958254125989</v>
      </c>
      <c r="Z111" s="24">
        <v>0.71469870908170552</v>
      </c>
      <c r="AA111" s="24">
        <v>0.47737222884181596</v>
      </c>
      <c r="AB111" s="24">
        <v>0.63351797413838984</v>
      </c>
      <c r="AC111" s="24">
        <v>-0.5882768791124956</v>
      </c>
      <c r="AD111" s="24">
        <v>-0.23402422631692252</v>
      </c>
      <c r="AE111" s="24">
        <v>0.46649931928008348</v>
      </c>
      <c r="AF111" s="24">
        <v>-0.25436576526922994</v>
      </c>
      <c r="AG111" s="24">
        <v>-0.10127736490379419</v>
      </c>
      <c r="AH111" s="24">
        <v>-0.37469688529468165</v>
      </c>
      <c r="AI111" s="24">
        <v>-0.42891573655850457</v>
      </c>
      <c r="AJ111" s="24">
        <v>-0.3814500533467387</v>
      </c>
      <c r="AK111" s="24">
        <v>0.629521298572988</v>
      </c>
      <c r="AL111" s="24">
        <v>-0.10626844988154588</v>
      </c>
      <c r="AM111" s="24">
        <v>-0.60770737996161706</v>
      </c>
      <c r="AN111" s="24">
        <v>-0.2580658372232047</v>
      </c>
      <c r="AO111" s="24">
        <v>0.1379396292663978</v>
      </c>
      <c r="AP111" s="24">
        <v>0.11232893153770676</v>
      </c>
      <c r="AQ111" s="24">
        <v>5.4484421014633945E-2</v>
      </c>
      <c r="AR111" s="24">
        <v>-0.17751191104526459</v>
      </c>
      <c r="AS111" s="24">
        <v>0.35014917660286787</v>
      </c>
      <c r="AT111" s="24">
        <v>-0.42950725107258658</v>
      </c>
      <c r="AU111" s="24">
        <v>-0.78098041640980909</v>
      </c>
      <c r="AV111" s="24">
        <v>-0.10755797040149344</v>
      </c>
      <c r="AW111" s="24">
        <v>0.15598261380876716</v>
      </c>
      <c r="CQ111" s="24">
        <v>0.96527141023128105</v>
      </c>
      <c r="CR111" s="24" t="str">
        <f t="shared" si="7"/>
        <v>1</v>
      </c>
      <c r="CS111" t="str">
        <f ca="1">IF((OFFSET($A$1, 111 - 1, 95 - 1)) &gt;= (OFFSET($A$1, 54 - 1, 7 - 1)), "1","0")</f>
        <v>1</v>
      </c>
      <c r="CT111">
        <f ca="1" xml:space="preserve"> IF( AND( OFFSET($A$1, 111 - 1, 96 - 1) = "1", OFFSET($A$1, 111 - 1, 97 - 1) = "1" ), 1, IF( AND( OFFSET($A$1, 111 - 1, 96 - 1) = "1", OFFSET($A$1, 111 - 1, 97 - 1) = "0" ), 2, IF( AND( OFFSET($A$1, 111 - 1, 96 - 1) = "0", OFFSET($A$1, 111 - 1, 97 - 1) = "1" ), 3, 4 ) ) )</f>
        <v>1</v>
      </c>
      <c r="CV111" s="24">
        <v>0.8393065926128116</v>
      </c>
      <c r="CW111" s="24" t="str">
        <f>"0"</f>
        <v>0</v>
      </c>
      <c r="CX111" t="str">
        <f ca="1">IF((OFFSET($A$1, 111 - 1, 100 - 1)) &gt;= (OFFSET($A$1, 78 - 1, 7 - 1)), "1","0")</f>
        <v>1</v>
      </c>
      <c r="CY111">
        <f ca="1" xml:space="preserve"> IF( AND( OFFSET($A$1, 111 - 1, 101 - 1) = "1", OFFSET($A$1, 111 - 1, 102 - 1) = "1" ), 1, IF( AND( OFFSET($A$1, 111 - 1, 101 - 1) = "1", OFFSET($A$1, 111 - 1, 102 - 1) = "0" ), 2, IF( AND( OFFSET($A$1, 111 - 1, 101 - 1) = "0", OFFSET($A$1, 111 - 1, 102 - 1) = "1" ), 3, 4 ) ) )</f>
        <v>3</v>
      </c>
    </row>
    <row r="112" spans="2:103" ht="13.8" x14ac:dyDescent="0.3">
      <c r="C112" s="26" t="s">
        <v>726</v>
      </c>
      <c r="D112" s="24">
        <v>-0.1483091800717603</v>
      </c>
      <c r="E112" s="24">
        <v>-1.1355530310057516</v>
      </c>
      <c r="F112" s="24">
        <v>0.5317034502940936</v>
      </c>
      <c r="G112" s="24">
        <v>-0.83592962717970265</v>
      </c>
      <c r="H112" s="24">
        <v>1.4902920247724834E-3</v>
      </c>
      <c r="I112" s="24">
        <v>-0.71587933644881929</v>
      </c>
      <c r="J112" s="24">
        <v>0.94486344350287255</v>
      </c>
      <c r="K112" s="24">
        <v>1.7283625471223099</v>
      </c>
      <c r="L112" s="24">
        <v>-0.33336594065859027</v>
      </c>
      <c r="M112" s="24">
        <v>0.74048346618071736</v>
      </c>
      <c r="N112" s="24">
        <v>-8.9011035962684379E-3</v>
      </c>
      <c r="O112" s="24">
        <v>-0.62350547799602041</v>
      </c>
      <c r="P112" s="24">
        <v>0.88368332027835605</v>
      </c>
      <c r="Q112" s="24">
        <v>0.33321312072213788</v>
      </c>
      <c r="R112" s="24">
        <v>0.19498411564100732</v>
      </c>
      <c r="S112" s="24">
        <v>-0.86372531972570254</v>
      </c>
      <c r="T112" s="24">
        <v>-0.83389832825070143</v>
      </c>
      <c r="U112" s="24">
        <v>0.20530803739716103</v>
      </c>
      <c r="V112" s="24">
        <v>6.704315752730533E-2</v>
      </c>
      <c r="W112" s="24">
        <v>1.2875056688279594</v>
      </c>
      <c r="X112" s="24">
        <v>0.87065260787199983</v>
      </c>
      <c r="Y112" s="24">
        <v>0.1143018161818193</v>
      </c>
      <c r="Z112" s="24">
        <v>-3.9888065227183647E-2</v>
      </c>
      <c r="AA112" s="24">
        <v>0.42372596000214391</v>
      </c>
      <c r="AB112" s="24">
        <v>0.53525297972811636</v>
      </c>
      <c r="AC112" s="24">
        <v>0.49814981653971419</v>
      </c>
      <c r="AD112" s="24">
        <v>-0.20330027912694465</v>
      </c>
      <c r="AE112" s="24">
        <v>-0.2329801886816591</v>
      </c>
      <c r="AF112" s="24">
        <v>0.91518424204471904</v>
      </c>
      <c r="AG112" s="24">
        <v>-0.65336464502077674</v>
      </c>
      <c r="AH112" s="24">
        <v>0.75451021308550703</v>
      </c>
      <c r="AI112" s="24">
        <v>0.54178015733110219</v>
      </c>
      <c r="AJ112" s="24">
        <v>-3.5757652699280044E-2</v>
      </c>
      <c r="AK112" s="24">
        <v>0.19428508665847943</v>
      </c>
      <c r="AL112" s="24">
        <v>0.52558877418855676</v>
      </c>
      <c r="AM112" s="24">
        <v>-0.34473456548732773</v>
      </c>
      <c r="AN112" s="24">
        <v>-0.36119690905536023</v>
      </c>
      <c r="AO112" s="24">
        <v>0.67857255252857285</v>
      </c>
      <c r="AP112" s="24">
        <v>0.22719788971711102</v>
      </c>
      <c r="AQ112" s="24">
        <v>0.25466988099030419</v>
      </c>
      <c r="AR112" s="24">
        <v>0.78550581111507933</v>
      </c>
      <c r="AS112" s="24">
        <v>6.039826170179069E-2</v>
      </c>
      <c r="AT112" s="24">
        <v>3.9587833016200211E-2</v>
      </c>
      <c r="AU112" s="24">
        <v>0.44401653355320797</v>
      </c>
      <c r="AV112" s="24">
        <v>0.24151141475327043</v>
      </c>
      <c r="AW112" s="24">
        <v>-1.3779080599945117</v>
      </c>
      <c r="CQ112" s="24">
        <v>0.99877797988741746</v>
      </c>
      <c r="CR112" s="24" t="str">
        <f t="shared" si="7"/>
        <v>1</v>
      </c>
      <c r="CS112" t="str">
        <f ca="1">IF((OFFSET($A$1, 112 - 1, 95 - 1)) &gt;= (OFFSET($A$1, 54 - 1, 7 - 1)), "1","0")</f>
        <v>1</v>
      </c>
      <c r="CT112">
        <f ca="1" xml:space="preserve"> IF( AND( OFFSET($A$1, 112 - 1, 96 - 1) = "1", OFFSET($A$1, 112 - 1, 97 - 1) = "1" ), 1, IF( AND( OFFSET($A$1, 112 - 1, 96 - 1) = "1", OFFSET($A$1, 112 - 1, 97 - 1) = "0" ), 2, IF( AND( OFFSET($A$1, 112 - 1, 96 - 1) = "0", OFFSET($A$1, 112 - 1, 97 - 1) = "1" ), 3, 4 ) ) )</f>
        <v>1</v>
      </c>
      <c r="CV112" s="24">
        <v>0.90721759050231954</v>
      </c>
      <c r="CW112" s="24" t="str">
        <f>"1"</f>
        <v>1</v>
      </c>
      <c r="CX112" t="str">
        <f ca="1">IF((OFFSET($A$1, 112 - 1, 100 - 1)) &gt;= (OFFSET($A$1, 78 - 1, 7 - 1)), "1","0")</f>
        <v>1</v>
      </c>
      <c r="CY112">
        <f ca="1" xml:space="preserve"> IF( AND( OFFSET($A$1, 112 - 1, 101 - 1) = "1", OFFSET($A$1, 112 - 1, 102 - 1) = "1" ), 1, IF( AND( OFFSET($A$1, 112 - 1, 101 - 1) = "1", OFFSET($A$1, 112 - 1, 102 - 1) = "0" ), 2, IF( AND( OFFSET($A$1, 112 - 1, 101 - 1) = "0", OFFSET($A$1, 112 - 1, 102 - 1) = "1" ), 3, 4 ) ) )</f>
        <v>1</v>
      </c>
    </row>
    <row r="113" spans="3:103" ht="13.8" x14ac:dyDescent="0.3">
      <c r="C113" s="26" t="s">
        <v>727</v>
      </c>
      <c r="D113" s="24">
        <v>0.55434247551397398</v>
      </c>
      <c r="E113" s="24">
        <v>-0.10662835548376323</v>
      </c>
      <c r="F113" s="24">
        <v>0.59201304236487551</v>
      </c>
      <c r="G113" s="24">
        <v>-1.3583393041702265</v>
      </c>
      <c r="H113" s="24">
        <v>-0.92223105301002162</v>
      </c>
      <c r="I113" s="24">
        <v>0.44651256141546136</v>
      </c>
      <c r="J113" s="24">
        <v>0.98575591999702628</v>
      </c>
      <c r="K113" s="24">
        <v>1.4396915149077572</v>
      </c>
      <c r="L113" s="24">
        <v>-0.44853306880265698</v>
      </c>
      <c r="M113" s="24">
        <v>0.30055881108669813</v>
      </c>
      <c r="N113" s="24">
        <v>-4.0986624393399146E-2</v>
      </c>
      <c r="O113" s="24">
        <v>-0.93571585744109409</v>
      </c>
      <c r="P113" s="24">
        <v>-0.58184690579225895</v>
      </c>
      <c r="Q113" s="24">
        <v>-0.74014184876976985</v>
      </c>
      <c r="R113" s="24">
        <v>-1.5318646299717078</v>
      </c>
      <c r="S113" s="24">
        <v>-0.24894641754457794</v>
      </c>
      <c r="T113" s="24">
        <v>0.3560668357905874</v>
      </c>
      <c r="U113" s="24">
        <v>-0.61070888489325914</v>
      </c>
      <c r="V113" s="24">
        <v>-5.372970583143457E-2</v>
      </c>
      <c r="W113" s="24">
        <v>1.1601910371101616</v>
      </c>
      <c r="X113" s="24">
        <v>0.27114475084617545</v>
      </c>
      <c r="Y113" s="24">
        <v>-0.35460022742087688</v>
      </c>
      <c r="Z113" s="24">
        <v>-1.4883681209458535</v>
      </c>
      <c r="AA113" s="24">
        <v>2.2828351947406761E-2</v>
      </c>
      <c r="AB113" s="24">
        <v>0.24152001951784538</v>
      </c>
      <c r="AC113" s="24">
        <v>1.8585968229642051</v>
      </c>
      <c r="AD113" s="24">
        <v>-1.3116629475907249</v>
      </c>
      <c r="AE113" s="24">
        <v>0.22971033484541067</v>
      </c>
      <c r="AF113" s="24">
        <v>0.35230949180031201</v>
      </c>
      <c r="AG113" s="24">
        <v>-1.602508631605307</v>
      </c>
      <c r="AH113" s="24">
        <v>0.56694762705350188</v>
      </c>
      <c r="AI113" s="24">
        <v>-1.8761999946520651</v>
      </c>
      <c r="AJ113" s="24">
        <v>1.2511623449602061</v>
      </c>
      <c r="AK113" s="24">
        <v>-0.18628815504028043</v>
      </c>
      <c r="AL113" s="24">
        <v>-0.21847798580473396</v>
      </c>
      <c r="AM113" s="24">
        <v>-6.5901276585196539E-2</v>
      </c>
      <c r="AN113" s="24">
        <v>0.63814471643185888</v>
      </c>
      <c r="AO113" s="24">
        <v>-1.1629574471778206</v>
      </c>
      <c r="AP113" s="24">
        <v>0.9035838806257197</v>
      </c>
      <c r="AQ113" s="24">
        <v>0.29802023618520906</v>
      </c>
      <c r="AR113" s="24">
        <v>1.7518141057935928</v>
      </c>
      <c r="AS113" s="24">
        <v>0.98933630810291495</v>
      </c>
      <c r="AT113" s="24">
        <v>0.80150825783992941</v>
      </c>
      <c r="AU113" s="24">
        <v>-1.2101010840712603</v>
      </c>
      <c r="AV113" s="24">
        <v>1.0546358905029973</v>
      </c>
      <c r="AW113" s="24">
        <v>0.47328268136798457</v>
      </c>
      <c r="CQ113" s="24">
        <v>0.91737443929300133</v>
      </c>
      <c r="CR113" s="24" t="str">
        <f t="shared" si="7"/>
        <v>1</v>
      </c>
      <c r="CS113" t="str">
        <f ca="1">IF((OFFSET($A$1, 113 - 1, 95 - 1)) &gt;= (OFFSET($A$1, 54 - 1, 7 - 1)), "1","0")</f>
        <v>1</v>
      </c>
      <c r="CT113">
        <f ca="1" xml:space="preserve"> IF( AND( OFFSET($A$1, 113 - 1, 96 - 1) = "1", OFFSET($A$1, 113 - 1, 97 - 1) = "1" ), 1, IF( AND( OFFSET($A$1, 113 - 1, 96 - 1) = "1", OFFSET($A$1, 113 - 1, 97 - 1) = "0" ), 2, IF( AND( OFFSET($A$1, 113 - 1, 96 - 1) = "0", OFFSET($A$1, 113 - 1, 97 - 1) = "1" ), 3, 4 ) ) )</f>
        <v>1</v>
      </c>
      <c r="CV113" s="24">
        <v>1.2529945264826991E-3</v>
      </c>
      <c r="CW113" s="24" t="str">
        <f>"0"</f>
        <v>0</v>
      </c>
      <c r="CX113" t="str">
        <f ca="1">IF((OFFSET($A$1, 113 - 1, 100 - 1)) &gt;= (OFFSET($A$1, 78 - 1, 7 - 1)), "1","0")</f>
        <v>0</v>
      </c>
      <c r="CY113">
        <f ca="1" xml:space="preserve"> IF( AND( OFFSET($A$1, 113 - 1, 101 - 1) = "1", OFFSET($A$1, 113 - 1, 102 - 1) = "1" ), 1, IF( AND( OFFSET($A$1, 113 - 1, 101 - 1) = "1", OFFSET($A$1, 113 - 1, 102 - 1) = "0" ), 2, IF( AND( OFFSET($A$1, 113 - 1, 101 - 1) = "0", OFFSET($A$1, 113 - 1, 102 - 1) = "1" ), 3, 4 ) ) )</f>
        <v>4</v>
      </c>
    </row>
    <row r="114" spans="3:103" ht="13.8" x14ac:dyDescent="0.3">
      <c r="C114" s="26" t="s">
        <v>728</v>
      </c>
      <c r="D114" s="24">
        <v>-1.2222410503985481E-2</v>
      </c>
      <c r="E114" s="24">
        <v>-1.0693373074356158</v>
      </c>
      <c r="F114" s="24">
        <v>-8.0570151955872051E-3</v>
      </c>
      <c r="G114" s="24">
        <v>-0.69342910214095765</v>
      </c>
      <c r="H114" s="24">
        <v>1.4044504656016821</v>
      </c>
      <c r="I114" s="24">
        <v>0.21216388976112249</v>
      </c>
      <c r="J114" s="24">
        <v>1.6259670440310037</v>
      </c>
      <c r="K114" s="24">
        <v>-0.56335224759202618</v>
      </c>
      <c r="L114" s="24">
        <v>-0.80799153160723436</v>
      </c>
      <c r="M114" s="24">
        <v>-1.2174953845839196</v>
      </c>
      <c r="N114" s="24">
        <v>0.54866472992345294</v>
      </c>
      <c r="O114" s="24">
        <v>-0.68951497160710185</v>
      </c>
      <c r="P114" s="24">
        <v>-0.73270326429084776</v>
      </c>
      <c r="Q114" s="24">
        <v>-0.77572638642992908</v>
      </c>
      <c r="R114" s="24">
        <v>-2.1150610216916146</v>
      </c>
      <c r="S114" s="24">
        <v>1.1227714711934447</v>
      </c>
      <c r="T114" s="24">
        <v>-0.26549127478111206</v>
      </c>
      <c r="U114" s="24">
        <v>-4.7307267542567373E-2</v>
      </c>
      <c r="V114" s="24">
        <v>0.49659058593048255</v>
      </c>
      <c r="W114" s="24">
        <v>-0.75870726259345878</v>
      </c>
      <c r="X114" s="24">
        <v>0.27384183989080257</v>
      </c>
      <c r="Y114" s="24">
        <v>-2.0285861850671196</v>
      </c>
      <c r="Z114" s="24">
        <v>-0.58615109586483238</v>
      </c>
      <c r="AA114" s="24">
        <v>0.94113371426746473</v>
      </c>
      <c r="AB114" s="24">
        <v>-1.1735114056423179</v>
      </c>
      <c r="AC114" s="24">
        <v>-0.11129472737431664</v>
      </c>
      <c r="AD114" s="24">
        <v>0.1453672938757577</v>
      </c>
      <c r="AE114" s="24">
        <v>-0.17323902514395373</v>
      </c>
      <c r="AF114" s="24">
        <v>-0.77992584170512613</v>
      </c>
      <c r="AG114" s="24">
        <v>5.4970716005814163E-3</v>
      </c>
      <c r="AH114" s="24">
        <v>1.0083933678752586</v>
      </c>
      <c r="AI114" s="24">
        <v>-0.960228724610249</v>
      </c>
      <c r="AJ114" s="24">
        <v>-1.9163133290707364</v>
      </c>
      <c r="AK114" s="24">
        <v>-1.2244535554912706</v>
      </c>
      <c r="AL114" s="24">
        <v>0.19433380344939549</v>
      </c>
      <c r="AM114" s="24">
        <v>-9.8390296705459027E-2</v>
      </c>
      <c r="AN114" s="24">
        <v>-0.35473249658510797</v>
      </c>
      <c r="AO114" s="24">
        <v>-1.0765428601427338</v>
      </c>
      <c r="AP114" s="24">
        <v>0.35541211987081367</v>
      </c>
      <c r="AQ114" s="24">
        <v>0.55560106630571071</v>
      </c>
      <c r="AR114" s="24">
        <v>-0.86423554177333772</v>
      </c>
      <c r="AS114" s="24">
        <v>-1.9134303389435769</v>
      </c>
      <c r="AT114" s="24">
        <v>-0.41189780444663843</v>
      </c>
      <c r="AU114" s="24">
        <v>-1.0609610983828444</v>
      </c>
      <c r="AV114" s="24">
        <v>0.18782508149785812</v>
      </c>
      <c r="AW114" s="24">
        <v>0.35977449319889127</v>
      </c>
      <c r="CQ114" s="24">
        <v>0.99981924820088286</v>
      </c>
      <c r="CR114" s="24" t="str">
        <f t="shared" si="7"/>
        <v>1</v>
      </c>
      <c r="CS114" t="str">
        <f ca="1">IF((OFFSET($A$1, 114 - 1, 95 - 1)) &gt;= (OFFSET($A$1, 54 - 1, 7 - 1)), "1","0")</f>
        <v>1</v>
      </c>
      <c r="CT114">
        <f ca="1" xml:space="preserve"> IF( AND( OFFSET($A$1, 114 - 1, 96 - 1) = "1", OFFSET($A$1, 114 - 1, 97 - 1) = "1" ), 1, IF( AND( OFFSET($A$1, 114 - 1, 96 - 1) = "1", OFFSET($A$1, 114 - 1, 97 - 1) = "0" ), 2, IF( AND( OFFSET($A$1, 114 - 1, 96 - 1) = "0", OFFSET($A$1, 114 - 1, 97 - 1) = "1" ), 3, 4 ) ) )</f>
        <v>1</v>
      </c>
      <c r="CV114" s="24">
        <v>0.99690588938130875</v>
      </c>
      <c r="CW114" s="24" t="str">
        <f>"1"</f>
        <v>1</v>
      </c>
      <c r="CX114" t="str">
        <f ca="1">IF((OFFSET($A$1, 114 - 1, 100 - 1)) &gt;= (OFFSET($A$1, 78 - 1, 7 - 1)), "1","0")</f>
        <v>1</v>
      </c>
      <c r="CY114">
        <f ca="1" xml:space="preserve"> IF( AND( OFFSET($A$1, 114 - 1, 101 - 1) = "1", OFFSET($A$1, 114 - 1, 102 - 1) = "1" ), 1, IF( AND( OFFSET($A$1, 114 - 1, 101 - 1) = "1", OFFSET($A$1, 114 - 1, 102 - 1) = "0" ), 2, IF( AND( OFFSET($A$1, 114 - 1, 101 - 1) = "0", OFFSET($A$1, 114 - 1, 102 - 1) = "1" ), 3, 4 ) ) )</f>
        <v>1</v>
      </c>
    </row>
    <row r="115" spans="3:103" ht="13.8" x14ac:dyDescent="0.3">
      <c r="C115" s="26" t="s">
        <v>729</v>
      </c>
      <c r="D115" s="24">
        <v>0.41153842452275835</v>
      </c>
      <c r="E115" s="24">
        <v>-0.51814399859572702</v>
      </c>
      <c r="F115" s="24">
        <v>0.84399358722359308</v>
      </c>
      <c r="G115" s="24">
        <v>-0.29022289039072374</v>
      </c>
      <c r="H115" s="24">
        <v>0.24893824172426554</v>
      </c>
      <c r="I115" s="24">
        <v>-0.6156990934981309</v>
      </c>
      <c r="J115" s="24">
        <v>-0.80127361844529821</v>
      </c>
      <c r="K115" s="24">
        <v>1.2253810544372332</v>
      </c>
      <c r="L115" s="24">
        <v>0.34269773624156458</v>
      </c>
      <c r="M115" s="24">
        <v>1.6917353864275269</v>
      </c>
      <c r="N115" s="24">
        <v>1.2695920183590914</v>
      </c>
      <c r="O115" s="24">
        <v>-1.0161562258796677</v>
      </c>
      <c r="P115" s="24">
        <v>0.13599690925632676</v>
      </c>
      <c r="Q115" s="24">
        <v>0.53038296493607018</v>
      </c>
      <c r="R115" s="24">
        <v>0.85125292550813447</v>
      </c>
      <c r="S115" s="24">
        <v>-2.5714400263766653E-2</v>
      </c>
      <c r="T115" s="24">
        <v>-3.4663760171732574E-2</v>
      </c>
      <c r="U115" s="24">
        <v>1.0592764887791801</v>
      </c>
      <c r="V115" s="24">
        <v>0.31424859829417673</v>
      </c>
      <c r="W115" s="24">
        <v>-0.40741475610711941</v>
      </c>
      <c r="X115" s="24">
        <v>-0.29502409686806313</v>
      </c>
      <c r="Y115" s="24">
        <v>-0.1184059003223642</v>
      </c>
      <c r="Z115" s="24">
        <v>-0.35812307825262163</v>
      </c>
      <c r="AA115" s="24">
        <v>-0.42104477816670766</v>
      </c>
      <c r="AB115" s="24">
        <v>-0.59887939275416346</v>
      </c>
      <c r="AC115" s="24">
        <v>0.51301725318952718</v>
      </c>
      <c r="AD115" s="24">
        <v>-0.27369235263349079</v>
      </c>
      <c r="AE115" s="24">
        <v>0.4279294032221258</v>
      </c>
      <c r="AF115" s="24">
        <v>0.87378392622572953</v>
      </c>
      <c r="AG115" s="24">
        <v>-0.30615174685605351</v>
      </c>
      <c r="AH115" s="24">
        <v>0.22072172886204733</v>
      </c>
      <c r="AI115" s="24">
        <v>-2.4222443344489492E-2</v>
      </c>
      <c r="AJ115" s="24">
        <v>-0.24773200103207102</v>
      </c>
      <c r="AK115" s="24">
        <v>0.86886553157956081</v>
      </c>
      <c r="AL115" s="24">
        <v>1.8416269554744728E-2</v>
      </c>
      <c r="AM115" s="24">
        <v>1.0189055436789962</v>
      </c>
      <c r="AN115" s="24">
        <v>0.16536599962997794</v>
      </c>
      <c r="AO115" s="24">
        <v>1.0064343530492643</v>
      </c>
      <c r="AP115" s="24">
        <v>-0.43700294601312656</v>
      </c>
      <c r="AQ115" s="24">
        <v>-0.93798545074149908</v>
      </c>
      <c r="AR115" s="24">
        <v>1.6355533834634783</v>
      </c>
      <c r="AS115" s="24">
        <v>-1.9851569187227194</v>
      </c>
      <c r="AT115" s="24">
        <v>0.37255701419930087</v>
      </c>
      <c r="AU115" s="24">
        <v>7.7654348654964081E-2</v>
      </c>
      <c r="AV115" s="24">
        <v>0.10270218279001275</v>
      </c>
      <c r="AW115" s="24">
        <v>0.60687587034863688</v>
      </c>
      <c r="CQ115" s="24">
        <v>0.99901478018763989</v>
      </c>
      <c r="CR115" s="24" t="str">
        <f t="shared" si="7"/>
        <v>1</v>
      </c>
      <c r="CS115" t="str">
        <f ca="1">IF((OFFSET($A$1, 115 - 1, 95 - 1)) &gt;= (OFFSET($A$1, 54 - 1, 7 - 1)), "1","0")</f>
        <v>1</v>
      </c>
      <c r="CT115">
        <f ca="1" xml:space="preserve"> IF( AND( OFFSET($A$1, 115 - 1, 96 - 1) = "1", OFFSET($A$1, 115 - 1, 97 - 1) = "1" ), 1, IF( AND( OFFSET($A$1, 115 - 1, 96 - 1) = "1", OFFSET($A$1, 115 - 1, 97 - 1) = "0" ), 2, IF( AND( OFFSET($A$1, 115 - 1, 96 - 1) = "0", OFFSET($A$1, 115 - 1, 97 - 1) = "1" ), 3, 4 ) ) )</f>
        <v>1</v>
      </c>
      <c r="CV115" s="24">
        <v>0.99997585573825842</v>
      </c>
      <c r="CW115" s="24" t="str">
        <f>"1"</f>
        <v>1</v>
      </c>
      <c r="CX115" t="str">
        <f ca="1">IF((OFFSET($A$1, 115 - 1, 100 - 1)) &gt;= (OFFSET($A$1, 78 - 1, 7 - 1)), "1","0")</f>
        <v>1</v>
      </c>
      <c r="CY115">
        <f ca="1" xml:space="preserve"> IF( AND( OFFSET($A$1, 115 - 1, 101 - 1) = "1", OFFSET($A$1, 115 - 1, 102 - 1) = "1" ), 1, IF( AND( OFFSET($A$1, 115 - 1, 101 - 1) = "1", OFFSET($A$1, 115 - 1, 102 - 1) = "0" ), 2, IF( AND( OFFSET($A$1, 115 - 1, 101 - 1) = "0", OFFSET($A$1, 115 - 1, 102 - 1) = "1" ), 3, 4 ) ) )</f>
        <v>1</v>
      </c>
    </row>
    <row r="116" spans="3:103" ht="13.8" x14ac:dyDescent="0.3">
      <c r="C116" s="26" t="s">
        <v>730</v>
      </c>
      <c r="D116" s="24">
        <v>-0.91712685939493754</v>
      </c>
      <c r="E116" s="24">
        <v>-0.17996304831665383</v>
      </c>
      <c r="F116" s="24">
        <v>0.857354555570493</v>
      </c>
      <c r="G116" s="24">
        <v>0.52595574158007496</v>
      </c>
      <c r="H116" s="24">
        <v>-0.18652162360052507</v>
      </c>
      <c r="I116" s="24">
        <v>-1.7972092826732136</v>
      </c>
      <c r="J116" s="24">
        <v>1.0946197971331473</v>
      </c>
      <c r="K116" s="24">
        <v>-3.1890402546103702E-2</v>
      </c>
      <c r="L116" s="24">
        <v>-0.25589793557986684</v>
      </c>
      <c r="M116" s="24">
        <v>0.54280565822530746</v>
      </c>
      <c r="N116" s="24">
        <v>2.0034198152736762</v>
      </c>
      <c r="O116" s="24">
        <v>-0.43661524492379233</v>
      </c>
      <c r="P116" s="24">
        <v>-0.56878528836035258</v>
      </c>
      <c r="Q116" s="24">
        <v>0.15121365468813172</v>
      </c>
      <c r="R116" s="24">
        <v>0.15480191034153212</v>
      </c>
      <c r="S116" s="24">
        <v>-1.1484354184221481</v>
      </c>
      <c r="T116" s="24">
        <v>0.30232181868418589</v>
      </c>
      <c r="U116" s="24">
        <v>-0.17370392227631692</v>
      </c>
      <c r="V116" s="24">
        <v>-0.25347091373950748</v>
      </c>
      <c r="W116" s="24">
        <v>1.028257411494637</v>
      </c>
      <c r="X116" s="24">
        <v>1.5062665155415791</v>
      </c>
      <c r="Y116" s="24">
        <v>-1.1175152283596677</v>
      </c>
      <c r="Z116" s="24">
        <v>-1.2262286555090214</v>
      </c>
      <c r="AA116" s="24">
        <v>0.74589909152710754</v>
      </c>
      <c r="AB116" s="24">
        <v>-0.77423786347418999</v>
      </c>
      <c r="AC116" s="24">
        <v>-1.2909112589198413</v>
      </c>
      <c r="AD116" s="24">
        <v>0.87567492572089478</v>
      </c>
      <c r="AE116" s="24">
        <v>0.48541552190598791</v>
      </c>
      <c r="AF116" s="24">
        <v>-0.675313002502825</v>
      </c>
      <c r="AG116" s="24">
        <v>-0.42501977169873251</v>
      </c>
      <c r="AH116" s="24">
        <v>-1.6662937658777177</v>
      </c>
      <c r="AI116" s="24">
        <v>-6.9573721007140071E-2</v>
      </c>
      <c r="AJ116" s="24">
        <v>0.36614243743168062</v>
      </c>
      <c r="AK116" s="24">
        <v>0.32800599806523234</v>
      </c>
      <c r="AL116" s="24">
        <v>0.54380420661802953</v>
      </c>
      <c r="AM116" s="24">
        <v>1.4444544174834104</v>
      </c>
      <c r="AN116" s="24">
        <v>-0.81441005226355645</v>
      </c>
      <c r="AO116" s="24">
        <v>-7.2852765044660484E-2</v>
      </c>
      <c r="AP116" s="24">
        <v>-0.13202062499955491</v>
      </c>
      <c r="AQ116" s="24">
        <v>-1.1541671090311427</v>
      </c>
      <c r="AR116" s="24">
        <v>0.69001835203014705</v>
      </c>
      <c r="AS116" s="24">
        <v>1.1675053352086231</v>
      </c>
      <c r="AT116" s="24">
        <v>0.75224849981686526</v>
      </c>
      <c r="AU116" s="24">
        <v>1.3119595573684848</v>
      </c>
      <c r="AV116" s="24">
        <v>-5.6460343949774564E-3</v>
      </c>
      <c r="AW116" s="24">
        <v>-0.3110351418584868</v>
      </c>
      <c r="CQ116" s="24">
        <v>0.99912792691394292</v>
      </c>
      <c r="CR116" s="24" t="str">
        <f t="shared" si="7"/>
        <v>1</v>
      </c>
      <c r="CS116" t="str">
        <f ca="1">IF((OFFSET($A$1, 116 - 1, 95 - 1)) &gt;= (OFFSET($A$1, 54 - 1, 7 - 1)), "1","0")</f>
        <v>1</v>
      </c>
      <c r="CT116">
        <f ca="1" xml:space="preserve"> IF( AND( OFFSET($A$1, 116 - 1, 96 - 1) = "1", OFFSET($A$1, 116 - 1, 97 - 1) = "1" ), 1, IF( AND( OFFSET($A$1, 116 - 1, 96 - 1) = "1", OFFSET($A$1, 116 - 1, 97 - 1) = "0" ), 2, IF( AND( OFFSET($A$1, 116 - 1, 96 - 1) = "0", OFFSET($A$1, 116 - 1, 97 - 1) = "1" ), 3, 4 ) ) )</f>
        <v>1</v>
      </c>
      <c r="CV116" s="24">
        <v>0.96387782941269917</v>
      </c>
      <c r="CW116" s="24" t="str">
        <f>"0"</f>
        <v>0</v>
      </c>
      <c r="CX116" t="str">
        <f ca="1">IF((OFFSET($A$1, 116 - 1, 100 - 1)) &gt;= (OFFSET($A$1, 78 - 1, 7 - 1)), "1","0")</f>
        <v>1</v>
      </c>
      <c r="CY116">
        <f ca="1" xml:space="preserve"> IF( AND( OFFSET($A$1, 116 - 1, 101 - 1) = "1", OFFSET($A$1, 116 - 1, 102 - 1) = "1" ), 1, IF( AND( OFFSET($A$1, 116 - 1, 101 - 1) = "1", OFFSET($A$1, 116 - 1, 102 - 1) = "0" ), 2, IF( AND( OFFSET($A$1, 116 - 1, 101 - 1) = "0", OFFSET($A$1, 116 - 1, 102 - 1) = "1" ), 3, 4 ) ) )</f>
        <v>3</v>
      </c>
    </row>
    <row r="117" spans="3:103" ht="13.8" x14ac:dyDescent="0.3">
      <c r="CQ117" s="24">
        <v>0.99819092258782782</v>
      </c>
      <c r="CR117" s="24" t="str">
        <f t="shared" si="7"/>
        <v>1</v>
      </c>
      <c r="CS117" t="str">
        <f ca="1">IF((OFFSET($A$1, 117 - 1, 95 - 1)) &gt;= (OFFSET($A$1, 54 - 1, 7 - 1)), "1","0")</f>
        <v>1</v>
      </c>
      <c r="CT117">
        <f ca="1" xml:space="preserve"> IF( AND( OFFSET($A$1, 117 - 1, 96 - 1) = "1", OFFSET($A$1, 117 - 1, 97 - 1) = "1" ), 1, IF( AND( OFFSET($A$1, 117 - 1, 96 - 1) = "1", OFFSET($A$1, 117 - 1, 97 - 1) = "0" ), 2, IF( AND( OFFSET($A$1, 117 - 1, 96 - 1) = "0", OFFSET($A$1, 117 - 1, 97 - 1) = "1" ), 3, 4 ) ) )</f>
        <v>1</v>
      </c>
      <c r="CV117" s="24">
        <v>0.99749303044189164</v>
      </c>
      <c r="CW117" s="24" t="str">
        <f>"0"</f>
        <v>0</v>
      </c>
      <c r="CX117" t="str">
        <f ca="1">IF((OFFSET($A$1, 117 - 1, 100 - 1)) &gt;= (OFFSET($A$1, 78 - 1, 7 - 1)), "1","0")</f>
        <v>1</v>
      </c>
      <c r="CY117">
        <f ca="1" xml:space="preserve"> IF( AND( OFFSET($A$1, 117 - 1, 101 - 1) = "1", OFFSET($A$1, 117 - 1, 102 - 1) = "1" ), 1, IF( AND( OFFSET($A$1, 117 - 1, 101 - 1) = "1", OFFSET($A$1, 117 - 1, 102 - 1) = "0" ), 2, IF( AND( OFFSET($A$1, 117 - 1, 101 - 1) = "0", OFFSET($A$1, 117 - 1, 102 - 1) = "1" ), 3, 4 ) ) )</f>
        <v>3</v>
      </c>
    </row>
    <row r="118" spans="3:103" ht="13.8" x14ac:dyDescent="0.3">
      <c r="CQ118" s="24">
        <v>0.88397078741517066</v>
      </c>
      <c r="CR118" s="24" t="str">
        <f t="shared" si="7"/>
        <v>1</v>
      </c>
      <c r="CS118" t="str">
        <f ca="1">IF((OFFSET($A$1, 118 - 1, 95 - 1)) &gt;= (OFFSET($A$1, 54 - 1, 7 - 1)), "1","0")</f>
        <v>1</v>
      </c>
      <c r="CT118">
        <f ca="1" xml:space="preserve"> IF( AND( OFFSET($A$1, 118 - 1, 96 - 1) = "1", OFFSET($A$1, 118 - 1, 97 - 1) = "1" ), 1, IF( AND( OFFSET($A$1, 118 - 1, 96 - 1) = "1", OFFSET($A$1, 118 - 1, 97 - 1) = "0" ), 2, IF( AND( OFFSET($A$1, 118 - 1, 96 - 1) = "0", OFFSET($A$1, 118 - 1, 97 - 1) = "1" ), 3, 4 ) ) )</f>
        <v>1</v>
      </c>
      <c r="CV118" s="24">
        <v>6.4434386161759102E-2</v>
      </c>
      <c r="CW118" s="24" t="str">
        <f>"0"</f>
        <v>0</v>
      </c>
      <c r="CX118" t="str">
        <f ca="1">IF((OFFSET($A$1, 118 - 1, 100 - 1)) &gt;= (OFFSET($A$1, 78 - 1, 7 - 1)), "1","0")</f>
        <v>0</v>
      </c>
      <c r="CY118">
        <f ca="1" xml:space="preserve"> IF( AND( OFFSET($A$1, 118 - 1, 101 - 1) = "1", OFFSET($A$1, 118 - 1, 102 - 1) = "1" ), 1, IF( AND( OFFSET($A$1, 118 - 1, 101 - 1) = "1", OFFSET($A$1, 118 - 1, 102 - 1) = "0" ), 2, IF( AND( OFFSET($A$1, 118 - 1, 101 - 1) = "0", OFFSET($A$1, 118 - 1, 102 - 1) = "1" ), 3, 4 ) ) )</f>
        <v>4</v>
      </c>
    </row>
    <row r="119" spans="3:103" ht="13.8" x14ac:dyDescent="0.3">
      <c r="D119" s="77" t="s">
        <v>717</v>
      </c>
      <c r="E119" s="77"/>
      <c r="F119" s="77"/>
      <c r="G119" s="77"/>
      <c r="H119" s="77"/>
      <c r="I119" s="77"/>
      <c r="J119" s="77"/>
      <c r="K119" s="77"/>
      <c r="L119" s="77"/>
      <c r="M119" s="77"/>
      <c r="N119" s="77"/>
      <c r="O119" s="77"/>
      <c r="P119" s="77"/>
      <c r="Q119" s="77"/>
      <c r="CQ119" s="24">
        <v>0.87517567800196971</v>
      </c>
      <c r="CR119" s="24" t="str">
        <f t="shared" si="7"/>
        <v>1</v>
      </c>
      <c r="CS119" t="str">
        <f ca="1">IF((OFFSET($A$1, 119 - 1, 95 - 1)) &gt;= (OFFSET($A$1, 54 - 1, 7 - 1)), "1","0")</f>
        <v>1</v>
      </c>
      <c r="CT119">
        <f ca="1" xml:space="preserve"> IF( AND( OFFSET($A$1, 119 - 1, 96 - 1) = "1", OFFSET($A$1, 119 - 1, 97 - 1) = "1" ), 1, IF( AND( OFFSET($A$1, 119 - 1, 96 - 1) = "1", OFFSET($A$1, 119 - 1, 97 - 1) = "0" ), 2, IF( AND( OFFSET($A$1, 119 - 1, 96 - 1) = "0", OFFSET($A$1, 119 - 1, 97 - 1) = "1" ), 3, 4 ) ) )</f>
        <v>1</v>
      </c>
      <c r="CV119" s="24">
        <v>0.99357111251193708</v>
      </c>
      <c r="CW119" s="24" t="str">
        <f t="shared" ref="CW119:CW124" si="8">"1"</f>
        <v>1</v>
      </c>
      <c r="CX119" t="str">
        <f ca="1">IF((OFFSET($A$1, 119 - 1, 100 - 1)) &gt;= (OFFSET($A$1, 78 - 1, 7 - 1)), "1","0")</f>
        <v>1</v>
      </c>
      <c r="CY119">
        <f ca="1" xml:space="preserve"> IF( AND( OFFSET($A$1, 119 - 1, 101 - 1) = "1", OFFSET($A$1, 119 - 1, 102 - 1) = "1" ), 1, IF( AND( OFFSET($A$1, 119 - 1, 101 - 1) = "1", OFFSET($A$1, 119 - 1, 102 - 1) = "0" ), 2, IF( AND( OFFSET($A$1, 119 - 1, 101 - 1) = "0", OFFSET($A$1, 119 - 1, 102 - 1) = "1" ), 3, 4 ) ) )</f>
        <v>1</v>
      </c>
    </row>
    <row r="120" spans="3:103" ht="13.8" x14ac:dyDescent="0.3">
      <c r="C120" s="36" t="s">
        <v>731</v>
      </c>
      <c r="D120" s="26" t="s">
        <v>718</v>
      </c>
      <c r="E120" s="26" t="s">
        <v>719</v>
      </c>
      <c r="F120" s="26" t="s">
        <v>720</v>
      </c>
      <c r="G120" s="26" t="s">
        <v>721</v>
      </c>
      <c r="H120" s="26" t="s">
        <v>722</v>
      </c>
      <c r="I120" s="26" t="s">
        <v>723</v>
      </c>
      <c r="J120" s="26" t="s">
        <v>724</v>
      </c>
      <c r="K120" s="26" t="s">
        <v>725</v>
      </c>
      <c r="L120" s="26" t="s">
        <v>726</v>
      </c>
      <c r="M120" s="26" t="s">
        <v>727</v>
      </c>
      <c r="N120" s="26" t="s">
        <v>728</v>
      </c>
      <c r="O120" s="26" t="s">
        <v>729</v>
      </c>
      <c r="P120" s="26" t="s">
        <v>730</v>
      </c>
      <c r="Q120" s="26" t="s">
        <v>732</v>
      </c>
      <c r="CQ120" s="24">
        <v>0.99638727815461026</v>
      </c>
      <c r="CR120" s="24" t="str">
        <f t="shared" si="7"/>
        <v>1</v>
      </c>
      <c r="CS120" t="str">
        <f ca="1">IF((OFFSET($A$1, 120 - 1, 95 - 1)) &gt;= (OFFSET($A$1, 54 - 1, 7 - 1)), "1","0")</f>
        <v>1</v>
      </c>
      <c r="CT120">
        <f ca="1" xml:space="preserve"> IF( AND( OFFSET($A$1, 120 - 1, 96 - 1) = "1", OFFSET($A$1, 120 - 1, 97 - 1) = "1" ), 1, IF( AND( OFFSET($A$1, 120 - 1, 96 - 1) = "1", OFFSET($A$1, 120 - 1, 97 - 1) = "0" ), 2, IF( AND( OFFSET($A$1, 120 - 1, 96 - 1) = "0", OFFSET($A$1, 120 - 1, 97 - 1) = "1" ), 3, 4 ) ) )</f>
        <v>1</v>
      </c>
      <c r="CV120" s="24">
        <v>0.99604773742558772</v>
      </c>
      <c r="CW120" s="24" t="str">
        <f t="shared" si="8"/>
        <v>1</v>
      </c>
      <c r="CX120" t="str">
        <f ca="1">IF((OFFSET($A$1, 120 - 1, 100 - 1)) &gt;= (OFFSET($A$1, 78 - 1, 7 - 1)), "1","0")</f>
        <v>1</v>
      </c>
      <c r="CY120">
        <f ca="1" xml:space="preserve"> IF( AND( OFFSET($A$1, 120 - 1, 101 - 1) = "1", OFFSET($A$1, 120 - 1, 102 - 1) = "1" ), 1, IF( AND( OFFSET($A$1, 120 - 1, 101 - 1) = "1", OFFSET($A$1, 120 - 1, 102 - 1) = "0" ), 2, IF( AND( OFFSET($A$1, 120 - 1, 101 - 1) = "0", OFFSET($A$1, 120 - 1, 102 - 1) = "1" ), 3, 4 ) ) )</f>
        <v>1</v>
      </c>
    </row>
    <row r="121" spans="3:103" ht="13.8" x14ac:dyDescent="0.3">
      <c r="C121" s="26">
        <v>0</v>
      </c>
      <c r="D121" s="24">
        <v>2.6319958192289326</v>
      </c>
      <c r="E121" s="24">
        <v>-2.2479224388282071</v>
      </c>
      <c r="F121" s="24">
        <v>-3.6826630887323173</v>
      </c>
      <c r="G121" s="24">
        <v>-1.1868163943479653</v>
      </c>
      <c r="H121" s="24">
        <v>-4.3837545542442182</v>
      </c>
      <c r="I121" s="24">
        <v>2.5410975817705128</v>
      </c>
      <c r="J121" s="24">
        <v>3.5867140406386251</v>
      </c>
      <c r="K121" s="24">
        <v>-1.2509635398691195</v>
      </c>
      <c r="L121" s="24">
        <v>-2.604444115269791</v>
      </c>
      <c r="M121" s="24">
        <v>3.4044352973326202</v>
      </c>
      <c r="N121" s="24">
        <v>-3.6232400110809104</v>
      </c>
      <c r="O121" s="24">
        <v>2.2267194094255105</v>
      </c>
      <c r="P121" s="24">
        <v>-2.7649387974266326</v>
      </c>
      <c r="Q121" s="24">
        <v>1.0086790851380103</v>
      </c>
      <c r="CQ121" s="24">
        <v>0.94973460306623603</v>
      </c>
      <c r="CR121" s="24" t="str">
        <f t="shared" si="7"/>
        <v>1</v>
      </c>
      <c r="CS121" t="str">
        <f ca="1">IF((OFFSET($A$1, 121 - 1, 95 - 1)) &gt;= (OFFSET($A$1, 54 - 1, 7 - 1)), "1","0")</f>
        <v>1</v>
      </c>
      <c r="CT121">
        <f ca="1" xml:space="preserve"> IF( AND( OFFSET($A$1, 121 - 1, 96 - 1) = "1", OFFSET($A$1, 121 - 1, 97 - 1) = "1" ), 1, IF( AND( OFFSET($A$1, 121 - 1, 96 - 1) = "1", OFFSET($A$1, 121 - 1, 97 - 1) = "0" ), 2, IF( AND( OFFSET($A$1, 121 - 1, 96 - 1) = "0", OFFSET($A$1, 121 - 1, 97 - 1) = "1" ), 3, 4 ) ) )</f>
        <v>1</v>
      </c>
      <c r="CV121" s="24">
        <v>0.19332279753910109</v>
      </c>
      <c r="CW121" s="24" t="str">
        <f t="shared" si="8"/>
        <v>1</v>
      </c>
      <c r="CX121" t="str">
        <f ca="1">IF((OFFSET($A$1, 121 - 1, 100 - 1)) &gt;= (OFFSET($A$1, 78 - 1, 7 - 1)), "1","0")</f>
        <v>0</v>
      </c>
      <c r="CY121">
        <f ca="1" xml:space="preserve"> IF( AND( OFFSET($A$1, 121 - 1, 101 - 1) = "1", OFFSET($A$1, 121 - 1, 102 - 1) = "1" ), 1, IF( AND( OFFSET($A$1, 121 - 1, 101 - 1) = "1", OFFSET($A$1, 121 - 1, 102 - 1) = "0" ), 2, IF( AND( OFFSET($A$1, 121 - 1, 101 - 1) = "0", OFFSET($A$1, 121 - 1, 102 - 1) = "1" ), 3, 4 ) ) )</f>
        <v>2</v>
      </c>
    </row>
    <row r="122" spans="3:103" ht="13.8" x14ac:dyDescent="0.3">
      <c r="C122" s="26">
        <v>1</v>
      </c>
      <c r="D122" s="24">
        <v>-2.6333702009971782</v>
      </c>
      <c r="E122" s="24">
        <v>2.2051943761725652</v>
      </c>
      <c r="F122" s="24">
        <v>3.6784566503796978</v>
      </c>
      <c r="G122" s="24">
        <v>1.1922881906994209</v>
      </c>
      <c r="H122" s="24">
        <v>4.3962966533432741</v>
      </c>
      <c r="I122" s="24">
        <v>-2.5434271286815107</v>
      </c>
      <c r="J122" s="24">
        <v>-3.5898215777277693</v>
      </c>
      <c r="K122" s="24">
        <v>1.218022334567157</v>
      </c>
      <c r="L122" s="24">
        <v>2.6121169821478389</v>
      </c>
      <c r="M122" s="24">
        <v>-3.4330275379375923</v>
      </c>
      <c r="N122" s="24">
        <v>3.6209367671566581</v>
      </c>
      <c r="O122" s="24">
        <v>-2.2405426208293342</v>
      </c>
      <c r="P122" s="24">
        <v>2.788300288738188</v>
      </c>
      <c r="Q122" s="24">
        <v>-0.95797853298450875</v>
      </c>
      <c r="CQ122" s="24">
        <v>0.88290302016686939</v>
      </c>
      <c r="CR122" s="24" t="str">
        <f t="shared" si="7"/>
        <v>1</v>
      </c>
      <c r="CS122" t="str">
        <f ca="1">IF((OFFSET($A$1, 122 - 1, 95 - 1)) &gt;= (OFFSET($A$1, 54 - 1, 7 - 1)), "1","0")</f>
        <v>1</v>
      </c>
      <c r="CT122">
        <f ca="1" xml:space="preserve"> IF( AND( OFFSET($A$1, 122 - 1, 96 - 1) = "1", OFFSET($A$1, 122 - 1, 97 - 1) = "1" ), 1, IF( AND( OFFSET($A$1, 122 - 1, 96 - 1) = "1", OFFSET($A$1, 122 - 1, 97 - 1) = "0" ), 2, IF( AND( OFFSET($A$1, 122 - 1, 96 - 1) = "0", OFFSET($A$1, 122 - 1, 97 - 1) = "1" ), 3, 4 ) ) )</f>
        <v>1</v>
      </c>
      <c r="CV122" s="24">
        <v>0.99588774388712709</v>
      </c>
      <c r="CW122" s="24" t="str">
        <f t="shared" si="8"/>
        <v>1</v>
      </c>
      <c r="CX122" t="str">
        <f ca="1">IF((OFFSET($A$1, 122 - 1, 100 - 1)) &gt;= (OFFSET($A$1, 78 - 1, 7 - 1)), "1","0")</f>
        <v>1</v>
      </c>
      <c r="CY122">
        <f ca="1" xml:space="preserve"> IF( AND( OFFSET($A$1, 122 - 1, 101 - 1) = "1", OFFSET($A$1, 122 - 1, 102 - 1) = "1" ), 1, IF( AND( OFFSET($A$1, 122 - 1, 101 - 1) = "1", OFFSET($A$1, 122 - 1, 102 - 1) = "0" ), 2, IF( AND( OFFSET($A$1, 122 - 1, 101 - 1) = "0", OFFSET($A$1, 122 - 1, 102 - 1) = "1" ), 3, 4 ) ) )</f>
        <v>1</v>
      </c>
    </row>
    <row r="123" spans="3:103" ht="13.8" x14ac:dyDescent="0.3">
      <c r="CQ123" s="24">
        <v>0.99752920074064355</v>
      </c>
      <c r="CR123" s="24" t="str">
        <f t="shared" si="7"/>
        <v>1</v>
      </c>
      <c r="CS123" t="str">
        <f ca="1">IF((OFFSET($A$1, 123 - 1, 95 - 1)) &gt;= (OFFSET($A$1, 54 - 1, 7 - 1)), "1","0")</f>
        <v>1</v>
      </c>
      <c r="CT123">
        <f ca="1" xml:space="preserve"> IF( AND( OFFSET($A$1, 123 - 1, 96 - 1) = "1", OFFSET($A$1, 123 - 1, 97 - 1) = "1" ), 1, IF( AND( OFFSET($A$1, 123 - 1, 96 - 1) = "1", OFFSET($A$1, 123 - 1, 97 - 1) = "0" ), 2, IF( AND( OFFSET($A$1, 123 - 1, 96 - 1) = "0", OFFSET($A$1, 123 - 1, 97 - 1) = "1" ), 3, 4 ) ) )</f>
        <v>1</v>
      </c>
      <c r="CV123" s="24">
        <v>0.99739133379369727</v>
      </c>
      <c r="CW123" s="24" t="str">
        <f t="shared" si="8"/>
        <v>1</v>
      </c>
      <c r="CX123" t="str">
        <f ca="1">IF((OFFSET($A$1, 123 - 1, 100 - 1)) &gt;= (OFFSET($A$1, 78 - 1, 7 - 1)), "1","0")</f>
        <v>1</v>
      </c>
      <c r="CY123">
        <f ca="1" xml:space="preserve"> IF( AND( OFFSET($A$1, 123 - 1, 101 - 1) = "1", OFFSET($A$1, 123 - 1, 102 - 1) = "1" ), 1, IF( AND( OFFSET($A$1, 123 - 1, 101 - 1) = "1", OFFSET($A$1, 123 - 1, 102 - 1) = "0" ), 2, IF( AND( OFFSET($A$1, 123 - 1, 101 - 1) = "0", OFFSET($A$1, 123 - 1, 102 - 1) = "1" ), 3, 4 ) ) )</f>
        <v>1</v>
      </c>
    </row>
    <row r="124" spans="3:103" ht="13.8" x14ac:dyDescent="0.3">
      <c r="CQ124" s="24">
        <v>0.99353371952017711</v>
      </c>
      <c r="CR124" s="24" t="str">
        <f t="shared" si="7"/>
        <v>1</v>
      </c>
      <c r="CS124" t="str">
        <f ca="1">IF((OFFSET($A$1, 124 - 1, 95 - 1)) &gt;= (OFFSET($A$1, 54 - 1, 7 - 1)), "1","0")</f>
        <v>1</v>
      </c>
      <c r="CT124">
        <f ca="1" xml:space="preserve"> IF( AND( OFFSET($A$1, 124 - 1, 96 - 1) = "1", OFFSET($A$1, 124 - 1, 97 - 1) = "1" ), 1, IF( AND( OFFSET($A$1, 124 - 1, 96 - 1) = "1", OFFSET($A$1, 124 - 1, 97 - 1) = "0" ), 2, IF( AND( OFFSET($A$1, 124 - 1, 96 - 1) = "0", OFFSET($A$1, 124 - 1, 97 - 1) = "1" ), 3, 4 ) ) )</f>
        <v>1</v>
      </c>
      <c r="CV124" s="24">
        <v>0.56583678936654058</v>
      </c>
      <c r="CW124" s="24" t="str">
        <f t="shared" si="8"/>
        <v>1</v>
      </c>
      <c r="CX124" t="str">
        <f ca="1">IF((OFFSET($A$1, 124 - 1, 100 - 1)) &gt;= (OFFSET($A$1, 78 - 1, 7 - 1)), "1","0")</f>
        <v>1</v>
      </c>
      <c r="CY124">
        <f ca="1" xml:space="preserve"> IF( AND( OFFSET($A$1, 124 - 1, 101 - 1) = "1", OFFSET($A$1, 124 - 1, 102 - 1) = "1" ), 1, IF( AND( OFFSET($A$1, 124 - 1, 101 - 1) = "1", OFFSET($A$1, 124 - 1, 102 - 1) = "0" ), 2, IF( AND( OFFSET($A$1, 124 - 1, 101 - 1) = "0", OFFSET($A$1, 124 - 1, 102 - 1) = "1" ), 3, 4 ) ) )</f>
        <v>1</v>
      </c>
    </row>
    <row r="125" spans="3:103" ht="13.8" x14ac:dyDescent="0.3">
      <c r="CQ125" s="24">
        <v>0.90709698186570042</v>
      </c>
      <c r="CR125" s="24" t="str">
        <f t="shared" si="7"/>
        <v>1</v>
      </c>
      <c r="CS125" t="str">
        <f ca="1">IF((OFFSET($A$1, 125 - 1, 95 - 1)) &gt;= (OFFSET($A$1, 54 - 1, 7 - 1)), "1","0")</f>
        <v>1</v>
      </c>
      <c r="CT125">
        <f ca="1" xml:space="preserve"> IF( AND( OFFSET($A$1, 125 - 1, 96 - 1) = "1", OFFSET($A$1, 125 - 1, 97 - 1) = "1" ), 1, IF( AND( OFFSET($A$1, 125 - 1, 96 - 1) = "1", OFFSET($A$1, 125 - 1, 97 - 1) = "0" ), 2, IF( AND( OFFSET($A$1, 125 - 1, 96 - 1) = "0", OFFSET($A$1, 125 - 1, 97 - 1) = "1" ), 3, 4 ) ) )</f>
        <v>1</v>
      </c>
      <c r="CV125" s="24">
        <v>0.29945791018220747</v>
      </c>
      <c r="CW125" s="24" t="str">
        <f>"0"</f>
        <v>0</v>
      </c>
      <c r="CX125" t="str">
        <f ca="1">IF((OFFSET($A$1, 125 - 1, 100 - 1)) &gt;= (OFFSET($A$1, 78 - 1, 7 - 1)), "1","0")</f>
        <v>0</v>
      </c>
      <c r="CY125">
        <f ca="1" xml:space="preserve"> IF( AND( OFFSET($A$1, 125 - 1, 101 - 1) = "1", OFFSET($A$1, 125 - 1, 102 - 1) = "1" ), 1, IF( AND( OFFSET($A$1, 125 - 1, 101 - 1) = "1", OFFSET($A$1, 125 - 1, 102 - 1) = "0" ), 2, IF( AND( OFFSET($A$1, 125 - 1, 101 - 1) = "0", OFFSET($A$1, 125 - 1, 102 - 1) = "1" ), 3, 4 ) ) )</f>
        <v>4</v>
      </c>
    </row>
    <row r="126" spans="3:103" ht="13.8" x14ac:dyDescent="0.3">
      <c r="CQ126" s="24">
        <v>0.99019713538613829</v>
      </c>
      <c r="CR126" s="24" t="str">
        <f t="shared" si="7"/>
        <v>1</v>
      </c>
      <c r="CS126" t="str">
        <f ca="1">IF((OFFSET($A$1, 126 - 1, 95 - 1)) &gt;= (OFFSET($A$1, 54 - 1, 7 - 1)), "1","0")</f>
        <v>1</v>
      </c>
      <c r="CT126">
        <f ca="1" xml:space="preserve"> IF( AND( OFFSET($A$1, 126 - 1, 96 - 1) = "1", OFFSET($A$1, 126 - 1, 97 - 1) = "1" ), 1, IF( AND( OFFSET($A$1, 126 - 1, 96 - 1) = "1", OFFSET($A$1, 126 - 1, 97 - 1) = "0" ), 2, IF( AND( OFFSET($A$1, 126 - 1, 96 - 1) = "0", OFFSET($A$1, 126 - 1, 97 - 1) = "1" ), 3, 4 ) ) )</f>
        <v>1</v>
      </c>
      <c r="CV126" s="24">
        <v>0.94170355745058265</v>
      </c>
      <c r="CW126" s="24" t="str">
        <f>"1"</f>
        <v>1</v>
      </c>
      <c r="CX126" t="str">
        <f ca="1">IF((OFFSET($A$1, 126 - 1, 100 - 1)) &gt;= (OFFSET($A$1, 78 - 1, 7 - 1)), "1","0")</f>
        <v>1</v>
      </c>
      <c r="CY126">
        <f ca="1" xml:space="preserve"> IF( AND( OFFSET($A$1, 126 - 1, 101 - 1) = "1", OFFSET($A$1, 126 - 1, 102 - 1) = "1" ), 1, IF( AND( OFFSET($A$1, 126 - 1, 101 - 1) = "1", OFFSET($A$1, 126 - 1, 102 - 1) = "0" ), 2, IF( AND( OFFSET($A$1, 126 - 1, 101 - 1) = "0", OFFSET($A$1, 126 - 1, 102 - 1) = "1" ), 3, 4 ) ) )</f>
        <v>1</v>
      </c>
    </row>
    <row r="127" spans="3:103" ht="13.8" x14ac:dyDescent="0.3">
      <c r="CQ127" s="24">
        <v>9.5874390572659981E-4</v>
      </c>
      <c r="CR127" s="24" t="str">
        <f>"0"</f>
        <v>0</v>
      </c>
      <c r="CS127" t="str">
        <f ca="1">IF((OFFSET($A$1, 127 - 1, 95 - 1)) &gt;= (OFFSET($A$1, 54 - 1, 7 - 1)), "1","0")</f>
        <v>0</v>
      </c>
      <c r="CT127">
        <f ca="1" xml:space="preserve"> IF( AND( OFFSET($A$1, 127 - 1, 96 - 1) = "1", OFFSET($A$1, 127 - 1, 97 - 1) = "1" ), 1, IF( AND( OFFSET($A$1, 127 - 1, 96 - 1) = "1", OFFSET($A$1, 127 - 1, 97 - 1) = "0" ), 2, IF( AND( OFFSET($A$1, 127 - 1, 96 - 1) = "0", OFFSET($A$1, 127 - 1, 97 - 1) = "1" ), 3, 4 ) ) )</f>
        <v>4</v>
      </c>
      <c r="CV127" s="24">
        <v>0.99557333225780964</v>
      </c>
      <c r="CW127" s="24" t="str">
        <f>"1"</f>
        <v>1</v>
      </c>
      <c r="CX127" t="str">
        <f ca="1">IF((OFFSET($A$1, 127 - 1, 100 - 1)) &gt;= (OFFSET($A$1, 78 - 1, 7 - 1)), "1","0")</f>
        <v>1</v>
      </c>
      <c r="CY127">
        <f ca="1" xml:space="preserve"> IF( AND( OFFSET($A$1, 127 - 1, 101 - 1) = "1", OFFSET($A$1, 127 - 1, 102 - 1) = "1" ), 1, IF( AND( OFFSET($A$1, 127 - 1, 101 - 1) = "1", OFFSET($A$1, 127 - 1, 102 - 1) = "0" ), 2, IF( AND( OFFSET($A$1, 127 - 1, 101 - 1) = "0", OFFSET($A$1, 127 - 1, 102 - 1) = "1" ), 3, 4 ) ) )</f>
        <v>1</v>
      </c>
    </row>
    <row r="128" spans="3:103" ht="13.8" x14ac:dyDescent="0.3">
      <c r="CQ128" s="24">
        <v>0.99743550281885196</v>
      </c>
      <c r="CR128" s="24" t="str">
        <f>"1"</f>
        <v>1</v>
      </c>
      <c r="CS128" t="str">
        <f ca="1">IF((OFFSET($A$1, 128 - 1, 95 - 1)) &gt;= (OFFSET($A$1, 54 - 1, 7 - 1)), "1","0")</f>
        <v>1</v>
      </c>
      <c r="CT128">
        <f ca="1" xml:space="preserve"> IF( AND( OFFSET($A$1, 128 - 1, 96 - 1) = "1", OFFSET($A$1, 128 - 1, 97 - 1) = "1" ), 1, IF( AND( OFFSET($A$1, 128 - 1, 96 - 1) = "1", OFFSET($A$1, 128 - 1, 97 - 1) = "0" ), 2, IF( AND( OFFSET($A$1, 128 - 1, 96 - 1) = "0", OFFSET($A$1, 128 - 1, 97 - 1) = "1" ), 3, 4 ) ) )</f>
        <v>1</v>
      </c>
      <c r="CV128" s="24">
        <v>0.11319061436689526</v>
      </c>
      <c r="CW128" s="24" t="str">
        <f>"0"</f>
        <v>0</v>
      </c>
      <c r="CX128" t="str">
        <f ca="1">IF((OFFSET($A$1, 128 - 1, 100 - 1)) &gt;= (OFFSET($A$1, 78 - 1, 7 - 1)), "1","0")</f>
        <v>0</v>
      </c>
      <c r="CY128">
        <f ca="1" xml:space="preserve"> IF( AND( OFFSET($A$1, 128 - 1, 101 - 1) = "1", OFFSET($A$1, 128 - 1, 102 - 1) = "1" ), 1, IF( AND( OFFSET($A$1, 128 - 1, 101 - 1) = "1", OFFSET($A$1, 128 - 1, 102 - 1) = "0" ), 2, IF( AND( OFFSET($A$1, 128 - 1, 101 - 1) = "0", OFFSET($A$1, 128 - 1, 102 - 1) = "1" ), 3, 4 ) ) )</f>
        <v>4</v>
      </c>
    </row>
    <row r="129" spans="95:103" ht="13.8" x14ac:dyDescent="0.3">
      <c r="CQ129" s="24">
        <v>0.8753799937555915</v>
      </c>
      <c r="CR129" s="24" t="str">
        <f>"1"</f>
        <v>1</v>
      </c>
      <c r="CS129" t="str">
        <f ca="1">IF((OFFSET($A$1, 129 - 1, 95 - 1)) &gt;= (OFFSET($A$1, 54 - 1, 7 - 1)), "1","0")</f>
        <v>1</v>
      </c>
      <c r="CT129">
        <f ca="1" xml:space="preserve"> IF( AND( OFFSET($A$1, 129 - 1, 96 - 1) = "1", OFFSET($A$1, 129 - 1, 97 - 1) = "1" ), 1, IF( AND( OFFSET($A$1, 129 - 1, 96 - 1) = "1", OFFSET($A$1, 129 - 1, 97 - 1) = "0" ), 2, IF( AND( OFFSET($A$1, 129 - 1, 96 - 1) = "0", OFFSET($A$1, 129 - 1, 97 - 1) = "1" ), 3, 4 ) ) )</f>
        <v>1</v>
      </c>
      <c r="CV129" s="24">
        <v>0.9966475087710287</v>
      </c>
      <c r="CW129" s="24" t="str">
        <f>"1"</f>
        <v>1</v>
      </c>
      <c r="CX129" t="str">
        <f ca="1">IF((OFFSET($A$1, 129 - 1, 100 - 1)) &gt;= (OFFSET($A$1, 78 - 1, 7 - 1)), "1","0")</f>
        <v>1</v>
      </c>
      <c r="CY129">
        <f ca="1" xml:space="preserve"> IF( AND( OFFSET($A$1, 129 - 1, 101 - 1) = "1", OFFSET($A$1, 129 - 1, 102 - 1) = "1" ), 1, IF( AND( OFFSET($A$1, 129 - 1, 101 - 1) = "1", OFFSET($A$1, 129 - 1, 102 - 1) = "0" ), 2, IF( AND( OFFSET($A$1, 129 - 1, 101 - 1) = "0", OFFSET($A$1, 129 - 1, 102 - 1) = "1" ), 3, 4 ) ) )</f>
        <v>1</v>
      </c>
    </row>
    <row r="130" spans="95:103" ht="13.8" x14ac:dyDescent="0.3">
      <c r="CQ130" s="24">
        <v>0.99863909634222303</v>
      </c>
      <c r="CR130" s="24" t="str">
        <f>"1"</f>
        <v>1</v>
      </c>
      <c r="CS130" t="str">
        <f ca="1">IF((OFFSET($A$1, 130 - 1, 95 - 1)) &gt;= (OFFSET($A$1, 54 - 1, 7 - 1)), "1","0")</f>
        <v>1</v>
      </c>
      <c r="CT130">
        <f ca="1" xml:space="preserve"> IF( AND( OFFSET($A$1, 130 - 1, 96 - 1) = "1", OFFSET($A$1, 130 - 1, 97 - 1) = "1" ), 1, IF( AND( OFFSET($A$1, 130 - 1, 96 - 1) = "1", OFFSET($A$1, 130 - 1, 97 - 1) = "0" ), 2, IF( AND( OFFSET($A$1, 130 - 1, 96 - 1) = "0", OFFSET($A$1, 130 - 1, 97 - 1) = "1" ), 3, 4 ) ) )</f>
        <v>1</v>
      </c>
      <c r="CV130" s="24">
        <v>0.21044933811103159</v>
      </c>
      <c r="CW130" s="24" t="str">
        <f>"0"</f>
        <v>0</v>
      </c>
      <c r="CX130" t="str">
        <f ca="1">IF((OFFSET($A$1, 130 - 1, 100 - 1)) &gt;= (OFFSET($A$1, 78 - 1, 7 - 1)), "1","0")</f>
        <v>0</v>
      </c>
      <c r="CY130">
        <f ca="1" xml:space="preserve"> IF( AND( OFFSET($A$1, 130 - 1, 101 - 1) = "1", OFFSET($A$1, 130 - 1, 102 - 1) = "1" ), 1, IF( AND( OFFSET($A$1, 130 - 1, 101 - 1) = "1", OFFSET($A$1, 130 - 1, 102 - 1) = "0" ), 2, IF( AND( OFFSET($A$1, 130 - 1, 101 - 1) = "0", OFFSET($A$1, 130 - 1, 102 - 1) = "1" ), 3, 4 ) ) )</f>
        <v>4</v>
      </c>
    </row>
    <row r="131" spans="95:103" ht="13.8" x14ac:dyDescent="0.3">
      <c r="CQ131" s="24">
        <v>0.9986196817069396</v>
      </c>
      <c r="CR131" s="24" t="str">
        <f>"1"</f>
        <v>1</v>
      </c>
      <c r="CS131" t="str">
        <f ca="1">IF((OFFSET($A$1, 131 - 1, 95 - 1)) &gt;= (OFFSET($A$1, 54 - 1, 7 - 1)), "1","0")</f>
        <v>1</v>
      </c>
      <c r="CT131">
        <f ca="1" xml:space="preserve"> IF( AND( OFFSET($A$1, 131 - 1, 96 - 1) = "1", OFFSET($A$1, 131 - 1, 97 - 1) = "1" ), 1, IF( AND( OFFSET($A$1, 131 - 1, 96 - 1) = "1", OFFSET($A$1, 131 - 1, 97 - 1) = "0" ), 2, IF( AND( OFFSET($A$1, 131 - 1, 96 - 1) = "0", OFFSET($A$1, 131 - 1, 97 - 1) = "1" ), 3, 4 ) ) )</f>
        <v>1</v>
      </c>
      <c r="CV131" s="24">
        <v>0.97610657442444615</v>
      </c>
      <c r="CW131" s="24" t="str">
        <f>"0"</f>
        <v>0</v>
      </c>
      <c r="CX131" t="str">
        <f ca="1">IF((OFFSET($A$1, 131 - 1, 100 - 1)) &gt;= (OFFSET($A$1, 78 - 1, 7 - 1)), "1","0")</f>
        <v>1</v>
      </c>
      <c r="CY131">
        <f ca="1" xml:space="preserve"> IF( AND( OFFSET($A$1, 131 - 1, 101 - 1) = "1", OFFSET($A$1, 131 - 1, 102 - 1) = "1" ), 1, IF( AND( OFFSET($A$1, 131 - 1, 101 - 1) = "1", OFFSET($A$1, 131 - 1, 102 - 1) = "0" ), 2, IF( AND( OFFSET($A$1, 131 - 1, 101 - 1) = "0", OFFSET($A$1, 131 - 1, 102 - 1) = "1" ), 3, 4 ) ) )</f>
        <v>3</v>
      </c>
    </row>
    <row r="132" spans="95:103" ht="13.8" x14ac:dyDescent="0.3">
      <c r="CQ132" s="24">
        <v>0.98953773466158967</v>
      </c>
      <c r="CR132" s="24" t="str">
        <f>"1"</f>
        <v>1</v>
      </c>
      <c r="CS132" t="str">
        <f ca="1">IF((OFFSET($A$1, 132 - 1, 95 - 1)) &gt;= (OFFSET($A$1, 54 - 1, 7 - 1)), "1","0")</f>
        <v>1</v>
      </c>
      <c r="CT132">
        <f ca="1" xml:space="preserve"> IF( AND( OFFSET($A$1, 132 - 1, 96 - 1) = "1", OFFSET($A$1, 132 - 1, 97 - 1) = "1" ), 1, IF( AND( OFFSET($A$1, 132 - 1, 96 - 1) = "1", OFFSET($A$1, 132 - 1, 97 - 1) = "0" ), 2, IF( AND( OFFSET($A$1, 132 - 1, 96 - 1) = "0", OFFSET($A$1, 132 - 1, 97 - 1) = "1" ), 3, 4 ) ) )</f>
        <v>1</v>
      </c>
      <c r="CV132" s="24">
        <v>0.99994506699450603</v>
      </c>
      <c r="CW132" s="24" t="str">
        <f>"1"</f>
        <v>1</v>
      </c>
      <c r="CX132" t="str">
        <f ca="1">IF((OFFSET($A$1, 132 - 1, 100 - 1)) &gt;= (OFFSET($A$1, 78 - 1, 7 - 1)), "1","0")</f>
        <v>1</v>
      </c>
      <c r="CY132">
        <f ca="1" xml:space="preserve"> IF( AND( OFFSET($A$1, 132 - 1, 101 - 1) = "1", OFFSET($A$1, 132 - 1, 102 - 1) = "1" ), 1, IF( AND( OFFSET($A$1, 132 - 1, 101 - 1) = "1", OFFSET($A$1, 132 - 1, 102 - 1) = "0" ), 2, IF( AND( OFFSET($A$1, 132 - 1, 101 - 1) = "0", OFFSET($A$1, 132 - 1, 102 - 1) = "1" ), 3, 4 ) ) )</f>
        <v>1</v>
      </c>
    </row>
    <row r="133" spans="95:103" ht="13.8" x14ac:dyDescent="0.3">
      <c r="CQ133" s="24">
        <v>9.6450119574388232E-2</v>
      </c>
      <c r="CR133" s="24" t="str">
        <f>"0"</f>
        <v>0</v>
      </c>
      <c r="CS133" t="str">
        <f ca="1">IF((OFFSET($A$1, 133 - 1, 95 - 1)) &gt;= (OFFSET($A$1, 54 - 1, 7 - 1)), "1","0")</f>
        <v>0</v>
      </c>
      <c r="CT133">
        <f ca="1" xml:space="preserve"> IF( AND( OFFSET($A$1, 133 - 1, 96 - 1) = "1", OFFSET($A$1, 133 - 1, 97 - 1) = "1" ), 1, IF( AND( OFFSET($A$1, 133 - 1, 96 - 1) = "1", OFFSET($A$1, 133 - 1, 97 - 1) = "0" ), 2, IF( AND( OFFSET($A$1, 133 - 1, 96 - 1) = "0", OFFSET($A$1, 133 - 1, 97 - 1) = "1" ), 3, 4 ) ) )</f>
        <v>4</v>
      </c>
      <c r="CV133" s="24">
        <v>0.88682585772542744</v>
      </c>
      <c r="CW133" s="24" t="str">
        <f>"1"</f>
        <v>1</v>
      </c>
      <c r="CX133" t="str">
        <f ca="1">IF((OFFSET($A$1, 133 - 1, 100 - 1)) &gt;= (OFFSET($A$1, 78 - 1, 7 - 1)), "1","0")</f>
        <v>1</v>
      </c>
      <c r="CY133">
        <f ca="1" xml:space="preserve"> IF( AND( OFFSET($A$1, 133 - 1, 101 - 1) = "1", OFFSET($A$1, 133 - 1, 102 - 1) = "1" ), 1, IF( AND( OFFSET($A$1, 133 - 1, 101 - 1) = "1", OFFSET($A$1, 133 - 1, 102 - 1) = "0" ), 2, IF( AND( OFFSET($A$1, 133 - 1, 101 - 1) = "0", OFFSET($A$1, 133 - 1, 102 - 1) = "1" ), 3, 4 ) ) )</f>
        <v>1</v>
      </c>
    </row>
    <row r="134" spans="95:103" ht="13.8" x14ac:dyDescent="0.3">
      <c r="CQ134" s="24">
        <v>0.99728935112283201</v>
      </c>
      <c r="CR134" s="24" t="str">
        <f t="shared" ref="CR134:CR139" si="9">"1"</f>
        <v>1</v>
      </c>
      <c r="CS134" t="str">
        <f ca="1">IF((OFFSET($A$1, 134 - 1, 95 - 1)) &gt;= (OFFSET($A$1, 54 - 1, 7 - 1)), "1","0")</f>
        <v>1</v>
      </c>
      <c r="CT134">
        <f ca="1" xml:space="preserve"> IF( AND( OFFSET($A$1, 134 - 1, 96 - 1) = "1", OFFSET($A$1, 134 - 1, 97 - 1) = "1" ), 1, IF( AND( OFFSET($A$1, 134 - 1, 96 - 1) = "1", OFFSET($A$1, 134 - 1, 97 - 1) = "0" ), 2, IF( AND( OFFSET($A$1, 134 - 1, 96 - 1) = "0", OFFSET($A$1, 134 - 1, 97 - 1) = "1" ), 3, 4 ) ) )</f>
        <v>1</v>
      </c>
      <c r="CV134" s="24">
        <v>0.95412369423860932</v>
      </c>
      <c r="CW134" s="24" t="str">
        <f>"0"</f>
        <v>0</v>
      </c>
      <c r="CX134" t="str">
        <f ca="1">IF((OFFSET($A$1, 134 - 1, 100 - 1)) &gt;= (OFFSET($A$1, 78 - 1, 7 - 1)), "1","0")</f>
        <v>1</v>
      </c>
      <c r="CY134">
        <f ca="1" xml:space="preserve"> IF( AND( OFFSET($A$1, 134 - 1, 101 - 1) = "1", OFFSET($A$1, 134 - 1, 102 - 1) = "1" ), 1, IF( AND( OFFSET($A$1, 134 - 1, 101 - 1) = "1", OFFSET($A$1, 134 - 1, 102 - 1) = "0" ), 2, IF( AND( OFFSET($A$1, 134 - 1, 101 - 1) = "0", OFFSET($A$1, 134 - 1, 102 - 1) = "1" ), 3, 4 ) ) )</f>
        <v>3</v>
      </c>
    </row>
    <row r="135" spans="95:103" ht="13.8" x14ac:dyDescent="0.3">
      <c r="CQ135" s="24">
        <v>0.84929387309084514</v>
      </c>
      <c r="CR135" s="24" t="str">
        <f t="shared" si="9"/>
        <v>1</v>
      </c>
      <c r="CS135" t="str">
        <f ca="1">IF((OFFSET($A$1, 135 - 1, 95 - 1)) &gt;= (OFFSET($A$1, 54 - 1, 7 - 1)), "1","0")</f>
        <v>1</v>
      </c>
      <c r="CT135">
        <f ca="1" xml:space="preserve"> IF( AND( OFFSET($A$1, 135 - 1, 96 - 1) = "1", OFFSET($A$1, 135 - 1, 97 - 1) = "1" ), 1, IF( AND( OFFSET($A$1, 135 - 1, 96 - 1) = "1", OFFSET($A$1, 135 - 1, 97 - 1) = "0" ), 2, IF( AND( OFFSET($A$1, 135 - 1, 96 - 1) = "0", OFFSET($A$1, 135 - 1, 97 - 1) = "1" ), 3, 4 ) ) )</f>
        <v>1</v>
      </c>
      <c r="CV135" s="24">
        <v>0.46108463993539456</v>
      </c>
      <c r="CW135" s="24" t="str">
        <f>"0"</f>
        <v>0</v>
      </c>
      <c r="CX135" t="str">
        <f ca="1">IF((OFFSET($A$1, 135 - 1, 100 - 1)) &gt;= (OFFSET($A$1, 78 - 1, 7 - 1)), "1","0")</f>
        <v>0</v>
      </c>
      <c r="CY135">
        <f ca="1" xml:space="preserve"> IF( AND( OFFSET($A$1, 135 - 1, 101 - 1) = "1", OFFSET($A$1, 135 - 1, 102 - 1) = "1" ), 1, IF( AND( OFFSET($A$1, 135 - 1, 101 - 1) = "1", OFFSET($A$1, 135 - 1, 102 - 1) = "0" ), 2, IF( AND( OFFSET($A$1, 135 - 1, 101 - 1) = "0", OFFSET($A$1, 135 - 1, 102 - 1) = "1" ), 3, 4 ) ) )</f>
        <v>4</v>
      </c>
    </row>
    <row r="136" spans="95:103" ht="13.8" x14ac:dyDescent="0.3">
      <c r="CQ136" s="24">
        <v>0.97996677177756397</v>
      </c>
      <c r="CR136" s="24" t="str">
        <f t="shared" si="9"/>
        <v>1</v>
      </c>
      <c r="CS136" t="str">
        <f ca="1">IF((OFFSET($A$1, 136 - 1, 95 - 1)) &gt;= (OFFSET($A$1, 54 - 1, 7 - 1)), "1","0")</f>
        <v>1</v>
      </c>
      <c r="CT136">
        <f ca="1" xml:space="preserve"> IF( AND( OFFSET($A$1, 136 - 1, 96 - 1) = "1", OFFSET($A$1, 136 - 1, 97 - 1) = "1" ), 1, IF( AND( OFFSET($A$1, 136 - 1, 96 - 1) = "1", OFFSET($A$1, 136 - 1, 97 - 1) = "0" ), 2, IF( AND( OFFSET($A$1, 136 - 1, 96 - 1) = "0", OFFSET($A$1, 136 - 1, 97 - 1) = "1" ), 3, 4 ) ) )</f>
        <v>1</v>
      </c>
      <c r="CV136" s="24">
        <v>0.67143886387179552</v>
      </c>
      <c r="CW136" s="24" t="str">
        <f>"0"</f>
        <v>0</v>
      </c>
      <c r="CX136" t="str">
        <f ca="1">IF((OFFSET($A$1, 136 - 1, 100 - 1)) &gt;= (OFFSET($A$1, 78 - 1, 7 - 1)), "1","0")</f>
        <v>1</v>
      </c>
      <c r="CY136">
        <f ca="1" xml:space="preserve"> IF( AND( OFFSET($A$1, 136 - 1, 101 - 1) = "1", OFFSET($A$1, 136 - 1, 102 - 1) = "1" ), 1, IF( AND( OFFSET($A$1, 136 - 1, 101 - 1) = "1", OFFSET($A$1, 136 - 1, 102 - 1) = "0" ), 2, IF( AND( OFFSET($A$1, 136 - 1, 101 - 1) = "0", OFFSET($A$1, 136 - 1, 102 - 1) = "1" ), 3, 4 ) ) )</f>
        <v>3</v>
      </c>
    </row>
    <row r="137" spans="95:103" ht="13.8" x14ac:dyDescent="0.3">
      <c r="CQ137" s="24">
        <v>0.89571857178800462</v>
      </c>
      <c r="CR137" s="24" t="str">
        <f t="shared" si="9"/>
        <v>1</v>
      </c>
      <c r="CS137" t="str">
        <f ca="1">IF((OFFSET($A$1, 137 - 1, 95 - 1)) &gt;= (OFFSET($A$1, 54 - 1, 7 - 1)), "1","0")</f>
        <v>1</v>
      </c>
      <c r="CT137">
        <f ca="1" xml:space="preserve"> IF( AND( OFFSET($A$1, 137 - 1, 96 - 1) = "1", OFFSET($A$1, 137 - 1, 97 - 1) = "1" ), 1, IF( AND( OFFSET($A$1, 137 - 1, 96 - 1) = "1", OFFSET($A$1, 137 - 1, 97 - 1) = "0" ), 2, IF( AND( OFFSET($A$1, 137 - 1, 96 - 1) = "0", OFFSET($A$1, 137 - 1, 97 - 1) = "1" ), 3, 4 ) ) )</f>
        <v>1</v>
      </c>
      <c r="CV137" s="24">
        <v>0.92693456049714495</v>
      </c>
      <c r="CW137" s="24" t="str">
        <f>"1"</f>
        <v>1</v>
      </c>
      <c r="CX137" t="str">
        <f ca="1">IF((OFFSET($A$1, 137 - 1, 100 - 1)) &gt;= (OFFSET($A$1, 78 - 1, 7 - 1)), "1","0")</f>
        <v>1</v>
      </c>
      <c r="CY137">
        <f ca="1" xml:space="preserve"> IF( AND( OFFSET($A$1, 137 - 1, 101 - 1) = "1", OFFSET($A$1, 137 - 1, 102 - 1) = "1" ), 1, IF( AND( OFFSET($A$1, 137 - 1, 101 - 1) = "1", OFFSET($A$1, 137 - 1, 102 - 1) = "0" ), 2, IF( AND( OFFSET($A$1, 137 - 1, 101 - 1) = "0", OFFSET($A$1, 137 - 1, 102 - 1) = "1" ), 3, 4 ) ) )</f>
        <v>1</v>
      </c>
    </row>
    <row r="138" spans="95:103" ht="13.8" x14ac:dyDescent="0.3">
      <c r="CQ138" s="24">
        <v>0.92474282076014536</v>
      </c>
      <c r="CR138" s="24" t="str">
        <f t="shared" si="9"/>
        <v>1</v>
      </c>
      <c r="CS138" t="str">
        <f ca="1">IF((OFFSET($A$1, 138 - 1, 95 - 1)) &gt;= (OFFSET($A$1, 54 - 1, 7 - 1)), "1","0")</f>
        <v>1</v>
      </c>
      <c r="CT138">
        <f ca="1" xml:space="preserve"> IF( AND( OFFSET($A$1, 138 - 1, 96 - 1) = "1", OFFSET($A$1, 138 - 1, 97 - 1) = "1" ), 1, IF( AND( OFFSET($A$1, 138 - 1, 96 - 1) = "1", OFFSET($A$1, 138 - 1, 97 - 1) = "0" ), 2, IF( AND( OFFSET($A$1, 138 - 1, 96 - 1) = "0", OFFSET($A$1, 138 - 1, 97 - 1) = "1" ), 3, 4 ) ) )</f>
        <v>1</v>
      </c>
      <c r="CV138" s="24">
        <v>0.99902917691802462</v>
      </c>
      <c r="CW138" s="24" t="str">
        <f>"0"</f>
        <v>0</v>
      </c>
      <c r="CX138" t="str">
        <f ca="1">IF((OFFSET($A$1, 138 - 1, 100 - 1)) &gt;= (OFFSET($A$1, 78 - 1, 7 - 1)), "1","0")</f>
        <v>1</v>
      </c>
      <c r="CY138">
        <f ca="1" xml:space="preserve"> IF( AND( OFFSET($A$1, 138 - 1, 101 - 1) = "1", OFFSET($A$1, 138 - 1, 102 - 1) = "1" ), 1, IF( AND( OFFSET($A$1, 138 - 1, 101 - 1) = "1", OFFSET($A$1, 138 - 1, 102 - 1) = "0" ), 2, IF( AND( OFFSET($A$1, 138 - 1, 101 - 1) = "0", OFFSET($A$1, 138 - 1, 102 - 1) = "1" ), 3, 4 ) ) )</f>
        <v>3</v>
      </c>
    </row>
    <row r="139" spans="95:103" ht="13.8" x14ac:dyDescent="0.3">
      <c r="CQ139" s="24">
        <v>0.89257590157321787</v>
      </c>
      <c r="CR139" s="24" t="str">
        <f t="shared" si="9"/>
        <v>1</v>
      </c>
      <c r="CS139" t="str">
        <f ca="1">IF((OFFSET($A$1, 139 - 1, 95 - 1)) &gt;= (OFFSET($A$1, 54 - 1, 7 - 1)), "1","0")</f>
        <v>1</v>
      </c>
      <c r="CT139">
        <f ca="1" xml:space="preserve"> IF( AND( OFFSET($A$1, 139 - 1, 96 - 1) = "1", OFFSET($A$1, 139 - 1, 97 - 1) = "1" ), 1, IF( AND( OFFSET($A$1, 139 - 1, 96 - 1) = "1", OFFSET($A$1, 139 - 1, 97 - 1) = "0" ), 2, IF( AND( OFFSET($A$1, 139 - 1, 96 - 1) = "0", OFFSET($A$1, 139 - 1, 97 - 1) = "1" ), 3, 4 ) ) )</f>
        <v>1</v>
      </c>
      <c r="CV139" s="24">
        <v>4.9320054145342698E-2</v>
      </c>
      <c r="CW139" s="24" t="str">
        <f>"0"</f>
        <v>0</v>
      </c>
      <c r="CX139" t="str">
        <f ca="1">IF((OFFSET($A$1, 139 - 1, 100 - 1)) &gt;= (OFFSET($A$1, 78 - 1, 7 - 1)), "1","0")</f>
        <v>0</v>
      </c>
      <c r="CY139">
        <f ca="1" xml:space="preserve"> IF( AND( OFFSET($A$1, 139 - 1, 101 - 1) = "1", OFFSET($A$1, 139 - 1, 102 - 1) = "1" ), 1, IF( AND( OFFSET($A$1, 139 - 1, 101 - 1) = "1", OFFSET($A$1, 139 - 1, 102 - 1) = "0" ), 2, IF( AND( OFFSET($A$1, 139 - 1, 101 - 1) = "0", OFFSET($A$1, 139 - 1, 102 - 1) = "1" ), 3, 4 ) ) )</f>
        <v>4</v>
      </c>
    </row>
    <row r="140" spans="95:103" ht="13.8" x14ac:dyDescent="0.3">
      <c r="CQ140" s="24">
        <v>0.14783774144540202</v>
      </c>
      <c r="CR140" s="24" t="str">
        <f>"0"</f>
        <v>0</v>
      </c>
      <c r="CS140" t="str">
        <f ca="1">IF((OFFSET($A$1, 140 - 1, 95 - 1)) &gt;= (OFFSET($A$1, 54 - 1, 7 - 1)), "1","0")</f>
        <v>0</v>
      </c>
      <c r="CT140">
        <f ca="1" xml:space="preserve"> IF( AND( OFFSET($A$1, 140 - 1, 96 - 1) = "1", OFFSET($A$1, 140 - 1, 97 - 1) = "1" ), 1, IF( AND( OFFSET($A$1, 140 - 1, 96 - 1) = "1", OFFSET($A$1, 140 - 1, 97 - 1) = "0" ), 2, IF( AND( OFFSET($A$1, 140 - 1, 96 - 1) = "0", OFFSET($A$1, 140 - 1, 97 - 1) = "1" ), 3, 4 ) ) )</f>
        <v>4</v>
      </c>
      <c r="CV140" s="24">
        <v>0.91462532764236515</v>
      </c>
      <c r="CW140" s="24" t="str">
        <f>"1"</f>
        <v>1</v>
      </c>
      <c r="CX140" t="str">
        <f ca="1">IF((OFFSET($A$1, 140 - 1, 100 - 1)) &gt;= (OFFSET($A$1, 78 - 1, 7 - 1)), "1","0")</f>
        <v>1</v>
      </c>
      <c r="CY140">
        <f ca="1" xml:space="preserve"> IF( AND( OFFSET($A$1, 140 - 1, 101 - 1) = "1", OFFSET($A$1, 140 - 1, 102 - 1) = "1" ), 1, IF( AND( OFFSET($A$1, 140 - 1, 101 - 1) = "1", OFFSET($A$1, 140 - 1, 102 - 1) = "0" ), 2, IF( AND( OFFSET($A$1, 140 - 1, 101 - 1) = "0", OFFSET($A$1, 140 - 1, 102 - 1) = "1" ), 3, 4 ) ) )</f>
        <v>1</v>
      </c>
    </row>
    <row r="141" spans="95:103" ht="13.8" x14ac:dyDescent="0.3">
      <c r="CQ141" s="24">
        <v>0.97972158381434005</v>
      </c>
      <c r="CR141" s="24" t="str">
        <f>"1"</f>
        <v>1</v>
      </c>
      <c r="CS141" t="str">
        <f ca="1">IF((OFFSET($A$1, 141 - 1, 95 - 1)) &gt;= (OFFSET($A$1, 54 - 1, 7 - 1)), "1","0")</f>
        <v>1</v>
      </c>
      <c r="CT141">
        <f ca="1" xml:space="preserve"> IF( AND( OFFSET($A$1, 141 - 1, 96 - 1) = "1", OFFSET($A$1, 141 - 1, 97 - 1) = "1" ), 1, IF( AND( OFFSET($A$1, 141 - 1, 96 - 1) = "1", OFFSET($A$1, 141 - 1, 97 - 1) = "0" ), 2, IF( AND( OFFSET($A$1, 141 - 1, 96 - 1) = "0", OFFSET($A$1, 141 - 1, 97 - 1) = "1" ), 3, 4 ) ) )</f>
        <v>1</v>
      </c>
      <c r="CV141" s="24">
        <v>0.8900056914160922</v>
      </c>
      <c r="CW141" s="24" t="str">
        <f>"0"</f>
        <v>0</v>
      </c>
      <c r="CX141" t="str">
        <f ca="1">IF((OFFSET($A$1, 141 - 1, 100 - 1)) &gt;= (OFFSET($A$1, 78 - 1, 7 - 1)), "1","0")</f>
        <v>1</v>
      </c>
      <c r="CY141">
        <f ca="1" xml:space="preserve"> IF( AND( OFFSET($A$1, 141 - 1, 101 - 1) = "1", OFFSET($A$1, 141 - 1, 102 - 1) = "1" ), 1, IF( AND( OFFSET($A$1, 141 - 1, 101 - 1) = "1", OFFSET($A$1, 141 - 1, 102 - 1) = "0" ), 2, IF( AND( OFFSET($A$1, 141 - 1, 101 - 1) = "0", OFFSET($A$1, 141 - 1, 102 - 1) = "1" ), 3, 4 ) ) )</f>
        <v>3</v>
      </c>
    </row>
    <row r="142" spans="95:103" ht="13.8" x14ac:dyDescent="0.3">
      <c r="CQ142" s="24">
        <v>4.4241223859055379E-2</v>
      </c>
      <c r="CR142" s="24" t="str">
        <f>"0"</f>
        <v>0</v>
      </c>
      <c r="CS142" t="str">
        <f ca="1">IF((OFFSET($A$1, 142 - 1, 95 - 1)) &gt;= (OFFSET($A$1, 54 - 1, 7 - 1)), "1","0")</f>
        <v>0</v>
      </c>
      <c r="CT142">
        <f ca="1" xml:space="preserve"> IF( AND( OFFSET($A$1, 142 - 1, 96 - 1) = "1", OFFSET($A$1, 142 - 1, 97 - 1) = "1" ), 1, IF( AND( OFFSET($A$1, 142 - 1, 96 - 1) = "1", OFFSET($A$1, 142 - 1, 97 - 1) = "0" ), 2, IF( AND( OFFSET($A$1, 142 - 1, 96 - 1) = "0", OFFSET($A$1, 142 - 1, 97 - 1) = "1" ), 3, 4 ) ) )</f>
        <v>4</v>
      </c>
      <c r="CV142" s="24">
        <v>0.97472098156087639</v>
      </c>
      <c r="CW142" s="24" t="str">
        <f t="shared" ref="CW142:CW150" si="10">"1"</f>
        <v>1</v>
      </c>
      <c r="CX142" t="str">
        <f ca="1">IF((OFFSET($A$1, 142 - 1, 100 - 1)) &gt;= (OFFSET($A$1, 78 - 1, 7 - 1)), "1","0")</f>
        <v>1</v>
      </c>
      <c r="CY142">
        <f ca="1" xml:space="preserve"> IF( AND( OFFSET($A$1, 142 - 1, 101 - 1) = "1", OFFSET($A$1, 142 - 1, 102 - 1) = "1" ), 1, IF( AND( OFFSET($A$1, 142 - 1, 101 - 1) = "1", OFFSET($A$1, 142 - 1, 102 - 1) = "0" ), 2, IF( AND( OFFSET($A$1, 142 - 1, 101 - 1) = "0", OFFSET($A$1, 142 - 1, 102 - 1) = "1" ), 3, 4 ) ) )</f>
        <v>1</v>
      </c>
    </row>
    <row r="143" spans="95:103" ht="13.8" x14ac:dyDescent="0.3">
      <c r="CQ143" s="24">
        <v>0.98740953283969035</v>
      </c>
      <c r="CR143" s="24" t="str">
        <f>"1"</f>
        <v>1</v>
      </c>
      <c r="CS143" t="str">
        <f ca="1">IF((OFFSET($A$1, 143 - 1, 95 - 1)) &gt;= (OFFSET($A$1, 54 - 1, 7 - 1)), "1","0")</f>
        <v>1</v>
      </c>
      <c r="CT143">
        <f ca="1" xml:space="preserve"> IF( AND( OFFSET($A$1, 143 - 1, 96 - 1) = "1", OFFSET($A$1, 143 - 1, 97 - 1) = "1" ), 1, IF( AND( OFFSET($A$1, 143 - 1, 96 - 1) = "1", OFFSET($A$1, 143 - 1, 97 - 1) = "0" ), 2, IF( AND( OFFSET($A$1, 143 - 1, 96 - 1) = "0", OFFSET($A$1, 143 - 1, 97 - 1) = "1" ), 3, 4 ) ) )</f>
        <v>1</v>
      </c>
      <c r="CV143" s="24">
        <v>0.4855310803284722</v>
      </c>
      <c r="CW143" s="24" t="str">
        <f t="shared" si="10"/>
        <v>1</v>
      </c>
      <c r="CX143" t="str">
        <f ca="1">IF((OFFSET($A$1, 143 - 1, 100 - 1)) &gt;= (OFFSET($A$1, 78 - 1, 7 - 1)), "1","0")</f>
        <v>0</v>
      </c>
      <c r="CY143">
        <f ca="1" xml:space="preserve"> IF( AND( OFFSET($A$1, 143 - 1, 101 - 1) = "1", OFFSET($A$1, 143 - 1, 102 - 1) = "1" ), 1, IF( AND( OFFSET($A$1, 143 - 1, 101 - 1) = "1", OFFSET($A$1, 143 - 1, 102 - 1) = "0" ), 2, IF( AND( OFFSET($A$1, 143 - 1, 101 - 1) = "0", OFFSET($A$1, 143 - 1, 102 - 1) = "1" ), 3, 4 ) ) )</f>
        <v>2</v>
      </c>
    </row>
    <row r="144" spans="95:103" ht="13.8" x14ac:dyDescent="0.3">
      <c r="CQ144" s="24">
        <v>0.9992675048615518</v>
      </c>
      <c r="CR144" s="24" t="str">
        <f>"1"</f>
        <v>1</v>
      </c>
      <c r="CS144" t="str">
        <f ca="1">IF((OFFSET($A$1, 144 - 1, 95 - 1)) &gt;= (OFFSET($A$1, 54 - 1, 7 - 1)), "1","0")</f>
        <v>1</v>
      </c>
      <c r="CT144">
        <f ca="1" xml:space="preserve"> IF( AND( OFFSET($A$1, 144 - 1, 96 - 1) = "1", OFFSET($A$1, 144 - 1, 97 - 1) = "1" ), 1, IF( AND( OFFSET($A$1, 144 - 1, 96 - 1) = "1", OFFSET($A$1, 144 - 1, 97 - 1) = "0" ), 2, IF( AND( OFFSET($A$1, 144 - 1, 96 - 1) = "0", OFFSET($A$1, 144 - 1, 97 - 1) = "1" ), 3, 4 ) ) )</f>
        <v>1</v>
      </c>
      <c r="CV144" s="24">
        <v>0.94275534717668497</v>
      </c>
      <c r="CW144" s="24" t="str">
        <f t="shared" si="10"/>
        <v>1</v>
      </c>
      <c r="CX144" t="str">
        <f ca="1">IF((OFFSET($A$1, 144 - 1, 100 - 1)) &gt;= (OFFSET($A$1, 78 - 1, 7 - 1)), "1","0")</f>
        <v>1</v>
      </c>
      <c r="CY144">
        <f ca="1" xml:space="preserve"> IF( AND( OFFSET($A$1, 144 - 1, 101 - 1) = "1", OFFSET($A$1, 144 - 1, 102 - 1) = "1" ), 1, IF( AND( OFFSET($A$1, 144 - 1, 101 - 1) = "1", OFFSET($A$1, 144 - 1, 102 - 1) = "0" ), 2, IF( AND( OFFSET($A$1, 144 - 1, 101 - 1) = "0", OFFSET($A$1, 144 - 1, 102 - 1) = "1" ), 3, 4 ) ) )</f>
        <v>1</v>
      </c>
    </row>
    <row r="145" spans="95:103" ht="13.8" x14ac:dyDescent="0.3">
      <c r="CQ145" s="24">
        <v>0.11436386456727965</v>
      </c>
      <c r="CR145" s="24" t="str">
        <f>"0"</f>
        <v>0</v>
      </c>
      <c r="CS145" t="str">
        <f ca="1">IF((OFFSET($A$1, 145 - 1, 95 - 1)) &gt;= (OFFSET($A$1, 54 - 1, 7 - 1)), "1","0")</f>
        <v>0</v>
      </c>
      <c r="CT145">
        <f ca="1" xml:space="preserve"> IF( AND( OFFSET($A$1, 145 - 1, 96 - 1) = "1", OFFSET($A$1, 145 - 1, 97 - 1) = "1" ), 1, IF( AND( OFFSET($A$1, 145 - 1, 96 - 1) = "1", OFFSET($A$1, 145 - 1, 97 - 1) = "0" ), 2, IF( AND( OFFSET($A$1, 145 - 1, 96 - 1) = "0", OFFSET($A$1, 145 - 1, 97 - 1) = "1" ), 3, 4 ) ) )</f>
        <v>4</v>
      </c>
      <c r="CV145" s="24">
        <v>0.99966041290433527</v>
      </c>
      <c r="CW145" s="24" t="str">
        <f t="shared" si="10"/>
        <v>1</v>
      </c>
      <c r="CX145" t="str">
        <f ca="1">IF((OFFSET($A$1, 145 - 1, 100 - 1)) &gt;= (OFFSET($A$1, 78 - 1, 7 - 1)), "1","0")</f>
        <v>1</v>
      </c>
      <c r="CY145">
        <f ca="1" xml:space="preserve"> IF( AND( OFFSET($A$1, 145 - 1, 101 - 1) = "1", OFFSET($A$1, 145 - 1, 102 - 1) = "1" ), 1, IF( AND( OFFSET($A$1, 145 - 1, 101 - 1) = "1", OFFSET($A$1, 145 - 1, 102 - 1) = "0" ), 2, IF( AND( OFFSET($A$1, 145 - 1, 101 - 1) = "0", OFFSET($A$1, 145 - 1, 102 - 1) = "1" ), 3, 4 ) ) )</f>
        <v>1</v>
      </c>
    </row>
    <row r="146" spans="95:103" ht="13.8" x14ac:dyDescent="0.3">
      <c r="CQ146" s="24">
        <v>0.96345019476468552</v>
      </c>
      <c r="CR146" s="24" t="str">
        <f t="shared" ref="CR146:CR151" si="11">"1"</f>
        <v>1</v>
      </c>
      <c r="CS146" t="str">
        <f ca="1">IF((OFFSET($A$1, 146 - 1, 95 - 1)) &gt;= (OFFSET($A$1, 54 - 1, 7 - 1)), "1","0")</f>
        <v>1</v>
      </c>
      <c r="CT146">
        <f ca="1" xml:space="preserve"> IF( AND( OFFSET($A$1, 146 - 1, 96 - 1) = "1", OFFSET($A$1, 146 - 1, 97 - 1) = "1" ), 1, IF( AND( OFFSET($A$1, 146 - 1, 96 - 1) = "1", OFFSET($A$1, 146 - 1, 97 - 1) = "0" ), 2, IF( AND( OFFSET($A$1, 146 - 1, 96 - 1) = "0", OFFSET($A$1, 146 - 1, 97 - 1) = "1" ), 3, 4 ) ) )</f>
        <v>1</v>
      </c>
      <c r="CV146" s="24">
        <v>0.94730717919890617</v>
      </c>
      <c r="CW146" s="24" t="str">
        <f t="shared" si="10"/>
        <v>1</v>
      </c>
      <c r="CX146" t="str">
        <f ca="1">IF((OFFSET($A$1, 146 - 1, 100 - 1)) &gt;= (OFFSET($A$1, 78 - 1, 7 - 1)), "1","0")</f>
        <v>1</v>
      </c>
      <c r="CY146">
        <f ca="1" xml:space="preserve"> IF( AND( OFFSET($A$1, 146 - 1, 101 - 1) = "1", OFFSET($A$1, 146 - 1, 102 - 1) = "1" ), 1, IF( AND( OFFSET($A$1, 146 - 1, 101 - 1) = "1", OFFSET($A$1, 146 - 1, 102 - 1) = "0" ), 2, IF( AND( OFFSET($A$1, 146 - 1, 101 - 1) = "0", OFFSET($A$1, 146 - 1, 102 - 1) = "1" ), 3, 4 ) ) )</f>
        <v>1</v>
      </c>
    </row>
    <row r="147" spans="95:103" ht="13.8" x14ac:dyDescent="0.3">
      <c r="CQ147" s="24">
        <v>0.93773233828829561</v>
      </c>
      <c r="CR147" s="24" t="str">
        <f t="shared" si="11"/>
        <v>1</v>
      </c>
      <c r="CS147" t="str">
        <f ca="1">IF((OFFSET($A$1, 147 - 1, 95 - 1)) &gt;= (OFFSET($A$1, 54 - 1, 7 - 1)), "1","0")</f>
        <v>1</v>
      </c>
      <c r="CT147">
        <f ca="1" xml:space="preserve"> IF( AND( OFFSET($A$1, 147 - 1, 96 - 1) = "1", OFFSET($A$1, 147 - 1, 97 - 1) = "1" ), 1, IF( AND( OFFSET($A$1, 147 - 1, 96 - 1) = "1", OFFSET($A$1, 147 - 1, 97 - 1) = "0" ), 2, IF( AND( OFFSET($A$1, 147 - 1, 96 - 1) = "0", OFFSET($A$1, 147 - 1, 97 - 1) = "1" ), 3, 4 ) ) )</f>
        <v>1</v>
      </c>
      <c r="CV147" s="24">
        <v>0.99760053015789529</v>
      </c>
      <c r="CW147" s="24" t="str">
        <f t="shared" si="10"/>
        <v>1</v>
      </c>
      <c r="CX147" t="str">
        <f ca="1">IF((OFFSET($A$1, 147 - 1, 100 - 1)) &gt;= (OFFSET($A$1, 78 - 1, 7 - 1)), "1","0")</f>
        <v>1</v>
      </c>
      <c r="CY147">
        <f ca="1" xml:space="preserve"> IF( AND( OFFSET($A$1, 147 - 1, 101 - 1) = "1", OFFSET($A$1, 147 - 1, 102 - 1) = "1" ), 1, IF( AND( OFFSET($A$1, 147 - 1, 101 - 1) = "1", OFFSET($A$1, 147 - 1, 102 - 1) = "0" ), 2, IF( AND( OFFSET($A$1, 147 - 1, 101 - 1) = "0", OFFSET($A$1, 147 - 1, 102 - 1) = "1" ), 3, 4 ) ) )</f>
        <v>1</v>
      </c>
    </row>
    <row r="148" spans="95:103" ht="13.8" x14ac:dyDescent="0.3">
      <c r="CQ148" s="24">
        <v>0.98823161371845425</v>
      </c>
      <c r="CR148" s="24" t="str">
        <f t="shared" si="11"/>
        <v>1</v>
      </c>
      <c r="CS148" t="str">
        <f ca="1">IF((OFFSET($A$1, 148 - 1, 95 - 1)) &gt;= (OFFSET($A$1, 54 - 1, 7 - 1)), "1","0")</f>
        <v>1</v>
      </c>
      <c r="CT148">
        <f ca="1" xml:space="preserve"> IF( AND( OFFSET($A$1, 148 - 1, 96 - 1) = "1", OFFSET($A$1, 148 - 1, 97 - 1) = "1" ), 1, IF( AND( OFFSET($A$1, 148 - 1, 96 - 1) = "1", OFFSET($A$1, 148 - 1, 97 - 1) = "0" ), 2, IF( AND( OFFSET($A$1, 148 - 1, 96 - 1) = "0", OFFSET($A$1, 148 - 1, 97 - 1) = "1" ), 3, 4 ) ) )</f>
        <v>1</v>
      </c>
      <c r="CV148" s="24">
        <v>0.91606396134759549</v>
      </c>
      <c r="CW148" s="24" t="str">
        <f t="shared" si="10"/>
        <v>1</v>
      </c>
      <c r="CX148" t="str">
        <f ca="1">IF((OFFSET($A$1, 148 - 1, 100 - 1)) &gt;= (OFFSET($A$1, 78 - 1, 7 - 1)), "1","0")</f>
        <v>1</v>
      </c>
      <c r="CY148">
        <f ca="1" xml:space="preserve"> IF( AND( OFFSET($A$1, 148 - 1, 101 - 1) = "1", OFFSET($A$1, 148 - 1, 102 - 1) = "1" ), 1, IF( AND( OFFSET($A$1, 148 - 1, 101 - 1) = "1", OFFSET($A$1, 148 - 1, 102 - 1) = "0" ), 2, IF( AND( OFFSET($A$1, 148 - 1, 101 - 1) = "0", OFFSET($A$1, 148 - 1, 102 - 1) = "1" ), 3, 4 ) ) )</f>
        <v>1</v>
      </c>
    </row>
    <row r="149" spans="95:103" ht="13.8" x14ac:dyDescent="0.3">
      <c r="CQ149" s="24">
        <v>0.998090915265477</v>
      </c>
      <c r="CR149" s="24" t="str">
        <f t="shared" si="11"/>
        <v>1</v>
      </c>
      <c r="CS149" t="str">
        <f ca="1">IF((OFFSET($A$1, 149 - 1, 95 - 1)) &gt;= (OFFSET($A$1, 54 - 1, 7 - 1)), "1","0")</f>
        <v>1</v>
      </c>
      <c r="CT149">
        <f ca="1" xml:space="preserve"> IF( AND( OFFSET($A$1, 149 - 1, 96 - 1) = "1", OFFSET($A$1, 149 - 1, 97 - 1) = "1" ), 1, IF( AND( OFFSET($A$1, 149 - 1, 96 - 1) = "1", OFFSET($A$1, 149 - 1, 97 - 1) = "0" ), 2, IF( AND( OFFSET($A$1, 149 - 1, 96 - 1) = "0", OFFSET($A$1, 149 - 1, 97 - 1) = "1" ), 3, 4 ) ) )</f>
        <v>1</v>
      </c>
      <c r="CV149" s="24">
        <v>0.16248560580616056</v>
      </c>
      <c r="CW149" s="24" t="str">
        <f t="shared" si="10"/>
        <v>1</v>
      </c>
      <c r="CX149" t="str">
        <f ca="1">IF((OFFSET($A$1, 149 - 1, 100 - 1)) &gt;= (OFFSET($A$1, 78 - 1, 7 - 1)), "1","0")</f>
        <v>0</v>
      </c>
      <c r="CY149">
        <f ca="1" xml:space="preserve"> IF( AND( OFFSET($A$1, 149 - 1, 101 - 1) = "1", OFFSET($A$1, 149 - 1, 102 - 1) = "1" ), 1, IF( AND( OFFSET($A$1, 149 - 1, 101 - 1) = "1", OFFSET($A$1, 149 - 1, 102 - 1) = "0" ), 2, IF( AND( OFFSET($A$1, 149 - 1, 101 - 1) = "0", OFFSET($A$1, 149 - 1, 102 - 1) = "1" ), 3, 4 ) ) )</f>
        <v>2</v>
      </c>
    </row>
    <row r="150" spans="95:103" ht="13.8" x14ac:dyDescent="0.3">
      <c r="CQ150" s="24">
        <v>0.89597998560946646</v>
      </c>
      <c r="CR150" s="24" t="str">
        <f t="shared" si="11"/>
        <v>1</v>
      </c>
      <c r="CS150" t="str">
        <f ca="1">IF((OFFSET($A$1, 150 - 1, 95 - 1)) &gt;= (OFFSET($A$1, 54 - 1, 7 - 1)), "1","0")</f>
        <v>1</v>
      </c>
      <c r="CT150">
        <f ca="1" xml:space="preserve"> IF( AND( OFFSET($A$1, 150 - 1, 96 - 1) = "1", OFFSET($A$1, 150 - 1, 97 - 1) = "1" ), 1, IF( AND( OFFSET($A$1, 150 - 1, 96 - 1) = "1", OFFSET($A$1, 150 - 1, 97 - 1) = "0" ), 2, IF( AND( OFFSET($A$1, 150 - 1, 96 - 1) = "0", OFFSET($A$1, 150 - 1, 97 - 1) = "1" ), 3, 4 ) ) )</f>
        <v>1</v>
      </c>
      <c r="CV150" s="24">
        <v>0.98437807034726788</v>
      </c>
      <c r="CW150" s="24" t="str">
        <f t="shared" si="10"/>
        <v>1</v>
      </c>
      <c r="CX150" t="str">
        <f ca="1">IF((OFFSET($A$1, 150 - 1, 100 - 1)) &gt;= (OFFSET($A$1, 78 - 1, 7 - 1)), "1","0")</f>
        <v>1</v>
      </c>
      <c r="CY150">
        <f ca="1" xml:space="preserve"> IF( AND( OFFSET($A$1, 150 - 1, 101 - 1) = "1", OFFSET($A$1, 150 - 1, 102 - 1) = "1" ), 1, IF( AND( OFFSET($A$1, 150 - 1, 101 - 1) = "1", OFFSET($A$1, 150 - 1, 102 - 1) = "0" ), 2, IF( AND( OFFSET($A$1, 150 - 1, 101 - 1) = "0", OFFSET($A$1, 150 - 1, 102 - 1) = "1" ), 3, 4 ) ) )</f>
        <v>1</v>
      </c>
    </row>
    <row r="151" spans="95:103" ht="13.8" x14ac:dyDescent="0.3">
      <c r="CQ151" s="24">
        <v>0.98015175067483851</v>
      </c>
      <c r="CR151" s="24" t="str">
        <f t="shared" si="11"/>
        <v>1</v>
      </c>
      <c r="CS151" t="str">
        <f ca="1">IF((OFFSET($A$1, 151 - 1, 95 - 1)) &gt;= (OFFSET($A$1, 54 - 1, 7 - 1)), "1","0")</f>
        <v>1</v>
      </c>
      <c r="CT151">
        <f ca="1" xml:space="preserve"> IF( AND( OFFSET($A$1, 151 - 1, 96 - 1) = "1", OFFSET($A$1, 151 - 1, 97 - 1) = "1" ), 1, IF( AND( OFFSET($A$1, 151 - 1, 96 - 1) = "1", OFFSET($A$1, 151 - 1, 97 - 1) = "0" ), 2, IF( AND( OFFSET($A$1, 151 - 1, 96 - 1) = "0", OFFSET($A$1, 151 - 1, 97 - 1) = "1" ), 3, 4 ) ) )</f>
        <v>1</v>
      </c>
      <c r="CV151" s="24">
        <v>0.9579518011365149</v>
      </c>
      <c r="CW151" s="24" t="str">
        <f>"0"</f>
        <v>0</v>
      </c>
      <c r="CX151" t="str">
        <f ca="1">IF((OFFSET($A$1, 151 - 1, 100 - 1)) &gt;= (OFFSET($A$1, 78 - 1, 7 - 1)), "1","0")</f>
        <v>1</v>
      </c>
      <c r="CY151">
        <f ca="1" xml:space="preserve"> IF( AND( OFFSET($A$1, 151 - 1, 101 - 1) = "1", OFFSET($A$1, 151 - 1, 102 - 1) = "1" ), 1, IF( AND( OFFSET($A$1, 151 - 1, 101 - 1) = "1", OFFSET($A$1, 151 - 1, 102 - 1) = "0" ), 2, IF( AND( OFFSET($A$1, 151 - 1, 101 - 1) = "0", OFFSET($A$1, 151 - 1, 102 - 1) = "1" ), 3, 4 ) ) )</f>
        <v>3</v>
      </c>
    </row>
    <row r="152" spans="95:103" ht="13.8" x14ac:dyDescent="0.3">
      <c r="CQ152" s="24">
        <v>1.0721342955036559E-2</v>
      </c>
      <c r="CR152" s="24" t="str">
        <f>"0"</f>
        <v>0</v>
      </c>
      <c r="CS152" t="str">
        <f ca="1">IF((OFFSET($A$1, 152 - 1, 95 - 1)) &gt;= (OFFSET($A$1, 54 - 1, 7 - 1)), "1","0")</f>
        <v>0</v>
      </c>
      <c r="CT152">
        <f ca="1" xml:space="preserve"> IF( AND( OFFSET($A$1, 152 - 1, 96 - 1) = "1", OFFSET($A$1, 152 - 1, 97 - 1) = "1" ), 1, IF( AND( OFFSET($A$1, 152 - 1, 96 - 1) = "1", OFFSET($A$1, 152 - 1, 97 - 1) = "0" ), 2, IF( AND( OFFSET($A$1, 152 - 1, 96 - 1) = "0", OFFSET($A$1, 152 - 1, 97 - 1) = "1" ), 3, 4 ) ) )</f>
        <v>4</v>
      </c>
      <c r="CV152" s="24">
        <v>0.41896199963809622</v>
      </c>
      <c r="CW152" s="24" t="str">
        <f>"0"</f>
        <v>0</v>
      </c>
      <c r="CX152" t="str">
        <f ca="1">IF((OFFSET($A$1, 152 - 1, 100 - 1)) &gt;= (OFFSET($A$1, 78 - 1, 7 - 1)), "1","0")</f>
        <v>0</v>
      </c>
      <c r="CY152">
        <f ca="1" xml:space="preserve"> IF( AND( OFFSET($A$1, 152 - 1, 101 - 1) = "1", OFFSET($A$1, 152 - 1, 102 - 1) = "1" ), 1, IF( AND( OFFSET($A$1, 152 - 1, 101 - 1) = "1", OFFSET($A$1, 152 - 1, 102 - 1) = "0" ), 2, IF( AND( OFFSET($A$1, 152 - 1, 101 - 1) = "0", OFFSET($A$1, 152 - 1, 102 - 1) = "1" ), 3, 4 ) ) )</f>
        <v>4</v>
      </c>
    </row>
    <row r="153" spans="95:103" ht="13.8" x14ac:dyDescent="0.3">
      <c r="CQ153" s="24">
        <v>0.9970852880479093</v>
      </c>
      <c r="CR153" s="24" t="str">
        <f>"1"</f>
        <v>1</v>
      </c>
      <c r="CS153" t="str">
        <f ca="1">IF((OFFSET($A$1, 153 - 1, 95 - 1)) &gt;= (OFFSET($A$1, 54 - 1, 7 - 1)), "1","0")</f>
        <v>1</v>
      </c>
      <c r="CT153">
        <f ca="1" xml:space="preserve"> IF( AND( OFFSET($A$1, 153 - 1, 96 - 1) = "1", OFFSET($A$1, 153 - 1, 97 - 1) = "1" ), 1, IF( AND( OFFSET($A$1, 153 - 1, 96 - 1) = "1", OFFSET($A$1, 153 - 1, 97 - 1) = "0" ), 2, IF( AND( OFFSET($A$1, 153 - 1, 96 - 1) = "0", OFFSET($A$1, 153 - 1, 97 - 1) = "1" ), 3, 4 ) ) )</f>
        <v>1</v>
      </c>
      <c r="CV153" s="24">
        <v>0.39562176705259688</v>
      </c>
      <c r="CW153" s="24" t="str">
        <f>"1"</f>
        <v>1</v>
      </c>
      <c r="CX153" t="str">
        <f ca="1">IF((OFFSET($A$1, 153 - 1, 100 - 1)) &gt;= (OFFSET($A$1, 78 - 1, 7 - 1)), "1","0")</f>
        <v>0</v>
      </c>
      <c r="CY153">
        <f ca="1" xml:space="preserve"> IF( AND( OFFSET($A$1, 153 - 1, 101 - 1) = "1", OFFSET($A$1, 153 - 1, 102 - 1) = "1" ), 1, IF( AND( OFFSET($A$1, 153 - 1, 101 - 1) = "1", OFFSET($A$1, 153 - 1, 102 - 1) = "0" ), 2, IF( AND( OFFSET($A$1, 153 - 1, 101 - 1) = "0", OFFSET($A$1, 153 - 1, 102 - 1) = "1" ), 3, 4 ) ) )</f>
        <v>2</v>
      </c>
    </row>
    <row r="154" spans="95:103" ht="13.8" x14ac:dyDescent="0.3">
      <c r="CQ154" s="24">
        <v>0.81117635267618127</v>
      </c>
      <c r="CR154" s="24" t="str">
        <f>"1"</f>
        <v>1</v>
      </c>
      <c r="CS154" t="str">
        <f ca="1">IF((OFFSET($A$1, 154 - 1, 95 - 1)) &gt;= (OFFSET($A$1, 54 - 1, 7 - 1)), "1","0")</f>
        <v>1</v>
      </c>
      <c r="CT154">
        <f ca="1" xml:space="preserve"> IF( AND( OFFSET($A$1, 154 - 1, 96 - 1) = "1", OFFSET($A$1, 154 - 1, 97 - 1) = "1" ), 1, IF( AND( OFFSET($A$1, 154 - 1, 96 - 1) = "1", OFFSET($A$1, 154 - 1, 97 - 1) = "0" ), 2, IF( AND( OFFSET($A$1, 154 - 1, 96 - 1) = "0", OFFSET($A$1, 154 - 1, 97 - 1) = "1" ), 3, 4 ) ) )</f>
        <v>1</v>
      </c>
      <c r="CV154" s="24">
        <v>0.98219581428852909</v>
      </c>
      <c r="CW154" s="24" t="str">
        <f>"1"</f>
        <v>1</v>
      </c>
      <c r="CX154" t="str">
        <f ca="1">IF((OFFSET($A$1, 154 - 1, 100 - 1)) &gt;= (OFFSET($A$1, 78 - 1, 7 - 1)), "1","0")</f>
        <v>1</v>
      </c>
      <c r="CY154">
        <f ca="1" xml:space="preserve"> IF( AND( OFFSET($A$1, 154 - 1, 101 - 1) = "1", OFFSET($A$1, 154 - 1, 102 - 1) = "1" ), 1, IF( AND( OFFSET($A$1, 154 - 1, 101 - 1) = "1", OFFSET($A$1, 154 - 1, 102 - 1) = "0" ), 2, IF( AND( OFFSET($A$1, 154 - 1, 101 - 1) = "0", OFFSET($A$1, 154 - 1, 102 - 1) = "1" ), 3, 4 ) ) )</f>
        <v>1</v>
      </c>
    </row>
    <row r="155" spans="95:103" ht="13.8" x14ac:dyDescent="0.3">
      <c r="CQ155" s="24">
        <v>0.99917296009364831</v>
      </c>
      <c r="CR155" s="24" t="str">
        <f>"1"</f>
        <v>1</v>
      </c>
      <c r="CS155" t="str">
        <f ca="1">IF((OFFSET($A$1, 155 - 1, 95 - 1)) &gt;= (OFFSET($A$1, 54 - 1, 7 - 1)), "1","0")</f>
        <v>1</v>
      </c>
      <c r="CT155">
        <f ca="1" xml:space="preserve"> IF( AND( OFFSET($A$1, 155 - 1, 96 - 1) = "1", OFFSET($A$1, 155 - 1, 97 - 1) = "1" ), 1, IF( AND( OFFSET($A$1, 155 - 1, 96 - 1) = "1", OFFSET($A$1, 155 - 1, 97 - 1) = "0" ), 2, IF( AND( OFFSET($A$1, 155 - 1, 96 - 1) = "0", OFFSET($A$1, 155 - 1, 97 - 1) = "1" ), 3, 4 ) ) )</f>
        <v>1</v>
      </c>
      <c r="CV155" s="24">
        <v>0.71525940435634061</v>
      </c>
      <c r="CW155" s="24" t="str">
        <f>"1"</f>
        <v>1</v>
      </c>
      <c r="CX155" t="str">
        <f ca="1">IF((OFFSET($A$1, 155 - 1, 100 - 1)) &gt;= (OFFSET($A$1, 78 - 1, 7 - 1)), "1","0")</f>
        <v>1</v>
      </c>
      <c r="CY155">
        <f ca="1" xml:space="preserve"> IF( AND( OFFSET($A$1, 155 - 1, 101 - 1) = "1", OFFSET($A$1, 155 - 1, 102 - 1) = "1" ), 1, IF( AND( OFFSET($A$1, 155 - 1, 101 - 1) = "1", OFFSET($A$1, 155 - 1, 102 - 1) = "0" ), 2, IF( AND( OFFSET($A$1, 155 - 1, 101 - 1) = "0", OFFSET($A$1, 155 - 1, 102 - 1) = "1" ), 3, 4 ) ) )</f>
        <v>1</v>
      </c>
    </row>
    <row r="156" spans="95:103" ht="13.8" x14ac:dyDescent="0.3">
      <c r="CQ156" s="24">
        <v>0.99684491600665792</v>
      </c>
      <c r="CR156" s="24" t="str">
        <f>"1"</f>
        <v>1</v>
      </c>
      <c r="CS156" t="str">
        <f ca="1">IF((OFFSET($A$1, 156 - 1, 95 - 1)) &gt;= (OFFSET($A$1, 54 - 1, 7 - 1)), "1","0")</f>
        <v>1</v>
      </c>
      <c r="CT156">
        <f ca="1" xml:space="preserve"> IF( AND( OFFSET($A$1, 156 - 1, 96 - 1) = "1", OFFSET($A$1, 156 - 1, 97 - 1) = "1" ), 1, IF( AND( OFFSET($A$1, 156 - 1, 96 - 1) = "1", OFFSET($A$1, 156 - 1, 97 - 1) = "0" ), 2, IF( AND( OFFSET($A$1, 156 - 1, 96 - 1) = "0", OFFSET($A$1, 156 - 1, 97 - 1) = "1" ), 3, 4 ) ) )</f>
        <v>1</v>
      </c>
      <c r="CV156" s="24">
        <v>0.99754338061958769</v>
      </c>
      <c r="CW156" s="24" t="str">
        <f>"1"</f>
        <v>1</v>
      </c>
      <c r="CX156" t="str">
        <f ca="1">IF((OFFSET($A$1, 156 - 1, 100 - 1)) &gt;= (OFFSET($A$1, 78 - 1, 7 - 1)), "1","0")</f>
        <v>1</v>
      </c>
      <c r="CY156">
        <f ca="1" xml:space="preserve"> IF( AND( OFFSET($A$1, 156 - 1, 101 - 1) = "1", OFFSET($A$1, 156 - 1, 102 - 1) = "1" ), 1, IF( AND( OFFSET($A$1, 156 - 1, 101 - 1) = "1", OFFSET($A$1, 156 - 1, 102 - 1) = "0" ), 2, IF( AND( OFFSET($A$1, 156 - 1, 101 - 1) = "0", OFFSET($A$1, 156 - 1, 102 - 1) = "1" ), 3, 4 ) ) )</f>
        <v>1</v>
      </c>
    </row>
    <row r="157" spans="95:103" ht="13.8" x14ac:dyDescent="0.3">
      <c r="CQ157" s="24">
        <v>9.8974680454289907E-2</v>
      </c>
      <c r="CR157" s="24" t="str">
        <f>"0"</f>
        <v>0</v>
      </c>
      <c r="CS157" t="str">
        <f ca="1">IF((OFFSET($A$1, 157 - 1, 95 - 1)) &gt;= (OFFSET($A$1, 54 - 1, 7 - 1)), "1","0")</f>
        <v>0</v>
      </c>
      <c r="CT157">
        <f ca="1" xml:space="preserve"> IF( AND( OFFSET($A$1, 157 - 1, 96 - 1) = "1", OFFSET($A$1, 157 - 1, 97 - 1) = "1" ), 1, IF( AND( OFFSET($A$1, 157 - 1, 96 - 1) = "1", OFFSET($A$1, 157 - 1, 97 - 1) = "0" ), 2, IF( AND( OFFSET($A$1, 157 - 1, 96 - 1) = "0", OFFSET($A$1, 157 - 1, 97 - 1) = "1" ), 3, 4 ) ) )</f>
        <v>4</v>
      </c>
      <c r="CV157" s="24">
        <v>0.64762422841857192</v>
      </c>
      <c r="CW157" s="24" t="str">
        <f>"0"</f>
        <v>0</v>
      </c>
      <c r="CX157" t="str">
        <f ca="1">IF((OFFSET($A$1, 157 - 1, 100 - 1)) &gt;= (OFFSET($A$1, 78 - 1, 7 - 1)), "1","0")</f>
        <v>1</v>
      </c>
      <c r="CY157">
        <f ca="1" xml:space="preserve"> IF( AND( OFFSET($A$1, 157 - 1, 101 - 1) = "1", OFFSET($A$1, 157 - 1, 102 - 1) = "1" ), 1, IF( AND( OFFSET($A$1, 157 - 1, 101 - 1) = "1", OFFSET($A$1, 157 - 1, 102 - 1) = "0" ), 2, IF( AND( OFFSET($A$1, 157 - 1, 101 - 1) = "0", OFFSET($A$1, 157 - 1, 102 - 1) = "1" ), 3, 4 ) ) )</f>
        <v>3</v>
      </c>
    </row>
    <row r="158" spans="95:103" ht="13.8" x14ac:dyDescent="0.3">
      <c r="CQ158" s="24">
        <v>8.3311229541104606E-2</v>
      </c>
      <c r="CR158" s="24" t="str">
        <f>"0"</f>
        <v>0</v>
      </c>
      <c r="CS158" t="str">
        <f ca="1">IF((OFFSET($A$1, 158 - 1, 95 - 1)) &gt;= (OFFSET($A$1, 54 - 1, 7 - 1)), "1","0")</f>
        <v>0</v>
      </c>
      <c r="CT158">
        <f ca="1" xml:space="preserve"> IF( AND( OFFSET($A$1, 158 - 1, 96 - 1) = "1", OFFSET($A$1, 158 - 1, 97 - 1) = "1" ), 1, IF( AND( OFFSET($A$1, 158 - 1, 96 - 1) = "1", OFFSET($A$1, 158 - 1, 97 - 1) = "0" ), 2, IF( AND( OFFSET($A$1, 158 - 1, 96 - 1) = "0", OFFSET($A$1, 158 - 1, 97 - 1) = "1" ), 3, 4 ) ) )</f>
        <v>4</v>
      </c>
      <c r="CV158" s="24">
        <v>0.99143235368001092</v>
      </c>
      <c r="CW158" s="24" t="str">
        <f>"1"</f>
        <v>1</v>
      </c>
      <c r="CX158" t="str">
        <f ca="1">IF((OFFSET($A$1, 158 - 1, 100 - 1)) &gt;= (OFFSET($A$1, 78 - 1, 7 - 1)), "1","0")</f>
        <v>1</v>
      </c>
      <c r="CY158">
        <f ca="1" xml:space="preserve"> IF( AND( OFFSET($A$1, 158 - 1, 101 - 1) = "1", OFFSET($A$1, 158 - 1, 102 - 1) = "1" ), 1, IF( AND( OFFSET($A$1, 158 - 1, 101 - 1) = "1", OFFSET($A$1, 158 - 1, 102 - 1) = "0" ), 2, IF( AND( OFFSET($A$1, 158 - 1, 101 - 1) = "0", OFFSET($A$1, 158 - 1, 102 - 1) = "1" ), 3, 4 ) ) )</f>
        <v>1</v>
      </c>
    </row>
    <row r="159" spans="95:103" ht="13.8" x14ac:dyDescent="0.3">
      <c r="CQ159" s="24">
        <v>0.90262227679949969</v>
      </c>
      <c r="CR159" s="24" t="str">
        <f>"1"</f>
        <v>1</v>
      </c>
      <c r="CS159" t="str">
        <f ca="1">IF((OFFSET($A$1, 159 - 1, 95 - 1)) &gt;= (OFFSET($A$1, 54 - 1, 7 - 1)), "1","0")</f>
        <v>1</v>
      </c>
      <c r="CT159">
        <f ca="1" xml:space="preserve"> IF( AND( OFFSET($A$1, 159 - 1, 96 - 1) = "1", OFFSET($A$1, 159 - 1, 97 - 1) = "1" ), 1, IF( AND( OFFSET($A$1, 159 - 1, 96 - 1) = "1", OFFSET($A$1, 159 - 1, 97 - 1) = "0" ), 2, IF( AND( OFFSET($A$1, 159 - 1, 96 - 1) = "0", OFFSET($A$1, 159 - 1, 97 - 1) = "1" ), 3, 4 ) ) )</f>
        <v>1</v>
      </c>
      <c r="CV159" s="24">
        <v>0.93664440777146718</v>
      </c>
      <c r="CW159" s="24" t="str">
        <f>"1"</f>
        <v>1</v>
      </c>
      <c r="CX159" t="str">
        <f ca="1">IF((OFFSET($A$1, 159 - 1, 100 - 1)) &gt;= (OFFSET($A$1, 78 - 1, 7 - 1)), "1","0")</f>
        <v>1</v>
      </c>
      <c r="CY159">
        <f ca="1" xml:space="preserve"> IF( AND( OFFSET($A$1, 159 - 1, 101 - 1) = "1", OFFSET($A$1, 159 - 1, 102 - 1) = "1" ), 1, IF( AND( OFFSET($A$1, 159 - 1, 101 - 1) = "1", OFFSET($A$1, 159 - 1, 102 - 1) = "0" ), 2, IF( AND( OFFSET($A$1, 159 - 1, 101 - 1) = "0", OFFSET($A$1, 159 - 1, 102 - 1) = "1" ), 3, 4 ) ) )</f>
        <v>1</v>
      </c>
    </row>
    <row r="160" spans="95:103" ht="13.8" x14ac:dyDescent="0.3">
      <c r="CQ160" s="24">
        <v>5.3214590539676192E-2</v>
      </c>
      <c r="CR160" s="24" t="str">
        <f>"0"</f>
        <v>0</v>
      </c>
      <c r="CS160" t="str">
        <f ca="1">IF((OFFSET($A$1, 160 - 1, 95 - 1)) &gt;= (OFFSET($A$1, 54 - 1, 7 - 1)), "1","0")</f>
        <v>0</v>
      </c>
      <c r="CT160">
        <f ca="1" xml:space="preserve"> IF( AND( OFFSET($A$1, 160 - 1, 96 - 1) = "1", OFFSET($A$1, 160 - 1, 97 - 1) = "1" ), 1, IF( AND( OFFSET($A$1, 160 - 1, 96 - 1) = "1", OFFSET($A$1, 160 - 1, 97 - 1) = "0" ), 2, IF( AND( OFFSET($A$1, 160 - 1, 96 - 1) = "0", OFFSET($A$1, 160 - 1, 97 - 1) = "1" ), 3, 4 ) ) )</f>
        <v>4</v>
      </c>
      <c r="CV160" s="24">
        <v>0.99358862043461094</v>
      </c>
      <c r="CW160" s="24" t="str">
        <f>"1"</f>
        <v>1</v>
      </c>
      <c r="CX160" t="str">
        <f ca="1">IF((OFFSET($A$1, 160 - 1, 100 - 1)) &gt;= (OFFSET($A$1, 78 - 1, 7 - 1)), "1","0")</f>
        <v>1</v>
      </c>
      <c r="CY160">
        <f ca="1" xml:space="preserve"> IF( AND( OFFSET($A$1, 160 - 1, 101 - 1) = "1", OFFSET($A$1, 160 - 1, 102 - 1) = "1" ), 1, IF( AND( OFFSET($A$1, 160 - 1, 101 - 1) = "1", OFFSET($A$1, 160 - 1, 102 - 1) = "0" ), 2, IF( AND( OFFSET($A$1, 160 - 1, 101 - 1) = "0", OFFSET($A$1, 160 - 1, 102 - 1) = "1" ), 3, 4 ) ) )</f>
        <v>1</v>
      </c>
    </row>
    <row r="161" spans="95:103" ht="13.8" x14ac:dyDescent="0.3">
      <c r="CQ161" s="24">
        <v>0.8999634834269723</v>
      </c>
      <c r="CR161" s="24" t="str">
        <f>"1"</f>
        <v>1</v>
      </c>
      <c r="CS161" t="str">
        <f ca="1">IF((OFFSET($A$1, 161 - 1, 95 - 1)) &gt;= (OFFSET($A$1, 54 - 1, 7 - 1)), "1","0")</f>
        <v>1</v>
      </c>
      <c r="CT161">
        <f ca="1" xml:space="preserve"> IF( AND( OFFSET($A$1, 161 - 1, 96 - 1) = "1", OFFSET($A$1, 161 - 1, 97 - 1) = "1" ), 1, IF( AND( OFFSET($A$1, 161 - 1, 96 - 1) = "1", OFFSET($A$1, 161 - 1, 97 - 1) = "0" ), 2, IF( AND( OFFSET($A$1, 161 - 1, 96 - 1) = "0", OFFSET($A$1, 161 - 1, 97 - 1) = "1" ), 3, 4 ) ) )</f>
        <v>1</v>
      </c>
      <c r="CV161" s="24">
        <v>0.9685878670176622</v>
      </c>
      <c r="CW161" s="24" t="str">
        <f>"1"</f>
        <v>1</v>
      </c>
      <c r="CX161" t="str">
        <f ca="1">IF((OFFSET($A$1, 161 - 1, 100 - 1)) &gt;= (OFFSET($A$1, 78 - 1, 7 - 1)), "1","0")</f>
        <v>1</v>
      </c>
      <c r="CY161">
        <f ca="1" xml:space="preserve"> IF( AND( OFFSET($A$1, 161 - 1, 101 - 1) = "1", OFFSET($A$1, 161 - 1, 102 - 1) = "1" ), 1, IF( AND( OFFSET($A$1, 161 - 1, 101 - 1) = "1", OFFSET($A$1, 161 - 1, 102 - 1) = "0" ), 2, IF( AND( OFFSET($A$1, 161 - 1, 101 - 1) = "0", OFFSET($A$1, 161 - 1, 102 - 1) = "1" ), 3, 4 ) ) )</f>
        <v>1</v>
      </c>
    </row>
    <row r="162" spans="95:103" ht="13.8" x14ac:dyDescent="0.3">
      <c r="CQ162" s="24">
        <v>0.9983140980443671</v>
      </c>
      <c r="CR162" s="24" t="str">
        <f>"1"</f>
        <v>1</v>
      </c>
      <c r="CS162" t="str">
        <f ca="1">IF((OFFSET($A$1, 162 - 1, 95 - 1)) &gt;= (OFFSET($A$1, 54 - 1, 7 - 1)), "1","0")</f>
        <v>1</v>
      </c>
      <c r="CT162">
        <f ca="1" xml:space="preserve"> IF( AND( OFFSET($A$1, 162 - 1, 96 - 1) = "1", OFFSET($A$1, 162 - 1, 97 - 1) = "1" ), 1, IF( AND( OFFSET($A$1, 162 - 1, 96 - 1) = "1", OFFSET($A$1, 162 - 1, 97 - 1) = "0" ), 2, IF( AND( OFFSET($A$1, 162 - 1, 96 - 1) = "0", OFFSET($A$1, 162 - 1, 97 - 1) = "1" ), 3, 4 ) ) )</f>
        <v>1</v>
      </c>
      <c r="CV162" s="24">
        <v>3.4283340696783432E-2</v>
      </c>
      <c r="CW162" s="24" t="str">
        <f>"0"</f>
        <v>0</v>
      </c>
      <c r="CX162" t="str">
        <f ca="1">IF((OFFSET($A$1, 162 - 1, 100 - 1)) &gt;= (OFFSET($A$1, 78 - 1, 7 - 1)), "1","0")</f>
        <v>0</v>
      </c>
      <c r="CY162">
        <f ca="1" xml:space="preserve"> IF( AND( OFFSET($A$1, 162 - 1, 101 - 1) = "1", OFFSET($A$1, 162 - 1, 102 - 1) = "1" ), 1, IF( AND( OFFSET($A$1, 162 - 1, 101 - 1) = "1", OFFSET($A$1, 162 - 1, 102 - 1) = "0" ), 2, IF( AND( OFFSET($A$1, 162 - 1, 101 - 1) = "0", OFFSET($A$1, 162 - 1, 102 - 1) = "1" ), 3, 4 ) ) )</f>
        <v>4</v>
      </c>
    </row>
    <row r="163" spans="95:103" ht="13.8" x14ac:dyDescent="0.3">
      <c r="CQ163" s="24">
        <v>2.6296877568658571E-2</v>
      </c>
      <c r="CR163" s="24" t="str">
        <f>"0"</f>
        <v>0</v>
      </c>
      <c r="CS163" t="str">
        <f ca="1">IF((OFFSET($A$1, 163 - 1, 95 - 1)) &gt;= (OFFSET($A$1, 54 - 1, 7 - 1)), "1","0")</f>
        <v>0</v>
      </c>
      <c r="CT163">
        <f ca="1" xml:space="preserve"> IF( AND( OFFSET($A$1, 163 - 1, 96 - 1) = "1", OFFSET($A$1, 163 - 1, 97 - 1) = "1" ), 1, IF( AND( OFFSET($A$1, 163 - 1, 96 - 1) = "1", OFFSET($A$1, 163 - 1, 97 - 1) = "0" ), 2, IF( AND( OFFSET($A$1, 163 - 1, 96 - 1) = "0", OFFSET($A$1, 163 - 1, 97 - 1) = "1" ), 3, 4 ) ) )</f>
        <v>4</v>
      </c>
      <c r="CV163" s="24">
        <v>0.43873716128388029</v>
      </c>
      <c r="CW163" s="24" t="str">
        <f>"1"</f>
        <v>1</v>
      </c>
      <c r="CX163" t="str">
        <f ca="1">IF((OFFSET($A$1, 163 - 1, 100 - 1)) &gt;= (OFFSET($A$1, 78 - 1, 7 - 1)), "1","0")</f>
        <v>0</v>
      </c>
      <c r="CY163">
        <f ca="1" xml:space="preserve"> IF( AND( OFFSET($A$1, 163 - 1, 101 - 1) = "1", OFFSET($A$1, 163 - 1, 102 - 1) = "1" ), 1, IF( AND( OFFSET($A$1, 163 - 1, 101 - 1) = "1", OFFSET($A$1, 163 - 1, 102 - 1) = "0" ), 2, IF( AND( OFFSET($A$1, 163 - 1, 101 - 1) = "0", OFFSET($A$1, 163 - 1, 102 - 1) = "1" ), 3, 4 ) ) )</f>
        <v>2</v>
      </c>
    </row>
    <row r="164" spans="95:103" ht="13.8" x14ac:dyDescent="0.3">
      <c r="CQ164" s="24">
        <v>0.99130967247060242</v>
      </c>
      <c r="CR164" s="24" t="str">
        <f>"1"</f>
        <v>1</v>
      </c>
      <c r="CS164" t="str">
        <f ca="1">IF((OFFSET($A$1, 164 - 1, 95 - 1)) &gt;= (OFFSET($A$1, 54 - 1, 7 - 1)), "1","0")</f>
        <v>1</v>
      </c>
      <c r="CT164">
        <f ca="1" xml:space="preserve"> IF( AND( OFFSET($A$1, 164 - 1, 96 - 1) = "1", OFFSET($A$1, 164 - 1, 97 - 1) = "1" ), 1, IF( AND( OFFSET($A$1, 164 - 1, 96 - 1) = "1", OFFSET($A$1, 164 - 1, 97 - 1) = "0" ), 2, IF( AND( OFFSET($A$1, 164 - 1, 96 - 1) = "0", OFFSET($A$1, 164 - 1, 97 - 1) = "1" ), 3, 4 ) ) )</f>
        <v>1</v>
      </c>
      <c r="CV164" s="24">
        <v>0.84524316928754917</v>
      </c>
      <c r="CW164" s="24" t="str">
        <f>"1"</f>
        <v>1</v>
      </c>
      <c r="CX164" t="str">
        <f ca="1">IF((OFFSET($A$1, 164 - 1, 100 - 1)) &gt;= (OFFSET($A$1, 78 - 1, 7 - 1)), "1","0")</f>
        <v>1</v>
      </c>
      <c r="CY164">
        <f ca="1" xml:space="preserve"> IF( AND( OFFSET($A$1, 164 - 1, 101 - 1) = "1", OFFSET($A$1, 164 - 1, 102 - 1) = "1" ), 1, IF( AND( OFFSET($A$1, 164 - 1, 101 - 1) = "1", OFFSET($A$1, 164 - 1, 102 - 1) = "0" ), 2, IF( AND( OFFSET($A$1, 164 - 1, 101 - 1) = "0", OFFSET($A$1, 164 - 1, 102 - 1) = "1" ), 3, 4 ) ) )</f>
        <v>1</v>
      </c>
    </row>
    <row r="165" spans="95:103" ht="13.8" x14ac:dyDescent="0.3">
      <c r="CQ165" s="24">
        <v>0.96583876438406679</v>
      </c>
      <c r="CR165" s="24" t="str">
        <f>"1"</f>
        <v>1</v>
      </c>
      <c r="CS165" t="str">
        <f ca="1">IF((OFFSET($A$1, 165 - 1, 95 - 1)) &gt;= (OFFSET($A$1, 54 - 1, 7 - 1)), "1","0")</f>
        <v>1</v>
      </c>
      <c r="CT165">
        <f ca="1" xml:space="preserve"> IF( AND( OFFSET($A$1, 165 - 1, 96 - 1) = "1", OFFSET($A$1, 165 - 1, 97 - 1) = "1" ), 1, IF( AND( OFFSET($A$1, 165 - 1, 96 - 1) = "1", OFFSET($A$1, 165 - 1, 97 - 1) = "0" ), 2, IF( AND( OFFSET($A$1, 165 - 1, 96 - 1) = "0", OFFSET($A$1, 165 - 1, 97 - 1) = "1" ), 3, 4 ) ) )</f>
        <v>1</v>
      </c>
      <c r="CV165" s="24">
        <v>0.99956589686570452</v>
      </c>
      <c r="CW165" s="24" t="str">
        <f>"0"</f>
        <v>0</v>
      </c>
      <c r="CX165" t="str">
        <f ca="1">IF((OFFSET($A$1, 165 - 1, 100 - 1)) &gt;= (OFFSET($A$1, 78 - 1, 7 - 1)), "1","0")</f>
        <v>1</v>
      </c>
      <c r="CY165">
        <f ca="1" xml:space="preserve"> IF( AND( OFFSET($A$1, 165 - 1, 101 - 1) = "1", OFFSET($A$1, 165 - 1, 102 - 1) = "1" ), 1, IF( AND( OFFSET($A$1, 165 - 1, 101 - 1) = "1", OFFSET($A$1, 165 - 1, 102 - 1) = "0" ), 2, IF( AND( OFFSET($A$1, 165 - 1, 101 - 1) = "0", OFFSET($A$1, 165 - 1, 102 - 1) = "1" ), 3, 4 ) ) )</f>
        <v>3</v>
      </c>
    </row>
    <row r="166" spans="95:103" ht="13.8" x14ac:dyDescent="0.3">
      <c r="CQ166" s="24">
        <v>6.5608331687857693E-2</v>
      </c>
      <c r="CR166" s="24" t="str">
        <f>"0"</f>
        <v>0</v>
      </c>
      <c r="CS166" t="str">
        <f ca="1">IF((OFFSET($A$1, 166 - 1, 95 - 1)) &gt;= (OFFSET($A$1, 54 - 1, 7 - 1)), "1","0")</f>
        <v>0</v>
      </c>
      <c r="CT166">
        <f ca="1" xml:space="preserve"> IF( AND( OFFSET($A$1, 166 - 1, 96 - 1) = "1", OFFSET($A$1, 166 - 1, 97 - 1) = "1" ), 1, IF( AND( OFFSET($A$1, 166 - 1, 96 - 1) = "1", OFFSET($A$1, 166 - 1, 97 - 1) = "0" ), 2, IF( AND( OFFSET($A$1, 166 - 1, 96 - 1) = "0", OFFSET($A$1, 166 - 1, 97 - 1) = "1" ), 3, 4 ) ) )</f>
        <v>4</v>
      </c>
      <c r="CV166" s="24">
        <v>0.77243725669748453</v>
      </c>
      <c r="CW166" s="24" t="str">
        <f>"1"</f>
        <v>1</v>
      </c>
      <c r="CX166" t="str">
        <f ca="1">IF((OFFSET($A$1, 166 - 1, 100 - 1)) &gt;= (OFFSET($A$1, 78 - 1, 7 - 1)), "1","0")</f>
        <v>1</v>
      </c>
      <c r="CY166">
        <f ca="1" xml:space="preserve"> IF( AND( OFFSET($A$1, 166 - 1, 101 - 1) = "1", OFFSET($A$1, 166 - 1, 102 - 1) = "1" ), 1, IF( AND( OFFSET($A$1, 166 - 1, 101 - 1) = "1", OFFSET($A$1, 166 - 1, 102 - 1) = "0" ), 2, IF( AND( OFFSET($A$1, 166 - 1, 101 - 1) = "0", OFFSET($A$1, 166 - 1, 102 - 1) = "1" ), 3, 4 ) ) )</f>
        <v>1</v>
      </c>
    </row>
    <row r="167" spans="95:103" ht="13.8" x14ac:dyDescent="0.3">
      <c r="CQ167" s="24">
        <v>1.787576472287284E-2</v>
      </c>
      <c r="CR167" s="24" t="str">
        <f>"0"</f>
        <v>0</v>
      </c>
      <c r="CS167" t="str">
        <f ca="1">IF((OFFSET($A$1, 167 - 1, 95 - 1)) &gt;= (OFFSET($A$1, 54 - 1, 7 - 1)), "1","0")</f>
        <v>0</v>
      </c>
      <c r="CT167">
        <f ca="1" xml:space="preserve"> IF( AND( OFFSET($A$1, 167 - 1, 96 - 1) = "1", OFFSET($A$1, 167 - 1, 97 - 1) = "1" ), 1, IF( AND( OFFSET($A$1, 167 - 1, 96 - 1) = "1", OFFSET($A$1, 167 - 1, 97 - 1) = "0" ), 2, IF( AND( OFFSET($A$1, 167 - 1, 96 - 1) = "0", OFFSET($A$1, 167 - 1, 97 - 1) = "1" ), 3, 4 ) ) )</f>
        <v>4</v>
      </c>
      <c r="CV167" s="24">
        <v>0.99982589711136427</v>
      </c>
      <c r="CW167" s="24" t="str">
        <f>"0"</f>
        <v>0</v>
      </c>
      <c r="CX167" t="str">
        <f ca="1">IF((OFFSET($A$1, 167 - 1, 100 - 1)) &gt;= (OFFSET($A$1, 78 - 1, 7 - 1)), "1","0")</f>
        <v>1</v>
      </c>
      <c r="CY167">
        <f ca="1" xml:space="preserve"> IF( AND( OFFSET($A$1, 167 - 1, 101 - 1) = "1", OFFSET($A$1, 167 - 1, 102 - 1) = "1" ), 1, IF( AND( OFFSET($A$1, 167 - 1, 101 - 1) = "1", OFFSET($A$1, 167 - 1, 102 - 1) = "0" ), 2, IF( AND( OFFSET($A$1, 167 - 1, 101 - 1) = "0", OFFSET($A$1, 167 - 1, 102 - 1) = "1" ), 3, 4 ) ) )</f>
        <v>3</v>
      </c>
    </row>
    <row r="168" spans="95:103" ht="13.8" x14ac:dyDescent="0.3">
      <c r="CQ168" s="24">
        <v>0.99769416067967365</v>
      </c>
      <c r="CR168" s="24" t="str">
        <f>"1"</f>
        <v>1</v>
      </c>
      <c r="CS168" t="str">
        <f ca="1">IF((OFFSET($A$1, 168 - 1, 95 - 1)) &gt;= (OFFSET($A$1, 54 - 1, 7 - 1)), "1","0")</f>
        <v>1</v>
      </c>
      <c r="CT168">
        <f ca="1" xml:space="preserve"> IF( AND( OFFSET($A$1, 168 - 1, 96 - 1) = "1", OFFSET($A$1, 168 - 1, 97 - 1) = "1" ), 1, IF( AND( OFFSET($A$1, 168 - 1, 96 - 1) = "1", OFFSET($A$1, 168 - 1, 97 - 1) = "0" ), 2, IF( AND( OFFSET($A$1, 168 - 1, 96 - 1) = "0", OFFSET($A$1, 168 - 1, 97 - 1) = "1" ), 3, 4 ) ) )</f>
        <v>1</v>
      </c>
      <c r="CV168" s="24">
        <v>0.89560754130291653</v>
      </c>
      <c r="CW168" s="24" t="str">
        <f>"0"</f>
        <v>0</v>
      </c>
      <c r="CX168" t="str">
        <f ca="1">IF((OFFSET($A$1, 168 - 1, 100 - 1)) &gt;= (OFFSET($A$1, 78 - 1, 7 - 1)), "1","0")</f>
        <v>1</v>
      </c>
      <c r="CY168">
        <f ca="1" xml:space="preserve"> IF( AND( OFFSET($A$1, 168 - 1, 101 - 1) = "1", OFFSET($A$1, 168 - 1, 102 - 1) = "1" ), 1, IF( AND( OFFSET($A$1, 168 - 1, 101 - 1) = "1", OFFSET($A$1, 168 - 1, 102 - 1) = "0" ), 2, IF( AND( OFFSET($A$1, 168 - 1, 101 - 1) = "0", OFFSET($A$1, 168 - 1, 102 - 1) = "1" ), 3, 4 ) ) )</f>
        <v>3</v>
      </c>
    </row>
    <row r="169" spans="95:103" ht="13.8" x14ac:dyDescent="0.3">
      <c r="CQ169" s="24">
        <v>0.96800092645293778</v>
      </c>
      <c r="CR169" s="24" t="str">
        <f>"1"</f>
        <v>1</v>
      </c>
      <c r="CS169" t="str">
        <f ca="1">IF((OFFSET($A$1, 169 - 1, 95 - 1)) &gt;= (OFFSET($A$1, 54 - 1, 7 - 1)), "1","0")</f>
        <v>1</v>
      </c>
      <c r="CT169">
        <f ca="1" xml:space="preserve"> IF( AND( OFFSET($A$1, 169 - 1, 96 - 1) = "1", OFFSET($A$1, 169 - 1, 97 - 1) = "1" ), 1, IF( AND( OFFSET($A$1, 169 - 1, 96 - 1) = "1", OFFSET($A$1, 169 - 1, 97 - 1) = "0" ), 2, IF( AND( OFFSET($A$1, 169 - 1, 96 - 1) = "0", OFFSET($A$1, 169 - 1, 97 - 1) = "1" ), 3, 4 ) ) )</f>
        <v>1</v>
      </c>
      <c r="CV169" s="24">
        <v>0.91015601405598845</v>
      </c>
      <c r="CW169" s="24" t="str">
        <f t="shared" ref="CW169:CW174" si="12">"1"</f>
        <v>1</v>
      </c>
      <c r="CX169" t="str">
        <f ca="1">IF((OFFSET($A$1, 169 - 1, 100 - 1)) &gt;= (OFFSET($A$1, 78 - 1, 7 - 1)), "1","0")</f>
        <v>1</v>
      </c>
      <c r="CY169">
        <f ca="1" xml:space="preserve"> IF( AND( OFFSET($A$1, 169 - 1, 101 - 1) = "1", OFFSET($A$1, 169 - 1, 102 - 1) = "1" ), 1, IF( AND( OFFSET($A$1, 169 - 1, 101 - 1) = "1", OFFSET($A$1, 169 - 1, 102 - 1) = "0" ), 2, IF( AND( OFFSET($A$1, 169 - 1, 101 - 1) = "0", OFFSET($A$1, 169 - 1, 102 - 1) = "1" ), 3, 4 ) ) )</f>
        <v>1</v>
      </c>
    </row>
    <row r="170" spans="95:103" ht="13.8" x14ac:dyDescent="0.3">
      <c r="CQ170" s="24">
        <v>0.99878059719000456</v>
      </c>
      <c r="CR170" s="24" t="str">
        <f>"1"</f>
        <v>1</v>
      </c>
      <c r="CS170" t="str">
        <f ca="1">IF((OFFSET($A$1, 170 - 1, 95 - 1)) &gt;= (OFFSET($A$1, 54 - 1, 7 - 1)), "1","0")</f>
        <v>1</v>
      </c>
      <c r="CT170">
        <f ca="1" xml:space="preserve"> IF( AND( OFFSET($A$1, 170 - 1, 96 - 1) = "1", OFFSET($A$1, 170 - 1, 97 - 1) = "1" ), 1, IF( AND( OFFSET($A$1, 170 - 1, 96 - 1) = "1", OFFSET($A$1, 170 - 1, 97 - 1) = "0" ), 2, IF( AND( OFFSET($A$1, 170 - 1, 96 - 1) = "0", OFFSET($A$1, 170 - 1, 97 - 1) = "1" ), 3, 4 ) ) )</f>
        <v>1</v>
      </c>
      <c r="CV170" s="24">
        <v>0.999480413627023</v>
      </c>
      <c r="CW170" s="24" t="str">
        <f t="shared" si="12"/>
        <v>1</v>
      </c>
      <c r="CX170" t="str">
        <f ca="1">IF((OFFSET($A$1, 170 - 1, 100 - 1)) &gt;= (OFFSET($A$1, 78 - 1, 7 - 1)), "1","0")</f>
        <v>1</v>
      </c>
      <c r="CY170">
        <f ca="1" xml:space="preserve"> IF( AND( OFFSET($A$1, 170 - 1, 101 - 1) = "1", OFFSET($A$1, 170 - 1, 102 - 1) = "1" ), 1, IF( AND( OFFSET($A$1, 170 - 1, 101 - 1) = "1", OFFSET($A$1, 170 - 1, 102 - 1) = "0" ), 2, IF( AND( OFFSET($A$1, 170 - 1, 101 - 1) = "0", OFFSET($A$1, 170 - 1, 102 - 1) = "1" ), 3, 4 ) ) )</f>
        <v>1</v>
      </c>
    </row>
    <row r="171" spans="95:103" ht="13.8" x14ac:dyDescent="0.3">
      <c r="CQ171" s="24">
        <v>0.99968076906248426</v>
      </c>
      <c r="CR171" s="24" t="str">
        <f>"1"</f>
        <v>1</v>
      </c>
      <c r="CS171" t="str">
        <f ca="1">IF((OFFSET($A$1, 171 - 1, 95 - 1)) &gt;= (OFFSET($A$1, 54 - 1, 7 - 1)), "1","0")</f>
        <v>1</v>
      </c>
      <c r="CT171">
        <f ca="1" xml:space="preserve"> IF( AND( OFFSET($A$1, 171 - 1, 96 - 1) = "1", OFFSET($A$1, 171 - 1, 97 - 1) = "1" ), 1, IF( AND( OFFSET($A$1, 171 - 1, 96 - 1) = "1", OFFSET($A$1, 171 - 1, 97 - 1) = "0" ), 2, IF( AND( OFFSET($A$1, 171 - 1, 96 - 1) = "0", OFFSET($A$1, 171 - 1, 97 - 1) = "1" ), 3, 4 ) ) )</f>
        <v>1</v>
      </c>
      <c r="CV171" s="24">
        <v>0.99701354145570009</v>
      </c>
      <c r="CW171" s="24" t="str">
        <f t="shared" si="12"/>
        <v>1</v>
      </c>
      <c r="CX171" t="str">
        <f ca="1">IF((OFFSET($A$1, 171 - 1, 100 - 1)) &gt;= (OFFSET($A$1, 78 - 1, 7 - 1)), "1","0")</f>
        <v>1</v>
      </c>
      <c r="CY171">
        <f ca="1" xml:space="preserve"> IF( AND( OFFSET($A$1, 171 - 1, 101 - 1) = "1", OFFSET($A$1, 171 - 1, 102 - 1) = "1" ), 1, IF( AND( OFFSET($A$1, 171 - 1, 101 - 1) = "1", OFFSET($A$1, 171 - 1, 102 - 1) = "0" ), 2, IF( AND( OFFSET($A$1, 171 - 1, 101 - 1) = "0", OFFSET($A$1, 171 - 1, 102 - 1) = "1" ), 3, 4 ) ) )</f>
        <v>1</v>
      </c>
    </row>
    <row r="172" spans="95:103" ht="13.8" x14ac:dyDescent="0.3">
      <c r="CQ172" s="24">
        <v>0.94346822367659033</v>
      </c>
      <c r="CR172" s="24" t="str">
        <f>"1"</f>
        <v>1</v>
      </c>
      <c r="CS172" t="str">
        <f ca="1">IF((OFFSET($A$1, 172 - 1, 95 - 1)) &gt;= (OFFSET($A$1, 54 - 1, 7 - 1)), "1","0")</f>
        <v>1</v>
      </c>
      <c r="CT172">
        <f ca="1" xml:space="preserve"> IF( AND( OFFSET($A$1, 172 - 1, 96 - 1) = "1", OFFSET($A$1, 172 - 1, 97 - 1) = "1" ), 1, IF( AND( OFFSET($A$1, 172 - 1, 96 - 1) = "1", OFFSET($A$1, 172 - 1, 97 - 1) = "0" ), 2, IF( AND( OFFSET($A$1, 172 - 1, 96 - 1) = "0", OFFSET($A$1, 172 - 1, 97 - 1) = "1" ), 3, 4 ) ) )</f>
        <v>1</v>
      </c>
      <c r="CV172" s="24">
        <v>0.99997320367152809</v>
      </c>
      <c r="CW172" s="24" t="str">
        <f t="shared" si="12"/>
        <v>1</v>
      </c>
      <c r="CX172" t="str">
        <f ca="1">IF((OFFSET($A$1, 172 - 1, 100 - 1)) &gt;= (OFFSET($A$1, 78 - 1, 7 - 1)), "1","0")</f>
        <v>1</v>
      </c>
      <c r="CY172">
        <f ca="1" xml:space="preserve"> IF( AND( OFFSET($A$1, 172 - 1, 101 - 1) = "1", OFFSET($A$1, 172 - 1, 102 - 1) = "1" ), 1, IF( AND( OFFSET($A$1, 172 - 1, 101 - 1) = "1", OFFSET($A$1, 172 - 1, 102 - 1) = "0" ), 2, IF( AND( OFFSET($A$1, 172 - 1, 101 - 1) = "0", OFFSET($A$1, 172 - 1, 102 - 1) = "1" ), 3, 4 ) ) )</f>
        <v>1</v>
      </c>
    </row>
    <row r="173" spans="95:103" ht="13.8" x14ac:dyDescent="0.3">
      <c r="CQ173" s="24">
        <v>9.7743832089425678E-2</v>
      </c>
      <c r="CR173" s="24" t="str">
        <f>"0"</f>
        <v>0</v>
      </c>
      <c r="CS173" t="str">
        <f ca="1">IF((OFFSET($A$1, 173 - 1, 95 - 1)) &gt;= (OFFSET($A$1, 54 - 1, 7 - 1)), "1","0")</f>
        <v>0</v>
      </c>
      <c r="CT173">
        <f ca="1" xml:space="preserve"> IF( AND( OFFSET($A$1, 173 - 1, 96 - 1) = "1", OFFSET($A$1, 173 - 1, 97 - 1) = "1" ), 1, IF( AND( OFFSET($A$1, 173 - 1, 96 - 1) = "1", OFFSET($A$1, 173 - 1, 97 - 1) = "0" ), 2, IF( AND( OFFSET($A$1, 173 - 1, 96 - 1) = "0", OFFSET($A$1, 173 - 1, 97 - 1) = "1" ), 3, 4 ) ) )</f>
        <v>4</v>
      </c>
      <c r="CV173" s="24">
        <v>0.34221036668423332</v>
      </c>
      <c r="CW173" s="24" t="str">
        <f t="shared" si="12"/>
        <v>1</v>
      </c>
      <c r="CX173" t="str">
        <f ca="1">IF((OFFSET($A$1, 173 - 1, 100 - 1)) &gt;= (OFFSET($A$1, 78 - 1, 7 - 1)), "1","0")</f>
        <v>0</v>
      </c>
      <c r="CY173">
        <f ca="1" xml:space="preserve"> IF( AND( OFFSET($A$1, 173 - 1, 101 - 1) = "1", OFFSET($A$1, 173 - 1, 102 - 1) = "1" ), 1, IF( AND( OFFSET($A$1, 173 - 1, 101 - 1) = "1", OFFSET($A$1, 173 - 1, 102 - 1) = "0" ), 2, IF( AND( OFFSET($A$1, 173 - 1, 101 - 1) = "0", OFFSET($A$1, 173 - 1, 102 - 1) = "1" ), 3, 4 ) ) )</f>
        <v>2</v>
      </c>
    </row>
    <row r="174" spans="95:103" ht="13.8" x14ac:dyDescent="0.3">
      <c r="CQ174" s="24">
        <v>7.5246691937364676E-2</v>
      </c>
      <c r="CR174" s="24" t="str">
        <f>"0"</f>
        <v>0</v>
      </c>
      <c r="CS174" t="str">
        <f ca="1">IF((OFFSET($A$1, 174 - 1, 95 - 1)) &gt;= (OFFSET($A$1, 54 - 1, 7 - 1)), "1","0")</f>
        <v>0</v>
      </c>
      <c r="CT174">
        <f ca="1" xml:space="preserve"> IF( AND( OFFSET($A$1, 174 - 1, 96 - 1) = "1", OFFSET($A$1, 174 - 1, 97 - 1) = "1" ), 1, IF( AND( OFFSET($A$1, 174 - 1, 96 - 1) = "1", OFFSET($A$1, 174 - 1, 97 - 1) = "0" ), 2, IF( AND( OFFSET($A$1, 174 - 1, 96 - 1) = "0", OFFSET($A$1, 174 - 1, 97 - 1) = "1" ), 3, 4 ) ) )</f>
        <v>4</v>
      </c>
      <c r="CV174" s="24">
        <v>0.8595264626200193</v>
      </c>
      <c r="CW174" s="24" t="str">
        <f t="shared" si="12"/>
        <v>1</v>
      </c>
      <c r="CX174" t="str">
        <f ca="1">IF((OFFSET($A$1, 174 - 1, 100 - 1)) &gt;= (OFFSET($A$1, 78 - 1, 7 - 1)), "1","0")</f>
        <v>1</v>
      </c>
      <c r="CY174">
        <f ca="1" xml:space="preserve"> IF( AND( OFFSET($A$1, 174 - 1, 101 - 1) = "1", OFFSET($A$1, 174 - 1, 102 - 1) = "1" ), 1, IF( AND( OFFSET($A$1, 174 - 1, 101 - 1) = "1", OFFSET($A$1, 174 - 1, 102 - 1) = "0" ), 2, IF( AND( OFFSET($A$1, 174 - 1, 101 - 1) = "0", OFFSET($A$1, 174 - 1, 102 - 1) = "1" ), 3, 4 ) ) )</f>
        <v>1</v>
      </c>
    </row>
    <row r="175" spans="95:103" ht="13.8" x14ac:dyDescent="0.3">
      <c r="CQ175" s="24">
        <v>0.10976321731455954</v>
      </c>
      <c r="CR175" s="24" t="str">
        <f>"0"</f>
        <v>0</v>
      </c>
      <c r="CS175" t="str">
        <f ca="1">IF((OFFSET($A$1, 175 - 1, 95 - 1)) &gt;= (OFFSET($A$1, 54 - 1, 7 - 1)), "1","0")</f>
        <v>0</v>
      </c>
      <c r="CT175">
        <f ca="1" xml:space="preserve"> IF( AND( OFFSET($A$1, 175 - 1, 96 - 1) = "1", OFFSET($A$1, 175 - 1, 97 - 1) = "1" ), 1, IF( AND( OFFSET($A$1, 175 - 1, 96 - 1) = "1", OFFSET($A$1, 175 - 1, 97 - 1) = "0" ), 2, IF( AND( OFFSET($A$1, 175 - 1, 96 - 1) = "0", OFFSET($A$1, 175 - 1, 97 - 1) = "1" ), 3, 4 ) ) )</f>
        <v>4</v>
      </c>
      <c r="CV175" s="24">
        <v>0.82407386555088946</v>
      </c>
      <c r="CW175" s="24" t="str">
        <f>"0"</f>
        <v>0</v>
      </c>
      <c r="CX175" t="str">
        <f ca="1">IF((OFFSET($A$1, 175 - 1, 100 - 1)) &gt;= (OFFSET($A$1, 78 - 1, 7 - 1)), "1","0")</f>
        <v>1</v>
      </c>
      <c r="CY175">
        <f ca="1" xml:space="preserve"> IF( AND( OFFSET($A$1, 175 - 1, 101 - 1) = "1", OFFSET($A$1, 175 - 1, 102 - 1) = "1" ), 1, IF( AND( OFFSET($A$1, 175 - 1, 101 - 1) = "1", OFFSET($A$1, 175 - 1, 102 - 1) = "0" ), 2, IF( AND( OFFSET($A$1, 175 - 1, 101 - 1) = "0", OFFSET($A$1, 175 - 1, 102 - 1) = "1" ), 3, 4 ) ) )</f>
        <v>3</v>
      </c>
    </row>
    <row r="176" spans="95:103" ht="13.8" x14ac:dyDescent="0.3">
      <c r="CQ176" s="24">
        <v>9.6417376981668239E-3</v>
      </c>
      <c r="CR176" s="24" t="str">
        <f>"0"</f>
        <v>0</v>
      </c>
      <c r="CS176" t="str">
        <f ca="1">IF((OFFSET($A$1, 176 - 1, 95 - 1)) &gt;= (OFFSET($A$1, 54 - 1, 7 - 1)), "1","0")</f>
        <v>0</v>
      </c>
      <c r="CT176">
        <f ca="1" xml:space="preserve"> IF( AND( OFFSET($A$1, 176 - 1, 96 - 1) = "1", OFFSET($A$1, 176 - 1, 97 - 1) = "1" ), 1, IF( AND( OFFSET($A$1, 176 - 1, 96 - 1) = "1", OFFSET($A$1, 176 - 1, 97 - 1) = "0" ), 2, IF( AND( OFFSET($A$1, 176 - 1, 96 - 1) = "0", OFFSET($A$1, 176 - 1, 97 - 1) = "1" ), 3, 4 ) ) )</f>
        <v>4</v>
      </c>
      <c r="CV176" s="24">
        <v>0.94580473225925743</v>
      </c>
      <c r="CW176" s="24" t="str">
        <f>"1"</f>
        <v>1</v>
      </c>
      <c r="CX176" t="str">
        <f ca="1">IF((OFFSET($A$1, 176 - 1, 100 - 1)) &gt;= (OFFSET($A$1, 78 - 1, 7 - 1)), "1","0")</f>
        <v>1</v>
      </c>
      <c r="CY176">
        <f ca="1" xml:space="preserve"> IF( AND( OFFSET($A$1, 176 - 1, 101 - 1) = "1", OFFSET($A$1, 176 - 1, 102 - 1) = "1" ), 1, IF( AND( OFFSET($A$1, 176 - 1, 101 - 1) = "1", OFFSET($A$1, 176 - 1, 102 - 1) = "0" ), 2, IF( AND( OFFSET($A$1, 176 - 1, 101 - 1) = "0", OFFSET($A$1, 176 - 1, 102 - 1) = "1" ), 3, 4 ) ) )</f>
        <v>1</v>
      </c>
    </row>
    <row r="177" spans="95:103" ht="13.8" x14ac:dyDescent="0.3">
      <c r="CQ177" s="24">
        <v>0.89216968328923296</v>
      </c>
      <c r="CR177" s="24" t="str">
        <f t="shared" ref="CR177:CR184" si="13">"1"</f>
        <v>1</v>
      </c>
      <c r="CS177" t="str">
        <f ca="1">IF((OFFSET($A$1, 177 - 1, 95 - 1)) &gt;= (OFFSET($A$1, 54 - 1, 7 - 1)), "1","0")</f>
        <v>1</v>
      </c>
      <c r="CT177">
        <f ca="1" xml:space="preserve"> IF( AND( OFFSET($A$1, 177 - 1, 96 - 1) = "1", OFFSET($A$1, 177 - 1, 97 - 1) = "1" ), 1, IF( AND( OFFSET($A$1, 177 - 1, 96 - 1) = "1", OFFSET($A$1, 177 - 1, 97 - 1) = "0" ), 2, IF( AND( OFFSET($A$1, 177 - 1, 96 - 1) = "0", OFFSET($A$1, 177 - 1, 97 - 1) = "1" ), 3, 4 ) ) )</f>
        <v>1</v>
      </c>
      <c r="CV177" s="24">
        <v>0.97915068825346774</v>
      </c>
      <c r="CW177" s="24" t="str">
        <f>"1"</f>
        <v>1</v>
      </c>
      <c r="CX177" t="str">
        <f ca="1">IF((OFFSET($A$1, 177 - 1, 100 - 1)) &gt;= (OFFSET($A$1, 78 - 1, 7 - 1)), "1","0")</f>
        <v>1</v>
      </c>
      <c r="CY177">
        <f ca="1" xml:space="preserve"> IF( AND( OFFSET($A$1, 177 - 1, 101 - 1) = "1", OFFSET($A$1, 177 - 1, 102 - 1) = "1" ), 1, IF( AND( OFFSET($A$1, 177 - 1, 101 - 1) = "1", OFFSET($A$1, 177 - 1, 102 - 1) = "0" ), 2, IF( AND( OFFSET($A$1, 177 - 1, 101 - 1) = "0", OFFSET($A$1, 177 - 1, 102 - 1) = "1" ), 3, 4 ) ) )</f>
        <v>1</v>
      </c>
    </row>
    <row r="178" spans="95:103" ht="13.8" x14ac:dyDescent="0.3">
      <c r="CQ178" s="24">
        <v>0.94925917961464634</v>
      </c>
      <c r="CR178" s="24" t="str">
        <f t="shared" si="13"/>
        <v>1</v>
      </c>
      <c r="CS178" t="str">
        <f ca="1">IF((OFFSET($A$1, 178 - 1, 95 - 1)) &gt;= (OFFSET($A$1, 54 - 1, 7 - 1)), "1","0")</f>
        <v>1</v>
      </c>
      <c r="CT178">
        <f ca="1" xml:space="preserve"> IF( AND( OFFSET($A$1, 178 - 1, 96 - 1) = "1", OFFSET($A$1, 178 - 1, 97 - 1) = "1" ), 1, IF( AND( OFFSET($A$1, 178 - 1, 96 - 1) = "1", OFFSET($A$1, 178 - 1, 97 - 1) = "0" ), 2, IF( AND( OFFSET($A$1, 178 - 1, 96 - 1) = "0", OFFSET($A$1, 178 - 1, 97 - 1) = "1" ), 3, 4 ) ) )</f>
        <v>1</v>
      </c>
      <c r="CV178" s="24">
        <v>0.8708834372018448</v>
      </c>
      <c r="CW178" s="24" t="str">
        <f>"1"</f>
        <v>1</v>
      </c>
      <c r="CX178" t="str">
        <f ca="1">IF((OFFSET($A$1, 178 - 1, 100 - 1)) &gt;= (OFFSET($A$1, 78 - 1, 7 - 1)), "1","0")</f>
        <v>1</v>
      </c>
      <c r="CY178">
        <f ca="1" xml:space="preserve"> IF( AND( OFFSET($A$1, 178 - 1, 101 - 1) = "1", OFFSET($A$1, 178 - 1, 102 - 1) = "1" ), 1, IF( AND( OFFSET($A$1, 178 - 1, 101 - 1) = "1", OFFSET($A$1, 178 - 1, 102 - 1) = "0" ), 2, IF( AND( OFFSET($A$1, 178 - 1, 101 - 1) = "0", OFFSET($A$1, 178 - 1, 102 - 1) = "1" ), 3, 4 ) ) )</f>
        <v>1</v>
      </c>
    </row>
    <row r="179" spans="95:103" ht="13.8" x14ac:dyDescent="0.3">
      <c r="CQ179" s="24">
        <v>0.95929252803238918</v>
      </c>
      <c r="CR179" s="24" t="str">
        <f t="shared" si="13"/>
        <v>1</v>
      </c>
      <c r="CS179" t="str">
        <f ca="1">IF((OFFSET($A$1, 179 - 1, 95 - 1)) &gt;= (OFFSET($A$1, 54 - 1, 7 - 1)), "1","0")</f>
        <v>1</v>
      </c>
      <c r="CT179">
        <f ca="1" xml:space="preserve"> IF( AND( OFFSET($A$1, 179 - 1, 96 - 1) = "1", OFFSET($A$1, 179 - 1, 97 - 1) = "1" ), 1, IF( AND( OFFSET($A$1, 179 - 1, 96 - 1) = "1", OFFSET($A$1, 179 - 1, 97 - 1) = "0" ), 2, IF( AND( OFFSET($A$1, 179 - 1, 96 - 1) = "0", OFFSET($A$1, 179 - 1, 97 - 1) = "1" ), 3, 4 ) ) )</f>
        <v>1</v>
      </c>
      <c r="CV179" s="24">
        <v>5.3585330526187427E-2</v>
      </c>
      <c r="CW179" s="24" t="str">
        <f>"0"</f>
        <v>0</v>
      </c>
      <c r="CX179" t="str">
        <f ca="1">IF((OFFSET($A$1, 179 - 1, 100 - 1)) &gt;= (OFFSET($A$1, 78 - 1, 7 - 1)), "1","0")</f>
        <v>0</v>
      </c>
      <c r="CY179">
        <f ca="1" xml:space="preserve"> IF( AND( OFFSET($A$1, 179 - 1, 101 - 1) = "1", OFFSET($A$1, 179 - 1, 102 - 1) = "1" ), 1, IF( AND( OFFSET($A$1, 179 - 1, 101 - 1) = "1", OFFSET($A$1, 179 - 1, 102 - 1) = "0" ), 2, IF( AND( OFFSET($A$1, 179 - 1, 101 - 1) = "0", OFFSET($A$1, 179 - 1, 102 - 1) = "1" ), 3, 4 ) ) )</f>
        <v>4</v>
      </c>
    </row>
    <row r="180" spans="95:103" ht="13.8" x14ac:dyDescent="0.3">
      <c r="CQ180" s="24">
        <v>0.96414288229401379</v>
      </c>
      <c r="CR180" s="24" t="str">
        <f t="shared" si="13"/>
        <v>1</v>
      </c>
      <c r="CS180" t="str">
        <f ca="1">IF((OFFSET($A$1, 180 - 1, 95 - 1)) &gt;= (OFFSET($A$1, 54 - 1, 7 - 1)), "1","0")</f>
        <v>1</v>
      </c>
      <c r="CT180">
        <f ca="1" xml:space="preserve"> IF( AND( OFFSET($A$1, 180 - 1, 96 - 1) = "1", OFFSET($A$1, 180 - 1, 97 - 1) = "1" ), 1, IF( AND( OFFSET($A$1, 180 - 1, 96 - 1) = "1", OFFSET($A$1, 180 - 1, 97 - 1) = "0" ), 2, IF( AND( OFFSET($A$1, 180 - 1, 96 - 1) = "0", OFFSET($A$1, 180 - 1, 97 - 1) = "1" ), 3, 4 ) ) )</f>
        <v>1</v>
      </c>
      <c r="CV180" s="24">
        <v>6.2873261876474892E-2</v>
      </c>
      <c r="CW180" s="24" t="str">
        <f>"0"</f>
        <v>0</v>
      </c>
      <c r="CX180" t="str">
        <f ca="1">IF((OFFSET($A$1, 180 - 1, 100 - 1)) &gt;= (OFFSET($A$1, 78 - 1, 7 - 1)), "1","0")</f>
        <v>0</v>
      </c>
      <c r="CY180">
        <f ca="1" xml:space="preserve"> IF( AND( OFFSET($A$1, 180 - 1, 101 - 1) = "1", OFFSET($A$1, 180 - 1, 102 - 1) = "1" ), 1, IF( AND( OFFSET($A$1, 180 - 1, 101 - 1) = "1", OFFSET($A$1, 180 - 1, 102 - 1) = "0" ), 2, IF( AND( OFFSET($A$1, 180 - 1, 101 - 1) = "0", OFFSET($A$1, 180 - 1, 102 - 1) = "1" ), 3, 4 ) ) )</f>
        <v>4</v>
      </c>
    </row>
    <row r="181" spans="95:103" ht="13.8" x14ac:dyDescent="0.3">
      <c r="CQ181" s="24">
        <v>0.91830387528661572</v>
      </c>
      <c r="CR181" s="24" t="str">
        <f t="shared" si="13"/>
        <v>1</v>
      </c>
      <c r="CS181" t="str">
        <f ca="1">IF((OFFSET($A$1, 181 - 1, 95 - 1)) &gt;= (OFFSET($A$1, 54 - 1, 7 - 1)), "1","0")</f>
        <v>1</v>
      </c>
      <c r="CT181">
        <f ca="1" xml:space="preserve"> IF( AND( OFFSET($A$1, 181 - 1, 96 - 1) = "1", OFFSET($A$1, 181 - 1, 97 - 1) = "1" ), 1, IF( AND( OFFSET($A$1, 181 - 1, 96 - 1) = "1", OFFSET($A$1, 181 - 1, 97 - 1) = "0" ), 2, IF( AND( OFFSET($A$1, 181 - 1, 96 - 1) = "0", OFFSET($A$1, 181 - 1, 97 - 1) = "1" ), 3, 4 ) ) )</f>
        <v>1</v>
      </c>
      <c r="CV181" s="24">
        <v>0.6659593867446274</v>
      </c>
      <c r="CW181" s="24" t="str">
        <f>"0"</f>
        <v>0</v>
      </c>
      <c r="CX181" t="str">
        <f ca="1">IF((OFFSET($A$1, 181 - 1, 100 - 1)) &gt;= (OFFSET($A$1, 78 - 1, 7 - 1)), "1","0")</f>
        <v>1</v>
      </c>
      <c r="CY181">
        <f ca="1" xml:space="preserve"> IF( AND( OFFSET($A$1, 181 - 1, 101 - 1) = "1", OFFSET($A$1, 181 - 1, 102 - 1) = "1" ), 1, IF( AND( OFFSET($A$1, 181 - 1, 101 - 1) = "1", OFFSET($A$1, 181 - 1, 102 - 1) = "0" ), 2, IF( AND( OFFSET($A$1, 181 - 1, 101 - 1) = "0", OFFSET($A$1, 181 - 1, 102 - 1) = "1" ), 3, 4 ) ) )</f>
        <v>3</v>
      </c>
    </row>
    <row r="182" spans="95:103" ht="13.8" x14ac:dyDescent="0.3">
      <c r="CQ182" s="24">
        <v>0.88937856970747708</v>
      </c>
      <c r="CR182" s="24" t="str">
        <f t="shared" si="13"/>
        <v>1</v>
      </c>
      <c r="CS182" t="str">
        <f ca="1">IF((OFFSET($A$1, 182 - 1, 95 - 1)) &gt;= (OFFSET($A$1, 54 - 1, 7 - 1)), "1","0")</f>
        <v>1</v>
      </c>
      <c r="CT182">
        <f ca="1" xml:space="preserve"> IF( AND( OFFSET($A$1, 182 - 1, 96 - 1) = "1", OFFSET($A$1, 182 - 1, 97 - 1) = "1" ), 1, IF( AND( OFFSET($A$1, 182 - 1, 96 - 1) = "1", OFFSET($A$1, 182 - 1, 97 - 1) = "0" ), 2, IF( AND( OFFSET($A$1, 182 - 1, 96 - 1) = "0", OFFSET($A$1, 182 - 1, 97 - 1) = "1" ), 3, 4 ) ) )</f>
        <v>1</v>
      </c>
      <c r="CV182" s="24">
        <v>0.99834940088237933</v>
      </c>
      <c r="CW182" s="24" t="str">
        <f>"0"</f>
        <v>0</v>
      </c>
      <c r="CX182" t="str">
        <f ca="1">IF((OFFSET($A$1, 182 - 1, 100 - 1)) &gt;= (OFFSET($A$1, 78 - 1, 7 - 1)), "1","0")</f>
        <v>1</v>
      </c>
      <c r="CY182">
        <f ca="1" xml:space="preserve"> IF( AND( OFFSET($A$1, 182 - 1, 101 - 1) = "1", OFFSET($A$1, 182 - 1, 102 - 1) = "1" ), 1, IF( AND( OFFSET($A$1, 182 - 1, 101 - 1) = "1", OFFSET($A$1, 182 - 1, 102 - 1) = "0" ), 2, IF( AND( OFFSET($A$1, 182 - 1, 101 - 1) = "0", OFFSET($A$1, 182 - 1, 102 - 1) = "1" ), 3, 4 ) ) )</f>
        <v>3</v>
      </c>
    </row>
    <row r="183" spans="95:103" ht="13.8" x14ac:dyDescent="0.3">
      <c r="CQ183" s="24">
        <v>0.99826029057428589</v>
      </c>
      <c r="CR183" s="24" t="str">
        <f t="shared" si="13"/>
        <v>1</v>
      </c>
      <c r="CS183" t="str">
        <f ca="1">IF((OFFSET($A$1, 183 - 1, 95 - 1)) &gt;= (OFFSET($A$1, 54 - 1, 7 - 1)), "1","0")</f>
        <v>1</v>
      </c>
      <c r="CT183">
        <f ca="1" xml:space="preserve"> IF( AND( OFFSET($A$1, 183 - 1, 96 - 1) = "1", OFFSET($A$1, 183 - 1, 97 - 1) = "1" ), 1, IF( AND( OFFSET($A$1, 183 - 1, 96 - 1) = "1", OFFSET($A$1, 183 - 1, 97 - 1) = "0" ), 2, IF( AND( OFFSET($A$1, 183 - 1, 96 - 1) = "0", OFFSET($A$1, 183 - 1, 97 - 1) = "1" ), 3, 4 ) ) )</f>
        <v>1</v>
      </c>
      <c r="CV183" s="24">
        <v>0.97652620944247326</v>
      </c>
      <c r="CW183" s="24" t="str">
        <f>"1"</f>
        <v>1</v>
      </c>
      <c r="CX183" t="str">
        <f ca="1">IF((OFFSET($A$1, 183 - 1, 100 - 1)) &gt;= (OFFSET($A$1, 78 - 1, 7 - 1)), "1","0")</f>
        <v>1</v>
      </c>
      <c r="CY183">
        <f ca="1" xml:space="preserve"> IF( AND( OFFSET($A$1, 183 - 1, 101 - 1) = "1", OFFSET($A$1, 183 - 1, 102 - 1) = "1" ), 1, IF( AND( OFFSET($A$1, 183 - 1, 101 - 1) = "1", OFFSET($A$1, 183 - 1, 102 - 1) = "0" ), 2, IF( AND( OFFSET($A$1, 183 - 1, 101 - 1) = "0", OFFSET($A$1, 183 - 1, 102 - 1) = "1" ), 3, 4 ) ) )</f>
        <v>1</v>
      </c>
    </row>
    <row r="184" spans="95:103" ht="13.8" x14ac:dyDescent="0.3">
      <c r="CQ184" s="24">
        <v>0.9878157787179338</v>
      </c>
      <c r="CR184" s="24" t="str">
        <f t="shared" si="13"/>
        <v>1</v>
      </c>
      <c r="CS184" t="str">
        <f ca="1">IF((OFFSET($A$1, 184 - 1, 95 - 1)) &gt;= (OFFSET($A$1, 54 - 1, 7 - 1)), "1","0")</f>
        <v>1</v>
      </c>
      <c r="CT184">
        <f ca="1" xml:space="preserve"> IF( AND( OFFSET($A$1, 184 - 1, 96 - 1) = "1", OFFSET($A$1, 184 - 1, 97 - 1) = "1" ), 1, IF( AND( OFFSET($A$1, 184 - 1, 96 - 1) = "1", OFFSET($A$1, 184 - 1, 97 - 1) = "0" ), 2, IF( AND( OFFSET($A$1, 184 - 1, 96 - 1) = "0", OFFSET($A$1, 184 - 1, 97 - 1) = "1" ), 3, 4 ) ) )</f>
        <v>1</v>
      </c>
      <c r="CV184" s="24">
        <v>0.94728975663523685</v>
      </c>
      <c r="CW184" s="24" t="str">
        <f>"1"</f>
        <v>1</v>
      </c>
      <c r="CX184" t="str">
        <f ca="1">IF((OFFSET($A$1, 184 - 1, 100 - 1)) &gt;= (OFFSET($A$1, 78 - 1, 7 - 1)), "1","0")</f>
        <v>1</v>
      </c>
      <c r="CY184">
        <f ca="1" xml:space="preserve"> IF( AND( OFFSET($A$1, 184 - 1, 101 - 1) = "1", OFFSET($A$1, 184 - 1, 102 - 1) = "1" ), 1, IF( AND( OFFSET($A$1, 184 - 1, 101 - 1) = "1", OFFSET($A$1, 184 - 1, 102 - 1) = "0" ), 2, IF( AND( OFFSET($A$1, 184 - 1, 101 - 1) = "0", OFFSET($A$1, 184 - 1, 102 - 1) = "1" ), 3, 4 ) ) )</f>
        <v>1</v>
      </c>
    </row>
    <row r="185" spans="95:103" ht="13.8" x14ac:dyDescent="0.3">
      <c r="CQ185" s="24">
        <v>3.6530488999789015E-2</v>
      </c>
      <c r="CR185" s="24" t="str">
        <f>"0"</f>
        <v>0</v>
      </c>
      <c r="CS185" t="str">
        <f ca="1">IF((OFFSET($A$1, 185 - 1, 95 - 1)) &gt;= (OFFSET($A$1, 54 - 1, 7 - 1)), "1","0")</f>
        <v>0</v>
      </c>
      <c r="CT185">
        <f ca="1" xml:space="preserve"> IF( AND( OFFSET($A$1, 185 - 1, 96 - 1) = "1", OFFSET($A$1, 185 - 1, 97 - 1) = "1" ), 1, IF( AND( OFFSET($A$1, 185 - 1, 96 - 1) = "1", OFFSET($A$1, 185 - 1, 97 - 1) = "0" ), 2, IF( AND( OFFSET($A$1, 185 - 1, 96 - 1) = "0", OFFSET($A$1, 185 - 1, 97 - 1) = "1" ), 3, 4 ) ) )</f>
        <v>4</v>
      </c>
      <c r="CV185" s="24">
        <v>0.52738283892332594</v>
      </c>
      <c r="CW185" s="24" t="str">
        <f>"0"</f>
        <v>0</v>
      </c>
      <c r="CX185" t="str">
        <f ca="1">IF((OFFSET($A$1, 185 - 1, 100 - 1)) &gt;= (OFFSET($A$1, 78 - 1, 7 - 1)), "1","0")</f>
        <v>1</v>
      </c>
      <c r="CY185">
        <f ca="1" xml:space="preserve"> IF( AND( OFFSET($A$1, 185 - 1, 101 - 1) = "1", OFFSET($A$1, 185 - 1, 102 - 1) = "1" ), 1, IF( AND( OFFSET($A$1, 185 - 1, 101 - 1) = "1", OFFSET($A$1, 185 - 1, 102 - 1) = "0" ), 2, IF( AND( OFFSET($A$1, 185 - 1, 101 - 1) = "0", OFFSET($A$1, 185 - 1, 102 - 1) = "1" ), 3, 4 ) ) )</f>
        <v>3</v>
      </c>
    </row>
    <row r="186" spans="95:103" ht="13.8" x14ac:dyDescent="0.3">
      <c r="CQ186" s="24">
        <v>0.99998437353564962</v>
      </c>
      <c r="CR186" s="24" t="str">
        <f>"1"</f>
        <v>1</v>
      </c>
      <c r="CS186" t="str">
        <f ca="1">IF((OFFSET($A$1, 186 - 1, 95 - 1)) &gt;= (OFFSET($A$1, 54 - 1, 7 - 1)), "1","0")</f>
        <v>1</v>
      </c>
      <c r="CT186">
        <f ca="1" xml:space="preserve"> IF( AND( OFFSET($A$1, 186 - 1, 96 - 1) = "1", OFFSET($A$1, 186 - 1, 97 - 1) = "1" ), 1, IF( AND( OFFSET($A$1, 186 - 1, 96 - 1) = "1", OFFSET($A$1, 186 - 1, 97 - 1) = "0" ), 2, IF( AND( OFFSET($A$1, 186 - 1, 96 - 1) = "0", OFFSET($A$1, 186 - 1, 97 - 1) = "1" ), 3, 4 ) ) )</f>
        <v>1</v>
      </c>
      <c r="CV186" s="24">
        <v>0.99946477150305857</v>
      </c>
      <c r="CW186" s="24" t="str">
        <f>"1"</f>
        <v>1</v>
      </c>
      <c r="CX186" t="str">
        <f ca="1">IF((OFFSET($A$1, 186 - 1, 100 - 1)) &gt;= (OFFSET($A$1, 78 - 1, 7 - 1)), "1","0")</f>
        <v>1</v>
      </c>
      <c r="CY186">
        <f ca="1" xml:space="preserve"> IF( AND( OFFSET($A$1, 186 - 1, 101 - 1) = "1", OFFSET($A$1, 186 - 1, 102 - 1) = "1" ), 1, IF( AND( OFFSET($A$1, 186 - 1, 101 - 1) = "1", OFFSET($A$1, 186 - 1, 102 - 1) = "0" ), 2, IF( AND( OFFSET($A$1, 186 - 1, 101 - 1) = "0", OFFSET($A$1, 186 - 1, 102 - 1) = "1" ), 3, 4 ) ) )</f>
        <v>1</v>
      </c>
    </row>
    <row r="187" spans="95:103" ht="13.8" x14ac:dyDescent="0.3">
      <c r="CQ187" s="24">
        <v>0.93381145191287362</v>
      </c>
      <c r="CR187" s="24" t="str">
        <f>"1"</f>
        <v>1</v>
      </c>
      <c r="CS187" t="str">
        <f ca="1">IF((OFFSET($A$1, 187 - 1, 95 - 1)) &gt;= (OFFSET($A$1, 54 - 1, 7 - 1)), "1","0")</f>
        <v>1</v>
      </c>
      <c r="CT187">
        <f ca="1" xml:space="preserve"> IF( AND( OFFSET($A$1, 187 - 1, 96 - 1) = "1", OFFSET($A$1, 187 - 1, 97 - 1) = "1" ), 1, IF( AND( OFFSET($A$1, 187 - 1, 96 - 1) = "1", OFFSET($A$1, 187 - 1, 97 - 1) = "0" ), 2, IF( AND( OFFSET($A$1, 187 - 1, 96 - 1) = "0", OFFSET($A$1, 187 - 1, 97 - 1) = "1" ), 3, 4 ) ) )</f>
        <v>1</v>
      </c>
      <c r="CV187" s="24">
        <v>1.7918822456767146E-2</v>
      </c>
      <c r="CW187" s="24" t="str">
        <f>"0"</f>
        <v>0</v>
      </c>
      <c r="CX187" t="str">
        <f ca="1">IF((OFFSET($A$1, 187 - 1, 100 - 1)) &gt;= (OFFSET($A$1, 78 - 1, 7 - 1)), "1","0")</f>
        <v>0</v>
      </c>
      <c r="CY187">
        <f ca="1" xml:space="preserve"> IF( AND( OFFSET($A$1, 187 - 1, 101 - 1) = "1", OFFSET($A$1, 187 - 1, 102 - 1) = "1" ), 1, IF( AND( OFFSET($A$1, 187 - 1, 101 - 1) = "1", OFFSET($A$1, 187 - 1, 102 - 1) = "0" ), 2, IF( AND( OFFSET($A$1, 187 - 1, 101 - 1) = "0", OFFSET($A$1, 187 - 1, 102 - 1) = "1" ), 3, 4 ) ) )</f>
        <v>4</v>
      </c>
    </row>
    <row r="188" spans="95:103" ht="13.8" x14ac:dyDescent="0.3">
      <c r="CQ188" s="24">
        <v>0.98674478293071355</v>
      </c>
      <c r="CR188" s="24" t="str">
        <f>"1"</f>
        <v>1</v>
      </c>
      <c r="CS188" t="str">
        <f ca="1">IF((OFFSET($A$1, 188 - 1, 95 - 1)) &gt;= (OFFSET($A$1, 54 - 1, 7 - 1)), "1","0")</f>
        <v>1</v>
      </c>
      <c r="CT188">
        <f ca="1" xml:space="preserve"> IF( AND( OFFSET($A$1, 188 - 1, 96 - 1) = "1", OFFSET($A$1, 188 - 1, 97 - 1) = "1" ), 1, IF( AND( OFFSET($A$1, 188 - 1, 96 - 1) = "1", OFFSET($A$1, 188 - 1, 97 - 1) = "0" ), 2, IF( AND( OFFSET($A$1, 188 - 1, 96 - 1) = "0", OFFSET($A$1, 188 - 1, 97 - 1) = "1" ), 3, 4 ) ) )</f>
        <v>1</v>
      </c>
      <c r="CV188" s="24">
        <v>0.91690471985916322</v>
      </c>
      <c r="CW188" s="24" t="str">
        <f>"1"</f>
        <v>1</v>
      </c>
      <c r="CX188" t="str">
        <f ca="1">IF((OFFSET($A$1, 188 - 1, 100 - 1)) &gt;= (OFFSET($A$1, 78 - 1, 7 - 1)), "1","0")</f>
        <v>1</v>
      </c>
      <c r="CY188">
        <f ca="1" xml:space="preserve"> IF( AND( OFFSET($A$1, 188 - 1, 101 - 1) = "1", OFFSET($A$1, 188 - 1, 102 - 1) = "1" ), 1, IF( AND( OFFSET($A$1, 188 - 1, 101 - 1) = "1", OFFSET($A$1, 188 - 1, 102 - 1) = "0" ), 2, IF( AND( OFFSET($A$1, 188 - 1, 101 - 1) = "0", OFFSET($A$1, 188 - 1, 102 - 1) = "1" ), 3, 4 ) ) )</f>
        <v>1</v>
      </c>
    </row>
    <row r="189" spans="95:103" ht="13.8" x14ac:dyDescent="0.3">
      <c r="CQ189" s="24">
        <v>6.4619157109405325E-3</v>
      </c>
      <c r="CR189" s="24" t="str">
        <f>"0"</f>
        <v>0</v>
      </c>
      <c r="CS189" t="str">
        <f ca="1">IF((OFFSET($A$1, 189 - 1, 95 - 1)) &gt;= (OFFSET($A$1, 54 - 1, 7 - 1)), "1","0")</f>
        <v>0</v>
      </c>
      <c r="CT189">
        <f ca="1" xml:space="preserve"> IF( AND( OFFSET($A$1, 189 - 1, 96 - 1) = "1", OFFSET($A$1, 189 - 1, 97 - 1) = "1" ), 1, IF( AND( OFFSET($A$1, 189 - 1, 96 - 1) = "1", OFFSET($A$1, 189 - 1, 97 - 1) = "0" ), 2, IF( AND( OFFSET($A$1, 189 - 1, 96 - 1) = "0", OFFSET($A$1, 189 - 1, 97 - 1) = "1" ), 3, 4 ) ) )</f>
        <v>4</v>
      </c>
      <c r="CV189" s="24">
        <v>0.99854069458680039</v>
      </c>
      <c r="CW189" s="24" t="str">
        <f>"1"</f>
        <v>1</v>
      </c>
      <c r="CX189" t="str">
        <f ca="1">IF((OFFSET($A$1, 189 - 1, 100 - 1)) &gt;= (OFFSET($A$1, 78 - 1, 7 - 1)), "1","0")</f>
        <v>1</v>
      </c>
      <c r="CY189">
        <f ca="1" xml:space="preserve"> IF( AND( OFFSET($A$1, 189 - 1, 101 - 1) = "1", OFFSET($A$1, 189 - 1, 102 - 1) = "1" ), 1, IF( AND( OFFSET($A$1, 189 - 1, 101 - 1) = "1", OFFSET($A$1, 189 - 1, 102 - 1) = "0" ), 2, IF( AND( OFFSET($A$1, 189 - 1, 101 - 1) = "0", OFFSET($A$1, 189 - 1, 102 - 1) = "1" ), 3, 4 ) ) )</f>
        <v>1</v>
      </c>
    </row>
    <row r="190" spans="95:103" ht="13.8" x14ac:dyDescent="0.3">
      <c r="CQ190" s="24">
        <v>0.87762033497141689</v>
      </c>
      <c r="CR190" s="24" t="str">
        <f>"1"</f>
        <v>1</v>
      </c>
      <c r="CS190" t="str">
        <f ca="1">IF((OFFSET($A$1, 190 - 1, 95 - 1)) &gt;= (OFFSET($A$1, 54 - 1, 7 - 1)), "1","0")</f>
        <v>1</v>
      </c>
      <c r="CT190">
        <f ca="1" xml:space="preserve"> IF( AND( OFFSET($A$1, 190 - 1, 96 - 1) = "1", OFFSET($A$1, 190 - 1, 97 - 1) = "1" ), 1, IF( AND( OFFSET($A$1, 190 - 1, 96 - 1) = "1", OFFSET($A$1, 190 - 1, 97 - 1) = "0" ), 2, IF( AND( OFFSET($A$1, 190 - 1, 96 - 1) = "0", OFFSET($A$1, 190 - 1, 97 - 1) = "1" ), 3, 4 ) ) )</f>
        <v>1</v>
      </c>
      <c r="CV190" s="24">
        <v>0.97729606738053021</v>
      </c>
      <c r="CW190" s="24" t="str">
        <f>"1"</f>
        <v>1</v>
      </c>
      <c r="CX190" t="str">
        <f ca="1">IF((OFFSET($A$1, 190 - 1, 100 - 1)) &gt;= (OFFSET($A$1, 78 - 1, 7 - 1)), "1","0")</f>
        <v>1</v>
      </c>
      <c r="CY190">
        <f ca="1" xml:space="preserve"> IF( AND( OFFSET($A$1, 190 - 1, 101 - 1) = "1", OFFSET($A$1, 190 - 1, 102 - 1) = "1" ), 1, IF( AND( OFFSET($A$1, 190 - 1, 101 - 1) = "1", OFFSET($A$1, 190 - 1, 102 - 1) = "0" ), 2, IF( AND( OFFSET($A$1, 190 - 1, 101 - 1) = "0", OFFSET($A$1, 190 - 1, 102 - 1) = "1" ), 3, 4 ) ) )</f>
        <v>1</v>
      </c>
    </row>
    <row r="191" spans="95:103" ht="13.8" x14ac:dyDescent="0.3">
      <c r="CQ191" s="24">
        <v>0.99922832223838898</v>
      </c>
      <c r="CR191" s="24" t="str">
        <f>"1"</f>
        <v>1</v>
      </c>
      <c r="CS191" t="str">
        <f ca="1">IF((OFFSET($A$1, 191 - 1, 95 - 1)) &gt;= (OFFSET($A$1, 54 - 1, 7 - 1)), "1","0")</f>
        <v>1</v>
      </c>
      <c r="CT191">
        <f ca="1" xml:space="preserve"> IF( AND( OFFSET($A$1, 191 - 1, 96 - 1) = "1", OFFSET($A$1, 191 - 1, 97 - 1) = "1" ), 1, IF( AND( OFFSET($A$1, 191 - 1, 96 - 1) = "1", OFFSET($A$1, 191 - 1, 97 - 1) = "0" ), 2, IF( AND( OFFSET($A$1, 191 - 1, 96 - 1) = "0", OFFSET($A$1, 191 - 1, 97 - 1) = "1" ), 3, 4 ) ) )</f>
        <v>1</v>
      </c>
      <c r="CV191" s="24">
        <v>0.66525572833766211</v>
      </c>
      <c r="CW191" s="24" t="str">
        <f>"1"</f>
        <v>1</v>
      </c>
      <c r="CX191" t="str">
        <f ca="1">IF((OFFSET($A$1, 191 - 1, 100 - 1)) &gt;= (OFFSET($A$1, 78 - 1, 7 - 1)), "1","0")</f>
        <v>1</v>
      </c>
      <c r="CY191">
        <f ca="1" xml:space="preserve"> IF( AND( OFFSET($A$1, 191 - 1, 101 - 1) = "1", OFFSET($A$1, 191 - 1, 102 - 1) = "1" ), 1, IF( AND( OFFSET($A$1, 191 - 1, 101 - 1) = "1", OFFSET($A$1, 191 - 1, 102 - 1) = "0" ), 2, IF( AND( OFFSET($A$1, 191 - 1, 101 - 1) = "0", OFFSET($A$1, 191 - 1, 102 - 1) = "1" ), 3, 4 ) ) )</f>
        <v>1</v>
      </c>
    </row>
    <row r="192" spans="95:103" ht="13.8" x14ac:dyDescent="0.3">
      <c r="CQ192" s="24">
        <v>0.99120341751095753</v>
      </c>
      <c r="CR192" s="24" t="str">
        <f>"1"</f>
        <v>1</v>
      </c>
      <c r="CS192" t="str">
        <f ca="1">IF((OFFSET($A$1, 192 - 1, 95 - 1)) &gt;= (OFFSET($A$1, 54 - 1, 7 - 1)), "1","0")</f>
        <v>1</v>
      </c>
      <c r="CT192">
        <f ca="1" xml:space="preserve"> IF( AND( OFFSET($A$1, 192 - 1, 96 - 1) = "1", OFFSET($A$1, 192 - 1, 97 - 1) = "1" ), 1, IF( AND( OFFSET($A$1, 192 - 1, 96 - 1) = "1", OFFSET($A$1, 192 - 1, 97 - 1) = "0" ), 2, IF( AND( OFFSET($A$1, 192 - 1, 96 - 1) = "0", OFFSET($A$1, 192 - 1, 97 - 1) = "1" ), 3, 4 ) ) )</f>
        <v>1</v>
      </c>
      <c r="CV192" s="24">
        <v>0.83581291854970252</v>
      </c>
      <c r="CW192" s="24" t="str">
        <f>"1"</f>
        <v>1</v>
      </c>
      <c r="CX192" t="str">
        <f ca="1">IF((OFFSET($A$1, 192 - 1, 100 - 1)) &gt;= (OFFSET($A$1, 78 - 1, 7 - 1)), "1","0")</f>
        <v>1</v>
      </c>
      <c r="CY192">
        <f ca="1" xml:space="preserve"> IF( AND( OFFSET($A$1, 192 - 1, 101 - 1) = "1", OFFSET($A$1, 192 - 1, 102 - 1) = "1" ), 1, IF( AND( OFFSET($A$1, 192 - 1, 101 - 1) = "1", OFFSET($A$1, 192 - 1, 102 - 1) = "0" ), 2, IF( AND( OFFSET($A$1, 192 - 1, 101 - 1) = "0", OFFSET($A$1, 192 - 1, 102 - 1) = "1" ), 3, 4 ) ) )</f>
        <v>1</v>
      </c>
    </row>
    <row r="193" spans="95:103" ht="13.8" x14ac:dyDescent="0.3">
      <c r="CQ193" s="24">
        <v>3.2998546796102644E-3</v>
      </c>
      <c r="CR193" s="24" t="str">
        <f>"0"</f>
        <v>0</v>
      </c>
      <c r="CS193" t="str">
        <f ca="1">IF((OFFSET($A$1, 193 - 1, 95 - 1)) &gt;= (OFFSET($A$1, 54 - 1, 7 - 1)), "1","0")</f>
        <v>0</v>
      </c>
      <c r="CT193">
        <f ca="1" xml:space="preserve"> IF( AND( OFFSET($A$1, 193 - 1, 96 - 1) = "1", OFFSET($A$1, 193 - 1, 97 - 1) = "1" ), 1, IF( AND( OFFSET($A$1, 193 - 1, 96 - 1) = "1", OFFSET($A$1, 193 - 1, 97 - 1) = "0" ), 2, IF( AND( OFFSET($A$1, 193 - 1, 96 - 1) = "0", OFFSET($A$1, 193 - 1, 97 - 1) = "1" ), 3, 4 ) ) )</f>
        <v>4</v>
      </c>
      <c r="CV193" s="24">
        <v>0.27890288538421582</v>
      </c>
      <c r="CW193" s="24" t="str">
        <f>"0"</f>
        <v>0</v>
      </c>
      <c r="CX193" t="str">
        <f ca="1">IF((OFFSET($A$1, 193 - 1, 100 - 1)) &gt;= (OFFSET($A$1, 78 - 1, 7 - 1)), "1","0")</f>
        <v>0</v>
      </c>
      <c r="CY193">
        <f ca="1" xml:space="preserve"> IF( AND( OFFSET($A$1, 193 - 1, 101 - 1) = "1", OFFSET($A$1, 193 - 1, 102 - 1) = "1" ), 1, IF( AND( OFFSET($A$1, 193 - 1, 101 - 1) = "1", OFFSET($A$1, 193 - 1, 102 - 1) = "0" ), 2, IF( AND( OFFSET($A$1, 193 - 1, 101 - 1) = "0", OFFSET($A$1, 193 - 1, 102 - 1) = "1" ), 3, 4 ) ) )</f>
        <v>4</v>
      </c>
    </row>
    <row r="194" spans="95:103" ht="13.8" x14ac:dyDescent="0.3">
      <c r="CQ194" s="24">
        <v>9.2305325582233602E-2</v>
      </c>
      <c r="CR194" s="24" t="str">
        <f>"0"</f>
        <v>0</v>
      </c>
      <c r="CS194" t="str">
        <f ca="1">IF((OFFSET($A$1, 194 - 1, 95 - 1)) &gt;= (OFFSET($A$1, 54 - 1, 7 - 1)), "1","0")</f>
        <v>0</v>
      </c>
      <c r="CT194">
        <f ca="1" xml:space="preserve"> IF( AND( OFFSET($A$1, 194 - 1, 96 - 1) = "1", OFFSET($A$1, 194 - 1, 97 - 1) = "1" ), 1, IF( AND( OFFSET($A$1, 194 - 1, 96 - 1) = "1", OFFSET($A$1, 194 - 1, 97 - 1) = "0" ), 2, IF( AND( OFFSET($A$1, 194 - 1, 96 - 1) = "0", OFFSET($A$1, 194 - 1, 97 - 1) = "1" ), 3, 4 ) ) )</f>
        <v>4</v>
      </c>
      <c r="CV194" s="24">
        <v>0.99187245137477442</v>
      </c>
      <c r="CW194" s="24" t="str">
        <f>"0"</f>
        <v>0</v>
      </c>
      <c r="CX194" t="str">
        <f ca="1">IF((OFFSET($A$1, 194 - 1, 100 - 1)) &gt;= (OFFSET($A$1, 78 - 1, 7 - 1)), "1","0")</f>
        <v>1</v>
      </c>
      <c r="CY194">
        <f ca="1" xml:space="preserve"> IF( AND( OFFSET($A$1, 194 - 1, 101 - 1) = "1", OFFSET($A$1, 194 - 1, 102 - 1) = "1" ), 1, IF( AND( OFFSET($A$1, 194 - 1, 101 - 1) = "1", OFFSET($A$1, 194 - 1, 102 - 1) = "0" ), 2, IF( AND( OFFSET($A$1, 194 - 1, 101 - 1) = "0", OFFSET($A$1, 194 - 1, 102 - 1) = "1" ), 3, 4 ) ) )</f>
        <v>3</v>
      </c>
    </row>
    <row r="195" spans="95:103" ht="13.8" x14ac:dyDescent="0.3">
      <c r="CQ195" s="24">
        <v>0.99836626056936928</v>
      </c>
      <c r="CR195" s="24" t="str">
        <f t="shared" ref="CR195:CR206" si="14">"1"</f>
        <v>1</v>
      </c>
      <c r="CS195" t="str">
        <f ca="1">IF((OFFSET($A$1, 195 - 1, 95 - 1)) &gt;= (OFFSET($A$1, 54 - 1, 7 - 1)), "1","0")</f>
        <v>1</v>
      </c>
      <c r="CT195">
        <f ca="1" xml:space="preserve"> IF( AND( OFFSET($A$1, 195 - 1, 96 - 1) = "1", OFFSET($A$1, 195 - 1, 97 - 1) = "1" ), 1, IF( AND( OFFSET($A$1, 195 - 1, 96 - 1) = "1", OFFSET($A$1, 195 - 1, 97 - 1) = "0" ), 2, IF( AND( OFFSET($A$1, 195 - 1, 96 - 1) = "0", OFFSET($A$1, 195 - 1, 97 - 1) = "1" ), 3, 4 ) ) )</f>
        <v>1</v>
      </c>
      <c r="CV195" s="24">
        <v>0.51533938608286212</v>
      </c>
      <c r="CW195" s="24" t="str">
        <f>"1"</f>
        <v>1</v>
      </c>
      <c r="CX195" t="str">
        <f ca="1">IF((OFFSET($A$1, 195 - 1, 100 - 1)) &gt;= (OFFSET($A$1, 78 - 1, 7 - 1)), "1","0")</f>
        <v>1</v>
      </c>
      <c r="CY195">
        <f ca="1" xml:space="preserve"> IF( AND( OFFSET($A$1, 195 - 1, 101 - 1) = "1", OFFSET($A$1, 195 - 1, 102 - 1) = "1" ), 1, IF( AND( OFFSET($A$1, 195 - 1, 101 - 1) = "1", OFFSET($A$1, 195 - 1, 102 - 1) = "0" ), 2, IF( AND( OFFSET($A$1, 195 - 1, 101 - 1) = "0", OFFSET($A$1, 195 - 1, 102 - 1) = "1" ), 3, 4 ) ) )</f>
        <v>1</v>
      </c>
    </row>
    <row r="196" spans="95:103" ht="13.8" x14ac:dyDescent="0.3">
      <c r="CQ196" s="24">
        <v>0.98284767629446212</v>
      </c>
      <c r="CR196" s="24" t="str">
        <f t="shared" si="14"/>
        <v>1</v>
      </c>
      <c r="CS196" t="str">
        <f ca="1">IF((OFFSET($A$1, 196 - 1, 95 - 1)) &gt;= (OFFSET($A$1, 54 - 1, 7 - 1)), "1","0")</f>
        <v>1</v>
      </c>
      <c r="CT196">
        <f ca="1" xml:space="preserve"> IF( AND( OFFSET($A$1, 196 - 1, 96 - 1) = "1", OFFSET($A$1, 196 - 1, 97 - 1) = "1" ), 1, IF( AND( OFFSET($A$1, 196 - 1, 96 - 1) = "1", OFFSET($A$1, 196 - 1, 97 - 1) = "0" ), 2, IF( AND( OFFSET($A$1, 196 - 1, 96 - 1) = "0", OFFSET($A$1, 196 - 1, 97 - 1) = "1" ), 3, 4 ) ) )</f>
        <v>1</v>
      </c>
      <c r="CV196" s="24">
        <v>0.99537299336902818</v>
      </c>
      <c r="CW196" s="24" t="str">
        <f>"1"</f>
        <v>1</v>
      </c>
      <c r="CX196" t="str">
        <f ca="1">IF((OFFSET($A$1, 196 - 1, 100 - 1)) &gt;= (OFFSET($A$1, 78 - 1, 7 - 1)), "1","0")</f>
        <v>1</v>
      </c>
      <c r="CY196">
        <f ca="1" xml:space="preserve"> IF( AND( OFFSET($A$1, 196 - 1, 101 - 1) = "1", OFFSET($A$1, 196 - 1, 102 - 1) = "1" ), 1, IF( AND( OFFSET($A$1, 196 - 1, 101 - 1) = "1", OFFSET($A$1, 196 - 1, 102 - 1) = "0" ), 2, IF( AND( OFFSET($A$1, 196 - 1, 101 - 1) = "0", OFFSET($A$1, 196 - 1, 102 - 1) = "1" ), 3, 4 ) ) )</f>
        <v>1</v>
      </c>
    </row>
    <row r="197" spans="95:103" ht="13.8" x14ac:dyDescent="0.3">
      <c r="CQ197" s="24">
        <v>0.97377003244388372</v>
      </c>
      <c r="CR197" s="24" t="str">
        <f t="shared" si="14"/>
        <v>1</v>
      </c>
      <c r="CS197" t="str">
        <f ca="1">IF((OFFSET($A$1, 197 - 1, 95 - 1)) &gt;= (OFFSET($A$1, 54 - 1, 7 - 1)), "1","0")</f>
        <v>1</v>
      </c>
      <c r="CT197">
        <f ca="1" xml:space="preserve"> IF( AND( OFFSET($A$1, 197 - 1, 96 - 1) = "1", OFFSET($A$1, 197 - 1, 97 - 1) = "1" ), 1, IF( AND( OFFSET($A$1, 197 - 1, 96 - 1) = "1", OFFSET($A$1, 197 - 1, 97 - 1) = "0" ), 2, IF( AND( OFFSET($A$1, 197 - 1, 96 - 1) = "0", OFFSET($A$1, 197 - 1, 97 - 1) = "1" ), 3, 4 ) ) )</f>
        <v>1</v>
      </c>
      <c r="CV197" s="24">
        <v>0.36599775567135251</v>
      </c>
      <c r="CW197" s="24" t="str">
        <f>"0"</f>
        <v>0</v>
      </c>
      <c r="CX197" t="str">
        <f ca="1">IF((OFFSET($A$1, 197 - 1, 100 - 1)) &gt;= (OFFSET($A$1, 78 - 1, 7 - 1)), "1","0")</f>
        <v>0</v>
      </c>
      <c r="CY197">
        <f ca="1" xml:space="preserve"> IF( AND( OFFSET($A$1, 197 - 1, 101 - 1) = "1", OFFSET($A$1, 197 - 1, 102 - 1) = "1" ), 1, IF( AND( OFFSET($A$1, 197 - 1, 101 - 1) = "1", OFFSET($A$1, 197 - 1, 102 - 1) = "0" ), 2, IF( AND( OFFSET($A$1, 197 - 1, 101 - 1) = "0", OFFSET($A$1, 197 - 1, 102 - 1) = "1" ), 3, 4 ) ) )</f>
        <v>4</v>
      </c>
    </row>
    <row r="198" spans="95:103" ht="13.8" x14ac:dyDescent="0.3">
      <c r="CQ198" s="24">
        <v>0.98431793613913277</v>
      </c>
      <c r="CR198" s="24" t="str">
        <f t="shared" si="14"/>
        <v>1</v>
      </c>
      <c r="CS198" t="str">
        <f ca="1">IF((OFFSET($A$1, 198 - 1, 95 - 1)) &gt;= (OFFSET($A$1, 54 - 1, 7 - 1)), "1","0")</f>
        <v>1</v>
      </c>
      <c r="CT198">
        <f ca="1" xml:space="preserve"> IF( AND( OFFSET($A$1, 198 - 1, 96 - 1) = "1", OFFSET($A$1, 198 - 1, 97 - 1) = "1" ), 1, IF( AND( OFFSET($A$1, 198 - 1, 96 - 1) = "1", OFFSET($A$1, 198 - 1, 97 - 1) = "0" ), 2, IF( AND( OFFSET($A$1, 198 - 1, 96 - 1) = "0", OFFSET($A$1, 198 - 1, 97 - 1) = "1" ), 3, 4 ) ) )</f>
        <v>1</v>
      </c>
      <c r="CV198" s="24">
        <v>0.99789139352257838</v>
      </c>
      <c r="CW198" s="24" t="str">
        <f>"1"</f>
        <v>1</v>
      </c>
      <c r="CX198" t="str">
        <f ca="1">IF((OFFSET($A$1, 198 - 1, 100 - 1)) &gt;= (OFFSET($A$1, 78 - 1, 7 - 1)), "1","0")</f>
        <v>1</v>
      </c>
      <c r="CY198">
        <f ca="1" xml:space="preserve"> IF( AND( OFFSET($A$1, 198 - 1, 101 - 1) = "1", OFFSET($A$1, 198 - 1, 102 - 1) = "1" ), 1, IF( AND( OFFSET($A$1, 198 - 1, 101 - 1) = "1", OFFSET($A$1, 198 - 1, 102 - 1) = "0" ), 2, IF( AND( OFFSET($A$1, 198 - 1, 101 - 1) = "0", OFFSET($A$1, 198 - 1, 102 - 1) = "1" ), 3, 4 ) ) )</f>
        <v>1</v>
      </c>
    </row>
    <row r="199" spans="95:103" ht="13.8" x14ac:dyDescent="0.3">
      <c r="CQ199" s="24">
        <v>0.99412154990539059</v>
      </c>
      <c r="CR199" s="24" t="str">
        <f t="shared" si="14"/>
        <v>1</v>
      </c>
      <c r="CS199" t="str">
        <f ca="1">IF((OFFSET($A$1, 199 - 1, 95 - 1)) &gt;= (OFFSET($A$1, 54 - 1, 7 - 1)), "1","0")</f>
        <v>1</v>
      </c>
      <c r="CT199">
        <f ca="1" xml:space="preserve"> IF( AND( OFFSET($A$1, 199 - 1, 96 - 1) = "1", OFFSET($A$1, 199 - 1, 97 - 1) = "1" ), 1, IF( AND( OFFSET($A$1, 199 - 1, 96 - 1) = "1", OFFSET($A$1, 199 - 1, 97 - 1) = "0" ), 2, IF( AND( OFFSET($A$1, 199 - 1, 96 - 1) = "0", OFFSET($A$1, 199 - 1, 97 - 1) = "1" ), 3, 4 ) ) )</f>
        <v>1</v>
      </c>
      <c r="CV199" s="24">
        <v>0.59160225529082822</v>
      </c>
      <c r="CW199" s="24" t="str">
        <f>"0"</f>
        <v>0</v>
      </c>
      <c r="CX199" t="str">
        <f ca="1">IF((OFFSET($A$1, 199 - 1, 100 - 1)) &gt;= (OFFSET($A$1, 78 - 1, 7 - 1)), "1","0")</f>
        <v>1</v>
      </c>
      <c r="CY199">
        <f ca="1" xml:space="preserve"> IF( AND( OFFSET($A$1, 199 - 1, 101 - 1) = "1", OFFSET($A$1, 199 - 1, 102 - 1) = "1" ), 1, IF( AND( OFFSET($A$1, 199 - 1, 101 - 1) = "1", OFFSET($A$1, 199 - 1, 102 - 1) = "0" ), 2, IF( AND( OFFSET($A$1, 199 - 1, 101 - 1) = "0", OFFSET($A$1, 199 - 1, 102 - 1) = "1" ), 3, 4 ) ) )</f>
        <v>3</v>
      </c>
    </row>
    <row r="200" spans="95:103" ht="13.8" x14ac:dyDescent="0.3">
      <c r="CQ200" s="24">
        <v>0.96261221491354798</v>
      </c>
      <c r="CR200" s="24" t="str">
        <f t="shared" si="14"/>
        <v>1</v>
      </c>
      <c r="CS200" t="str">
        <f ca="1">IF((OFFSET($A$1, 200 - 1, 95 - 1)) &gt;= (OFFSET($A$1, 54 - 1, 7 - 1)), "1","0")</f>
        <v>1</v>
      </c>
      <c r="CT200">
        <f ca="1" xml:space="preserve"> IF( AND( OFFSET($A$1, 200 - 1, 96 - 1) = "1", OFFSET($A$1, 200 - 1, 97 - 1) = "1" ), 1, IF( AND( OFFSET($A$1, 200 - 1, 96 - 1) = "1", OFFSET($A$1, 200 - 1, 97 - 1) = "0" ), 2, IF( AND( OFFSET($A$1, 200 - 1, 96 - 1) = "0", OFFSET($A$1, 200 - 1, 97 - 1) = "1" ), 3, 4 ) ) )</f>
        <v>1</v>
      </c>
      <c r="CV200" s="24">
        <v>0.72335638027020022</v>
      </c>
      <c r="CW200" s="24" t="str">
        <f>"1"</f>
        <v>1</v>
      </c>
      <c r="CX200" t="str">
        <f ca="1">IF((OFFSET($A$1, 200 - 1, 100 - 1)) &gt;= (OFFSET($A$1, 78 - 1, 7 - 1)), "1","0")</f>
        <v>1</v>
      </c>
      <c r="CY200">
        <f ca="1" xml:space="preserve"> IF( AND( OFFSET($A$1, 200 - 1, 101 - 1) = "1", OFFSET($A$1, 200 - 1, 102 - 1) = "1" ), 1, IF( AND( OFFSET($A$1, 200 - 1, 101 - 1) = "1", OFFSET($A$1, 200 - 1, 102 - 1) = "0" ), 2, IF( AND( OFFSET($A$1, 200 - 1, 101 - 1) = "0", OFFSET($A$1, 200 - 1, 102 - 1) = "1" ), 3, 4 ) ) )</f>
        <v>1</v>
      </c>
    </row>
    <row r="201" spans="95:103" ht="13.8" x14ac:dyDescent="0.3">
      <c r="CQ201" s="24">
        <v>0.94570546848487447</v>
      </c>
      <c r="CR201" s="24" t="str">
        <f t="shared" si="14"/>
        <v>1</v>
      </c>
      <c r="CS201" t="str">
        <f ca="1">IF((OFFSET($A$1, 201 - 1, 95 - 1)) &gt;= (OFFSET($A$1, 54 - 1, 7 - 1)), "1","0")</f>
        <v>1</v>
      </c>
      <c r="CT201">
        <f ca="1" xml:space="preserve"> IF( AND( OFFSET($A$1, 201 - 1, 96 - 1) = "1", OFFSET($A$1, 201 - 1, 97 - 1) = "1" ), 1, IF( AND( OFFSET($A$1, 201 - 1, 96 - 1) = "1", OFFSET($A$1, 201 - 1, 97 - 1) = "0" ), 2, IF( AND( OFFSET($A$1, 201 - 1, 96 - 1) = "0", OFFSET($A$1, 201 - 1, 97 - 1) = "1" ), 3, 4 ) ) )</f>
        <v>1</v>
      </c>
      <c r="CV201" s="24">
        <v>0.71734564583017402</v>
      </c>
      <c r="CW201" s="24" t="str">
        <f>"1"</f>
        <v>1</v>
      </c>
      <c r="CX201" t="str">
        <f ca="1">IF((OFFSET($A$1, 201 - 1, 100 - 1)) &gt;= (OFFSET($A$1, 78 - 1, 7 - 1)), "1","0")</f>
        <v>1</v>
      </c>
      <c r="CY201">
        <f ca="1" xml:space="preserve"> IF( AND( OFFSET($A$1, 201 - 1, 101 - 1) = "1", OFFSET($A$1, 201 - 1, 102 - 1) = "1" ), 1, IF( AND( OFFSET($A$1, 201 - 1, 101 - 1) = "1", OFFSET($A$1, 201 - 1, 102 - 1) = "0" ), 2, IF( AND( OFFSET($A$1, 201 - 1, 101 - 1) = "0", OFFSET($A$1, 201 - 1, 102 - 1) = "1" ), 3, 4 ) ) )</f>
        <v>1</v>
      </c>
    </row>
    <row r="202" spans="95:103" ht="13.8" x14ac:dyDescent="0.3">
      <c r="CQ202" s="24">
        <v>0.99921558226918594</v>
      </c>
      <c r="CR202" s="24" t="str">
        <f t="shared" si="14"/>
        <v>1</v>
      </c>
      <c r="CS202" t="str">
        <f ca="1">IF((OFFSET($A$1, 202 - 1, 95 - 1)) &gt;= (OFFSET($A$1, 54 - 1, 7 - 1)), "1","0")</f>
        <v>1</v>
      </c>
      <c r="CT202">
        <f ca="1" xml:space="preserve"> IF( AND( OFFSET($A$1, 202 - 1, 96 - 1) = "1", OFFSET($A$1, 202 - 1, 97 - 1) = "1" ), 1, IF( AND( OFFSET($A$1, 202 - 1, 96 - 1) = "1", OFFSET($A$1, 202 - 1, 97 - 1) = "0" ), 2, IF( AND( OFFSET($A$1, 202 - 1, 96 - 1) = "0", OFFSET($A$1, 202 - 1, 97 - 1) = "1" ), 3, 4 ) ) )</f>
        <v>1</v>
      </c>
      <c r="CV202" s="24">
        <v>2.0873641681475368E-2</v>
      </c>
      <c r="CW202" s="24" t="str">
        <f>"0"</f>
        <v>0</v>
      </c>
      <c r="CX202" t="str">
        <f ca="1">IF((OFFSET($A$1, 202 - 1, 100 - 1)) &gt;= (OFFSET($A$1, 78 - 1, 7 - 1)), "1","0")</f>
        <v>0</v>
      </c>
      <c r="CY202">
        <f ca="1" xml:space="preserve"> IF( AND( OFFSET($A$1, 202 - 1, 101 - 1) = "1", OFFSET($A$1, 202 - 1, 102 - 1) = "1" ), 1, IF( AND( OFFSET($A$1, 202 - 1, 101 - 1) = "1", OFFSET($A$1, 202 - 1, 102 - 1) = "0" ), 2, IF( AND( OFFSET($A$1, 202 - 1, 101 - 1) = "0", OFFSET($A$1, 202 - 1, 102 - 1) = "1" ), 3, 4 ) ) )</f>
        <v>4</v>
      </c>
    </row>
    <row r="203" spans="95:103" ht="13.8" x14ac:dyDescent="0.3">
      <c r="CQ203" s="24">
        <v>0.88818068869846312</v>
      </c>
      <c r="CR203" s="24" t="str">
        <f t="shared" si="14"/>
        <v>1</v>
      </c>
      <c r="CS203" t="str">
        <f ca="1">IF((OFFSET($A$1, 203 - 1, 95 - 1)) &gt;= (OFFSET($A$1, 54 - 1, 7 - 1)), "1","0")</f>
        <v>1</v>
      </c>
      <c r="CT203">
        <f ca="1" xml:space="preserve"> IF( AND( OFFSET($A$1, 203 - 1, 96 - 1) = "1", OFFSET($A$1, 203 - 1, 97 - 1) = "1" ), 1, IF( AND( OFFSET($A$1, 203 - 1, 96 - 1) = "1", OFFSET($A$1, 203 - 1, 97 - 1) = "0" ), 2, IF( AND( OFFSET($A$1, 203 - 1, 96 - 1) = "0", OFFSET($A$1, 203 - 1, 97 - 1) = "1" ), 3, 4 ) ) )</f>
        <v>1</v>
      </c>
      <c r="CV203" s="24">
        <v>0.97661824097340044</v>
      </c>
      <c r="CW203" s="24" t="str">
        <f>"1"</f>
        <v>1</v>
      </c>
      <c r="CX203" t="str">
        <f ca="1">IF((OFFSET($A$1, 203 - 1, 100 - 1)) &gt;= (OFFSET($A$1, 78 - 1, 7 - 1)), "1","0")</f>
        <v>1</v>
      </c>
      <c r="CY203">
        <f ca="1" xml:space="preserve"> IF( AND( OFFSET($A$1, 203 - 1, 101 - 1) = "1", OFFSET($A$1, 203 - 1, 102 - 1) = "1" ), 1, IF( AND( OFFSET($A$1, 203 - 1, 101 - 1) = "1", OFFSET($A$1, 203 - 1, 102 - 1) = "0" ), 2, IF( AND( OFFSET($A$1, 203 - 1, 101 - 1) = "0", OFFSET($A$1, 203 - 1, 102 - 1) = "1" ), 3, 4 ) ) )</f>
        <v>1</v>
      </c>
    </row>
    <row r="204" spans="95:103" ht="13.8" x14ac:dyDescent="0.3">
      <c r="CQ204" s="24">
        <v>0.97299937694816241</v>
      </c>
      <c r="CR204" s="24" t="str">
        <f t="shared" si="14"/>
        <v>1</v>
      </c>
      <c r="CS204" t="str">
        <f ca="1">IF((OFFSET($A$1, 204 - 1, 95 - 1)) &gt;= (OFFSET($A$1, 54 - 1, 7 - 1)), "1","0")</f>
        <v>1</v>
      </c>
      <c r="CT204">
        <f ca="1" xml:space="preserve"> IF( AND( OFFSET($A$1, 204 - 1, 96 - 1) = "1", OFFSET($A$1, 204 - 1, 97 - 1) = "1" ), 1, IF( AND( OFFSET($A$1, 204 - 1, 96 - 1) = "1", OFFSET($A$1, 204 - 1, 97 - 1) = "0" ), 2, IF( AND( OFFSET($A$1, 204 - 1, 96 - 1) = "0", OFFSET($A$1, 204 - 1, 97 - 1) = "1" ), 3, 4 ) ) )</f>
        <v>1</v>
      </c>
      <c r="CV204" s="24">
        <v>0.99853047958259167</v>
      </c>
      <c r="CW204" s="24" t="str">
        <f>"1"</f>
        <v>1</v>
      </c>
      <c r="CX204" t="str">
        <f ca="1">IF((OFFSET($A$1, 204 - 1, 100 - 1)) &gt;= (OFFSET($A$1, 78 - 1, 7 - 1)), "1","0")</f>
        <v>1</v>
      </c>
      <c r="CY204">
        <f ca="1" xml:space="preserve"> IF( AND( OFFSET($A$1, 204 - 1, 101 - 1) = "1", OFFSET($A$1, 204 - 1, 102 - 1) = "1" ), 1, IF( AND( OFFSET($A$1, 204 - 1, 101 - 1) = "1", OFFSET($A$1, 204 - 1, 102 - 1) = "0" ), 2, IF( AND( OFFSET($A$1, 204 - 1, 101 - 1) = "0", OFFSET($A$1, 204 - 1, 102 - 1) = "1" ), 3, 4 ) ) )</f>
        <v>1</v>
      </c>
    </row>
    <row r="205" spans="95:103" ht="13.8" x14ac:dyDescent="0.3">
      <c r="CQ205" s="24">
        <v>0.97765105174509281</v>
      </c>
      <c r="CR205" s="24" t="str">
        <f t="shared" si="14"/>
        <v>1</v>
      </c>
      <c r="CS205" t="str">
        <f ca="1">IF((OFFSET($A$1, 205 - 1, 95 - 1)) &gt;= (OFFSET($A$1, 54 - 1, 7 - 1)), "1","0")</f>
        <v>1</v>
      </c>
      <c r="CT205">
        <f ca="1" xml:space="preserve"> IF( AND( OFFSET($A$1, 205 - 1, 96 - 1) = "1", OFFSET($A$1, 205 - 1, 97 - 1) = "1" ), 1, IF( AND( OFFSET($A$1, 205 - 1, 96 - 1) = "1", OFFSET($A$1, 205 - 1, 97 - 1) = "0" ), 2, IF( AND( OFFSET($A$1, 205 - 1, 96 - 1) = "0", OFFSET($A$1, 205 - 1, 97 - 1) = "1" ), 3, 4 ) ) )</f>
        <v>1</v>
      </c>
      <c r="CV205" s="24">
        <v>0.99753522098231129</v>
      </c>
      <c r="CW205" s="24" t="str">
        <f>"1"</f>
        <v>1</v>
      </c>
      <c r="CX205" t="str">
        <f ca="1">IF((OFFSET($A$1, 205 - 1, 100 - 1)) &gt;= (OFFSET($A$1, 78 - 1, 7 - 1)), "1","0")</f>
        <v>1</v>
      </c>
      <c r="CY205">
        <f ca="1" xml:space="preserve"> IF( AND( OFFSET($A$1, 205 - 1, 101 - 1) = "1", OFFSET($A$1, 205 - 1, 102 - 1) = "1" ), 1, IF( AND( OFFSET($A$1, 205 - 1, 101 - 1) = "1", OFFSET($A$1, 205 - 1, 102 - 1) = "0" ), 2, IF( AND( OFFSET($A$1, 205 - 1, 101 - 1) = "0", OFFSET($A$1, 205 - 1, 102 - 1) = "1" ), 3, 4 ) ) )</f>
        <v>1</v>
      </c>
    </row>
    <row r="206" spans="95:103" ht="13.8" x14ac:dyDescent="0.3">
      <c r="CQ206" s="24">
        <v>0.87038700118292889</v>
      </c>
      <c r="CR206" s="24" t="str">
        <f t="shared" si="14"/>
        <v>1</v>
      </c>
      <c r="CS206" t="str">
        <f ca="1">IF((OFFSET($A$1, 206 - 1, 95 - 1)) &gt;= (OFFSET($A$1, 54 - 1, 7 - 1)), "1","0")</f>
        <v>1</v>
      </c>
      <c r="CT206">
        <f ca="1" xml:space="preserve"> IF( AND( OFFSET($A$1, 206 - 1, 96 - 1) = "1", OFFSET($A$1, 206 - 1, 97 - 1) = "1" ), 1, IF( AND( OFFSET($A$1, 206 - 1, 96 - 1) = "1", OFFSET($A$1, 206 - 1, 97 - 1) = "0" ), 2, IF( AND( OFFSET($A$1, 206 - 1, 96 - 1) = "0", OFFSET($A$1, 206 - 1, 97 - 1) = "1" ), 3, 4 ) ) )</f>
        <v>1</v>
      </c>
      <c r="CV206" s="24">
        <v>0.99641744434188506</v>
      </c>
      <c r="CW206" s="24" t="str">
        <f>"1"</f>
        <v>1</v>
      </c>
      <c r="CX206" t="str">
        <f ca="1">IF((OFFSET($A$1, 206 - 1, 100 - 1)) &gt;= (OFFSET($A$1, 78 - 1, 7 - 1)), "1","0")</f>
        <v>1</v>
      </c>
      <c r="CY206">
        <f ca="1" xml:space="preserve"> IF( AND( OFFSET($A$1, 206 - 1, 101 - 1) = "1", OFFSET($A$1, 206 - 1, 102 - 1) = "1" ), 1, IF( AND( OFFSET($A$1, 206 - 1, 101 - 1) = "1", OFFSET($A$1, 206 - 1, 102 - 1) = "0" ), 2, IF( AND( OFFSET($A$1, 206 - 1, 101 - 1) = "0", OFFSET($A$1, 206 - 1, 102 - 1) = "1" ), 3, 4 ) ) )</f>
        <v>1</v>
      </c>
    </row>
    <row r="207" spans="95:103" ht="13.8" x14ac:dyDescent="0.3">
      <c r="CQ207" s="24">
        <v>9.5517312163790141E-2</v>
      </c>
      <c r="CR207" s="24" t="str">
        <f>"0"</f>
        <v>0</v>
      </c>
      <c r="CS207" t="str">
        <f ca="1">IF((OFFSET($A$1, 207 - 1, 95 - 1)) &gt;= (OFFSET($A$1, 54 - 1, 7 - 1)), "1","0")</f>
        <v>0</v>
      </c>
      <c r="CT207">
        <f ca="1" xml:space="preserve"> IF( AND( OFFSET($A$1, 207 - 1, 96 - 1) = "1", OFFSET($A$1, 207 - 1, 97 - 1) = "1" ), 1, IF( AND( OFFSET($A$1, 207 - 1, 96 - 1) = "1", OFFSET($A$1, 207 - 1, 97 - 1) = "0" ), 2, IF( AND( OFFSET($A$1, 207 - 1, 96 - 1) = "0", OFFSET($A$1, 207 - 1, 97 - 1) = "1" ), 3, 4 ) ) )</f>
        <v>4</v>
      </c>
      <c r="CV207" s="24">
        <v>0.17451611511745621</v>
      </c>
      <c r="CW207" s="24" t="str">
        <f>"0"</f>
        <v>0</v>
      </c>
      <c r="CX207" t="str">
        <f ca="1">IF((OFFSET($A$1, 207 - 1, 100 - 1)) &gt;= (OFFSET($A$1, 78 - 1, 7 - 1)), "1","0")</f>
        <v>0</v>
      </c>
      <c r="CY207">
        <f ca="1" xml:space="preserve"> IF( AND( OFFSET($A$1, 207 - 1, 101 - 1) = "1", OFFSET($A$1, 207 - 1, 102 - 1) = "1" ), 1, IF( AND( OFFSET($A$1, 207 - 1, 101 - 1) = "1", OFFSET($A$1, 207 - 1, 102 - 1) = "0" ), 2, IF( AND( OFFSET($A$1, 207 - 1, 101 - 1) = "0", OFFSET($A$1, 207 - 1, 102 - 1) = "1" ), 3, 4 ) ) )</f>
        <v>4</v>
      </c>
    </row>
    <row r="208" spans="95:103" ht="13.8" x14ac:dyDescent="0.3">
      <c r="CQ208" s="24">
        <v>0.99999562599502301</v>
      </c>
      <c r="CR208" s="24" t="str">
        <f t="shared" ref="CR208:CR213" si="15">"1"</f>
        <v>1</v>
      </c>
      <c r="CS208" t="str">
        <f ca="1">IF((OFFSET($A$1, 208 - 1, 95 - 1)) &gt;= (OFFSET($A$1, 54 - 1, 7 - 1)), "1","0")</f>
        <v>1</v>
      </c>
      <c r="CT208">
        <f ca="1" xml:space="preserve"> IF( AND( OFFSET($A$1, 208 - 1, 96 - 1) = "1", OFFSET($A$1, 208 - 1, 97 - 1) = "1" ), 1, IF( AND( OFFSET($A$1, 208 - 1, 96 - 1) = "1", OFFSET($A$1, 208 - 1, 97 - 1) = "0" ), 2, IF( AND( OFFSET($A$1, 208 - 1, 96 - 1) = "0", OFFSET($A$1, 208 - 1, 97 - 1) = "1" ), 3, 4 ) ) )</f>
        <v>1</v>
      </c>
      <c r="CV208" s="24">
        <v>0.89006830647895718</v>
      </c>
      <c r="CW208" s="24" t="str">
        <f t="shared" ref="CW208:CW213" si="16">"1"</f>
        <v>1</v>
      </c>
      <c r="CX208" t="str">
        <f ca="1">IF((OFFSET($A$1, 208 - 1, 100 - 1)) &gt;= (OFFSET($A$1, 78 - 1, 7 - 1)), "1","0")</f>
        <v>1</v>
      </c>
      <c r="CY208">
        <f ca="1" xml:space="preserve"> IF( AND( OFFSET($A$1, 208 - 1, 101 - 1) = "1", OFFSET($A$1, 208 - 1, 102 - 1) = "1" ), 1, IF( AND( OFFSET($A$1, 208 - 1, 101 - 1) = "1", OFFSET($A$1, 208 - 1, 102 - 1) = "0" ), 2, IF( AND( OFFSET($A$1, 208 - 1, 101 - 1) = "0", OFFSET($A$1, 208 - 1, 102 - 1) = "1" ), 3, 4 ) ) )</f>
        <v>1</v>
      </c>
    </row>
    <row r="209" spans="95:103" ht="13.8" x14ac:dyDescent="0.3">
      <c r="CQ209" s="24">
        <v>0.98065521665806743</v>
      </c>
      <c r="CR209" s="24" t="str">
        <f t="shared" si="15"/>
        <v>1</v>
      </c>
      <c r="CS209" t="str">
        <f ca="1">IF((OFFSET($A$1, 209 - 1, 95 - 1)) &gt;= (OFFSET($A$1, 54 - 1, 7 - 1)), "1","0")</f>
        <v>1</v>
      </c>
      <c r="CT209">
        <f ca="1" xml:space="preserve"> IF( AND( OFFSET($A$1, 209 - 1, 96 - 1) = "1", OFFSET($A$1, 209 - 1, 97 - 1) = "1" ), 1, IF( AND( OFFSET($A$1, 209 - 1, 96 - 1) = "1", OFFSET($A$1, 209 - 1, 97 - 1) = "0" ), 2, IF( AND( OFFSET($A$1, 209 - 1, 96 - 1) = "0", OFFSET($A$1, 209 - 1, 97 - 1) = "1" ), 3, 4 ) ) )</f>
        <v>1</v>
      </c>
      <c r="CV209" s="24">
        <v>6.6176469336112487E-3</v>
      </c>
      <c r="CW209" s="24" t="str">
        <f t="shared" si="16"/>
        <v>1</v>
      </c>
      <c r="CX209" t="str">
        <f ca="1">IF((OFFSET($A$1, 209 - 1, 100 - 1)) &gt;= (OFFSET($A$1, 78 - 1, 7 - 1)), "1","0")</f>
        <v>0</v>
      </c>
      <c r="CY209">
        <f ca="1" xml:space="preserve"> IF( AND( OFFSET($A$1, 209 - 1, 101 - 1) = "1", OFFSET($A$1, 209 - 1, 102 - 1) = "1" ), 1, IF( AND( OFFSET($A$1, 209 - 1, 101 - 1) = "1", OFFSET($A$1, 209 - 1, 102 - 1) = "0" ), 2, IF( AND( OFFSET($A$1, 209 - 1, 101 - 1) = "0", OFFSET($A$1, 209 - 1, 102 - 1) = "1" ), 3, 4 ) ) )</f>
        <v>2</v>
      </c>
    </row>
    <row r="210" spans="95:103" ht="13.8" x14ac:dyDescent="0.3">
      <c r="CQ210" s="24">
        <v>0.96702578508217063</v>
      </c>
      <c r="CR210" s="24" t="str">
        <f t="shared" si="15"/>
        <v>1</v>
      </c>
      <c r="CS210" t="str">
        <f ca="1">IF((OFFSET($A$1, 210 - 1, 95 - 1)) &gt;= (OFFSET($A$1, 54 - 1, 7 - 1)), "1","0")</f>
        <v>1</v>
      </c>
      <c r="CT210">
        <f ca="1" xml:space="preserve"> IF( AND( OFFSET($A$1, 210 - 1, 96 - 1) = "1", OFFSET($A$1, 210 - 1, 97 - 1) = "1" ), 1, IF( AND( OFFSET($A$1, 210 - 1, 96 - 1) = "1", OFFSET($A$1, 210 - 1, 97 - 1) = "0" ), 2, IF( AND( OFFSET($A$1, 210 - 1, 96 - 1) = "0", OFFSET($A$1, 210 - 1, 97 - 1) = "1" ), 3, 4 ) ) )</f>
        <v>1</v>
      </c>
      <c r="CV210" s="24">
        <v>0.93815125061925131</v>
      </c>
      <c r="CW210" s="24" t="str">
        <f t="shared" si="16"/>
        <v>1</v>
      </c>
      <c r="CX210" t="str">
        <f ca="1">IF((OFFSET($A$1, 210 - 1, 100 - 1)) &gt;= (OFFSET($A$1, 78 - 1, 7 - 1)), "1","0")</f>
        <v>1</v>
      </c>
      <c r="CY210">
        <f ca="1" xml:space="preserve"> IF( AND( OFFSET($A$1, 210 - 1, 101 - 1) = "1", OFFSET($A$1, 210 - 1, 102 - 1) = "1" ), 1, IF( AND( OFFSET($A$1, 210 - 1, 101 - 1) = "1", OFFSET($A$1, 210 - 1, 102 - 1) = "0" ), 2, IF( AND( OFFSET($A$1, 210 - 1, 101 - 1) = "0", OFFSET($A$1, 210 - 1, 102 - 1) = "1" ), 3, 4 ) ) )</f>
        <v>1</v>
      </c>
    </row>
    <row r="211" spans="95:103" ht="13.8" x14ac:dyDescent="0.3">
      <c r="CQ211" s="24">
        <v>0.89475741929651698</v>
      </c>
      <c r="CR211" s="24" t="str">
        <f t="shared" si="15"/>
        <v>1</v>
      </c>
      <c r="CS211" t="str">
        <f ca="1">IF((OFFSET($A$1, 211 - 1, 95 - 1)) &gt;= (OFFSET($A$1, 54 - 1, 7 - 1)), "1","0")</f>
        <v>1</v>
      </c>
      <c r="CT211">
        <f ca="1" xml:space="preserve"> IF( AND( OFFSET($A$1, 211 - 1, 96 - 1) = "1", OFFSET($A$1, 211 - 1, 97 - 1) = "1" ), 1, IF( AND( OFFSET($A$1, 211 - 1, 96 - 1) = "1", OFFSET($A$1, 211 - 1, 97 - 1) = "0" ), 2, IF( AND( OFFSET($A$1, 211 - 1, 96 - 1) = "0", OFFSET($A$1, 211 - 1, 97 - 1) = "1" ), 3, 4 ) ) )</f>
        <v>1</v>
      </c>
      <c r="CV211" s="24">
        <v>0.99949941690498001</v>
      </c>
      <c r="CW211" s="24" t="str">
        <f t="shared" si="16"/>
        <v>1</v>
      </c>
      <c r="CX211" t="str">
        <f ca="1">IF((OFFSET($A$1, 211 - 1, 100 - 1)) &gt;= (OFFSET($A$1, 78 - 1, 7 - 1)), "1","0")</f>
        <v>1</v>
      </c>
      <c r="CY211">
        <f ca="1" xml:space="preserve"> IF( AND( OFFSET($A$1, 211 - 1, 101 - 1) = "1", OFFSET($A$1, 211 - 1, 102 - 1) = "1" ), 1, IF( AND( OFFSET($A$1, 211 - 1, 101 - 1) = "1", OFFSET($A$1, 211 - 1, 102 - 1) = "0" ), 2, IF( AND( OFFSET($A$1, 211 - 1, 101 - 1) = "0", OFFSET($A$1, 211 - 1, 102 - 1) = "1" ), 3, 4 ) ) )</f>
        <v>1</v>
      </c>
    </row>
    <row r="212" spans="95:103" ht="13.8" x14ac:dyDescent="0.3">
      <c r="CQ212" s="24">
        <v>0.9337158899333039</v>
      </c>
      <c r="CR212" s="24" t="str">
        <f t="shared" si="15"/>
        <v>1</v>
      </c>
      <c r="CS212" t="str">
        <f ca="1">IF((OFFSET($A$1, 212 - 1, 95 - 1)) &gt;= (OFFSET($A$1, 54 - 1, 7 - 1)), "1","0")</f>
        <v>1</v>
      </c>
      <c r="CT212">
        <f ca="1" xml:space="preserve"> IF( AND( OFFSET($A$1, 212 - 1, 96 - 1) = "1", OFFSET($A$1, 212 - 1, 97 - 1) = "1" ), 1, IF( AND( OFFSET($A$1, 212 - 1, 96 - 1) = "1", OFFSET($A$1, 212 - 1, 97 - 1) = "0" ), 2, IF( AND( OFFSET($A$1, 212 - 1, 96 - 1) = "0", OFFSET($A$1, 212 - 1, 97 - 1) = "1" ), 3, 4 ) ) )</f>
        <v>1</v>
      </c>
      <c r="CV212" s="24">
        <v>0.99916866867985044</v>
      </c>
      <c r="CW212" s="24" t="str">
        <f t="shared" si="16"/>
        <v>1</v>
      </c>
      <c r="CX212" t="str">
        <f ca="1">IF((OFFSET($A$1, 212 - 1, 100 - 1)) &gt;= (OFFSET($A$1, 78 - 1, 7 - 1)), "1","0")</f>
        <v>1</v>
      </c>
      <c r="CY212">
        <f ca="1" xml:space="preserve"> IF( AND( OFFSET($A$1, 212 - 1, 101 - 1) = "1", OFFSET($A$1, 212 - 1, 102 - 1) = "1" ), 1, IF( AND( OFFSET($A$1, 212 - 1, 101 - 1) = "1", OFFSET($A$1, 212 - 1, 102 - 1) = "0" ), 2, IF( AND( OFFSET($A$1, 212 - 1, 101 - 1) = "0", OFFSET($A$1, 212 - 1, 102 - 1) = "1" ), 3, 4 ) ) )</f>
        <v>1</v>
      </c>
    </row>
    <row r="213" spans="95:103" ht="13.8" x14ac:dyDescent="0.3">
      <c r="CQ213" s="24">
        <v>0.99931825135849428</v>
      </c>
      <c r="CR213" s="24" t="str">
        <f t="shared" si="15"/>
        <v>1</v>
      </c>
      <c r="CS213" t="str">
        <f ca="1">IF((OFFSET($A$1, 213 - 1, 95 - 1)) &gt;= (OFFSET($A$1, 54 - 1, 7 - 1)), "1","0")</f>
        <v>1</v>
      </c>
      <c r="CT213">
        <f ca="1" xml:space="preserve"> IF( AND( OFFSET($A$1, 213 - 1, 96 - 1) = "1", OFFSET($A$1, 213 - 1, 97 - 1) = "1" ), 1, IF( AND( OFFSET($A$1, 213 - 1, 96 - 1) = "1", OFFSET($A$1, 213 - 1, 97 - 1) = "0" ), 2, IF( AND( OFFSET($A$1, 213 - 1, 96 - 1) = "0", OFFSET($A$1, 213 - 1, 97 - 1) = "1" ), 3, 4 ) ) )</f>
        <v>1</v>
      </c>
      <c r="CV213" s="24">
        <v>0.73137545324890607</v>
      </c>
      <c r="CW213" s="24" t="str">
        <f t="shared" si="16"/>
        <v>1</v>
      </c>
      <c r="CX213" t="str">
        <f ca="1">IF((OFFSET($A$1, 213 - 1, 100 - 1)) &gt;= (OFFSET($A$1, 78 - 1, 7 - 1)), "1","0")</f>
        <v>1</v>
      </c>
      <c r="CY213">
        <f ca="1" xml:space="preserve"> IF( AND( OFFSET($A$1, 213 - 1, 101 - 1) = "1", OFFSET($A$1, 213 - 1, 102 - 1) = "1" ), 1, IF( AND( OFFSET($A$1, 213 - 1, 101 - 1) = "1", OFFSET($A$1, 213 - 1, 102 - 1) = "0" ), 2, IF( AND( OFFSET($A$1, 213 - 1, 101 - 1) = "0", OFFSET($A$1, 213 - 1, 102 - 1) = "1" ), 3, 4 ) ) )</f>
        <v>1</v>
      </c>
    </row>
    <row r="214" spans="95:103" ht="13.8" x14ac:dyDescent="0.3">
      <c r="CQ214" s="24">
        <v>0.10548380435376332</v>
      </c>
      <c r="CR214" s="24" t="str">
        <f>"0"</f>
        <v>0</v>
      </c>
      <c r="CS214" t="str">
        <f ca="1">IF((OFFSET($A$1, 214 - 1, 95 - 1)) &gt;= (OFFSET($A$1, 54 - 1, 7 - 1)), "1","0")</f>
        <v>0</v>
      </c>
      <c r="CT214">
        <f ca="1" xml:space="preserve"> IF( AND( OFFSET($A$1, 214 - 1, 96 - 1) = "1", OFFSET($A$1, 214 - 1, 97 - 1) = "1" ), 1, IF( AND( OFFSET($A$1, 214 - 1, 96 - 1) = "1", OFFSET($A$1, 214 - 1, 97 - 1) = "0" ), 2, IF( AND( OFFSET($A$1, 214 - 1, 96 - 1) = "0", OFFSET($A$1, 214 - 1, 97 - 1) = "1" ), 3, 4 ) ) )</f>
        <v>4</v>
      </c>
      <c r="CV214" s="24">
        <v>2.1950784707751768E-2</v>
      </c>
      <c r="CW214" s="24" t="str">
        <f>"0"</f>
        <v>0</v>
      </c>
      <c r="CX214" t="str">
        <f ca="1">IF((OFFSET($A$1, 214 - 1, 100 - 1)) &gt;= (OFFSET($A$1, 78 - 1, 7 - 1)), "1","0")</f>
        <v>0</v>
      </c>
      <c r="CY214">
        <f ca="1" xml:space="preserve"> IF( AND( OFFSET($A$1, 214 - 1, 101 - 1) = "1", OFFSET($A$1, 214 - 1, 102 - 1) = "1" ), 1, IF( AND( OFFSET($A$1, 214 - 1, 101 - 1) = "1", OFFSET($A$1, 214 - 1, 102 - 1) = "0" ), 2, IF( AND( OFFSET($A$1, 214 - 1, 101 - 1) = "0", OFFSET($A$1, 214 - 1, 102 - 1) = "1" ), 3, 4 ) ) )</f>
        <v>4</v>
      </c>
    </row>
    <row r="215" spans="95:103" ht="13.8" x14ac:dyDescent="0.3">
      <c r="CQ215" s="24">
        <v>0.94270072933642546</v>
      </c>
      <c r="CR215" s="24" t="str">
        <f>"1"</f>
        <v>1</v>
      </c>
      <c r="CS215" t="str">
        <f ca="1">IF((OFFSET($A$1, 215 - 1, 95 - 1)) &gt;= (OFFSET($A$1, 54 - 1, 7 - 1)), "1","0")</f>
        <v>1</v>
      </c>
      <c r="CT215">
        <f ca="1" xml:space="preserve"> IF( AND( OFFSET($A$1, 215 - 1, 96 - 1) = "1", OFFSET($A$1, 215 - 1, 97 - 1) = "1" ), 1, IF( AND( OFFSET($A$1, 215 - 1, 96 - 1) = "1", OFFSET($A$1, 215 - 1, 97 - 1) = "0" ), 2, IF( AND( OFFSET($A$1, 215 - 1, 96 - 1) = "0", OFFSET($A$1, 215 - 1, 97 - 1) = "1" ), 3, 4 ) ) )</f>
        <v>1</v>
      </c>
      <c r="CV215" s="24">
        <v>0.23861397360699779</v>
      </c>
      <c r="CW215" s="24" t="str">
        <f>"0"</f>
        <v>0</v>
      </c>
      <c r="CX215" t="str">
        <f ca="1">IF((OFFSET($A$1, 215 - 1, 100 - 1)) &gt;= (OFFSET($A$1, 78 - 1, 7 - 1)), "1","0")</f>
        <v>0</v>
      </c>
      <c r="CY215">
        <f ca="1" xml:space="preserve"> IF( AND( OFFSET($A$1, 215 - 1, 101 - 1) = "1", OFFSET($A$1, 215 - 1, 102 - 1) = "1" ), 1, IF( AND( OFFSET($A$1, 215 - 1, 101 - 1) = "1", OFFSET($A$1, 215 - 1, 102 - 1) = "0" ), 2, IF( AND( OFFSET($A$1, 215 - 1, 101 - 1) = "0", OFFSET($A$1, 215 - 1, 102 - 1) = "1" ), 3, 4 ) ) )</f>
        <v>4</v>
      </c>
    </row>
    <row r="216" spans="95:103" ht="13.8" x14ac:dyDescent="0.3">
      <c r="CQ216" s="24">
        <v>1.0861934368566653E-3</v>
      </c>
      <c r="CR216" s="24" t="str">
        <f>"0"</f>
        <v>0</v>
      </c>
      <c r="CS216" t="str">
        <f ca="1">IF((OFFSET($A$1, 216 - 1, 95 - 1)) &gt;= (OFFSET($A$1, 54 - 1, 7 - 1)), "1","0")</f>
        <v>0</v>
      </c>
      <c r="CT216">
        <f ca="1" xml:space="preserve"> IF( AND( OFFSET($A$1, 216 - 1, 96 - 1) = "1", OFFSET($A$1, 216 - 1, 97 - 1) = "1" ), 1, IF( AND( OFFSET($A$1, 216 - 1, 96 - 1) = "1", OFFSET($A$1, 216 - 1, 97 - 1) = "0" ), 2, IF( AND( OFFSET($A$1, 216 - 1, 96 - 1) = "0", OFFSET($A$1, 216 - 1, 97 - 1) = "1" ), 3, 4 ) ) )</f>
        <v>4</v>
      </c>
      <c r="CV216" s="24">
        <v>0.41644175985958792</v>
      </c>
      <c r="CW216" s="24" t="str">
        <f>"0"</f>
        <v>0</v>
      </c>
      <c r="CX216" t="str">
        <f ca="1">IF((OFFSET($A$1, 216 - 1, 100 - 1)) &gt;= (OFFSET($A$1, 78 - 1, 7 - 1)), "1","0")</f>
        <v>0</v>
      </c>
      <c r="CY216">
        <f ca="1" xml:space="preserve"> IF( AND( OFFSET($A$1, 216 - 1, 101 - 1) = "1", OFFSET($A$1, 216 - 1, 102 - 1) = "1" ), 1, IF( AND( OFFSET($A$1, 216 - 1, 101 - 1) = "1", OFFSET($A$1, 216 - 1, 102 - 1) = "0" ), 2, IF( AND( OFFSET($A$1, 216 - 1, 101 - 1) = "0", OFFSET($A$1, 216 - 1, 102 - 1) = "1" ), 3, 4 ) ) )</f>
        <v>4</v>
      </c>
    </row>
    <row r="217" spans="95:103" ht="13.8" x14ac:dyDescent="0.3">
      <c r="CQ217" s="24">
        <v>0.99513135574461875</v>
      </c>
      <c r="CR217" s="24" t="str">
        <f>"1"</f>
        <v>1</v>
      </c>
      <c r="CS217" t="str">
        <f ca="1">IF((OFFSET($A$1, 217 - 1, 95 - 1)) &gt;= (OFFSET($A$1, 54 - 1, 7 - 1)), "1","0")</f>
        <v>1</v>
      </c>
      <c r="CT217">
        <f ca="1" xml:space="preserve"> IF( AND( OFFSET($A$1, 217 - 1, 96 - 1) = "1", OFFSET($A$1, 217 - 1, 97 - 1) = "1" ), 1, IF( AND( OFFSET($A$1, 217 - 1, 96 - 1) = "1", OFFSET($A$1, 217 - 1, 97 - 1) = "0" ), 2, IF( AND( OFFSET($A$1, 217 - 1, 96 - 1) = "0", OFFSET($A$1, 217 - 1, 97 - 1) = "1" ), 3, 4 ) ) )</f>
        <v>1</v>
      </c>
      <c r="CV217" s="24">
        <v>5.0563419743692814E-2</v>
      </c>
      <c r="CW217" s="24" t="str">
        <f>"1"</f>
        <v>1</v>
      </c>
      <c r="CX217" t="str">
        <f ca="1">IF((OFFSET($A$1, 217 - 1, 100 - 1)) &gt;= (OFFSET($A$1, 78 - 1, 7 - 1)), "1","0")</f>
        <v>0</v>
      </c>
      <c r="CY217">
        <f ca="1" xml:space="preserve"> IF( AND( OFFSET($A$1, 217 - 1, 101 - 1) = "1", OFFSET($A$1, 217 - 1, 102 - 1) = "1" ), 1, IF( AND( OFFSET($A$1, 217 - 1, 101 - 1) = "1", OFFSET($A$1, 217 - 1, 102 - 1) = "0" ), 2, IF( AND( OFFSET($A$1, 217 - 1, 101 - 1) = "0", OFFSET($A$1, 217 - 1, 102 - 1) = "1" ), 3, 4 ) ) )</f>
        <v>2</v>
      </c>
    </row>
    <row r="218" spans="95:103" ht="13.8" x14ac:dyDescent="0.3">
      <c r="CQ218" s="24">
        <v>0.98255314329826804</v>
      </c>
      <c r="CR218" s="24" t="str">
        <f>"1"</f>
        <v>1</v>
      </c>
      <c r="CS218" t="str">
        <f ca="1">IF((OFFSET($A$1, 218 - 1, 95 - 1)) &gt;= (OFFSET($A$1, 54 - 1, 7 - 1)), "1","0")</f>
        <v>1</v>
      </c>
      <c r="CT218">
        <f ca="1" xml:space="preserve"> IF( AND( OFFSET($A$1, 218 - 1, 96 - 1) = "1", OFFSET($A$1, 218 - 1, 97 - 1) = "1" ), 1, IF( AND( OFFSET($A$1, 218 - 1, 96 - 1) = "1", OFFSET($A$1, 218 - 1, 97 - 1) = "0" ), 2, IF( AND( OFFSET($A$1, 218 - 1, 96 - 1) = "0", OFFSET($A$1, 218 - 1, 97 - 1) = "1" ), 3, 4 ) ) )</f>
        <v>1</v>
      </c>
      <c r="CV218" s="24">
        <v>0.98899839826780223</v>
      </c>
      <c r="CW218" s="24" t="str">
        <f>"1"</f>
        <v>1</v>
      </c>
      <c r="CX218" t="str">
        <f ca="1">IF((OFFSET($A$1, 218 - 1, 100 - 1)) &gt;= (OFFSET($A$1, 78 - 1, 7 - 1)), "1","0")</f>
        <v>1</v>
      </c>
      <c r="CY218">
        <f ca="1" xml:space="preserve"> IF( AND( OFFSET($A$1, 218 - 1, 101 - 1) = "1", OFFSET($A$1, 218 - 1, 102 - 1) = "1" ), 1, IF( AND( OFFSET($A$1, 218 - 1, 101 - 1) = "1", OFFSET($A$1, 218 - 1, 102 - 1) = "0" ), 2, IF( AND( OFFSET($A$1, 218 - 1, 101 - 1) = "0", OFFSET($A$1, 218 - 1, 102 - 1) = "1" ), 3, 4 ) ) )</f>
        <v>1</v>
      </c>
    </row>
    <row r="219" spans="95:103" ht="13.8" x14ac:dyDescent="0.3">
      <c r="CQ219" s="24">
        <v>5.5548437837361367E-2</v>
      </c>
      <c r="CR219" s="24" t="str">
        <f>"0"</f>
        <v>0</v>
      </c>
      <c r="CS219" t="str">
        <f ca="1">IF((OFFSET($A$1, 219 - 1, 95 - 1)) &gt;= (OFFSET($A$1, 54 - 1, 7 - 1)), "1","0")</f>
        <v>0</v>
      </c>
      <c r="CT219">
        <f ca="1" xml:space="preserve"> IF( AND( OFFSET($A$1, 219 - 1, 96 - 1) = "1", OFFSET($A$1, 219 - 1, 97 - 1) = "1" ), 1, IF( AND( OFFSET($A$1, 219 - 1, 96 - 1) = "1", OFFSET($A$1, 219 - 1, 97 - 1) = "0" ), 2, IF( AND( OFFSET($A$1, 219 - 1, 96 - 1) = "0", OFFSET($A$1, 219 - 1, 97 - 1) = "1" ), 3, 4 ) ) )</f>
        <v>4</v>
      </c>
      <c r="CV219" s="24">
        <v>0.99978756281103098</v>
      </c>
      <c r="CW219" s="24" t="str">
        <f>"1"</f>
        <v>1</v>
      </c>
      <c r="CX219" t="str">
        <f ca="1">IF((OFFSET($A$1, 219 - 1, 100 - 1)) &gt;= (OFFSET($A$1, 78 - 1, 7 - 1)), "1","0")</f>
        <v>1</v>
      </c>
      <c r="CY219">
        <f ca="1" xml:space="preserve"> IF( AND( OFFSET($A$1, 219 - 1, 101 - 1) = "1", OFFSET($A$1, 219 - 1, 102 - 1) = "1" ), 1, IF( AND( OFFSET($A$1, 219 - 1, 101 - 1) = "1", OFFSET($A$1, 219 - 1, 102 - 1) = "0" ), 2, IF( AND( OFFSET($A$1, 219 - 1, 101 - 1) = "0", OFFSET($A$1, 219 - 1, 102 - 1) = "1" ), 3, 4 ) ) )</f>
        <v>1</v>
      </c>
    </row>
    <row r="220" spans="95:103" ht="13.8" x14ac:dyDescent="0.3">
      <c r="CQ220" s="24">
        <v>6.7499320800372409E-2</v>
      </c>
      <c r="CR220" s="24" t="str">
        <f>"0"</f>
        <v>0</v>
      </c>
      <c r="CS220" t="str">
        <f ca="1">IF((OFFSET($A$1, 220 - 1, 95 - 1)) &gt;= (OFFSET($A$1, 54 - 1, 7 - 1)), "1","0")</f>
        <v>0</v>
      </c>
      <c r="CT220">
        <f ca="1" xml:space="preserve"> IF( AND( OFFSET($A$1, 220 - 1, 96 - 1) = "1", OFFSET($A$1, 220 - 1, 97 - 1) = "1" ), 1, IF( AND( OFFSET($A$1, 220 - 1, 96 - 1) = "1", OFFSET($A$1, 220 - 1, 97 - 1) = "0" ), 2, IF( AND( OFFSET($A$1, 220 - 1, 96 - 1) = "0", OFFSET($A$1, 220 - 1, 97 - 1) = "1" ), 3, 4 ) ) )</f>
        <v>4</v>
      </c>
      <c r="CV220" s="24">
        <v>0.99947881098746805</v>
      </c>
      <c r="CW220" s="24" t="str">
        <f>"1"</f>
        <v>1</v>
      </c>
      <c r="CX220" t="str">
        <f ca="1">IF((OFFSET($A$1, 220 - 1, 100 - 1)) &gt;= (OFFSET($A$1, 78 - 1, 7 - 1)), "1","0")</f>
        <v>1</v>
      </c>
      <c r="CY220">
        <f ca="1" xml:space="preserve"> IF( AND( OFFSET($A$1, 220 - 1, 101 - 1) = "1", OFFSET($A$1, 220 - 1, 102 - 1) = "1" ), 1, IF( AND( OFFSET($A$1, 220 - 1, 101 - 1) = "1", OFFSET($A$1, 220 - 1, 102 - 1) = "0" ), 2, IF( AND( OFFSET($A$1, 220 - 1, 101 - 1) = "0", OFFSET($A$1, 220 - 1, 102 - 1) = "1" ), 3, 4 ) ) )</f>
        <v>1</v>
      </c>
    </row>
    <row r="221" spans="95:103" ht="13.8" x14ac:dyDescent="0.3">
      <c r="CQ221" s="24">
        <v>0.91464759160503217</v>
      </c>
      <c r="CR221" s="24" t="str">
        <f>"1"</f>
        <v>1</v>
      </c>
      <c r="CS221" t="str">
        <f ca="1">IF((OFFSET($A$1, 221 - 1, 95 - 1)) &gt;= (OFFSET($A$1, 54 - 1, 7 - 1)), "1","0")</f>
        <v>1</v>
      </c>
      <c r="CT221">
        <f ca="1" xml:space="preserve"> IF( AND( OFFSET($A$1, 221 - 1, 96 - 1) = "1", OFFSET($A$1, 221 - 1, 97 - 1) = "1" ), 1, IF( AND( OFFSET($A$1, 221 - 1, 96 - 1) = "1", OFFSET($A$1, 221 - 1, 97 - 1) = "0" ), 2, IF( AND( OFFSET($A$1, 221 - 1, 96 - 1) = "0", OFFSET($A$1, 221 - 1, 97 - 1) = "1" ), 3, 4 ) ) )</f>
        <v>1</v>
      </c>
      <c r="CV221" s="24">
        <v>0.99987059091691122</v>
      </c>
      <c r="CW221" s="24" t="str">
        <f>"1"</f>
        <v>1</v>
      </c>
      <c r="CX221" t="str">
        <f ca="1">IF((OFFSET($A$1, 221 - 1, 100 - 1)) &gt;= (OFFSET($A$1, 78 - 1, 7 - 1)), "1","0")</f>
        <v>1</v>
      </c>
      <c r="CY221">
        <f ca="1" xml:space="preserve"> IF( AND( OFFSET($A$1, 221 - 1, 101 - 1) = "1", OFFSET($A$1, 221 - 1, 102 - 1) = "1" ), 1, IF( AND( OFFSET($A$1, 221 - 1, 101 - 1) = "1", OFFSET($A$1, 221 - 1, 102 - 1) = "0" ), 2, IF( AND( OFFSET($A$1, 221 - 1, 101 - 1) = "0", OFFSET($A$1, 221 - 1, 102 - 1) = "1" ), 3, 4 ) ) )</f>
        <v>1</v>
      </c>
    </row>
    <row r="222" spans="95:103" ht="13.8" x14ac:dyDescent="0.3">
      <c r="CQ222" s="24">
        <v>0.99996045336179429</v>
      </c>
      <c r="CR222" s="24" t="str">
        <f>"1"</f>
        <v>1</v>
      </c>
      <c r="CS222" t="str">
        <f ca="1">IF((OFFSET($A$1, 222 - 1, 95 - 1)) &gt;= (OFFSET($A$1, 54 - 1, 7 - 1)), "1","0")</f>
        <v>1</v>
      </c>
      <c r="CT222">
        <f ca="1" xml:space="preserve"> IF( AND( OFFSET($A$1, 222 - 1, 96 - 1) = "1", OFFSET($A$1, 222 - 1, 97 - 1) = "1" ), 1, IF( AND( OFFSET($A$1, 222 - 1, 96 - 1) = "1", OFFSET($A$1, 222 - 1, 97 - 1) = "0" ), 2, IF( AND( OFFSET($A$1, 222 - 1, 96 - 1) = "0", OFFSET($A$1, 222 - 1, 97 - 1) = "1" ), 3, 4 ) ) )</f>
        <v>1</v>
      </c>
      <c r="CV222" s="24">
        <v>0.98033624363275251</v>
      </c>
      <c r="CW222" s="24" t="str">
        <f>"0"</f>
        <v>0</v>
      </c>
      <c r="CX222" t="str">
        <f ca="1">IF((OFFSET($A$1, 222 - 1, 100 - 1)) &gt;= (OFFSET($A$1, 78 - 1, 7 - 1)), "1","0")</f>
        <v>1</v>
      </c>
      <c r="CY222">
        <f ca="1" xml:space="preserve"> IF( AND( OFFSET($A$1, 222 - 1, 101 - 1) = "1", OFFSET($A$1, 222 - 1, 102 - 1) = "1" ), 1, IF( AND( OFFSET($A$1, 222 - 1, 101 - 1) = "1", OFFSET($A$1, 222 - 1, 102 - 1) = "0" ), 2, IF( AND( OFFSET($A$1, 222 - 1, 101 - 1) = "0", OFFSET($A$1, 222 - 1, 102 - 1) = "1" ), 3, 4 ) ) )</f>
        <v>3</v>
      </c>
    </row>
    <row r="223" spans="95:103" ht="13.8" x14ac:dyDescent="0.3">
      <c r="CQ223" s="24">
        <v>0.99997362485893593</v>
      </c>
      <c r="CR223" s="24" t="str">
        <f>"1"</f>
        <v>1</v>
      </c>
      <c r="CS223" t="str">
        <f ca="1">IF((OFFSET($A$1, 223 - 1, 95 - 1)) &gt;= (OFFSET($A$1, 54 - 1, 7 - 1)), "1","0")</f>
        <v>1</v>
      </c>
      <c r="CT223">
        <f ca="1" xml:space="preserve"> IF( AND( OFFSET($A$1, 223 - 1, 96 - 1) = "1", OFFSET($A$1, 223 - 1, 97 - 1) = "1" ), 1, IF( AND( OFFSET($A$1, 223 - 1, 96 - 1) = "1", OFFSET($A$1, 223 - 1, 97 - 1) = "0" ), 2, IF( AND( OFFSET($A$1, 223 - 1, 96 - 1) = "0", OFFSET($A$1, 223 - 1, 97 - 1) = "1" ), 3, 4 ) ) )</f>
        <v>1</v>
      </c>
      <c r="CV223" s="24">
        <v>0.65407299950000353</v>
      </c>
      <c r="CW223" s="24" t="str">
        <f>"0"</f>
        <v>0</v>
      </c>
      <c r="CX223" t="str">
        <f ca="1">IF((OFFSET($A$1, 223 - 1, 100 - 1)) &gt;= (OFFSET($A$1, 78 - 1, 7 - 1)), "1","0")</f>
        <v>1</v>
      </c>
      <c r="CY223">
        <f ca="1" xml:space="preserve"> IF( AND( OFFSET($A$1, 223 - 1, 101 - 1) = "1", OFFSET($A$1, 223 - 1, 102 - 1) = "1" ), 1, IF( AND( OFFSET($A$1, 223 - 1, 101 - 1) = "1", OFFSET($A$1, 223 - 1, 102 - 1) = "0" ), 2, IF( AND( OFFSET($A$1, 223 - 1, 101 - 1) = "0", OFFSET($A$1, 223 - 1, 102 - 1) = "1" ), 3, 4 ) ) )</f>
        <v>3</v>
      </c>
    </row>
    <row r="224" spans="95:103" ht="13.8" x14ac:dyDescent="0.3">
      <c r="CQ224" s="24">
        <v>6.5274372718837584E-2</v>
      </c>
      <c r="CR224" s="24" t="str">
        <f>"0"</f>
        <v>0</v>
      </c>
      <c r="CS224" t="str">
        <f ca="1">IF((OFFSET($A$1, 224 - 1, 95 - 1)) &gt;= (OFFSET($A$1, 54 - 1, 7 - 1)), "1","0")</f>
        <v>0</v>
      </c>
      <c r="CT224">
        <f ca="1" xml:space="preserve"> IF( AND( OFFSET($A$1, 224 - 1, 96 - 1) = "1", OFFSET($A$1, 224 - 1, 97 - 1) = "1" ), 1, IF( AND( OFFSET($A$1, 224 - 1, 96 - 1) = "1", OFFSET($A$1, 224 - 1, 97 - 1) = "0" ), 2, IF( AND( OFFSET($A$1, 224 - 1, 96 - 1) = "0", OFFSET($A$1, 224 - 1, 97 - 1) = "1" ), 3, 4 ) ) )</f>
        <v>4</v>
      </c>
      <c r="CV224" s="24">
        <v>0.96909425440159613</v>
      </c>
      <c r="CW224" s="24" t="str">
        <f>"1"</f>
        <v>1</v>
      </c>
      <c r="CX224" t="str">
        <f ca="1">IF((OFFSET($A$1, 224 - 1, 100 - 1)) &gt;= (OFFSET($A$1, 78 - 1, 7 - 1)), "1","0")</f>
        <v>1</v>
      </c>
      <c r="CY224">
        <f ca="1" xml:space="preserve"> IF( AND( OFFSET($A$1, 224 - 1, 101 - 1) = "1", OFFSET($A$1, 224 - 1, 102 - 1) = "1" ), 1, IF( AND( OFFSET($A$1, 224 - 1, 101 - 1) = "1", OFFSET($A$1, 224 - 1, 102 - 1) = "0" ), 2, IF( AND( OFFSET($A$1, 224 - 1, 101 - 1) = "0", OFFSET($A$1, 224 - 1, 102 - 1) = "1" ), 3, 4 ) ) )</f>
        <v>1</v>
      </c>
    </row>
    <row r="225" spans="95:103" ht="13.8" x14ac:dyDescent="0.3">
      <c r="CQ225" s="24">
        <v>0.99129778206661268</v>
      </c>
      <c r="CR225" s="24" t="str">
        <f>"1"</f>
        <v>1</v>
      </c>
      <c r="CS225" t="str">
        <f ca="1">IF((OFFSET($A$1, 225 - 1, 95 - 1)) &gt;= (OFFSET($A$1, 54 - 1, 7 - 1)), "1","0")</f>
        <v>1</v>
      </c>
      <c r="CT225">
        <f ca="1" xml:space="preserve"> IF( AND( OFFSET($A$1, 225 - 1, 96 - 1) = "1", OFFSET($A$1, 225 - 1, 97 - 1) = "1" ), 1, IF( AND( OFFSET($A$1, 225 - 1, 96 - 1) = "1", OFFSET($A$1, 225 - 1, 97 - 1) = "0" ), 2, IF( AND( OFFSET($A$1, 225 - 1, 96 - 1) = "0", OFFSET($A$1, 225 - 1, 97 - 1) = "1" ), 3, 4 ) ) )</f>
        <v>1</v>
      </c>
      <c r="CV225" s="24">
        <v>0.31791718549342962</v>
      </c>
      <c r="CW225" s="24" t="str">
        <f>"0"</f>
        <v>0</v>
      </c>
      <c r="CX225" t="str">
        <f ca="1">IF((OFFSET($A$1, 225 - 1, 100 - 1)) &gt;= (OFFSET($A$1, 78 - 1, 7 - 1)), "1","0")</f>
        <v>0</v>
      </c>
      <c r="CY225">
        <f ca="1" xml:space="preserve"> IF( AND( OFFSET($A$1, 225 - 1, 101 - 1) = "1", OFFSET($A$1, 225 - 1, 102 - 1) = "1" ), 1, IF( AND( OFFSET($A$1, 225 - 1, 101 - 1) = "1", OFFSET($A$1, 225 - 1, 102 - 1) = "0" ), 2, IF( AND( OFFSET($A$1, 225 - 1, 101 - 1) = "0", OFFSET($A$1, 225 - 1, 102 - 1) = "1" ), 3, 4 ) ) )</f>
        <v>4</v>
      </c>
    </row>
    <row r="226" spans="95:103" ht="13.8" x14ac:dyDescent="0.3">
      <c r="CQ226" s="24">
        <v>0.9548344844209965</v>
      </c>
      <c r="CR226" s="24" t="str">
        <f>"1"</f>
        <v>1</v>
      </c>
      <c r="CS226" t="str">
        <f ca="1">IF((OFFSET($A$1, 226 - 1, 95 - 1)) &gt;= (OFFSET($A$1, 54 - 1, 7 - 1)), "1","0")</f>
        <v>1</v>
      </c>
      <c r="CT226">
        <f ca="1" xml:space="preserve"> IF( AND( OFFSET($A$1, 226 - 1, 96 - 1) = "1", OFFSET($A$1, 226 - 1, 97 - 1) = "1" ), 1, IF( AND( OFFSET($A$1, 226 - 1, 96 - 1) = "1", OFFSET($A$1, 226 - 1, 97 - 1) = "0" ), 2, IF( AND( OFFSET($A$1, 226 - 1, 96 - 1) = "0", OFFSET($A$1, 226 - 1, 97 - 1) = "1" ), 3, 4 ) ) )</f>
        <v>1</v>
      </c>
      <c r="CV226" s="24">
        <v>0.99965834591068925</v>
      </c>
      <c r="CW226" s="24" t="str">
        <f>"1"</f>
        <v>1</v>
      </c>
      <c r="CX226" t="str">
        <f ca="1">IF((OFFSET($A$1, 226 - 1, 100 - 1)) &gt;= (OFFSET($A$1, 78 - 1, 7 - 1)), "1","0")</f>
        <v>1</v>
      </c>
      <c r="CY226">
        <f ca="1" xml:space="preserve"> IF( AND( OFFSET($A$1, 226 - 1, 101 - 1) = "1", OFFSET($A$1, 226 - 1, 102 - 1) = "1" ), 1, IF( AND( OFFSET($A$1, 226 - 1, 101 - 1) = "1", OFFSET($A$1, 226 - 1, 102 - 1) = "0" ), 2, IF( AND( OFFSET($A$1, 226 - 1, 101 - 1) = "0", OFFSET($A$1, 226 - 1, 102 - 1) = "1" ), 3, 4 ) ) )</f>
        <v>1</v>
      </c>
    </row>
    <row r="227" spans="95:103" ht="13.8" x14ac:dyDescent="0.3">
      <c r="CQ227" s="24">
        <v>0.89152762887689985</v>
      </c>
      <c r="CR227" s="24" t="str">
        <f>"1"</f>
        <v>1</v>
      </c>
      <c r="CS227" t="str">
        <f ca="1">IF((OFFSET($A$1, 227 - 1, 95 - 1)) &gt;= (OFFSET($A$1, 54 - 1, 7 - 1)), "1","0")</f>
        <v>1</v>
      </c>
      <c r="CT227">
        <f ca="1" xml:space="preserve"> IF( AND( OFFSET($A$1, 227 - 1, 96 - 1) = "1", OFFSET($A$1, 227 - 1, 97 - 1) = "1" ), 1, IF( AND( OFFSET($A$1, 227 - 1, 96 - 1) = "1", OFFSET($A$1, 227 - 1, 97 - 1) = "0" ), 2, IF( AND( OFFSET($A$1, 227 - 1, 96 - 1) = "0", OFFSET($A$1, 227 - 1, 97 - 1) = "1" ), 3, 4 ) ) )</f>
        <v>1</v>
      </c>
      <c r="CV227" s="24">
        <v>0.99784165412188552</v>
      </c>
      <c r="CW227" s="24" t="str">
        <f>"1"</f>
        <v>1</v>
      </c>
      <c r="CX227" t="str">
        <f ca="1">IF((OFFSET($A$1, 227 - 1, 100 - 1)) &gt;= (OFFSET($A$1, 78 - 1, 7 - 1)), "1","0")</f>
        <v>1</v>
      </c>
      <c r="CY227">
        <f ca="1" xml:space="preserve"> IF( AND( OFFSET($A$1, 227 - 1, 101 - 1) = "1", OFFSET($A$1, 227 - 1, 102 - 1) = "1" ), 1, IF( AND( OFFSET($A$1, 227 - 1, 101 - 1) = "1", OFFSET($A$1, 227 - 1, 102 - 1) = "0" ), 2, IF( AND( OFFSET($A$1, 227 - 1, 101 - 1) = "0", OFFSET($A$1, 227 - 1, 102 - 1) = "1" ), 3, 4 ) ) )</f>
        <v>1</v>
      </c>
    </row>
    <row r="228" spans="95:103" ht="13.8" x14ac:dyDescent="0.3">
      <c r="CQ228" s="24">
        <v>0.9977989953870694</v>
      </c>
      <c r="CR228" s="24" t="str">
        <f>"0"</f>
        <v>0</v>
      </c>
      <c r="CS228" t="str">
        <f ca="1">IF((OFFSET($A$1, 228 - 1, 95 - 1)) &gt;= (OFFSET($A$1, 54 - 1, 7 - 1)), "1","0")</f>
        <v>1</v>
      </c>
      <c r="CT228">
        <f ca="1" xml:space="preserve"> IF( AND( OFFSET($A$1, 228 - 1, 96 - 1) = "1", OFFSET($A$1, 228 - 1, 97 - 1) = "1" ), 1, IF( AND( OFFSET($A$1, 228 - 1, 96 - 1) = "1", OFFSET($A$1, 228 - 1, 97 - 1) = "0" ), 2, IF( AND( OFFSET($A$1, 228 - 1, 96 - 1) = "0", OFFSET($A$1, 228 - 1, 97 - 1) = "1" ), 3, 4 ) ) )</f>
        <v>3</v>
      </c>
      <c r="CV228" s="24">
        <v>0.2759319168047723</v>
      </c>
      <c r="CW228" s="24" t="str">
        <f>"0"</f>
        <v>0</v>
      </c>
      <c r="CX228" t="str">
        <f ca="1">IF((OFFSET($A$1, 228 - 1, 100 - 1)) &gt;= (OFFSET($A$1, 78 - 1, 7 - 1)), "1","0")</f>
        <v>0</v>
      </c>
      <c r="CY228">
        <f ca="1" xml:space="preserve"> IF( AND( OFFSET($A$1, 228 - 1, 101 - 1) = "1", OFFSET($A$1, 228 - 1, 102 - 1) = "1" ), 1, IF( AND( OFFSET($A$1, 228 - 1, 101 - 1) = "1", OFFSET($A$1, 228 - 1, 102 - 1) = "0" ), 2, IF( AND( OFFSET($A$1, 228 - 1, 101 - 1) = "0", OFFSET($A$1, 228 - 1, 102 - 1) = "1" ), 3, 4 ) ) )</f>
        <v>4</v>
      </c>
    </row>
    <row r="229" spans="95:103" ht="13.8" x14ac:dyDescent="0.3">
      <c r="CQ229" s="24">
        <v>0.99761706546374418</v>
      </c>
      <c r="CR229" s="24" t="str">
        <f>"1"</f>
        <v>1</v>
      </c>
      <c r="CS229" t="str">
        <f ca="1">IF((OFFSET($A$1, 229 - 1, 95 - 1)) &gt;= (OFFSET($A$1, 54 - 1, 7 - 1)), "1","0")</f>
        <v>1</v>
      </c>
      <c r="CT229">
        <f ca="1" xml:space="preserve"> IF( AND( OFFSET($A$1, 229 - 1, 96 - 1) = "1", OFFSET($A$1, 229 - 1, 97 - 1) = "1" ), 1, IF( AND( OFFSET($A$1, 229 - 1, 96 - 1) = "1", OFFSET($A$1, 229 - 1, 97 - 1) = "0" ), 2, IF( AND( OFFSET($A$1, 229 - 1, 96 - 1) = "0", OFFSET($A$1, 229 - 1, 97 - 1) = "1" ), 3, 4 ) ) )</f>
        <v>1</v>
      </c>
      <c r="CV229" s="24">
        <v>0.26426673651072363</v>
      </c>
      <c r="CW229" s="24" t="str">
        <f>"1"</f>
        <v>1</v>
      </c>
      <c r="CX229" t="str">
        <f ca="1">IF((OFFSET($A$1, 229 - 1, 100 - 1)) &gt;= (OFFSET($A$1, 78 - 1, 7 - 1)), "1","0")</f>
        <v>0</v>
      </c>
      <c r="CY229">
        <f ca="1" xml:space="preserve"> IF( AND( OFFSET($A$1, 229 - 1, 101 - 1) = "1", OFFSET($A$1, 229 - 1, 102 - 1) = "1" ), 1, IF( AND( OFFSET($A$1, 229 - 1, 101 - 1) = "1", OFFSET($A$1, 229 - 1, 102 - 1) = "0" ), 2, IF( AND( OFFSET($A$1, 229 - 1, 101 - 1) = "0", OFFSET($A$1, 229 - 1, 102 - 1) = "1" ), 3, 4 ) ) )</f>
        <v>2</v>
      </c>
    </row>
    <row r="230" spans="95:103" ht="13.8" x14ac:dyDescent="0.3">
      <c r="CQ230" s="24">
        <v>0.99920163901797299</v>
      </c>
      <c r="CR230" s="24" t="str">
        <f>"1"</f>
        <v>1</v>
      </c>
      <c r="CS230" t="str">
        <f ca="1">IF((OFFSET($A$1, 230 - 1, 95 - 1)) &gt;= (OFFSET($A$1, 54 - 1, 7 - 1)), "1","0")</f>
        <v>1</v>
      </c>
      <c r="CT230">
        <f ca="1" xml:space="preserve"> IF( AND( OFFSET($A$1, 230 - 1, 96 - 1) = "1", OFFSET($A$1, 230 - 1, 97 - 1) = "1" ), 1, IF( AND( OFFSET($A$1, 230 - 1, 96 - 1) = "1", OFFSET($A$1, 230 - 1, 97 - 1) = "0" ), 2, IF( AND( OFFSET($A$1, 230 - 1, 96 - 1) = "0", OFFSET($A$1, 230 - 1, 97 - 1) = "1" ), 3, 4 ) ) )</f>
        <v>1</v>
      </c>
      <c r="CV230" s="24">
        <v>0.99667792844790348</v>
      </c>
      <c r="CW230" s="24" t="str">
        <f>"1"</f>
        <v>1</v>
      </c>
      <c r="CX230" t="str">
        <f ca="1">IF((OFFSET($A$1, 230 - 1, 100 - 1)) &gt;= (OFFSET($A$1, 78 - 1, 7 - 1)), "1","0")</f>
        <v>1</v>
      </c>
      <c r="CY230">
        <f ca="1" xml:space="preserve"> IF( AND( OFFSET($A$1, 230 - 1, 101 - 1) = "1", OFFSET($A$1, 230 - 1, 102 - 1) = "1" ), 1, IF( AND( OFFSET($A$1, 230 - 1, 101 - 1) = "1", OFFSET($A$1, 230 - 1, 102 - 1) = "0" ), 2, IF( AND( OFFSET($A$1, 230 - 1, 101 - 1) = "0", OFFSET($A$1, 230 - 1, 102 - 1) = "1" ), 3, 4 ) ) )</f>
        <v>1</v>
      </c>
    </row>
    <row r="231" spans="95:103" ht="13.8" x14ac:dyDescent="0.3">
      <c r="CQ231" s="24">
        <v>0.88901755467223531</v>
      </c>
      <c r="CR231" s="24" t="str">
        <f>"1"</f>
        <v>1</v>
      </c>
      <c r="CS231" t="str">
        <f ca="1">IF((OFFSET($A$1, 231 - 1, 95 - 1)) &gt;= (OFFSET($A$1, 54 - 1, 7 - 1)), "1","0")</f>
        <v>1</v>
      </c>
      <c r="CT231">
        <f ca="1" xml:space="preserve"> IF( AND( OFFSET($A$1, 231 - 1, 96 - 1) = "1", OFFSET($A$1, 231 - 1, 97 - 1) = "1" ), 1, IF( AND( OFFSET($A$1, 231 - 1, 96 - 1) = "1", OFFSET($A$1, 231 - 1, 97 - 1) = "0" ), 2, IF( AND( OFFSET($A$1, 231 - 1, 96 - 1) = "0", OFFSET($A$1, 231 - 1, 97 - 1) = "1" ), 3, 4 ) ) )</f>
        <v>1</v>
      </c>
      <c r="CV231" s="24">
        <v>0.99996844192209333</v>
      </c>
      <c r="CW231" s="24" t="str">
        <f>"1"</f>
        <v>1</v>
      </c>
      <c r="CX231" t="str">
        <f ca="1">IF((OFFSET($A$1, 231 - 1, 100 - 1)) &gt;= (OFFSET($A$1, 78 - 1, 7 - 1)), "1","0")</f>
        <v>1</v>
      </c>
      <c r="CY231">
        <f ca="1" xml:space="preserve"> IF( AND( OFFSET($A$1, 231 - 1, 101 - 1) = "1", OFFSET($A$1, 231 - 1, 102 - 1) = "1" ), 1, IF( AND( OFFSET($A$1, 231 - 1, 101 - 1) = "1", OFFSET($A$1, 231 - 1, 102 - 1) = "0" ), 2, IF( AND( OFFSET($A$1, 231 - 1, 101 - 1) = "0", OFFSET($A$1, 231 - 1, 102 - 1) = "1" ), 3, 4 ) ) )</f>
        <v>1</v>
      </c>
    </row>
    <row r="232" spans="95:103" ht="13.8" x14ac:dyDescent="0.3">
      <c r="CQ232" s="24">
        <v>4.6919084209701298E-2</v>
      </c>
      <c r="CR232" s="24" t="str">
        <f>"0"</f>
        <v>0</v>
      </c>
      <c r="CS232" t="str">
        <f ca="1">IF((OFFSET($A$1, 232 - 1, 95 - 1)) &gt;= (OFFSET($A$1, 54 - 1, 7 - 1)), "1","0")</f>
        <v>0</v>
      </c>
      <c r="CT232">
        <f ca="1" xml:space="preserve"> IF( AND( OFFSET($A$1, 232 - 1, 96 - 1) = "1", OFFSET($A$1, 232 - 1, 97 - 1) = "1" ), 1, IF( AND( OFFSET($A$1, 232 - 1, 96 - 1) = "1", OFFSET($A$1, 232 - 1, 97 - 1) = "0" ), 2, IF( AND( OFFSET($A$1, 232 - 1, 96 - 1) = "0", OFFSET($A$1, 232 - 1, 97 - 1) = "1" ), 3, 4 ) ) )</f>
        <v>4</v>
      </c>
      <c r="CV232" s="24">
        <v>0.95535266381524819</v>
      </c>
      <c r="CW232" s="24" t="str">
        <f>"1"</f>
        <v>1</v>
      </c>
      <c r="CX232" t="str">
        <f ca="1">IF((OFFSET($A$1, 232 - 1, 100 - 1)) &gt;= (OFFSET($A$1, 78 - 1, 7 - 1)), "1","0")</f>
        <v>1</v>
      </c>
      <c r="CY232">
        <f ca="1" xml:space="preserve"> IF( AND( OFFSET($A$1, 232 - 1, 101 - 1) = "1", OFFSET($A$1, 232 - 1, 102 - 1) = "1" ), 1, IF( AND( OFFSET($A$1, 232 - 1, 101 - 1) = "1", OFFSET($A$1, 232 - 1, 102 - 1) = "0" ), 2, IF( AND( OFFSET($A$1, 232 - 1, 101 - 1) = "0", OFFSET($A$1, 232 - 1, 102 - 1) = "1" ), 3, 4 ) ) )</f>
        <v>1</v>
      </c>
    </row>
    <row r="233" spans="95:103" ht="13.8" x14ac:dyDescent="0.3">
      <c r="CQ233" s="24">
        <v>8.9010800804150192E-2</v>
      </c>
      <c r="CR233" s="24" t="str">
        <f>"0"</f>
        <v>0</v>
      </c>
      <c r="CS233" t="str">
        <f ca="1">IF((OFFSET($A$1, 233 - 1, 95 - 1)) &gt;= (OFFSET($A$1, 54 - 1, 7 - 1)), "1","0")</f>
        <v>0</v>
      </c>
      <c r="CT233">
        <f ca="1" xml:space="preserve"> IF( AND( OFFSET($A$1, 233 - 1, 96 - 1) = "1", OFFSET($A$1, 233 - 1, 97 - 1) = "1" ), 1, IF( AND( OFFSET($A$1, 233 - 1, 96 - 1) = "1", OFFSET($A$1, 233 - 1, 97 - 1) = "0" ), 2, IF( AND( OFFSET($A$1, 233 - 1, 96 - 1) = "0", OFFSET($A$1, 233 - 1, 97 - 1) = "1" ), 3, 4 ) ) )</f>
        <v>4</v>
      </c>
      <c r="CV233" s="24">
        <v>0.71482917313624728</v>
      </c>
      <c r="CW233" s="24" t="str">
        <f>"0"</f>
        <v>0</v>
      </c>
      <c r="CX233" t="str">
        <f ca="1">IF((OFFSET($A$1, 233 - 1, 100 - 1)) &gt;= (OFFSET($A$1, 78 - 1, 7 - 1)), "1","0")</f>
        <v>1</v>
      </c>
      <c r="CY233">
        <f ca="1" xml:space="preserve"> IF( AND( OFFSET($A$1, 233 - 1, 101 - 1) = "1", OFFSET($A$1, 233 - 1, 102 - 1) = "1" ), 1, IF( AND( OFFSET($A$1, 233 - 1, 101 - 1) = "1", OFFSET($A$1, 233 - 1, 102 - 1) = "0" ), 2, IF( AND( OFFSET($A$1, 233 - 1, 101 - 1) = "0", OFFSET($A$1, 233 - 1, 102 - 1) = "1" ), 3, 4 ) ) )</f>
        <v>3</v>
      </c>
    </row>
    <row r="234" spans="95:103" ht="13.8" x14ac:dyDescent="0.3">
      <c r="CQ234" s="24">
        <v>0.9222821758121782</v>
      </c>
      <c r="CR234" s="24" t="str">
        <f t="shared" ref="CR234:CR240" si="17">"1"</f>
        <v>1</v>
      </c>
      <c r="CS234" t="str">
        <f ca="1">IF((OFFSET($A$1, 234 - 1, 95 - 1)) &gt;= (OFFSET($A$1, 54 - 1, 7 - 1)), "1","0")</f>
        <v>1</v>
      </c>
      <c r="CT234">
        <f ca="1" xml:space="preserve"> IF( AND( OFFSET($A$1, 234 - 1, 96 - 1) = "1", OFFSET($A$1, 234 - 1, 97 - 1) = "1" ), 1, IF( AND( OFFSET($A$1, 234 - 1, 96 - 1) = "1", OFFSET($A$1, 234 - 1, 97 - 1) = "0" ), 2, IF( AND( OFFSET($A$1, 234 - 1, 96 - 1) = "0", OFFSET($A$1, 234 - 1, 97 - 1) = "1" ), 3, 4 ) ) )</f>
        <v>1</v>
      </c>
      <c r="CV234" s="24">
        <v>0.56296286785599436</v>
      </c>
      <c r="CW234" s="24" t="str">
        <f t="shared" ref="CW234:CW242" si="18">"1"</f>
        <v>1</v>
      </c>
      <c r="CX234" t="str">
        <f ca="1">IF((OFFSET($A$1, 234 - 1, 100 - 1)) &gt;= (OFFSET($A$1, 78 - 1, 7 - 1)), "1","0")</f>
        <v>1</v>
      </c>
      <c r="CY234">
        <f ca="1" xml:space="preserve"> IF( AND( OFFSET($A$1, 234 - 1, 101 - 1) = "1", OFFSET($A$1, 234 - 1, 102 - 1) = "1" ), 1, IF( AND( OFFSET($A$1, 234 - 1, 101 - 1) = "1", OFFSET($A$1, 234 - 1, 102 - 1) = "0" ), 2, IF( AND( OFFSET($A$1, 234 - 1, 101 - 1) = "0", OFFSET($A$1, 234 - 1, 102 - 1) = "1" ), 3, 4 ) ) )</f>
        <v>1</v>
      </c>
    </row>
    <row r="235" spans="95:103" ht="13.8" x14ac:dyDescent="0.3">
      <c r="CQ235" s="24">
        <v>0.99927308169299922</v>
      </c>
      <c r="CR235" s="24" t="str">
        <f t="shared" si="17"/>
        <v>1</v>
      </c>
      <c r="CS235" t="str">
        <f ca="1">IF((OFFSET($A$1, 235 - 1, 95 - 1)) &gt;= (OFFSET($A$1, 54 - 1, 7 - 1)), "1","0")</f>
        <v>1</v>
      </c>
      <c r="CT235">
        <f ca="1" xml:space="preserve"> IF( AND( OFFSET($A$1, 235 - 1, 96 - 1) = "1", OFFSET($A$1, 235 - 1, 97 - 1) = "1" ), 1, IF( AND( OFFSET($A$1, 235 - 1, 96 - 1) = "1", OFFSET($A$1, 235 - 1, 97 - 1) = "0" ), 2, IF( AND( OFFSET($A$1, 235 - 1, 96 - 1) = "0", OFFSET($A$1, 235 - 1, 97 - 1) = "1" ), 3, 4 ) ) )</f>
        <v>1</v>
      </c>
      <c r="CV235" s="24">
        <v>6.5186314943058127E-2</v>
      </c>
      <c r="CW235" s="24" t="str">
        <f t="shared" si="18"/>
        <v>1</v>
      </c>
      <c r="CX235" t="str">
        <f ca="1">IF((OFFSET($A$1, 235 - 1, 100 - 1)) &gt;= (OFFSET($A$1, 78 - 1, 7 - 1)), "1","0")</f>
        <v>0</v>
      </c>
      <c r="CY235">
        <f ca="1" xml:space="preserve"> IF( AND( OFFSET($A$1, 235 - 1, 101 - 1) = "1", OFFSET($A$1, 235 - 1, 102 - 1) = "1" ), 1, IF( AND( OFFSET($A$1, 235 - 1, 101 - 1) = "1", OFFSET($A$1, 235 - 1, 102 - 1) = "0" ), 2, IF( AND( OFFSET($A$1, 235 - 1, 101 - 1) = "0", OFFSET($A$1, 235 - 1, 102 - 1) = "1" ), 3, 4 ) ) )</f>
        <v>2</v>
      </c>
    </row>
    <row r="236" spans="95:103" ht="13.8" x14ac:dyDescent="0.3">
      <c r="CQ236" s="24">
        <v>0.99986551746617247</v>
      </c>
      <c r="CR236" s="24" t="str">
        <f t="shared" si="17"/>
        <v>1</v>
      </c>
      <c r="CS236" t="str">
        <f ca="1">IF((OFFSET($A$1, 236 - 1, 95 - 1)) &gt;= (OFFSET($A$1, 54 - 1, 7 - 1)), "1","0")</f>
        <v>1</v>
      </c>
      <c r="CT236">
        <f ca="1" xml:space="preserve"> IF( AND( OFFSET($A$1, 236 - 1, 96 - 1) = "1", OFFSET($A$1, 236 - 1, 97 - 1) = "1" ), 1, IF( AND( OFFSET($A$1, 236 - 1, 96 - 1) = "1", OFFSET($A$1, 236 - 1, 97 - 1) = "0" ), 2, IF( AND( OFFSET($A$1, 236 - 1, 96 - 1) = "0", OFFSET($A$1, 236 - 1, 97 - 1) = "1" ), 3, 4 ) ) )</f>
        <v>1</v>
      </c>
      <c r="CV236" s="24">
        <v>0.99974943785210912</v>
      </c>
      <c r="CW236" s="24" t="str">
        <f t="shared" si="18"/>
        <v>1</v>
      </c>
      <c r="CX236" t="str">
        <f ca="1">IF((OFFSET($A$1, 236 - 1, 100 - 1)) &gt;= (OFFSET($A$1, 78 - 1, 7 - 1)), "1","0")</f>
        <v>1</v>
      </c>
      <c r="CY236">
        <f ca="1" xml:space="preserve"> IF( AND( OFFSET($A$1, 236 - 1, 101 - 1) = "1", OFFSET($A$1, 236 - 1, 102 - 1) = "1" ), 1, IF( AND( OFFSET($A$1, 236 - 1, 101 - 1) = "1", OFFSET($A$1, 236 - 1, 102 - 1) = "0" ), 2, IF( AND( OFFSET($A$1, 236 - 1, 101 - 1) = "0", OFFSET($A$1, 236 - 1, 102 - 1) = "1" ), 3, 4 ) ) )</f>
        <v>1</v>
      </c>
    </row>
    <row r="237" spans="95:103" ht="13.8" x14ac:dyDescent="0.3">
      <c r="CQ237" s="24">
        <v>0.99466336016744739</v>
      </c>
      <c r="CR237" s="24" t="str">
        <f t="shared" si="17"/>
        <v>1</v>
      </c>
      <c r="CS237" t="str">
        <f ca="1">IF((OFFSET($A$1, 237 - 1, 95 - 1)) &gt;= (OFFSET($A$1, 54 - 1, 7 - 1)), "1","0")</f>
        <v>1</v>
      </c>
      <c r="CT237">
        <f ca="1" xml:space="preserve"> IF( AND( OFFSET($A$1, 237 - 1, 96 - 1) = "1", OFFSET($A$1, 237 - 1, 97 - 1) = "1" ), 1, IF( AND( OFFSET($A$1, 237 - 1, 96 - 1) = "1", OFFSET($A$1, 237 - 1, 97 - 1) = "0" ), 2, IF( AND( OFFSET($A$1, 237 - 1, 96 - 1) = "0", OFFSET($A$1, 237 - 1, 97 - 1) = "1" ), 3, 4 ) ) )</f>
        <v>1</v>
      </c>
      <c r="CV237" s="24">
        <v>2.3282410113179913E-2</v>
      </c>
      <c r="CW237" s="24" t="str">
        <f t="shared" si="18"/>
        <v>1</v>
      </c>
      <c r="CX237" t="str">
        <f ca="1">IF((OFFSET($A$1, 237 - 1, 100 - 1)) &gt;= (OFFSET($A$1, 78 - 1, 7 - 1)), "1","0")</f>
        <v>0</v>
      </c>
      <c r="CY237">
        <f ca="1" xml:space="preserve"> IF( AND( OFFSET($A$1, 237 - 1, 101 - 1) = "1", OFFSET($A$1, 237 - 1, 102 - 1) = "1" ), 1, IF( AND( OFFSET($A$1, 237 - 1, 101 - 1) = "1", OFFSET($A$1, 237 - 1, 102 - 1) = "0" ), 2, IF( AND( OFFSET($A$1, 237 - 1, 101 - 1) = "0", OFFSET($A$1, 237 - 1, 102 - 1) = "1" ), 3, 4 ) ) )</f>
        <v>2</v>
      </c>
    </row>
    <row r="238" spans="95:103" ht="13.8" x14ac:dyDescent="0.3">
      <c r="CQ238" s="24">
        <v>0.99842277969478033</v>
      </c>
      <c r="CR238" s="24" t="str">
        <f t="shared" si="17"/>
        <v>1</v>
      </c>
      <c r="CS238" t="str">
        <f ca="1">IF((OFFSET($A$1, 238 - 1, 95 - 1)) &gt;= (OFFSET($A$1, 54 - 1, 7 - 1)), "1","0")</f>
        <v>1</v>
      </c>
      <c r="CT238">
        <f ca="1" xml:space="preserve"> IF( AND( OFFSET($A$1, 238 - 1, 96 - 1) = "1", OFFSET($A$1, 238 - 1, 97 - 1) = "1" ), 1, IF( AND( OFFSET($A$1, 238 - 1, 96 - 1) = "1", OFFSET($A$1, 238 - 1, 97 - 1) = "0" ), 2, IF( AND( OFFSET($A$1, 238 - 1, 96 - 1) = "0", OFFSET($A$1, 238 - 1, 97 - 1) = "1" ), 3, 4 ) ) )</f>
        <v>1</v>
      </c>
      <c r="CV238" s="24">
        <v>0.99842064034100531</v>
      </c>
      <c r="CW238" s="24" t="str">
        <f t="shared" si="18"/>
        <v>1</v>
      </c>
      <c r="CX238" t="str">
        <f ca="1">IF((OFFSET($A$1, 238 - 1, 100 - 1)) &gt;= (OFFSET($A$1, 78 - 1, 7 - 1)), "1","0")</f>
        <v>1</v>
      </c>
      <c r="CY238">
        <f ca="1" xml:space="preserve"> IF( AND( OFFSET($A$1, 238 - 1, 101 - 1) = "1", OFFSET($A$1, 238 - 1, 102 - 1) = "1" ), 1, IF( AND( OFFSET($A$1, 238 - 1, 101 - 1) = "1", OFFSET($A$1, 238 - 1, 102 - 1) = "0" ), 2, IF( AND( OFFSET($A$1, 238 - 1, 101 - 1) = "0", OFFSET($A$1, 238 - 1, 102 - 1) = "1" ), 3, 4 ) ) )</f>
        <v>1</v>
      </c>
    </row>
    <row r="239" spans="95:103" ht="13.8" x14ac:dyDescent="0.3">
      <c r="CQ239" s="24">
        <v>0.8988148993504369</v>
      </c>
      <c r="CR239" s="24" t="str">
        <f t="shared" si="17"/>
        <v>1</v>
      </c>
      <c r="CS239" t="str">
        <f ca="1">IF((OFFSET($A$1, 239 - 1, 95 - 1)) &gt;= (OFFSET($A$1, 54 - 1, 7 - 1)), "1","0")</f>
        <v>1</v>
      </c>
      <c r="CT239">
        <f ca="1" xml:space="preserve"> IF( AND( OFFSET($A$1, 239 - 1, 96 - 1) = "1", OFFSET($A$1, 239 - 1, 97 - 1) = "1" ), 1, IF( AND( OFFSET($A$1, 239 - 1, 96 - 1) = "1", OFFSET($A$1, 239 - 1, 97 - 1) = "0" ), 2, IF( AND( OFFSET($A$1, 239 - 1, 96 - 1) = "0", OFFSET($A$1, 239 - 1, 97 - 1) = "1" ), 3, 4 ) ) )</f>
        <v>1</v>
      </c>
      <c r="CV239" s="24">
        <v>0.99998681017132585</v>
      </c>
      <c r="CW239" s="24" t="str">
        <f t="shared" si="18"/>
        <v>1</v>
      </c>
      <c r="CX239" t="str">
        <f ca="1">IF((OFFSET($A$1, 239 - 1, 100 - 1)) &gt;= (OFFSET($A$1, 78 - 1, 7 - 1)), "1","0")</f>
        <v>1</v>
      </c>
      <c r="CY239">
        <f ca="1" xml:space="preserve"> IF( AND( OFFSET($A$1, 239 - 1, 101 - 1) = "1", OFFSET($A$1, 239 - 1, 102 - 1) = "1" ), 1, IF( AND( OFFSET($A$1, 239 - 1, 101 - 1) = "1", OFFSET($A$1, 239 - 1, 102 - 1) = "0" ), 2, IF( AND( OFFSET($A$1, 239 - 1, 101 - 1) = "0", OFFSET($A$1, 239 - 1, 102 - 1) = "1" ), 3, 4 ) ) )</f>
        <v>1</v>
      </c>
    </row>
    <row r="240" spans="95:103" ht="13.8" x14ac:dyDescent="0.3">
      <c r="CQ240" s="24">
        <v>0.99965897682993576</v>
      </c>
      <c r="CR240" s="24" t="str">
        <f t="shared" si="17"/>
        <v>1</v>
      </c>
      <c r="CS240" t="str">
        <f ca="1">IF((OFFSET($A$1, 240 - 1, 95 - 1)) &gt;= (OFFSET($A$1, 54 - 1, 7 - 1)), "1","0")</f>
        <v>1</v>
      </c>
      <c r="CT240">
        <f ca="1" xml:space="preserve"> IF( AND( OFFSET($A$1, 240 - 1, 96 - 1) = "1", OFFSET($A$1, 240 - 1, 97 - 1) = "1" ), 1, IF( AND( OFFSET($A$1, 240 - 1, 96 - 1) = "1", OFFSET($A$1, 240 - 1, 97 - 1) = "0" ), 2, IF( AND( OFFSET($A$1, 240 - 1, 96 - 1) = "0", OFFSET($A$1, 240 - 1, 97 - 1) = "1" ), 3, 4 ) ) )</f>
        <v>1</v>
      </c>
      <c r="CV240" s="24">
        <v>0.98971725710062153</v>
      </c>
      <c r="CW240" s="24" t="str">
        <f t="shared" si="18"/>
        <v>1</v>
      </c>
      <c r="CX240" t="str">
        <f ca="1">IF((OFFSET($A$1, 240 - 1, 100 - 1)) &gt;= (OFFSET($A$1, 78 - 1, 7 - 1)), "1","0")</f>
        <v>1</v>
      </c>
      <c r="CY240">
        <f ca="1" xml:space="preserve"> IF( AND( OFFSET($A$1, 240 - 1, 101 - 1) = "1", OFFSET($A$1, 240 - 1, 102 - 1) = "1" ), 1, IF( AND( OFFSET($A$1, 240 - 1, 101 - 1) = "1", OFFSET($A$1, 240 - 1, 102 - 1) = "0" ), 2, IF( AND( OFFSET($A$1, 240 - 1, 101 - 1) = "0", OFFSET($A$1, 240 - 1, 102 - 1) = "1" ), 3, 4 ) ) )</f>
        <v>1</v>
      </c>
    </row>
    <row r="241" spans="95:103" ht="13.8" x14ac:dyDescent="0.3">
      <c r="CQ241" s="24">
        <v>5.9385054142403929E-2</v>
      </c>
      <c r="CR241" s="24" t="str">
        <f>"0"</f>
        <v>0</v>
      </c>
      <c r="CS241" t="str">
        <f ca="1">IF((OFFSET($A$1, 241 - 1, 95 - 1)) &gt;= (OFFSET($A$1, 54 - 1, 7 - 1)), "1","0")</f>
        <v>0</v>
      </c>
      <c r="CT241">
        <f ca="1" xml:space="preserve"> IF( AND( OFFSET($A$1, 241 - 1, 96 - 1) = "1", OFFSET($A$1, 241 - 1, 97 - 1) = "1" ), 1, IF( AND( OFFSET($A$1, 241 - 1, 96 - 1) = "1", OFFSET($A$1, 241 - 1, 97 - 1) = "0" ), 2, IF( AND( OFFSET($A$1, 241 - 1, 96 - 1) = "0", OFFSET($A$1, 241 - 1, 97 - 1) = "1" ), 3, 4 ) ) )</f>
        <v>4</v>
      </c>
      <c r="CV241" s="24">
        <v>0.99879030035284067</v>
      </c>
      <c r="CW241" s="24" t="str">
        <f t="shared" si="18"/>
        <v>1</v>
      </c>
      <c r="CX241" t="str">
        <f ca="1">IF((OFFSET($A$1, 241 - 1, 100 - 1)) &gt;= (OFFSET($A$1, 78 - 1, 7 - 1)), "1","0")</f>
        <v>1</v>
      </c>
      <c r="CY241">
        <f ca="1" xml:space="preserve"> IF( AND( OFFSET($A$1, 241 - 1, 101 - 1) = "1", OFFSET($A$1, 241 - 1, 102 - 1) = "1" ), 1, IF( AND( OFFSET($A$1, 241 - 1, 101 - 1) = "1", OFFSET($A$1, 241 - 1, 102 - 1) = "0" ), 2, IF( AND( OFFSET($A$1, 241 - 1, 101 - 1) = "0", OFFSET($A$1, 241 - 1, 102 - 1) = "1" ), 3, 4 ) ) )</f>
        <v>1</v>
      </c>
    </row>
    <row r="242" spans="95:103" ht="13.8" x14ac:dyDescent="0.3">
      <c r="CQ242" s="24">
        <v>0.86396488837277818</v>
      </c>
      <c r="CR242" s="24" t="str">
        <f t="shared" ref="CR242:CR247" si="19">"1"</f>
        <v>1</v>
      </c>
      <c r="CS242" t="str">
        <f ca="1">IF((OFFSET($A$1, 242 - 1, 95 - 1)) &gt;= (OFFSET($A$1, 54 - 1, 7 - 1)), "1","0")</f>
        <v>1</v>
      </c>
      <c r="CT242">
        <f ca="1" xml:space="preserve"> IF( AND( OFFSET($A$1, 242 - 1, 96 - 1) = "1", OFFSET($A$1, 242 - 1, 97 - 1) = "1" ), 1, IF( AND( OFFSET($A$1, 242 - 1, 96 - 1) = "1", OFFSET($A$1, 242 - 1, 97 - 1) = "0" ), 2, IF( AND( OFFSET($A$1, 242 - 1, 96 - 1) = "0", OFFSET($A$1, 242 - 1, 97 - 1) = "1" ), 3, 4 ) ) )</f>
        <v>1</v>
      </c>
      <c r="CV242" s="24">
        <v>0.99974559769814986</v>
      </c>
      <c r="CW242" s="24" t="str">
        <f t="shared" si="18"/>
        <v>1</v>
      </c>
      <c r="CX242" t="str">
        <f ca="1">IF((OFFSET($A$1, 242 - 1, 100 - 1)) &gt;= (OFFSET($A$1, 78 - 1, 7 - 1)), "1","0")</f>
        <v>1</v>
      </c>
      <c r="CY242">
        <f ca="1" xml:space="preserve"> IF( AND( OFFSET($A$1, 242 - 1, 101 - 1) = "1", OFFSET($A$1, 242 - 1, 102 - 1) = "1" ), 1, IF( AND( OFFSET($A$1, 242 - 1, 101 - 1) = "1", OFFSET($A$1, 242 - 1, 102 - 1) = "0" ), 2, IF( AND( OFFSET($A$1, 242 - 1, 101 - 1) = "0", OFFSET($A$1, 242 - 1, 102 - 1) = "1" ), 3, 4 ) ) )</f>
        <v>1</v>
      </c>
    </row>
    <row r="243" spans="95:103" ht="13.8" x14ac:dyDescent="0.3">
      <c r="CQ243" s="24">
        <v>0.96552353707614702</v>
      </c>
      <c r="CR243" s="24" t="str">
        <f t="shared" si="19"/>
        <v>1</v>
      </c>
      <c r="CS243" t="str">
        <f ca="1">IF((OFFSET($A$1, 243 - 1, 95 - 1)) &gt;= (OFFSET($A$1, 54 - 1, 7 - 1)), "1","0")</f>
        <v>1</v>
      </c>
      <c r="CT243">
        <f ca="1" xml:space="preserve"> IF( AND( OFFSET($A$1, 243 - 1, 96 - 1) = "1", OFFSET($A$1, 243 - 1, 97 - 1) = "1" ), 1, IF( AND( OFFSET($A$1, 243 - 1, 96 - 1) = "1", OFFSET($A$1, 243 - 1, 97 - 1) = "0" ), 2, IF( AND( OFFSET($A$1, 243 - 1, 96 - 1) = "0", OFFSET($A$1, 243 - 1, 97 - 1) = "1" ), 3, 4 ) ) )</f>
        <v>1</v>
      </c>
      <c r="CV243" s="24">
        <v>0.74517270690779658</v>
      </c>
      <c r="CW243" s="24" t="str">
        <f>"0"</f>
        <v>0</v>
      </c>
      <c r="CX243" t="str">
        <f ca="1">IF((OFFSET($A$1, 243 - 1, 100 - 1)) &gt;= (OFFSET($A$1, 78 - 1, 7 - 1)), "1","0")</f>
        <v>1</v>
      </c>
      <c r="CY243">
        <f ca="1" xml:space="preserve"> IF( AND( OFFSET($A$1, 243 - 1, 101 - 1) = "1", OFFSET($A$1, 243 - 1, 102 - 1) = "1" ), 1, IF( AND( OFFSET($A$1, 243 - 1, 101 - 1) = "1", OFFSET($A$1, 243 - 1, 102 - 1) = "0" ), 2, IF( AND( OFFSET($A$1, 243 - 1, 101 - 1) = "0", OFFSET($A$1, 243 - 1, 102 - 1) = "1" ), 3, 4 ) ) )</f>
        <v>3</v>
      </c>
    </row>
    <row r="244" spans="95:103" ht="13.8" x14ac:dyDescent="0.3">
      <c r="CQ244" s="24">
        <v>0.95368918585241313</v>
      </c>
      <c r="CR244" s="24" t="str">
        <f t="shared" si="19"/>
        <v>1</v>
      </c>
      <c r="CS244" t="str">
        <f ca="1">IF((OFFSET($A$1, 244 - 1, 95 - 1)) &gt;= (OFFSET($A$1, 54 - 1, 7 - 1)), "1","0")</f>
        <v>1</v>
      </c>
      <c r="CT244">
        <f ca="1" xml:space="preserve"> IF( AND( OFFSET($A$1, 244 - 1, 96 - 1) = "1", OFFSET($A$1, 244 - 1, 97 - 1) = "1" ), 1, IF( AND( OFFSET($A$1, 244 - 1, 96 - 1) = "1", OFFSET($A$1, 244 - 1, 97 - 1) = "0" ), 2, IF( AND( OFFSET($A$1, 244 - 1, 96 - 1) = "0", OFFSET($A$1, 244 - 1, 97 - 1) = "1" ), 3, 4 ) ) )</f>
        <v>1</v>
      </c>
      <c r="CV244" s="24">
        <v>0.45453454761877693</v>
      </c>
      <c r="CW244" s="24" t="str">
        <f>"0"</f>
        <v>0</v>
      </c>
      <c r="CX244" t="str">
        <f ca="1">IF((OFFSET($A$1, 244 - 1, 100 - 1)) &gt;= (OFFSET($A$1, 78 - 1, 7 - 1)), "1","0")</f>
        <v>0</v>
      </c>
      <c r="CY244">
        <f ca="1" xml:space="preserve"> IF( AND( OFFSET($A$1, 244 - 1, 101 - 1) = "1", OFFSET($A$1, 244 - 1, 102 - 1) = "1" ), 1, IF( AND( OFFSET($A$1, 244 - 1, 101 - 1) = "1", OFFSET($A$1, 244 - 1, 102 - 1) = "0" ), 2, IF( AND( OFFSET($A$1, 244 - 1, 101 - 1) = "0", OFFSET($A$1, 244 - 1, 102 - 1) = "1" ), 3, 4 ) ) )</f>
        <v>4</v>
      </c>
    </row>
    <row r="245" spans="95:103" ht="13.8" x14ac:dyDescent="0.3">
      <c r="CQ245" s="24">
        <v>0.83949572789078408</v>
      </c>
      <c r="CR245" s="24" t="str">
        <f t="shared" si="19"/>
        <v>1</v>
      </c>
      <c r="CS245" t="str">
        <f ca="1">IF((OFFSET($A$1, 245 - 1, 95 - 1)) &gt;= (OFFSET($A$1, 54 - 1, 7 - 1)), "1","0")</f>
        <v>1</v>
      </c>
      <c r="CT245">
        <f ca="1" xml:space="preserve"> IF( AND( OFFSET($A$1, 245 - 1, 96 - 1) = "1", OFFSET($A$1, 245 - 1, 97 - 1) = "1" ), 1, IF( AND( OFFSET($A$1, 245 - 1, 96 - 1) = "1", OFFSET($A$1, 245 - 1, 97 - 1) = "0" ), 2, IF( AND( OFFSET($A$1, 245 - 1, 96 - 1) = "0", OFFSET($A$1, 245 - 1, 97 - 1) = "1" ), 3, 4 ) ) )</f>
        <v>1</v>
      </c>
      <c r="CV245" s="24">
        <v>0.48431465129730722</v>
      </c>
      <c r="CW245" s="24" t="str">
        <f>"1"</f>
        <v>1</v>
      </c>
      <c r="CX245" t="str">
        <f ca="1">IF((OFFSET($A$1, 245 - 1, 100 - 1)) &gt;= (OFFSET($A$1, 78 - 1, 7 - 1)), "1","0")</f>
        <v>0</v>
      </c>
      <c r="CY245">
        <f ca="1" xml:space="preserve"> IF( AND( OFFSET($A$1, 245 - 1, 101 - 1) = "1", OFFSET($A$1, 245 - 1, 102 - 1) = "1" ), 1, IF( AND( OFFSET($A$1, 245 - 1, 101 - 1) = "1", OFFSET($A$1, 245 - 1, 102 - 1) = "0" ), 2, IF( AND( OFFSET($A$1, 245 - 1, 101 - 1) = "0", OFFSET($A$1, 245 - 1, 102 - 1) = "1" ), 3, 4 ) ) )</f>
        <v>2</v>
      </c>
    </row>
    <row r="246" spans="95:103" ht="13.8" x14ac:dyDescent="0.3">
      <c r="CQ246" s="24">
        <v>0.91965519052970046</v>
      </c>
      <c r="CR246" s="24" t="str">
        <f t="shared" si="19"/>
        <v>1</v>
      </c>
      <c r="CS246" t="str">
        <f ca="1">IF((OFFSET($A$1, 246 - 1, 95 - 1)) &gt;= (OFFSET($A$1, 54 - 1, 7 - 1)), "1","0")</f>
        <v>1</v>
      </c>
      <c r="CT246">
        <f ca="1" xml:space="preserve"> IF( AND( OFFSET($A$1, 246 - 1, 96 - 1) = "1", OFFSET($A$1, 246 - 1, 97 - 1) = "1" ), 1, IF( AND( OFFSET($A$1, 246 - 1, 96 - 1) = "1", OFFSET($A$1, 246 - 1, 97 - 1) = "0" ), 2, IF( AND( OFFSET($A$1, 246 - 1, 96 - 1) = "0", OFFSET($A$1, 246 - 1, 97 - 1) = "1" ), 3, 4 ) ) )</f>
        <v>1</v>
      </c>
      <c r="CV246" s="24">
        <v>0.24693899394466651</v>
      </c>
      <c r="CW246" s="24" t="str">
        <f>"0"</f>
        <v>0</v>
      </c>
      <c r="CX246" t="str">
        <f ca="1">IF((OFFSET($A$1, 246 - 1, 100 - 1)) &gt;= (OFFSET($A$1, 78 - 1, 7 - 1)), "1","0")</f>
        <v>0</v>
      </c>
      <c r="CY246">
        <f ca="1" xml:space="preserve"> IF( AND( OFFSET($A$1, 246 - 1, 101 - 1) = "1", OFFSET($A$1, 246 - 1, 102 - 1) = "1" ), 1, IF( AND( OFFSET($A$1, 246 - 1, 101 - 1) = "1", OFFSET($A$1, 246 - 1, 102 - 1) = "0" ), 2, IF( AND( OFFSET($A$1, 246 - 1, 101 - 1) = "0", OFFSET($A$1, 246 - 1, 102 - 1) = "1" ), 3, 4 ) ) )</f>
        <v>4</v>
      </c>
    </row>
    <row r="247" spans="95:103" ht="13.8" x14ac:dyDescent="0.3">
      <c r="CQ247" s="24">
        <v>0.980740128051514</v>
      </c>
      <c r="CR247" s="24" t="str">
        <f t="shared" si="19"/>
        <v>1</v>
      </c>
      <c r="CS247" t="str">
        <f ca="1">IF((OFFSET($A$1, 247 - 1, 95 - 1)) &gt;= (OFFSET($A$1, 54 - 1, 7 - 1)), "1","0")</f>
        <v>1</v>
      </c>
      <c r="CT247">
        <f ca="1" xml:space="preserve"> IF( AND( OFFSET($A$1, 247 - 1, 96 - 1) = "1", OFFSET($A$1, 247 - 1, 97 - 1) = "1" ), 1, IF( AND( OFFSET($A$1, 247 - 1, 96 - 1) = "1", OFFSET($A$1, 247 - 1, 97 - 1) = "0" ), 2, IF( AND( OFFSET($A$1, 247 - 1, 96 - 1) = "0", OFFSET($A$1, 247 - 1, 97 - 1) = "1" ), 3, 4 ) ) )</f>
        <v>1</v>
      </c>
      <c r="CV247" s="24">
        <v>0.95111001285703178</v>
      </c>
      <c r="CW247" s="24" t="str">
        <f t="shared" ref="CW247:CW258" si="20">"1"</f>
        <v>1</v>
      </c>
      <c r="CX247" t="str">
        <f ca="1">IF((OFFSET($A$1, 247 - 1, 100 - 1)) &gt;= (OFFSET($A$1, 78 - 1, 7 - 1)), "1","0")</f>
        <v>1</v>
      </c>
      <c r="CY247">
        <f ca="1" xml:space="preserve"> IF( AND( OFFSET($A$1, 247 - 1, 101 - 1) = "1", OFFSET($A$1, 247 - 1, 102 - 1) = "1" ), 1, IF( AND( OFFSET($A$1, 247 - 1, 101 - 1) = "1", OFFSET($A$1, 247 - 1, 102 - 1) = "0" ), 2, IF( AND( OFFSET($A$1, 247 - 1, 101 - 1) = "0", OFFSET($A$1, 247 - 1, 102 - 1) = "1" ), 3, 4 ) ) )</f>
        <v>1</v>
      </c>
    </row>
    <row r="248" spans="95:103" ht="13.8" x14ac:dyDescent="0.3">
      <c r="CQ248" s="24">
        <v>0.13561395025766379</v>
      </c>
      <c r="CR248" s="24" t="str">
        <f>"0"</f>
        <v>0</v>
      </c>
      <c r="CS248" t="str">
        <f ca="1">IF((OFFSET($A$1, 248 - 1, 95 - 1)) &gt;= (OFFSET($A$1, 54 - 1, 7 - 1)), "1","0")</f>
        <v>0</v>
      </c>
      <c r="CT248">
        <f ca="1" xml:space="preserve"> IF( AND( OFFSET($A$1, 248 - 1, 96 - 1) = "1", OFFSET($A$1, 248 - 1, 97 - 1) = "1" ), 1, IF( AND( OFFSET($A$1, 248 - 1, 96 - 1) = "1", OFFSET($A$1, 248 - 1, 97 - 1) = "0" ), 2, IF( AND( OFFSET($A$1, 248 - 1, 96 - 1) = "0", OFFSET($A$1, 248 - 1, 97 - 1) = "1" ), 3, 4 ) ) )</f>
        <v>4</v>
      </c>
      <c r="CV248" s="24">
        <v>0.99969714550910271</v>
      </c>
      <c r="CW248" s="24" t="str">
        <f t="shared" si="20"/>
        <v>1</v>
      </c>
      <c r="CX248" t="str">
        <f ca="1">IF((OFFSET($A$1, 248 - 1, 100 - 1)) &gt;= (OFFSET($A$1, 78 - 1, 7 - 1)), "1","0")</f>
        <v>1</v>
      </c>
      <c r="CY248">
        <f ca="1" xml:space="preserve"> IF( AND( OFFSET($A$1, 248 - 1, 101 - 1) = "1", OFFSET($A$1, 248 - 1, 102 - 1) = "1" ), 1, IF( AND( OFFSET($A$1, 248 - 1, 101 - 1) = "1", OFFSET($A$1, 248 - 1, 102 - 1) = "0" ), 2, IF( AND( OFFSET($A$1, 248 - 1, 101 - 1) = "0", OFFSET($A$1, 248 - 1, 102 - 1) = "1" ), 3, 4 ) ) )</f>
        <v>1</v>
      </c>
    </row>
    <row r="249" spans="95:103" ht="13.8" x14ac:dyDescent="0.3">
      <c r="CQ249" s="24">
        <v>0.95621215686499639</v>
      </c>
      <c r="CR249" s="24" t="str">
        <f t="shared" ref="CR249:CR258" si="21">"1"</f>
        <v>1</v>
      </c>
      <c r="CS249" t="str">
        <f ca="1">IF((OFFSET($A$1, 249 - 1, 95 - 1)) &gt;= (OFFSET($A$1, 54 - 1, 7 - 1)), "1","0")</f>
        <v>1</v>
      </c>
      <c r="CT249">
        <f ca="1" xml:space="preserve"> IF( AND( OFFSET($A$1, 249 - 1, 96 - 1) = "1", OFFSET($A$1, 249 - 1, 97 - 1) = "1" ), 1, IF( AND( OFFSET($A$1, 249 - 1, 96 - 1) = "1", OFFSET($A$1, 249 - 1, 97 - 1) = "0" ), 2, IF( AND( OFFSET($A$1, 249 - 1, 96 - 1) = "0", OFFSET($A$1, 249 - 1, 97 - 1) = "1" ), 3, 4 ) ) )</f>
        <v>1</v>
      </c>
      <c r="CV249" s="24">
        <v>2.887603802190792E-2</v>
      </c>
      <c r="CW249" s="24" t="str">
        <f t="shared" si="20"/>
        <v>1</v>
      </c>
      <c r="CX249" t="str">
        <f ca="1">IF((OFFSET($A$1, 249 - 1, 100 - 1)) &gt;= (OFFSET($A$1, 78 - 1, 7 - 1)), "1","0")</f>
        <v>0</v>
      </c>
      <c r="CY249">
        <f ca="1" xml:space="preserve"> IF( AND( OFFSET($A$1, 249 - 1, 101 - 1) = "1", OFFSET($A$1, 249 - 1, 102 - 1) = "1" ), 1, IF( AND( OFFSET($A$1, 249 - 1, 101 - 1) = "1", OFFSET($A$1, 249 - 1, 102 - 1) = "0" ), 2, IF( AND( OFFSET($A$1, 249 - 1, 101 - 1) = "0", OFFSET($A$1, 249 - 1, 102 - 1) = "1" ), 3, 4 ) ) )</f>
        <v>2</v>
      </c>
    </row>
    <row r="250" spans="95:103" ht="13.8" x14ac:dyDescent="0.3">
      <c r="CQ250" s="24">
        <v>0.82947489892840065</v>
      </c>
      <c r="CR250" s="24" t="str">
        <f t="shared" si="21"/>
        <v>1</v>
      </c>
      <c r="CS250" t="str">
        <f ca="1">IF((OFFSET($A$1, 250 - 1, 95 - 1)) &gt;= (OFFSET($A$1, 54 - 1, 7 - 1)), "1","0")</f>
        <v>1</v>
      </c>
      <c r="CT250">
        <f ca="1" xml:space="preserve"> IF( AND( OFFSET($A$1, 250 - 1, 96 - 1) = "1", OFFSET($A$1, 250 - 1, 97 - 1) = "1" ), 1, IF( AND( OFFSET($A$1, 250 - 1, 96 - 1) = "1", OFFSET($A$1, 250 - 1, 97 - 1) = "0" ), 2, IF( AND( OFFSET($A$1, 250 - 1, 96 - 1) = "0", OFFSET($A$1, 250 - 1, 97 - 1) = "1" ), 3, 4 ) ) )</f>
        <v>1</v>
      </c>
      <c r="CV250" s="24">
        <v>0.94890403846900861</v>
      </c>
      <c r="CW250" s="24" t="str">
        <f t="shared" si="20"/>
        <v>1</v>
      </c>
      <c r="CX250" t="str">
        <f ca="1">IF((OFFSET($A$1, 250 - 1, 100 - 1)) &gt;= (OFFSET($A$1, 78 - 1, 7 - 1)), "1","0")</f>
        <v>1</v>
      </c>
      <c r="CY250">
        <f ca="1" xml:space="preserve"> IF( AND( OFFSET($A$1, 250 - 1, 101 - 1) = "1", OFFSET($A$1, 250 - 1, 102 - 1) = "1" ), 1, IF( AND( OFFSET($A$1, 250 - 1, 101 - 1) = "1", OFFSET($A$1, 250 - 1, 102 - 1) = "0" ), 2, IF( AND( OFFSET($A$1, 250 - 1, 101 - 1) = "0", OFFSET($A$1, 250 - 1, 102 - 1) = "1" ), 3, 4 ) ) )</f>
        <v>1</v>
      </c>
    </row>
    <row r="251" spans="95:103" ht="13.8" x14ac:dyDescent="0.3">
      <c r="CQ251" s="24">
        <v>0.95146559214507653</v>
      </c>
      <c r="CR251" s="24" t="str">
        <f t="shared" si="21"/>
        <v>1</v>
      </c>
      <c r="CS251" t="str">
        <f ca="1">IF((OFFSET($A$1, 251 - 1, 95 - 1)) &gt;= (OFFSET($A$1, 54 - 1, 7 - 1)), "1","0")</f>
        <v>1</v>
      </c>
      <c r="CT251">
        <f ca="1" xml:space="preserve"> IF( AND( OFFSET($A$1, 251 - 1, 96 - 1) = "1", OFFSET($A$1, 251 - 1, 97 - 1) = "1" ), 1, IF( AND( OFFSET($A$1, 251 - 1, 96 - 1) = "1", OFFSET($A$1, 251 - 1, 97 - 1) = "0" ), 2, IF( AND( OFFSET($A$1, 251 - 1, 96 - 1) = "0", OFFSET($A$1, 251 - 1, 97 - 1) = "1" ), 3, 4 ) ) )</f>
        <v>1</v>
      </c>
      <c r="CV251" s="24">
        <v>0.78508153262776481</v>
      </c>
      <c r="CW251" s="24" t="str">
        <f t="shared" si="20"/>
        <v>1</v>
      </c>
      <c r="CX251" t="str">
        <f ca="1">IF((OFFSET($A$1, 251 - 1, 100 - 1)) &gt;= (OFFSET($A$1, 78 - 1, 7 - 1)), "1","0")</f>
        <v>1</v>
      </c>
      <c r="CY251">
        <f ca="1" xml:space="preserve"> IF( AND( OFFSET($A$1, 251 - 1, 101 - 1) = "1", OFFSET($A$1, 251 - 1, 102 - 1) = "1" ), 1, IF( AND( OFFSET($A$1, 251 - 1, 101 - 1) = "1", OFFSET($A$1, 251 - 1, 102 - 1) = "0" ), 2, IF( AND( OFFSET($A$1, 251 - 1, 101 - 1) = "0", OFFSET($A$1, 251 - 1, 102 - 1) = "1" ), 3, 4 ) ) )</f>
        <v>1</v>
      </c>
    </row>
    <row r="252" spans="95:103" ht="13.8" x14ac:dyDescent="0.3">
      <c r="CQ252" s="24">
        <v>0.99782990633002111</v>
      </c>
      <c r="CR252" s="24" t="str">
        <f t="shared" si="21"/>
        <v>1</v>
      </c>
      <c r="CS252" t="str">
        <f ca="1">IF((OFFSET($A$1, 252 - 1, 95 - 1)) &gt;= (OFFSET($A$1, 54 - 1, 7 - 1)), "1","0")</f>
        <v>1</v>
      </c>
      <c r="CT252">
        <f ca="1" xml:space="preserve"> IF( AND( OFFSET($A$1, 252 - 1, 96 - 1) = "1", OFFSET($A$1, 252 - 1, 97 - 1) = "1" ), 1, IF( AND( OFFSET($A$1, 252 - 1, 96 - 1) = "1", OFFSET($A$1, 252 - 1, 97 - 1) = "0" ), 2, IF( AND( OFFSET($A$1, 252 - 1, 96 - 1) = "0", OFFSET($A$1, 252 - 1, 97 - 1) = "1" ), 3, 4 ) ) )</f>
        <v>1</v>
      </c>
      <c r="CV252" s="24">
        <v>0.28295354741504097</v>
      </c>
      <c r="CW252" s="24" t="str">
        <f t="shared" si="20"/>
        <v>1</v>
      </c>
      <c r="CX252" t="str">
        <f ca="1">IF((OFFSET($A$1, 252 - 1, 100 - 1)) &gt;= (OFFSET($A$1, 78 - 1, 7 - 1)), "1","0")</f>
        <v>0</v>
      </c>
      <c r="CY252">
        <f ca="1" xml:space="preserve"> IF( AND( OFFSET($A$1, 252 - 1, 101 - 1) = "1", OFFSET($A$1, 252 - 1, 102 - 1) = "1" ), 1, IF( AND( OFFSET($A$1, 252 - 1, 101 - 1) = "1", OFFSET($A$1, 252 - 1, 102 - 1) = "0" ), 2, IF( AND( OFFSET($A$1, 252 - 1, 101 - 1) = "0", OFFSET($A$1, 252 - 1, 102 - 1) = "1" ), 3, 4 ) ) )</f>
        <v>2</v>
      </c>
    </row>
    <row r="253" spans="95:103" ht="13.8" x14ac:dyDescent="0.3">
      <c r="CQ253" s="24">
        <v>0.93657797505507001</v>
      </c>
      <c r="CR253" s="24" t="str">
        <f t="shared" si="21"/>
        <v>1</v>
      </c>
      <c r="CS253" t="str">
        <f ca="1">IF((OFFSET($A$1, 253 - 1, 95 - 1)) &gt;= (OFFSET($A$1, 54 - 1, 7 - 1)), "1","0")</f>
        <v>1</v>
      </c>
      <c r="CT253">
        <f ca="1" xml:space="preserve"> IF( AND( OFFSET($A$1, 253 - 1, 96 - 1) = "1", OFFSET($A$1, 253 - 1, 97 - 1) = "1" ), 1, IF( AND( OFFSET($A$1, 253 - 1, 96 - 1) = "1", OFFSET($A$1, 253 - 1, 97 - 1) = "0" ), 2, IF( AND( OFFSET($A$1, 253 - 1, 96 - 1) = "0", OFFSET($A$1, 253 - 1, 97 - 1) = "1" ), 3, 4 ) ) )</f>
        <v>1</v>
      </c>
      <c r="CV253" s="24">
        <v>0.68507292254295071</v>
      </c>
      <c r="CW253" s="24" t="str">
        <f t="shared" si="20"/>
        <v>1</v>
      </c>
      <c r="CX253" t="str">
        <f ca="1">IF((OFFSET($A$1, 253 - 1, 100 - 1)) &gt;= (OFFSET($A$1, 78 - 1, 7 - 1)), "1","0")</f>
        <v>1</v>
      </c>
      <c r="CY253">
        <f ca="1" xml:space="preserve"> IF( AND( OFFSET($A$1, 253 - 1, 101 - 1) = "1", OFFSET($A$1, 253 - 1, 102 - 1) = "1" ), 1, IF( AND( OFFSET($A$1, 253 - 1, 101 - 1) = "1", OFFSET($A$1, 253 - 1, 102 - 1) = "0" ), 2, IF( AND( OFFSET($A$1, 253 - 1, 101 - 1) = "0", OFFSET($A$1, 253 - 1, 102 - 1) = "1" ), 3, 4 ) ) )</f>
        <v>1</v>
      </c>
    </row>
    <row r="254" spans="95:103" ht="13.8" x14ac:dyDescent="0.3">
      <c r="CQ254" s="24">
        <v>0.98648051129438397</v>
      </c>
      <c r="CR254" s="24" t="str">
        <f t="shared" si="21"/>
        <v>1</v>
      </c>
      <c r="CS254" t="str">
        <f ca="1">IF((OFFSET($A$1, 254 - 1, 95 - 1)) &gt;= (OFFSET($A$1, 54 - 1, 7 - 1)), "1","0")</f>
        <v>1</v>
      </c>
      <c r="CT254">
        <f ca="1" xml:space="preserve"> IF( AND( OFFSET($A$1, 254 - 1, 96 - 1) = "1", OFFSET($A$1, 254 - 1, 97 - 1) = "1" ), 1, IF( AND( OFFSET($A$1, 254 - 1, 96 - 1) = "1", OFFSET($A$1, 254 - 1, 97 - 1) = "0" ), 2, IF( AND( OFFSET($A$1, 254 - 1, 96 - 1) = "0", OFFSET($A$1, 254 - 1, 97 - 1) = "1" ), 3, 4 ) ) )</f>
        <v>1</v>
      </c>
      <c r="CV254" s="24">
        <v>0.99922076340524824</v>
      </c>
      <c r="CW254" s="24" t="str">
        <f t="shared" si="20"/>
        <v>1</v>
      </c>
      <c r="CX254" t="str">
        <f ca="1">IF((OFFSET($A$1, 254 - 1, 100 - 1)) &gt;= (OFFSET($A$1, 78 - 1, 7 - 1)), "1","0")</f>
        <v>1</v>
      </c>
      <c r="CY254">
        <f ca="1" xml:space="preserve"> IF( AND( OFFSET($A$1, 254 - 1, 101 - 1) = "1", OFFSET($A$1, 254 - 1, 102 - 1) = "1" ), 1, IF( AND( OFFSET($A$1, 254 - 1, 101 - 1) = "1", OFFSET($A$1, 254 - 1, 102 - 1) = "0" ), 2, IF( AND( OFFSET($A$1, 254 - 1, 101 - 1) = "0", OFFSET($A$1, 254 - 1, 102 - 1) = "1" ), 3, 4 ) ) )</f>
        <v>1</v>
      </c>
    </row>
    <row r="255" spans="95:103" ht="13.8" x14ac:dyDescent="0.3">
      <c r="CQ255" s="24">
        <v>0.995529329184761</v>
      </c>
      <c r="CR255" s="24" t="str">
        <f t="shared" si="21"/>
        <v>1</v>
      </c>
      <c r="CS255" t="str">
        <f ca="1">IF((OFFSET($A$1, 255 - 1, 95 - 1)) &gt;= (OFFSET($A$1, 54 - 1, 7 - 1)), "1","0")</f>
        <v>1</v>
      </c>
      <c r="CT255">
        <f ca="1" xml:space="preserve"> IF( AND( OFFSET($A$1, 255 - 1, 96 - 1) = "1", OFFSET($A$1, 255 - 1, 97 - 1) = "1" ), 1, IF( AND( OFFSET($A$1, 255 - 1, 96 - 1) = "1", OFFSET($A$1, 255 - 1, 97 - 1) = "0" ), 2, IF( AND( OFFSET($A$1, 255 - 1, 96 - 1) = "0", OFFSET($A$1, 255 - 1, 97 - 1) = "1" ), 3, 4 ) ) )</f>
        <v>1</v>
      </c>
      <c r="CV255" s="24">
        <v>0.991954104464979</v>
      </c>
      <c r="CW255" s="24" t="str">
        <f t="shared" si="20"/>
        <v>1</v>
      </c>
      <c r="CX255" t="str">
        <f ca="1">IF((OFFSET($A$1, 255 - 1, 100 - 1)) &gt;= (OFFSET($A$1, 78 - 1, 7 - 1)), "1","0")</f>
        <v>1</v>
      </c>
      <c r="CY255">
        <f ca="1" xml:space="preserve"> IF( AND( OFFSET($A$1, 255 - 1, 101 - 1) = "1", OFFSET($A$1, 255 - 1, 102 - 1) = "1" ), 1, IF( AND( OFFSET($A$1, 255 - 1, 101 - 1) = "1", OFFSET($A$1, 255 - 1, 102 - 1) = "0" ), 2, IF( AND( OFFSET($A$1, 255 - 1, 101 - 1) = "0", OFFSET($A$1, 255 - 1, 102 - 1) = "1" ), 3, 4 ) ) )</f>
        <v>1</v>
      </c>
    </row>
    <row r="256" spans="95:103" ht="13.8" x14ac:dyDescent="0.3">
      <c r="CQ256" s="24">
        <v>0.95219148468966741</v>
      </c>
      <c r="CR256" s="24" t="str">
        <f t="shared" si="21"/>
        <v>1</v>
      </c>
      <c r="CS256" t="str">
        <f ca="1">IF((OFFSET($A$1, 256 - 1, 95 - 1)) &gt;= (OFFSET($A$1, 54 - 1, 7 - 1)), "1","0")</f>
        <v>1</v>
      </c>
      <c r="CT256">
        <f ca="1" xml:space="preserve"> IF( AND( OFFSET($A$1, 256 - 1, 96 - 1) = "1", OFFSET($A$1, 256 - 1, 97 - 1) = "1" ), 1, IF( AND( OFFSET($A$1, 256 - 1, 96 - 1) = "1", OFFSET($A$1, 256 - 1, 97 - 1) = "0" ), 2, IF( AND( OFFSET($A$1, 256 - 1, 96 - 1) = "0", OFFSET($A$1, 256 - 1, 97 - 1) = "1" ), 3, 4 ) ) )</f>
        <v>1</v>
      </c>
      <c r="CV256" s="24">
        <v>0.99936622481070003</v>
      </c>
      <c r="CW256" s="24" t="str">
        <f t="shared" si="20"/>
        <v>1</v>
      </c>
      <c r="CX256" t="str">
        <f ca="1">IF((OFFSET($A$1, 256 - 1, 100 - 1)) &gt;= (OFFSET($A$1, 78 - 1, 7 - 1)), "1","0")</f>
        <v>1</v>
      </c>
      <c r="CY256">
        <f ca="1" xml:space="preserve"> IF( AND( OFFSET($A$1, 256 - 1, 101 - 1) = "1", OFFSET($A$1, 256 - 1, 102 - 1) = "1" ), 1, IF( AND( OFFSET($A$1, 256 - 1, 101 - 1) = "1", OFFSET($A$1, 256 - 1, 102 - 1) = "0" ), 2, IF( AND( OFFSET($A$1, 256 - 1, 101 - 1) = "0", OFFSET($A$1, 256 - 1, 102 - 1) = "1" ), 3, 4 ) ) )</f>
        <v>1</v>
      </c>
    </row>
    <row r="257" spans="95:103" ht="13.8" x14ac:dyDescent="0.3">
      <c r="CQ257" s="24">
        <v>0.89921053257859229</v>
      </c>
      <c r="CR257" s="24" t="str">
        <f t="shared" si="21"/>
        <v>1</v>
      </c>
      <c r="CS257" t="str">
        <f ca="1">IF((OFFSET($A$1, 257 - 1, 95 - 1)) &gt;= (OFFSET($A$1, 54 - 1, 7 - 1)), "1","0")</f>
        <v>1</v>
      </c>
      <c r="CT257">
        <f ca="1" xml:space="preserve"> IF( AND( OFFSET($A$1, 257 - 1, 96 - 1) = "1", OFFSET($A$1, 257 - 1, 97 - 1) = "1" ), 1, IF( AND( OFFSET($A$1, 257 - 1, 96 - 1) = "1", OFFSET($A$1, 257 - 1, 97 - 1) = "0" ), 2, IF( AND( OFFSET($A$1, 257 - 1, 96 - 1) = "0", OFFSET($A$1, 257 - 1, 97 - 1) = "1" ), 3, 4 ) ) )</f>
        <v>1</v>
      </c>
      <c r="CV257" s="24">
        <v>0.99784451759666493</v>
      </c>
      <c r="CW257" s="24" t="str">
        <f t="shared" si="20"/>
        <v>1</v>
      </c>
      <c r="CX257" t="str">
        <f ca="1">IF((OFFSET($A$1, 257 - 1, 100 - 1)) &gt;= (OFFSET($A$1, 78 - 1, 7 - 1)), "1","0")</f>
        <v>1</v>
      </c>
      <c r="CY257">
        <f ca="1" xml:space="preserve"> IF( AND( OFFSET($A$1, 257 - 1, 101 - 1) = "1", OFFSET($A$1, 257 - 1, 102 - 1) = "1" ), 1, IF( AND( OFFSET($A$1, 257 - 1, 101 - 1) = "1", OFFSET($A$1, 257 - 1, 102 - 1) = "0" ), 2, IF( AND( OFFSET($A$1, 257 - 1, 101 - 1) = "0", OFFSET($A$1, 257 - 1, 102 - 1) = "1" ), 3, 4 ) ) )</f>
        <v>1</v>
      </c>
    </row>
    <row r="258" spans="95:103" ht="13.8" x14ac:dyDescent="0.3">
      <c r="CQ258" s="24">
        <v>0.99414910814766067</v>
      </c>
      <c r="CR258" s="24" t="str">
        <f t="shared" si="21"/>
        <v>1</v>
      </c>
      <c r="CS258" t="str">
        <f ca="1">IF((OFFSET($A$1, 258 - 1, 95 - 1)) &gt;= (OFFSET($A$1, 54 - 1, 7 - 1)), "1","0")</f>
        <v>1</v>
      </c>
      <c r="CT258">
        <f ca="1" xml:space="preserve"> IF( AND( OFFSET($A$1, 258 - 1, 96 - 1) = "1", OFFSET($A$1, 258 - 1, 97 - 1) = "1" ), 1, IF( AND( OFFSET($A$1, 258 - 1, 96 - 1) = "1", OFFSET($A$1, 258 - 1, 97 - 1) = "0" ), 2, IF( AND( OFFSET($A$1, 258 - 1, 96 - 1) = "0", OFFSET($A$1, 258 - 1, 97 - 1) = "1" ), 3, 4 ) ) )</f>
        <v>1</v>
      </c>
      <c r="CV258" s="24">
        <v>0.99996001705948978</v>
      </c>
      <c r="CW258" s="24" t="str">
        <f t="shared" si="20"/>
        <v>1</v>
      </c>
      <c r="CX258" t="str">
        <f ca="1">IF((OFFSET($A$1, 258 - 1, 100 - 1)) &gt;= (OFFSET($A$1, 78 - 1, 7 - 1)), "1","0")</f>
        <v>1</v>
      </c>
      <c r="CY258">
        <f ca="1" xml:space="preserve"> IF( AND( OFFSET($A$1, 258 - 1, 101 - 1) = "1", OFFSET($A$1, 258 - 1, 102 - 1) = "1" ), 1, IF( AND( OFFSET($A$1, 258 - 1, 101 - 1) = "1", OFFSET($A$1, 258 - 1, 102 - 1) = "0" ), 2, IF( AND( OFFSET($A$1, 258 - 1, 101 - 1) = "0", OFFSET($A$1, 258 - 1, 102 - 1) = "1" ), 3, 4 ) ) )</f>
        <v>1</v>
      </c>
    </row>
    <row r="259" spans="95:103" ht="13.8" x14ac:dyDescent="0.3">
      <c r="CQ259" s="24">
        <v>7.5305055197152318E-2</v>
      </c>
      <c r="CR259" s="24" t="str">
        <f>"0"</f>
        <v>0</v>
      </c>
      <c r="CS259" t="str">
        <f ca="1">IF((OFFSET($A$1, 259 - 1, 95 - 1)) &gt;= (OFFSET($A$1, 54 - 1, 7 - 1)), "1","0")</f>
        <v>0</v>
      </c>
      <c r="CT259">
        <f ca="1" xml:space="preserve"> IF( AND( OFFSET($A$1, 259 - 1, 96 - 1) = "1", OFFSET($A$1, 259 - 1, 97 - 1) = "1" ), 1, IF( AND( OFFSET($A$1, 259 - 1, 96 - 1) = "1", OFFSET($A$1, 259 - 1, 97 - 1) = "0" ), 2, IF( AND( OFFSET($A$1, 259 - 1, 96 - 1) = "0", OFFSET($A$1, 259 - 1, 97 - 1) = "1" ), 3, 4 ) ) )</f>
        <v>4</v>
      </c>
      <c r="CV259" s="24">
        <v>1.833189855963482E-2</v>
      </c>
      <c r="CW259" s="24" t="str">
        <f>"0"</f>
        <v>0</v>
      </c>
      <c r="CX259" t="str">
        <f ca="1">IF((OFFSET($A$1, 259 - 1, 100 - 1)) &gt;= (OFFSET($A$1, 78 - 1, 7 - 1)), "1","0")</f>
        <v>0</v>
      </c>
      <c r="CY259">
        <f ca="1" xml:space="preserve"> IF( AND( OFFSET($A$1, 259 - 1, 101 - 1) = "1", OFFSET($A$1, 259 - 1, 102 - 1) = "1" ), 1, IF( AND( OFFSET($A$1, 259 - 1, 101 - 1) = "1", OFFSET($A$1, 259 - 1, 102 - 1) = "0" ), 2, IF( AND( OFFSET($A$1, 259 - 1, 101 - 1) = "0", OFFSET($A$1, 259 - 1, 102 - 1) = "1" ), 3, 4 ) ) )</f>
        <v>4</v>
      </c>
    </row>
    <row r="260" spans="95:103" ht="13.8" x14ac:dyDescent="0.3">
      <c r="CQ260" s="24">
        <v>0.93547646709667798</v>
      </c>
      <c r="CR260" s="24" t="str">
        <f>"1"</f>
        <v>1</v>
      </c>
      <c r="CS260" t="str">
        <f ca="1">IF((OFFSET($A$1, 260 - 1, 95 - 1)) &gt;= (OFFSET($A$1, 54 - 1, 7 - 1)), "1","0")</f>
        <v>1</v>
      </c>
      <c r="CT260">
        <f ca="1" xml:space="preserve"> IF( AND( OFFSET($A$1, 260 - 1, 96 - 1) = "1", OFFSET($A$1, 260 - 1, 97 - 1) = "1" ), 1, IF( AND( OFFSET($A$1, 260 - 1, 96 - 1) = "1", OFFSET($A$1, 260 - 1, 97 - 1) = "0" ), 2, IF( AND( OFFSET($A$1, 260 - 1, 96 - 1) = "0", OFFSET($A$1, 260 - 1, 97 - 1) = "1" ), 3, 4 ) ) )</f>
        <v>1</v>
      </c>
      <c r="CV260" s="24">
        <v>0.99815959118472275</v>
      </c>
      <c r="CW260" s="24" t="str">
        <f>"1"</f>
        <v>1</v>
      </c>
      <c r="CX260" t="str">
        <f ca="1">IF((OFFSET($A$1, 260 - 1, 100 - 1)) &gt;= (OFFSET($A$1, 78 - 1, 7 - 1)), "1","0")</f>
        <v>1</v>
      </c>
      <c r="CY260">
        <f ca="1" xml:space="preserve"> IF( AND( OFFSET($A$1, 260 - 1, 101 - 1) = "1", OFFSET($A$1, 260 - 1, 102 - 1) = "1" ), 1, IF( AND( OFFSET($A$1, 260 - 1, 101 - 1) = "1", OFFSET($A$1, 260 - 1, 102 - 1) = "0" ), 2, IF( AND( OFFSET($A$1, 260 - 1, 101 - 1) = "0", OFFSET($A$1, 260 - 1, 102 - 1) = "1" ), 3, 4 ) ) )</f>
        <v>1</v>
      </c>
    </row>
    <row r="261" spans="95:103" ht="13.8" x14ac:dyDescent="0.3">
      <c r="CQ261" s="24">
        <v>6.4131665502336815E-2</v>
      </c>
      <c r="CR261" s="24" t="str">
        <f>"0"</f>
        <v>0</v>
      </c>
      <c r="CS261" t="str">
        <f ca="1">IF((OFFSET($A$1, 261 - 1, 95 - 1)) &gt;= (OFFSET($A$1, 54 - 1, 7 - 1)), "1","0")</f>
        <v>0</v>
      </c>
      <c r="CT261">
        <f ca="1" xml:space="preserve"> IF( AND( OFFSET($A$1, 261 - 1, 96 - 1) = "1", OFFSET($A$1, 261 - 1, 97 - 1) = "1" ), 1, IF( AND( OFFSET($A$1, 261 - 1, 96 - 1) = "1", OFFSET($A$1, 261 - 1, 97 - 1) = "0" ), 2, IF( AND( OFFSET($A$1, 261 - 1, 96 - 1) = "0", OFFSET($A$1, 261 - 1, 97 - 1) = "1" ), 3, 4 ) ) )</f>
        <v>4</v>
      </c>
      <c r="CV261" s="24">
        <v>0.99857897655359107</v>
      </c>
      <c r="CW261" s="24" t="str">
        <f>"0"</f>
        <v>0</v>
      </c>
      <c r="CX261" t="str">
        <f ca="1">IF((OFFSET($A$1, 261 - 1, 100 - 1)) &gt;= (OFFSET($A$1, 78 - 1, 7 - 1)), "1","0")</f>
        <v>1</v>
      </c>
      <c r="CY261">
        <f ca="1" xml:space="preserve"> IF( AND( OFFSET($A$1, 261 - 1, 101 - 1) = "1", OFFSET($A$1, 261 - 1, 102 - 1) = "1" ), 1, IF( AND( OFFSET($A$1, 261 - 1, 101 - 1) = "1", OFFSET($A$1, 261 - 1, 102 - 1) = "0" ), 2, IF( AND( OFFSET($A$1, 261 - 1, 101 - 1) = "0", OFFSET($A$1, 261 - 1, 102 - 1) = "1" ), 3, 4 ) ) )</f>
        <v>3</v>
      </c>
    </row>
    <row r="262" spans="95:103" ht="13.8" x14ac:dyDescent="0.3">
      <c r="CQ262" s="24">
        <v>0.99853971610155889</v>
      </c>
      <c r="CR262" s="24" t="str">
        <f>"1"</f>
        <v>1</v>
      </c>
      <c r="CS262" t="str">
        <f ca="1">IF((OFFSET($A$1, 262 - 1, 95 - 1)) &gt;= (OFFSET($A$1, 54 - 1, 7 - 1)), "1","0")</f>
        <v>1</v>
      </c>
      <c r="CT262">
        <f ca="1" xml:space="preserve"> IF( AND( OFFSET($A$1, 262 - 1, 96 - 1) = "1", OFFSET($A$1, 262 - 1, 97 - 1) = "1" ), 1, IF( AND( OFFSET($A$1, 262 - 1, 96 - 1) = "1", OFFSET($A$1, 262 - 1, 97 - 1) = "0" ), 2, IF( AND( OFFSET($A$1, 262 - 1, 96 - 1) = "0", OFFSET($A$1, 262 - 1, 97 - 1) = "1" ), 3, 4 ) ) )</f>
        <v>1</v>
      </c>
      <c r="CV262" s="24">
        <v>0.74959396536532286</v>
      </c>
      <c r="CW262" s="24" t="str">
        <f>"0"</f>
        <v>0</v>
      </c>
      <c r="CX262" t="str">
        <f ca="1">IF((OFFSET($A$1, 262 - 1, 100 - 1)) &gt;= (OFFSET($A$1, 78 - 1, 7 - 1)), "1","0")</f>
        <v>1</v>
      </c>
      <c r="CY262">
        <f ca="1" xml:space="preserve"> IF( AND( OFFSET($A$1, 262 - 1, 101 - 1) = "1", OFFSET($A$1, 262 - 1, 102 - 1) = "1" ), 1, IF( AND( OFFSET($A$1, 262 - 1, 101 - 1) = "1", OFFSET($A$1, 262 - 1, 102 - 1) = "0" ), 2, IF( AND( OFFSET($A$1, 262 - 1, 101 - 1) = "0", OFFSET($A$1, 262 - 1, 102 - 1) = "1" ), 3, 4 ) ) )</f>
        <v>3</v>
      </c>
    </row>
    <row r="263" spans="95:103" ht="13.8" x14ac:dyDescent="0.3">
      <c r="CQ263" s="24">
        <v>1.2314424004878567E-2</v>
      </c>
      <c r="CR263" s="24" t="str">
        <f>"0"</f>
        <v>0</v>
      </c>
      <c r="CS263" t="str">
        <f ca="1">IF((OFFSET($A$1, 263 - 1, 95 - 1)) &gt;= (OFFSET($A$1, 54 - 1, 7 - 1)), "1","0")</f>
        <v>0</v>
      </c>
      <c r="CT263">
        <f ca="1" xml:space="preserve"> IF( AND( OFFSET($A$1, 263 - 1, 96 - 1) = "1", OFFSET($A$1, 263 - 1, 97 - 1) = "1" ), 1, IF( AND( OFFSET($A$1, 263 - 1, 96 - 1) = "1", OFFSET($A$1, 263 - 1, 97 - 1) = "0" ), 2, IF( AND( OFFSET($A$1, 263 - 1, 96 - 1) = "0", OFFSET($A$1, 263 - 1, 97 - 1) = "1" ), 3, 4 ) ) )</f>
        <v>4</v>
      </c>
      <c r="CV263" s="24">
        <v>0.66811969934152415</v>
      </c>
      <c r="CW263" s="24" t="str">
        <f>"0"</f>
        <v>0</v>
      </c>
      <c r="CX263" t="str">
        <f ca="1">IF((OFFSET($A$1, 263 - 1, 100 - 1)) &gt;= (OFFSET($A$1, 78 - 1, 7 - 1)), "1","0")</f>
        <v>1</v>
      </c>
      <c r="CY263">
        <f ca="1" xml:space="preserve"> IF( AND( OFFSET($A$1, 263 - 1, 101 - 1) = "1", OFFSET($A$1, 263 - 1, 102 - 1) = "1" ), 1, IF( AND( OFFSET($A$1, 263 - 1, 101 - 1) = "1", OFFSET($A$1, 263 - 1, 102 - 1) = "0" ), 2, IF( AND( OFFSET($A$1, 263 - 1, 101 - 1) = "0", OFFSET($A$1, 263 - 1, 102 - 1) = "1" ), 3, 4 ) ) )</f>
        <v>3</v>
      </c>
    </row>
    <row r="264" spans="95:103" ht="13.8" x14ac:dyDescent="0.3">
      <c r="CQ264" s="24">
        <v>0.10564341992468118</v>
      </c>
      <c r="CR264" s="24" t="str">
        <f>"0"</f>
        <v>0</v>
      </c>
      <c r="CS264" t="str">
        <f ca="1">IF((OFFSET($A$1, 264 - 1, 95 - 1)) &gt;= (OFFSET($A$1, 54 - 1, 7 - 1)), "1","0")</f>
        <v>0</v>
      </c>
      <c r="CT264">
        <f ca="1" xml:space="preserve"> IF( AND( OFFSET($A$1, 264 - 1, 96 - 1) = "1", OFFSET($A$1, 264 - 1, 97 - 1) = "1" ), 1, IF( AND( OFFSET($A$1, 264 - 1, 96 - 1) = "1", OFFSET($A$1, 264 - 1, 97 - 1) = "0" ), 2, IF( AND( OFFSET($A$1, 264 - 1, 96 - 1) = "0", OFFSET($A$1, 264 - 1, 97 - 1) = "1" ), 3, 4 ) ) )</f>
        <v>4</v>
      </c>
      <c r="CV264" s="24">
        <v>0.26880907231376155</v>
      </c>
      <c r="CW264" s="24" t="str">
        <f>"1"</f>
        <v>1</v>
      </c>
      <c r="CX264" t="str">
        <f ca="1">IF((OFFSET($A$1, 264 - 1, 100 - 1)) &gt;= (OFFSET($A$1, 78 - 1, 7 - 1)), "1","0")</f>
        <v>0</v>
      </c>
      <c r="CY264">
        <f ca="1" xml:space="preserve"> IF( AND( OFFSET($A$1, 264 - 1, 101 - 1) = "1", OFFSET($A$1, 264 - 1, 102 - 1) = "1" ), 1, IF( AND( OFFSET($A$1, 264 - 1, 101 - 1) = "1", OFFSET($A$1, 264 - 1, 102 - 1) = "0" ), 2, IF( AND( OFFSET($A$1, 264 - 1, 101 - 1) = "0", OFFSET($A$1, 264 - 1, 102 - 1) = "1" ), 3, 4 ) ) )</f>
        <v>2</v>
      </c>
    </row>
    <row r="265" spans="95:103" ht="13.8" x14ac:dyDescent="0.3">
      <c r="CQ265" s="24">
        <v>0.97066059345138733</v>
      </c>
      <c r="CR265" s="24" t="str">
        <f>"1"</f>
        <v>1</v>
      </c>
      <c r="CS265" t="str">
        <f ca="1">IF((OFFSET($A$1, 265 - 1, 95 - 1)) &gt;= (OFFSET($A$1, 54 - 1, 7 - 1)), "1","0")</f>
        <v>1</v>
      </c>
      <c r="CT265">
        <f ca="1" xml:space="preserve"> IF( AND( OFFSET($A$1, 265 - 1, 96 - 1) = "1", OFFSET($A$1, 265 - 1, 97 - 1) = "1" ), 1, IF( AND( OFFSET($A$1, 265 - 1, 96 - 1) = "1", OFFSET($A$1, 265 - 1, 97 - 1) = "0" ), 2, IF( AND( OFFSET($A$1, 265 - 1, 96 - 1) = "0", OFFSET($A$1, 265 - 1, 97 - 1) = "1" ), 3, 4 ) ) )</f>
        <v>1</v>
      </c>
      <c r="CV265" s="24">
        <v>1.4883737409579585E-2</v>
      </c>
      <c r="CW265" s="24" t="str">
        <f>"1"</f>
        <v>1</v>
      </c>
      <c r="CX265" t="str">
        <f ca="1">IF((OFFSET($A$1, 265 - 1, 100 - 1)) &gt;= (OFFSET($A$1, 78 - 1, 7 - 1)), "1","0")</f>
        <v>0</v>
      </c>
      <c r="CY265">
        <f ca="1" xml:space="preserve"> IF( AND( OFFSET($A$1, 265 - 1, 101 - 1) = "1", OFFSET($A$1, 265 - 1, 102 - 1) = "1" ), 1, IF( AND( OFFSET($A$1, 265 - 1, 101 - 1) = "1", OFFSET($A$1, 265 - 1, 102 - 1) = "0" ), 2, IF( AND( OFFSET($A$1, 265 - 1, 101 - 1) = "0", OFFSET($A$1, 265 - 1, 102 - 1) = "1" ), 3, 4 ) ) )</f>
        <v>2</v>
      </c>
    </row>
    <row r="266" spans="95:103" ht="13.8" x14ac:dyDescent="0.3">
      <c r="CQ266" s="24">
        <v>2.1334384418182615E-2</v>
      </c>
      <c r="CR266" s="24" t="str">
        <f>"0"</f>
        <v>0</v>
      </c>
      <c r="CS266" t="str">
        <f ca="1">IF((OFFSET($A$1, 266 - 1, 95 - 1)) &gt;= (OFFSET($A$1, 54 - 1, 7 - 1)), "1","0")</f>
        <v>0</v>
      </c>
      <c r="CT266">
        <f ca="1" xml:space="preserve"> IF( AND( OFFSET($A$1, 266 - 1, 96 - 1) = "1", OFFSET($A$1, 266 - 1, 97 - 1) = "1" ), 1, IF( AND( OFFSET($A$1, 266 - 1, 96 - 1) = "1", OFFSET($A$1, 266 - 1, 97 - 1) = "0" ), 2, IF( AND( OFFSET($A$1, 266 - 1, 96 - 1) = "0", OFFSET($A$1, 266 - 1, 97 - 1) = "1" ), 3, 4 ) ) )</f>
        <v>4</v>
      </c>
      <c r="CV266" s="24">
        <v>0.94324935496266005</v>
      </c>
      <c r="CW266" s="24" t="str">
        <f>"1"</f>
        <v>1</v>
      </c>
      <c r="CX266" t="str">
        <f ca="1">IF((OFFSET($A$1, 266 - 1, 100 - 1)) &gt;= (OFFSET($A$1, 78 - 1, 7 - 1)), "1","0")</f>
        <v>1</v>
      </c>
      <c r="CY266">
        <f ca="1" xml:space="preserve"> IF( AND( OFFSET($A$1, 266 - 1, 101 - 1) = "1", OFFSET($A$1, 266 - 1, 102 - 1) = "1" ), 1, IF( AND( OFFSET($A$1, 266 - 1, 101 - 1) = "1", OFFSET($A$1, 266 - 1, 102 - 1) = "0" ), 2, IF( AND( OFFSET($A$1, 266 - 1, 101 - 1) = "0", OFFSET($A$1, 266 - 1, 102 - 1) = "1" ), 3, 4 ) ) )</f>
        <v>1</v>
      </c>
    </row>
    <row r="267" spans="95:103" ht="13.8" x14ac:dyDescent="0.3">
      <c r="CQ267" s="24">
        <v>0.97341921194501801</v>
      </c>
      <c r="CR267" s="24" t="str">
        <f>"1"</f>
        <v>1</v>
      </c>
      <c r="CS267" t="str">
        <f ca="1">IF((OFFSET($A$1, 267 - 1, 95 - 1)) &gt;= (OFFSET($A$1, 54 - 1, 7 - 1)), "1","0")</f>
        <v>1</v>
      </c>
      <c r="CT267">
        <f ca="1" xml:space="preserve"> IF( AND( OFFSET($A$1, 267 - 1, 96 - 1) = "1", OFFSET($A$1, 267 - 1, 97 - 1) = "1" ), 1, IF( AND( OFFSET($A$1, 267 - 1, 96 - 1) = "1", OFFSET($A$1, 267 - 1, 97 - 1) = "0" ), 2, IF( AND( OFFSET($A$1, 267 - 1, 96 - 1) = "0", OFFSET($A$1, 267 - 1, 97 - 1) = "1" ), 3, 4 ) ) )</f>
        <v>1</v>
      </c>
      <c r="CV267" s="24">
        <v>0.19133792109019404</v>
      </c>
      <c r="CW267" s="24" t="str">
        <f>"0"</f>
        <v>0</v>
      </c>
      <c r="CX267" t="str">
        <f ca="1">IF((OFFSET($A$1, 267 - 1, 100 - 1)) &gt;= (OFFSET($A$1, 78 - 1, 7 - 1)), "1","0")</f>
        <v>0</v>
      </c>
      <c r="CY267">
        <f ca="1" xml:space="preserve"> IF( AND( OFFSET($A$1, 267 - 1, 101 - 1) = "1", OFFSET($A$1, 267 - 1, 102 - 1) = "1" ), 1, IF( AND( OFFSET($A$1, 267 - 1, 101 - 1) = "1", OFFSET($A$1, 267 - 1, 102 - 1) = "0" ), 2, IF( AND( OFFSET($A$1, 267 - 1, 101 - 1) = "0", OFFSET($A$1, 267 - 1, 102 - 1) = "1" ), 3, 4 ) ) )</f>
        <v>4</v>
      </c>
    </row>
    <row r="268" spans="95:103" ht="13.8" x14ac:dyDescent="0.3">
      <c r="CQ268" s="24">
        <v>7.7862942692540474E-2</v>
      </c>
      <c r="CR268" s="24" t="str">
        <f>"0"</f>
        <v>0</v>
      </c>
      <c r="CS268" t="str">
        <f ca="1">IF((OFFSET($A$1, 268 - 1, 95 - 1)) &gt;= (OFFSET($A$1, 54 - 1, 7 - 1)), "1","0")</f>
        <v>0</v>
      </c>
      <c r="CT268">
        <f ca="1" xml:space="preserve"> IF( AND( OFFSET($A$1, 268 - 1, 96 - 1) = "1", OFFSET($A$1, 268 - 1, 97 - 1) = "1" ), 1, IF( AND( OFFSET($A$1, 268 - 1, 96 - 1) = "1", OFFSET($A$1, 268 - 1, 97 - 1) = "0" ), 2, IF( AND( OFFSET($A$1, 268 - 1, 96 - 1) = "0", OFFSET($A$1, 268 - 1, 97 - 1) = "1" ), 3, 4 ) ) )</f>
        <v>4</v>
      </c>
      <c r="CV268" s="24">
        <v>0.92654926783009706</v>
      </c>
      <c r="CW268" s="24" t="str">
        <f t="shared" ref="CW268:CW274" si="22">"1"</f>
        <v>1</v>
      </c>
      <c r="CX268" t="str">
        <f ca="1">IF((OFFSET($A$1, 268 - 1, 100 - 1)) &gt;= (OFFSET($A$1, 78 - 1, 7 - 1)), "1","0")</f>
        <v>1</v>
      </c>
      <c r="CY268">
        <f ca="1" xml:space="preserve"> IF( AND( OFFSET($A$1, 268 - 1, 101 - 1) = "1", OFFSET($A$1, 268 - 1, 102 - 1) = "1" ), 1, IF( AND( OFFSET($A$1, 268 - 1, 101 - 1) = "1", OFFSET($A$1, 268 - 1, 102 - 1) = "0" ), 2, IF( AND( OFFSET($A$1, 268 - 1, 101 - 1) = "0", OFFSET($A$1, 268 - 1, 102 - 1) = "1" ), 3, 4 ) ) )</f>
        <v>1</v>
      </c>
    </row>
    <row r="269" spans="95:103" ht="13.8" x14ac:dyDescent="0.3">
      <c r="CQ269" s="24">
        <v>0.84365059629949679</v>
      </c>
      <c r="CR269" s="24" t="str">
        <f>"1"</f>
        <v>1</v>
      </c>
      <c r="CS269" t="str">
        <f ca="1">IF((OFFSET($A$1, 269 - 1, 95 - 1)) &gt;= (OFFSET($A$1, 54 - 1, 7 - 1)), "1","0")</f>
        <v>1</v>
      </c>
      <c r="CT269">
        <f ca="1" xml:space="preserve"> IF( AND( OFFSET($A$1, 269 - 1, 96 - 1) = "1", OFFSET($A$1, 269 - 1, 97 - 1) = "1" ), 1, IF( AND( OFFSET($A$1, 269 - 1, 96 - 1) = "1", OFFSET($A$1, 269 - 1, 97 - 1) = "0" ), 2, IF( AND( OFFSET($A$1, 269 - 1, 96 - 1) = "0", OFFSET($A$1, 269 - 1, 97 - 1) = "1" ), 3, 4 ) ) )</f>
        <v>1</v>
      </c>
      <c r="CV269" s="24">
        <v>0.21935305222485041</v>
      </c>
      <c r="CW269" s="24" t="str">
        <f t="shared" si="22"/>
        <v>1</v>
      </c>
      <c r="CX269" t="str">
        <f ca="1">IF((OFFSET($A$1, 269 - 1, 100 - 1)) &gt;= (OFFSET($A$1, 78 - 1, 7 - 1)), "1","0")</f>
        <v>0</v>
      </c>
      <c r="CY269">
        <f ca="1" xml:space="preserve"> IF( AND( OFFSET($A$1, 269 - 1, 101 - 1) = "1", OFFSET($A$1, 269 - 1, 102 - 1) = "1" ), 1, IF( AND( OFFSET($A$1, 269 - 1, 101 - 1) = "1", OFFSET($A$1, 269 - 1, 102 - 1) = "0" ), 2, IF( AND( OFFSET($A$1, 269 - 1, 101 - 1) = "0", OFFSET($A$1, 269 - 1, 102 - 1) = "1" ), 3, 4 ) ) )</f>
        <v>2</v>
      </c>
    </row>
    <row r="270" spans="95:103" ht="13.8" x14ac:dyDescent="0.3">
      <c r="CQ270" s="24">
        <v>0.98667358907867642</v>
      </c>
      <c r="CR270" s="24" t="str">
        <f>"1"</f>
        <v>1</v>
      </c>
      <c r="CS270" t="str">
        <f ca="1">IF((OFFSET($A$1, 270 - 1, 95 - 1)) &gt;= (OFFSET($A$1, 54 - 1, 7 - 1)), "1","0")</f>
        <v>1</v>
      </c>
      <c r="CT270">
        <f ca="1" xml:space="preserve"> IF( AND( OFFSET($A$1, 270 - 1, 96 - 1) = "1", OFFSET($A$1, 270 - 1, 97 - 1) = "1" ), 1, IF( AND( OFFSET($A$1, 270 - 1, 96 - 1) = "1", OFFSET($A$1, 270 - 1, 97 - 1) = "0" ), 2, IF( AND( OFFSET($A$1, 270 - 1, 96 - 1) = "0", OFFSET($A$1, 270 - 1, 97 - 1) = "1" ), 3, 4 ) ) )</f>
        <v>1</v>
      </c>
      <c r="CV270" s="24">
        <v>0.99948753302497229</v>
      </c>
      <c r="CW270" s="24" t="str">
        <f t="shared" si="22"/>
        <v>1</v>
      </c>
      <c r="CX270" t="str">
        <f ca="1">IF((OFFSET($A$1, 270 - 1, 100 - 1)) &gt;= (OFFSET($A$1, 78 - 1, 7 - 1)), "1","0")</f>
        <v>1</v>
      </c>
      <c r="CY270">
        <f ca="1" xml:space="preserve"> IF( AND( OFFSET($A$1, 270 - 1, 101 - 1) = "1", OFFSET($A$1, 270 - 1, 102 - 1) = "1" ), 1, IF( AND( OFFSET($A$1, 270 - 1, 101 - 1) = "1", OFFSET($A$1, 270 - 1, 102 - 1) = "0" ), 2, IF( AND( OFFSET($A$1, 270 - 1, 101 - 1) = "0", OFFSET($A$1, 270 - 1, 102 - 1) = "1" ), 3, 4 ) ) )</f>
        <v>1</v>
      </c>
    </row>
    <row r="271" spans="95:103" ht="13.8" x14ac:dyDescent="0.3">
      <c r="CQ271" s="24">
        <v>6.0984615332733506E-2</v>
      </c>
      <c r="CR271" s="24" t="str">
        <f>"0"</f>
        <v>0</v>
      </c>
      <c r="CS271" t="str">
        <f ca="1">IF((OFFSET($A$1, 271 - 1, 95 - 1)) &gt;= (OFFSET($A$1, 54 - 1, 7 - 1)), "1","0")</f>
        <v>0</v>
      </c>
      <c r="CT271">
        <f ca="1" xml:space="preserve"> IF( AND( OFFSET($A$1, 271 - 1, 96 - 1) = "1", OFFSET($A$1, 271 - 1, 97 - 1) = "1" ), 1, IF( AND( OFFSET($A$1, 271 - 1, 96 - 1) = "1", OFFSET($A$1, 271 - 1, 97 - 1) = "0" ), 2, IF( AND( OFFSET($A$1, 271 - 1, 96 - 1) = "0", OFFSET($A$1, 271 - 1, 97 - 1) = "1" ), 3, 4 ) ) )</f>
        <v>4</v>
      </c>
      <c r="CV271" s="24">
        <v>0.91339945368740272</v>
      </c>
      <c r="CW271" s="24" t="str">
        <f t="shared" si="22"/>
        <v>1</v>
      </c>
      <c r="CX271" t="str">
        <f ca="1">IF((OFFSET($A$1, 271 - 1, 100 - 1)) &gt;= (OFFSET($A$1, 78 - 1, 7 - 1)), "1","0")</f>
        <v>1</v>
      </c>
      <c r="CY271">
        <f ca="1" xml:space="preserve"> IF( AND( OFFSET($A$1, 271 - 1, 101 - 1) = "1", OFFSET($A$1, 271 - 1, 102 - 1) = "1" ), 1, IF( AND( OFFSET($A$1, 271 - 1, 101 - 1) = "1", OFFSET($A$1, 271 - 1, 102 - 1) = "0" ), 2, IF( AND( OFFSET($A$1, 271 - 1, 101 - 1) = "0", OFFSET($A$1, 271 - 1, 102 - 1) = "1" ), 3, 4 ) ) )</f>
        <v>1</v>
      </c>
    </row>
    <row r="272" spans="95:103" ht="13.8" x14ac:dyDescent="0.3">
      <c r="CQ272" s="24">
        <v>0.99873162404021443</v>
      </c>
      <c r="CR272" s="24" t="str">
        <f t="shared" ref="CR272:CR282" si="23">"1"</f>
        <v>1</v>
      </c>
      <c r="CS272" t="str">
        <f ca="1">IF((OFFSET($A$1, 272 - 1, 95 - 1)) &gt;= (OFFSET($A$1, 54 - 1, 7 - 1)), "1","0")</f>
        <v>1</v>
      </c>
      <c r="CT272">
        <f ca="1" xml:space="preserve"> IF( AND( OFFSET($A$1, 272 - 1, 96 - 1) = "1", OFFSET($A$1, 272 - 1, 97 - 1) = "1" ), 1, IF( AND( OFFSET($A$1, 272 - 1, 96 - 1) = "1", OFFSET($A$1, 272 - 1, 97 - 1) = "0" ), 2, IF( AND( OFFSET($A$1, 272 - 1, 96 - 1) = "0", OFFSET($A$1, 272 - 1, 97 - 1) = "1" ), 3, 4 ) ) )</f>
        <v>1</v>
      </c>
      <c r="CV272" s="24">
        <v>0.91259754838945373</v>
      </c>
      <c r="CW272" s="24" t="str">
        <f t="shared" si="22"/>
        <v>1</v>
      </c>
      <c r="CX272" t="str">
        <f ca="1">IF((OFFSET($A$1, 272 - 1, 100 - 1)) &gt;= (OFFSET($A$1, 78 - 1, 7 - 1)), "1","0")</f>
        <v>1</v>
      </c>
      <c r="CY272">
        <f ca="1" xml:space="preserve"> IF( AND( OFFSET($A$1, 272 - 1, 101 - 1) = "1", OFFSET($A$1, 272 - 1, 102 - 1) = "1" ), 1, IF( AND( OFFSET($A$1, 272 - 1, 101 - 1) = "1", OFFSET($A$1, 272 - 1, 102 - 1) = "0" ), 2, IF( AND( OFFSET($A$1, 272 - 1, 101 - 1) = "0", OFFSET($A$1, 272 - 1, 102 - 1) = "1" ), 3, 4 ) ) )</f>
        <v>1</v>
      </c>
    </row>
    <row r="273" spans="95:103" ht="13.8" x14ac:dyDescent="0.3">
      <c r="CQ273" s="24">
        <v>0.92930008706708966</v>
      </c>
      <c r="CR273" s="24" t="str">
        <f t="shared" si="23"/>
        <v>1</v>
      </c>
      <c r="CS273" t="str">
        <f ca="1">IF((OFFSET($A$1, 273 - 1, 95 - 1)) &gt;= (OFFSET($A$1, 54 - 1, 7 - 1)), "1","0")</f>
        <v>1</v>
      </c>
      <c r="CT273">
        <f ca="1" xml:space="preserve"> IF( AND( OFFSET($A$1, 273 - 1, 96 - 1) = "1", OFFSET($A$1, 273 - 1, 97 - 1) = "1" ), 1, IF( AND( OFFSET($A$1, 273 - 1, 96 - 1) = "1", OFFSET($A$1, 273 - 1, 97 - 1) = "0" ), 2, IF( AND( OFFSET($A$1, 273 - 1, 96 - 1) = "0", OFFSET($A$1, 273 - 1, 97 - 1) = "1" ), 3, 4 ) ) )</f>
        <v>1</v>
      </c>
      <c r="CV273" s="24">
        <v>0.89978596032592451</v>
      </c>
      <c r="CW273" s="24" t="str">
        <f t="shared" si="22"/>
        <v>1</v>
      </c>
      <c r="CX273" t="str">
        <f ca="1">IF((OFFSET($A$1, 273 - 1, 100 - 1)) &gt;= (OFFSET($A$1, 78 - 1, 7 - 1)), "1","0")</f>
        <v>1</v>
      </c>
      <c r="CY273">
        <f ca="1" xml:space="preserve"> IF( AND( OFFSET($A$1, 273 - 1, 101 - 1) = "1", OFFSET($A$1, 273 - 1, 102 - 1) = "1" ), 1, IF( AND( OFFSET($A$1, 273 - 1, 101 - 1) = "1", OFFSET($A$1, 273 - 1, 102 - 1) = "0" ), 2, IF( AND( OFFSET($A$1, 273 - 1, 101 - 1) = "0", OFFSET($A$1, 273 - 1, 102 - 1) = "1" ), 3, 4 ) ) )</f>
        <v>1</v>
      </c>
    </row>
    <row r="274" spans="95:103" ht="13.8" x14ac:dyDescent="0.3">
      <c r="CQ274" s="24">
        <v>0.89724461391562071</v>
      </c>
      <c r="CR274" s="24" t="str">
        <f t="shared" si="23"/>
        <v>1</v>
      </c>
      <c r="CS274" t="str">
        <f ca="1">IF((OFFSET($A$1, 274 - 1, 95 - 1)) &gt;= (OFFSET($A$1, 54 - 1, 7 - 1)), "1","0")</f>
        <v>1</v>
      </c>
      <c r="CT274">
        <f ca="1" xml:space="preserve"> IF( AND( OFFSET($A$1, 274 - 1, 96 - 1) = "1", OFFSET($A$1, 274 - 1, 97 - 1) = "1" ), 1, IF( AND( OFFSET($A$1, 274 - 1, 96 - 1) = "1", OFFSET($A$1, 274 - 1, 97 - 1) = "0" ), 2, IF( AND( OFFSET($A$1, 274 - 1, 96 - 1) = "0", OFFSET($A$1, 274 - 1, 97 - 1) = "1" ), 3, 4 ) ) )</f>
        <v>1</v>
      </c>
      <c r="CV274" s="24">
        <v>0.99968062009163294</v>
      </c>
      <c r="CW274" s="24" t="str">
        <f t="shared" si="22"/>
        <v>1</v>
      </c>
      <c r="CX274" t="str">
        <f ca="1">IF((OFFSET($A$1, 274 - 1, 100 - 1)) &gt;= (OFFSET($A$1, 78 - 1, 7 - 1)), "1","0")</f>
        <v>1</v>
      </c>
      <c r="CY274">
        <f ca="1" xml:space="preserve"> IF( AND( OFFSET($A$1, 274 - 1, 101 - 1) = "1", OFFSET($A$1, 274 - 1, 102 - 1) = "1" ), 1, IF( AND( OFFSET($A$1, 274 - 1, 101 - 1) = "1", OFFSET($A$1, 274 - 1, 102 - 1) = "0" ), 2, IF( AND( OFFSET($A$1, 274 - 1, 101 - 1) = "0", OFFSET($A$1, 274 - 1, 102 - 1) = "1" ), 3, 4 ) ) )</f>
        <v>1</v>
      </c>
    </row>
    <row r="275" spans="95:103" ht="13.8" x14ac:dyDescent="0.3">
      <c r="CQ275" s="24">
        <v>0.91316750375025768</v>
      </c>
      <c r="CR275" s="24" t="str">
        <f t="shared" si="23"/>
        <v>1</v>
      </c>
      <c r="CS275" t="str">
        <f ca="1">IF((OFFSET($A$1, 275 - 1, 95 - 1)) &gt;= (OFFSET($A$1, 54 - 1, 7 - 1)), "1","0")</f>
        <v>1</v>
      </c>
      <c r="CT275">
        <f ca="1" xml:space="preserve"> IF( AND( OFFSET($A$1, 275 - 1, 96 - 1) = "1", OFFSET($A$1, 275 - 1, 97 - 1) = "1" ), 1, IF( AND( OFFSET($A$1, 275 - 1, 96 - 1) = "1", OFFSET($A$1, 275 - 1, 97 - 1) = "0" ), 2, IF( AND( OFFSET($A$1, 275 - 1, 96 - 1) = "0", OFFSET($A$1, 275 - 1, 97 - 1) = "1" ), 3, 4 ) ) )</f>
        <v>1</v>
      </c>
      <c r="CV275" s="24">
        <v>3.8194075236373227E-2</v>
      </c>
      <c r="CW275" s="24" t="str">
        <f>"0"</f>
        <v>0</v>
      </c>
      <c r="CX275" t="str">
        <f ca="1">IF((OFFSET($A$1, 275 - 1, 100 - 1)) &gt;= (OFFSET($A$1, 78 - 1, 7 - 1)), "1","0")</f>
        <v>0</v>
      </c>
      <c r="CY275">
        <f ca="1" xml:space="preserve"> IF( AND( OFFSET($A$1, 275 - 1, 101 - 1) = "1", OFFSET($A$1, 275 - 1, 102 - 1) = "1" ), 1, IF( AND( OFFSET($A$1, 275 - 1, 101 - 1) = "1", OFFSET($A$1, 275 - 1, 102 - 1) = "0" ), 2, IF( AND( OFFSET($A$1, 275 - 1, 101 - 1) = "0", OFFSET($A$1, 275 - 1, 102 - 1) = "1" ), 3, 4 ) ) )</f>
        <v>4</v>
      </c>
    </row>
    <row r="276" spans="95:103" ht="13.8" x14ac:dyDescent="0.3">
      <c r="CQ276" s="24">
        <v>0.87039181904564167</v>
      </c>
      <c r="CR276" s="24" t="str">
        <f t="shared" si="23"/>
        <v>1</v>
      </c>
      <c r="CS276" t="str">
        <f ca="1">IF((OFFSET($A$1, 276 - 1, 95 - 1)) &gt;= (OFFSET($A$1, 54 - 1, 7 - 1)), "1","0")</f>
        <v>1</v>
      </c>
      <c r="CT276">
        <f ca="1" xml:space="preserve"> IF( AND( OFFSET($A$1, 276 - 1, 96 - 1) = "1", OFFSET($A$1, 276 - 1, 97 - 1) = "1" ), 1, IF( AND( OFFSET($A$1, 276 - 1, 96 - 1) = "1", OFFSET($A$1, 276 - 1, 97 - 1) = "0" ), 2, IF( AND( OFFSET($A$1, 276 - 1, 96 - 1) = "0", OFFSET($A$1, 276 - 1, 97 - 1) = "1" ), 3, 4 ) ) )</f>
        <v>1</v>
      </c>
      <c r="CV276" s="24">
        <v>0.99244043296433626</v>
      </c>
      <c r="CW276" s="24" t="str">
        <f>"0"</f>
        <v>0</v>
      </c>
      <c r="CX276" t="str">
        <f ca="1">IF((OFFSET($A$1, 276 - 1, 100 - 1)) &gt;= (OFFSET($A$1, 78 - 1, 7 - 1)), "1","0")</f>
        <v>1</v>
      </c>
      <c r="CY276">
        <f ca="1" xml:space="preserve"> IF( AND( OFFSET($A$1, 276 - 1, 101 - 1) = "1", OFFSET($A$1, 276 - 1, 102 - 1) = "1" ), 1, IF( AND( OFFSET($A$1, 276 - 1, 101 - 1) = "1", OFFSET($A$1, 276 - 1, 102 - 1) = "0" ), 2, IF( AND( OFFSET($A$1, 276 - 1, 101 - 1) = "0", OFFSET($A$1, 276 - 1, 102 - 1) = "1" ), 3, 4 ) ) )</f>
        <v>3</v>
      </c>
    </row>
    <row r="277" spans="95:103" ht="13.8" x14ac:dyDescent="0.3">
      <c r="CQ277" s="24">
        <v>0.97196694513156345</v>
      </c>
      <c r="CR277" s="24" t="str">
        <f t="shared" si="23"/>
        <v>1</v>
      </c>
      <c r="CS277" t="str">
        <f ca="1">IF((OFFSET($A$1, 277 - 1, 95 - 1)) &gt;= (OFFSET($A$1, 54 - 1, 7 - 1)), "1","0")</f>
        <v>1</v>
      </c>
      <c r="CT277">
        <f ca="1" xml:space="preserve"> IF( AND( OFFSET($A$1, 277 - 1, 96 - 1) = "1", OFFSET($A$1, 277 - 1, 97 - 1) = "1" ), 1, IF( AND( OFFSET($A$1, 277 - 1, 96 - 1) = "1", OFFSET($A$1, 277 - 1, 97 - 1) = "0" ), 2, IF( AND( OFFSET($A$1, 277 - 1, 96 - 1) = "0", OFFSET($A$1, 277 - 1, 97 - 1) = "1" ), 3, 4 ) ) )</f>
        <v>1</v>
      </c>
      <c r="CV277" s="24">
        <v>0.99150979202471323</v>
      </c>
      <c r="CW277" s="24" t="str">
        <f t="shared" ref="CW277:CW282" si="24">"1"</f>
        <v>1</v>
      </c>
      <c r="CX277" t="str">
        <f ca="1">IF((OFFSET($A$1, 277 - 1, 100 - 1)) &gt;= (OFFSET($A$1, 78 - 1, 7 - 1)), "1","0")</f>
        <v>1</v>
      </c>
      <c r="CY277">
        <f ca="1" xml:space="preserve"> IF( AND( OFFSET($A$1, 277 - 1, 101 - 1) = "1", OFFSET($A$1, 277 - 1, 102 - 1) = "1" ), 1, IF( AND( OFFSET($A$1, 277 - 1, 101 - 1) = "1", OFFSET($A$1, 277 - 1, 102 - 1) = "0" ), 2, IF( AND( OFFSET($A$1, 277 - 1, 101 - 1) = "0", OFFSET($A$1, 277 - 1, 102 - 1) = "1" ), 3, 4 ) ) )</f>
        <v>1</v>
      </c>
    </row>
    <row r="278" spans="95:103" ht="13.8" x14ac:dyDescent="0.3">
      <c r="CQ278" s="24">
        <v>0.9191789241597661</v>
      </c>
      <c r="CR278" s="24" t="str">
        <f t="shared" si="23"/>
        <v>1</v>
      </c>
      <c r="CS278" t="str">
        <f ca="1">IF((OFFSET($A$1, 278 - 1, 95 - 1)) &gt;= (OFFSET($A$1, 54 - 1, 7 - 1)), "1","0")</f>
        <v>1</v>
      </c>
      <c r="CT278">
        <f ca="1" xml:space="preserve"> IF( AND( OFFSET($A$1, 278 - 1, 96 - 1) = "1", OFFSET($A$1, 278 - 1, 97 - 1) = "1" ), 1, IF( AND( OFFSET($A$1, 278 - 1, 96 - 1) = "1", OFFSET($A$1, 278 - 1, 97 - 1) = "0" ), 2, IF( AND( OFFSET($A$1, 278 - 1, 96 - 1) = "0", OFFSET($A$1, 278 - 1, 97 - 1) = "1" ), 3, 4 ) ) )</f>
        <v>1</v>
      </c>
      <c r="CV278" s="24">
        <v>0.92385905645227595</v>
      </c>
      <c r="CW278" s="24" t="str">
        <f t="shared" si="24"/>
        <v>1</v>
      </c>
      <c r="CX278" t="str">
        <f ca="1">IF((OFFSET($A$1, 278 - 1, 100 - 1)) &gt;= (OFFSET($A$1, 78 - 1, 7 - 1)), "1","0")</f>
        <v>1</v>
      </c>
      <c r="CY278">
        <f ca="1" xml:space="preserve"> IF( AND( OFFSET($A$1, 278 - 1, 101 - 1) = "1", OFFSET($A$1, 278 - 1, 102 - 1) = "1" ), 1, IF( AND( OFFSET($A$1, 278 - 1, 101 - 1) = "1", OFFSET($A$1, 278 - 1, 102 - 1) = "0" ), 2, IF( AND( OFFSET($A$1, 278 - 1, 101 - 1) = "0", OFFSET($A$1, 278 - 1, 102 - 1) = "1" ), 3, 4 ) ) )</f>
        <v>1</v>
      </c>
    </row>
    <row r="279" spans="95:103" ht="13.8" x14ac:dyDescent="0.3">
      <c r="CQ279" s="24">
        <v>0.87222338340056838</v>
      </c>
      <c r="CR279" s="24" t="str">
        <f t="shared" si="23"/>
        <v>1</v>
      </c>
      <c r="CS279" t="str">
        <f ca="1">IF((OFFSET($A$1, 279 - 1, 95 - 1)) &gt;= (OFFSET($A$1, 54 - 1, 7 - 1)), "1","0")</f>
        <v>1</v>
      </c>
      <c r="CT279">
        <f ca="1" xml:space="preserve"> IF( AND( OFFSET($A$1, 279 - 1, 96 - 1) = "1", OFFSET($A$1, 279 - 1, 97 - 1) = "1" ), 1, IF( AND( OFFSET($A$1, 279 - 1, 96 - 1) = "1", OFFSET($A$1, 279 - 1, 97 - 1) = "0" ), 2, IF( AND( OFFSET($A$1, 279 - 1, 96 - 1) = "0", OFFSET($A$1, 279 - 1, 97 - 1) = "1" ), 3, 4 ) ) )</f>
        <v>1</v>
      </c>
      <c r="CV279" s="24">
        <v>6.627870548618256E-2</v>
      </c>
      <c r="CW279" s="24" t="str">
        <f t="shared" si="24"/>
        <v>1</v>
      </c>
      <c r="CX279" t="str">
        <f ca="1">IF((OFFSET($A$1, 279 - 1, 100 - 1)) &gt;= (OFFSET($A$1, 78 - 1, 7 - 1)), "1","0")</f>
        <v>0</v>
      </c>
      <c r="CY279">
        <f ca="1" xml:space="preserve"> IF( AND( OFFSET($A$1, 279 - 1, 101 - 1) = "1", OFFSET($A$1, 279 - 1, 102 - 1) = "1" ), 1, IF( AND( OFFSET($A$1, 279 - 1, 101 - 1) = "1", OFFSET($A$1, 279 - 1, 102 - 1) = "0" ), 2, IF( AND( OFFSET($A$1, 279 - 1, 101 - 1) = "0", OFFSET($A$1, 279 - 1, 102 - 1) = "1" ), 3, 4 ) ) )</f>
        <v>2</v>
      </c>
    </row>
    <row r="280" spans="95:103" ht="13.8" x14ac:dyDescent="0.3">
      <c r="CQ280" s="24">
        <v>0.90459289599831039</v>
      </c>
      <c r="CR280" s="24" t="str">
        <f t="shared" si="23"/>
        <v>1</v>
      </c>
      <c r="CS280" t="str">
        <f ca="1">IF((OFFSET($A$1, 280 - 1, 95 - 1)) &gt;= (OFFSET($A$1, 54 - 1, 7 - 1)), "1","0")</f>
        <v>1</v>
      </c>
      <c r="CT280">
        <f ca="1" xml:space="preserve"> IF( AND( OFFSET($A$1, 280 - 1, 96 - 1) = "1", OFFSET($A$1, 280 - 1, 97 - 1) = "1" ), 1, IF( AND( OFFSET($A$1, 280 - 1, 96 - 1) = "1", OFFSET($A$1, 280 - 1, 97 - 1) = "0" ), 2, IF( AND( OFFSET($A$1, 280 - 1, 96 - 1) = "0", OFFSET($A$1, 280 - 1, 97 - 1) = "1" ), 3, 4 ) ) )</f>
        <v>1</v>
      </c>
      <c r="CV280" s="24">
        <v>0.95465142563527727</v>
      </c>
      <c r="CW280" s="24" t="str">
        <f t="shared" si="24"/>
        <v>1</v>
      </c>
      <c r="CX280" t="str">
        <f ca="1">IF((OFFSET($A$1, 280 - 1, 100 - 1)) &gt;= (OFFSET($A$1, 78 - 1, 7 - 1)), "1","0")</f>
        <v>1</v>
      </c>
      <c r="CY280">
        <f ca="1" xml:space="preserve"> IF( AND( OFFSET($A$1, 280 - 1, 101 - 1) = "1", OFFSET($A$1, 280 - 1, 102 - 1) = "1" ), 1, IF( AND( OFFSET($A$1, 280 - 1, 101 - 1) = "1", OFFSET($A$1, 280 - 1, 102 - 1) = "0" ), 2, IF( AND( OFFSET($A$1, 280 - 1, 101 - 1) = "0", OFFSET($A$1, 280 - 1, 102 - 1) = "1" ), 3, 4 ) ) )</f>
        <v>1</v>
      </c>
    </row>
    <row r="281" spans="95:103" ht="13.8" x14ac:dyDescent="0.3">
      <c r="CQ281" s="24">
        <v>0.91771151266932227</v>
      </c>
      <c r="CR281" s="24" t="str">
        <f t="shared" si="23"/>
        <v>1</v>
      </c>
      <c r="CS281" t="str">
        <f ca="1">IF((OFFSET($A$1, 281 - 1, 95 - 1)) &gt;= (OFFSET($A$1, 54 - 1, 7 - 1)), "1","0")</f>
        <v>1</v>
      </c>
      <c r="CT281">
        <f ca="1" xml:space="preserve"> IF( AND( OFFSET($A$1, 281 - 1, 96 - 1) = "1", OFFSET($A$1, 281 - 1, 97 - 1) = "1" ), 1, IF( AND( OFFSET($A$1, 281 - 1, 96 - 1) = "1", OFFSET($A$1, 281 - 1, 97 - 1) = "0" ), 2, IF( AND( OFFSET($A$1, 281 - 1, 96 - 1) = "0", OFFSET($A$1, 281 - 1, 97 - 1) = "1" ), 3, 4 ) ) )</f>
        <v>1</v>
      </c>
      <c r="CV281" s="24">
        <v>0.99811101469834995</v>
      </c>
      <c r="CW281" s="24" t="str">
        <f t="shared" si="24"/>
        <v>1</v>
      </c>
      <c r="CX281" t="str">
        <f ca="1">IF((OFFSET($A$1, 281 - 1, 100 - 1)) &gt;= (OFFSET($A$1, 78 - 1, 7 - 1)), "1","0")</f>
        <v>1</v>
      </c>
      <c r="CY281">
        <f ca="1" xml:space="preserve"> IF( AND( OFFSET($A$1, 281 - 1, 101 - 1) = "1", OFFSET($A$1, 281 - 1, 102 - 1) = "1" ), 1, IF( AND( OFFSET($A$1, 281 - 1, 101 - 1) = "1", OFFSET($A$1, 281 - 1, 102 - 1) = "0" ), 2, IF( AND( OFFSET($A$1, 281 - 1, 101 - 1) = "0", OFFSET($A$1, 281 - 1, 102 - 1) = "1" ), 3, 4 ) ) )</f>
        <v>1</v>
      </c>
    </row>
    <row r="282" spans="95:103" ht="13.8" x14ac:dyDescent="0.3">
      <c r="CQ282" s="24">
        <v>0.99695335741495494</v>
      </c>
      <c r="CR282" s="24" t="str">
        <f t="shared" si="23"/>
        <v>1</v>
      </c>
      <c r="CS282" t="str">
        <f ca="1">IF((OFFSET($A$1, 282 - 1, 95 - 1)) &gt;= (OFFSET($A$1, 54 - 1, 7 - 1)), "1","0")</f>
        <v>1</v>
      </c>
      <c r="CT282">
        <f ca="1" xml:space="preserve"> IF( AND( OFFSET($A$1, 282 - 1, 96 - 1) = "1", OFFSET($A$1, 282 - 1, 97 - 1) = "1" ), 1, IF( AND( OFFSET($A$1, 282 - 1, 96 - 1) = "1", OFFSET($A$1, 282 - 1, 97 - 1) = "0" ), 2, IF( AND( OFFSET($A$1, 282 - 1, 96 - 1) = "0", OFFSET($A$1, 282 - 1, 97 - 1) = "1" ), 3, 4 ) ) )</f>
        <v>1</v>
      </c>
      <c r="CV282" s="24">
        <v>0.99671792070352194</v>
      </c>
      <c r="CW282" s="24" t="str">
        <f t="shared" si="24"/>
        <v>1</v>
      </c>
      <c r="CX282" t="str">
        <f ca="1">IF((OFFSET($A$1, 282 - 1, 100 - 1)) &gt;= (OFFSET($A$1, 78 - 1, 7 - 1)), "1","0")</f>
        <v>1</v>
      </c>
      <c r="CY282">
        <f ca="1" xml:space="preserve"> IF( AND( OFFSET($A$1, 282 - 1, 101 - 1) = "1", OFFSET($A$1, 282 - 1, 102 - 1) = "1" ), 1, IF( AND( OFFSET($A$1, 282 - 1, 101 - 1) = "1", OFFSET($A$1, 282 - 1, 102 - 1) = "0" ), 2, IF( AND( OFFSET($A$1, 282 - 1, 101 - 1) = "0", OFFSET($A$1, 282 - 1, 102 - 1) = "1" ), 3, 4 ) ) )</f>
        <v>1</v>
      </c>
    </row>
    <row r="283" spans="95:103" ht="13.8" x14ac:dyDescent="0.3">
      <c r="CQ283" s="24">
        <v>5.5733117996283159E-3</v>
      </c>
      <c r="CR283" s="24" t="str">
        <f>"0"</f>
        <v>0</v>
      </c>
      <c r="CS283" t="str">
        <f ca="1">IF((OFFSET($A$1, 283 - 1, 95 - 1)) &gt;= (OFFSET($A$1, 54 - 1, 7 - 1)), "1","0")</f>
        <v>0</v>
      </c>
      <c r="CT283">
        <f ca="1" xml:space="preserve"> IF( AND( OFFSET($A$1, 283 - 1, 96 - 1) = "1", OFFSET($A$1, 283 - 1, 97 - 1) = "1" ), 1, IF( AND( OFFSET($A$1, 283 - 1, 96 - 1) = "1", OFFSET($A$1, 283 - 1, 97 - 1) = "0" ), 2, IF( AND( OFFSET($A$1, 283 - 1, 96 - 1) = "0", OFFSET($A$1, 283 - 1, 97 - 1) = "1" ), 3, 4 ) ) )</f>
        <v>4</v>
      </c>
      <c r="CV283" s="24">
        <v>0.90648626953719202</v>
      </c>
      <c r="CW283" s="24" t="str">
        <f>"0"</f>
        <v>0</v>
      </c>
      <c r="CX283" t="str">
        <f ca="1">IF((OFFSET($A$1, 283 - 1, 100 - 1)) &gt;= (OFFSET($A$1, 78 - 1, 7 - 1)), "1","0")</f>
        <v>1</v>
      </c>
      <c r="CY283">
        <f ca="1" xml:space="preserve"> IF( AND( OFFSET($A$1, 283 - 1, 101 - 1) = "1", OFFSET($A$1, 283 - 1, 102 - 1) = "1" ), 1, IF( AND( OFFSET($A$1, 283 - 1, 101 - 1) = "1", OFFSET($A$1, 283 - 1, 102 - 1) = "0" ), 2, IF( AND( OFFSET($A$1, 283 - 1, 101 - 1) = "0", OFFSET($A$1, 283 - 1, 102 - 1) = "1" ), 3, 4 ) ) )</f>
        <v>3</v>
      </c>
    </row>
    <row r="284" spans="95:103" ht="13.8" x14ac:dyDescent="0.3">
      <c r="CQ284" s="24">
        <v>0.98446419952267594</v>
      </c>
      <c r="CR284" s="24" t="str">
        <f>"1"</f>
        <v>1</v>
      </c>
      <c r="CS284" t="str">
        <f ca="1">IF((OFFSET($A$1, 284 - 1, 95 - 1)) &gt;= (OFFSET($A$1, 54 - 1, 7 - 1)), "1","0")</f>
        <v>1</v>
      </c>
      <c r="CT284">
        <f ca="1" xml:space="preserve"> IF( AND( OFFSET($A$1, 284 - 1, 96 - 1) = "1", OFFSET($A$1, 284 - 1, 97 - 1) = "1" ), 1, IF( AND( OFFSET($A$1, 284 - 1, 96 - 1) = "1", OFFSET($A$1, 284 - 1, 97 - 1) = "0" ), 2, IF( AND( OFFSET($A$1, 284 - 1, 96 - 1) = "0", OFFSET($A$1, 284 - 1, 97 - 1) = "1" ), 3, 4 ) ) )</f>
        <v>1</v>
      </c>
      <c r="CV284" s="24">
        <v>0.18848458916437447</v>
      </c>
      <c r="CW284" s="24" t="str">
        <f>"0"</f>
        <v>0</v>
      </c>
      <c r="CX284" t="str">
        <f ca="1">IF((OFFSET($A$1, 284 - 1, 100 - 1)) &gt;= (OFFSET($A$1, 78 - 1, 7 - 1)), "1","0")</f>
        <v>0</v>
      </c>
      <c r="CY284">
        <f ca="1" xml:space="preserve"> IF( AND( OFFSET($A$1, 284 - 1, 101 - 1) = "1", OFFSET($A$1, 284 - 1, 102 - 1) = "1" ), 1, IF( AND( OFFSET($A$1, 284 - 1, 101 - 1) = "1", OFFSET($A$1, 284 - 1, 102 - 1) = "0" ), 2, IF( AND( OFFSET($A$1, 284 - 1, 101 - 1) = "0", OFFSET($A$1, 284 - 1, 102 - 1) = "1" ), 3, 4 ) ) )</f>
        <v>4</v>
      </c>
    </row>
    <row r="285" spans="95:103" ht="13.8" x14ac:dyDescent="0.3">
      <c r="CQ285" s="24">
        <v>0.16002583341918514</v>
      </c>
      <c r="CR285" s="24" t="str">
        <f>"0"</f>
        <v>0</v>
      </c>
      <c r="CS285" t="str">
        <f ca="1">IF((OFFSET($A$1, 285 - 1, 95 - 1)) &gt;= (OFFSET($A$1, 54 - 1, 7 - 1)), "1","0")</f>
        <v>0</v>
      </c>
      <c r="CT285">
        <f ca="1" xml:space="preserve"> IF( AND( OFFSET($A$1, 285 - 1, 96 - 1) = "1", OFFSET($A$1, 285 - 1, 97 - 1) = "1" ), 1, IF( AND( OFFSET($A$1, 285 - 1, 96 - 1) = "1", OFFSET($A$1, 285 - 1, 97 - 1) = "0" ), 2, IF( AND( OFFSET($A$1, 285 - 1, 96 - 1) = "0", OFFSET($A$1, 285 - 1, 97 - 1) = "1" ), 3, 4 ) ) )</f>
        <v>4</v>
      </c>
      <c r="CV285" s="24">
        <v>0.12354266530899405</v>
      </c>
      <c r="CW285" s="24" t="str">
        <f>"1"</f>
        <v>1</v>
      </c>
      <c r="CX285" t="str">
        <f ca="1">IF((OFFSET($A$1, 285 - 1, 100 - 1)) &gt;= (OFFSET($A$1, 78 - 1, 7 - 1)), "1","0")</f>
        <v>0</v>
      </c>
      <c r="CY285">
        <f ca="1" xml:space="preserve"> IF( AND( OFFSET($A$1, 285 - 1, 101 - 1) = "1", OFFSET($A$1, 285 - 1, 102 - 1) = "1" ), 1, IF( AND( OFFSET($A$1, 285 - 1, 101 - 1) = "1", OFFSET($A$1, 285 - 1, 102 - 1) = "0" ), 2, IF( AND( OFFSET($A$1, 285 - 1, 101 - 1) = "0", OFFSET($A$1, 285 - 1, 102 - 1) = "1" ), 3, 4 ) ) )</f>
        <v>2</v>
      </c>
    </row>
    <row r="286" spans="95:103" ht="13.8" x14ac:dyDescent="0.3">
      <c r="CQ286" s="24">
        <v>0.99180485670279828</v>
      </c>
      <c r="CR286" s="24" t="str">
        <f>"1"</f>
        <v>1</v>
      </c>
      <c r="CS286" t="str">
        <f ca="1">IF((OFFSET($A$1, 286 - 1, 95 - 1)) &gt;= (OFFSET($A$1, 54 - 1, 7 - 1)), "1","0")</f>
        <v>1</v>
      </c>
      <c r="CT286">
        <f ca="1" xml:space="preserve"> IF( AND( OFFSET($A$1, 286 - 1, 96 - 1) = "1", OFFSET($A$1, 286 - 1, 97 - 1) = "1" ), 1, IF( AND( OFFSET($A$1, 286 - 1, 96 - 1) = "1", OFFSET($A$1, 286 - 1, 97 - 1) = "0" ), 2, IF( AND( OFFSET($A$1, 286 - 1, 96 - 1) = "0", OFFSET($A$1, 286 - 1, 97 - 1) = "1" ), 3, 4 ) ) )</f>
        <v>1</v>
      </c>
      <c r="CV286" s="24">
        <v>0.62617421909488846</v>
      </c>
      <c r="CW286" s="24" t="str">
        <f>"1"</f>
        <v>1</v>
      </c>
      <c r="CX286" t="str">
        <f ca="1">IF((OFFSET($A$1, 286 - 1, 100 - 1)) &gt;= (OFFSET($A$1, 78 - 1, 7 - 1)), "1","0")</f>
        <v>1</v>
      </c>
      <c r="CY286">
        <f ca="1" xml:space="preserve"> IF( AND( OFFSET($A$1, 286 - 1, 101 - 1) = "1", OFFSET($A$1, 286 - 1, 102 - 1) = "1" ), 1, IF( AND( OFFSET($A$1, 286 - 1, 101 - 1) = "1", OFFSET($A$1, 286 - 1, 102 - 1) = "0" ), 2, IF( AND( OFFSET($A$1, 286 - 1, 101 - 1) = "0", OFFSET($A$1, 286 - 1, 102 - 1) = "1" ), 3, 4 ) ) )</f>
        <v>1</v>
      </c>
    </row>
    <row r="287" spans="95:103" ht="13.8" x14ac:dyDescent="0.3">
      <c r="CQ287" s="24">
        <v>0.99961568999871842</v>
      </c>
      <c r="CR287" s="24" t="str">
        <f>"0"</f>
        <v>0</v>
      </c>
      <c r="CS287" t="str">
        <f ca="1">IF((OFFSET($A$1, 287 - 1, 95 - 1)) &gt;= (OFFSET($A$1, 54 - 1, 7 - 1)), "1","0")</f>
        <v>1</v>
      </c>
      <c r="CT287">
        <f ca="1" xml:space="preserve"> IF( AND( OFFSET($A$1, 287 - 1, 96 - 1) = "1", OFFSET($A$1, 287 - 1, 97 - 1) = "1" ), 1, IF( AND( OFFSET($A$1, 287 - 1, 96 - 1) = "1", OFFSET($A$1, 287 - 1, 97 - 1) = "0" ), 2, IF( AND( OFFSET($A$1, 287 - 1, 96 - 1) = "0", OFFSET($A$1, 287 - 1, 97 - 1) = "1" ), 3, 4 ) ) )</f>
        <v>3</v>
      </c>
      <c r="CV287" s="24">
        <v>0.98220138517194966</v>
      </c>
      <c r="CW287" s="24" t="str">
        <f>"1"</f>
        <v>1</v>
      </c>
      <c r="CX287" t="str">
        <f ca="1">IF((OFFSET($A$1, 287 - 1, 100 - 1)) &gt;= (OFFSET($A$1, 78 - 1, 7 - 1)), "1","0")</f>
        <v>1</v>
      </c>
      <c r="CY287">
        <f ca="1" xml:space="preserve"> IF( AND( OFFSET($A$1, 287 - 1, 101 - 1) = "1", OFFSET($A$1, 287 - 1, 102 - 1) = "1" ), 1, IF( AND( OFFSET($A$1, 287 - 1, 101 - 1) = "1", OFFSET($A$1, 287 - 1, 102 - 1) = "0" ), 2, IF( AND( OFFSET($A$1, 287 - 1, 101 - 1) = "0", OFFSET($A$1, 287 - 1, 102 - 1) = "1" ), 3, 4 ) ) )</f>
        <v>1</v>
      </c>
    </row>
    <row r="288" spans="95:103" ht="13.8" x14ac:dyDescent="0.3">
      <c r="CQ288" s="24">
        <v>0.90693838653801329</v>
      </c>
      <c r="CR288" s="24" t="str">
        <f>"1"</f>
        <v>1</v>
      </c>
      <c r="CS288" t="str">
        <f ca="1">IF((OFFSET($A$1, 288 - 1, 95 - 1)) &gt;= (OFFSET($A$1, 54 - 1, 7 - 1)), "1","0")</f>
        <v>1</v>
      </c>
      <c r="CT288">
        <f ca="1" xml:space="preserve"> IF( AND( OFFSET($A$1, 288 - 1, 96 - 1) = "1", OFFSET($A$1, 288 - 1, 97 - 1) = "1" ), 1, IF( AND( OFFSET($A$1, 288 - 1, 96 - 1) = "1", OFFSET($A$1, 288 - 1, 97 - 1) = "0" ), 2, IF( AND( OFFSET($A$1, 288 - 1, 96 - 1) = "0", OFFSET($A$1, 288 - 1, 97 - 1) = "1" ), 3, 4 ) ) )</f>
        <v>1</v>
      </c>
      <c r="CV288" s="24">
        <v>0.99996189099083999</v>
      </c>
      <c r="CW288" s="24" t="str">
        <f>"1"</f>
        <v>1</v>
      </c>
      <c r="CX288" t="str">
        <f ca="1">IF((OFFSET($A$1, 288 - 1, 100 - 1)) &gt;= (OFFSET($A$1, 78 - 1, 7 - 1)), "1","0")</f>
        <v>1</v>
      </c>
      <c r="CY288">
        <f ca="1" xml:space="preserve"> IF( AND( OFFSET($A$1, 288 - 1, 101 - 1) = "1", OFFSET($A$1, 288 - 1, 102 - 1) = "1" ), 1, IF( AND( OFFSET($A$1, 288 - 1, 101 - 1) = "1", OFFSET($A$1, 288 - 1, 102 - 1) = "0" ), 2, IF( AND( OFFSET($A$1, 288 - 1, 101 - 1) = "0", OFFSET($A$1, 288 - 1, 102 - 1) = "1" ), 3, 4 ) ) )</f>
        <v>1</v>
      </c>
    </row>
    <row r="289" spans="95:103" ht="13.8" x14ac:dyDescent="0.3">
      <c r="CQ289" s="24">
        <v>0.11400526037306206</v>
      </c>
      <c r="CR289" s="24" t="str">
        <f>"0"</f>
        <v>0</v>
      </c>
      <c r="CS289" t="str">
        <f ca="1">IF((OFFSET($A$1, 289 - 1, 95 - 1)) &gt;= (OFFSET($A$1, 54 - 1, 7 - 1)), "1","0")</f>
        <v>0</v>
      </c>
      <c r="CT289">
        <f ca="1" xml:space="preserve"> IF( AND( OFFSET($A$1, 289 - 1, 96 - 1) = "1", OFFSET($A$1, 289 - 1, 97 - 1) = "1" ), 1, IF( AND( OFFSET($A$1, 289 - 1, 96 - 1) = "1", OFFSET($A$1, 289 - 1, 97 - 1) = "0" ), 2, IF( AND( OFFSET($A$1, 289 - 1, 96 - 1) = "0", OFFSET($A$1, 289 - 1, 97 - 1) = "1" ), 3, 4 ) ) )</f>
        <v>4</v>
      </c>
      <c r="CV289" s="24">
        <v>0.93100339778386665</v>
      </c>
      <c r="CW289" s="24" t="str">
        <f>"0"</f>
        <v>0</v>
      </c>
      <c r="CX289" t="str">
        <f ca="1">IF((OFFSET($A$1, 289 - 1, 100 - 1)) &gt;= (OFFSET($A$1, 78 - 1, 7 - 1)), "1","0")</f>
        <v>1</v>
      </c>
      <c r="CY289">
        <f ca="1" xml:space="preserve"> IF( AND( OFFSET($A$1, 289 - 1, 101 - 1) = "1", OFFSET($A$1, 289 - 1, 102 - 1) = "1" ), 1, IF( AND( OFFSET($A$1, 289 - 1, 101 - 1) = "1", OFFSET($A$1, 289 - 1, 102 - 1) = "0" ), 2, IF( AND( OFFSET($A$1, 289 - 1, 101 - 1) = "0", OFFSET($A$1, 289 - 1, 102 - 1) = "1" ), 3, 4 ) ) )</f>
        <v>3</v>
      </c>
    </row>
    <row r="290" spans="95:103" ht="13.8" x14ac:dyDescent="0.3">
      <c r="CQ290" s="24">
        <v>6.673953126049062E-2</v>
      </c>
      <c r="CR290" s="24" t="str">
        <f>"0"</f>
        <v>0</v>
      </c>
      <c r="CS290" t="str">
        <f ca="1">IF((OFFSET($A$1, 290 - 1, 95 - 1)) &gt;= (OFFSET($A$1, 54 - 1, 7 - 1)), "1","0")</f>
        <v>0</v>
      </c>
      <c r="CT290">
        <f ca="1" xml:space="preserve"> IF( AND( OFFSET($A$1, 290 - 1, 96 - 1) = "1", OFFSET($A$1, 290 - 1, 97 - 1) = "1" ), 1, IF( AND( OFFSET($A$1, 290 - 1, 96 - 1) = "1", OFFSET($A$1, 290 - 1, 97 - 1) = "0" ), 2, IF( AND( OFFSET($A$1, 290 - 1, 96 - 1) = "0", OFFSET($A$1, 290 - 1, 97 - 1) = "1" ), 3, 4 ) ) )</f>
        <v>4</v>
      </c>
      <c r="CV290" s="24">
        <v>0.11015723457361615</v>
      </c>
      <c r="CW290" s="24" t="str">
        <f>"0"</f>
        <v>0</v>
      </c>
      <c r="CX290" t="str">
        <f ca="1">IF((OFFSET($A$1, 290 - 1, 100 - 1)) &gt;= (OFFSET($A$1, 78 - 1, 7 - 1)), "1","0")</f>
        <v>0</v>
      </c>
      <c r="CY290">
        <f ca="1" xml:space="preserve"> IF( AND( OFFSET($A$1, 290 - 1, 101 - 1) = "1", OFFSET($A$1, 290 - 1, 102 - 1) = "1" ), 1, IF( AND( OFFSET($A$1, 290 - 1, 101 - 1) = "1", OFFSET($A$1, 290 - 1, 102 - 1) = "0" ), 2, IF( AND( OFFSET($A$1, 290 - 1, 101 - 1) = "0", OFFSET($A$1, 290 - 1, 102 - 1) = "1" ), 3, 4 ) ) )</f>
        <v>4</v>
      </c>
    </row>
    <row r="291" spans="95:103" ht="13.8" x14ac:dyDescent="0.3">
      <c r="CQ291" s="24">
        <v>0.81797698591074919</v>
      </c>
      <c r="CR291" s="24" t="str">
        <f>"1"</f>
        <v>1</v>
      </c>
      <c r="CS291" t="str">
        <f ca="1">IF((OFFSET($A$1, 291 - 1, 95 - 1)) &gt;= (OFFSET($A$1, 54 - 1, 7 - 1)), "1","0")</f>
        <v>1</v>
      </c>
      <c r="CT291">
        <f ca="1" xml:space="preserve"> IF( AND( OFFSET($A$1, 291 - 1, 96 - 1) = "1", OFFSET($A$1, 291 - 1, 97 - 1) = "1" ), 1, IF( AND( OFFSET($A$1, 291 - 1, 96 - 1) = "1", OFFSET($A$1, 291 - 1, 97 - 1) = "0" ), 2, IF( AND( OFFSET($A$1, 291 - 1, 96 - 1) = "0", OFFSET($A$1, 291 - 1, 97 - 1) = "1" ), 3, 4 ) ) )</f>
        <v>1</v>
      </c>
      <c r="CV291" s="24">
        <v>6.8369645485511265E-3</v>
      </c>
      <c r="CW291" s="24" t="str">
        <f>"1"</f>
        <v>1</v>
      </c>
      <c r="CX291" t="str">
        <f ca="1">IF((OFFSET($A$1, 291 - 1, 100 - 1)) &gt;= (OFFSET($A$1, 78 - 1, 7 - 1)), "1","0")</f>
        <v>0</v>
      </c>
      <c r="CY291">
        <f ca="1" xml:space="preserve"> IF( AND( OFFSET($A$1, 291 - 1, 101 - 1) = "1", OFFSET($A$1, 291 - 1, 102 - 1) = "1" ), 1, IF( AND( OFFSET($A$1, 291 - 1, 101 - 1) = "1", OFFSET($A$1, 291 - 1, 102 - 1) = "0" ), 2, IF( AND( OFFSET($A$1, 291 - 1, 101 - 1) = "0", OFFSET($A$1, 291 - 1, 102 - 1) = "1" ), 3, 4 ) ) )</f>
        <v>2</v>
      </c>
    </row>
    <row r="292" spans="95:103" ht="13.8" x14ac:dyDescent="0.3">
      <c r="CQ292" s="24">
        <v>0.90505173004230155</v>
      </c>
      <c r="CR292" s="24" t="str">
        <f>"1"</f>
        <v>1</v>
      </c>
      <c r="CS292" t="str">
        <f ca="1">IF((OFFSET($A$1, 292 - 1, 95 - 1)) &gt;= (OFFSET($A$1, 54 - 1, 7 - 1)), "1","0")</f>
        <v>1</v>
      </c>
      <c r="CT292">
        <f ca="1" xml:space="preserve"> IF( AND( OFFSET($A$1, 292 - 1, 96 - 1) = "1", OFFSET($A$1, 292 - 1, 97 - 1) = "1" ), 1, IF( AND( OFFSET($A$1, 292 - 1, 96 - 1) = "1", OFFSET($A$1, 292 - 1, 97 - 1) = "0" ), 2, IF( AND( OFFSET($A$1, 292 - 1, 96 - 1) = "0", OFFSET($A$1, 292 - 1, 97 - 1) = "1" ), 3, 4 ) ) )</f>
        <v>1</v>
      </c>
      <c r="CV292" s="24">
        <v>0.99115911164376846</v>
      </c>
      <c r="CW292" s="24" t="str">
        <f>"1"</f>
        <v>1</v>
      </c>
      <c r="CX292" t="str">
        <f ca="1">IF((OFFSET($A$1, 292 - 1, 100 - 1)) &gt;= (OFFSET($A$1, 78 - 1, 7 - 1)), "1","0")</f>
        <v>1</v>
      </c>
      <c r="CY292">
        <f ca="1" xml:space="preserve"> IF( AND( OFFSET($A$1, 292 - 1, 101 - 1) = "1", OFFSET($A$1, 292 - 1, 102 - 1) = "1" ), 1, IF( AND( OFFSET($A$1, 292 - 1, 101 - 1) = "1", OFFSET($A$1, 292 - 1, 102 - 1) = "0" ), 2, IF( AND( OFFSET($A$1, 292 - 1, 101 - 1) = "0", OFFSET($A$1, 292 - 1, 102 - 1) = "1" ), 3, 4 ) ) )</f>
        <v>1</v>
      </c>
    </row>
    <row r="293" spans="95:103" ht="13.8" x14ac:dyDescent="0.3">
      <c r="CQ293" s="24">
        <v>8.7367839413126439E-2</v>
      </c>
      <c r="CR293" s="24" t="str">
        <f>"0"</f>
        <v>0</v>
      </c>
      <c r="CS293" t="str">
        <f ca="1">IF((OFFSET($A$1, 293 - 1, 95 - 1)) &gt;= (OFFSET($A$1, 54 - 1, 7 - 1)), "1","0")</f>
        <v>0</v>
      </c>
      <c r="CT293">
        <f ca="1" xml:space="preserve"> IF( AND( OFFSET($A$1, 293 - 1, 96 - 1) = "1", OFFSET($A$1, 293 - 1, 97 - 1) = "1" ), 1, IF( AND( OFFSET($A$1, 293 - 1, 96 - 1) = "1", OFFSET($A$1, 293 - 1, 97 - 1) = "0" ), 2, IF( AND( OFFSET($A$1, 293 - 1, 96 - 1) = "0", OFFSET($A$1, 293 - 1, 97 - 1) = "1" ), 3, 4 ) ) )</f>
        <v>4</v>
      </c>
      <c r="CV293" s="24">
        <v>0.67459777202709392</v>
      </c>
      <c r="CW293" s="24" t="str">
        <f>"1"</f>
        <v>1</v>
      </c>
      <c r="CX293" t="str">
        <f ca="1">IF((OFFSET($A$1, 293 - 1, 100 - 1)) &gt;= (OFFSET($A$1, 78 - 1, 7 - 1)), "1","0")</f>
        <v>1</v>
      </c>
      <c r="CY293">
        <f ca="1" xml:space="preserve"> IF( AND( OFFSET($A$1, 293 - 1, 101 - 1) = "1", OFFSET($A$1, 293 - 1, 102 - 1) = "1" ), 1, IF( AND( OFFSET($A$1, 293 - 1, 101 - 1) = "1", OFFSET($A$1, 293 - 1, 102 - 1) = "0" ), 2, IF( AND( OFFSET($A$1, 293 - 1, 101 - 1) = "0", OFFSET($A$1, 293 - 1, 102 - 1) = "1" ), 3, 4 ) ) )</f>
        <v>1</v>
      </c>
    </row>
    <row r="294" spans="95:103" ht="13.8" x14ac:dyDescent="0.3">
      <c r="CQ294" s="24">
        <v>0.999330177698316</v>
      </c>
      <c r="CR294" s="24" t="str">
        <f>"1"</f>
        <v>1</v>
      </c>
      <c r="CS294" t="str">
        <f ca="1">IF((OFFSET($A$1, 294 - 1, 95 - 1)) &gt;= (OFFSET($A$1, 54 - 1, 7 - 1)), "1","0")</f>
        <v>1</v>
      </c>
      <c r="CT294">
        <f ca="1" xml:space="preserve"> IF( AND( OFFSET($A$1, 294 - 1, 96 - 1) = "1", OFFSET($A$1, 294 - 1, 97 - 1) = "1" ), 1, IF( AND( OFFSET($A$1, 294 - 1, 96 - 1) = "1", OFFSET($A$1, 294 - 1, 97 - 1) = "0" ), 2, IF( AND( OFFSET($A$1, 294 - 1, 96 - 1) = "0", OFFSET($A$1, 294 - 1, 97 - 1) = "1" ), 3, 4 ) ) )</f>
        <v>1</v>
      </c>
      <c r="CV294" s="24">
        <v>0.32454064503003499</v>
      </c>
      <c r="CW294" s="24" t="str">
        <f>"0"</f>
        <v>0</v>
      </c>
      <c r="CX294" t="str">
        <f ca="1">IF((OFFSET($A$1, 294 - 1, 100 - 1)) &gt;= (OFFSET($A$1, 78 - 1, 7 - 1)), "1","0")</f>
        <v>0</v>
      </c>
      <c r="CY294">
        <f ca="1" xml:space="preserve"> IF( AND( OFFSET($A$1, 294 - 1, 101 - 1) = "1", OFFSET($A$1, 294 - 1, 102 - 1) = "1" ), 1, IF( AND( OFFSET($A$1, 294 - 1, 101 - 1) = "1", OFFSET($A$1, 294 - 1, 102 - 1) = "0" ), 2, IF( AND( OFFSET($A$1, 294 - 1, 101 - 1) = "0", OFFSET($A$1, 294 - 1, 102 - 1) = "1" ), 3, 4 ) ) )</f>
        <v>4</v>
      </c>
    </row>
    <row r="295" spans="95:103" ht="13.8" x14ac:dyDescent="0.3">
      <c r="CQ295" s="24">
        <v>8.3890280999701482E-3</v>
      </c>
      <c r="CR295" s="24" t="str">
        <f>"0"</f>
        <v>0</v>
      </c>
      <c r="CS295" t="str">
        <f ca="1">IF((OFFSET($A$1, 295 - 1, 95 - 1)) &gt;= (OFFSET($A$1, 54 - 1, 7 - 1)), "1","0")</f>
        <v>0</v>
      </c>
      <c r="CT295">
        <f ca="1" xml:space="preserve"> IF( AND( OFFSET($A$1, 295 - 1, 96 - 1) = "1", OFFSET($A$1, 295 - 1, 97 - 1) = "1" ), 1, IF( AND( OFFSET($A$1, 295 - 1, 96 - 1) = "1", OFFSET($A$1, 295 - 1, 97 - 1) = "0" ), 2, IF( AND( OFFSET($A$1, 295 - 1, 96 - 1) = "0", OFFSET($A$1, 295 - 1, 97 - 1) = "1" ), 3, 4 ) ) )</f>
        <v>4</v>
      </c>
      <c r="CV295" s="24">
        <v>6.0236946729847689E-2</v>
      </c>
      <c r="CW295" s="24" t="str">
        <f>"0"</f>
        <v>0</v>
      </c>
      <c r="CX295" t="str">
        <f ca="1">IF((OFFSET($A$1, 295 - 1, 100 - 1)) &gt;= (OFFSET($A$1, 78 - 1, 7 - 1)), "1","0")</f>
        <v>0</v>
      </c>
      <c r="CY295">
        <f ca="1" xml:space="preserve"> IF( AND( OFFSET($A$1, 295 - 1, 101 - 1) = "1", OFFSET($A$1, 295 - 1, 102 - 1) = "1" ), 1, IF( AND( OFFSET($A$1, 295 - 1, 101 - 1) = "1", OFFSET($A$1, 295 - 1, 102 - 1) = "0" ), 2, IF( AND( OFFSET($A$1, 295 - 1, 101 - 1) = "0", OFFSET($A$1, 295 - 1, 102 - 1) = "1" ), 3, 4 ) ) )</f>
        <v>4</v>
      </c>
    </row>
    <row r="296" spans="95:103" ht="13.8" x14ac:dyDescent="0.3">
      <c r="CQ296" s="24">
        <v>0.97821867089919345</v>
      </c>
      <c r="CR296" s="24" t="str">
        <f>"1"</f>
        <v>1</v>
      </c>
      <c r="CS296" t="str">
        <f ca="1">IF((OFFSET($A$1, 296 - 1, 95 - 1)) &gt;= (OFFSET($A$1, 54 - 1, 7 - 1)), "1","0")</f>
        <v>1</v>
      </c>
      <c r="CT296">
        <f ca="1" xml:space="preserve"> IF( AND( OFFSET($A$1, 296 - 1, 96 - 1) = "1", OFFSET($A$1, 296 - 1, 97 - 1) = "1" ), 1, IF( AND( OFFSET($A$1, 296 - 1, 96 - 1) = "1", OFFSET($A$1, 296 - 1, 97 - 1) = "0" ), 2, IF( AND( OFFSET($A$1, 296 - 1, 96 - 1) = "0", OFFSET($A$1, 296 - 1, 97 - 1) = "1" ), 3, 4 ) ) )</f>
        <v>1</v>
      </c>
      <c r="CV296" s="24">
        <v>0.99896168353332371</v>
      </c>
      <c r="CW296" s="24" t="str">
        <f>"1"</f>
        <v>1</v>
      </c>
      <c r="CX296" t="str">
        <f ca="1">IF((OFFSET($A$1, 296 - 1, 100 - 1)) &gt;= (OFFSET($A$1, 78 - 1, 7 - 1)), "1","0")</f>
        <v>1</v>
      </c>
      <c r="CY296">
        <f ca="1" xml:space="preserve"> IF( AND( OFFSET($A$1, 296 - 1, 101 - 1) = "1", OFFSET($A$1, 296 - 1, 102 - 1) = "1" ), 1, IF( AND( OFFSET($A$1, 296 - 1, 101 - 1) = "1", OFFSET($A$1, 296 - 1, 102 - 1) = "0" ), 2, IF( AND( OFFSET($A$1, 296 - 1, 101 - 1) = "0", OFFSET($A$1, 296 - 1, 102 - 1) = "1" ), 3, 4 ) ) )</f>
        <v>1</v>
      </c>
    </row>
    <row r="297" spans="95:103" ht="13.8" x14ac:dyDescent="0.3">
      <c r="CQ297" s="24">
        <v>0.99563863251526297</v>
      </c>
      <c r="CR297" s="24" t="str">
        <f>"1"</f>
        <v>1</v>
      </c>
      <c r="CS297" t="str">
        <f ca="1">IF((OFFSET($A$1, 297 - 1, 95 - 1)) &gt;= (OFFSET($A$1, 54 - 1, 7 - 1)), "1","0")</f>
        <v>1</v>
      </c>
      <c r="CT297">
        <f ca="1" xml:space="preserve"> IF( AND( OFFSET($A$1, 297 - 1, 96 - 1) = "1", OFFSET($A$1, 297 - 1, 97 - 1) = "1" ), 1, IF( AND( OFFSET($A$1, 297 - 1, 96 - 1) = "1", OFFSET($A$1, 297 - 1, 97 - 1) = "0" ), 2, IF( AND( OFFSET($A$1, 297 - 1, 96 - 1) = "0", OFFSET($A$1, 297 - 1, 97 - 1) = "1" ), 3, 4 ) ) )</f>
        <v>1</v>
      </c>
      <c r="CV297" s="24">
        <v>9.3457861797031874E-2</v>
      </c>
      <c r="CW297" s="24" t="str">
        <f>"0"</f>
        <v>0</v>
      </c>
      <c r="CX297" t="str">
        <f ca="1">IF((OFFSET($A$1, 297 - 1, 100 - 1)) &gt;= (OFFSET($A$1, 78 - 1, 7 - 1)), "1","0")</f>
        <v>0</v>
      </c>
      <c r="CY297">
        <f ca="1" xml:space="preserve"> IF( AND( OFFSET($A$1, 297 - 1, 101 - 1) = "1", OFFSET($A$1, 297 - 1, 102 - 1) = "1" ), 1, IF( AND( OFFSET($A$1, 297 - 1, 101 - 1) = "1", OFFSET($A$1, 297 - 1, 102 - 1) = "0" ), 2, IF( AND( OFFSET($A$1, 297 - 1, 101 - 1) = "0", OFFSET($A$1, 297 - 1, 102 - 1) = "1" ), 3, 4 ) ) )</f>
        <v>4</v>
      </c>
    </row>
    <row r="298" spans="95:103" ht="13.8" x14ac:dyDescent="0.3">
      <c r="CQ298" s="24">
        <v>0.9285673427749852</v>
      </c>
      <c r="CR298" s="24" t="str">
        <f>"1"</f>
        <v>1</v>
      </c>
      <c r="CS298" t="str">
        <f ca="1">IF((OFFSET($A$1, 298 - 1, 95 - 1)) &gt;= (OFFSET($A$1, 54 - 1, 7 - 1)), "1","0")</f>
        <v>1</v>
      </c>
      <c r="CT298">
        <f ca="1" xml:space="preserve"> IF( AND( OFFSET($A$1, 298 - 1, 96 - 1) = "1", OFFSET($A$1, 298 - 1, 97 - 1) = "1" ), 1, IF( AND( OFFSET($A$1, 298 - 1, 96 - 1) = "1", OFFSET($A$1, 298 - 1, 97 - 1) = "0" ), 2, IF( AND( OFFSET($A$1, 298 - 1, 96 - 1) = "0", OFFSET($A$1, 298 - 1, 97 - 1) = "1" ), 3, 4 ) ) )</f>
        <v>1</v>
      </c>
      <c r="CV298" s="24">
        <v>0.10926644361338733</v>
      </c>
      <c r="CW298" s="24" t="str">
        <f>"0"</f>
        <v>0</v>
      </c>
      <c r="CX298" t="str">
        <f ca="1">IF((OFFSET($A$1, 298 - 1, 100 - 1)) &gt;= (OFFSET($A$1, 78 - 1, 7 - 1)), "1","0")</f>
        <v>0</v>
      </c>
      <c r="CY298">
        <f ca="1" xml:space="preserve"> IF( AND( OFFSET($A$1, 298 - 1, 101 - 1) = "1", OFFSET($A$1, 298 - 1, 102 - 1) = "1" ), 1, IF( AND( OFFSET($A$1, 298 - 1, 101 - 1) = "1", OFFSET($A$1, 298 - 1, 102 - 1) = "0" ), 2, IF( AND( OFFSET($A$1, 298 - 1, 101 - 1) = "0", OFFSET($A$1, 298 - 1, 102 - 1) = "1" ), 3, 4 ) ) )</f>
        <v>4</v>
      </c>
    </row>
    <row r="299" spans="95:103" ht="13.8" x14ac:dyDescent="0.3">
      <c r="CQ299" s="24">
        <v>0.97262571670339037</v>
      </c>
      <c r="CR299" s="24" t="str">
        <f>"1"</f>
        <v>1</v>
      </c>
      <c r="CS299" t="str">
        <f ca="1">IF((OFFSET($A$1, 299 - 1, 95 - 1)) &gt;= (OFFSET($A$1, 54 - 1, 7 - 1)), "1","0")</f>
        <v>1</v>
      </c>
      <c r="CT299">
        <f ca="1" xml:space="preserve"> IF( AND( OFFSET($A$1, 299 - 1, 96 - 1) = "1", OFFSET($A$1, 299 - 1, 97 - 1) = "1" ), 1, IF( AND( OFFSET($A$1, 299 - 1, 96 - 1) = "1", OFFSET($A$1, 299 - 1, 97 - 1) = "0" ), 2, IF( AND( OFFSET($A$1, 299 - 1, 96 - 1) = "0", OFFSET($A$1, 299 - 1, 97 - 1) = "1" ), 3, 4 ) ) )</f>
        <v>1</v>
      </c>
      <c r="CV299" s="24">
        <v>0.94860058465586639</v>
      </c>
      <c r="CW299" s="24" t="str">
        <f>"0"</f>
        <v>0</v>
      </c>
      <c r="CX299" t="str">
        <f ca="1">IF((OFFSET($A$1, 299 - 1, 100 - 1)) &gt;= (OFFSET($A$1, 78 - 1, 7 - 1)), "1","0")</f>
        <v>1</v>
      </c>
      <c r="CY299">
        <f ca="1" xml:space="preserve"> IF( AND( OFFSET($A$1, 299 - 1, 101 - 1) = "1", OFFSET($A$1, 299 - 1, 102 - 1) = "1" ), 1, IF( AND( OFFSET($A$1, 299 - 1, 101 - 1) = "1", OFFSET($A$1, 299 - 1, 102 - 1) = "0" ), 2, IF( AND( OFFSET($A$1, 299 - 1, 101 - 1) = "0", OFFSET($A$1, 299 - 1, 102 - 1) = "1" ), 3, 4 ) ) )</f>
        <v>3</v>
      </c>
    </row>
    <row r="300" spans="95:103" ht="13.8" x14ac:dyDescent="0.3">
      <c r="CQ300" s="24">
        <v>0.81839287221314194</v>
      </c>
      <c r="CR300" s="24" t="str">
        <f>"1"</f>
        <v>1</v>
      </c>
      <c r="CS300" t="str">
        <f ca="1">IF((OFFSET($A$1, 300 - 1, 95 - 1)) &gt;= (OFFSET($A$1, 54 - 1, 7 - 1)), "1","0")</f>
        <v>1</v>
      </c>
      <c r="CT300">
        <f ca="1" xml:space="preserve"> IF( AND( OFFSET($A$1, 300 - 1, 96 - 1) = "1", OFFSET($A$1, 300 - 1, 97 - 1) = "1" ), 1, IF( AND( OFFSET($A$1, 300 - 1, 96 - 1) = "1", OFFSET($A$1, 300 - 1, 97 - 1) = "0" ), 2, IF( AND( OFFSET($A$1, 300 - 1, 96 - 1) = "0", OFFSET($A$1, 300 - 1, 97 - 1) = "1" ), 3, 4 ) ) )</f>
        <v>1</v>
      </c>
      <c r="CV300" s="24">
        <v>0.98681942912146969</v>
      </c>
      <c r="CW300" s="24" t="str">
        <f>"1"</f>
        <v>1</v>
      </c>
      <c r="CX300" t="str">
        <f ca="1">IF((OFFSET($A$1, 300 - 1, 100 - 1)) &gt;= (OFFSET($A$1, 78 - 1, 7 - 1)), "1","0")</f>
        <v>1</v>
      </c>
      <c r="CY300">
        <f ca="1" xml:space="preserve"> IF( AND( OFFSET($A$1, 300 - 1, 101 - 1) = "1", OFFSET($A$1, 300 - 1, 102 - 1) = "1" ), 1, IF( AND( OFFSET($A$1, 300 - 1, 101 - 1) = "1", OFFSET($A$1, 300 - 1, 102 - 1) = "0" ), 2, IF( AND( OFFSET($A$1, 300 - 1, 101 - 1) = "0", OFFSET($A$1, 300 - 1, 102 - 1) = "1" ), 3, 4 ) ) )</f>
        <v>1</v>
      </c>
    </row>
    <row r="301" spans="95:103" ht="13.8" x14ac:dyDescent="0.3">
      <c r="CQ301" s="24">
        <v>4.4935124655395654E-2</v>
      </c>
      <c r="CR301" s="24" t="str">
        <f>"0"</f>
        <v>0</v>
      </c>
      <c r="CS301" t="str">
        <f ca="1">IF((OFFSET($A$1, 301 - 1, 95 - 1)) &gt;= (OFFSET($A$1, 54 - 1, 7 - 1)), "1","0")</f>
        <v>0</v>
      </c>
      <c r="CT301">
        <f ca="1" xml:space="preserve"> IF( AND( OFFSET($A$1, 301 - 1, 96 - 1) = "1", OFFSET($A$1, 301 - 1, 97 - 1) = "1" ), 1, IF( AND( OFFSET($A$1, 301 - 1, 96 - 1) = "1", OFFSET($A$1, 301 - 1, 97 - 1) = "0" ), 2, IF( AND( OFFSET($A$1, 301 - 1, 96 - 1) = "0", OFFSET($A$1, 301 - 1, 97 - 1) = "1" ), 3, 4 ) ) )</f>
        <v>4</v>
      </c>
      <c r="CV301" s="24">
        <v>0.10988473388597371</v>
      </c>
      <c r="CW301" s="24" t="str">
        <f>"0"</f>
        <v>0</v>
      </c>
      <c r="CX301" t="str">
        <f ca="1">IF((OFFSET($A$1, 301 - 1, 100 - 1)) &gt;= (OFFSET($A$1, 78 - 1, 7 - 1)), "1","0")</f>
        <v>0</v>
      </c>
      <c r="CY301">
        <f ca="1" xml:space="preserve"> IF( AND( OFFSET($A$1, 301 - 1, 101 - 1) = "1", OFFSET($A$1, 301 - 1, 102 - 1) = "1" ), 1, IF( AND( OFFSET($A$1, 301 - 1, 101 - 1) = "1", OFFSET($A$1, 301 - 1, 102 - 1) = "0" ), 2, IF( AND( OFFSET($A$1, 301 - 1, 101 - 1) = "0", OFFSET($A$1, 301 - 1, 102 - 1) = "1" ), 3, 4 ) ) )</f>
        <v>4</v>
      </c>
    </row>
    <row r="302" spans="95:103" ht="13.8" x14ac:dyDescent="0.3">
      <c r="CQ302" s="24">
        <v>0.99798429092951702</v>
      </c>
      <c r="CR302" s="24" t="str">
        <f>"1"</f>
        <v>1</v>
      </c>
      <c r="CS302" t="str">
        <f ca="1">IF((OFFSET($A$1, 302 - 1, 95 - 1)) &gt;= (OFFSET($A$1, 54 - 1, 7 - 1)), "1","0")</f>
        <v>1</v>
      </c>
      <c r="CT302">
        <f ca="1" xml:space="preserve"> IF( AND( OFFSET($A$1, 302 - 1, 96 - 1) = "1", OFFSET($A$1, 302 - 1, 97 - 1) = "1" ), 1, IF( AND( OFFSET($A$1, 302 - 1, 96 - 1) = "1", OFFSET($A$1, 302 - 1, 97 - 1) = "0" ), 2, IF( AND( OFFSET($A$1, 302 - 1, 96 - 1) = "0", OFFSET($A$1, 302 - 1, 97 - 1) = "1" ), 3, 4 ) ) )</f>
        <v>1</v>
      </c>
      <c r="CV302" s="24">
        <v>0.91932225843132087</v>
      </c>
      <c r="CW302" s="24" t="str">
        <f>"0"</f>
        <v>0</v>
      </c>
      <c r="CX302" t="str">
        <f ca="1">IF((OFFSET($A$1, 302 - 1, 100 - 1)) &gt;= (OFFSET($A$1, 78 - 1, 7 - 1)), "1","0")</f>
        <v>1</v>
      </c>
      <c r="CY302">
        <f ca="1" xml:space="preserve"> IF( AND( OFFSET($A$1, 302 - 1, 101 - 1) = "1", OFFSET($A$1, 302 - 1, 102 - 1) = "1" ), 1, IF( AND( OFFSET($A$1, 302 - 1, 101 - 1) = "1", OFFSET($A$1, 302 - 1, 102 - 1) = "0" ), 2, IF( AND( OFFSET($A$1, 302 - 1, 101 - 1) = "0", OFFSET($A$1, 302 - 1, 102 - 1) = "1" ), 3, 4 ) ) )</f>
        <v>3</v>
      </c>
    </row>
    <row r="303" spans="95:103" ht="13.8" x14ac:dyDescent="0.3">
      <c r="CQ303" s="24">
        <v>2.2968022881747839E-2</v>
      </c>
      <c r="CR303" s="24" t="str">
        <f>"0"</f>
        <v>0</v>
      </c>
      <c r="CS303" t="str">
        <f ca="1">IF((OFFSET($A$1, 303 - 1, 95 - 1)) &gt;= (OFFSET($A$1, 54 - 1, 7 - 1)), "1","0")</f>
        <v>0</v>
      </c>
      <c r="CT303">
        <f ca="1" xml:space="preserve"> IF( AND( OFFSET($A$1, 303 - 1, 96 - 1) = "1", OFFSET($A$1, 303 - 1, 97 - 1) = "1" ), 1, IF( AND( OFFSET($A$1, 303 - 1, 96 - 1) = "1", OFFSET($A$1, 303 - 1, 97 - 1) = "0" ), 2, IF( AND( OFFSET($A$1, 303 - 1, 96 - 1) = "0", OFFSET($A$1, 303 - 1, 97 - 1) = "1" ), 3, 4 ) ) )</f>
        <v>4</v>
      </c>
      <c r="CV303" s="24">
        <v>8.9509850745304403E-2</v>
      </c>
      <c r="CW303" s="24" t="str">
        <f>"0"</f>
        <v>0</v>
      </c>
      <c r="CX303" t="str">
        <f ca="1">IF((OFFSET($A$1, 303 - 1, 100 - 1)) &gt;= (OFFSET($A$1, 78 - 1, 7 - 1)), "1","0")</f>
        <v>0</v>
      </c>
      <c r="CY303">
        <f ca="1" xml:space="preserve"> IF( AND( OFFSET($A$1, 303 - 1, 101 - 1) = "1", OFFSET($A$1, 303 - 1, 102 - 1) = "1" ), 1, IF( AND( OFFSET($A$1, 303 - 1, 101 - 1) = "1", OFFSET($A$1, 303 - 1, 102 - 1) = "0" ), 2, IF( AND( OFFSET($A$1, 303 - 1, 101 - 1) = "0", OFFSET($A$1, 303 - 1, 102 - 1) = "1" ), 3, 4 ) ) )</f>
        <v>4</v>
      </c>
    </row>
    <row r="304" spans="95:103" ht="13.8" x14ac:dyDescent="0.3">
      <c r="CQ304" s="24">
        <v>0.99773929364697767</v>
      </c>
      <c r="CR304" s="24" t="str">
        <f>"1"</f>
        <v>1</v>
      </c>
      <c r="CS304" t="str">
        <f ca="1">IF((OFFSET($A$1, 304 - 1, 95 - 1)) &gt;= (OFFSET($A$1, 54 - 1, 7 - 1)), "1","0")</f>
        <v>1</v>
      </c>
      <c r="CT304">
        <f ca="1" xml:space="preserve"> IF( AND( OFFSET($A$1, 304 - 1, 96 - 1) = "1", OFFSET($A$1, 304 - 1, 97 - 1) = "1" ), 1, IF( AND( OFFSET($A$1, 304 - 1, 96 - 1) = "1", OFFSET($A$1, 304 - 1, 97 - 1) = "0" ), 2, IF( AND( OFFSET($A$1, 304 - 1, 96 - 1) = "0", OFFSET($A$1, 304 - 1, 97 - 1) = "1" ), 3, 4 ) ) )</f>
        <v>1</v>
      </c>
      <c r="CV304" s="24">
        <v>0.74399366653810739</v>
      </c>
      <c r="CW304" s="24" t="str">
        <f>"1"</f>
        <v>1</v>
      </c>
      <c r="CX304" t="str">
        <f ca="1">IF((OFFSET($A$1, 304 - 1, 100 - 1)) &gt;= (OFFSET($A$1, 78 - 1, 7 - 1)), "1","0")</f>
        <v>1</v>
      </c>
      <c r="CY304">
        <f ca="1" xml:space="preserve"> IF( AND( OFFSET($A$1, 304 - 1, 101 - 1) = "1", OFFSET($A$1, 304 - 1, 102 - 1) = "1" ), 1, IF( AND( OFFSET($A$1, 304 - 1, 101 - 1) = "1", OFFSET($A$1, 304 - 1, 102 - 1) = "0" ), 2, IF( AND( OFFSET($A$1, 304 - 1, 101 - 1) = "0", OFFSET($A$1, 304 - 1, 102 - 1) = "1" ), 3, 4 ) ) )</f>
        <v>1</v>
      </c>
    </row>
    <row r="305" spans="95:103" ht="13.8" x14ac:dyDescent="0.3">
      <c r="CQ305" s="24">
        <v>0.12209638466424795</v>
      </c>
      <c r="CR305" s="24" t="str">
        <f>"0"</f>
        <v>0</v>
      </c>
      <c r="CS305" t="str">
        <f ca="1">IF((OFFSET($A$1, 305 - 1, 95 - 1)) &gt;= (OFFSET($A$1, 54 - 1, 7 - 1)), "1","0")</f>
        <v>0</v>
      </c>
      <c r="CT305">
        <f ca="1" xml:space="preserve"> IF( AND( OFFSET($A$1, 305 - 1, 96 - 1) = "1", OFFSET($A$1, 305 - 1, 97 - 1) = "1" ), 1, IF( AND( OFFSET($A$1, 305 - 1, 96 - 1) = "1", OFFSET($A$1, 305 - 1, 97 - 1) = "0" ), 2, IF( AND( OFFSET($A$1, 305 - 1, 96 - 1) = "0", OFFSET($A$1, 305 - 1, 97 - 1) = "1" ), 3, 4 ) ) )</f>
        <v>4</v>
      </c>
      <c r="CV305" s="24">
        <v>0.90816280123751447</v>
      </c>
      <c r="CW305" s="24" t="str">
        <f>"1"</f>
        <v>1</v>
      </c>
      <c r="CX305" t="str">
        <f ca="1">IF((OFFSET($A$1, 305 - 1, 100 - 1)) &gt;= (OFFSET($A$1, 78 - 1, 7 - 1)), "1","0")</f>
        <v>1</v>
      </c>
      <c r="CY305">
        <f ca="1" xml:space="preserve"> IF( AND( OFFSET($A$1, 305 - 1, 101 - 1) = "1", OFFSET($A$1, 305 - 1, 102 - 1) = "1" ), 1, IF( AND( OFFSET($A$1, 305 - 1, 101 - 1) = "1", OFFSET($A$1, 305 - 1, 102 - 1) = "0" ), 2, IF( AND( OFFSET($A$1, 305 - 1, 101 - 1) = "0", OFFSET($A$1, 305 - 1, 102 - 1) = "1" ), 3, 4 ) ) )</f>
        <v>1</v>
      </c>
    </row>
    <row r="306" spans="95:103" ht="13.8" x14ac:dyDescent="0.3">
      <c r="CQ306" s="24">
        <v>0.97762903676012969</v>
      </c>
      <c r="CR306" s="24" t="str">
        <f>"1"</f>
        <v>1</v>
      </c>
      <c r="CS306" t="str">
        <f ca="1">IF((OFFSET($A$1, 306 - 1, 95 - 1)) &gt;= (OFFSET($A$1, 54 - 1, 7 - 1)), "1","0")</f>
        <v>1</v>
      </c>
      <c r="CT306">
        <f ca="1" xml:space="preserve"> IF( AND( OFFSET($A$1, 306 - 1, 96 - 1) = "1", OFFSET($A$1, 306 - 1, 97 - 1) = "1" ), 1, IF( AND( OFFSET($A$1, 306 - 1, 96 - 1) = "1", OFFSET($A$1, 306 - 1, 97 - 1) = "0" ), 2, IF( AND( OFFSET($A$1, 306 - 1, 96 - 1) = "0", OFFSET($A$1, 306 - 1, 97 - 1) = "1" ), 3, 4 ) ) )</f>
        <v>1</v>
      </c>
      <c r="CV306" s="24">
        <v>0.43864024648635991</v>
      </c>
      <c r="CW306" s="24" t="str">
        <f>"1"</f>
        <v>1</v>
      </c>
      <c r="CX306" t="str">
        <f ca="1">IF((OFFSET($A$1, 306 - 1, 100 - 1)) &gt;= (OFFSET($A$1, 78 - 1, 7 - 1)), "1","0")</f>
        <v>0</v>
      </c>
      <c r="CY306">
        <f ca="1" xml:space="preserve"> IF( AND( OFFSET($A$1, 306 - 1, 101 - 1) = "1", OFFSET($A$1, 306 - 1, 102 - 1) = "1" ), 1, IF( AND( OFFSET($A$1, 306 - 1, 101 - 1) = "1", OFFSET($A$1, 306 - 1, 102 - 1) = "0" ), 2, IF( AND( OFFSET($A$1, 306 - 1, 101 - 1) = "0", OFFSET($A$1, 306 - 1, 102 - 1) = "1" ), 3, 4 ) ) )</f>
        <v>2</v>
      </c>
    </row>
    <row r="307" spans="95:103" ht="13.8" x14ac:dyDescent="0.3">
      <c r="CQ307" s="24">
        <v>0.97490535817706403</v>
      </c>
      <c r="CR307" s="24" t="str">
        <f>"1"</f>
        <v>1</v>
      </c>
      <c r="CS307" t="str">
        <f ca="1">IF((OFFSET($A$1, 307 - 1, 95 - 1)) &gt;= (OFFSET($A$1, 54 - 1, 7 - 1)), "1","0")</f>
        <v>1</v>
      </c>
      <c r="CT307">
        <f ca="1" xml:space="preserve"> IF( AND( OFFSET($A$1, 307 - 1, 96 - 1) = "1", OFFSET($A$1, 307 - 1, 97 - 1) = "1" ), 1, IF( AND( OFFSET($A$1, 307 - 1, 96 - 1) = "1", OFFSET($A$1, 307 - 1, 97 - 1) = "0" ), 2, IF( AND( OFFSET($A$1, 307 - 1, 96 - 1) = "0", OFFSET($A$1, 307 - 1, 97 - 1) = "1" ), 3, 4 ) ) )</f>
        <v>1</v>
      </c>
      <c r="CV307" s="24">
        <v>0.11906651499928342</v>
      </c>
      <c r="CW307" s="24" t="str">
        <f>"0"</f>
        <v>0</v>
      </c>
      <c r="CX307" t="str">
        <f ca="1">IF((OFFSET($A$1, 307 - 1, 100 - 1)) &gt;= (OFFSET($A$1, 78 - 1, 7 - 1)), "1","0")</f>
        <v>0</v>
      </c>
      <c r="CY307">
        <f ca="1" xml:space="preserve"> IF( AND( OFFSET($A$1, 307 - 1, 101 - 1) = "1", OFFSET($A$1, 307 - 1, 102 - 1) = "1" ), 1, IF( AND( OFFSET($A$1, 307 - 1, 101 - 1) = "1", OFFSET($A$1, 307 - 1, 102 - 1) = "0" ), 2, IF( AND( OFFSET($A$1, 307 - 1, 101 - 1) = "0", OFFSET($A$1, 307 - 1, 102 - 1) = "1" ), 3, 4 ) ) )</f>
        <v>4</v>
      </c>
    </row>
    <row r="308" spans="95:103" ht="13.8" x14ac:dyDescent="0.3">
      <c r="CQ308" s="24">
        <v>9.7422065225960863E-2</v>
      </c>
      <c r="CR308" s="24" t="str">
        <f>"0"</f>
        <v>0</v>
      </c>
      <c r="CS308" t="str">
        <f ca="1">IF((OFFSET($A$1, 308 - 1, 95 - 1)) &gt;= (OFFSET($A$1, 54 - 1, 7 - 1)), "1","0")</f>
        <v>0</v>
      </c>
      <c r="CT308">
        <f ca="1" xml:space="preserve"> IF( AND( OFFSET($A$1, 308 - 1, 96 - 1) = "1", OFFSET($A$1, 308 - 1, 97 - 1) = "1" ), 1, IF( AND( OFFSET($A$1, 308 - 1, 96 - 1) = "1", OFFSET($A$1, 308 - 1, 97 - 1) = "0" ), 2, IF( AND( OFFSET($A$1, 308 - 1, 96 - 1) = "0", OFFSET($A$1, 308 - 1, 97 - 1) = "1" ), 3, 4 ) ) )</f>
        <v>4</v>
      </c>
      <c r="CV308" s="24">
        <v>0.36876205416755137</v>
      </c>
      <c r="CW308" s="24" t="str">
        <f>"1"</f>
        <v>1</v>
      </c>
      <c r="CX308" t="str">
        <f ca="1">IF((OFFSET($A$1, 308 - 1, 100 - 1)) &gt;= (OFFSET($A$1, 78 - 1, 7 - 1)), "1","0")</f>
        <v>0</v>
      </c>
      <c r="CY308">
        <f ca="1" xml:space="preserve"> IF( AND( OFFSET($A$1, 308 - 1, 101 - 1) = "1", OFFSET($A$1, 308 - 1, 102 - 1) = "1" ), 1, IF( AND( OFFSET($A$1, 308 - 1, 101 - 1) = "1", OFFSET($A$1, 308 - 1, 102 - 1) = "0" ), 2, IF( AND( OFFSET($A$1, 308 - 1, 101 - 1) = "0", OFFSET($A$1, 308 - 1, 102 - 1) = "1" ), 3, 4 ) ) )</f>
        <v>2</v>
      </c>
    </row>
    <row r="309" spans="95:103" ht="13.8" x14ac:dyDescent="0.3">
      <c r="CQ309" s="24">
        <v>2.163410725388819E-3</v>
      </c>
      <c r="CR309" s="24" t="str">
        <f>"0"</f>
        <v>0</v>
      </c>
      <c r="CS309" t="str">
        <f ca="1">IF((OFFSET($A$1, 309 - 1, 95 - 1)) &gt;= (OFFSET($A$1, 54 - 1, 7 - 1)), "1","0")</f>
        <v>0</v>
      </c>
      <c r="CT309">
        <f ca="1" xml:space="preserve"> IF( AND( OFFSET($A$1, 309 - 1, 96 - 1) = "1", OFFSET($A$1, 309 - 1, 97 - 1) = "1" ), 1, IF( AND( OFFSET($A$1, 309 - 1, 96 - 1) = "1", OFFSET($A$1, 309 - 1, 97 - 1) = "0" ), 2, IF( AND( OFFSET($A$1, 309 - 1, 96 - 1) = "0", OFFSET($A$1, 309 - 1, 97 - 1) = "1" ), 3, 4 ) ) )</f>
        <v>4</v>
      </c>
      <c r="CV309" s="24">
        <v>1.6140652332253746E-3</v>
      </c>
      <c r="CW309" s="24" t="str">
        <f>"0"</f>
        <v>0</v>
      </c>
      <c r="CX309" t="str">
        <f ca="1">IF((OFFSET($A$1, 309 - 1, 100 - 1)) &gt;= (OFFSET($A$1, 78 - 1, 7 - 1)), "1","0")</f>
        <v>0</v>
      </c>
      <c r="CY309">
        <f ca="1" xml:space="preserve"> IF( AND( OFFSET($A$1, 309 - 1, 101 - 1) = "1", OFFSET($A$1, 309 - 1, 102 - 1) = "1" ), 1, IF( AND( OFFSET($A$1, 309 - 1, 101 - 1) = "1", OFFSET($A$1, 309 - 1, 102 - 1) = "0" ), 2, IF( AND( OFFSET($A$1, 309 - 1, 101 - 1) = "0", OFFSET($A$1, 309 - 1, 102 - 1) = "1" ), 3, 4 ) ) )</f>
        <v>4</v>
      </c>
    </row>
    <row r="310" spans="95:103" ht="13.8" x14ac:dyDescent="0.3">
      <c r="CQ310" s="24">
        <v>5.6449107602300846E-2</v>
      </c>
      <c r="CR310" s="24" t="str">
        <f>"0"</f>
        <v>0</v>
      </c>
      <c r="CS310" t="str">
        <f ca="1">IF((OFFSET($A$1, 310 - 1, 95 - 1)) &gt;= (OFFSET($A$1, 54 - 1, 7 - 1)), "1","0")</f>
        <v>0</v>
      </c>
      <c r="CT310">
        <f ca="1" xml:space="preserve"> IF( AND( OFFSET($A$1, 310 - 1, 96 - 1) = "1", OFFSET($A$1, 310 - 1, 97 - 1) = "1" ), 1, IF( AND( OFFSET($A$1, 310 - 1, 96 - 1) = "1", OFFSET($A$1, 310 - 1, 97 - 1) = "0" ), 2, IF( AND( OFFSET($A$1, 310 - 1, 96 - 1) = "0", OFFSET($A$1, 310 - 1, 97 - 1) = "1" ), 3, 4 ) ) )</f>
        <v>4</v>
      </c>
      <c r="CV310" s="24">
        <v>0.4107582541457318</v>
      </c>
      <c r="CW310" s="24" t="str">
        <f>"0"</f>
        <v>0</v>
      </c>
      <c r="CX310" t="str">
        <f ca="1">IF((OFFSET($A$1, 310 - 1, 100 - 1)) &gt;= (OFFSET($A$1, 78 - 1, 7 - 1)), "1","0")</f>
        <v>0</v>
      </c>
      <c r="CY310">
        <f ca="1" xml:space="preserve"> IF( AND( OFFSET($A$1, 310 - 1, 101 - 1) = "1", OFFSET($A$1, 310 - 1, 102 - 1) = "1" ), 1, IF( AND( OFFSET($A$1, 310 - 1, 101 - 1) = "1", OFFSET($A$1, 310 - 1, 102 - 1) = "0" ), 2, IF( AND( OFFSET($A$1, 310 - 1, 101 - 1) = "0", OFFSET($A$1, 310 - 1, 102 - 1) = "1" ), 3, 4 ) ) )</f>
        <v>4</v>
      </c>
    </row>
    <row r="311" spans="95:103" ht="13.8" x14ac:dyDescent="0.3">
      <c r="CQ311" s="24">
        <v>0.98950886345171651</v>
      </c>
      <c r="CR311" s="24" t="str">
        <f>"1"</f>
        <v>1</v>
      </c>
      <c r="CS311" t="str">
        <f ca="1">IF((OFFSET($A$1, 311 - 1, 95 - 1)) &gt;= (OFFSET($A$1, 54 - 1, 7 - 1)), "1","0")</f>
        <v>1</v>
      </c>
      <c r="CT311">
        <f ca="1" xml:space="preserve"> IF( AND( OFFSET($A$1, 311 - 1, 96 - 1) = "1", OFFSET($A$1, 311 - 1, 97 - 1) = "1" ), 1, IF( AND( OFFSET($A$1, 311 - 1, 96 - 1) = "1", OFFSET($A$1, 311 - 1, 97 - 1) = "0" ), 2, IF( AND( OFFSET($A$1, 311 - 1, 96 - 1) = "0", OFFSET($A$1, 311 - 1, 97 - 1) = "1" ), 3, 4 ) ) )</f>
        <v>1</v>
      </c>
      <c r="CV311" s="24">
        <v>0.96449951635392794</v>
      </c>
      <c r="CW311" s="24" t="str">
        <f t="shared" ref="CW311:CW318" si="25">"1"</f>
        <v>1</v>
      </c>
      <c r="CX311" t="str">
        <f ca="1">IF((OFFSET($A$1, 311 - 1, 100 - 1)) &gt;= (OFFSET($A$1, 78 - 1, 7 - 1)), "1","0")</f>
        <v>1</v>
      </c>
      <c r="CY311">
        <f ca="1" xml:space="preserve"> IF( AND( OFFSET($A$1, 311 - 1, 101 - 1) = "1", OFFSET($A$1, 311 - 1, 102 - 1) = "1" ), 1, IF( AND( OFFSET($A$1, 311 - 1, 101 - 1) = "1", OFFSET($A$1, 311 - 1, 102 - 1) = "0" ), 2, IF( AND( OFFSET($A$1, 311 - 1, 101 - 1) = "0", OFFSET($A$1, 311 - 1, 102 - 1) = "1" ), 3, 4 ) ) )</f>
        <v>1</v>
      </c>
    </row>
    <row r="312" spans="95:103" ht="13.8" x14ac:dyDescent="0.3">
      <c r="CQ312" s="24">
        <v>0.99967349189254284</v>
      </c>
      <c r="CR312" s="24" t="str">
        <f>"1"</f>
        <v>1</v>
      </c>
      <c r="CS312" t="str">
        <f ca="1">IF((OFFSET($A$1, 312 - 1, 95 - 1)) &gt;= (OFFSET($A$1, 54 - 1, 7 - 1)), "1","0")</f>
        <v>1</v>
      </c>
      <c r="CT312">
        <f ca="1" xml:space="preserve"> IF( AND( OFFSET($A$1, 312 - 1, 96 - 1) = "1", OFFSET($A$1, 312 - 1, 97 - 1) = "1" ), 1, IF( AND( OFFSET($A$1, 312 - 1, 96 - 1) = "1", OFFSET($A$1, 312 - 1, 97 - 1) = "0" ), 2, IF( AND( OFFSET($A$1, 312 - 1, 96 - 1) = "0", OFFSET($A$1, 312 - 1, 97 - 1) = "1" ), 3, 4 ) ) )</f>
        <v>1</v>
      </c>
      <c r="CV312" s="24">
        <v>0.99961870621747517</v>
      </c>
      <c r="CW312" s="24" t="str">
        <f t="shared" si="25"/>
        <v>1</v>
      </c>
      <c r="CX312" t="str">
        <f ca="1">IF((OFFSET($A$1, 312 - 1, 100 - 1)) &gt;= (OFFSET($A$1, 78 - 1, 7 - 1)), "1","0")</f>
        <v>1</v>
      </c>
      <c r="CY312">
        <f ca="1" xml:space="preserve"> IF( AND( OFFSET($A$1, 312 - 1, 101 - 1) = "1", OFFSET($A$1, 312 - 1, 102 - 1) = "1" ), 1, IF( AND( OFFSET($A$1, 312 - 1, 101 - 1) = "1", OFFSET($A$1, 312 - 1, 102 - 1) = "0" ), 2, IF( AND( OFFSET($A$1, 312 - 1, 101 - 1) = "0", OFFSET($A$1, 312 - 1, 102 - 1) = "1" ), 3, 4 ) ) )</f>
        <v>1</v>
      </c>
    </row>
    <row r="313" spans="95:103" ht="13.8" x14ac:dyDescent="0.3">
      <c r="CQ313" s="24">
        <v>0.85651103318119803</v>
      </c>
      <c r="CR313" s="24" t="str">
        <f>"1"</f>
        <v>1</v>
      </c>
      <c r="CS313" t="str">
        <f ca="1">IF((OFFSET($A$1, 313 - 1, 95 - 1)) &gt;= (OFFSET($A$1, 54 - 1, 7 - 1)), "1","0")</f>
        <v>1</v>
      </c>
      <c r="CT313">
        <f ca="1" xml:space="preserve"> IF( AND( OFFSET($A$1, 313 - 1, 96 - 1) = "1", OFFSET($A$1, 313 - 1, 97 - 1) = "1" ), 1, IF( AND( OFFSET($A$1, 313 - 1, 96 - 1) = "1", OFFSET($A$1, 313 - 1, 97 - 1) = "0" ), 2, IF( AND( OFFSET($A$1, 313 - 1, 96 - 1) = "0", OFFSET($A$1, 313 - 1, 97 - 1) = "1" ), 3, 4 ) ) )</f>
        <v>1</v>
      </c>
      <c r="CV313" s="24">
        <v>0.5106169296755082</v>
      </c>
      <c r="CW313" s="24" t="str">
        <f t="shared" si="25"/>
        <v>1</v>
      </c>
      <c r="CX313" t="str">
        <f ca="1">IF((OFFSET($A$1, 313 - 1, 100 - 1)) &gt;= (OFFSET($A$1, 78 - 1, 7 - 1)), "1","0")</f>
        <v>1</v>
      </c>
      <c r="CY313">
        <f ca="1" xml:space="preserve"> IF( AND( OFFSET($A$1, 313 - 1, 101 - 1) = "1", OFFSET($A$1, 313 - 1, 102 - 1) = "1" ), 1, IF( AND( OFFSET($A$1, 313 - 1, 101 - 1) = "1", OFFSET($A$1, 313 - 1, 102 - 1) = "0" ), 2, IF( AND( OFFSET($A$1, 313 - 1, 101 - 1) = "0", OFFSET($A$1, 313 - 1, 102 - 1) = "1" ), 3, 4 ) ) )</f>
        <v>1</v>
      </c>
    </row>
    <row r="314" spans="95:103" ht="13.8" x14ac:dyDescent="0.3">
      <c r="CQ314" s="24">
        <v>0.99730065127335377</v>
      </c>
      <c r="CR314" s="24" t="str">
        <f>"1"</f>
        <v>1</v>
      </c>
      <c r="CS314" t="str">
        <f ca="1">IF((OFFSET($A$1, 314 - 1, 95 - 1)) &gt;= (OFFSET($A$1, 54 - 1, 7 - 1)), "1","0")</f>
        <v>1</v>
      </c>
      <c r="CT314">
        <f ca="1" xml:space="preserve"> IF( AND( OFFSET($A$1, 314 - 1, 96 - 1) = "1", OFFSET($A$1, 314 - 1, 97 - 1) = "1" ), 1, IF( AND( OFFSET($A$1, 314 - 1, 96 - 1) = "1", OFFSET($A$1, 314 - 1, 97 - 1) = "0" ), 2, IF( AND( OFFSET($A$1, 314 - 1, 96 - 1) = "0", OFFSET($A$1, 314 - 1, 97 - 1) = "1" ), 3, 4 ) ) )</f>
        <v>1</v>
      </c>
      <c r="CV314" s="24">
        <v>0.93117330061763492</v>
      </c>
      <c r="CW314" s="24" t="str">
        <f t="shared" si="25"/>
        <v>1</v>
      </c>
      <c r="CX314" t="str">
        <f ca="1">IF((OFFSET($A$1, 314 - 1, 100 - 1)) &gt;= (OFFSET($A$1, 78 - 1, 7 - 1)), "1","0")</f>
        <v>1</v>
      </c>
      <c r="CY314">
        <f ca="1" xml:space="preserve"> IF( AND( OFFSET($A$1, 314 - 1, 101 - 1) = "1", OFFSET($A$1, 314 - 1, 102 - 1) = "1" ), 1, IF( AND( OFFSET($A$1, 314 - 1, 101 - 1) = "1", OFFSET($A$1, 314 - 1, 102 - 1) = "0" ), 2, IF( AND( OFFSET($A$1, 314 - 1, 101 - 1) = "0", OFFSET($A$1, 314 - 1, 102 - 1) = "1" ), 3, 4 ) ) )</f>
        <v>1</v>
      </c>
    </row>
    <row r="315" spans="95:103" ht="13.8" x14ac:dyDescent="0.3">
      <c r="CQ315" s="24">
        <v>0.98220758593142532</v>
      </c>
      <c r="CR315" s="24" t="str">
        <f>"1"</f>
        <v>1</v>
      </c>
      <c r="CS315" t="str">
        <f ca="1">IF((OFFSET($A$1, 315 - 1, 95 - 1)) &gt;= (OFFSET($A$1, 54 - 1, 7 - 1)), "1","0")</f>
        <v>1</v>
      </c>
      <c r="CT315">
        <f ca="1" xml:space="preserve"> IF( AND( OFFSET($A$1, 315 - 1, 96 - 1) = "1", OFFSET($A$1, 315 - 1, 97 - 1) = "1" ), 1, IF( AND( OFFSET($A$1, 315 - 1, 96 - 1) = "1", OFFSET($A$1, 315 - 1, 97 - 1) = "0" ), 2, IF( AND( OFFSET($A$1, 315 - 1, 96 - 1) = "0", OFFSET($A$1, 315 - 1, 97 - 1) = "1" ), 3, 4 ) ) )</f>
        <v>1</v>
      </c>
      <c r="CV315" s="24">
        <v>0.99643864947015304</v>
      </c>
      <c r="CW315" s="24" t="str">
        <f t="shared" si="25"/>
        <v>1</v>
      </c>
      <c r="CX315" t="str">
        <f ca="1">IF((OFFSET($A$1, 315 - 1, 100 - 1)) &gt;= (OFFSET($A$1, 78 - 1, 7 - 1)), "1","0")</f>
        <v>1</v>
      </c>
      <c r="CY315">
        <f ca="1" xml:space="preserve"> IF( AND( OFFSET($A$1, 315 - 1, 101 - 1) = "1", OFFSET($A$1, 315 - 1, 102 - 1) = "1" ), 1, IF( AND( OFFSET($A$1, 315 - 1, 101 - 1) = "1", OFFSET($A$1, 315 - 1, 102 - 1) = "0" ), 2, IF( AND( OFFSET($A$1, 315 - 1, 101 - 1) = "0", OFFSET($A$1, 315 - 1, 102 - 1) = "1" ), 3, 4 ) ) )</f>
        <v>1</v>
      </c>
    </row>
    <row r="316" spans="95:103" ht="13.8" x14ac:dyDescent="0.3">
      <c r="CQ316" s="24">
        <v>8.7205130629375294E-2</v>
      </c>
      <c r="CR316" s="24" t="str">
        <f>"0"</f>
        <v>0</v>
      </c>
      <c r="CS316" t="str">
        <f ca="1">IF((OFFSET($A$1, 316 - 1, 95 - 1)) &gt;= (OFFSET($A$1, 54 - 1, 7 - 1)), "1","0")</f>
        <v>0</v>
      </c>
      <c r="CT316">
        <f ca="1" xml:space="preserve"> IF( AND( OFFSET($A$1, 316 - 1, 96 - 1) = "1", OFFSET($A$1, 316 - 1, 97 - 1) = "1" ), 1, IF( AND( OFFSET($A$1, 316 - 1, 96 - 1) = "1", OFFSET($A$1, 316 - 1, 97 - 1) = "0" ), 2, IF( AND( OFFSET($A$1, 316 - 1, 96 - 1) = "0", OFFSET($A$1, 316 - 1, 97 - 1) = "1" ), 3, 4 ) ) )</f>
        <v>4</v>
      </c>
      <c r="CV316" s="24">
        <v>0.98625151654385412</v>
      </c>
      <c r="CW316" s="24" t="str">
        <f t="shared" si="25"/>
        <v>1</v>
      </c>
      <c r="CX316" t="str">
        <f ca="1">IF((OFFSET($A$1, 316 - 1, 100 - 1)) &gt;= (OFFSET($A$1, 78 - 1, 7 - 1)), "1","0")</f>
        <v>1</v>
      </c>
      <c r="CY316">
        <f ca="1" xml:space="preserve"> IF( AND( OFFSET($A$1, 316 - 1, 101 - 1) = "1", OFFSET($A$1, 316 - 1, 102 - 1) = "1" ), 1, IF( AND( OFFSET($A$1, 316 - 1, 101 - 1) = "1", OFFSET($A$1, 316 - 1, 102 - 1) = "0" ), 2, IF( AND( OFFSET($A$1, 316 - 1, 101 - 1) = "0", OFFSET($A$1, 316 - 1, 102 - 1) = "1" ), 3, 4 ) ) )</f>
        <v>1</v>
      </c>
    </row>
    <row r="317" spans="95:103" ht="13.8" x14ac:dyDescent="0.3">
      <c r="CQ317" s="24">
        <v>0.9319850004863478</v>
      </c>
      <c r="CR317" s="24" t="str">
        <f>"1"</f>
        <v>1</v>
      </c>
      <c r="CS317" t="str">
        <f ca="1">IF((OFFSET($A$1, 317 - 1, 95 - 1)) &gt;= (OFFSET($A$1, 54 - 1, 7 - 1)), "1","0")</f>
        <v>1</v>
      </c>
      <c r="CT317">
        <f ca="1" xml:space="preserve"> IF( AND( OFFSET($A$1, 317 - 1, 96 - 1) = "1", OFFSET($A$1, 317 - 1, 97 - 1) = "1" ), 1, IF( AND( OFFSET($A$1, 317 - 1, 96 - 1) = "1", OFFSET($A$1, 317 - 1, 97 - 1) = "0" ), 2, IF( AND( OFFSET($A$1, 317 - 1, 96 - 1) = "0", OFFSET($A$1, 317 - 1, 97 - 1) = "1" ), 3, 4 ) ) )</f>
        <v>1</v>
      </c>
      <c r="CV317" s="24">
        <v>0.80237226550195573</v>
      </c>
      <c r="CW317" s="24" t="str">
        <f t="shared" si="25"/>
        <v>1</v>
      </c>
      <c r="CX317" t="str">
        <f ca="1">IF((OFFSET($A$1, 317 - 1, 100 - 1)) &gt;= (OFFSET($A$1, 78 - 1, 7 - 1)), "1","0")</f>
        <v>1</v>
      </c>
      <c r="CY317">
        <f ca="1" xml:space="preserve"> IF( AND( OFFSET($A$1, 317 - 1, 101 - 1) = "1", OFFSET($A$1, 317 - 1, 102 - 1) = "1" ), 1, IF( AND( OFFSET($A$1, 317 - 1, 101 - 1) = "1", OFFSET($A$1, 317 - 1, 102 - 1) = "0" ), 2, IF( AND( OFFSET($A$1, 317 - 1, 101 - 1) = "0", OFFSET($A$1, 317 - 1, 102 - 1) = "1" ), 3, 4 ) ) )</f>
        <v>1</v>
      </c>
    </row>
    <row r="318" spans="95:103" ht="13.8" x14ac:dyDescent="0.3">
      <c r="CQ318" s="24">
        <v>0.99669824603414581</v>
      </c>
      <c r="CR318" s="24" t="str">
        <f>"1"</f>
        <v>1</v>
      </c>
      <c r="CS318" t="str">
        <f ca="1">IF((OFFSET($A$1, 318 - 1, 95 - 1)) &gt;= (OFFSET($A$1, 54 - 1, 7 - 1)), "1","0")</f>
        <v>1</v>
      </c>
      <c r="CT318">
        <f ca="1" xml:space="preserve"> IF( AND( OFFSET($A$1, 318 - 1, 96 - 1) = "1", OFFSET($A$1, 318 - 1, 97 - 1) = "1" ), 1, IF( AND( OFFSET($A$1, 318 - 1, 96 - 1) = "1", OFFSET($A$1, 318 - 1, 97 - 1) = "0" ), 2, IF( AND( OFFSET($A$1, 318 - 1, 96 - 1) = "0", OFFSET($A$1, 318 - 1, 97 - 1) = "1" ), 3, 4 ) ) )</f>
        <v>1</v>
      </c>
      <c r="CV318" s="24">
        <v>0.82312223217259983</v>
      </c>
      <c r="CW318" s="24" t="str">
        <f t="shared" si="25"/>
        <v>1</v>
      </c>
      <c r="CX318" t="str">
        <f ca="1">IF((OFFSET($A$1, 318 - 1, 100 - 1)) &gt;= (OFFSET($A$1, 78 - 1, 7 - 1)), "1","0")</f>
        <v>1</v>
      </c>
      <c r="CY318">
        <f ca="1" xml:space="preserve"> IF( AND( OFFSET($A$1, 318 - 1, 101 - 1) = "1", OFFSET($A$1, 318 - 1, 102 - 1) = "1" ), 1, IF( AND( OFFSET($A$1, 318 - 1, 101 - 1) = "1", OFFSET($A$1, 318 - 1, 102 - 1) = "0" ), 2, IF( AND( OFFSET($A$1, 318 - 1, 101 - 1) = "0", OFFSET($A$1, 318 - 1, 102 - 1) = "1" ), 3, 4 ) ) )</f>
        <v>1</v>
      </c>
    </row>
    <row r="319" spans="95:103" ht="13.8" x14ac:dyDescent="0.3">
      <c r="CQ319" s="24">
        <v>5.0675698799813852E-2</v>
      </c>
      <c r="CR319" s="24" t="str">
        <f>"0"</f>
        <v>0</v>
      </c>
      <c r="CS319" t="str">
        <f ca="1">IF((OFFSET($A$1, 319 - 1, 95 - 1)) &gt;= (OFFSET($A$1, 54 - 1, 7 - 1)), "1","0")</f>
        <v>0</v>
      </c>
      <c r="CT319">
        <f ca="1" xml:space="preserve"> IF( AND( OFFSET($A$1, 319 - 1, 96 - 1) = "1", OFFSET($A$1, 319 - 1, 97 - 1) = "1" ), 1, IF( AND( OFFSET($A$1, 319 - 1, 96 - 1) = "1", OFFSET($A$1, 319 - 1, 97 - 1) = "0" ), 2, IF( AND( OFFSET($A$1, 319 - 1, 96 - 1) = "0", OFFSET($A$1, 319 - 1, 97 - 1) = "1" ), 3, 4 ) ) )</f>
        <v>4</v>
      </c>
      <c r="CV319" s="24">
        <v>0.99391993094728903</v>
      </c>
      <c r="CW319" s="24" t="str">
        <f>"0"</f>
        <v>0</v>
      </c>
      <c r="CX319" t="str">
        <f ca="1">IF((OFFSET($A$1, 319 - 1, 100 - 1)) &gt;= (OFFSET($A$1, 78 - 1, 7 - 1)), "1","0")</f>
        <v>1</v>
      </c>
      <c r="CY319">
        <f ca="1" xml:space="preserve"> IF( AND( OFFSET($A$1, 319 - 1, 101 - 1) = "1", OFFSET($A$1, 319 - 1, 102 - 1) = "1" ), 1, IF( AND( OFFSET($A$1, 319 - 1, 101 - 1) = "1", OFFSET($A$1, 319 - 1, 102 - 1) = "0" ), 2, IF( AND( OFFSET($A$1, 319 - 1, 101 - 1) = "0", OFFSET($A$1, 319 - 1, 102 - 1) = "1" ), 3, 4 ) ) )</f>
        <v>3</v>
      </c>
    </row>
    <row r="320" spans="95:103" ht="13.8" x14ac:dyDescent="0.3">
      <c r="CQ320" s="24">
        <v>0.99924398248708612</v>
      </c>
      <c r="CR320" s="24" t="str">
        <f>"1"</f>
        <v>1</v>
      </c>
      <c r="CS320" t="str">
        <f ca="1">IF((OFFSET($A$1, 320 - 1, 95 - 1)) &gt;= (OFFSET($A$1, 54 - 1, 7 - 1)), "1","0")</f>
        <v>1</v>
      </c>
      <c r="CT320">
        <f ca="1" xml:space="preserve"> IF( AND( OFFSET($A$1, 320 - 1, 96 - 1) = "1", OFFSET($A$1, 320 - 1, 97 - 1) = "1" ), 1, IF( AND( OFFSET($A$1, 320 - 1, 96 - 1) = "1", OFFSET($A$1, 320 - 1, 97 - 1) = "0" ), 2, IF( AND( OFFSET($A$1, 320 - 1, 96 - 1) = "0", OFFSET($A$1, 320 - 1, 97 - 1) = "1" ), 3, 4 ) ) )</f>
        <v>1</v>
      </c>
      <c r="CV320" s="24">
        <v>0.9382722155388824</v>
      </c>
      <c r="CW320" s="24" t="str">
        <f>"1"</f>
        <v>1</v>
      </c>
      <c r="CX320" t="str">
        <f ca="1">IF((OFFSET($A$1, 320 - 1, 100 - 1)) &gt;= (OFFSET($A$1, 78 - 1, 7 - 1)), "1","0")</f>
        <v>1</v>
      </c>
      <c r="CY320">
        <f ca="1" xml:space="preserve"> IF( AND( OFFSET($A$1, 320 - 1, 101 - 1) = "1", OFFSET($A$1, 320 - 1, 102 - 1) = "1" ), 1, IF( AND( OFFSET($A$1, 320 - 1, 101 - 1) = "1", OFFSET($A$1, 320 - 1, 102 - 1) = "0" ), 2, IF( AND( OFFSET($A$1, 320 - 1, 101 - 1) = "0", OFFSET($A$1, 320 - 1, 102 - 1) = "1" ), 3, 4 ) ) )</f>
        <v>1</v>
      </c>
    </row>
    <row r="321" spans="95:103" ht="13.8" x14ac:dyDescent="0.3">
      <c r="CQ321" s="24">
        <v>0.8443258974146387</v>
      </c>
      <c r="CR321" s="24" t="str">
        <f>"1"</f>
        <v>1</v>
      </c>
      <c r="CS321" t="str">
        <f ca="1">IF((OFFSET($A$1, 321 - 1, 95 - 1)) &gt;= (OFFSET($A$1, 54 - 1, 7 - 1)), "1","0")</f>
        <v>1</v>
      </c>
      <c r="CT321">
        <f ca="1" xml:space="preserve"> IF( AND( OFFSET($A$1, 321 - 1, 96 - 1) = "1", OFFSET($A$1, 321 - 1, 97 - 1) = "1" ), 1, IF( AND( OFFSET($A$1, 321 - 1, 96 - 1) = "1", OFFSET($A$1, 321 - 1, 97 - 1) = "0" ), 2, IF( AND( OFFSET($A$1, 321 - 1, 96 - 1) = "0", OFFSET($A$1, 321 - 1, 97 - 1) = "1" ), 3, 4 ) ) )</f>
        <v>1</v>
      </c>
      <c r="CV321" s="24">
        <v>0.67429881844267325</v>
      </c>
      <c r="CW321" s="24" t="str">
        <f>"1"</f>
        <v>1</v>
      </c>
      <c r="CX321" t="str">
        <f ca="1">IF((OFFSET($A$1, 321 - 1, 100 - 1)) &gt;= (OFFSET($A$1, 78 - 1, 7 - 1)), "1","0")</f>
        <v>1</v>
      </c>
      <c r="CY321">
        <f ca="1" xml:space="preserve"> IF( AND( OFFSET($A$1, 321 - 1, 101 - 1) = "1", OFFSET($A$1, 321 - 1, 102 - 1) = "1" ), 1, IF( AND( OFFSET($A$1, 321 - 1, 101 - 1) = "1", OFFSET($A$1, 321 - 1, 102 - 1) = "0" ), 2, IF( AND( OFFSET($A$1, 321 - 1, 101 - 1) = "0", OFFSET($A$1, 321 - 1, 102 - 1) = "1" ), 3, 4 ) ) )</f>
        <v>1</v>
      </c>
    </row>
    <row r="322" spans="95:103" ht="13.8" x14ac:dyDescent="0.3">
      <c r="CQ322" s="24">
        <v>5.4171146898301055E-2</v>
      </c>
      <c r="CR322" s="24" t="str">
        <f>"0"</f>
        <v>0</v>
      </c>
      <c r="CS322" t="str">
        <f ca="1">IF((OFFSET($A$1, 322 - 1, 95 - 1)) &gt;= (OFFSET($A$1, 54 - 1, 7 - 1)), "1","0")</f>
        <v>0</v>
      </c>
      <c r="CT322">
        <f ca="1" xml:space="preserve"> IF( AND( OFFSET($A$1, 322 - 1, 96 - 1) = "1", OFFSET($A$1, 322 - 1, 97 - 1) = "1" ), 1, IF( AND( OFFSET($A$1, 322 - 1, 96 - 1) = "1", OFFSET($A$1, 322 - 1, 97 - 1) = "0" ), 2, IF( AND( OFFSET($A$1, 322 - 1, 96 - 1) = "0", OFFSET($A$1, 322 - 1, 97 - 1) = "1" ), 3, 4 ) ) )</f>
        <v>4</v>
      </c>
      <c r="CV322" s="24">
        <v>0.20908298543470358</v>
      </c>
      <c r="CW322" s="24" t="str">
        <f>"0"</f>
        <v>0</v>
      </c>
      <c r="CX322" t="str">
        <f ca="1">IF((OFFSET($A$1, 322 - 1, 100 - 1)) &gt;= (OFFSET($A$1, 78 - 1, 7 - 1)), "1","0")</f>
        <v>0</v>
      </c>
      <c r="CY322">
        <f ca="1" xml:space="preserve"> IF( AND( OFFSET($A$1, 322 - 1, 101 - 1) = "1", OFFSET($A$1, 322 - 1, 102 - 1) = "1" ), 1, IF( AND( OFFSET($A$1, 322 - 1, 101 - 1) = "1", OFFSET($A$1, 322 - 1, 102 - 1) = "0" ), 2, IF( AND( OFFSET($A$1, 322 - 1, 101 - 1) = "0", OFFSET($A$1, 322 - 1, 102 - 1) = "1" ), 3, 4 ) ) )</f>
        <v>4</v>
      </c>
    </row>
    <row r="323" spans="95:103" ht="13.8" x14ac:dyDescent="0.3">
      <c r="CQ323" s="24">
        <v>0.93512748042998362</v>
      </c>
      <c r="CR323" s="24" t="str">
        <f>"1"</f>
        <v>1</v>
      </c>
      <c r="CS323" t="str">
        <f ca="1">IF((OFFSET($A$1, 323 - 1, 95 - 1)) &gt;= (OFFSET($A$1, 54 - 1, 7 - 1)), "1","0")</f>
        <v>1</v>
      </c>
      <c r="CT323">
        <f ca="1" xml:space="preserve"> IF( AND( OFFSET($A$1, 323 - 1, 96 - 1) = "1", OFFSET($A$1, 323 - 1, 97 - 1) = "1" ), 1, IF( AND( OFFSET($A$1, 323 - 1, 96 - 1) = "1", OFFSET($A$1, 323 - 1, 97 - 1) = "0" ), 2, IF( AND( OFFSET($A$1, 323 - 1, 96 - 1) = "0", OFFSET($A$1, 323 - 1, 97 - 1) = "1" ), 3, 4 ) ) )</f>
        <v>1</v>
      </c>
      <c r="CV323" s="24">
        <v>4.6883535102008461E-2</v>
      </c>
      <c r="CW323" s="24" t="str">
        <f>"0"</f>
        <v>0</v>
      </c>
      <c r="CX323" t="str">
        <f ca="1">IF((OFFSET($A$1, 323 - 1, 100 - 1)) &gt;= (OFFSET($A$1, 78 - 1, 7 - 1)), "1","0")</f>
        <v>0</v>
      </c>
      <c r="CY323">
        <f ca="1" xml:space="preserve"> IF( AND( OFFSET($A$1, 323 - 1, 101 - 1) = "1", OFFSET($A$1, 323 - 1, 102 - 1) = "1" ), 1, IF( AND( OFFSET($A$1, 323 - 1, 101 - 1) = "1", OFFSET($A$1, 323 - 1, 102 - 1) = "0" ), 2, IF( AND( OFFSET($A$1, 323 - 1, 101 - 1) = "0", OFFSET($A$1, 323 - 1, 102 - 1) = "1" ), 3, 4 ) ) )</f>
        <v>4</v>
      </c>
    </row>
    <row r="324" spans="95:103" ht="13.8" x14ac:dyDescent="0.3">
      <c r="CQ324" s="24">
        <v>0.98519128795384026</v>
      </c>
      <c r="CR324" s="24" t="str">
        <f>"1"</f>
        <v>1</v>
      </c>
      <c r="CS324" t="str">
        <f ca="1">IF((OFFSET($A$1, 324 - 1, 95 - 1)) &gt;= (OFFSET($A$1, 54 - 1, 7 - 1)), "1","0")</f>
        <v>1</v>
      </c>
      <c r="CT324">
        <f ca="1" xml:space="preserve"> IF( AND( OFFSET($A$1, 324 - 1, 96 - 1) = "1", OFFSET($A$1, 324 - 1, 97 - 1) = "1" ), 1, IF( AND( OFFSET($A$1, 324 - 1, 96 - 1) = "1", OFFSET($A$1, 324 - 1, 97 - 1) = "0" ), 2, IF( AND( OFFSET($A$1, 324 - 1, 96 - 1) = "0", OFFSET($A$1, 324 - 1, 97 - 1) = "1" ), 3, 4 ) ) )</f>
        <v>1</v>
      </c>
      <c r="CV324" s="24">
        <v>0.60483276440117262</v>
      </c>
      <c r="CW324" s="24" t="str">
        <f>"1"</f>
        <v>1</v>
      </c>
      <c r="CX324" t="str">
        <f ca="1">IF((OFFSET($A$1, 324 - 1, 100 - 1)) &gt;= (OFFSET($A$1, 78 - 1, 7 - 1)), "1","0")</f>
        <v>1</v>
      </c>
      <c r="CY324">
        <f ca="1" xml:space="preserve"> IF( AND( OFFSET($A$1, 324 - 1, 101 - 1) = "1", OFFSET($A$1, 324 - 1, 102 - 1) = "1" ), 1, IF( AND( OFFSET($A$1, 324 - 1, 101 - 1) = "1", OFFSET($A$1, 324 - 1, 102 - 1) = "0" ), 2, IF( AND( OFFSET($A$1, 324 - 1, 101 - 1) = "0", OFFSET($A$1, 324 - 1, 102 - 1) = "1" ), 3, 4 ) ) )</f>
        <v>1</v>
      </c>
    </row>
    <row r="325" spans="95:103" ht="13.8" x14ac:dyDescent="0.3">
      <c r="CQ325" s="24">
        <v>8.5466928226132569E-2</v>
      </c>
      <c r="CR325" s="24" t="str">
        <f>"0"</f>
        <v>0</v>
      </c>
      <c r="CS325" t="str">
        <f ca="1">IF((OFFSET($A$1, 325 - 1, 95 - 1)) &gt;= (OFFSET($A$1, 54 - 1, 7 - 1)), "1","0")</f>
        <v>0</v>
      </c>
      <c r="CT325">
        <f ca="1" xml:space="preserve"> IF( AND( OFFSET($A$1, 325 - 1, 96 - 1) = "1", OFFSET($A$1, 325 - 1, 97 - 1) = "1" ), 1, IF( AND( OFFSET($A$1, 325 - 1, 96 - 1) = "1", OFFSET($A$1, 325 - 1, 97 - 1) = "0" ), 2, IF( AND( OFFSET($A$1, 325 - 1, 96 - 1) = "0", OFFSET($A$1, 325 - 1, 97 - 1) = "1" ), 3, 4 ) ) )</f>
        <v>4</v>
      </c>
      <c r="CV325" s="24">
        <v>0.98594533119062799</v>
      </c>
      <c r="CW325" s="24" t="str">
        <f>"1"</f>
        <v>1</v>
      </c>
      <c r="CX325" t="str">
        <f ca="1">IF((OFFSET($A$1, 325 - 1, 100 - 1)) &gt;= (OFFSET($A$1, 78 - 1, 7 - 1)), "1","0")</f>
        <v>1</v>
      </c>
      <c r="CY325">
        <f ca="1" xml:space="preserve"> IF( AND( OFFSET($A$1, 325 - 1, 101 - 1) = "1", OFFSET($A$1, 325 - 1, 102 - 1) = "1" ), 1, IF( AND( OFFSET($A$1, 325 - 1, 101 - 1) = "1", OFFSET($A$1, 325 - 1, 102 - 1) = "0" ), 2, IF( AND( OFFSET($A$1, 325 - 1, 101 - 1) = "0", OFFSET($A$1, 325 - 1, 102 - 1) = "1" ), 3, 4 ) ) )</f>
        <v>1</v>
      </c>
    </row>
    <row r="326" spans="95:103" ht="13.8" x14ac:dyDescent="0.3">
      <c r="CQ326" s="24">
        <v>3.7828523097539639E-2</v>
      </c>
      <c r="CR326" s="24" t="str">
        <f>"0"</f>
        <v>0</v>
      </c>
      <c r="CS326" t="str">
        <f ca="1">IF((OFFSET($A$1, 326 - 1, 95 - 1)) &gt;= (OFFSET($A$1, 54 - 1, 7 - 1)), "1","0")</f>
        <v>0</v>
      </c>
      <c r="CT326">
        <f ca="1" xml:space="preserve"> IF( AND( OFFSET($A$1, 326 - 1, 96 - 1) = "1", OFFSET($A$1, 326 - 1, 97 - 1) = "1" ), 1, IF( AND( OFFSET($A$1, 326 - 1, 96 - 1) = "1", OFFSET($A$1, 326 - 1, 97 - 1) = "0" ), 2, IF( AND( OFFSET($A$1, 326 - 1, 96 - 1) = "0", OFFSET($A$1, 326 - 1, 97 - 1) = "1" ), 3, 4 ) ) )</f>
        <v>4</v>
      </c>
      <c r="CV326" s="24">
        <v>0.99973233638636727</v>
      </c>
      <c r="CW326" s="24" t="str">
        <f>"1"</f>
        <v>1</v>
      </c>
      <c r="CX326" t="str">
        <f ca="1">IF((OFFSET($A$1, 326 - 1, 100 - 1)) &gt;= (OFFSET($A$1, 78 - 1, 7 - 1)), "1","0")</f>
        <v>1</v>
      </c>
      <c r="CY326">
        <f ca="1" xml:space="preserve"> IF( AND( OFFSET($A$1, 326 - 1, 101 - 1) = "1", OFFSET($A$1, 326 - 1, 102 - 1) = "1" ), 1, IF( AND( OFFSET($A$1, 326 - 1, 101 - 1) = "1", OFFSET($A$1, 326 - 1, 102 - 1) = "0" ), 2, IF( AND( OFFSET($A$1, 326 - 1, 101 - 1) = "0", OFFSET($A$1, 326 - 1, 102 - 1) = "1" ), 3, 4 ) ) )</f>
        <v>1</v>
      </c>
    </row>
    <row r="327" spans="95:103" ht="13.8" x14ac:dyDescent="0.3">
      <c r="CQ327" s="24">
        <v>0.892817699011074</v>
      </c>
      <c r="CR327" s="24" t="str">
        <f>"1"</f>
        <v>1</v>
      </c>
      <c r="CS327" t="str">
        <f ca="1">IF((OFFSET($A$1, 327 - 1, 95 - 1)) &gt;= (OFFSET($A$1, 54 - 1, 7 - 1)), "1","0")</f>
        <v>1</v>
      </c>
      <c r="CT327">
        <f ca="1" xml:space="preserve"> IF( AND( OFFSET($A$1, 327 - 1, 96 - 1) = "1", OFFSET($A$1, 327 - 1, 97 - 1) = "1" ), 1, IF( AND( OFFSET($A$1, 327 - 1, 96 - 1) = "1", OFFSET($A$1, 327 - 1, 97 - 1) = "0" ), 2, IF( AND( OFFSET($A$1, 327 - 1, 96 - 1) = "0", OFFSET($A$1, 327 - 1, 97 - 1) = "1" ), 3, 4 ) ) )</f>
        <v>1</v>
      </c>
      <c r="CV327" s="24">
        <v>0.99981582995186002</v>
      </c>
      <c r="CW327" s="24" t="str">
        <f>"0"</f>
        <v>0</v>
      </c>
      <c r="CX327" t="str">
        <f ca="1">IF((OFFSET($A$1, 327 - 1, 100 - 1)) &gt;= (OFFSET($A$1, 78 - 1, 7 - 1)), "1","0")</f>
        <v>1</v>
      </c>
      <c r="CY327">
        <f ca="1" xml:space="preserve"> IF( AND( OFFSET($A$1, 327 - 1, 101 - 1) = "1", OFFSET($A$1, 327 - 1, 102 - 1) = "1" ), 1, IF( AND( OFFSET($A$1, 327 - 1, 101 - 1) = "1", OFFSET($A$1, 327 - 1, 102 - 1) = "0" ), 2, IF( AND( OFFSET($A$1, 327 - 1, 101 - 1) = "0", OFFSET($A$1, 327 - 1, 102 - 1) = "1" ), 3, 4 ) ) )</f>
        <v>3</v>
      </c>
    </row>
    <row r="328" spans="95:103" ht="13.8" x14ac:dyDescent="0.3">
      <c r="CQ328" s="24">
        <v>4.6501715528330788E-2</v>
      </c>
      <c r="CR328" s="24" t="str">
        <f>"0"</f>
        <v>0</v>
      </c>
      <c r="CS328" t="str">
        <f ca="1">IF((OFFSET($A$1, 328 - 1, 95 - 1)) &gt;= (OFFSET($A$1, 54 - 1, 7 - 1)), "1","0")</f>
        <v>0</v>
      </c>
      <c r="CT328">
        <f ca="1" xml:space="preserve"> IF( AND( OFFSET($A$1, 328 - 1, 96 - 1) = "1", OFFSET($A$1, 328 - 1, 97 - 1) = "1" ), 1, IF( AND( OFFSET($A$1, 328 - 1, 96 - 1) = "1", OFFSET($A$1, 328 - 1, 97 - 1) = "0" ), 2, IF( AND( OFFSET($A$1, 328 - 1, 96 - 1) = "0", OFFSET($A$1, 328 - 1, 97 - 1) = "1" ), 3, 4 ) ) )</f>
        <v>4</v>
      </c>
      <c r="CV328" s="24">
        <v>0.10497787433737671</v>
      </c>
      <c r="CW328" s="24" t="str">
        <f>"0"</f>
        <v>0</v>
      </c>
      <c r="CX328" t="str">
        <f ca="1">IF((OFFSET($A$1, 328 - 1, 100 - 1)) &gt;= (OFFSET($A$1, 78 - 1, 7 - 1)), "1","0")</f>
        <v>0</v>
      </c>
      <c r="CY328">
        <f ca="1" xml:space="preserve"> IF( AND( OFFSET($A$1, 328 - 1, 101 - 1) = "1", OFFSET($A$1, 328 - 1, 102 - 1) = "1" ), 1, IF( AND( OFFSET($A$1, 328 - 1, 101 - 1) = "1", OFFSET($A$1, 328 - 1, 102 - 1) = "0" ), 2, IF( AND( OFFSET($A$1, 328 - 1, 101 - 1) = "0", OFFSET($A$1, 328 - 1, 102 - 1) = "1" ), 3, 4 ) ) )</f>
        <v>4</v>
      </c>
    </row>
    <row r="329" spans="95:103" ht="13.8" x14ac:dyDescent="0.3">
      <c r="CQ329" s="24">
        <v>0.99980937330485919</v>
      </c>
      <c r="CR329" s="24" t="str">
        <f>"1"</f>
        <v>1</v>
      </c>
      <c r="CS329" t="str">
        <f ca="1">IF((OFFSET($A$1, 329 - 1, 95 - 1)) &gt;= (OFFSET($A$1, 54 - 1, 7 - 1)), "1","0")</f>
        <v>1</v>
      </c>
      <c r="CT329">
        <f ca="1" xml:space="preserve"> IF( AND( OFFSET($A$1, 329 - 1, 96 - 1) = "1", OFFSET($A$1, 329 - 1, 97 - 1) = "1" ), 1, IF( AND( OFFSET($A$1, 329 - 1, 96 - 1) = "1", OFFSET($A$1, 329 - 1, 97 - 1) = "0" ), 2, IF( AND( OFFSET($A$1, 329 - 1, 96 - 1) = "0", OFFSET($A$1, 329 - 1, 97 - 1) = "1" ), 3, 4 ) ) )</f>
        <v>1</v>
      </c>
      <c r="CV329" s="24">
        <v>0.99165558832266332</v>
      </c>
      <c r="CW329" s="24" t="str">
        <f>"1"</f>
        <v>1</v>
      </c>
      <c r="CX329" t="str">
        <f ca="1">IF((OFFSET($A$1, 329 - 1, 100 - 1)) &gt;= (OFFSET($A$1, 78 - 1, 7 - 1)), "1","0")</f>
        <v>1</v>
      </c>
      <c r="CY329">
        <f ca="1" xml:space="preserve"> IF( AND( OFFSET($A$1, 329 - 1, 101 - 1) = "1", OFFSET($A$1, 329 - 1, 102 - 1) = "1" ), 1, IF( AND( OFFSET($A$1, 329 - 1, 101 - 1) = "1", OFFSET($A$1, 329 - 1, 102 - 1) = "0" ), 2, IF( AND( OFFSET($A$1, 329 - 1, 101 - 1) = "0", OFFSET($A$1, 329 - 1, 102 - 1) = "1" ), 3, 4 ) ) )</f>
        <v>1</v>
      </c>
    </row>
    <row r="330" spans="95:103" ht="13.8" x14ac:dyDescent="0.3">
      <c r="CQ330" s="24">
        <v>0.99606178024204872</v>
      </c>
      <c r="CR330" s="24" t="str">
        <f>"1"</f>
        <v>1</v>
      </c>
      <c r="CS330" t="str">
        <f ca="1">IF((OFFSET($A$1, 330 - 1, 95 - 1)) &gt;= (OFFSET($A$1, 54 - 1, 7 - 1)), "1","0")</f>
        <v>1</v>
      </c>
      <c r="CT330">
        <f ca="1" xml:space="preserve"> IF( AND( OFFSET($A$1, 330 - 1, 96 - 1) = "1", OFFSET($A$1, 330 - 1, 97 - 1) = "1" ), 1, IF( AND( OFFSET($A$1, 330 - 1, 96 - 1) = "1", OFFSET($A$1, 330 - 1, 97 - 1) = "0" ), 2, IF( AND( OFFSET($A$1, 330 - 1, 96 - 1) = "0", OFFSET($A$1, 330 - 1, 97 - 1) = "1" ), 3, 4 ) ) )</f>
        <v>1</v>
      </c>
      <c r="CV330" s="24">
        <v>0.99865509930461516</v>
      </c>
      <c r="CW330" s="24" t="str">
        <f>"1"</f>
        <v>1</v>
      </c>
      <c r="CX330" t="str">
        <f ca="1">IF((OFFSET($A$1, 330 - 1, 100 - 1)) &gt;= (OFFSET($A$1, 78 - 1, 7 - 1)), "1","0")</f>
        <v>1</v>
      </c>
      <c r="CY330">
        <f ca="1" xml:space="preserve"> IF( AND( OFFSET($A$1, 330 - 1, 101 - 1) = "1", OFFSET($A$1, 330 - 1, 102 - 1) = "1" ), 1, IF( AND( OFFSET($A$1, 330 - 1, 101 - 1) = "1", OFFSET($A$1, 330 - 1, 102 - 1) = "0" ), 2, IF( AND( OFFSET($A$1, 330 - 1, 101 - 1) = "0", OFFSET($A$1, 330 - 1, 102 - 1) = "1" ), 3, 4 ) ) )</f>
        <v>1</v>
      </c>
    </row>
    <row r="331" spans="95:103" ht="13.8" x14ac:dyDescent="0.3">
      <c r="CQ331" s="24">
        <v>6.7798475467674466E-2</v>
      </c>
      <c r="CR331" s="24" t="str">
        <f>"0"</f>
        <v>0</v>
      </c>
      <c r="CS331" t="str">
        <f ca="1">IF((OFFSET($A$1, 331 - 1, 95 - 1)) &gt;= (OFFSET($A$1, 54 - 1, 7 - 1)), "1","0")</f>
        <v>0</v>
      </c>
      <c r="CT331">
        <f ca="1" xml:space="preserve"> IF( AND( OFFSET($A$1, 331 - 1, 96 - 1) = "1", OFFSET($A$1, 331 - 1, 97 - 1) = "1" ), 1, IF( AND( OFFSET($A$1, 331 - 1, 96 - 1) = "1", OFFSET($A$1, 331 - 1, 97 - 1) = "0" ), 2, IF( AND( OFFSET($A$1, 331 - 1, 96 - 1) = "0", OFFSET($A$1, 331 - 1, 97 - 1) = "1" ), 3, 4 ) ) )</f>
        <v>4</v>
      </c>
      <c r="CV331" s="24">
        <v>0.76374142280031343</v>
      </c>
      <c r="CW331" s="24" t="str">
        <f>"0"</f>
        <v>0</v>
      </c>
      <c r="CX331" t="str">
        <f ca="1">IF((OFFSET($A$1, 331 - 1, 100 - 1)) &gt;= (OFFSET($A$1, 78 - 1, 7 - 1)), "1","0")</f>
        <v>1</v>
      </c>
      <c r="CY331">
        <f ca="1" xml:space="preserve"> IF( AND( OFFSET($A$1, 331 - 1, 101 - 1) = "1", OFFSET($A$1, 331 - 1, 102 - 1) = "1" ), 1, IF( AND( OFFSET($A$1, 331 - 1, 101 - 1) = "1", OFFSET($A$1, 331 - 1, 102 - 1) = "0" ), 2, IF( AND( OFFSET($A$1, 331 - 1, 101 - 1) = "0", OFFSET($A$1, 331 - 1, 102 - 1) = "1" ), 3, 4 ) ) )</f>
        <v>3</v>
      </c>
    </row>
    <row r="332" spans="95:103" ht="13.8" x14ac:dyDescent="0.3">
      <c r="CQ332" s="24">
        <v>0.97922069174952009</v>
      </c>
      <c r="CR332" s="24" t="str">
        <f>"1"</f>
        <v>1</v>
      </c>
      <c r="CS332" t="str">
        <f ca="1">IF((OFFSET($A$1, 332 - 1, 95 - 1)) &gt;= (OFFSET($A$1, 54 - 1, 7 - 1)), "1","0")</f>
        <v>1</v>
      </c>
      <c r="CT332">
        <f ca="1" xml:space="preserve"> IF( AND( OFFSET($A$1, 332 - 1, 96 - 1) = "1", OFFSET($A$1, 332 - 1, 97 - 1) = "1" ), 1, IF( AND( OFFSET($A$1, 332 - 1, 96 - 1) = "1", OFFSET($A$1, 332 - 1, 97 - 1) = "0" ), 2, IF( AND( OFFSET($A$1, 332 - 1, 96 - 1) = "0", OFFSET($A$1, 332 - 1, 97 - 1) = "1" ), 3, 4 ) ) )</f>
        <v>1</v>
      </c>
      <c r="CV332" s="24">
        <v>0.2577008258748632</v>
      </c>
      <c r="CW332" s="24" t="str">
        <f>"1"</f>
        <v>1</v>
      </c>
      <c r="CX332" t="str">
        <f ca="1">IF((OFFSET($A$1, 332 - 1, 100 - 1)) &gt;= (OFFSET($A$1, 78 - 1, 7 - 1)), "1","0")</f>
        <v>0</v>
      </c>
      <c r="CY332">
        <f ca="1" xml:space="preserve"> IF( AND( OFFSET($A$1, 332 - 1, 101 - 1) = "1", OFFSET($A$1, 332 - 1, 102 - 1) = "1" ), 1, IF( AND( OFFSET($A$1, 332 - 1, 101 - 1) = "1", OFFSET($A$1, 332 - 1, 102 - 1) = "0" ), 2, IF( AND( OFFSET($A$1, 332 - 1, 101 - 1) = "0", OFFSET($A$1, 332 - 1, 102 - 1) = "1" ), 3, 4 ) ) )</f>
        <v>2</v>
      </c>
    </row>
    <row r="333" spans="95:103" ht="13.8" x14ac:dyDescent="0.3">
      <c r="CQ333" s="24">
        <v>6.9297531528614398E-2</v>
      </c>
      <c r="CR333" s="24" t="str">
        <f>"0"</f>
        <v>0</v>
      </c>
      <c r="CS333" t="str">
        <f ca="1">IF((OFFSET($A$1, 333 - 1, 95 - 1)) &gt;= (OFFSET($A$1, 54 - 1, 7 - 1)), "1","0")</f>
        <v>0</v>
      </c>
      <c r="CT333">
        <f ca="1" xml:space="preserve"> IF( AND( OFFSET($A$1, 333 - 1, 96 - 1) = "1", OFFSET($A$1, 333 - 1, 97 - 1) = "1" ), 1, IF( AND( OFFSET($A$1, 333 - 1, 96 - 1) = "1", OFFSET($A$1, 333 - 1, 97 - 1) = "0" ), 2, IF( AND( OFFSET($A$1, 333 - 1, 96 - 1) = "0", OFFSET($A$1, 333 - 1, 97 - 1) = "1" ), 3, 4 ) ) )</f>
        <v>4</v>
      </c>
      <c r="CV333" s="24">
        <v>1.9913328116650665E-3</v>
      </c>
      <c r="CW333" s="24" t="str">
        <f>"1"</f>
        <v>1</v>
      </c>
      <c r="CX333" t="str">
        <f ca="1">IF((OFFSET($A$1, 333 - 1, 100 - 1)) &gt;= (OFFSET($A$1, 78 - 1, 7 - 1)), "1","0")</f>
        <v>0</v>
      </c>
      <c r="CY333">
        <f ca="1" xml:space="preserve"> IF( AND( OFFSET($A$1, 333 - 1, 101 - 1) = "1", OFFSET($A$1, 333 - 1, 102 - 1) = "1" ), 1, IF( AND( OFFSET($A$1, 333 - 1, 101 - 1) = "1", OFFSET($A$1, 333 - 1, 102 - 1) = "0" ), 2, IF( AND( OFFSET($A$1, 333 - 1, 101 - 1) = "0", OFFSET($A$1, 333 - 1, 102 - 1) = "1" ), 3, 4 ) ) )</f>
        <v>2</v>
      </c>
    </row>
    <row r="334" spans="95:103" ht="13.8" x14ac:dyDescent="0.3">
      <c r="CQ334" s="24">
        <v>0.91104224782123111</v>
      </c>
      <c r="CR334" s="24" t="str">
        <f>"1"</f>
        <v>1</v>
      </c>
      <c r="CS334" t="str">
        <f ca="1">IF((OFFSET($A$1, 334 - 1, 95 - 1)) &gt;= (OFFSET($A$1, 54 - 1, 7 - 1)), "1","0")</f>
        <v>1</v>
      </c>
      <c r="CT334">
        <f ca="1" xml:space="preserve"> IF( AND( OFFSET($A$1, 334 - 1, 96 - 1) = "1", OFFSET($A$1, 334 - 1, 97 - 1) = "1" ), 1, IF( AND( OFFSET($A$1, 334 - 1, 96 - 1) = "1", OFFSET($A$1, 334 - 1, 97 - 1) = "0" ), 2, IF( AND( OFFSET($A$1, 334 - 1, 96 - 1) = "0", OFFSET($A$1, 334 - 1, 97 - 1) = "1" ), 3, 4 ) ) )</f>
        <v>1</v>
      </c>
      <c r="CV334" s="24">
        <v>0.98233859437310589</v>
      </c>
      <c r="CW334" s="24" t="str">
        <f>"1"</f>
        <v>1</v>
      </c>
      <c r="CX334" t="str">
        <f ca="1">IF((OFFSET($A$1, 334 - 1, 100 - 1)) &gt;= (OFFSET($A$1, 78 - 1, 7 - 1)), "1","0")</f>
        <v>1</v>
      </c>
      <c r="CY334">
        <f ca="1" xml:space="preserve"> IF( AND( OFFSET($A$1, 334 - 1, 101 - 1) = "1", OFFSET($A$1, 334 - 1, 102 - 1) = "1" ), 1, IF( AND( OFFSET($A$1, 334 - 1, 101 - 1) = "1", OFFSET($A$1, 334 - 1, 102 - 1) = "0" ), 2, IF( AND( OFFSET($A$1, 334 - 1, 101 - 1) = "0", OFFSET($A$1, 334 - 1, 102 - 1) = "1" ), 3, 4 ) ) )</f>
        <v>1</v>
      </c>
    </row>
    <row r="335" spans="95:103" ht="13.8" x14ac:dyDescent="0.3">
      <c r="CQ335" s="24">
        <v>6.6121322304810368E-2</v>
      </c>
      <c r="CR335" s="24" t="str">
        <f>"0"</f>
        <v>0</v>
      </c>
      <c r="CS335" t="str">
        <f ca="1">IF((OFFSET($A$1, 335 - 1, 95 - 1)) &gt;= (OFFSET($A$1, 54 - 1, 7 - 1)), "1","0")</f>
        <v>0</v>
      </c>
      <c r="CT335">
        <f ca="1" xml:space="preserve"> IF( AND( OFFSET($A$1, 335 - 1, 96 - 1) = "1", OFFSET($A$1, 335 - 1, 97 - 1) = "1" ), 1, IF( AND( OFFSET($A$1, 335 - 1, 96 - 1) = "1", OFFSET($A$1, 335 - 1, 97 - 1) = "0" ), 2, IF( AND( OFFSET($A$1, 335 - 1, 96 - 1) = "0", OFFSET($A$1, 335 - 1, 97 - 1) = "1" ), 3, 4 ) ) )</f>
        <v>4</v>
      </c>
      <c r="CV335" s="24">
        <v>0.99766781962501405</v>
      </c>
      <c r="CW335" s="24" t="str">
        <f>"1"</f>
        <v>1</v>
      </c>
      <c r="CX335" t="str">
        <f ca="1">IF((OFFSET($A$1, 335 - 1, 100 - 1)) &gt;= (OFFSET($A$1, 78 - 1, 7 - 1)), "1","0")</f>
        <v>1</v>
      </c>
      <c r="CY335">
        <f ca="1" xml:space="preserve"> IF( AND( OFFSET($A$1, 335 - 1, 101 - 1) = "1", OFFSET($A$1, 335 - 1, 102 - 1) = "1" ), 1, IF( AND( OFFSET($A$1, 335 - 1, 101 - 1) = "1", OFFSET($A$1, 335 - 1, 102 - 1) = "0" ), 2, IF( AND( OFFSET($A$1, 335 - 1, 101 - 1) = "0", OFFSET($A$1, 335 - 1, 102 - 1) = "1" ), 3, 4 ) ) )</f>
        <v>1</v>
      </c>
    </row>
    <row r="336" spans="95:103" ht="13.8" x14ac:dyDescent="0.3">
      <c r="CQ336" s="24">
        <v>0.86226659077359646</v>
      </c>
      <c r="CR336" s="24" t="str">
        <f>"1"</f>
        <v>1</v>
      </c>
      <c r="CS336" t="str">
        <f ca="1">IF((OFFSET($A$1, 336 - 1, 95 - 1)) &gt;= (OFFSET($A$1, 54 - 1, 7 - 1)), "1","0")</f>
        <v>1</v>
      </c>
      <c r="CT336">
        <f ca="1" xml:space="preserve"> IF( AND( OFFSET($A$1, 336 - 1, 96 - 1) = "1", OFFSET($A$1, 336 - 1, 97 - 1) = "1" ), 1, IF( AND( OFFSET($A$1, 336 - 1, 96 - 1) = "1", OFFSET($A$1, 336 - 1, 97 - 1) = "0" ), 2, IF( AND( OFFSET($A$1, 336 - 1, 96 - 1) = "0", OFFSET($A$1, 336 - 1, 97 - 1) = "1" ), 3, 4 ) ) )</f>
        <v>1</v>
      </c>
      <c r="CV336" s="24">
        <v>0.2130127759441951</v>
      </c>
      <c r="CW336" s="24" t="str">
        <f>"0"</f>
        <v>0</v>
      </c>
      <c r="CX336" t="str">
        <f ca="1">IF((OFFSET($A$1, 336 - 1, 100 - 1)) &gt;= (OFFSET($A$1, 78 - 1, 7 - 1)), "1","0")</f>
        <v>0</v>
      </c>
      <c r="CY336">
        <f ca="1" xml:space="preserve"> IF( AND( OFFSET($A$1, 336 - 1, 101 - 1) = "1", OFFSET($A$1, 336 - 1, 102 - 1) = "1" ), 1, IF( AND( OFFSET($A$1, 336 - 1, 101 - 1) = "1", OFFSET($A$1, 336 - 1, 102 - 1) = "0" ), 2, IF( AND( OFFSET($A$1, 336 - 1, 101 - 1) = "0", OFFSET($A$1, 336 - 1, 102 - 1) = "1" ), 3, 4 ) ) )</f>
        <v>4</v>
      </c>
    </row>
    <row r="337" spans="95:103" ht="13.8" x14ac:dyDescent="0.3">
      <c r="CQ337" s="24">
        <v>0.90551142812821184</v>
      </c>
      <c r="CR337" s="24" t="str">
        <f>"1"</f>
        <v>1</v>
      </c>
      <c r="CS337" t="str">
        <f ca="1">IF((OFFSET($A$1, 337 - 1, 95 - 1)) &gt;= (OFFSET($A$1, 54 - 1, 7 - 1)), "1","0")</f>
        <v>1</v>
      </c>
      <c r="CT337">
        <f ca="1" xml:space="preserve"> IF( AND( OFFSET($A$1, 337 - 1, 96 - 1) = "1", OFFSET($A$1, 337 - 1, 97 - 1) = "1" ), 1, IF( AND( OFFSET($A$1, 337 - 1, 96 - 1) = "1", OFFSET($A$1, 337 - 1, 97 - 1) = "0" ), 2, IF( AND( OFFSET($A$1, 337 - 1, 96 - 1) = "0", OFFSET($A$1, 337 - 1, 97 - 1) = "1" ), 3, 4 ) ) )</f>
        <v>1</v>
      </c>
      <c r="CV337" s="24">
        <v>3.5499387669025405E-3</v>
      </c>
      <c r="CW337" s="24" t="str">
        <f>"0"</f>
        <v>0</v>
      </c>
      <c r="CX337" t="str">
        <f ca="1">IF((OFFSET($A$1, 337 - 1, 100 - 1)) &gt;= (OFFSET($A$1, 78 - 1, 7 - 1)), "1","0")</f>
        <v>0</v>
      </c>
      <c r="CY337">
        <f ca="1" xml:space="preserve"> IF( AND( OFFSET($A$1, 337 - 1, 101 - 1) = "1", OFFSET($A$1, 337 - 1, 102 - 1) = "1" ), 1, IF( AND( OFFSET($A$1, 337 - 1, 101 - 1) = "1", OFFSET($A$1, 337 - 1, 102 - 1) = "0" ), 2, IF( AND( OFFSET($A$1, 337 - 1, 101 - 1) = "0", OFFSET($A$1, 337 - 1, 102 - 1) = "1" ), 3, 4 ) ) )</f>
        <v>4</v>
      </c>
    </row>
    <row r="338" spans="95:103" ht="13.8" x14ac:dyDescent="0.3">
      <c r="CQ338" s="24">
        <v>0.9258311466404554</v>
      </c>
      <c r="CR338" s="24" t="str">
        <f>"1"</f>
        <v>1</v>
      </c>
      <c r="CS338" t="str">
        <f ca="1">IF((OFFSET($A$1, 338 - 1, 95 - 1)) &gt;= (OFFSET($A$1, 54 - 1, 7 - 1)), "1","0")</f>
        <v>1</v>
      </c>
      <c r="CT338">
        <f ca="1" xml:space="preserve"> IF( AND( OFFSET($A$1, 338 - 1, 96 - 1) = "1", OFFSET($A$1, 338 - 1, 97 - 1) = "1" ), 1, IF( AND( OFFSET($A$1, 338 - 1, 96 - 1) = "1", OFFSET($A$1, 338 - 1, 97 - 1) = "0" ), 2, IF( AND( OFFSET($A$1, 338 - 1, 96 - 1) = "0", OFFSET($A$1, 338 - 1, 97 - 1) = "1" ), 3, 4 ) ) )</f>
        <v>1</v>
      </c>
      <c r="CV338" s="24">
        <v>0.33563328170680568</v>
      </c>
      <c r="CW338" s="24" t="str">
        <f>"0"</f>
        <v>0</v>
      </c>
      <c r="CX338" t="str">
        <f ca="1">IF((OFFSET($A$1, 338 - 1, 100 - 1)) &gt;= (OFFSET($A$1, 78 - 1, 7 - 1)), "1","0")</f>
        <v>0</v>
      </c>
      <c r="CY338">
        <f ca="1" xml:space="preserve"> IF( AND( OFFSET($A$1, 338 - 1, 101 - 1) = "1", OFFSET($A$1, 338 - 1, 102 - 1) = "1" ), 1, IF( AND( OFFSET($A$1, 338 - 1, 101 - 1) = "1", OFFSET($A$1, 338 - 1, 102 - 1) = "0" ), 2, IF( AND( OFFSET($A$1, 338 - 1, 101 - 1) = "0", OFFSET($A$1, 338 - 1, 102 - 1) = "1" ), 3, 4 ) ) )</f>
        <v>4</v>
      </c>
    </row>
    <row r="339" spans="95:103" ht="13.8" x14ac:dyDescent="0.3">
      <c r="CQ339" s="24">
        <v>0.87964014008981062</v>
      </c>
      <c r="CR339" s="24" t="str">
        <f>"1"</f>
        <v>1</v>
      </c>
      <c r="CS339" t="str">
        <f ca="1">IF((OFFSET($A$1, 339 - 1, 95 - 1)) &gt;= (OFFSET($A$1, 54 - 1, 7 - 1)), "1","0")</f>
        <v>1</v>
      </c>
      <c r="CT339">
        <f ca="1" xml:space="preserve"> IF( AND( OFFSET($A$1, 339 - 1, 96 - 1) = "1", OFFSET($A$1, 339 - 1, 97 - 1) = "1" ), 1, IF( AND( OFFSET($A$1, 339 - 1, 96 - 1) = "1", OFFSET($A$1, 339 - 1, 97 - 1) = "0" ), 2, IF( AND( OFFSET($A$1, 339 - 1, 96 - 1) = "0", OFFSET($A$1, 339 - 1, 97 - 1) = "1" ), 3, 4 ) ) )</f>
        <v>1</v>
      </c>
      <c r="CV339" s="24">
        <v>0.99497448588332926</v>
      </c>
      <c r="CW339" s="24" t="str">
        <f>"1"</f>
        <v>1</v>
      </c>
      <c r="CX339" t="str">
        <f ca="1">IF((OFFSET($A$1, 339 - 1, 100 - 1)) &gt;= (OFFSET($A$1, 78 - 1, 7 - 1)), "1","0")</f>
        <v>1</v>
      </c>
      <c r="CY339">
        <f ca="1" xml:space="preserve"> IF( AND( OFFSET($A$1, 339 - 1, 101 - 1) = "1", OFFSET($A$1, 339 - 1, 102 - 1) = "1" ), 1, IF( AND( OFFSET($A$1, 339 - 1, 101 - 1) = "1", OFFSET($A$1, 339 - 1, 102 - 1) = "0" ), 2, IF( AND( OFFSET($A$1, 339 - 1, 101 - 1) = "0", OFFSET($A$1, 339 - 1, 102 - 1) = "1" ), 3, 4 ) ) )</f>
        <v>1</v>
      </c>
    </row>
    <row r="340" spans="95:103" ht="13.8" x14ac:dyDescent="0.3">
      <c r="CQ340" s="24">
        <v>5.3296464102847642E-2</v>
      </c>
      <c r="CR340" s="24" t="str">
        <f>"0"</f>
        <v>0</v>
      </c>
      <c r="CS340" t="str">
        <f ca="1">IF((OFFSET($A$1, 340 - 1, 95 - 1)) &gt;= (OFFSET($A$1, 54 - 1, 7 - 1)), "1","0")</f>
        <v>0</v>
      </c>
      <c r="CT340">
        <f ca="1" xml:space="preserve"> IF( AND( OFFSET($A$1, 340 - 1, 96 - 1) = "1", OFFSET($A$1, 340 - 1, 97 - 1) = "1" ), 1, IF( AND( OFFSET($A$1, 340 - 1, 96 - 1) = "1", OFFSET($A$1, 340 - 1, 97 - 1) = "0" ), 2, IF( AND( OFFSET($A$1, 340 - 1, 96 - 1) = "0", OFFSET($A$1, 340 - 1, 97 - 1) = "1" ), 3, 4 ) ) )</f>
        <v>4</v>
      </c>
      <c r="CV340" s="24">
        <v>0.99724809507786172</v>
      </c>
      <c r="CW340" s="24" t="str">
        <f>"1"</f>
        <v>1</v>
      </c>
      <c r="CX340" t="str">
        <f ca="1">IF((OFFSET($A$1, 340 - 1, 100 - 1)) &gt;= (OFFSET($A$1, 78 - 1, 7 - 1)), "1","0")</f>
        <v>1</v>
      </c>
      <c r="CY340">
        <f ca="1" xml:space="preserve"> IF( AND( OFFSET($A$1, 340 - 1, 101 - 1) = "1", OFFSET($A$1, 340 - 1, 102 - 1) = "1" ), 1, IF( AND( OFFSET($A$1, 340 - 1, 101 - 1) = "1", OFFSET($A$1, 340 - 1, 102 - 1) = "0" ), 2, IF( AND( OFFSET($A$1, 340 - 1, 101 - 1) = "0", OFFSET($A$1, 340 - 1, 102 - 1) = "1" ), 3, 4 ) ) )</f>
        <v>1</v>
      </c>
    </row>
    <row r="341" spans="95:103" ht="13.8" x14ac:dyDescent="0.3">
      <c r="CQ341" s="24">
        <v>0.99255291713750748</v>
      </c>
      <c r="CR341" s="24" t="str">
        <f>"1"</f>
        <v>1</v>
      </c>
      <c r="CS341" t="str">
        <f ca="1">IF((OFFSET($A$1, 341 - 1, 95 - 1)) &gt;= (OFFSET($A$1, 54 - 1, 7 - 1)), "1","0")</f>
        <v>1</v>
      </c>
      <c r="CT341">
        <f ca="1" xml:space="preserve"> IF( AND( OFFSET($A$1, 341 - 1, 96 - 1) = "1", OFFSET($A$1, 341 - 1, 97 - 1) = "1" ), 1, IF( AND( OFFSET($A$1, 341 - 1, 96 - 1) = "1", OFFSET($A$1, 341 - 1, 97 - 1) = "0" ), 2, IF( AND( OFFSET($A$1, 341 - 1, 96 - 1) = "0", OFFSET($A$1, 341 - 1, 97 - 1) = "1" ), 3, 4 ) ) )</f>
        <v>1</v>
      </c>
      <c r="CV341" s="24">
        <v>0.43959581285689758</v>
      </c>
      <c r="CW341" s="24" t="str">
        <f>"0"</f>
        <v>0</v>
      </c>
      <c r="CX341" t="str">
        <f ca="1">IF((OFFSET($A$1, 341 - 1, 100 - 1)) &gt;= (OFFSET($A$1, 78 - 1, 7 - 1)), "1","0")</f>
        <v>0</v>
      </c>
      <c r="CY341">
        <f ca="1" xml:space="preserve"> IF( AND( OFFSET($A$1, 341 - 1, 101 - 1) = "1", OFFSET($A$1, 341 - 1, 102 - 1) = "1" ), 1, IF( AND( OFFSET($A$1, 341 - 1, 101 - 1) = "1", OFFSET($A$1, 341 - 1, 102 - 1) = "0" ), 2, IF( AND( OFFSET($A$1, 341 - 1, 101 - 1) = "0", OFFSET($A$1, 341 - 1, 102 - 1) = "1" ), 3, 4 ) ) )</f>
        <v>4</v>
      </c>
    </row>
    <row r="342" spans="95:103" ht="13.8" x14ac:dyDescent="0.3">
      <c r="CQ342" s="24">
        <v>4.1146473970553779E-2</v>
      </c>
      <c r="CR342" s="24" t="str">
        <f>"0"</f>
        <v>0</v>
      </c>
      <c r="CS342" t="str">
        <f ca="1">IF((OFFSET($A$1, 342 - 1, 95 - 1)) &gt;= (OFFSET($A$1, 54 - 1, 7 - 1)), "1","0")</f>
        <v>0</v>
      </c>
      <c r="CT342">
        <f ca="1" xml:space="preserve"> IF( AND( OFFSET($A$1, 342 - 1, 96 - 1) = "1", OFFSET($A$1, 342 - 1, 97 - 1) = "1" ), 1, IF( AND( OFFSET($A$1, 342 - 1, 96 - 1) = "1", OFFSET($A$1, 342 - 1, 97 - 1) = "0" ), 2, IF( AND( OFFSET($A$1, 342 - 1, 96 - 1) = "0", OFFSET($A$1, 342 - 1, 97 - 1) = "1" ), 3, 4 ) ) )</f>
        <v>4</v>
      </c>
      <c r="CV342" s="24">
        <v>0.98923535577422683</v>
      </c>
      <c r="CW342" s="24" t="str">
        <f>"1"</f>
        <v>1</v>
      </c>
      <c r="CX342" t="str">
        <f ca="1">IF((OFFSET($A$1, 342 - 1, 100 - 1)) &gt;= (OFFSET($A$1, 78 - 1, 7 - 1)), "1","0")</f>
        <v>1</v>
      </c>
      <c r="CY342">
        <f ca="1" xml:space="preserve"> IF( AND( OFFSET($A$1, 342 - 1, 101 - 1) = "1", OFFSET($A$1, 342 - 1, 102 - 1) = "1" ), 1, IF( AND( OFFSET($A$1, 342 - 1, 101 - 1) = "1", OFFSET($A$1, 342 - 1, 102 - 1) = "0" ), 2, IF( AND( OFFSET($A$1, 342 - 1, 101 - 1) = "0", OFFSET($A$1, 342 - 1, 102 - 1) = "1" ), 3, 4 ) ) )</f>
        <v>1</v>
      </c>
    </row>
    <row r="343" spans="95:103" ht="13.8" x14ac:dyDescent="0.3">
      <c r="CQ343" s="24">
        <v>0.98666845179223428</v>
      </c>
      <c r="CR343" s="24" t="str">
        <f>"1"</f>
        <v>1</v>
      </c>
      <c r="CS343" t="str">
        <f ca="1">IF((OFFSET($A$1, 343 - 1, 95 - 1)) &gt;= (OFFSET($A$1, 54 - 1, 7 - 1)), "1","0")</f>
        <v>1</v>
      </c>
      <c r="CT343">
        <f ca="1" xml:space="preserve"> IF( AND( OFFSET($A$1, 343 - 1, 96 - 1) = "1", OFFSET($A$1, 343 - 1, 97 - 1) = "1" ), 1, IF( AND( OFFSET($A$1, 343 - 1, 96 - 1) = "1", OFFSET($A$1, 343 - 1, 97 - 1) = "0" ), 2, IF( AND( OFFSET($A$1, 343 - 1, 96 - 1) = "0", OFFSET($A$1, 343 - 1, 97 - 1) = "1" ), 3, 4 ) ) )</f>
        <v>1</v>
      </c>
      <c r="CV343" s="24">
        <v>1.4913138869281103E-2</v>
      </c>
      <c r="CW343" s="24" t="str">
        <f>"0"</f>
        <v>0</v>
      </c>
      <c r="CX343" t="str">
        <f ca="1">IF((OFFSET($A$1, 343 - 1, 100 - 1)) &gt;= (OFFSET($A$1, 78 - 1, 7 - 1)), "1","0")</f>
        <v>0</v>
      </c>
      <c r="CY343">
        <f ca="1" xml:space="preserve"> IF( AND( OFFSET($A$1, 343 - 1, 101 - 1) = "1", OFFSET($A$1, 343 - 1, 102 - 1) = "1" ), 1, IF( AND( OFFSET($A$1, 343 - 1, 101 - 1) = "1", OFFSET($A$1, 343 - 1, 102 - 1) = "0" ), 2, IF( AND( OFFSET($A$1, 343 - 1, 101 - 1) = "0", OFFSET($A$1, 343 - 1, 102 - 1) = "1" ), 3, 4 ) ) )</f>
        <v>4</v>
      </c>
    </row>
    <row r="344" spans="95:103" ht="13.8" x14ac:dyDescent="0.3">
      <c r="CQ344" s="24">
        <v>0.99892356597291809</v>
      </c>
      <c r="CR344" s="24" t="str">
        <f>"1"</f>
        <v>1</v>
      </c>
      <c r="CS344" t="str">
        <f ca="1">IF((OFFSET($A$1, 344 - 1, 95 - 1)) &gt;= (OFFSET($A$1, 54 - 1, 7 - 1)), "1","0")</f>
        <v>1</v>
      </c>
      <c r="CT344">
        <f ca="1" xml:space="preserve"> IF( AND( OFFSET($A$1, 344 - 1, 96 - 1) = "1", OFFSET($A$1, 344 - 1, 97 - 1) = "1" ), 1, IF( AND( OFFSET($A$1, 344 - 1, 96 - 1) = "1", OFFSET($A$1, 344 - 1, 97 - 1) = "0" ), 2, IF( AND( OFFSET($A$1, 344 - 1, 96 - 1) = "0", OFFSET($A$1, 344 - 1, 97 - 1) = "1" ), 3, 4 ) ) )</f>
        <v>1</v>
      </c>
      <c r="CV344" s="24">
        <v>0.94509067448928974</v>
      </c>
      <c r="CW344" s="24" t="str">
        <f>"1"</f>
        <v>1</v>
      </c>
      <c r="CX344" t="str">
        <f ca="1">IF((OFFSET($A$1, 344 - 1, 100 - 1)) &gt;= (OFFSET($A$1, 78 - 1, 7 - 1)), "1","0")</f>
        <v>1</v>
      </c>
      <c r="CY344">
        <f ca="1" xml:space="preserve"> IF( AND( OFFSET($A$1, 344 - 1, 101 - 1) = "1", OFFSET($A$1, 344 - 1, 102 - 1) = "1" ), 1, IF( AND( OFFSET($A$1, 344 - 1, 101 - 1) = "1", OFFSET($A$1, 344 - 1, 102 - 1) = "0" ), 2, IF( AND( OFFSET($A$1, 344 - 1, 101 - 1) = "0", OFFSET($A$1, 344 - 1, 102 - 1) = "1" ), 3, 4 ) ) )</f>
        <v>1</v>
      </c>
    </row>
    <row r="345" spans="95:103" ht="13.8" x14ac:dyDescent="0.3">
      <c r="CQ345" s="24">
        <v>7.3156680037472874E-2</v>
      </c>
      <c r="CR345" s="24" t="str">
        <f>"0"</f>
        <v>0</v>
      </c>
      <c r="CS345" t="str">
        <f ca="1">IF((OFFSET($A$1, 345 - 1, 95 - 1)) &gt;= (OFFSET($A$1, 54 - 1, 7 - 1)), "1","0")</f>
        <v>0</v>
      </c>
      <c r="CT345">
        <f ca="1" xml:space="preserve"> IF( AND( OFFSET($A$1, 345 - 1, 96 - 1) = "1", OFFSET($A$1, 345 - 1, 97 - 1) = "1" ), 1, IF( AND( OFFSET($A$1, 345 - 1, 96 - 1) = "1", OFFSET($A$1, 345 - 1, 97 - 1) = "0" ), 2, IF( AND( OFFSET($A$1, 345 - 1, 96 - 1) = "0", OFFSET($A$1, 345 - 1, 97 - 1) = "1" ), 3, 4 ) ) )</f>
        <v>4</v>
      </c>
      <c r="CV345" s="24">
        <v>0.99538715627839303</v>
      </c>
      <c r="CW345" s="24" t="str">
        <f>"1"</f>
        <v>1</v>
      </c>
      <c r="CX345" t="str">
        <f ca="1">IF((OFFSET($A$1, 345 - 1, 100 - 1)) &gt;= (OFFSET($A$1, 78 - 1, 7 - 1)), "1","0")</f>
        <v>1</v>
      </c>
      <c r="CY345">
        <f ca="1" xml:space="preserve"> IF( AND( OFFSET($A$1, 345 - 1, 101 - 1) = "1", OFFSET($A$1, 345 - 1, 102 - 1) = "1" ), 1, IF( AND( OFFSET($A$1, 345 - 1, 101 - 1) = "1", OFFSET($A$1, 345 - 1, 102 - 1) = "0" ), 2, IF( AND( OFFSET($A$1, 345 - 1, 101 - 1) = "0", OFFSET($A$1, 345 - 1, 102 - 1) = "1" ), 3, 4 ) ) )</f>
        <v>1</v>
      </c>
    </row>
    <row r="346" spans="95:103" ht="13.8" x14ac:dyDescent="0.3">
      <c r="CQ346" s="24">
        <v>0.87119002626320396</v>
      </c>
      <c r="CR346" s="24" t="str">
        <f>"1"</f>
        <v>1</v>
      </c>
      <c r="CS346" t="str">
        <f ca="1">IF((OFFSET($A$1, 346 - 1, 95 - 1)) &gt;= (OFFSET($A$1, 54 - 1, 7 - 1)), "1","0")</f>
        <v>1</v>
      </c>
      <c r="CT346">
        <f ca="1" xml:space="preserve"> IF( AND( OFFSET($A$1, 346 - 1, 96 - 1) = "1", OFFSET($A$1, 346 - 1, 97 - 1) = "1" ), 1, IF( AND( OFFSET($A$1, 346 - 1, 96 - 1) = "1", OFFSET($A$1, 346 - 1, 97 - 1) = "0" ), 2, IF( AND( OFFSET($A$1, 346 - 1, 96 - 1) = "0", OFFSET($A$1, 346 - 1, 97 - 1) = "1" ), 3, 4 ) ) )</f>
        <v>1</v>
      </c>
      <c r="CV346" s="24">
        <v>0.47208240977005933</v>
      </c>
      <c r="CW346" s="24" t="str">
        <f>"1"</f>
        <v>1</v>
      </c>
      <c r="CX346" t="str">
        <f ca="1">IF((OFFSET($A$1, 346 - 1, 100 - 1)) &gt;= (OFFSET($A$1, 78 - 1, 7 - 1)), "1","0")</f>
        <v>0</v>
      </c>
      <c r="CY346">
        <f ca="1" xml:space="preserve"> IF( AND( OFFSET($A$1, 346 - 1, 101 - 1) = "1", OFFSET($A$1, 346 - 1, 102 - 1) = "1" ), 1, IF( AND( OFFSET($A$1, 346 - 1, 101 - 1) = "1", OFFSET($A$1, 346 - 1, 102 - 1) = "0" ), 2, IF( AND( OFFSET($A$1, 346 - 1, 101 - 1) = "0", OFFSET($A$1, 346 - 1, 102 - 1) = "1" ), 3, 4 ) ) )</f>
        <v>2</v>
      </c>
    </row>
    <row r="347" spans="95:103" ht="13.8" x14ac:dyDescent="0.3">
      <c r="CQ347" s="24">
        <v>0.99983585661253926</v>
      </c>
      <c r="CR347" s="24" t="str">
        <f>"1"</f>
        <v>1</v>
      </c>
      <c r="CS347" t="str">
        <f ca="1">IF((OFFSET($A$1, 347 - 1, 95 - 1)) &gt;= (OFFSET($A$1, 54 - 1, 7 - 1)), "1","0")</f>
        <v>1</v>
      </c>
      <c r="CT347">
        <f ca="1" xml:space="preserve"> IF( AND( OFFSET($A$1, 347 - 1, 96 - 1) = "1", OFFSET($A$1, 347 - 1, 97 - 1) = "1" ), 1, IF( AND( OFFSET($A$1, 347 - 1, 96 - 1) = "1", OFFSET($A$1, 347 - 1, 97 - 1) = "0" ), 2, IF( AND( OFFSET($A$1, 347 - 1, 96 - 1) = "0", OFFSET($A$1, 347 - 1, 97 - 1) = "1" ), 3, 4 ) ) )</f>
        <v>1</v>
      </c>
      <c r="CV347" s="24">
        <v>0.99529571820321006</v>
      </c>
      <c r="CW347" s="24" t="str">
        <f>"1"</f>
        <v>1</v>
      </c>
      <c r="CX347" t="str">
        <f ca="1">IF((OFFSET($A$1, 347 - 1, 100 - 1)) &gt;= (OFFSET($A$1, 78 - 1, 7 - 1)), "1","0")</f>
        <v>1</v>
      </c>
      <c r="CY347">
        <f ca="1" xml:space="preserve"> IF( AND( OFFSET($A$1, 347 - 1, 101 - 1) = "1", OFFSET($A$1, 347 - 1, 102 - 1) = "1" ), 1, IF( AND( OFFSET($A$1, 347 - 1, 101 - 1) = "1", OFFSET($A$1, 347 - 1, 102 - 1) = "0" ), 2, IF( AND( OFFSET($A$1, 347 - 1, 101 - 1) = "0", OFFSET($A$1, 347 - 1, 102 - 1) = "1" ), 3, 4 ) ) )</f>
        <v>1</v>
      </c>
    </row>
    <row r="348" spans="95:103" ht="13.8" x14ac:dyDescent="0.3">
      <c r="CQ348" s="24">
        <v>9.2737923629510208E-2</v>
      </c>
      <c r="CR348" s="24" t="str">
        <f>"0"</f>
        <v>0</v>
      </c>
      <c r="CS348" t="str">
        <f ca="1">IF((OFFSET($A$1, 348 - 1, 95 - 1)) &gt;= (OFFSET($A$1, 54 - 1, 7 - 1)), "1","0")</f>
        <v>0</v>
      </c>
      <c r="CT348">
        <f ca="1" xml:space="preserve"> IF( AND( OFFSET($A$1, 348 - 1, 96 - 1) = "1", OFFSET($A$1, 348 - 1, 97 - 1) = "1" ), 1, IF( AND( OFFSET($A$1, 348 - 1, 96 - 1) = "1", OFFSET($A$1, 348 - 1, 97 - 1) = "0" ), 2, IF( AND( OFFSET($A$1, 348 - 1, 96 - 1) = "0", OFFSET($A$1, 348 - 1, 97 - 1) = "1" ), 3, 4 ) ) )</f>
        <v>4</v>
      </c>
      <c r="CV348" s="24">
        <v>0.35646888481117917</v>
      </c>
      <c r="CW348" s="24" t="str">
        <f>"0"</f>
        <v>0</v>
      </c>
      <c r="CX348" t="str">
        <f ca="1">IF((OFFSET($A$1, 348 - 1, 100 - 1)) &gt;= (OFFSET($A$1, 78 - 1, 7 - 1)), "1","0")</f>
        <v>0</v>
      </c>
      <c r="CY348">
        <f ca="1" xml:space="preserve"> IF( AND( OFFSET($A$1, 348 - 1, 101 - 1) = "1", OFFSET($A$1, 348 - 1, 102 - 1) = "1" ), 1, IF( AND( OFFSET($A$1, 348 - 1, 101 - 1) = "1", OFFSET($A$1, 348 - 1, 102 - 1) = "0" ), 2, IF( AND( OFFSET($A$1, 348 - 1, 101 - 1) = "0", OFFSET($A$1, 348 - 1, 102 - 1) = "1" ), 3, 4 ) ) )</f>
        <v>4</v>
      </c>
    </row>
    <row r="349" spans="95:103" ht="13.8" x14ac:dyDescent="0.3">
      <c r="CQ349" s="24">
        <v>0.82458118350382958</v>
      </c>
      <c r="CR349" s="24" t="str">
        <f t="shared" ref="CR349:CR358" si="26">"1"</f>
        <v>1</v>
      </c>
      <c r="CS349" t="str">
        <f ca="1">IF((OFFSET($A$1, 349 - 1, 95 - 1)) &gt;= (OFFSET($A$1, 54 - 1, 7 - 1)), "1","0")</f>
        <v>1</v>
      </c>
      <c r="CT349">
        <f ca="1" xml:space="preserve"> IF( AND( OFFSET($A$1, 349 - 1, 96 - 1) = "1", OFFSET($A$1, 349 - 1, 97 - 1) = "1" ), 1, IF( AND( OFFSET($A$1, 349 - 1, 96 - 1) = "1", OFFSET($A$1, 349 - 1, 97 - 1) = "0" ), 2, IF( AND( OFFSET($A$1, 349 - 1, 96 - 1) = "0", OFFSET($A$1, 349 - 1, 97 - 1) = "1" ), 3, 4 ) ) )</f>
        <v>1</v>
      </c>
      <c r="CV349" s="24">
        <v>0.99977469115656925</v>
      </c>
      <c r="CW349" s="24" t="str">
        <f t="shared" ref="CW349:CW355" si="27">"1"</f>
        <v>1</v>
      </c>
      <c r="CX349" t="str">
        <f ca="1">IF((OFFSET($A$1, 349 - 1, 100 - 1)) &gt;= (OFFSET($A$1, 78 - 1, 7 - 1)), "1","0")</f>
        <v>1</v>
      </c>
      <c r="CY349">
        <f ca="1" xml:space="preserve"> IF( AND( OFFSET($A$1, 349 - 1, 101 - 1) = "1", OFFSET($A$1, 349 - 1, 102 - 1) = "1" ), 1, IF( AND( OFFSET($A$1, 349 - 1, 101 - 1) = "1", OFFSET($A$1, 349 - 1, 102 - 1) = "0" ), 2, IF( AND( OFFSET($A$1, 349 - 1, 101 - 1) = "0", OFFSET($A$1, 349 - 1, 102 - 1) = "1" ), 3, 4 ) ) )</f>
        <v>1</v>
      </c>
    </row>
    <row r="350" spans="95:103" ht="13.8" x14ac:dyDescent="0.3">
      <c r="CQ350" s="24">
        <v>0.85445684875520878</v>
      </c>
      <c r="CR350" s="24" t="str">
        <f t="shared" si="26"/>
        <v>1</v>
      </c>
      <c r="CS350" t="str">
        <f ca="1">IF((OFFSET($A$1, 350 - 1, 95 - 1)) &gt;= (OFFSET($A$1, 54 - 1, 7 - 1)), "1","0")</f>
        <v>1</v>
      </c>
      <c r="CT350">
        <f ca="1" xml:space="preserve"> IF( AND( OFFSET($A$1, 350 - 1, 96 - 1) = "1", OFFSET($A$1, 350 - 1, 97 - 1) = "1" ), 1, IF( AND( OFFSET($A$1, 350 - 1, 96 - 1) = "1", OFFSET($A$1, 350 - 1, 97 - 1) = "0" ), 2, IF( AND( OFFSET($A$1, 350 - 1, 96 - 1) = "0", OFFSET($A$1, 350 - 1, 97 - 1) = "1" ), 3, 4 ) ) )</f>
        <v>1</v>
      </c>
      <c r="CV350" s="24">
        <v>0.55758076241755716</v>
      </c>
      <c r="CW350" s="24" t="str">
        <f t="shared" si="27"/>
        <v>1</v>
      </c>
      <c r="CX350" t="str">
        <f ca="1">IF((OFFSET($A$1, 350 - 1, 100 - 1)) &gt;= (OFFSET($A$1, 78 - 1, 7 - 1)), "1","0")</f>
        <v>1</v>
      </c>
      <c r="CY350">
        <f ca="1" xml:space="preserve"> IF( AND( OFFSET($A$1, 350 - 1, 101 - 1) = "1", OFFSET($A$1, 350 - 1, 102 - 1) = "1" ), 1, IF( AND( OFFSET($A$1, 350 - 1, 101 - 1) = "1", OFFSET($A$1, 350 - 1, 102 - 1) = "0" ), 2, IF( AND( OFFSET($A$1, 350 - 1, 101 - 1) = "0", OFFSET($A$1, 350 - 1, 102 - 1) = "1" ), 3, 4 ) ) )</f>
        <v>1</v>
      </c>
    </row>
    <row r="351" spans="95:103" ht="13.8" x14ac:dyDescent="0.3">
      <c r="CQ351" s="24">
        <v>0.84872983620149522</v>
      </c>
      <c r="CR351" s="24" t="str">
        <f t="shared" si="26"/>
        <v>1</v>
      </c>
      <c r="CS351" t="str">
        <f ca="1">IF((OFFSET($A$1, 351 - 1, 95 - 1)) &gt;= (OFFSET($A$1, 54 - 1, 7 - 1)), "1","0")</f>
        <v>1</v>
      </c>
      <c r="CT351">
        <f ca="1" xml:space="preserve"> IF( AND( OFFSET($A$1, 351 - 1, 96 - 1) = "1", OFFSET($A$1, 351 - 1, 97 - 1) = "1" ), 1, IF( AND( OFFSET($A$1, 351 - 1, 96 - 1) = "1", OFFSET($A$1, 351 - 1, 97 - 1) = "0" ), 2, IF( AND( OFFSET($A$1, 351 - 1, 96 - 1) = "0", OFFSET($A$1, 351 - 1, 97 - 1) = "1" ), 3, 4 ) ) )</f>
        <v>1</v>
      </c>
      <c r="CV351" s="24">
        <v>0.97142456751328199</v>
      </c>
      <c r="CW351" s="24" t="str">
        <f t="shared" si="27"/>
        <v>1</v>
      </c>
      <c r="CX351" t="str">
        <f ca="1">IF((OFFSET($A$1, 351 - 1, 100 - 1)) &gt;= (OFFSET($A$1, 78 - 1, 7 - 1)), "1","0")</f>
        <v>1</v>
      </c>
      <c r="CY351">
        <f ca="1" xml:space="preserve"> IF( AND( OFFSET($A$1, 351 - 1, 101 - 1) = "1", OFFSET($A$1, 351 - 1, 102 - 1) = "1" ), 1, IF( AND( OFFSET($A$1, 351 - 1, 101 - 1) = "1", OFFSET($A$1, 351 - 1, 102 - 1) = "0" ), 2, IF( AND( OFFSET($A$1, 351 - 1, 101 - 1) = "0", OFFSET($A$1, 351 - 1, 102 - 1) = "1" ), 3, 4 ) ) )</f>
        <v>1</v>
      </c>
    </row>
    <row r="352" spans="95:103" ht="13.8" x14ac:dyDescent="0.3">
      <c r="CQ352" s="24">
        <v>0.93829713544595927</v>
      </c>
      <c r="CR352" s="24" t="str">
        <f t="shared" si="26"/>
        <v>1</v>
      </c>
      <c r="CS352" t="str">
        <f ca="1">IF((OFFSET($A$1, 352 - 1, 95 - 1)) &gt;= (OFFSET($A$1, 54 - 1, 7 - 1)), "1","0")</f>
        <v>1</v>
      </c>
      <c r="CT352">
        <f ca="1" xml:space="preserve"> IF( AND( OFFSET($A$1, 352 - 1, 96 - 1) = "1", OFFSET($A$1, 352 - 1, 97 - 1) = "1" ), 1, IF( AND( OFFSET($A$1, 352 - 1, 96 - 1) = "1", OFFSET($A$1, 352 - 1, 97 - 1) = "0" ), 2, IF( AND( OFFSET($A$1, 352 - 1, 96 - 1) = "0", OFFSET($A$1, 352 - 1, 97 - 1) = "1" ), 3, 4 ) ) )</f>
        <v>1</v>
      </c>
      <c r="CV352" s="24">
        <v>0.99926634391140279</v>
      </c>
      <c r="CW352" s="24" t="str">
        <f t="shared" si="27"/>
        <v>1</v>
      </c>
      <c r="CX352" t="str">
        <f ca="1">IF((OFFSET($A$1, 352 - 1, 100 - 1)) &gt;= (OFFSET($A$1, 78 - 1, 7 - 1)), "1","0")</f>
        <v>1</v>
      </c>
      <c r="CY352">
        <f ca="1" xml:space="preserve"> IF( AND( OFFSET($A$1, 352 - 1, 101 - 1) = "1", OFFSET($A$1, 352 - 1, 102 - 1) = "1" ), 1, IF( AND( OFFSET($A$1, 352 - 1, 101 - 1) = "1", OFFSET($A$1, 352 - 1, 102 - 1) = "0" ), 2, IF( AND( OFFSET($A$1, 352 - 1, 101 - 1) = "0", OFFSET($A$1, 352 - 1, 102 - 1) = "1" ), 3, 4 ) ) )</f>
        <v>1</v>
      </c>
    </row>
    <row r="353" spans="95:103" ht="13.8" x14ac:dyDescent="0.3">
      <c r="CQ353" s="24">
        <v>0.85830317257399347</v>
      </c>
      <c r="CR353" s="24" t="str">
        <f t="shared" si="26"/>
        <v>1</v>
      </c>
      <c r="CS353" t="str">
        <f ca="1">IF((OFFSET($A$1, 353 - 1, 95 - 1)) &gt;= (OFFSET($A$1, 54 - 1, 7 - 1)), "1","0")</f>
        <v>1</v>
      </c>
      <c r="CT353">
        <f ca="1" xml:space="preserve"> IF( AND( OFFSET($A$1, 353 - 1, 96 - 1) = "1", OFFSET($A$1, 353 - 1, 97 - 1) = "1" ), 1, IF( AND( OFFSET($A$1, 353 - 1, 96 - 1) = "1", OFFSET($A$1, 353 - 1, 97 - 1) = "0" ), 2, IF( AND( OFFSET($A$1, 353 - 1, 96 - 1) = "0", OFFSET($A$1, 353 - 1, 97 - 1) = "1" ), 3, 4 ) ) )</f>
        <v>1</v>
      </c>
      <c r="CV353" s="24">
        <v>0.50724121020590252</v>
      </c>
      <c r="CW353" s="24" t="str">
        <f t="shared" si="27"/>
        <v>1</v>
      </c>
      <c r="CX353" t="str">
        <f ca="1">IF((OFFSET($A$1, 353 - 1, 100 - 1)) &gt;= (OFFSET($A$1, 78 - 1, 7 - 1)), "1","0")</f>
        <v>1</v>
      </c>
      <c r="CY353">
        <f ca="1" xml:space="preserve"> IF( AND( OFFSET($A$1, 353 - 1, 101 - 1) = "1", OFFSET($A$1, 353 - 1, 102 - 1) = "1" ), 1, IF( AND( OFFSET($A$1, 353 - 1, 101 - 1) = "1", OFFSET($A$1, 353 - 1, 102 - 1) = "0" ), 2, IF( AND( OFFSET($A$1, 353 - 1, 101 - 1) = "0", OFFSET($A$1, 353 - 1, 102 - 1) = "1" ), 3, 4 ) ) )</f>
        <v>1</v>
      </c>
    </row>
    <row r="354" spans="95:103" ht="13.8" x14ac:dyDescent="0.3">
      <c r="CQ354" s="24">
        <v>0.88035702449246822</v>
      </c>
      <c r="CR354" s="24" t="str">
        <f t="shared" si="26"/>
        <v>1</v>
      </c>
      <c r="CS354" t="str">
        <f ca="1">IF((OFFSET($A$1, 354 - 1, 95 - 1)) &gt;= (OFFSET($A$1, 54 - 1, 7 - 1)), "1","0")</f>
        <v>1</v>
      </c>
      <c r="CT354">
        <f ca="1" xml:space="preserve"> IF( AND( OFFSET($A$1, 354 - 1, 96 - 1) = "1", OFFSET($A$1, 354 - 1, 97 - 1) = "1" ), 1, IF( AND( OFFSET($A$1, 354 - 1, 96 - 1) = "1", OFFSET($A$1, 354 - 1, 97 - 1) = "0" ), 2, IF( AND( OFFSET($A$1, 354 - 1, 96 - 1) = "0", OFFSET($A$1, 354 - 1, 97 - 1) = "1" ), 3, 4 ) ) )</f>
        <v>1</v>
      </c>
      <c r="CV354" s="24">
        <v>0.99147438879034877</v>
      </c>
      <c r="CW354" s="24" t="str">
        <f t="shared" si="27"/>
        <v>1</v>
      </c>
      <c r="CX354" t="str">
        <f ca="1">IF((OFFSET($A$1, 354 - 1, 100 - 1)) &gt;= (OFFSET($A$1, 78 - 1, 7 - 1)), "1","0")</f>
        <v>1</v>
      </c>
      <c r="CY354">
        <f ca="1" xml:space="preserve"> IF( AND( OFFSET($A$1, 354 - 1, 101 - 1) = "1", OFFSET($A$1, 354 - 1, 102 - 1) = "1" ), 1, IF( AND( OFFSET($A$1, 354 - 1, 101 - 1) = "1", OFFSET($A$1, 354 - 1, 102 - 1) = "0" ), 2, IF( AND( OFFSET($A$1, 354 - 1, 101 - 1) = "0", OFFSET($A$1, 354 - 1, 102 - 1) = "1" ), 3, 4 ) ) )</f>
        <v>1</v>
      </c>
    </row>
    <row r="355" spans="95:103" ht="13.8" x14ac:dyDescent="0.3">
      <c r="CQ355" s="24">
        <v>0.89147645722504576</v>
      </c>
      <c r="CR355" s="24" t="str">
        <f t="shared" si="26"/>
        <v>1</v>
      </c>
      <c r="CS355" t="str">
        <f ca="1">IF((OFFSET($A$1, 355 - 1, 95 - 1)) &gt;= (OFFSET($A$1, 54 - 1, 7 - 1)), "1","0")</f>
        <v>1</v>
      </c>
      <c r="CT355">
        <f ca="1" xml:space="preserve"> IF( AND( OFFSET($A$1, 355 - 1, 96 - 1) = "1", OFFSET($A$1, 355 - 1, 97 - 1) = "1" ), 1, IF( AND( OFFSET($A$1, 355 - 1, 96 - 1) = "1", OFFSET($A$1, 355 - 1, 97 - 1) = "0" ), 2, IF( AND( OFFSET($A$1, 355 - 1, 96 - 1) = "0", OFFSET($A$1, 355 - 1, 97 - 1) = "1" ), 3, 4 ) ) )</f>
        <v>1</v>
      </c>
      <c r="CV355" s="24">
        <v>0.65722005929621397</v>
      </c>
      <c r="CW355" s="24" t="str">
        <f t="shared" si="27"/>
        <v>1</v>
      </c>
      <c r="CX355" t="str">
        <f ca="1">IF((OFFSET($A$1, 355 - 1, 100 - 1)) &gt;= (OFFSET($A$1, 78 - 1, 7 - 1)), "1","0")</f>
        <v>1</v>
      </c>
      <c r="CY355">
        <f ca="1" xml:space="preserve"> IF( AND( OFFSET($A$1, 355 - 1, 101 - 1) = "1", OFFSET($A$1, 355 - 1, 102 - 1) = "1" ), 1, IF( AND( OFFSET($A$1, 355 - 1, 101 - 1) = "1", OFFSET($A$1, 355 - 1, 102 - 1) = "0" ), 2, IF( AND( OFFSET($A$1, 355 - 1, 101 - 1) = "0", OFFSET($A$1, 355 - 1, 102 - 1) = "1" ), 3, 4 ) ) )</f>
        <v>1</v>
      </c>
    </row>
    <row r="356" spans="95:103" ht="13.8" x14ac:dyDescent="0.3">
      <c r="CQ356" s="24">
        <v>0.96401944760738467</v>
      </c>
      <c r="CR356" s="24" t="str">
        <f t="shared" si="26"/>
        <v>1</v>
      </c>
      <c r="CS356" t="str">
        <f ca="1">IF((OFFSET($A$1, 356 - 1, 95 - 1)) &gt;= (OFFSET($A$1, 54 - 1, 7 - 1)), "1","0")</f>
        <v>1</v>
      </c>
      <c r="CT356">
        <f ca="1" xml:space="preserve"> IF( AND( OFFSET($A$1, 356 - 1, 96 - 1) = "1", OFFSET($A$1, 356 - 1, 97 - 1) = "1" ), 1, IF( AND( OFFSET($A$1, 356 - 1, 96 - 1) = "1", OFFSET($A$1, 356 - 1, 97 - 1) = "0" ), 2, IF( AND( OFFSET($A$1, 356 - 1, 96 - 1) = "0", OFFSET($A$1, 356 - 1, 97 - 1) = "1" ), 3, 4 ) ) )</f>
        <v>1</v>
      </c>
      <c r="CV356" s="24">
        <v>0.93226712384949217</v>
      </c>
      <c r="CW356" s="24" t="str">
        <f>"0"</f>
        <v>0</v>
      </c>
      <c r="CX356" t="str">
        <f ca="1">IF((OFFSET($A$1, 356 - 1, 100 - 1)) &gt;= (OFFSET($A$1, 78 - 1, 7 - 1)), "1","0")</f>
        <v>1</v>
      </c>
      <c r="CY356">
        <f ca="1" xml:space="preserve"> IF( AND( OFFSET($A$1, 356 - 1, 101 - 1) = "1", OFFSET($A$1, 356 - 1, 102 - 1) = "1" ), 1, IF( AND( OFFSET($A$1, 356 - 1, 101 - 1) = "1", OFFSET($A$1, 356 - 1, 102 - 1) = "0" ), 2, IF( AND( OFFSET($A$1, 356 - 1, 101 - 1) = "0", OFFSET($A$1, 356 - 1, 102 - 1) = "1" ), 3, 4 ) ) )</f>
        <v>3</v>
      </c>
    </row>
    <row r="357" spans="95:103" ht="13.8" x14ac:dyDescent="0.3">
      <c r="CQ357" s="24">
        <v>0.97209349459067673</v>
      </c>
      <c r="CR357" s="24" t="str">
        <f t="shared" si="26"/>
        <v>1</v>
      </c>
      <c r="CS357" t="str">
        <f ca="1">IF((OFFSET($A$1, 357 - 1, 95 - 1)) &gt;= (OFFSET($A$1, 54 - 1, 7 - 1)), "1","0")</f>
        <v>1</v>
      </c>
      <c r="CT357">
        <f ca="1" xml:space="preserve"> IF( AND( OFFSET($A$1, 357 - 1, 96 - 1) = "1", OFFSET($A$1, 357 - 1, 97 - 1) = "1" ), 1, IF( AND( OFFSET($A$1, 357 - 1, 96 - 1) = "1", OFFSET($A$1, 357 - 1, 97 - 1) = "0" ), 2, IF( AND( OFFSET($A$1, 357 - 1, 96 - 1) = "0", OFFSET($A$1, 357 - 1, 97 - 1) = "1" ), 3, 4 ) ) )</f>
        <v>1</v>
      </c>
      <c r="CV357" s="24">
        <v>0.36717489519464785</v>
      </c>
      <c r="CW357" s="24" t="str">
        <f t="shared" ref="CW357:CW363" si="28">"1"</f>
        <v>1</v>
      </c>
      <c r="CX357" t="str">
        <f ca="1">IF((OFFSET($A$1, 357 - 1, 100 - 1)) &gt;= (OFFSET($A$1, 78 - 1, 7 - 1)), "1","0")</f>
        <v>0</v>
      </c>
      <c r="CY357">
        <f ca="1" xml:space="preserve"> IF( AND( OFFSET($A$1, 357 - 1, 101 - 1) = "1", OFFSET($A$1, 357 - 1, 102 - 1) = "1" ), 1, IF( AND( OFFSET($A$1, 357 - 1, 101 - 1) = "1", OFFSET($A$1, 357 - 1, 102 - 1) = "0" ), 2, IF( AND( OFFSET($A$1, 357 - 1, 101 - 1) = "0", OFFSET($A$1, 357 - 1, 102 - 1) = "1" ), 3, 4 ) ) )</f>
        <v>2</v>
      </c>
    </row>
    <row r="358" spans="95:103" ht="13.8" x14ac:dyDescent="0.3">
      <c r="CQ358" s="24">
        <v>0.95745956098441309</v>
      </c>
      <c r="CR358" s="24" t="str">
        <f t="shared" si="26"/>
        <v>1</v>
      </c>
      <c r="CS358" t="str">
        <f ca="1">IF((OFFSET($A$1, 358 - 1, 95 - 1)) &gt;= (OFFSET($A$1, 54 - 1, 7 - 1)), "1","0")</f>
        <v>1</v>
      </c>
      <c r="CT358">
        <f ca="1" xml:space="preserve"> IF( AND( OFFSET($A$1, 358 - 1, 96 - 1) = "1", OFFSET($A$1, 358 - 1, 97 - 1) = "1" ), 1, IF( AND( OFFSET($A$1, 358 - 1, 96 - 1) = "1", OFFSET($A$1, 358 - 1, 97 - 1) = "0" ), 2, IF( AND( OFFSET($A$1, 358 - 1, 96 - 1) = "0", OFFSET($A$1, 358 - 1, 97 - 1) = "1" ), 3, 4 ) ) )</f>
        <v>1</v>
      </c>
      <c r="CV358" s="24">
        <v>0.99886461996454179</v>
      </c>
      <c r="CW358" s="24" t="str">
        <f t="shared" si="28"/>
        <v>1</v>
      </c>
      <c r="CX358" t="str">
        <f ca="1">IF((OFFSET($A$1, 358 - 1, 100 - 1)) &gt;= (OFFSET($A$1, 78 - 1, 7 - 1)), "1","0")</f>
        <v>1</v>
      </c>
      <c r="CY358">
        <f ca="1" xml:space="preserve"> IF( AND( OFFSET($A$1, 358 - 1, 101 - 1) = "1", OFFSET($A$1, 358 - 1, 102 - 1) = "1" ), 1, IF( AND( OFFSET($A$1, 358 - 1, 101 - 1) = "1", OFFSET($A$1, 358 - 1, 102 - 1) = "0" ), 2, IF( AND( OFFSET($A$1, 358 - 1, 101 - 1) = "0", OFFSET($A$1, 358 - 1, 102 - 1) = "1" ), 3, 4 ) ) )</f>
        <v>1</v>
      </c>
    </row>
    <row r="359" spans="95:103" ht="13.8" x14ac:dyDescent="0.3">
      <c r="CQ359" s="24">
        <v>2.9126195518281203E-2</v>
      </c>
      <c r="CR359" s="24" t="str">
        <f>"0"</f>
        <v>0</v>
      </c>
      <c r="CS359" t="str">
        <f ca="1">IF((OFFSET($A$1, 359 - 1, 95 - 1)) &gt;= (OFFSET($A$1, 54 - 1, 7 - 1)), "1","0")</f>
        <v>0</v>
      </c>
      <c r="CT359">
        <f ca="1" xml:space="preserve"> IF( AND( OFFSET($A$1, 359 - 1, 96 - 1) = "1", OFFSET($A$1, 359 - 1, 97 - 1) = "1" ), 1, IF( AND( OFFSET($A$1, 359 - 1, 96 - 1) = "1", OFFSET($A$1, 359 - 1, 97 - 1) = "0" ), 2, IF( AND( OFFSET($A$1, 359 - 1, 96 - 1) = "0", OFFSET($A$1, 359 - 1, 97 - 1) = "1" ), 3, 4 ) ) )</f>
        <v>4</v>
      </c>
      <c r="CV359" s="24">
        <v>0.1038721231566755</v>
      </c>
      <c r="CW359" s="24" t="str">
        <f t="shared" si="28"/>
        <v>1</v>
      </c>
      <c r="CX359" t="str">
        <f ca="1">IF((OFFSET($A$1, 359 - 1, 100 - 1)) &gt;= (OFFSET($A$1, 78 - 1, 7 - 1)), "1","0")</f>
        <v>0</v>
      </c>
      <c r="CY359">
        <f ca="1" xml:space="preserve"> IF( AND( OFFSET($A$1, 359 - 1, 101 - 1) = "1", OFFSET($A$1, 359 - 1, 102 - 1) = "1" ), 1, IF( AND( OFFSET($A$1, 359 - 1, 101 - 1) = "1", OFFSET($A$1, 359 - 1, 102 - 1) = "0" ), 2, IF( AND( OFFSET($A$1, 359 - 1, 101 - 1) = "0", OFFSET($A$1, 359 - 1, 102 - 1) = "1" ), 3, 4 ) ) )</f>
        <v>2</v>
      </c>
    </row>
    <row r="360" spans="95:103" ht="13.8" x14ac:dyDescent="0.3">
      <c r="CQ360" s="24">
        <v>4.4741466340401374E-2</v>
      </c>
      <c r="CR360" s="24" t="str">
        <f>"0"</f>
        <v>0</v>
      </c>
      <c r="CS360" t="str">
        <f ca="1">IF((OFFSET($A$1, 360 - 1, 95 - 1)) &gt;= (OFFSET($A$1, 54 - 1, 7 - 1)), "1","0")</f>
        <v>0</v>
      </c>
      <c r="CT360">
        <f ca="1" xml:space="preserve"> IF( AND( OFFSET($A$1, 360 - 1, 96 - 1) = "1", OFFSET($A$1, 360 - 1, 97 - 1) = "1" ), 1, IF( AND( OFFSET($A$1, 360 - 1, 96 - 1) = "1", OFFSET($A$1, 360 - 1, 97 - 1) = "0" ), 2, IF( AND( OFFSET($A$1, 360 - 1, 96 - 1) = "0", OFFSET($A$1, 360 - 1, 97 - 1) = "1" ), 3, 4 ) ) )</f>
        <v>4</v>
      </c>
      <c r="CV360" s="24">
        <v>0.99136381753668679</v>
      </c>
      <c r="CW360" s="24" t="str">
        <f t="shared" si="28"/>
        <v>1</v>
      </c>
      <c r="CX360" t="str">
        <f ca="1">IF((OFFSET($A$1, 360 - 1, 100 - 1)) &gt;= (OFFSET($A$1, 78 - 1, 7 - 1)), "1","0")</f>
        <v>1</v>
      </c>
      <c r="CY360">
        <f ca="1" xml:space="preserve"> IF( AND( OFFSET($A$1, 360 - 1, 101 - 1) = "1", OFFSET($A$1, 360 - 1, 102 - 1) = "1" ), 1, IF( AND( OFFSET($A$1, 360 - 1, 101 - 1) = "1", OFFSET($A$1, 360 - 1, 102 - 1) = "0" ), 2, IF( AND( OFFSET($A$1, 360 - 1, 101 - 1) = "0", OFFSET($A$1, 360 - 1, 102 - 1) = "1" ), 3, 4 ) ) )</f>
        <v>1</v>
      </c>
    </row>
    <row r="361" spans="95:103" ht="13.8" x14ac:dyDescent="0.3">
      <c r="CQ361" s="24">
        <v>0.99896166601261904</v>
      </c>
      <c r="CR361" s="24" t="str">
        <f>"1"</f>
        <v>1</v>
      </c>
      <c r="CS361" t="str">
        <f ca="1">IF((OFFSET($A$1, 361 - 1, 95 - 1)) &gt;= (OFFSET($A$1, 54 - 1, 7 - 1)), "1","0")</f>
        <v>1</v>
      </c>
      <c r="CT361">
        <f ca="1" xml:space="preserve"> IF( AND( OFFSET($A$1, 361 - 1, 96 - 1) = "1", OFFSET($A$1, 361 - 1, 97 - 1) = "1" ), 1, IF( AND( OFFSET($A$1, 361 - 1, 96 - 1) = "1", OFFSET($A$1, 361 - 1, 97 - 1) = "0" ), 2, IF( AND( OFFSET($A$1, 361 - 1, 96 - 1) = "0", OFFSET($A$1, 361 - 1, 97 - 1) = "1" ), 3, 4 ) ) )</f>
        <v>1</v>
      </c>
      <c r="CV361" s="24">
        <v>0.98264580695399506</v>
      </c>
      <c r="CW361" s="24" t="str">
        <f t="shared" si="28"/>
        <v>1</v>
      </c>
      <c r="CX361" t="str">
        <f ca="1">IF((OFFSET($A$1, 361 - 1, 100 - 1)) &gt;= (OFFSET($A$1, 78 - 1, 7 - 1)), "1","0")</f>
        <v>1</v>
      </c>
      <c r="CY361">
        <f ca="1" xml:space="preserve"> IF( AND( OFFSET($A$1, 361 - 1, 101 - 1) = "1", OFFSET($A$1, 361 - 1, 102 - 1) = "1" ), 1, IF( AND( OFFSET($A$1, 361 - 1, 101 - 1) = "1", OFFSET($A$1, 361 - 1, 102 - 1) = "0" ), 2, IF( AND( OFFSET($A$1, 361 - 1, 101 - 1) = "0", OFFSET($A$1, 361 - 1, 102 - 1) = "1" ), 3, 4 ) ) )</f>
        <v>1</v>
      </c>
    </row>
    <row r="362" spans="95:103" ht="13.8" x14ac:dyDescent="0.3">
      <c r="CQ362" s="24">
        <v>0.99996051722844626</v>
      </c>
      <c r="CR362" s="24" t="str">
        <f>"1"</f>
        <v>1</v>
      </c>
      <c r="CS362" t="str">
        <f ca="1">IF((OFFSET($A$1, 362 - 1, 95 - 1)) &gt;= (OFFSET($A$1, 54 - 1, 7 - 1)), "1","0")</f>
        <v>1</v>
      </c>
      <c r="CT362">
        <f ca="1" xml:space="preserve"> IF( AND( OFFSET($A$1, 362 - 1, 96 - 1) = "1", OFFSET($A$1, 362 - 1, 97 - 1) = "1" ), 1, IF( AND( OFFSET($A$1, 362 - 1, 96 - 1) = "1", OFFSET($A$1, 362 - 1, 97 - 1) = "0" ), 2, IF( AND( OFFSET($A$1, 362 - 1, 96 - 1) = "0", OFFSET($A$1, 362 - 1, 97 - 1) = "1" ), 3, 4 ) ) )</f>
        <v>1</v>
      </c>
      <c r="CV362" s="24">
        <v>0.98755860508529969</v>
      </c>
      <c r="CW362" s="24" t="str">
        <f t="shared" si="28"/>
        <v>1</v>
      </c>
      <c r="CX362" t="str">
        <f ca="1">IF((OFFSET($A$1, 362 - 1, 100 - 1)) &gt;= (OFFSET($A$1, 78 - 1, 7 - 1)), "1","0")</f>
        <v>1</v>
      </c>
      <c r="CY362">
        <f ca="1" xml:space="preserve"> IF( AND( OFFSET($A$1, 362 - 1, 101 - 1) = "1", OFFSET($A$1, 362 - 1, 102 - 1) = "1" ), 1, IF( AND( OFFSET($A$1, 362 - 1, 101 - 1) = "1", OFFSET($A$1, 362 - 1, 102 - 1) = "0" ), 2, IF( AND( OFFSET($A$1, 362 - 1, 101 - 1) = "0", OFFSET($A$1, 362 - 1, 102 - 1) = "1" ), 3, 4 ) ) )</f>
        <v>1</v>
      </c>
    </row>
    <row r="363" spans="95:103" ht="13.8" x14ac:dyDescent="0.3">
      <c r="CQ363" s="24">
        <v>0.87869182389689271</v>
      </c>
      <c r="CR363" s="24" t="str">
        <f>"1"</f>
        <v>1</v>
      </c>
      <c r="CS363" t="str">
        <f ca="1">IF((OFFSET($A$1, 363 - 1, 95 - 1)) &gt;= (OFFSET($A$1, 54 - 1, 7 - 1)), "1","0")</f>
        <v>1</v>
      </c>
      <c r="CT363">
        <f ca="1" xml:space="preserve"> IF( AND( OFFSET($A$1, 363 - 1, 96 - 1) = "1", OFFSET($A$1, 363 - 1, 97 - 1) = "1" ), 1, IF( AND( OFFSET($A$1, 363 - 1, 96 - 1) = "1", OFFSET($A$1, 363 - 1, 97 - 1) = "0" ), 2, IF( AND( OFFSET($A$1, 363 - 1, 96 - 1) = "0", OFFSET($A$1, 363 - 1, 97 - 1) = "1" ), 3, 4 ) ) )</f>
        <v>1</v>
      </c>
      <c r="CV363" s="24">
        <v>0.52200113456759578</v>
      </c>
      <c r="CW363" s="24" t="str">
        <f t="shared" si="28"/>
        <v>1</v>
      </c>
      <c r="CX363" t="str">
        <f ca="1">IF((OFFSET($A$1, 363 - 1, 100 - 1)) &gt;= (OFFSET($A$1, 78 - 1, 7 - 1)), "1","0")</f>
        <v>1</v>
      </c>
      <c r="CY363">
        <f ca="1" xml:space="preserve"> IF( AND( OFFSET($A$1, 363 - 1, 101 - 1) = "1", OFFSET($A$1, 363 - 1, 102 - 1) = "1" ), 1, IF( AND( OFFSET($A$1, 363 - 1, 101 - 1) = "1", OFFSET($A$1, 363 - 1, 102 - 1) = "0" ), 2, IF( AND( OFFSET($A$1, 363 - 1, 101 - 1) = "0", OFFSET($A$1, 363 - 1, 102 - 1) = "1" ), 3, 4 ) ) )</f>
        <v>1</v>
      </c>
    </row>
    <row r="364" spans="95:103" ht="13.8" x14ac:dyDescent="0.3">
      <c r="CQ364" s="24">
        <v>6.2225098939184958E-2</v>
      </c>
      <c r="CR364" s="24" t="str">
        <f>"0"</f>
        <v>0</v>
      </c>
      <c r="CS364" t="str">
        <f ca="1">IF((OFFSET($A$1, 364 - 1, 95 - 1)) &gt;= (OFFSET($A$1, 54 - 1, 7 - 1)), "1","0")</f>
        <v>0</v>
      </c>
      <c r="CT364">
        <f ca="1" xml:space="preserve"> IF( AND( OFFSET($A$1, 364 - 1, 96 - 1) = "1", OFFSET($A$1, 364 - 1, 97 - 1) = "1" ), 1, IF( AND( OFFSET($A$1, 364 - 1, 96 - 1) = "1", OFFSET($A$1, 364 - 1, 97 - 1) = "0" ), 2, IF( AND( OFFSET($A$1, 364 - 1, 96 - 1) = "0", OFFSET($A$1, 364 - 1, 97 - 1) = "1" ), 3, 4 ) ) )</f>
        <v>4</v>
      </c>
      <c r="CV364" s="24">
        <v>3.8885929578982896E-2</v>
      </c>
      <c r="CW364" s="24" t="str">
        <f>"0"</f>
        <v>0</v>
      </c>
      <c r="CX364" t="str">
        <f ca="1">IF((OFFSET($A$1, 364 - 1, 100 - 1)) &gt;= (OFFSET($A$1, 78 - 1, 7 - 1)), "1","0")</f>
        <v>0</v>
      </c>
      <c r="CY364">
        <f ca="1" xml:space="preserve"> IF( AND( OFFSET($A$1, 364 - 1, 101 - 1) = "1", OFFSET($A$1, 364 - 1, 102 - 1) = "1" ), 1, IF( AND( OFFSET($A$1, 364 - 1, 101 - 1) = "1", OFFSET($A$1, 364 - 1, 102 - 1) = "0" ), 2, IF( AND( OFFSET($A$1, 364 - 1, 101 - 1) = "0", OFFSET($A$1, 364 - 1, 102 - 1) = "1" ), 3, 4 ) ) )</f>
        <v>4</v>
      </c>
    </row>
    <row r="365" spans="95:103" ht="13.8" x14ac:dyDescent="0.3">
      <c r="CQ365" s="24">
        <v>0.97946312078039965</v>
      </c>
      <c r="CR365" s="24" t="str">
        <f>"1"</f>
        <v>1</v>
      </c>
      <c r="CS365" t="str">
        <f ca="1">IF((OFFSET($A$1, 365 - 1, 95 - 1)) &gt;= (OFFSET($A$1, 54 - 1, 7 - 1)), "1","0")</f>
        <v>1</v>
      </c>
      <c r="CT365">
        <f ca="1" xml:space="preserve"> IF( AND( OFFSET($A$1, 365 - 1, 96 - 1) = "1", OFFSET($A$1, 365 - 1, 97 - 1) = "1" ), 1, IF( AND( OFFSET($A$1, 365 - 1, 96 - 1) = "1", OFFSET($A$1, 365 - 1, 97 - 1) = "0" ), 2, IF( AND( OFFSET($A$1, 365 - 1, 96 - 1) = "0", OFFSET($A$1, 365 - 1, 97 - 1) = "1" ), 3, 4 ) ) )</f>
        <v>1</v>
      </c>
      <c r="CV365" s="24">
        <v>0.20851398858871298</v>
      </c>
      <c r="CW365" s="24" t="str">
        <f t="shared" ref="CW365:CW371" si="29">"1"</f>
        <v>1</v>
      </c>
      <c r="CX365" t="str">
        <f ca="1">IF((OFFSET($A$1, 365 - 1, 100 - 1)) &gt;= (OFFSET($A$1, 78 - 1, 7 - 1)), "1","0")</f>
        <v>0</v>
      </c>
      <c r="CY365">
        <f ca="1" xml:space="preserve"> IF( AND( OFFSET($A$1, 365 - 1, 101 - 1) = "1", OFFSET($A$1, 365 - 1, 102 - 1) = "1" ), 1, IF( AND( OFFSET($A$1, 365 - 1, 101 - 1) = "1", OFFSET($A$1, 365 - 1, 102 - 1) = "0" ), 2, IF( AND( OFFSET($A$1, 365 - 1, 101 - 1) = "0", OFFSET($A$1, 365 - 1, 102 - 1) = "1" ), 3, 4 ) ) )</f>
        <v>2</v>
      </c>
    </row>
    <row r="366" spans="95:103" ht="13.8" x14ac:dyDescent="0.3">
      <c r="CQ366" s="24">
        <v>6.8059537249143806E-2</v>
      </c>
      <c r="CR366" s="24" t="str">
        <f>"0"</f>
        <v>0</v>
      </c>
      <c r="CS366" t="str">
        <f ca="1">IF((OFFSET($A$1, 366 - 1, 95 - 1)) &gt;= (OFFSET($A$1, 54 - 1, 7 - 1)), "1","0")</f>
        <v>0</v>
      </c>
      <c r="CT366">
        <f ca="1" xml:space="preserve"> IF( AND( OFFSET($A$1, 366 - 1, 96 - 1) = "1", OFFSET($A$1, 366 - 1, 97 - 1) = "1" ), 1, IF( AND( OFFSET($A$1, 366 - 1, 96 - 1) = "1", OFFSET($A$1, 366 - 1, 97 - 1) = "0" ), 2, IF( AND( OFFSET($A$1, 366 - 1, 96 - 1) = "0", OFFSET($A$1, 366 - 1, 97 - 1) = "1" ), 3, 4 ) ) )</f>
        <v>4</v>
      </c>
      <c r="CV366" s="24">
        <v>0.93012161609696498</v>
      </c>
      <c r="CW366" s="24" t="str">
        <f t="shared" si="29"/>
        <v>1</v>
      </c>
      <c r="CX366" t="str">
        <f ca="1">IF((OFFSET($A$1, 366 - 1, 100 - 1)) &gt;= (OFFSET($A$1, 78 - 1, 7 - 1)), "1","0")</f>
        <v>1</v>
      </c>
      <c r="CY366">
        <f ca="1" xml:space="preserve"> IF( AND( OFFSET($A$1, 366 - 1, 101 - 1) = "1", OFFSET($A$1, 366 - 1, 102 - 1) = "1" ), 1, IF( AND( OFFSET($A$1, 366 - 1, 101 - 1) = "1", OFFSET($A$1, 366 - 1, 102 - 1) = "0" ), 2, IF( AND( OFFSET($A$1, 366 - 1, 101 - 1) = "0", OFFSET($A$1, 366 - 1, 102 - 1) = "1" ), 3, 4 ) ) )</f>
        <v>1</v>
      </c>
    </row>
    <row r="367" spans="95:103" ht="13.8" x14ac:dyDescent="0.3">
      <c r="CQ367" s="24">
        <v>2.0187996200396536E-2</v>
      </c>
      <c r="CR367" s="24" t="str">
        <f>"0"</f>
        <v>0</v>
      </c>
      <c r="CS367" t="str">
        <f ca="1">IF((OFFSET($A$1, 367 - 1, 95 - 1)) &gt;= (OFFSET($A$1, 54 - 1, 7 - 1)), "1","0")</f>
        <v>0</v>
      </c>
      <c r="CT367">
        <f ca="1" xml:space="preserve"> IF( AND( OFFSET($A$1, 367 - 1, 96 - 1) = "1", OFFSET($A$1, 367 - 1, 97 - 1) = "1" ), 1, IF( AND( OFFSET($A$1, 367 - 1, 96 - 1) = "1", OFFSET($A$1, 367 - 1, 97 - 1) = "0" ), 2, IF( AND( OFFSET($A$1, 367 - 1, 96 - 1) = "0", OFFSET($A$1, 367 - 1, 97 - 1) = "1" ), 3, 4 ) ) )</f>
        <v>4</v>
      </c>
      <c r="CV367" s="24">
        <v>0.87140900588054981</v>
      </c>
      <c r="CW367" s="24" t="str">
        <f t="shared" si="29"/>
        <v>1</v>
      </c>
      <c r="CX367" t="str">
        <f ca="1">IF((OFFSET($A$1, 367 - 1, 100 - 1)) &gt;= (OFFSET($A$1, 78 - 1, 7 - 1)), "1","0")</f>
        <v>1</v>
      </c>
      <c r="CY367">
        <f ca="1" xml:space="preserve"> IF( AND( OFFSET($A$1, 367 - 1, 101 - 1) = "1", OFFSET($A$1, 367 - 1, 102 - 1) = "1" ), 1, IF( AND( OFFSET($A$1, 367 - 1, 101 - 1) = "1", OFFSET($A$1, 367 - 1, 102 - 1) = "0" ), 2, IF( AND( OFFSET($A$1, 367 - 1, 101 - 1) = "0", OFFSET($A$1, 367 - 1, 102 - 1) = "1" ), 3, 4 ) ) )</f>
        <v>1</v>
      </c>
    </row>
    <row r="368" spans="95:103" ht="13.8" x14ac:dyDescent="0.3">
      <c r="CQ368" s="24">
        <v>6.5171697356796857E-2</v>
      </c>
      <c r="CR368" s="24" t="str">
        <f>"0"</f>
        <v>0</v>
      </c>
      <c r="CS368" t="str">
        <f ca="1">IF((OFFSET($A$1, 368 - 1, 95 - 1)) &gt;= (OFFSET($A$1, 54 - 1, 7 - 1)), "1","0")</f>
        <v>0</v>
      </c>
      <c r="CT368">
        <f ca="1" xml:space="preserve"> IF( AND( OFFSET($A$1, 368 - 1, 96 - 1) = "1", OFFSET($A$1, 368 - 1, 97 - 1) = "1" ), 1, IF( AND( OFFSET($A$1, 368 - 1, 96 - 1) = "1", OFFSET($A$1, 368 - 1, 97 - 1) = "0" ), 2, IF( AND( OFFSET($A$1, 368 - 1, 96 - 1) = "0", OFFSET($A$1, 368 - 1, 97 - 1) = "1" ), 3, 4 ) ) )</f>
        <v>4</v>
      </c>
      <c r="CV368" s="24">
        <v>0.99947291080029843</v>
      </c>
      <c r="CW368" s="24" t="str">
        <f t="shared" si="29"/>
        <v>1</v>
      </c>
      <c r="CX368" t="str">
        <f ca="1">IF((OFFSET($A$1, 368 - 1, 100 - 1)) &gt;= (OFFSET($A$1, 78 - 1, 7 - 1)), "1","0")</f>
        <v>1</v>
      </c>
      <c r="CY368">
        <f ca="1" xml:space="preserve"> IF( AND( OFFSET($A$1, 368 - 1, 101 - 1) = "1", OFFSET($A$1, 368 - 1, 102 - 1) = "1" ), 1, IF( AND( OFFSET($A$1, 368 - 1, 101 - 1) = "1", OFFSET($A$1, 368 - 1, 102 - 1) = "0" ), 2, IF( AND( OFFSET($A$1, 368 - 1, 101 - 1) = "0", OFFSET($A$1, 368 - 1, 102 - 1) = "1" ), 3, 4 ) ) )</f>
        <v>1</v>
      </c>
    </row>
    <row r="369" spans="95:103" ht="13.8" x14ac:dyDescent="0.3">
      <c r="CQ369" s="24">
        <v>0.93908044325955464</v>
      </c>
      <c r="CR369" s="24" t="str">
        <f t="shared" ref="CR369:CR376" si="30">"1"</f>
        <v>1</v>
      </c>
      <c r="CS369" t="str">
        <f ca="1">IF((OFFSET($A$1, 369 - 1, 95 - 1)) &gt;= (OFFSET($A$1, 54 - 1, 7 - 1)), "1","0")</f>
        <v>1</v>
      </c>
      <c r="CT369">
        <f ca="1" xml:space="preserve"> IF( AND( OFFSET($A$1, 369 - 1, 96 - 1) = "1", OFFSET($A$1, 369 - 1, 97 - 1) = "1" ), 1, IF( AND( OFFSET($A$1, 369 - 1, 96 - 1) = "1", OFFSET($A$1, 369 - 1, 97 - 1) = "0" ), 2, IF( AND( OFFSET($A$1, 369 - 1, 96 - 1) = "0", OFFSET($A$1, 369 - 1, 97 - 1) = "1" ), 3, 4 ) ) )</f>
        <v>1</v>
      </c>
      <c r="CV369" s="24">
        <v>0.99890944576903362</v>
      </c>
      <c r="CW369" s="24" t="str">
        <f t="shared" si="29"/>
        <v>1</v>
      </c>
      <c r="CX369" t="str">
        <f ca="1">IF((OFFSET($A$1, 369 - 1, 100 - 1)) &gt;= (OFFSET($A$1, 78 - 1, 7 - 1)), "1","0")</f>
        <v>1</v>
      </c>
      <c r="CY369">
        <f ca="1" xml:space="preserve"> IF( AND( OFFSET($A$1, 369 - 1, 101 - 1) = "1", OFFSET($A$1, 369 - 1, 102 - 1) = "1" ), 1, IF( AND( OFFSET($A$1, 369 - 1, 101 - 1) = "1", OFFSET($A$1, 369 - 1, 102 - 1) = "0" ), 2, IF( AND( OFFSET($A$1, 369 - 1, 101 - 1) = "0", OFFSET($A$1, 369 - 1, 102 - 1) = "1" ), 3, 4 ) ) )</f>
        <v>1</v>
      </c>
    </row>
    <row r="370" spans="95:103" ht="13.8" x14ac:dyDescent="0.3">
      <c r="CQ370" s="24">
        <v>0.87545559997775624</v>
      </c>
      <c r="CR370" s="24" t="str">
        <f t="shared" si="30"/>
        <v>1</v>
      </c>
      <c r="CS370" t="str">
        <f ca="1">IF((OFFSET($A$1, 370 - 1, 95 - 1)) &gt;= (OFFSET($A$1, 54 - 1, 7 - 1)), "1","0")</f>
        <v>1</v>
      </c>
      <c r="CT370">
        <f ca="1" xml:space="preserve"> IF( AND( OFFSET($A$1, 370 - 1, 96 - 1) = "1", OFFSET($A$1, 370 - 1, 97 - 1) = "1" ), 1, IF( AND( OFFSET($A$1, 370 - 1, 96 - 1) = "1", OFFSET($A$1, 370 - 1, 97 - 1) = "0" ), 2, IF( AND( OFFSET($A$1, 370 - 1, 96 - 1) = "0", OFFSET($A$1, 370 - 1, 97 - 1) = "1" ), 3, 4 ) ) )</f>
        <v>1</v>
      </c>
      <c r="CV370" s="24">
        <v>0.81812060411459797</v>
      </c>
      <c r="CW370" s="24" t="str">
        <f t="shared" si="29"/>
        <v>1</v>
      </c>
      <c r="CX370" t="str">
        <f ca="1">IF((OFFSET($A$1, 370 - 1, 100 - 1)) &gt;= (OFFSET($A$1, 78 - 1, 7 - 1)), "1","0")</f>
        <v>1</v>
      </c>
      <c r="CY370">
        <f ca="1" xml:space="preserve"> IF( AND( OFFSET($A$1, 370 - 1, 101 - 1) = "1", OFFSET($A$1, 370 - 1, 102 - 1) = "1" ), 1, IF( AND( OFFSET($A$1, 370 - 1, 101 - 1) = "1", OFFSET($A$1, 370 - 1, 102 - 1) = "0" ), 2, IF( AND( OFFSET($A$1, 370 - 1, 101 - 1) = "0", OFFSET($A$1, 370 - 1, 102 - 1) = "1" ), 3, 4 ) ) )</f>
        <v>1</v>
      </c>
    </row>
    <row r="371" spans="95:103" ht="13.8" x14ac:dyDescent="0.3">
      <c r="CQ371" s="24">
        <v>0.92234967239598875</v>
      </c>
      <c r="CR371" s="24" t="str">
        <f t="shared" si="30"/>
        <v>1</v>
      </c>
      <c r="CS371" t="str">
        <f ca="1">IF((OFFSET($A$1, 371 - 1, 95 - 1)) &gt;= (OFFSET($A$1, 54 - 1, 7 - 1)), "1","0")</f>
        <v>1</v>
      </c>
      <c r="CT371">
        <f ca="1" xml:space="preserve"> IF( AND( OFFSET($A$1, 371 - 1, 96 - 1) = "1", OFFSET($A$1, 371 - 1, 97 - 1) = "1" ), 1, IF( AND( OFFSET($A$1, 371 - 1, 96 - 1) = "1", OFFSET($A$1, 371 - 1, 97 - 1) = "0" ), 2, IF( AND( OFFSET($A$1, 371 - 1, 96 - 1) = "0", OFFSET($A$1, 371 - 1, 97 - 1) = "1" ), 3, 4 ) ) )</f>
        <v>1</v>
      </c>
      <c r="CV371" s="24">
        <v>0.92543760764632688</v>
      </c>
      <c r="CW371" s="24" t="str">
        <f t="shared" si="29"/>
        <v>1</v>
      </c>
      <c r="CX371" t="str">
        <f ca="1">IF((OFFSET($A$1, 371 - 1, 100 - 1)) &gt;= (OFFSET($A$1, 78 - 1, 7 - 1)), "1","0")</f>
        <v>1</v>
      </c>
      <c r="CY371">
        <f ca="1" xml:space="preserve"> IF( AND( OFFSET($A$1, 371 - 1, 101 - 1) = "1", OFFSET($A$1, 371 - 1, 102 - 1) = "1" ), 1, IF( AND( OFFSET($A$1, 371 - 1, 101 - 1) = "1", OFFSET($A$1, 371 - 1, 102 - 1) = "0" ), 2, IF( AND( OFFSET($A$1, 371 - 1, 101 - 1) = "0", OFFSET($A$1, 371 - 1, 102 - 1) = "1" ), 3, 4 ) ) )</f>
        <v>1</v>
      </c>
    </row>
    <row r="372" spans="95:103" ht="13.8" x14ac:dyDescent="0.3">
      <c r="CQ372" s="24">
        <v>0.99803372851183381</v>
      </c>
      <c r="CR372" s="24" t="str">
        <f t="shared" si="30"/>
        <v>1</v>
      </c>
      <c r="CS372" t="str">
        <f ca="1">IF((OFFSET($A$1, 372 - 1, 95 - 1)) &gt;= (OFFSET($A$1, 54 - 1, 7 - 1)), "1","0")</f>
        <v>1</v>
      </c>
      <c r="CT372">
        <f ca="1" xml:space="preserve"> IF( AND( OFFSET($A$1, 372 - 1, 96 - 1) = "1", OFFSET($A$1, 372 - 1, 97 - 1) = "1" ), 1, IF( AND( OFFSET($A$1, 372 - 1, 96 - 1) = "1", OFFSET($A$1, 372 - 1, 97 - 1) = "0" ), 2, IF( AND( OFFSET($A$1, 372 - 1, 96 - 1) = "0", OFFSET($A$1, 372 - 1, 97 - 1) = "1" ), 3, 4 ) ) )</f>
        <v>1</v>
      </c>
      <c r="CV372" s="24">
        <v>0.34006927843724405</v>
      </c>
      <c r="CW372" s="24" t="str">
        <f>"0"</f>
        <v>0</v>
      </c>
      <c r="CX372" t="str">
        <f ca="1">IF((OFFSET($A$1, 372 - 1, 100 - 1)) &gt;= (OFFSET($A$1, 78 - 1, 7 - 1)), "1","0")</f>
        <v>0</v>
      </c>
      <c r="CY372">
        <f ca="1" xml:space="preserve"> IF( AND( OFFSET($A$1, 372 - 1, 101 - 1) = "1", OFFSET($A$1, 372 - 1, 102 - 1) = "1" ), 1, IF( AND( OFFSET($A$1, 372 - 1, 101 - 1) = "1", OFFSET($A$1, 372 - 1, 102 - 1) = "0" ), 2, IF( AND( OFFSET($A$1, 372 - 1, 101 - 1) = "0", OFFSET($A$1, 372 - 1, 102 - 1) = "1" ), 3, 4 ) ) )</f>
        <v>4</v>
      </c>
    </row>
    <row r="373" spans="95:103" ht="13.8" x14ac:dyDescent="0.3">
      <c r="CQ373" s="24">
        <v>0.88003391488520599</v>
      </c>
      <c r="CR373" s="24" t="str">
        <f t="shared" si="30"/>
        <v>1</v>
      </c>
      <c r="CS373" t="str">
        <f ca="1">IF((OFFSET($A$1, 373 - 1, 95 - 1)) &gt;= (OFFSET($A$1, 54 - 1, 7 - 1)), "1","0")</f>
        <v>1</v>
      </c>
      <c r="CT373">
        <f ca="1" xml:space="preserve"> IF( AND( OFFSET($A$1, 373 - 1, 96 - 1) = "1", OFFSET($A$1, 373 - 1, 97 - 1) = "1" ), 1, IF( AND( OFFSET($A$1, 373 - 1, 96 - 1) = "1", OFFSET($A$1, 373 - 1, 97 - 1) = "0" ), 2, IF( AND( OFFSET($A$1, 373 - 1, 96 - 1) = "0", OFFSET($A$1, 373 - 1, 97 - 1) = "1" ), 3, 4 ) ) )</f>
        <v>1</v>
      </c>
      <c r="CV373" s="24">
        <v>0.96781822124250172</v>
      </c>
      <c r="CW373" s="24" t="str">
        <f>"0"</f>
        <v>0</v>
      </c>
      <c r="CX373" t="str">
        <f ca="1">IF((OFFSET($A$1, 373 - 1, 100 - 1)) &gt;= (OFFSET($A$1, 78 - 1, 7 - 1)), "1","0")</f>
        <v>1</v>
      </c>
      <c r="CY373">
        <f ca="1" xml:space="preserve"> IF( AND( OFFSET($A$1, 373 - 1, 101 - 1) = "1", OFFSET($A$1, 373 - 1, 102 - 1) = "1" ), 1, IF( AND( OFFSET($A$1, 373 - 1, 101 - 1) = "1", OFFSET($A$1, 373 - 1, 102 - 1) = "0" ), 2, IF( AND( OFFSET($A$1, 373 - 1, 101 - 1) = "0", OFFSET($A$1, 373 - 1, 102 - 1) = "1" ), 3, 4 ) ) )</f>
        <v>3</v>
      </c>
    </row>
    <row r="374" spans="95:103" ht="13.8" x14ac:dyDescent="0.3">
      <c r="CQ374" s="24">
        <v>0.84131105504715742</v>
      </c>
      <c r="CR374" s="24" t="str">
        <f t="shared" si="30"/>
        <v>1</v>
      </c>
      <c r="CS374" t="str">
        <f ca="1">IF((OFFSET($A$1, 374 - 1, 95 - 1)) &gt;= (OFFSET($A$1, 54 - 1, 7 - 1)), "1","0")</f>
        <v>1</v>
      </c>
      <c r="CT374">
        <f ca="1" xml:space="preserve"> IF( AND( OFFSET($A$1, 374 - 1, 96 - 1) = "1", OFFSET($A$1, 374 - 1, 97 - 1) = "1" ), 1, IF( AND( OFFSET($A$1, 374 - 1, 96 - 1) = "1", OFFSET($A$1, 374 - 1, 97 - 1) = "0" ), 2, IF( AND( OFFSET($A$1, 374 - 1, 96 - 1) = "0", OFFSET($A$1, 374 - 1, 97 - 1) = "1" ), 3, 4 ) ) )</f>
        <v>1</v>
      </c>
      <c r="CV374" s="24">
        <v>2.8478230550401484E-3</v>
      </c>
      <c r="CW374" s="24" t="str">
        <f>"0"</f>
        <v>0</v>
      </c>
      <c r="CX374" t="str">
        <f ca="1">IF((OFFSET($A$1, 374 - 1, 100 - 1)) &gt;= (OFFSET($A$1, 78 - 1, 7 - 1)), "1","0")</f>
        <v>0</v>
      </c>
      <c r="CY374">
        <f ca="1" xml:space="preserve"> IF( AND( OFFSET($A$1, 374 - 1, 101 - 1) = "1", OFFSET($A$1, 374 - 1, 102 - 1) = "1" ), 1, IF( AND( OFFSET($A$1, 374 - 1, 101 - 1) = "1", OFFSET($A$1, 374 - 1, 102 - 1) = "0" ), 2, IF( AND( OFFSET($A$1, 374 - 1, 101 - 1) = "0", OFFSET($A$1, 374 - 1, 102 - 1) = "1" ), 3, 4 ) ) )</f>
        <v>4</v>
      </c>
    </row>
    <row r="375" spans="95:103" ht="13.8" x14ac:dyDescent="0.3">
      <c r="CQ375" s="24">
        <v>0.99915114010846529</v>
      </c>
      <c r="CR375" s="24" t="str">
        <f t="shared" si="30"/>
        <v>1</v>
      </c>
      <c r="CS375" t="str">
        <f ca="1">IF((OFFSET($A$1, 375 - 1, 95 - 1)) &gt;= (OFFSET($A$1, 54 - 1, 7 - 1)), "1","0")</f>
        <v>1</v>
      </c>
      <c r="CT375">
        <f ca="1" xml:space="preserve"> IF( AND( OFFSET($A$1, 375 - 1, 96 - 1) = "1", OFFSET($A$1, 375 - 1, 97 - 1) = "1" ), 1, IF( AND( OFFSET($A$1, 375 - 1, 96 - 1) = "1", OFFSET($A$1, 375 - 1, 97 - 1) = "0" ), 2, IF( AND( OFFSET($A$1, 375 - 1, 96 - 1) = "0", OFFSET($A$1, 375 - 1, 97 - 1) = "1" ), 3, 4 ) ) )</f>
        <v>1</v>
      </c>
      <c r="CV375" s="24">
        <v>0.9994945401768911</v>
      </c>
      <c r="CW375" s="24" t="str">
        <f>"1"</f>
        <v>1</v>
      </c>
      <c r="CX375" t="str">
        <f ca="1">IF((OFFSET($A$1, 375 - 1, 100 - 1)) &gt;= (OFFSET($A$1, 78 - 1, 7 - 1)), "1","0")</f>
        <v>1</v>
      </c>
      <c r="CY375">
        <f ca="1" xml:space="preserve"> IF( AND( OFFSET($A$1, 375 - 1, 101 - 1) = "1", OFFSET($A$1, 375 - 1, 102 - 1) = "1" ), 1, IF( AND( OFFSET($A$1, 375 - 1, 101 - 1) = "1", OFFSET($A$1, 375 - 1, 102 - 1) = "0" ), 2, IF( AND( OFFSET($A$1, 375 - 1, 101 - 1) = "0", OFFSET($A$1, 375 - 1, 102 - 1) = "1" ), 3, 4 ) ) )</f>
        <v>1</v>
      </c>
    </row>
    <row r="376" spans="95:103" ht="13.8" x14ac:dyDescent="0.3">
      <c r="CQ376" s="24">
        <v>0.94089750396428951</v>
      </c>
      <c r="CR376" s="24" t="str">
        <f t="shared" si="30"/>
        <v>1</v>
      </c>
      <c r="CS376" t="str">
        <f ca="1">IF((OFFSET($A$1, 376 - 1, 95 - 1)) &gt;= (OFFSET($A$1, 54 - 1, 7 - 1)), "1","0")</f>
        <v>1</v>
      </c>
      <c r="CT376">
        <f ca="1" xml:space="preserve"> IF( AND( OFFSET($A$1, 376 - 1, 96 - 1) = "1", OFFSET($A$1, 376 - 1, 97 - 1) = "1" ), 1, IF( AND( OFFSET($A$1, 376 - 1, 96 - 1) = "1", OFFSET($A$1, 376 - 1, 97 - 1) = "0" ), 2, IF( AND( OFFSET($A$1, 376 - 1, 96 - 1) = "0", OFFSET($A$1, 376 - 1, 97 - 1) = "1" ), 3, 4 ) ) )</f>
        <v>1</v>
      </c>
      <c r="CV376" s="24">
        <v>0.8426218894137254</v>
      </c>
      <c r="CW376" s="24" t="str">
        <f>"0"</f>
        <v>0</v>
      </c>
      <c r="CX376" t="str">
        <f ca="1">IF((OFFSET($A$1, 376 - 1, 100 - 1)) &gt;= (OFFSET($A$1, 78 - 1, 7 - 1)), "1","0")</f>
        <v>1</v>
      </c>
      <c r="CY376">
        <f ca="1" xml:space="preserve"> IF( AND( OFFSET($A$1, 376 - 1, 101 - 1) = "1", OFFSET($A$1, 376 - 1, 102 - 1) = "1" ), 1, IF( AND( OFFSET($A$1, 376 - 1, 101 - 1) = "1", OFFSET($A$1, 376 - 1, 102 - 1) = "0" ), 2, IF( AND( OFFSET($A$1, 376 - 1, 101 - 1) = "0", OFFSET($A$1, 376 - 1, 102 - 1) = "1" ), 3, 4 ) ) )</f>
        <v>3</v>
      </c>
    </row>
    <row r="377" spans="95:103" ht="13.8" x14ac:dyDescent="0.3">
      <c r="CQ377" s="24">
        <v>3.0645209394176039E-3</v>
      </c>
      <c r="CR377" s="24" t="str">
        <f>"0"</f>
        <v>0</v>
      </c>
      <c r="CS377" t="str">
        <f ca="1">IF((OFFSET($A$1, 377 - 1, 95 - 1)) &gt;= (OFFSET($A$1, 54 - 1, 7 - 1)), "1","0")</f>
        <v>0</v>
      </c>
      <c r="CT377">
        <f ca="1" xml:space="preserve"> IF( AND( OFFSET($A$1, 377 - 1, 96 - 1) = "1", OFFSET($A$1, 377 - 1, 97 - 1) = "1" ), 1, IF( AND( OFFSET($A$1, 377 - 1, 96 - 1) = "1", OFFSET($A$1, 377 - 1, 97 - 1) = "0" ), 2, IF( AND( OFFSET($A$1, 377 - 1, 96 - 1) = "0", OFFSET($A$1, 377 - 1, 97 - 1) = "1" ), 3, 4 ) ) )</f>
        <v>4</v>
      </c>
      <c r="CV377" s="24">
        <v>0.99482399099947982</v>
      </c>
      <c r="CW377" s="24" t="str">
        <f t="shared" ref="CW377:CW387" si="31">"1"</f>
        <v>1</v>
      </c>
      <c r="CX377" t="str">
        <f ca="1">IF((OFFSET($A$1, 377 - 1, 100 - 1)) &gt;= (OFFSET($A$1, 78 - 1, 7 - 1)), "1","0")</f>
        <v>1</v>
      </c>
      <c r="CY377">
        <f ca="1" xml:space="preserve"> IF( AND( OFFSET($A$1, 377 - 1, 101 - 1) = "1", OFFSET($A$1, 377 - 1, 102 - 1) = "1" ), 1, IF( AND( OFFSET($A$1, 377 - 1, 101 - 1) = "1", OFFSET($A$1, 377 - 1, 102 - 1) = "0" ), 2, IF( AND( OFFSET($A$1, 377 - 1, 101 - 1) = "0", OFFSET($A$1, 377 - 1, 102 - 1) = "1" ), 3, 4 ) ) )</f>
        <v>1</v>
      </c>
    </row>
    <row r="378" spans="95:103" ht="13.8" x14ac:dyDescent="0.3">
      <c r="CQ378" s="24">
        <v>0.88053135624850409</v>
      </c>
      <c r="CR378" s="24" t="str">
        <f>"1"</f>
        <v>1</v>
      </c>
      <c r="CS378" t="str">
        <f ca="1">IF((OFFSET($A$1, 378 - 1, 95 - 1)) &gt;= (OFFSET($A$1, 54 - 1, 7 - 1)), "1","0")</f>
        <v>1</v>
      </c>
      <c r="CT378">
        <f ca="1" xml:space="preserve"> IF( AND( OFFSET($A$1, 378 - 1, 96 - 1) = "1", OFFSET($A$1, 378 - 1, 97 - 1) = "1" ), 1, IF( AND( OFFSET($A$1, 378 - 1, 96 - 1) = "1", OFFSET($A$1, 378 - 1, 97 - 1) = "0" ), 2, IF( AND( OFFSET($A$1, 378 - 1, 96 - 1) = "0", OFFSET($A$1, 378 - 1, 97 - 1) = "1" ), 3, 4 ) ) )</f>
        <v>1</v>
      </c>
      <c r="CV378" s="24">
        <v>0.36318761193725368</v>
      </c>
      <c r="CW378" s="24" t="str">
        <f t="shared" si="31"/>
        <v>1</v>
      </c>
      <c r="CX378" t="str">
        <f ca="1">IF((OFFSET($A$1, 378 - 1, 100 - 1)) &gt;= (OFFSET($A$1, 78 - 1, 7 - 1)), "1","0")</f>
        <v>0</v>
      </c>
      <c r="CY378">
        <f ca="1" xml:space="preserve"> IF( AND( OFFSET($A$1, 378 - 1, 101 - 1) = "1", OFFSET($A$1, 378 - 1, 102 - 1) = "1" ), 1, IF( AND( OFFSET($A$1, 378 - 1, 101 - 1) = "1", OFFSET($A$1, 378 - 1, 102 - 1) = "0" ), 2, IF( AND( OFFSET($A$1, 378 - 1, 101 - 1) = "0", OFFSET($A$1, 378 - 1, 102 - 1) = "1" ), 3, 4 ) ) )</f>
        <v>2</v>
      </c>
    </row>
    <row r="379" spans="95:103" ht="13.8" x14ac:dyDescent="0.3">
      <c r="CQ379" s="24">
        <v>0.1117207626451928</v>
      </c>
      <c r="CR379" s="24" t="str">
        <f>"0"</f>
        <v>0</v>
      </c>
      <c r="CS379" t="str">
        <f ca="1">IF((OFFSET($A$1, 379 - 1, 95 - 1)) &gt;= (OFFSET($A$1, 54 - 1, 7 - 1)), "1","0")</f>
        <v>0</v>
      </c>
      <c r="CT379">
        <f ca="1" xml:space="preserve"> IF( AND( OFFSET($A$1, 379 - 1, 96 - 1) = "1", OFFSET($A$1, 379 - 1, 97 - 1) = "1" ), 1, IF( AND( OFFSET($A$1, 379 - 1, 96 - 1) = "1", OFFSET($A$1, 379 - 1, 97 - 1) = "0" ), 2, IF( AND( OFFSET($A$1, 379 - 1, 96 - 1) = "0", OFFSET($A$1, 379 - 1, 97 - 1) = "1" ), 3, 4 ) ) )</f>
        <v>4</v>
      </c>
      <c r="CV379" s="24">
        <v>0.86872323647603045</v>
      </c>
      <c r="CW379" s="24" t="str">
        <f t="shared" si="31"/>
        <v>1</v>
      </c>
      <c r="CX379" t="str">
        <f ca="1">IF((OFFSET($A$1, 379 - 1, 100 - 1)) &gt;= (OFFSET($A$1, 78 - 1, 7 - 1)), "1","0")</f>
        <v>1</v>
      </c>
      <c r="CY379">
        <f ca="1" xml:space="preserve"> IF( AND( OFFSET($A$1, 379 - 1, 101 - 1) = "1", OFFSET($A$1, 379 - 1, 102 - 1) = "1" ), 1, IF( AND( OFFSET($A$1, 379 - 1, 101 - 1) = "1", OFFSET($A$1, 379 - 1, 102 - 1) = "0" ), 2, IF( AND( OFFSET($A$1, 379 - 1, 101 - 1) = "0", OFFSET($A$1, 379 - 1, 102 - 1) = "1" ), 3, 4 ) ) )</f>
        <v>1</v>
      </c>
    </row>
    <row r="380" spans="95:103" ht="13.8" x14ac:dyDescent="0.3">
      <c r="CQ380" s="24">
        <v>0.13394015643577173</v>
      </c>
      <c r="CR380" s="24" t="str">
        <f>"0"</f>
        <v>0</v>
      </c>
      <c r="CS380" t="str">
        <f ca="1">IF((OFFSET($A$1, 380 - 1, 95 - 1)) &gt;= (OFFSET($A$1, 54 - 1, 7 - 1)), "1","0")</f>
        <v>0</v>
      </c>
      <c r="CT380">
        <f ca="1" xml:space="preserve"> IF( AND( OFFSET($A$1, 380 - 1, 96 - 1) = "1", OFFSET($A$1, 380 - 1, 97 - 1) = "1" ), 1, IF( AND( OFFSET($A$1, 380 - 1, 96 - 1) = "1", OFFSET($A$1, 380 - 1, 97 - 1) = "0" ), 2, IF( AND( OFFSET($A$1, 380 - 1, 96 - 1) = "0", OFFSET($A$1, 380 - 1, 97 - 1) = "1" ), 3, 4 ) ) )</f>
        <v>4</v>
      </c>
      <c r="CV380" s="24">
        <v>5.9900199517718994E-2</v>
      </c>
      <c r="CW380" s="24" t="str">
        <f t="shared" si="31"/>
        <v>1</v>
      </c>
      <c r="CX380" t="str">
        <f ca="1">IF((OFFSET($A$1, 380 - 1, 100 - 1)) &gt;= (OFFSET($A$1, 78 - 1, 7 - 1)), "1","0")</f>
        <v>0</v>
      </c>
      <c r="CY380">
        <f ca="1" xml:space="preserve"> IF( AND( OFFSET($A$1, 380 - 1, 101 - 1) = "1", OFFSET($A$1, 380 - 1, 102 - 1) = "1" ), 1, IF( AND( OFFSET($A$1, 380 - 1, 101 - 1) = "1", OFFSET($A$1, 380 - 1, 102 - 1) = "0" ), 2, IF( AND( OFFSET($A$1, 380 - 1, 101 - 1) = "0", OFFSET($A$1, 380 - 1, 102 - 1) = "1" ), 3, 4 ) ) )</f>
        <v>2</v>
      </c>
    </row>
    <row r="381" spans="95:103" ht="13.8" x14ac:dyDescent="0.3">
      <c r="CQ381" s="24">
        <v>8.1170337797162095E-2</v>
      </c>
      <c r="CR381" s="24" t="str">
        <f>"0"</f>
        <v>0</v>
      </c>
      <c r="CS381" t="str">
        <f ca="1">IF((OFFSET($A$1, 381 - 1, 95 - 1)) &gt;= (OFFSET($A$1, 54 - 1, 7 - 1)), "1","0")</f>
        <v>0</v>
      </c>
      <c r="CT381">
        <f ca="1" xml:space="preserve"> IF( AND( OFFSET($A$1, 381 - 1, 96 - 1) = "1", OFFSET($A$1, 381 - 1, 97 - 1) = "1" ), 1, IF( AND( OFFSET($A$1, 381 - 1, 96 - 1) = "1", OFFSET($A$1, 381 - 1, 97 - 1) = "0" ), 2, IF( AND( OFFSET($A$1, 381 - 1, 96 - 1) = "0", OFFSET($A$1, 381 - 1, 97 - 1) = "1" ), 3, 4 ) ) )</f>
        <v>4</v>
      </c>
      <c r="CV381" s="24">
        <v>0.97079830131526434</v>
      </c>
      <c r="CW381" s="24" t="str">
        <f t="shared" si="31"/>
        <v>1</v>
      </c>
      <c r="CX381" t="str">
        <f ca="1">IF((OFFSET($A$1, 381 - 1, 100 - 1)) &gt;= (OFFSET($A$1, 78 - 1, 7 - 1)), "1","0")</f>
        <v>1</v>
      </c>
      <c r="CY381">
        <f ca="1" xml:space="preserve"> IF( AND( OFFSET($A$1, 381 - 1, 101 - 1) = "1", OFFSET($A$1, 381 - 1, 102 - 1) = "1" ), 1, IF( AND( OFFSET($A$1, 381 - 1, 101 - 1) = "1", OFFSET($A$1, 381 - 1, 102 - 1) = "0" ), 2, IF( AND( OFFSET($A$1, 381 - 1, 101 - 1) = "0", OFFSET($A$1, 381 - 1, 102 - 1) = "1" ), 3, 4 ) ) )</f>
        <v>1</v>
      </c>
    </row>
    <row r="382" spans="95:103" ht="13.8" x14ac:dyDescent="0.3">
      <c r="CQ382" s="24">
        <v>0.99984162765978424</v>
      </c>
      <c r="CR382" s="24" t="str">
        <f>"1"</f>
        <v>1</v>
      </c>
      <c r="CS382" t="str">
        <f ca="1">IF((OFFSET($A$1, 382 - 1, 95 - 1)) &gt;= (OFFSET($A$1, 54 - 1, 7 - 1)), "1","0")</f>
        <v>1</v>
      </c>
      <c r="CT382">
        <f ca="1" xml:space="preserve"> IF( AND( OFFSET($A$1, 382 - 1, 96 - 1) = "1", OFFSET($A$1, 382 - 1, 97 - 1) = "1" ), 1, IF( AND( OFFSET($A$1, 382 - 1, 96 - 1) = "1", OFFSET($A$1, 382 - 1, 97 - 1) = "0" ), 2, IF( AND( OFFSET($A$1, 382 - 1, 96 - 1) = "0", OFFSET($A$1, 382 - 1, 97 - 1) = "1" ), 3, 4 ) ) )</f>
        <v>1</v>
      </c>
      <c r="CV382" s="24">
        <v>0.81968904699641909</v>
      </c>
      <c r="CW382" s="24" t="str">
        <f t="shared" si="31"/>
        <v>1</v>
      </c>
      <c r="CX382" t="str">
        <f ca="1">IF((OFFSET($A$1, 382 - 1, 100 - 1)) &gt;= (OFFSET($A$1, 78 - 1, 7 - 1)), "1","0")</f>
        <v>1</v>
      </c>
      <c r="CY382">
        <f ca="1" xml:space="preserve"> IF( AND( OFFSET($A$1, 382 - 1, 101 - 1) = "1", OFFSET($A$1, 382 - 1, 102 - 1) = "1" ), 1, IF( AND( OFFSET($A$1, 382 - 1, 101 - 1) = "1", OFFSET($A$1, 382 - 1, 102 - 1) = "0" ), 2, IF( AND( OFFSET($A$1, 382 - 1, 101 - 1) = "0", OFFSET($A$1, 382 - 1, 102 - 1) = "1" ), 3, 4 ) ) )</f>
        <v>1</v>
      </c>
    </row>
    <row r="383" spans="95:103" ht="13.8" x14ac:dyDescent="0.3">
      <c r="CQ383" s="24">
        <v>7.1795308866915E-2</v>
      </c>
      <c r="CR383" s="24" t="str">
        <f>"0"</f>
        <v>0</v>
      </c>
      <c r="CS383" t="str">
        <f ca="1">IF((OFFSET($A$1, 383 - 1, 95 - 1)) &gt;= (OFFSET($A$1, 54 - 1, 7 - 1)), "1","0")</f>
        <v>0</v>
      </c>
      <c r="CT383">
        <f ca="1" xml:space="preserve"> IF( AND( OFFSET($A$1, 383 - 1, 96 - 1) = "1", OFFSET($A$1, 383 - 1, 97 - 1) = "1" ), 1, IF( AND( OFFSET($A$1, 383 - 1, 96 - 1) = "1", OFFSET($A$1, 383 - 1, 97 - 1) = "0" ), 2, IF( AND( OFFSET($A$1, 383 - 1, 96 - 1) = "0", OFFSET($A$1, 383 - 1, 97 - 1) = "1" ), 3, 4 ) ) )</f>
        <v>4</v>
      </c>
      <c r="CV383" s="24">
        <v>0.99253718876339025</v>
      </c>
      <c r="CW383" s="24" t="str">
        <f t="shared" si="31"/>
        <v>1</v>
      </c>
      <c r="CX383" t="str">
        <f ca="1">IF((OFFSET($A$1, 383 - 1, 100 - 1)) &gt;= (OFFSET($A$1, 78 - 1, 7 - 1)), "1","0")</f>
        <v>1</v>
      </c>
      <c r="CY383">
        <f ca="1" xml:space="preserve"> IF( AND( OFFSET($A$1, 383 - 1, 101 - 1) = "1", OFFSET($A$1, 383 - 1, 102 - 1) = "1" ), 1, IF( AND( OFFSET($A$1, 383 - 1, 101 - 1) = "1", OFFSET($A$1, 383 - 1, 102 - 1) = "0" ), 2, IF( AND( OFFSET($A$1, 383 - 1, 101 - 1) = "0", OFFSET($A$1, 383 - 1, 102 - 1) = "1" ), 3, 4 ) ) )</f>
        <v>1</v>
      </c>
    </row>
    <row r="384" spans="95:103" ht="13.8" x14ac:dyDescent="0.3">
      <c r="CQ384" s="24">
        <v>0.9996923442048179</v>
      </c>
      <c r="CR384" s="24" t="str">
        <f>"1"</f>
        <v>1</v>
      </c>
      <c r="CS384" t="str">
        <f ca="1">IF((OFFSET($A$1, 384 - 1, 95 - 1)) &gt;= (OFFSET($A$1, 54 - 1, 7 - 1)), "1","0")</f>
        <v>1</v>
      </c>
      <c r="CT384">
        <f ca="1" xml:space="preserve"> IF( AND( OFFSET($A$1, 384 - 1, 96 - 1) = "1", OFFSET($A$1, 384 - 1, 97 - 1) = "1" ), 1, IF( AND( OFFSET($A$1, 384 - 1, 96 - 1) = "1", OFFSET($A$1, 384 - 1, 97 - 1) = "0" ), 2, IF( AND( OFFSET($A$1, 384 - 1, 96 - 1) = "0", OFFSET($A$1, 384 - 1, 97 - 1) = "1" ), 3, 4 ) ) )</f>
        <v>1</v>
      </c>
      <c r="CV384" s="24">
        <v>0.8318293232849685</v>
      </c>
      <c r="CW384" s="24" t="str">
        <f t="shared" si="31"/>
        <v>1</v>
      </c>
      <c r="CX384" t="str">
        <f ca="1">IF((OFFSET($A$1, 384 - 1, 100 - 1)) &gt;= (OFFSET($A$1, 78 - 1, 7 - 1)), "1","0")</f>
        <v>1</v>
      </c>
      <c r="CY384">
        <f ca="1" xml:space="preserve"> IF( AND( OFFSET($A$1, 384 - 1, 101 - 1) = "1", OFFSET($A$1, 384 - 1, 102 - 1) = "1" ), 1, IF( AND( OFFSET($A$1, 384 - 1, 101 - 1) = "1", OFFSET($A$1, 384 - 1, 102 - 1) = "0" ), 2, IF( AND( OFFSET($A$1, 384 - 1, 101 - 1) = "0", OFFSET($A$1, 384 - 1, 102 - 1) = "1" ), 3, 4 ) ) )</f>
        <v>1</v>
      </c>
    </row>
    <row r="385" spans="95:103" ht="13.8" x14ac:dyDescent="0.3">
      <c r="CQ385" s="24">
        <v>0.76173236345173467</v>
      </c>
      <c r="CR385" s="24" t="str">
        <f>"1"</f>
        <v>1</v>
      </c>
      <c r="CS385" t="str">
        <f ca="1">IF((OFFSET($A$1, 385 - 1, 95 - 1)) &gt;= (OFFSET($A$1, 54 - 1, 7 - 1)), "1","0")</f>
        <v>1</v>
      </c>
      <c r="CT385">
        <f ca="1" xml:space="preserve"> IF( AND( OFFSET($A$1, 385 - 1, 96 - 1) = "1", OFFSET($A$1, 385 - 1, 97 - 1) = "1" ), 1, IF( AND( OFFSET($A$1, 385 - 1, 96 - 1) = "1", OFFSET($A$1, 385 - 1, 97 - 1) = "0" ), 2, IF( AND( OFFSET($A$1, 385 - 1, 96 - 1) = "0", OFFSET($A$1, 385 - 1, 97 - 1) = "1" ), 3, 4 ) ) )</f>
        <v>1</v>
      </c>
      <c r="CV385" s="24">
        <v>0.73219951877604394</v>
      </c>
      <c r="CW385" s="24" t="str">
        <f t="shared" si="31"/>
        <v>1</v>
      </c>
      <c r="CX385" t="str">
        <f ca="1">IF((OFFSET($A$1, 385 - 1, 100 - 1)) &gt;= (OFFSET($A$1, 78 - 1, 7 - 1)), "1","0")</f>
        <v>1</v>
      </c>
      <c r="CY385">
        <f ca="1" xml:space="preserve"> IF( AND( OFFSET($A$1, 385 - 1, 101 - 1) = "1", OFFSET($A$1, 385 - 1, 102 - 1) = "1" ), 1, IF( AND( OFFSET($A$1, 385 - 1, 101 - 1) = "1", OFFSET($A$1, 385 - 1, 102 - 1) = "0" ), 2, IF( AND( OFFSET($A$1, 385 - 1, 101 - 1) = "0", OFFSET($A$1, 385 - 1, 102 - 1) = "1" ), 3, 4 ) ) )</f>
        <v>1</v>
      </c>
    </row>
    <row r="386" spans="95:103" ht="13.8" x14ac:dyDescent="0.3">
      <c r="CQ386" s="24">
        <v>5.9610188048392024E-3</v>
      </c>
      <c r="CR386" s="24" t="str">
        <f>"0"</f>
        <v>0</v>
      </c>
      <c r="CS386" t="str">
        <f ca="1">IF((OFFSET($A$1, 386 - 1, 95 - 1)) &gt;= (OFFSET($A$1, 54 - 1, 7 - 1)), "1","0")</f>
        <v>0</v>
      </c>
      <c r="CT386">
        <f ca="1" xml:space="preserve"> IF( AND( OFFSET($A$1, 386 - 1, 96 - 1) = "1", OFFSET($A$1, 386 - 1, 97 - 1) = "1" ), 1, IF( AND( OFFSET($A$1, 386 - 1, 96 - 1) = "1", OFFSET($A$1, 386 - 1, 97 - 1) = "0" ), 2, IF( AND( OFFSET($A$1, 386 - 1, 96 - 1) = "0", OFFSET($A$1, 386 - 1, 97 - 1) = "1" ), 3, 4 ) ) )</f>
        <v>4</v>
      </c>
      <c r="CV386" s="24">
        <v>0.64947028344835656</v>
      </c>
      <c r="CW386" s="24" t="str">
        <f t="shared" si="31"/>
        <v>1</v>
      </c>
      <c r="CX386" t="str">
        <f ca="1">IF((OFFSET($A$1, 386 - 1, 100 - 1)) &gt;= (OFFSET($A$1, 78 - 1, 7 - 1)), "1","0")</f>
        <v>1</v>
      </c>
      <c r="CY386">
        <f ca="1" xml:space="preserve"> IF( AND( OFFSET($A$1, 386 - 1, 101 - 1) = "1", OFFSET($A$1, 386 - 1, 102 - 1) = "1" ), 1, IF( AND( OFFSET($A$1, 386 - 1, 101 - 1) = "1", OFFSET($A$1, 386 - 1, 102 - 1) = "0" ), 2, IF( AND( OFFSET($A$1, 386 - 1, 101 - 1) = "0", OFFSET($A$1, 386 - 1, 102 - 1) = "1" ), 3, 4 ) ) )</f>
        <v>1</v>
      </c>
    </row>
    <row r="387" spans="95:103" ht="13.8" x14ac:dyDescent="0.3">
      <c r="CQ387" s="24">
        <v>0.99804288774233096</v>
      </c>
      <c r="CR387" s="24" t="str">
        <f t="shared" ref="CR387:CR392" si="32">"1"</f>
        <v>1</v>
      </c>
      <c r="CS387" t="str">
        <f ca="1">IF((OFFSET($A$1, 387 - 1, 95 - 1)) &gt;= (OFFSET($A$1, 54 - 1, 7 - 1)), "1","0")</f>
        <v>1</v>
      </c>
      <c r="CT387">
        <f ca="1" xml:space="preserve"> IF( AND( OFFSET($A$1, 387 - 1, 96 - 1) = "1", OFFSET($A$1, 387 - 1, 97 - 1) = "1" ), 1, IF( AND( OFFSET($A$1, 387 - 1, 96 - 1) = "1", OFFSET($A$1, 387 - 1, 97 - 1) = "0" ), 2, IF( AND( OFFSET($A$1, 387 - 1, 96 - 1) = "0", OFFSET($A$1, 387 - 1, 97 - 1) = "1" ), 3, 4 ) ) )</f>
        <v>1</v>
      </c>
      <c r="CV387" s="24">
        <v>0.99976388693662244</v>
      </c>
      <c r="CW387" s="24" t="str">
        <f t="shared" si="31"/>
        <v>1</v>
      </c>
      <c r="CX387" t="str">
        <f ca="1">IF((OFFSET($A$1, 387 - 1, 100 - 1)) &gt;= (OFFSET($A$1, 78 - 1, 7 - 1)), "1","0")</f>
        <v>1</v>
      </c>
      <c r="CY387">
        <f ca="1" xml:space="preserve"> IF( AND( OFFSET($A$1, 387 - 1, 101 - 1) = "1", OFFSET($A$1, 387 - 1, 102 - 1) = "1" ), 1, IF( AND( OFFSET($A$1, 387 - 1, 101 - 1) = "1", OFFSET($A$1, 387 - 1, 102 - 1) = "0" ), 2, IF( AND( OFFSET($A$1, 387 - 1, 101 - 1) = "0", OFFSET($A$1, 387 - 1, 102 - 1) = "1" ), 3, 4 ) ) )</f>
        <v>1</v>
      </c>
    </row>
    <row r="388" spans="95:103" ht="13.8" x14ac:dyDescent="0.3">
      <c r="CQ388" s="24">
        <v>0.98375990590772866</v>
      </c>
      <c r="CR388" s="24" t="str">
        <f t="shared" si="32"/>
        <v>1</v>
      </c>
      <c r="CS388" t="str">
        <f ca="1">IF((OFFSET($A$1, 388 - 1, 95 - 1)) &gt;= (OFFSET($A$1, 54 - 1, 7 - 1)), "1","0")</f>
        <v>1</v>
      </c>
      <c r="CT388">
        <f ca="1" xml:space="preserve"> IF( AND( OFFSET($A$1, 388 - 1, 96 - 1) = "1", OFFSET($A$1, 388 - 1, 97 - 1) = "1" ), 1, IF( AND( OFFSET($A$1, 388 - 1, 96 - 1) = "1", OFFSET($A$1, 388 - 1, 97 - 1) = "0" ), 2, IF( AND( OFFSET($A$1, 388 - 1, 96 - 1) = "0", OFFSET($A$1, 388 - 1, 97 - 1) = "1" ), 3, 4 ) ) )</f>
        <v>1</v>
      </c>
      <c r="CV388" s="24">
        <v>7.5188570903007818E-2</v>
      </c>
      <c r="CW388" s="24" t="str">
        <f>"0"</f>
        <v>0</v>
      </c>
      <c r="CX388" t="str">
        <f ca="1">IF((OFFSET($A$1, 388 - 1, 100 - 1)) &gt;= (OFFSET($A$1, 78 - 1, 7 - 1)), "1","0")</f>
        <v>0</v>
      </c>
      <c r="CY388">
        <f ca="1" xml:space="preserve"> IF( AND( OFFSET($A$1, 388 - 1, 101 - 1) = "1", OFFSET($A$1, 388 - 1, 102 - 1) = "1" ), 1, IF( AND( OFFSET($A$1, 388 - 1, 101 - 1) = "1", OFFSET($A$1, 388 - 1, 102 - 1) = "0" ), 2, IF( AND( OFFSET($A$1, 388 - 1, 101 - 1) = "0", OFFSET($A$1, 388 - 1, 102 - 1) = "1" ), 3, 4 ) ) )</f>
        <v>4</v>
      </c>
    </row>
    <row r="389" spans="95:103" ht="13.8" x14ac:dyDescent="0.3">
      <c r="CQ389" s="24">
        <v>0.98081615742057005</v>
      </c>
      <c r="CR389" s="24" t="str">
        <f t="shared" si="32"/>
        <v>1</v>
      </c>
      <c r="CS389" t="str">
        <f ca="1">IF((OFFSET($A$1, 389 - 1, 95 - 1)) &gt;= (OFFSET($A$1, 54 - 1, 7 - 1)), "1","0")</f>
        <v>1</v>
      </c>
      <c r="CT389">
        <f ca="1" xml:space="preserve"> IF( AND( OFFSET($A$1, 389 - 1, 96 - 1) = "1", OFFSET($A$1, 389 - 1, 97 - 1) = "1" ), 1, IF( AND( OFFSET($A$1, 389 - 1, 96 - 1) = "1", OFFSET($A$1, 389 - 1, 97 - 1) = "0" ), 2, IF( AND( OFFSET($A$1, 389 - 1, 96 - 1) = "0", OFFSET($A$1, 389 - 1, 97 - 1) = "1" ), 3, 4 ) ) )</f>
        <v>1</v>
      </c>
      <c r="CV389" s="24">
        <v>0.99987433844658968</v>
      </c>
      <c r="CW389" s="24" t="str">
        <f>"1"</f>
        <v>1</v>
      </c>
      <c r="CX389" t="str">
        <f ca="1">IF((OFFSET($A$1, 389 - 1, 100 - 1)) &gt;= (OFFSET($A$1, 78 - 1, 7 - 1)), "1","0")</f>
        <v>1</v>
      </c>
      <c r="CY389">
        <f ca="1" xml:space="preserve"> IF( AND( OFFSET($A$1, 389 - 1, 101 - 1) = "1", OFFSET($A$1, 389 - 1, 102 - 1) = "1" ), 1, IF( AND( OFFSET($A$1, 389 - 1, 101 - 1) = "1", OFFSET($A$1, 389 - 1, 102 - 1) = "0" ), 2, IF( AND( OFFSET($A$1, 389 - 1, 101 - 1) = "0", OFFSET($A$1, 389 - 1, 102 - 1) = "1" ), 3, 4 ) ) )</f>
        <v>1</v>
      </c>
    </row>
    <row r="390" spans="95:103" ht="13.8" x14ac:dyDescent="0.3">
      <c r="CQ390" s="24">
        <v>0.89664365036231164</v>
      </c>
      <c r="CR390" s="24" t="str">
        <f t="shared" si="32"/>
        <v>1</v>
      </c>
      <c r="CS390" t="str">
        <f ca="1">IF((OFFSET($A$1, 390 - 1, 95 - 1)) &gt;= (OFFSET($A$1, 54 - 1, 7 - 1)), "1","0")</f>
        <v>1</v>
      </c>
      <c r="CT390">
        <f ca="1" xml:space="preserve"> IF( AND( OFFSET($A$1, 390 - 1, 96 - 1) = "1", OFFSET($A$1, 390 - 1, 97 - 1) = "1" ), 1, IF( AND( OFFSET($A$1, 390 - 1, 96 - 1) = "1", OFFSET($A$1, 390 - 1, 97 - 1) = "0" ), 2, IF( AND( OFFSET($A$1, 390 - 1, 96 - 1) = "0", OFFSET($A$1, 390 - 1, 97 - 1) = "1" ), 3, 4 ) ) )</f>
        <v>1</v>
      </c>
      <c r="CV390" s="24">
        <v>9.2942224036780194E-2</v>
      </c>
      <c r="CW390" s="24" t="str">
        <f>"0"</f>
        <v>0</v>
      </c>
      <c r="CX390" t="str">
        <f ca="1">IF((OFFSET($A$1, 390 - 1, 100 - 1)) &gt;= (OFFSET($A$1, 78 - 1, 7 - 1)), "1","0")</f>
        <v>0</v>
      </c>
      <c r="CY390">
        <f ca="1" xml:space="preserve"> IF( AND( OFFSET($A$1, 390 - 1, 101 - 1) = "1", OFFSET($A$1, 390 - 1, 102 - 1) = "1" ), 1, IF( AND( OFFSET($A$1, 390 - 1, 101 - 1) = "1", OFFSET($A$1, 390 - 1, 102 - 1) = "0" ), 2, IF( AND( OFFSET($A$1, 390 - 1, 101 - 1) = "0", OFFSET($A$1, 390 - 1, 102 - 1) = "1" ), 3, 4 ) ) )</f>
        <v>4</v>
      </c>
    </row>
    <row r="391" spans="95:103" ht="13.8" x14ac:dyDescent="0.3">
      <c r="CQ391" s="24">
        <v>0.99951604832038776</v>
      </c>
      <c r="CR391" s="24" t="str">
        <f t="shared" si="32"/>
        <v>1</v>
      </c>
      <c r="CS391" t="str">
        <f ca="1">IF((OFFSET($A$1, 391 - 1, 95 - 1)) &gt;= (OFFSET($A$1, 54 - 1, 7 - 1)), "1","0")</f>
        <v>1</v>
      </c>
      <c r="CT391">
        <f ca="1" xml:space="preserve"> IF( AND( OFFSET($A$1, 391 - 1, 96 - 1) = "1", OFFSET($A$1, 391 - 1, 97 - 1) = "1" ), 1, IF( AND( OFFSET($A$1, 391 - 1, 96 - 1) = "1", OFFSET($A$1, 391 - 1, 97 - 1) = "0" ), 2, IF( AND( OFFSET($A$1, 391 - 1, 96 - 1) = "0", OFFSET($A$1, 391 - 1, 97 - 1) = "1" ), 3, 4 ) ) )</f>
        <v>1</v>
      </c>
      <c r="CV391" s="24">
        <v>0.42242918809162805</v>
      </c>
      <c r="CW391" s="24" t="str">
        <f>"1"</f>
        <v>1</v>
      </c>
      <c r="CX391" t="str">
        <f ca="1">IF((OFFSET($A$1, 391 - 1, 100 - 1)) &gt;= (OFFSET($A$1, 78 - 1, 7 - 1)), "1","0")</f>
        <v>0</v>
      </c>
      <c r="CY391">
        <f ca="1" xml:space="preserve"> IF( AND( OFFSET($A$1, 391 - 1, 101 - 1) = "1", OFFSET($A$1, 391 - 1, 102 - 1) = "1" ), 1, IF( AND( OFFSET($A$1, 391 - 1, 101 - 1) = "1", OFFSET($A$1, 391 - 1, 102 - 1) = "0" ), 2, IF( AND( OFFSET($A$1, 391 - 1, 101 - 1) = "0", OFFSET($A$1, 391 - 1, 102 - 1) = "1" ), 3, 4 ) ) )</f>
        <v>2</v>
      </c>
    </row>
    <row r="392" spans="95:103" ht="13.8" x14ac:dyDescent="0.3">
      <c r="CQ392" s="24">
        <v>0.99949982170699447</v>
      </c>
      <c r="CR392" s="24" t="str">
        <f t="shared" si="32"/>
        <v>1</v>
      </c>
      <c r="CS392" t="str">
        <f ca="1">IF((OFFSET($A$1, 392 - 1, 95 - 1)) &gt;= (OFFSET($A$1, 54 - 1, 7 - 1)), "1","0")</f>
        <v>1</v>
      </c>
      <c r="CT392">
        <f ca="1" xml:space="preserve"> IF( AND( OFFSET($A$1, 392 - 1, 96 - 1) = "1", OFFSET($A$1, 392 - 1, 97 - 1) = "1" ), 1, IF( AND( OFFSET($A$1, 392 - 1, 96 - 1) = "1", OFFSET($A$1, 392 - 1, 97 - 1) = "0" ), 2, IF( AND( OFFSET($A$1, 392 - 1, 96 - 1) = "0", OFFSET($A$1, 392 - 1, 97 - 1) = "1" ), 3, 4 ) ) )</f>
        <v>1</v>
      </c>
      <c r="CV392" s="24">
        <v>0.99958449841710129</v>
      </c>
      <c r="CW392" s="24" t="str">
        <f>"1"</f>
        <v>1</v>
      </c>
      <c r="CX392" t="str">
        <f ca="1">IF((OFFSET($A$1, 392 - 1, 100 - 1)) &gt;= (OFFSET($A$1, 78 - 1, 7 - 1)), "1","0")</f>
        <v>1</v>
      </c>
      <c r="CY392">
        <f ca="1" xml:space="preserve"> IF( AND( OFFSET($A$1, 392 - 1, 101 - 1) = "1", OFFSET($A$1, 392 - 1, 102 - 1) = "1" ), 1, IF( AND( OFFSET($A$1, 392 - 1, 101 - 1) = "1", OFFSET($A$1, 392 - 1, 102 - 1) = "0" ), 2, IF( AND( OFFSET($A$1, 392 - 1, 101 - 1) = "0", OFFSET($A$1, 392 - 1, 102 - 1) = "1" ), 3, 4 ) ) )</f>
        <v>1</v>
      </c>
    </row>
    <row r="393" spans="95:103" ht="13.8" x14ac:dyDescent="0.3">
      <c r="CQ393" s="24">
        <v>6.9909408334228838E-3</v>
      </c>
      <c r="CR393" s="24" t="str">
        <f>"0"</f>
        <v>0</v>
      </c>
      <c r="CS393" t="str">
        <f ca="1">IF((OFFSET($A$1, 393 - 1, 95 - 1)) &gt;= (OFFSET($A$1, 54 - 1, 7 - 1)), "1","0")</f>
        <v>0</v>
      </c>
      <c r="CT393">
        <f ca="1" xml:space="preserve"> IF( AND( OFFSET($A$1, 393 - 1, 96 - 1) = "1", OFFSET($A$1, 393 - 1, 97 - 1) = "1" ), 1, IF( AND( OFFSET($A$1, 393 - 1, 96 - 1) = "1", OFFSET($A$1, 393 - 1, 97 - 1) = "0" ), 2, IF( AND( OFFSET($A$1, 393 - 1, 96 - 1) = "0", OFFSET($A$1, 393 - 1, 97 - 1) = "1" ), 3, 4 ) ) )</f>
        <v>4</v>
      </c>
      <c r="CV393" s="24">
        <v>0.99955218334091878</v>
      </c>
      <c r="CW393" s="24" t="str">
        <f>"0"</f>
        <v>0</v>
      </c>
      <c r="CX393" t="str">
        <f ca="1">IF((OFFSET($A$1, 393 - 1, 100 - 1)) &gt;= (OFFSET($A$1, 78 - 1, 7 - 1)), "1","0")</f>
        <v>1</v>
      </c>
      <c r="CY393">
        <f ca="1" xml:space="preserve"> IF( AND( OFFSET($A$1, 393 - 1, 101 - 1) = "1", OFFSET($A$1, 393 - 1, 102 - 1) = "1" ), 1, IF( AND( OFFSET($A$1, 393 - 1, 101 - 1) = "1", OFFSET($A$1, 393 - 1, 102 - 1) = "0" ), 2, IF( AND( OFFSET($A$1, 393 - 1, 101 - 1) = "0", OFFSET($A$1, 393 - 1, 102 - 1) = "1" ), 3, 4 ) ) )</f>
        <v>3</v>
      </c>
    </row>
    <row r="394" spans="95:103" ht="13.8" x14ac:dyDescent="0.3">
      <c r="CQ394" s="24">
        <v>0.99980191270629537</v>
      </c>
      <c r="CR394" s="24" t="str">
        <f>"1"</f>
        <v>1</v>
      </c>
      <c r="CS394" t="str">
        <f ca="1">IF((OFFSET($A$1, 394 - 1, 95 - 1)) &gt;= (OFFSET($A$1, 54 - 1, 7 - 1)), "1","0")</f>
        <v>1</v>
      </c>
      <c r="CT394">
        <f ca="1" xml:space="preserve"> IF( AND( OFFSET($A$1, 394 - 1, 96 - 1) = "1", OFFSET($A$1, 394 - 1, 97 - 1) = "1" ), 1, IF( AND( OFFSET($A$1, 394 - 1, 96 - 1) = "1", OFFSET($A$1, 394 - 1, 97 - 1) = "0" ), 2, IF( AND( OFFSET($A$1, 394 - 1, 96 - 1) = "0", OFFSET($A$1, 394 - 1, 97 - 1) = "1" ), 3, 4 ) ) )</f>
        <v>1</v>
      </c>
      <c r="CV394" s="24">
        <v>0.57372165022670107</v>
      </c>
      <c r="CW394" s="24" t="str">
        <f>"1"</f>
        <v>1</v>
      </c>
      <c r="CX394" t="str">
        <f ca="1">IF((OFFSET($A$1, 394 - 1, 100 - 1)) &gt;= (OFFSET($A$1, 78 - 1, 7 - 1)), "1","0")</f>
        <v>1</v>
      </c>
      <c r="CY394">
        <f ca="1" xml:space="preserve"> IF( AND( OFFSET($A$1, 394 - 1, 101 - 1) = "1", OFFSET($A$1, 394 - 1, 102 - 1) = "1" ), 1, IF( AND( OFFSET($A$1, 394 - 1, 101 - 1) = "1", OFFSET($A$1, 394 - 1, 102 - 1) = "0" ), 2, IF( AND( OFFSET($A$1, 394 - 1, 101 - 1) = "0", OFFSET($A$1, 394 - 1, 102 - 1) = "1" ), 3, 4 ) ) )</f>
        <v>1</v>
      </c>
    </row>
    <row r="395" spans="95:103" ht="13.8" x14ac:dyDescent="0.3">
      <c r="CQ395" s="24">
        <v>0.95715318076246048</v>
      </c>
      <c r="CR395" s="24" t="str">
        <f>"1"</f>
        <v>1</v>
      </c>
      <c r="CS395" t="str">
        <f ca="1">IF((OFFSET($A$1, 395 - 1, 95 - 1)) &gt;= (OFFSET($A$1, 54 - 1, 7 - 1)), "1","0")</f>
        <v>1</v>
      </c>
      <c r="CT395">
        <f ca="1" xml:space="preserve"> IF( AND( OFFSET($A$1, 395 - 1, 96 - 1) = "1", OFFSET($A$1, 395 - 1, 97 - 1) = "1" ), 1, IF( AND( OFFSET($A$1, 395 - 1, 96 - 1) = "1", OFFSET($A$1, 395 - 1, 97 - 1) = "0" ), 2, IF( AND( OFFSET($A$1, 395 - 1, 96 - 1) = "0", OFFSET($A$1, 395 - 1, 97 - 1) = "1" ), 3, 4 ) ) )</f>
        <v>1</v>
      </c>
      <c r="CV395" s="24">
        <v>7.3699526536938884E-2</v>
      </c>
      <c r="CW395" s="24" t="str">
        <f>"0"</f>
        <v>0</v>
      </c>
      <c r="CX395" t="str">
        <f ca="1">IF((OFFSET($A$1, 395 - 1, 100 - 1)) &gt;= (OFFSET($A$1, 78 - 1, 7 - 1)), "1","0")</f>
        <v>0</v>
      </c>
      <c r="CY395">
        <f ca="1" xml:space="preserve"> IF( AND( OFFSET($A$1, 395 - 1, 101 - 1) = "1", OFFSET($A$1, 395 - 1, 102 - 1) = "1" ), 1, IF( AND( OFFSET($A$1, 395 - 1, 101 - 1) = "1", OFFSET($A$1, 395 - 1, 102 - 1) = "0" ), 2, IF( AND( OFFSET($A$1, 395 - 1, 101 - 1) = "0", OFFSET($A$1, 395 - 1, 102 - 1) = "1" ), 3, 4 ) ) )</f>
        <v>4</v>
      </c>
    </row>
    <row r="396" spans="95:103" ht="13.8" x14ac:dyDescent="0.3">
      <c r="CQ396" s="24">
        <v>0.10722138524669526</v>
      </c>
      <c r="CR396" s="24" t="str">
        <f>"0"</f>
        <v>0</v>
      </c>
      <c r="CS396" t="str">
        <f ca="1">IF((OFFSET($A$1, 396 - 1, 95 - 1)) &gt;= (OFFSET($A$1, 54 - 1, 7 - 1)), "1","0")</f>
        <v>0</v>
      </c>
      <c r="CT396">
        <f ca="1" xml:space="preserve"> IF( AND( OFFSET($A$1, 396 - 1, 96 - 1) = "1", OFFSET($A$1, 396 - 1, 97 - 1) = "1" ), 1, IF( AND( OFFSET($A$1, 396 - 1, 96 - 1) = "1", OFFSET($A$1, 396 - 1, 97 - 1) = "0" ), 2, IF( AND( OFFSET($A$1, 396 - 1, 96 - 1) = "0", OFFSET($A$1, 396 - 1, 97 - 1) = "1" ), 3, 4 ) ) )</f>
        <v>4</v>
      </c>
      <c r="CV396" s="24">
        <v>0.99667954123886948</v>
      </c>
      <c r="CW396" s="24" t="str">
        <f>"1"</f>
        <v>1</v>
      </c>
      <c r="CX396" t="str">
        <f ca="1">IF((OFFSET($A$1, 396 - 1, 100 - 1)) &gt;= (OFFSET($A$1, 78 - 1, 7 - 1)), "1","0")</f>
        <v>1</v>
      </c>
      <c r="CY396">
        <f ca="1" xml:space="preserve"> IF( AND( OFFSET($A$1, 396 - 1, 101 - 1) = "1", OFFSET($A$1, 396 - 1, 102 - 1) = "1" ), 1, IF( AND( OFFSET($A$1, 396 - 1, 101 - 1) = "1", OFFSET($A$1, 396 - 1, 102 - 1) = "0" ), 2, IF( AND( OFFSET($A$1, 396 - 1, 101 - 1) = "0", OFFSET($A$1, 396 - 1, 102 - 1) = "1" ), 3, 4 ) ) )</f>
        <v>1</v>
      </c>
    </row>
    <row r="397" spans="95:103" ht="13.8" x14ac:dyDescent="0.3">
      <c r="CQ397" s="24">
        <v>0.89804408326873186</v>
      </c>
      <c r="CR397" s="24" t="str">
        <f>"1"</f>
        <v>1</v>
      </c>
      <c r="CS397" t="str">
        <f ca="1">IF((OFFSET($A$1, 397 - 1, 95 - 1)) &gt;= (OFFSET($A$1, 54 - 1, 7 - 1)), "1","0")</f>
        <v>1</v>
      </c>
      <c r="CT397">
        <f ca="1" xml:space="preserve"> IF( AND( OFFSET($A$1, 397 - 1, 96 - 1) = "1", OFFSET($A$1, 397 - 1, 97 - 1) = "1" ), 1, IF( AND( OFFSET($A$1, 397 - 1, 96 - 1) = "1", OFFSET($A$1, 397 - 1, 97 - 1) = "0" ), 2, IF( AND( OFFSET($A$1, 397 - 1, 96 - 1) = "0", OFFSET($A$1, 397 - 1, 97 - 1) = "1" ), 3, 4 ) ) )</f>
        <v>1</v>
      </c>
      <c r="CV397" s="24">
        <v>0.93322889610223791</v>
      </c>
      <c r="CW397" s="24" t="str">
        <f>"1"</f>
        <v>1</v>
      </c>
      <c r="CX397" t="str">
        <f ca="1">IF((OFFSET($A$1, 397 - 1, 100 - 1)) &gt;= (OFFSET($A$1, 78 - 1, 7 - 1)), "1","0")</f>
        <v>1</v>
      </c>
      <c r="CY397">
        <f ca="1" xml:space="preserve"> IF( AND( OFFSET($A$1, 397 - 1, 101 - 1) = "1", OFFSET($A$1, 397 - 1, 102 - 1) = "1" ), 1, IF( AND( OFFSET($A$1, 397 - 1, 101 - 1) = "1", OFFSET($A$1, 397 - 1, 102 - 1) = "0" ), 2, IF( AND( OFFSET($A$1, 397 - 1, 101 - 1) = "0", OFFSET($A$1, 397 - 1, 102 - 1) = "1" ), 3, 4 ) ) )</f>
        <v>1</v>
      </c>
    </row>
    <row r="398" spans="95:103" ht="13.8" x14ac:dyDescent="0.3">
      <c r="CQ398" s="24">
        <v>4.6021723338057291E-2</v>
      </c>
      <c r="CR398" s="24" t="str">
        <f>"0"</f>
        <v>0</v>
      </c>
      <c r="CS398" t="str">
        <f ca="1">IF((OFFSET($A$1, 398 - 1, 95 - 1)) &gt;= (OFFSET($A$1, 54 - 1, 7 - 1)), "1","0")</f>
        <v>0</v>
      </c>
      <c r="CT398">
        <f ca="1" xml:space="preserve"> IF( AND( OFFSET($A$1, 398 - 1, 96 - 1) = "1", OFFSET($A$1, 398 - 1, 97 - 1) = "1" ), 1, IF( AND( OFFSET($A$1, 398 - 1, 96 - 1) = "1", OFFSET($A$1, 398 - 1, 97 - 1) = "0" ), 2, IF( AND( OFFSET($A$1, 398 - 1, 96 - 1) = "0", OFFSET($A$1, 398 - 1, 97 - 1) = "1" ), 3, 4 ) ) )</f>
        <v>4</v>
      </c>
      <c r="CV398" s="24">
        <v>0.99993192733412872</v>
      </c>
      <c r="CW398" s="24" t="str">
        <f>"1"</f>
        <v>1</v>
      </c>
      <c r="CX398" t="str">
        <f ca="1">IF((OFFSET($A$1, 398 - 1, 100 - 1)) &gt;= (OFFSET($A$1, 78 - 1, 7 - 1)), "1","0")</f>
        <v>1</v>
      </c>
      <c r="CY398">
        <f ca="1" xml:space="preserve"> IF( AND( OFFSET($A$1, 398 - 1, 101 - 1) = "1", OFFSET($A$1, 398 - 1, 102 - 1) = "1" ), 1, IF( AND( OFFSET($A$1, 398 - 1, 101 - 1) = "1", OFFSET($A$1, 398 - 1, 102 - 1) = "0" ), 2, IF( AND( OFFSET($A$1, 398 - 1, 101 - 1) = "0", OFFSET($A$1, 398 - 1, 102 - 1) = "1" ), 3, 4 ) ) )</f>
        <v>1</v>
      </c>
    </row>
    <row r="399" spans="95:103" ht="13.8" x14ac:dyDescent="0.3">
      <c r="CQ399" s="24">
        <v>0.15551308005461831</v>
      </c>
      <c r="CR399" s="24" t="str">
        <f>"0"</f>
        <v>0</v>
      </c>
      <c r="CS399" t="str">
        <f ca="1">IF((OFFSET($A$1, 399 - 1, 95 - 1)) &gt;= (OFFSET($A$1, 54 - 1, 7 - 1)), "1","0")</f>
        <v>0</v>
      </c>
      <c r="CT399">
        <f ca="1" xml:space="preserve"> IF( AND( OFFSET($A$1, 399 - 1, 96 - 1) = "1", OFFSET($A$1, 399 - 1, 97 - 1) = "1" ), 1, IF( AND( OFFSET($A$1, 399 - 1, 96 - 1) = "1", OFFSET($A$1, 399 - 1, 97 - 1) = "0" ), 2, IF( AND( OFFSET($A$1, 399 - 1, 96 - 1) = "0", OFFSET($A$1, 399 - 1, 97 - 1) = "1" ), 3, 4 ) ) )</f>
        <v>4</v>
      </c>
      <c r="CV399" s="24">
        <v>0.99582198463013194</v>
      </c>
      <c r="CW399" s="24" t="str">
        <f>"0"</f>
        <v>0</v>
      </c>
      <c r="CX399" t="str">
        <f ca="1">IF((OFFSET($A$1, 399 - 1, 100 - 1)) &gt;= (OFFSET($A$1, 78 - 1, 7 - 1)), "1","0")</f>
        <v>1</v>
      </c>
      <c r="CY399">
        <f ca="1" xml:space="preserve"> IF( AND( OFFSET($A$1, 399 - 1, 101 - 1) = "1", OFFSET($A$1, 399 - 1, 102 - 1) = "1" ), 1, IF( AND( OFFSET($A$1, 399 - 1, 101 - 1) = "1", OFFSET($A$1, 399 - 1, 102 - 1) = "0" ), 2, IF( AND( OFFSET($A$1, 399 - 1, 101 - 1) = "0", OFFSET($A$1, 399 - 1, 102 - 1) = "1" ), 3, 4 ) ) )</f>
        <v>3</v>
      </c>
    </row>
    <row r="400" spans="95:103" ht="13.8" x14ac:dyDescent="0.3">
      <c r="CQ400" s="24">
        <v>9.9180407529391917E-2</v>
      </c>
      <c r="CR400" s="24" t="str">
        <f>"0"</f>
        <v>0</v>
      </c>
      <c r="CS400" t="str">
        <f ca="1">IF((OFFSET($A$1, 400 - 1, 95 - 1)) &gt;= (OFFSET($A$1, 54 - 1, 7 - 1)), "1","0")</f>
        <v>0</v>
      </c>
      <c r="CT400">
        <f ca="1" xml:space="preserve"> IF( AND( OFFSET($A$1, 400 - 1, 96 - 1) = "1", OFFSET($A$1, 400 - 1, 97 - 1) = "1" ), 1, IF( AND( OFFSET($A$1, 400 - 1, 96 - 1) = "1", OFFSET($A$1, 400 - 1, 97 - 1) = "0" ), 2, IF( AND( OFFSET($A$1, 400 - 1, 96 - 1) = "0", OFFSET($A$1, 400 - 1, 97 - 1) = "1" ), 3, 4 ) ) )</f>
        <v>4</v>
      </c>
      <c r="CV400" s="24">
        <v>0.24063642944420113</v>
      </c>
      <c r="CW400" s="24" t="str">
        <f>"1"</f>
        <v>1</v>
      </c>
      <c r="CX400" t="str">
        <f ca="1">IF((OFFSET($A$1, 400 - 1, 100 - 1)) &gt;= (OFFSET($A$1, 78 - 1, 7 - 1)), "1","0")</f>
        <v>0</v>
      </c>
      <c r="CY400">
        <f ca="1" xml:space="preserve"> IF( AND( OFFSET($A$1, 400 - 1, 101 - 1) = "1", OFFSET($A$1, 400 - 1, 102 - 1) = "1" ), 1, IF( AND( OFFSET($A$1, 400 - 1, 101 - 1) = "1", OFFSET($A$1, 400 - 1, 102 - 1) = "0" ), 2, IF( AND( OFFSET($A$1, 400 - 1, 101 - 1) = "0", OFFSET($A$1, 400 - 1, 102 - 1) = "1" ), 3, 4 ) ) )</f>
        <v>2</v>
      </c>
    </row>
    <row r="401" spans="95:98" ht="13.8" x14ac:dyDescent="0.3">
      <c r="CQ401" s="24">
        <v>0.8929764800297656</v>
      </c>
      <c r="CR401" s="24" t="str">
        <f>"1"</f>
        <v>1</v>
      </c>
      <c r="CS401" t="str">
        <f ca="1">IF((OFFSET($A$1, 401 - 1, 95 - 1)) &gt;= (OFFSET($A$1, 54 - 1, 7 - 1)), "1","0")</f>
        <v>1</v>
      </c>
      <c r="CT401">
        <f ca="1" xml:space="preserve"> IF( AND( OFFSET($A$1, 401 - 1, 96 - 1) = "1", OFFSET($A$1, 401 - 1, 97 - 1) = "1" ), 1, IF( AND( OFFSET($A$1, 401 - 1, 96 - 1) = "1", OFFSET($A$1, 401 - 1, 97 - 1) = "0" ), 2, IF( AND( OFFSET($A$1, 401 - 1, 96 - 1) = "0", OFFSET($A$1, 401 - 1, 97 - 1) = "1" ), 3, 4 ) ) )</f>
        <v>1</v>
      </c>
    </row>
    <row r="402" spans="95:98" ht="13.8" x14ac:dyDescent="0.3">
      <c r="CQ402" s="24">
        <v>0.99801181722876842</v>
      </c>
      <c r="CR402" s="24" t="str">
        <f>"1"</f>
        <v>1</v>
      </c>
      <c r="CS402" t="str">
        <f ca="1">IF((OFFSET($A$1, 402 - 1, 95 - 1)) &gt;= (OFFSET($A$1, 54 - 1, 7 - 1)), "1","0")</f>
        <v>1</v>
      </c>
      <c r="CT402">
        <f ca="1" xml:space="preserve"> IF( AND( OFFSET($A$1, 402 - 1, 96 - 1) = "1", OFFSET($A$1, 402 - 1, 97 - 1) = "1" ), 1, IF( AND( OFFSET($A$1, 402 - 1, 96 - 1) = "1", OFFSET($A$1, 402 - 1, 97 - 1) = "0" ), 2, IF( AND( OFFSET($A$1, 402 - 1, 96 - 1) = "0", OFFSET($A$1, 402 - 1, 97 - 1) = "1" ), 3, 4 ) ) )</f>
        <v>1</v>
      </c>
    </row>
    <row r="403" spans="95:98" ht="13.8" x14ac:dyDescent="0.3">
      <c r="CQ403" s="24">
        <v>0.994043760633878</v>
      </c>
      <c r="CR403" s="24" t="str">
        <f>"1"</f>
        <v>1</v>
      </c>
      <c r="CS403" t="str">
        <f ca="1">IF((OFFSET($A$1, 403 - 1, 95 - 1)) &gt;= (OFFSET($A$1, 54 - 1, 7 - 1)), "1","0")</f>
        <v>1</v>
      </c>
      <c r="CT403">
        <f ca="1" xml:space="preserve"> IF( AND( OFFSET($A$1, 403 - 1, 96 - 1) = "1", OFFSET($A$1, 403 - 1, 97 - 1) = "1" ), 1, IF( AND( OFFSET($A$1, 403 - 1, 96 - 1) = "1", OFFSET($A$1, 403 - 1, 97 - 1) = "0" ), 2, IF( AND( OFFSET($A$1, 403 - 1, 96 - 1) = "0", OFFSET($A$1, 403 - 1, 97 - 1) = "1" ), 3, 4 ) ) )</f>
        <v>1</v>
      </c>
    </row>
    <row r="404" spans="95:98" ht="13.8" x14ac:dyDescent="0.3">
      <c r="CQ404" s="24">
        <v>0.36894575526605139</v>
      </c>
      <c r="CR404" s="24" t="str">
        <f>"1"</f>
        <v>1</v>
      </c>
      <c r="CS404" t="str">
        <f ca="1">IF((OFFSET($A$1, 404 - 1, 95 - 1)) &gt;= (OFFSET($A$1, 54 - 1, 7 - 1)), "1","0")</f>
        <v>0</v>
      </c>
      <c r="CT404">
        <f ca="1" xml:space="preserve"> IF( AND( OFFSET($A$1, 404 - 1, 96 - 1) = "1", OFFSET($A$1, 404 - 1, 97 - 1) = "1" ), 1, IF( AND( OFFSET($A$1, 404 - 1, 96 - 1) = "1", OFFSET($A$1, 404 - 1, 97 - 1) = "0" ), 2, IF( AND( OFFSET($A$1, 404 - 1, 96 - 1) = "0", OFFSET($A$1, 404 - 1, 97 - 1) = "1" ), 3, 4 ) ) )</f>
        <v>2</v>
      </c>
    </row>
    <row r="405" spans="95:98" ht="13.8" x14ac:dyDescent="0.3">
      <c r="CQ405" s="24">
        <v>0.10903729742248991</v>
      </c>
      <c r="CR405" s="24" t="str">
        <f>"0"</f>
        <v>0</v>
      </c>
      <c r="CS405" t="str">
        <f ca="1">IF((OFFSET($A$1, 405 - 1, 95 - 1)) &gt;= (OFFSET($A$1, 54 - 1, 7 - 1)), "1","0")</f>
        <v>0</v>
      </c>
      <c r="CT405">
        <f ca="1" xml:space="preserve"> IF( AND( OFFSET($A$1, 405 - 1, 96 - 1) = "1", OFFSET($A$1, 405 - 1, 97 - 1) = "1" ), 1, IF( AND( OFFSET($A$1, 405 - 1, 96 - 1) = "1", OFFSET($A$1, 405 - 1, 97 - 1) = "0" ), 2, IF( AND( OFFSET($A$1, 405 - 1, 96 - 1) = "0", OFFSET($A$1, 405 - 1, 97 - 1) = "1" ), 3, 4 ) ) )</f>
        <v>4</v>
      </c>
    </row>
    <row r="406" spans="95:98" ht="13.8" x14ac:dyDescent="0.3">
      <c r="CQ406" s="24">
        <v>0.93921342124370122</v>
      </c>
      <c r="CR406" s="24" t="str">
        <f>"1"</f>
        <v>1</v>
      </c>
      <c r="CS406" t="str">
        <f ca="1">IF((OFFSET($A$1, 406 - 1, 95 - 1)) &gt;= (OFFSET($A$1, 54 - 1, 7 - 1)), "1","0")</f>
        <v>1</v>
      </c>
      <c r="CT406">
        <f ca="1" xml:space="preserve"> IF( AND( OFFSET($A$1, 406 - 1, 96 - 1) = "1", OFFSET($A$1, 406 - 1, 97 - 1) = "1" ), 1, IF( AND( OFFSET($A$1, 406 - 1, 96 - 1) = "1", OFFSET($A$1, 406 - 1, 97 - 1) = "0" ), 2, IF( AND( OFFSET($A$1, 406 - 1, 96 - 1) = "0", OFFSET($A$1, 406 - 1, 97 - 1) = "1" ), 3, 4 ) ) )</f>
        <v>1</v>
      </c>
    </row>
    <row r="407" spans="95:98" ht="13.8" x14ac:dyDescent="0.3">
      <c r="CQ407" s="24">
        <v>6.7790685103625112E-2</v>
      </c>
      <c r="CR407" s="24" t="str">
        <f>"0"</f>
        <v>0</v>
      </c>
      <c r="CS407" t="str">
        <f ca="1">IF((OFFSET($A$1, 407 - 1, 95 - 1)) &gt;= (OFFSET($A$1, 54 - 1, 7 - 1)), "1","0")</f>
        <v>0</v>
      </c>
      <c r="CT407">
        <f ca="1" xml:space="preserve"> IF( AND( OFFSET($A$1, 407 - 1, 96 - 1) = "1", OFFSET($A$1, 407 - 1, 97 - 1) = "1" ), 1, IF( AND( OFFSET($A$1, 407 - 1, 96 - 1) = "1", OFFSET($A$1, 407 - 1, 97 - 1) = "0" ), 2, IF( AND( OFFSET($A$1, 407 - 1, 96 - 1) = "0", OFFSET($A$1, 407 - 1, 97 - 1) = "1" ), 3, 4 ) ) )</f>
        <v>4</v>
      </c>
    </row>
    <row r="408" spans="95:98" ht="13.8" x14ac:dyDescent="0.3">
      <c r="CQ408" s="24">
        <v>2.5911768452770052E-2</v>
      </c>
      <c r="CR408" s="24" t="str">
        <f>"0"</f>
        <v>0</v>
      </c>
      <c r="CS408" t="str">
        <f ca="1">IF((OFFSET($A$1, 408 - 1, 95 - 1)) &gt;= (OFFSET($A$1, 54 - 1, 7 - 1)), "1","0")</f>
        <v>0</v>
      </c>
      <c r="CT408">
        <f ca="1" xml:space="preserve"> IF( AND( OFFSET($A$1, 408 - 1, 96 - 1) = "1", OFFSET($A$1, 408 - 1, 97 - 1) = "1" ), 1, IF( AND( OFFSET($A$1, 408 - 1, 96 - 1) = "1", OFFSET($A$1, 408 - 1, 97 - 1) = "0" ), 2, IF( AND( OFFSET($A$1, 408 - 1, 96 - 1) = "0", OFFSET($A$1, 408 - 1, 97 - 1) = "1" ), 3, 4 ) ) )</f>
        <v>4</v>
      </c>
    </row>
    <row r="409" spans="95:98" ht="13.8" x14ac:dyDescent="0.3">
      <c r="CQ409" s="24">
        <v>0.99202383497587521</v>
      </c>
      <c r="CR409" s="24" t="str">
        <f>"1"</f>
        <v>1</v>
      </c>
      <c r="CS409" t="str">
        <f ca="1">IF((OFFSET($A$1, 409 - 1, 95 - 1)) &gt;= (OFFSET($A$1, 54 - 1, 7 - 1)), "1","0")</f>
        <v>1</v>
      </c>
      <c r="CT409">
        <f ca="1" xml:space="preserve"> IF( AND( OFFSET($A$1, 409 - 1, 96 - 1) = "1", OFFSET($A$1, 409 - 1, 97 - 1) = "1" ), 1, IF( AND( OFFSET($A$1, 409 - 1, 96 - 1) = "1", OFFSET($A$1, 409 - 1, 97 - 1) = "0" ), 2, IF( AND( OFFSET($A$1, 409 - 1, 96 - 1) = "0", OFFSET($A$1, 409 - 1, 97 - 1) = "1" ), 3, 4 ) ) )</f>
        <v>1</v>
      </c>
    </row>
    <row r="410" spans="95:98" ht="13.8" x14ac:dyDescent="0.3">
      <c r="CQ410" s="24">
        <v>0.17097794312838779</v>
      </c>
      <c r="CR410" s="24" t="str">
        <f>"0"</f>
        <v>0</v>
      </c>
      <c r="CS410" t="str">
        <f ca="1">IF((OFFSET($A$1, 410 - 1, 95 - 1)) &gt;= (OFFSET($A$1, 54 - 1, 7 - 1)), "1","0")</f>
        <v>0</v>
      </c>
      <c r="CT410">
        <f ca="1" xml:space="preserve"> IF( AND( OFFSET($A$1, 410 - 1, 96 - 1) = "1", OFFSET($A$1, 410 - 1, 97 - 1) = "1" ), 1, IF( AND( OFFSET($A$1, 410 - 1, 96 - 1) = "1", OFFSET($A$1, 410 - 1, 97 - 1) = "0" ), 2, IF( AND( OFFSET($A$1, 410 - 1, 96 - 1) = "0", OFFSET($A$1, 410 - 1, 97 - 1) = "1" ), 3, 4 ) ) )</f>
        <v>4</v>
      </c>
    </row>
    <row r="411" spans="95:98" ht="13.8" x14ac:dyDescent="0.3">
      <c r="CQ411" s="24">
        <v>0.98872216263765034</v>
      </c>
      <c r="CR411" s="24" t="str">
        <f>"1"</f>
        <v>1</v>
      </c>
      <c r="CS411" t="str">
        <f ca="1">IF((OFFSET($A$1, 411 - 1, 95 - 1)) &gt;= (OFFSET($A$1, 54 - 1, 7 - 1)), "1","0")</f>
        <v>1</v>
      </c>
      <c r="CT411">
        <f ca="1" xml:space="preserve"> IF( AND( OFFSET($A$1, 411 - 1, 96 - 1) = "1", OFFSET($A$1, 411 - 1, 97 - 1) = "1" ), 1, IF( AND( OFFSET($A$1, 411 - 1, 96 - 1) = "1", OFFSET($A$1, 411 - 1, 97 - 1) = "0" ), 2, IF( AND( OFFSET($A$1, 411 - 1, 96 - 1) = "0", OFFSET($A$1, 411 - 1, 97 - 1) = "1" ), 3, 4 ) ) )</f>
        <v>1</v>
      </c>
    </row>
    <row r="412" spans="95:98" ht="13.8" x14ac:dyDescent="0.3">
      <c r="CQ412" s="24">
        <v>0.94245868303403146</v>
      </c>
      <c r="CR412" s="24" t="str">
        <f>"1"</f>
        <v>1</v>
      </c>
      <c r="CS412" t="str">
        <f ca="1">IF((OFFSET($A$1, 412 - 1, 95 - 1)) &gt;= (OFFSET($A$1, 54 - 1, 7 - 1)), "1","0")</f>
        <v>1</v>
      </c>
      <c r="CT412">
        <f ca="1" xml:space="preserve"> IF( AND( OFFSET($A$1, 412 - 1, 96 - 1) = "1", OFFSET($A$1, 412 - 1, 97 - 1) = "1" ), 1, IF( AND( OFFSET($A$1, 412 - 1, 96 - 1) = "1", OFFSET($A$1, 412 - 1, 97 - 1) = "0" ), 2, IF( AND( OFFSET($A$1, 412 - 1, 96 - 1) = "0", OFFSET($A$1, 412 - 1, 97 - 1) = "1" ), 3, 4 ) ) )</f>
        <v>1</v>
      </c>
    </row>
    <row r="413" spans="95:98" ht="13.8" x14ac:dyDescent="0.3">
      <c r="CQ413" s="24">
        <v>1.9887172381487399E-2</v>
      </c>
      <c r="CR413" s="24" t="str">
        <f>"0"</f>
        <v>0</v>
      </c>
      <c r="CS413" t="str">
        <f ca="1">IF((OFFSET($A$1, 413 - 1, 95 - 1)) &gt;= (OFFSET($A$1, 54 - 1, 7 - 1)), "1","0")</f>
        <v>0</v>
      </c>
      <c r="CT413">
        <f ca="1" xml:space="preserve"> IF( AND( OFFSET($A$1, 413 - 1, 96 - 1) = "1", OFFSET($A$1, 413 - 1, 97 - 1) = "1" ), 1, IF( AND( OFFSET($A$1, 413 - 1, 96 - 1) = "1", OFFSET($A$1, 413 - 1, 97 - 1) = "0" ), 2, IF( AND( OFFSET($A$1, 413 - 1, 96 - 1) = "0", OFFSET($A$1, 413 - 1, 97 - 1) = "1" ), 3, 4 ) ) )</f>
        <v>4</v>
      </c>
    </row>
    <row r="414" spans="95:98" ht="13.8" x14ac:dyDescent="0.3">
      <c r="CQ414" s="24">
        <v>0.88580135697519746</v>
      </c>
      <c r="CR414" s="24" t="str">
        <f>"1"</f>
        <v>1</v>
      </c>
      <c r="CS414" t="str">
        <f ca="1">IF((OFFSET($A$1, 414 - 1, 95 - 1)) &gt;= (OFFSET($A$1, 54 - 1, 7 - 1)), "1","0")</f>
        <v>1</v>
      </c>
      <c r="CT414">
        <f ca="1" xml:space="preserve"> IF( AND( OFFSET($A$1, 414 - 1, 96 - 1) = "1", OFFSET($A$1, 414 - 1, 97 - 1) = "1" ), 1, IF( AND( OFFSET($A$1, 414 - 1, 96 - 1) = "1", OFFSET($A$1, 414 - 1, 97 - 1) = "0" ), 2, IF( AND( OFFSET($A$1, 414 - 1, 96 - 1) = "0", OFFSET($A$1, 414 - 1, 97 - 1) = "1" ), 3, 4 ) ) )</f>
        <v>1</v>
      </c>
    </row>
    <row r="415" spans="95:98" ht="13.8" x14ac:dyDescent="0.3">
      <c r="CQ415" s="24">
        <v>7.5325011407273393E-2</v>
      </c>
      <c r="CR415" s="24" t="str">
        <f>"0"</f>
        <v>0</v>
      </c>
      <c r="CS415" t="str">
        <f ca="1">IF((OFFSET($A$1, 415 - 1, 95 - 1)) &gt;= (OFFSET($A$1, 54 - 1, 7 - 1)), "1","0")</f>
        <v>0</v>
      </c>
      <c r="CT415">
        <f ca="1" xml:space="preserve"> IF( AND( OFFSET($A$1, 415 - 1, 96 - 1) = "1", OFFSET($A$1, 415 - 1, 97 - 1) = "1" ), 1, IF( AND( OFFSET($A$1, 415 - 1, 96 - 1) = "1", OFFSET($A$1, 415 - 1, 97 - 1) = "0" ), 2, IF( AND( OFFSET($A$1, 415 - 1, 96 - 1) = "0", OFFSET($A$1, 415 - 1, 97 - 1) = "1" ), 3, 4 ) ) )</f>
        <v>4</v>
      </c>
    </row>
    <row r="416" spans="95:98" ht="13.8" x14ac:dyDescent="0.3">
      <c r="CQ416" s="24">
        <v>0.96013504567770469</v>
      </c>
      <c r="CR416" s="24" t="str">
        <f>"1"</f>
        <v>1</v>
      </c>
      <c r="CS416" t="str">
        <f ca="1">IF((OFFSET($A$1, 416 - 1, 95 - 1)) &gt;= (OFFSET($A$1, 54 - 1, 7 - 1)), "1","0")</f>
        <v>1</v>
      </c>
      <c r="CT416">
        <f ca="1" xml:space="preserve"> IF( AND( OFFSET($A$1, 416 - 1, 96 - 1) = "1", OFFSET($A$1, 416 - 1, 97 - 1) = "1" ), 1, IF( AND( OFFSET($A$1, 416 - 1, 96 - 1) = "1", OFFSET($A$1, 416 - 1, 97 - 1) = "0" ), 2, IF( AND( OFFSET($A$1, 416 - 1, 96 - 1) = "0", OFFSET($A$1, 416 - 1, 97 - 1) = "1" ), 3, 4 ) ) )</f>
        <v>1</v>
      </c>
    </row>
    <row r="417" spans="95:98" ht="13.8" x14ac:dyDescent="0.3">
      <c r="CQ417" s="24">
        <v>0.98844010342292854</v>
      </c>
      <c r="CR417" s="24" t="str">
        <f>"1"</f>
        <v>1</v>
      </c>
      <c r="CS417" t="str">
        <f ca="1">IF((OFFSET($A$1, 417 - 1, 95 - 1)) &gt;= (OFFSET($A$1, 54 - 1, 7 - 1)), "1","0")</f>
        <v>1</v>
      </c>
      <c r="CT417">
        <f ca="1" xml:space="preserve"> IF( AND( OFFSET($A$1, 417 - 1, 96 - 1) = "1", OFFSET($A$1, 417 - 1, 97 - 1) = "1" ), 1, IF( AND( OFFSET($A$1, 417 - 1, 96 - 1) = "1", OFFSET($A$1, 417 - 1, 97 - 1) = "0" ), 2, IF( AND( OFFSET($A$1, 417 - 1, 96 - 1) = "0", OFFSET($A$1, 417 - 1, 97 - 1) = "1" ), 3, 4 ) ) )</f>
        <v>1</v>
      </c>
    </row>
    <row r="418" spans="95:98" ht="13.8" x14ac:dyDescent="0.3">
      <c r="CQ418" s="24">
        <v>0.94142931017049347</v>
      </c>
      <c r="CR418" s="24" t="str">
        <f>"1"</f>
        <v>1</v>
      </c>
      <c r="CS418" t="str">
        <f ca="1">IF((OFFSET($A$1, 418 - 1, 95 - 1)) &gt;= (OFFSET($A$1, 54 - 1, 7 - 1)), "1","0")</f>
        <v>1</v>
      </c>
      <c r="CT418">
        <f ca="1" xml:space="preserve"> IF( AND( OFFSET($A$1, 418 - 1, 96 - 1) = "1", OFFSET($A$1, 418 - 1, 97 - 1) = "1" ), 1, IF( AND( OFFSET($A$1, 418 - 1, 96 - 1) = "1", OFFSET($A$1, 418 - 1, 97 - 1) = "0" ), 2, IF( AND( OFFSET($A$1, 418 - 1, 96 - 1) = "0", OFFSET($A$1, 418 - 1, 97 - 1) = "1" ), 3, 4 ) ) )</f>
        <v>1</v>
      </c>
    </row>
    <row r="419" spans="95:98" ht="13.8" x14ac:dyDescent="0.3">
      <c r="CQ419" s="24">
        <v>0.99370513995055598</v>
      </c>
      <c r="CR419" s="24" t="str">
        <f>"1"</f>
        <v>1</v>
      </c>
      <c r="CS419" t="str">
        <f ca="1">IF((OFFSET($A$1, 419 - 1, 95 - 1)) &gt;= (OFFSET($A$1, 54 - 1, 7 - 1)), "1","0")</f>
        <v>1</v>
      </c>
      <c r="CT419">
        <f ca="1" xml:space="preserve"> IF( AND( OFFSET($A$1, 419 - 1, 96 - 1) = "1", OFFSET($A$1, 419 - 1, 97 - 1) = "1" ), 1, IF( AND( OFFSET($A$1, 419 - 1, 96 - 1) = "1", OFFSET($A$1, 419 - 1, 97 - 1) = "0" ), 2, IF( AND( OFFSET($A$1, 419 - 1, 96 - 1) = "0", OFFSET($A$1, 419 - 1, 97 - 1) = "1" ), 3, 4 ) ) )</f>
        <v>1</v>
      </c>
    </row>
    <row r="420" spans="95:98" ht="13.8" x14ac:dyDescent="0.3">
      <c r="CQ420" s="24">
        <v>8.6674101660817751E-2</v>
      </c>
      <c r="CR420" s="24" t="str">
        <f>"0"</f>
        <v>0</v>
      </c>
      <c r="CS420" t="str">
        <f ca="1">IF((OFFSET($A$1, 420 - 1, 95 - 1)) &gt;= (OFFSET($A$1, 54 - 1, 7 - 1)), "1","0")</f>
        <v>0</v>
      </c>
      <c r="CT420">
        <f ca="1" xml:space="preserve"> IF( AND( OFFSET($A$1, 420 - 1, 96 - 1) = "1", OFFSET($A$1, 420 - 1, 97 - 1) = "1" ), 1, IF( AND( OFFSET($A$1, 420 - 1, 96 - 1) = "1", OFFSET($A$1, 420 - 1, 97 - 1) = "0" ), 2, IF( AND( OFFSET($A$1, 420 - 1, 96 - 1) = "0", OFFSET($A$1, 420 - 1, 97 - 1) = "1" ), 3, 4 ) ) )</f>
        <v>4</v>
      </c>
    </row>
    <row r="421" spans="95:98" ht="13.8" x14ac:dyDescent="0.3">
      <c r="CQ421" s="24">
        <v>3.4804599343631155E-3</v>
      </c>
      <c r="CR421" s="24" t="str">
        <f>"0"</f>
        <v>0</v>
      </c>
      <c r="CS421" t="str">
        <f ca="1">IF((OFFSET($A$1, 421 - 1, 95 - 1)) &gt;= (OFFSET($A$1, 54 - 1, 7 - 1)), "1","0")</f>
        <v>0</v>
      </c>
      <c r="CT421">
        <f ca="1" xml:space="preserve"> IF( AND( OFFSET($A$1, 421 - 1, 96 - 1) = "1", OFFSET($A$1, 421 - 1, 97 - 1) = "1" ), 1, IF( AND( OFFSET($A$1, 421 - 1, 96 - 1) = "1", OFFSET($A$1, 421 - 1, 97 - 1) = "0" ), 2, IF( AND( OFFSET($A$1, 421 - 1, 96 - 1) = "0", OFFSET($A$1, 421 - 1, 97 - 1) = "1" ), 3, 4 ) ) )</f>
        <v>4</v>
      </c>
    </row>
    <row r="422" spans="95:98" ht="13.8" x14ac:dyDescent="0.3">
      <c r="CQ422" s="24">
        <v>0.98563454454276744</v>
      </c>
      <c r="CR422" s="24" t="str">
        <f>"1"</f>
        <v>1</v>
      </c>
      <c r="CS422" t="str">
        <f ca="1">IF((OFFSET($A$1, 422 - 1, 95 - 1)) &gt;= (OFFSET($A$1, 54 - 1, 7 - 1)), "1","0")</f>
        <v>1</v>
      </c>
      <c r="CT422">
        <f ca="1" xml:space="preserve"> IF( AND( OFFSET($A$1, 422 - 1, 96 - 1) = "1", OFFSET($A$1, 422 - 1, 97 - 1) = "1" ), 1, IF( AND( OFFSET($A$1, 422 - 1, 96 - 1) = "1", OFFSET($A$1, 422 - 1, 97 - 1) = "0" ), 2, IF( AND( OFFSET($A$1, 422 - 1, 96 - 1) = "0", OFFSET($A$1, 422 - 1, 97 - 1) = "1" ), 3, 4 ) ) )</f>
        <v>1</v>
      </c>
    </row>
    <row r="423" spans="95:98" ht="13.8" x14ac:dyDescent="0.3">
      <c r="CQ423" s="24">
        <v>0.99030617566746737</v>
      </c>
      <c r="CR423" s="24" t="str">
        <f>"1"</f>
        <v>1</v>
      </c>
      <c r="CS423" t="str">
        <f ca="1">IF((OFFSET($A$1, 423 - 1, 95 - 1)) &gt;= (OFFSET($A$1, 54 - 1, 7 - 1)), "1","0")</f>
        <v>1</v>
      </c>
      <c r="CT423">
        <f ca="1" xml:space="preserve"> IF( AND( OFFSET($A$1, 423 - 1, 96 - 1) = "1", OFFSET($A$1, 423 - 1, 97 - 1) = "1" ), 1, IF( AND( OFFSET($A$1, 423 - 1, 96 - 1) = "1", OFFSET($A$1, 423 - 1, 97 - 1) = "0" ), 2, IF( AND( OFFSET($A$1, 423 - 1, 96 - 1) = "0", OFFSET($A$1, 423 - 1, 97 - 1) = "1" ), 3, 4 ) ) )</f>
        <v>1</v>
      </c>
    </row>
    <row r="424" spans="95:98" ht="13.8" x14ac:dyDescent="0.3">
      <c r="CQ424" s="24">
        <v>6.5904780465052262E-3</v>
      </c>
      <c r="CR424" s="24" t="str">
        <f>"0"</f>
        <v>0</v>
      </c>
      <c r="CS424" t="str">
        <f ca="1">IF((OFFSET($A$1, 424 - 1, 95 - 1)) &gt;= (OFFSET($A$1, 54 - 1, 7 - 1)), "1","0")</f>
        <v>0</v>
      </c>
      <c r="CT424">
        <f ca="1" xml:space="preserve"> IF( AND( OFFSET($A$1, 424 - 1, 96 - 1) = "1", OFFSET($A$1, 424 - 1, 97 - 1) = "1" ), 1, IF( AND( OFFSET($A$1, 424 - 1, 96 - 1) = "1", OFFSET($A$1, 424 - 1, 97 - 1) = "0" ), 2, IF( AND( OFFSET($A$1, 424 - 1, 96 - 1) = "0", OFFSET($A$1, 424 - 1, 97 - 1) = "1" ), 3, 4 ) ) )</f>
        <v>4</v>
      </c>
    </row>
    <row r="425" spans="95:98" ht="13.8" x14ac:dyDescent="0.3">
      <c r="CQ425" s="24">
        <v>0.99669865631265886</v>
      </c>
      <c r="CR425" s="24" t="str">
        <f>"1"</f>
        <v>1</v>
      </c>
      <c r="CS425" t="str">
        <f ca="1">IF((OFFSET($A$1, 425 - 1, 95 - 1)) &gt;= (OFFSET($A$1, 54 - 1, 7 - 1)), "1","0")</f>
        <v>1</v>
      </c>
      <c r="CT425">
        <f ca="1" xml:space="preserve"> IF( AND( OFFSET($A$1, 425 - 1, 96 - 1) = "1", OFFSET($A$1, 425 - 1, 97 - 1) = "1" ), 1, IF( AND( OFFSET($A$1, 425 - 1, 96 - 1) = "1", OFFSET($A$1, 425 - 1, 97 - 1) = "0" ), 2, IF( AND( OFFSET($A$1, 425 - 1, 96 - 1) = "0", OFFSET($A$1, 425 - 1, 97 - 1) = "1" ), 3, 4 ) ) )</f>
        <v>1</v>
      </c>
    </row>
    <row r="426" spans="95:98" ht="13.8" x14ac:dyDescent="0.3">
      <c r="CQ426" s="24">
        <v>0.99885179857028139</v>
      </c>
      <c r="CR426" s="24" t="str">
        <f>"1"</f>
        <v>1</v>
      </c>
      <c r="CS426" t="str">
        <f ca="1">IF((OFFSET($A$1, 426 - 1, 95 - 1)) &gt;= (OFFSET($A$1, 54 - 1, 7 - 1)), "1","0")</f>
        <v>1</v>
      </c>
      <c r="CT426">
        <f ca="1" xml:space="preserve"> IF( AND( OFFSET($A$1, 426 - 1, 96 - 1) = "1", OFFSET($A$1, 426 - 1, 97 - 1) = "1" ), 1, IF( AND( OFFSET($A$1, 426 - 1, 96 - 1) = "1", OFFSET($A$1, 426 - 1, 97 - 1) = "0" ), 2, IF( AND( OFFSET($A$1, 426 - 1, 96 - 1) = "0", OFFSET($A$1, 426 - 1, 97 - 1) = "1" ), 3, 4 ) ) )</f>
        <v>1</v>
      </c>
    </row>
    <row r="427" spans="95:98" ht="13.8" x14ac:dyDescent="0.3">
      <c r="CQ427" s="24">
        <v>0.1204995171575368</v>
      </c>
      <c r="CR427" s="24" t="str">
        <f>"0"</f>
        <v>0</v>
      </c>
      <c r="CS427" t="str">
        <f ca="1">IF((OFFSET($A$1, 427 - 1, 95 - 1)) &gt;= (OFFSET($A$1, 54 - 1, 7 - 1)), "1","0")</f>
        <v>0</v>
      </c>
      <c r="CT427">
        <f ca="1" xml:space="preserve"> IF( AND( OFFSET($A$1, 427 - 1, 96 - 1) = "1", OFFSET($A$1, 427 - 1, 97 - 1) = "1" ), 1, IF( AND( OFFSET($A$1, 427 - 1, 96 - 1) = "1", OFFSET($A$1, 427 - 1, 97 - 1) = "0" ), 2, IF( AND( OFFSET($A$1, 427 - 1, 96 - 1) = "0", OFFSET($A$1, 427 - 1, 97 - 1) = "1" ), 3, 4 ) ) )</f>
        <v>4</v>
      </c>
    </row>
    <row r="428" spans="95:98" ht="13.8" x14ac:dyDescent="0.3">
      <c r="CQ428" s="24">
        <v>0.93925058386049243</v>
      </c>
      <c r="CR428" s="24" t="str">
        <f t="shared" ref="CR428:CR444" si="33">"1"</f>
        <v>1</v>
      </c>
      <c r="CS428" t="str">
        <f ca="1">IF((OFFSET($A$1, 428 - 1, 95 - 1)) &gt;= (OFFSET($A$1, 54 - 1, 7 - 1)), "1","0")</f>
        <v>1</v>
      </c>
      <c r="CT428">
        <f ca="1" xml:space="preserve"> IF( AND( OFFSET($A$1, 428 - 1, 96 - 1) = "1", OFFSET($A$1, 428 - 1, 97 - 1) = "1" ), 1, IF( AND( OFFSET($A$1, 428 - 1, 96 - 1) = "1", OFFSET($A$1, 428 - 1, 97 - 1) = "0" ), 2, IF( AND( OFFSET($A$1, 428 - 1, 96 - 1) = "0", OFFSET($A$1, 428 - 1, 97 - 1) = "1" ), 3, 4 ) ) )</f>
        <v>1</v>
      </c>
    </row>
    <row r="429" spans="95:98" ht="13.8" x14ac:dyDescent="0.3">
      <c r="CQ429" s="24">
        <v>0.8674303834829169</v>
      </c>
      <c r="CR429" s="24" t="str">
        <f t="shared" si="33"/>
        <v>1</v>
      </c>
      <c r="CS429" t="str">
        <f ca="1">IF((OFFSET($A$1, 429 - 1, 95 - 1)) &gt;= (OFFSET($A$1, 54 - 1, 7 - 1)), "1","0")</f>
        <v>1</v>
      </c>
      <c r="CT429">
        <f ca="1" xml:space="preserve"> IF( AND( OFFSET($A$1, 429 - 1, 96 - 1) = "1", OFFSET($A$1, 429 - 1, 97 - 1) = "1" ), 1, IF( AND( OFFSET($A$1, 429 - 1, 96 - 1) = "1", OFFSET($A$1, 429 - 1, 97 - 1) = "0" ), 2, IF( AND( OFFSET($A$1, 429 - 1, 96 - 1) = "0", OFFSET($A$1, 429 - 1, 97 - 1) = "1" ), 3, 4 ) ) )</f>
        <v>1</v>
      </c>
    </row>
    <row r="430" spans="95:98" ht="13.8" x14ac:dyDescent="0.3">
      <c r="CQ430" s="24">
        <v>0.99576365658373045</v>
      </c>
      <c r="CR430" s="24" t="str">
        <f t="shared" si="33"/>
        <v>1</v>
      </c>
      <c r="CS430" t="str">
        <f ca="1">IF((OFFSET($A$1, 430 - 1, 95 - 1)) &gt;= (OFFSET($A$1, 54 - 1, 7 - 1)), "1","0")</f>
        <v>1</v>
      </c>
      <c r="CT430">
        <f ca="1" xml:space="preserve"> IF( AND( OFFSET($A$1, 430 - 1, 96 - 1) = "1", OFFSET($A$1, 430 - 1, 97 - 1) = "1" ), 1, IF( AND( OFFSET($A$1, 430 - 1, 96 - 1) = "1", OFFSET($A$1, 430 - 1, 97 - 1) = "0" ), 2, IF( AND( OFFSET($A$1, 430 - 1, 96 - 1) = "0", OFFSET($A$1, 430 - 1, 97 - 1) = "1" ), 3, 4 ) ) )</f>
        <v>1</v>
      </c>
    </row>
    <row r="431" spans="95:98" ht="13.8" x14ac:dyDescent="0.3">
      <c r="CQ431" s="24">
        <v>0.8886735938469682</v>
      </c>
      <c r="CR431" s="24" t="str">
        <f t="shared" si="33"/>
        <v>1</v>
      </c>
      <c r="CS431" t="str">
        <f ca="1">IF((OFFSET($A$1, 431 - 1, 95 - 1)) &gt;= (OFFSET($A$1, 54 - 1, 7 - 1)), "1","0")</f>
        <v>1</v>
      </c>
      <c r="CT431">
        <f ca="1" xml:space="preserve"> IF( AND( OFFSET($A$1, 431 - 1, 96 - 1) = "1", OFFSET($A$1, 431 - 1, 97 - 1) = "1" ), 1, IF( AND( OFFSET($A$1, 431 - 1, 96 - 1) = "1", OFFSET($A$1, 431 - 1, 97 - 1) = "0" ), 2, IF( AND( OFFSET($A$1, 431 - 1, 96 - 1) = "0", OFFSET($A$1, 431 - 1, 97 - 1) = "1" ), 3, 4 ) ) )</f>
        <v>1</v>
      </c>
    </row>
    <row r="432" spans="95:98" ht="13.8" x14ac:dyDescent="0.3">
      <c r="CQ432" s="24">
        <v>0.99271503591511834</v>
      </c>
      <c r="CR432" s="24" t="str">
        <f t="shared" si="33"/>
        <v>1</v>
      </c>
      <c r="CS432" t="str">
        <f ca="1">IF((OFFSET($A$1, 432 - 1, 95 - 1)) &gt;= (OFFSET($A$1, 54 - 1, 7 - 1)), "1","0")</f>
        <v>1</v>
      </c>
      <c r="CT432">
        <f ca="1" xml:space="preserve"> IF( AND( OFFSET($A$1, 432 - 1, 96 - 1) = "1", OFFSET($A$1, 432 - 1, 97 - 1) = "1" ), 1, IF( AND( OFFSET($A$1, 432 - 1, 96 - 1) = "1", OFFSET($A$1, 432 - 1, 97 - 1) = "0" ), 2, IF( AND( OFFSET($A$1, 432 - 1, 96 - 1) = "0", OFFSET($A$1, 432 - 1, 97 - 1) = "1" ), 3, 4 ) ) )</f>
        <v>1</v>
      </c>
    </row>
    <row r="433" spans="95:98" ht="13.8" x14ac:dyDescent="0.3">
      <c r="CQ433" s="24">
        <v>0.99998773271170582</v>
      </c>
      <c r="CR433" s="24" t="str">
        <f t="shared" si="33"/>
        <v>1</v>
      </c>
      <c r="CS433" t="str">
        <f ca="1">IF((OFFSET($A$1, 433 - 1, 95 - 1)) &gt;= (OFFSET($A$1, 54 - 1, 7 - 1)), "1","0")</f>
        <v>1</v>
      </c>
      <c r="CT433">
        <f ca="1" xml:space="preserve"> IF( AND( OFFSET($A$1, 433 - 1, 96 - 1) = "1", OFFSET($A$1, 433 - 1, 97 - 1) = "1" ), 1, IF( AND( OFFSET($A$1, 433 - 1, 96 - 1) = "1", OFFSET($A$1, 433 - 1, 97 - 1) = "0" ), 2, IF( AND( OFFSET($A$1, 433 - 1, 96 - 1) = "0", OFFSET($A$1, 433 - 1, 97 - 1) = "1" ), 3, 4 ) ) )</f>
        <v>1</v>
      </c>
    </row>
    <row r="434" spans="95:98" ht="13.8" x14ac:dyDescent="0.3">
      <c r="CQ434" s="24">
        <v>0.98660666459488133</v>
      </c>
      <c r="CR434" s="24" t="str">
        <f t="shared" si="33"/>
        <v>1</v>
      </c>
      <c r="CS434" t="str">
        <f ca="1">IF((OFFSET($A$1, 434 - 1, 95 - 1)) &gt;= (OFFSET($A$1, 54 - 1, 7 - 1)), "1","0")</f>
        <v>1</v>
      </c>
      <c r="CT434">
        <f ca="1" xml:space="preserve"> IF( AND( OFFSET($A$1, 434 - 1, 96 - 1) = "1", OFFSET($A$1, 434 - 1, 97 - 1) = "1" ), 1, IF( AND( OFFSET($A$1, 434 - 1, 96 - 1) = "1", OFFSET($A$1, 434 - 1, 97 - 1) = "0" ), 2, IF( AND( OFFSET($A$1, 434 - 1, 96 - 1) = "0", OFFSET($A$1, 434 - 1, 97 - 1) = "1" ), 3, 4 ) ) )</f>
        <v>1</v>
      </c>
    </row>
    <row r="435" spans="95:98" ht="13.8" x14ac:dyDescent="0.3">
      <c r="CQ435" s="24">
        <v>0.98200373258024409</v>
      </c>
      <c r="CR435" s="24" t="str">
        <f t="shared" si="33"/>
        <v>1</v>
      </c>
      <c r="CS435" t="str">
        <f ca="1">IF((OFFSET($A$1, 435 - 1, 95 - 1)) &gt;= (OFFSET($A$1, 54 - 1, 7 - 1)), "1","0")</f>
        <v>1</v>
      </c>
      <c r="CT435">
        <f ca="1" xml:space="preserve"> IF( AND( OFFSET($A$1, 435 - 1, 96 - 1) = "1", OFFSET($A$1, 435 - 1, 97 - 1) = "1" ), 1, IF( AND( OFFSET($A$1, 435 - 1, 96 - 1) = "1", OFFSET($A$1, 435 - 1, 97 - 1) = "0" ), 2, IF( AND( OFFSET($A$1, 435 - 1, 96 - 1) = "0", OFFSET($A$1, 435 - 1, 97 - 1) = "1" ), 3, 4 ) ) )</f>
        <v>1</v>
      </c>
    </row>
    <row r="436" spans="95:98" ht="13.8" x14ac:dyDescent="0.3">
      <c r="CQ436" s="24">
        <v>0.99989293205691065</v>
      </c>
      <c r="CR436" s="24" t="str">
        <f t="shared" si="33"/>
        <v>1</v>
      </c>
      <c r="CS436" t="str">
        <f ca="1">IF((OFFSET($A$1, 436 - 1, 95 - 1)) &gt;= (OFFSET($A$1, 54 - 1, 7 - 1)), "1","0")</f>
        <v>1</v>
      </c>
      <c r="CT436">
        <f ca="1" xml:space="preserve"> IF( AND( OFFSET($A$1, 436 - 1, 96 - 1) = "1", OFFSET($A$1, 436 - 1, 97 - 1) = "1" ), 1, IF( AND( OFFSET($A$1, 436 - 1, 96 - 1) = "1", OFFSET($A$1, 436 - 1, 97 - 1) = "0" ), 2, IF( AND( OFFSET($A$1, 436 - 1, 96 - 1) = "0", OFFSET($A$1, 436 - 1, 97 - 1) = "1" ), 3, 4 ) ) )</f>
        <v>1</v>
      </c>
    </row>
    <row r="437" spans="95:98" ht="13.8" x14ac:dyDescent="0.3">
      <c r="CQ437" s="24">
        <v>0.88814063610610361</v>
      </c>
      <c r="CR437" s="24" t="str">
        <f t="shared" si="33"/>
        <v>1</v>
      </c>
      <c r="CS437" t="str">
        <f ca="1">IF((OFFSET($A$1, 437 - 1, 95 - 1)) &gt;= (OFFSET($A$1, 54 - 1, 7 - 1)), "1","0")</f>
        <v>1</v>
      </c>
      <c r="CT437">
        <f ca="1" xml:space="preserve"> IF( AND( OFFSET($A$1, 437 - 1, 96 - 1) = "1", OFFSET($A$1, 437 - 1, 97 - 1) = "1" ), 1, IF( AND( OFFSET($A$1, 437 - 1, 96 - 1) = "1", OFFSET($A$1, 437 - 1, 97 - 1) = "0" ), 2, IF( AND( OFFSET($A$1, 437 - 1, 96 - 1) = "0", OFFSET($A$1, 437 - 1, 97 - 1) = "1" ), 3, 4 ) ) )</f>
        <v>1</v>
      </c>
    </row>
    <row r="438" spans="95:98" ht="13.8" x14ac:dyDescent="0.3">
      <c r="CQ438" s="24">
        <v>0.95424048609237833</v>
      </c>
      <c r="CR438" s="24" t="str">
        <f t="shared" si="33"/>
        <v>1</v>
      </c>
      <c r="CS438" t="str">
        <f ca="1">IF((OFFSET($A$1, 438 - 1, 95 - 1)) &gt;= (OFFSET($A$1, 54 - 1, 7 - 1)), "1","0")</f>
        <v>1</v>
      </c>
      <c r="CT438">
        <f ca="1" xml:space="preserve"> IF( AND( OFFSET($A$1, 438 - 1, 96 - 1) = "1", OFFSET($A$1, 438 - 1, 97 - 1) = "1" ), 1, IF( AND( OFFSET($A$1, 438 - 1, 96 - 1) = "1", OFFSET($A$1, 438 - 1, 97 - 1) = "0" ), 2, IF( AND( OFFSET($A$1, 438 - 1, 96 - 1) = "0", OFFSET($A$1, 438 - 1, 97 - 1) = "1" ), 3, 4 ) ) )</f>
        <v>1</v>
      </c>
    </row>
    <row r="439" spans="95:98" ht="13.8" x14ac:dyDescent="0.3">
      <c r="CQ439" s="24">
        <v>0.99866623540121102</v>
      </c>
      <c r="CR439" s="24" t="str">
        <f t="shared" si="33"/>
        <v>1</v>
      </c>
      <c r="CS439" t="str">
        <f ca="1">IF((OFFSET($A$1, 439 - 1, 95 - 1)) &gt;= (OFFSET($A$1, 54 - 1, 7 - 1)), "1","0")</f>
        <v>1</v>
      </c>
      <c r="CT439">
        <f ca="1" xml:space="preserve"> IF( AND( OFFSET($A$1, 439 - 1, 96 - 1) = "1", OFFSET($A$1, 439 - 1, 97 - 1) = "1" ), 1, IF( AND( OFFSET($A$1, 439 - 1, 96 - 1) = "1", OFFSET($A$1, 439 - 1, 97 - 1) = "0" ), 2, IF( AND( OFFSET($A$1, 439 - 1, 96 - 1) = "0", OFFSET($A$1, 439 - 1, 97 - 1) = "1" ), 3, 4 ) ) )</f>
        <v>1</v>
      </c>
    </row>
    <row r="440" spans="95:98" ht="13.8" x14ac:dyDescent="0.3">
      <c r="CQ440" s="24">
        <v>0.99481599923099318</v>
      </c>
      <c r="CR440" s="24" t="str">
        <f t="shared" si="33"/>
        <v>1</v>
      </c>
      <c r="CS440" t="str">
        <f ca="1">IF((OFFSET($A$1, 440 - 1, 95 - 1)) &gt;= (OFFSET($A$1, 54 - 1, 7 - 1)), "1","0")</f>
        <v>1</v>
      </c>
      <c r="CT440">
        <f ca="1" xml:space="preserve"> IF( AND( OFFSET($A$1, 440 - 1, 96 - 1) = "1", OFFSET($A$1, 440 - 1, 97 - 1) = "1" ), 1, IF( AND( OFFSET($A$1, 440 - 1, 96 - 1) = "1", OFFSET($A$1, 440 - 1, 97 - 1) = "0" ), 2, IF( AND( OFFSET($A$1, 440 - 1, 96 - 1) = "0", OFFSET($A$1, 440 - 1, 97 - 1) = "1" ), 3, 4 ) ) )</f>
        <v>1</v>
      </c>
    </row>
    <row r="441" spans="95:98" ht="13.8" x14ac:dyDescent="0.3">
      <c r="CQ441" s="24">
        <v>0.95801263739896958</v>
      </c>
      <c r="CR441" s="24" t="str">
        <f t="shared" si="33"/>
        <v>1</v>
      </c>
      <c r="CS441" t="str">
        <f ca="1">IF((OFFSET($A$1, 441 - 1, 95 - 1)) &gt;= (OFFSET($A$1, 54 - 1, 7 - 1)), "1","0")</f>
        <v>1</v>
      </c>
      <c r="CT441">
        <f ca="1" xml:space="preserve"> IF( AND( OFFSET($A$1, 441 - 1, 96 - 1) = "1", OFFSET($A$1, 441 - 1, 97 - 1) = "1" ), 1, IF( AND( OFFSET($A$1, 441 - 1, 96 - 1) = "1", OFFSET($A$1, 441 - 1, 97 - 1) = "0" ), 2, IF( AND( OFFSET($A$1, 441 - 1, 96 - 1) = "0", OFFSET($A$1, 441 - 1, 97 - 1) = "1" ), 3, 4 ) ) )</f>
        <v>1</v>
      </c>
    </row>
    <row r="442" spans="95:98" ht="13.8" x14ac:dyDescent="0.3">
      <c r="CQ442" s="24">
        <v>0.99993612308062008</v>
      </c>
      <c r="CR442" s="24" t="str">
        <f t="shared" si="33"/>
        <v>1</v>
      </c>
      <c r="CS442" t="str">
        <f ca="1">IF((OFFSET($A$1, 442 - 1, 95 - 1)) &gt;= (OFFSET($A$1, 54 - 1, 7 - 1)), "1","0")</f>
        <v>1</v>
      </c>
      <c r="CT442">
        <f ca="1" xml:space="preserve"> IF( AND( OFFSET($A$1, 442 - 1, 96 - 1) = "1", OFFSET($A$1, 442 - 1, 97 - 1) = "1" ), 1, IF( AND( OFFSET($A$1, 442 - 1, 96 - 1) = "1", OFFSET($A$1, 442 - 1, 97 - 1) = "0" ), 2, IF( AND( OFFSET($A$1, 442 - 1, 96 - 1) = "0", OFFSET($A$1, 442 - 1, 97 - 1) = "1" ), 3, 4 ) ) )</f>
        <v>1</v>
      </c>
    </row>
    <row r="443" spans="95:98" ht="13.8" x14ac:dyDescent="0.3">
      <c r="CQ443" s="24">
        <v>0.97408440825008102</v>
      </c>
      <c r="CR443" s="24" t="str">
        <f t="shared" si="33"/>
        <v>1</v>
      </c>
      <c r="CS443" t="str">
        <f ca="1">IF((OFFSET($A$1, 443 - 1, 95 - 1)) &gt;= (OFFSET($A$1, 54 - 1, 7 - 1)), "1","0")</f>
        <v>1</v>
      </c>
      <c r="CT443">
        <f ca="1" xml:space="preserve"> IF( AND( OFFSET($A$1, 443 - 1, 96 - 1) = "1", OFFSET($A$1, 443 - 1, 97 - 1) = "1" ), 1, IF( AND( OFFSET($A$1, 443 - 1, 96 - 1) = "1", OFFSET($A$1, 443 - 1, 97 - 1) = "0" ), 2, IF( AND( OFFSET($A$1, 443 - 1, 96 - 1) = "0", OFFSET($A$1, 443 - 1, 97 - 1) = "1" ), 3, 4 ) ) )</f>
        <v>1</v>
      </c>
    </row>
    <row r="444" spans="95:98" ht="13.8" x14ac:dyDescent="0.3">
      <c r="CQ444" s="24">
        <v>0.82140327873180885</v>
      </c>
      <c r="CR444" s="24" t="str">
        <f t="shared" si="33"/>
        <v>1</v>
      </c>
      <c r="CS444" t="str">
        <f ca="1">IF((OFFSET($A$1, 444 - 1, 95 - 1)) &gt;= (OFFSET($A$1, 54 - 1, 7 - 1)), "1","0")</f>
        <v>1</v>
      </c>
      <c r="CT444">
        <f ca="1" xml:space="preserve"> IF( AND( OFFSET($A$1, 444 - 1, 96 - 1) = "1", OFFSET($A$1, 444 - 1, 97 - 1) = "1" ), 1, IF( AND( OFFSET($A$1, 444 - 1, 96 - 1) = "1", OFFSET($A$1, 444 - 1, 97 - 1) = "0" ), 2, IF( AND( OFFSET($A$1, 444 - 1, 96 - 1) = "0", OFFSET($A$1, 444 - 1, 97 - 1) = "1" ), 3, 4 ) ) )</f>
        <v>1</v>
      </c>
    </row>
    <row r="445" spans="95:98" ht="13.8" x14ac:dyDescent="0.3">
      <c r="CQ445" s="24">
        <v>6.4871111579218099E-2</v>
      </c>
      <c r="CR445" s="24" t="str">
        <f>"0"</f>
        <v>0</v>
      </c>
      <c r="CS445" t="str">
        <f ca="1">IF((OFFSET($A$1, 445 - 1, 95 - 1)) &gt;= (OFFSET($A$1, 54 - 1, 7 - 1)), "1","0")</f>
        <v>0</v>
      </c>
      <c r="CT445">
        <f ca="1" xml:space="preserve"> IF( AND( OFFSET($A$1, 445 - 1, 96 - 1) = "1", OFFSET($A$1, 445 - 1, 97 - 1) = "1" ), 1, IF( AND( OFFSET($A$1, 445 - 1, 96 - 1) = "1", OFFSET($A$1, 445 - 1, 97 - 1) = "0" ), 2, IF( AND( OFFSET($A$1, 445 - 1, 96 - 1) = "0", OFFSET($A$1, 445 - 1, 97 - 1) = "1" ), 3, 4 ) ) )</f>
        <v>4</v>
      </c>
    </row>
    <row r="446" spans="95:98" ht="13.8" x14ac:dyDescent="0.3">
      <c r="CQ446" s="24">
        <v>0.91930517710362503</v>
      </c>
      <c r="CR446" s="24" t="str">
        <f>"1"</f>
        <v>1</v>
      </c>
      <c r="CS446" t="str">
        <f ca="1">IF((OFFSET($A$1, 446 - 1, 95 - 1)) &gt;= (OFFSET($A$1, 54 - 1, 7 - 1)), "1","0")</f>
        <v>1</v>
      </c>
      <c r="CT446">
        <f ca="1" xml:space="preserve"> IF( AND( OFFSET($A$1, 446 - 1, 96 - 1) = "1", OFFSET($A$1, 446 - 1, 97 - 1) = "1" ), 1, IF( AND( OFFSET($A$1, 446 - 1, 96 - 1) = "1", OFFSET($A$1, 446 - 1, 97 - 1) = "0" ), 2, IF( AND( OFFSET($A$1, 446 - 1, 96 - 1) = "0", OFFSET($A$1, 446 - 1, 97 - 1) = "1" ), 3, 4 ) ) )</f>
        <v>1</v>
      </c>
    </row>
    <row r="447" spans="95:98" ht="13.8" x14ac:dyDescent="0.3">
      <c r="CQ447" s="24">
        <v>0.87376227678330787</v>
      </c>
      <c r="CR447" s="24" t="str">
        <f>"1"</f>
        <v>1</v>
      </c>
      <c r="CS447" t="str">
        <f ca="1">IF((OFFSET($A$1, 447 - 1, 95 - 1)) &gt;= (OFFSET($A$1, 54 - 1, 7 - 1)), "1","0")</f>
        <v>1</v>
      </c>
      <c r="CT447">
        <f ca="1" xml:space="preserve"> IF( AND( OFFSET($A$1, 447 - 1, 96 - 1) = "1", OFFSET($A$1, 447 - 1, 97 - 1) = "1" ), 1, IF( AND( OFFSET($A$1, 447 - 1, 96 - 1) = "1", OFFSET($A$1, 447 - 1, 97 - 1) = "0" ), 2, IF( AND( OFFSET($A$1, 447 - 1, 96 - 1) = "0", OFFSET($A$1, 447 - 1, 97 - 1) = "1" ), 3, 4 ) ) )</f>
        <v>1</v>
      </c>
    </row>
    <row r="448" spans="95:98" ht="13.8" x14ac:dyDescent="0.3">
      <c r="CQ448" s="24">
        <v>0.99256847127359249</v>
      </c>
      <c r="CR448" s="24" t="str">
        <f>"1"</f>
        <v>1</v>
      </c>
      <c r="CS448" t="str">
        <f ca="1">IF((OFFSET($A$1, 448 - 1, 95 - 1)) &gt;= (OFFSET($A$1, 54 - 1, 7 - 1)), "1","0")</f>
        <v>1</v>
      </c>
      <c r="CT448">
        <f ca="1" xml:space="preserve"> IF( AND( OFFSET($A$1, 448 - 1, 96 - 1) = "1", OFFSET($A$1, 448 - 1, 97 - 1) = "1" ), 1, IF( AND( OFFSET($A$1, 448 - 1, 96 - 1) = "1", OFFSET($A$1, 448 - 1, 97 - 1) = "0" ), 2, IF( AND( OFFSET($A$1, 448 - 1, 96 - 1) = "0", OFFSET($A$1, 448 - 1, 97 - 1) = "1" ), 3, 4 ) ) )</f>
        <v>1</v>
      </c>
    </row>
    <row r="449" spans="95:98" ht="13.8" x14ac:dyDescent="0.3">
      <c r="CQ449" s="24">
        <v>0.96836922524253299</v>
      </c>
      <c r="CR449" s="24" t="str">
        <f>"1"</f>
        <v>1</v>
      </c>
      <c r="CS449" t="str">
        <f ca="1">IF((OFFSET($A$1, 449 - 1, 95 - 1)) &gt;= (OFFSET($A$1, 54 - 1, 7 - 1)), "1","0")</f>
        <v>1</v>
      </c>
      <c r="CT449">
        <f ca="1" xml:space="preserve"> IF( AND( OFFSET($A$1, 449 - 1, 96 - 1) = "1", OFFSET($A$1, 449 - 1, 97 - 1) = "1" ), 1, IF( AND( OFFSET($A$1, 449 - 1, 96 - 1) = "1", OFFSET($A$1, 449 - 1, 97 - 1) = "0" ), 2, IF( AND( OFFSET($A$1, 449 - 1, 96 - 1) = "0", OFFSET($A$1, 449 - 1, 97 - 1) = "1" ), 3, 4 ) ) )</f>
        <v>1</v>
      </c>
    </row>
    <row r="450" spans="95:98" ht="13.8" x14ac:dyDescent="0.3">
      <c r="CQ450" s="24">
        <v>9.2934712385099622E-2</v>
      </c>
      <c r="CR450" s="24" t="str">
        <f>"0"</f>
        <v>0</v>
      </c>
      <c r="CS450" t="str">
        <f ca="1">IF((OFFSET($A$1, 450 - 1, 95 - 1)) &gt;= (OFFSET($A$1, 54 - 1, 7 - 1)), "1","0")</f>
        <v>0</v>
      </c>
      <c r="CT450">
        <f ca="1" xml:space="preserve"> IF( AND( OFFSET($A$1, 450 - 1, 96 - 1) = "1", OFFSET($A$1, 450 - 1, 97 - 1) = "1" ), 1, IF( AND( OFFSET($A$1, 450 - 1, 96 - 1) = "1", OFFSET($A$1, 450 - 1, 97 - 1) = "0" ), 2, IF( AND( OFFSET($A$1, 450 - 1, 96 - 1) = "0", OFFSET($A$1, 450 - 1, 97 - 1) = "1" ), 3, 4 ) ) )</f>
        <v>4</v>
      </c>
    </row>
    <row r="451" spans="95:98" ht="13.8" x14ac:dyDescent="0.3">
      <c r="CQ451" s="24">
        <v>2.4469591705057279E-2</v>
      </c>
      <c r="CR451" s="24" t="str">
        <f>"0"</f>
        <v>0</v>
      </c>
      <c r="CS451" t="str">
        <f ca="1">IF((OFFSET($A$1, 451 - 1, 95 - 1)) &gt;= (OFFSET($A$1, 54 - 1, 7 - 1)), "1","0")</f>
        <v>0</v>
      </c>
      <c r="CT451">
        <f ca="1" xml:space="preserve"> IF( AND( OFFSET($A$1, 451 - 1, 96 - 1) = "1", OFFSET($A$1, 451 - 1, 97 - 1) = "1" ), 1, IF( AND( OFFSET($A$1, 451 - 1, 96 - 1) = "1", OFFSET($A$1, 451 - 1, 97 - 1) = "0" ), 2, IF( AND( OFFSET($A$1, 451 - 1, 96 - 1) = "0", OFFSET($A$1, 451 - 1, 97 - 1) = "1" ), 3, 4 ) ) )</f>
        <v>4</v>
      </c>
    </row>
    <row r="452" spans="95:98" ht="13.8" x14ac:dyDescent="0.3">
      <c r="CQ452" s="24">
        <v>0.9875205282129752</v>
      </c>
      <c r="CR452" s="24" t="str">
        <f>"1"</f>
        <v>1</v>
      </c>
      <c r="CS452" t="str">
        <f ca="1">IF((OFFSET($A$1, 452 - 1, 95 - 1)) &gt;= (OFFSET($A$1, 54 - 1, 7 - 1)), "1","0")</f>
        <v>1</v>
      </c>
      <c r="CT452">
        <f ca="1" xml:space="preserve"> IF( AND( OFFSET($A$1, 452 - 1, 96 - 1) = "1", OFFSET($A$1, 452 - 1, 97 - 1) = "1" ), 1, IF( AND( OFFSET($A$1, 452 - 1, 96 - 1) = "1", OFFSET($A$1, 452 - 1, 97 - 1) = "0" ), 2, IF( AND( OFFSET($A$1, 452 - 1, 96 - 1) = "0", OFFSET($A$1, 452 - 1, 97 - 1) = "1" ), 3, 4 ) ) )</f>
        <v>1</v>
      </c>
    </row>
    <row r="453" spans="95:98" ht="13.8" x14ac:dyDescent="0.3">
      <c r="CQ453" s="24">
        <v>7.6680855675736195E-2</v>
      </c>
      <c r="CR453" s="24" t="str">
        <f>"0"</f>
        <v>0</v>
      </c>
      <c r="CS453" t="str">
        <f ca="1">IF((OFFSET($A$1, 453 - 1, 95 - 1)) &gt;= (OFFSET($A$1, 54 - 1, 7 - 1)), "1","0")</f>
        <v>0</v>
      </c>
      <c r="CT453">
        <f ca="1" xml:space="preserve"> IF( AND( OFFSET($A$1, 453 - 1, 96 - 1) = "1", OFFSET($A$1, 453 - 1, 97 - 1) = "1" ), 1, IF( AND( OFFSET($A$1, 453 - 1, 96 - 1) = "1", OFFSET($A$1, 453 - 1, 97 - 1) = "0" ), 2, IF( AND( OFFSET($A$1, 453 - 1, 96 - 1) = "0", OFFSET($A$1, 453 - 1, 97 - 1) = "1" ), 3, 4 ) ) )</f>
        <v>4</v>
      </c>
    </row>
    <row r="454" spans="95:98" ht="13.8" x14ac:dyDescent="0.3">
      <c r="CQ454" s="24">
        <v>9.7652586733595323E-2</v>
      </c>
      <c r="CR454" s="24" t="str">
        <f>"0"</f>
        <v>0</v>
      </c>
      <c r="CS454" t="str">
        <f ca="1">IF((OFFSET($A$1, 454 - 1, 95 - 1)) &gt;= (OFFSET($A$1, 54 - 1, 7 - 1)), "1","0")</f>
        <v>0</v>
      </c>
      <c r="CT454">
        <f ca="1" xml:space="preserve"> IF( AND( OFFSET($A$1, 454 - 1, 96 - 1) = "1", OFFSET($A$1, 454 - 1, 97 - 1) = "1" ), 1, IF( AND( OFFSET($A$1, 454 - 1, 96 - 1) = "1", OFFSET($A$1, 454 - 1, 97 - 1) = "0" ), 2, IF( AND( OFFSET($A$1, 454 - 1, 96 - 1) = "0", OFFSET($A$1, 454 - 1, 97 - 1) = "1" ), 3, 4 ) ) )</f>
        <v>4</v>
      </c>
    </row>
    <row r="455" spans="95:98" ht="13.8" x14ac:dyDescent="0.3">
      <c r="CQ455" s="24">
        <v>6.8896039962721645E-2</v>
      </c>
      <c r="CR455" s="24" t="str">
        <f>"0"</f>
        <v>0</v>
      </c>
      <c r="CS455" t="str">
        <f ca="1">IF((OFFSET($A$1, 455 - 1, 95 - 1)) &gt;= (OFFSET($A$1, 54 - 1, 7 - 1)), "1","0")</f>
        <v>0</v>
      </c>
      <c r="CT455">
        <f ca="1" xml:space="preserve"> IF( AND( OFFSET($A$1, 455 - 1, 96 - 1) = "1", OFFSET($A$1, 455 - 1, 97 - 1) = "1" ), 1, IF( AND( OFFSET($A$1, 455 - 1, 96 - 1) = "1", OFFSET($A$1, 455 - 1, 97 - 1) = "0" ), 2, IF( AND( OFFSET($A$1, 455 - 1, 96 - 1) = "0", OFFSET($A$1, 455 - 1, 97 - 1) = "1" ), 3, 4 ) ) )</f>
        <v>4</v>
      </c>
    </row>
    <row r="456" spans="95:98" ht="13.8" x14ac:dyDescent="0.3">
      <c r="CQ456" s="24">
        <v>0.96378507799779234</v>
      </c>
      <c r="CR456" s="24" t="str">
        <f>"1"</f>
        <v>1</v>
      </c>
      <c r="CS456" t="str">
        <f ca="1">IF((OFFSET($A$1, 456 - 1, 95 - 1)) &gt;= (OFFSET($A$1, 54 - 1, 7 - 1)), "1","0")</f>
        <v>1</v>
      </c>
      <c r="CT456">
        <f ca="1" xml:space="preserve"> IF( AND( OFFSET($A$1, 456 - 1, 96 - 1) = "1", OFFSET($A$1, 456 - 1, 97 - 1) = "1" ), 1, IF( AND( OFFSET($A$1, 456 - 1, 96 - 1) = "1", OFFSET($A$1, 456 - 1, 97 - 1) = "0" ), 2, IF( AND( OFFSET($A$1, 456 - 1, 96 - 1) = "0", OFFSET($A$1, 456 - 1, 97 - 1) = "1" ), 3, 4 ) ) )</f>
        <v>1</v>
      </c>
    </row>
    <row r="457" spans="95:98" ht="13.8" x14ac:dyDescent="0.3">
      <c r="CQ457" s="24">
        <v>0.14894946902500594</v>
      </c>
      <c r="CR457" s="24" t="str">
        <f>"0"</f>
        <v>0</v>
      </c>
      <c r="CS457" t="str">
        <f ca="1">IF((OFFSET($A$1, 457 - 1, 95 - 1)) &gt;= (OFFSET($A$1, 54 - 1, 7 - 1)), "1","0")</f>
        <v>0</v>
      </c>
      <c r="CT457">
        <f ca="1" xml:space="preserve"> IF( AND( OFFSET($A$1, 457 - 1, 96 - 1) = "1", OFFSET($A$1, 457 - 1, 97 - 1) = "1" ), 1, IF( AND( OFFSET($A$1, 457 - 1, 96 - 1) = "1", OFFSET($A$1, 457 - 1, 97 - 1) = "0" ), 2, IF( AND( OFFSET($A$1, 457 - 1, 96 - 1) = "0", OFFSET($A$1, 457 - 1, 97 - 1) = "1" ), 3, 4 ) ) )</f>
        <v>4</v>
      </c>
    </row>
    <row r="458" spans="95:98" ht="13.8" x14ac:dyDescent="0.3">
      <c r="CQ458" s="24">
        <v>3.3769421654678282E-3</v>
      </c>
      <c r="CR458" s="24" t="str">
        <f>"0"</f>
        <v>0</v>
      </c>
      <c r="CS458" t="str">
        <f ca="1">IF((OFFSET($A$1, 458 - 1, 95 - 1)) &gt;= (OFFSET($A$1, 54 - 1, 7 - 1)), "1","0")</f>
        <v>0</v>
      </c>
      <c r="CT458">
        <f ca="1" xml:space="preserve"> IF( AND( OFFSET($A$1, 458 - 1, 96 - 1) = "1", OFFSET($A$1, 458 - 1, 97 - 1) = "1" ), 1, IF( AND( OFFSET($A$1, 458 - 1, 96 - 1) = "1", OFFSET($A$1, 458 - 1, 97 - 1) = "0" ), 2, IF( AND( OFFSET($A$1, 458 - 1, 96 - 1) = "0", OFFSET($A$1, 458 - 1, 97 - 1) = "1" ), 3, 4 ) ) )</f>
        <v>4</v>
      </c>
    </row>
    <row r="459" spans="95:98" ht="13.8" x14ac:dyDescent="0.3">
      <c r="CQ459" s="24">
        <v>0.99972951575733771</v>
      </c>
      <c r="CR459" s="24" t="str">
        <f>"1"</f>
        <v>1</v>
      </c>
      <c r="CS459" t="str">
        <f ca="1">IF((OFFSET($A$1, 459 - 1, 95 - 1)) &gt;= (OFFSET($A$1, 54 - 1, 7 - 1)), "1","0")</f>
        <v>1</v>
      </c>
      <c r="CT459">
        <f ca="1" xml:space="preserve"> IF( AND( OFFSET($A$1, 459 - 1, 96 - 1) = "1", OFFSET($A$1, 459 - 1, 97 - 1) = "1" ), 1, IF( AND( OFFSET($A$1, 459 - 1, 96 - 1) = "1", OFFSET($A$1, 459 - 1, 97 - 1) = "0" ), 2, IF( AND( OFFSET($A$1, 459 - 1, 96 - 1) = "0", OFFSET($A$1, 459 - 1, 97 - 1) = "1" ), 3, 4 ) ) )</f>
        <v>1</v>
      </c>
    </row>
    <row r="460" spans="95:98" ht="13.8" x14ac:dyDescent="0.3">
      <c r="CQ460" s="24">
        <v>0.9954498935205115</v>
      </c>
      <c r="CR460" s="24" t="str">
        <f>"1"</f>
        <v>1</v>
      </c>
      <c r="CS460" t="str">
        <f ca="1">IF((OFFSET($A$1, 460 - 1, 95 - 1)) &gt;= (OFFSET($A$1, 54 - 1, 7 - 1)), "1","0")</f>
        <v>1</v>
      </c>
      <c r="CT460">
        <f ca="1" xml:space="preserve"> IF( AND( OFFSET($A$1, 460 - 1, 96 - 1) = "1", OFFSET($A$1, 460 - 1, 97 - 1) = "1" ), 1, IF( AND( OFFSET($A$1, 460 - 1, 96 - 1) = "1", OFFSET($A$1, 460 - 1, 97 - 1) = "0" ), 2, IF( AND( OFFSET($A$1, 460 - 1, 96 - 1) = "0", OFFSET($A$1, 460 - 1, 97 - 1) = "1" ), 3, 4 ) ) )</f>
        <v>1</v>
      </c>
    </row>
    <row r="461" spans="95:98" ht="13.8" x14ac:dyDescent="0.3">
      <c r="CQ461" s="24">
        <v>0.99880610339331832</v>
      </c>
      <c r="CR461" s="24" t="str">
        <f>"1"</f>
        <v>1</v>
      </c>
      <c r="CS461" t="str">
        <f ca="1">IF((OFFSET($A$1, 461 - 1, 95 - 1)) &gt;= (OFFSET($A$1, 54 - 1, 7 - 1)), "1","0")</f>
        <v>1</v>
      </c>
      <c r="CT461">
        <f ca="1" xml:space="preserve"> IF( AND( OFFSET($A$1, 461 - 1, 96 - 1) = "1", OFFSET($A$1, 461 - 1, 97 - 1) = "1" ), 1, IF( AND( OFFSET($A$1, 461 - 1, 96 - 1) = "1", OFFSET($A$1, 461 - 1, 97 - 1) = "0" ), 2, IF( AND( OFFSET($A$1, 461 - 1, 96 - 1) = "0", OFFSET($A$1, 461 - 1, 97 - 1) = "1" ), 3, 4 ) ) )</f>
        <v>1</v>
      </c>
    </row>
    <row r="462" spans="95:98" ht="13.8" x14ac:dyDescent="0.3">
      <c r="CQ462" s="24">
        <v>0.9525173193875287</v>
      </c>
      <c r="CR462" s="24" t="str">
        <f>"1"</f>
        <v>1</v>
      </c>
      <c r="CS462" t="str">
        <f ca="1">IF((OFFSET($A$1, 462 - 1, 95 - 1)) &gt;= (OFFSET($A$1, 54 - 1, 7 - 1)), "1","0")</f>
        <v>1</v>
      </c>
      <c r="CT462">
        <f ca="1" xml:space="preserve"> IF( AND( OFFSET($A$1, 462 - 1, 96 - 1) = "1", OFFSET($A$1, 462 - 1, 97 - 1) = "1" ), 1, IF( AND( OFFSET($A$1, 462 - 1, 96 - 1) = "1", OFFSET($A$1, 462 - 1, 97 - 1) = "0" ), 2, IF( AND( OFFSET($A$1, 462 - 1, 96 - 1) = "0", OFFSET($A$1, 462 - 1, 97 - 1) = "1" ), 3, 4 ) ) )</f>
        <v>1</v>
      </c>
    </row>
    <row r="463" spans="95:98" ht="13.8" x14ac:dyDescent="0.3">
      <c r="CQ463" s="24">
        <v>9.5480449806913739E-2</v>
      </c>
      <c r="CR463" s="24" t="str">
        <f>"0"</f>
        <v>0</v>
      </c>
      <c r="CS463" t="str">
        <f ca="1">IF((OFFSET($A$1, 463 - 1, 95 - 1)) &gt;= (OFFSET($A$1, 54 - 1, 7 - 1)), "1","0")</f>
        <v>0</v>
      </c>
      <c r="CT463">
        <f ca="1" xml:space="preserve"> IF( AND( OFFSET($A$1, 463 - 1, 96 - 1) = "1", OFFSET($A$1, 463 - 1, 97 - 1) = "1" ), 1, IF( AND( OFFSET($A$1, 463 - 1, 96 - 1) = "1", OFFSET($A$1, 463 - 1, 97 - 1) = "0" ), 2, IF( AND( OFFSET($A$1, 463 - 1, 96 - 1) = "0", OFFSET($A$1, 463 - 1, 97 - 1) = "1" ), 3, 4 ) ) )</f>
        <v>4</v>
      </c>
    </row>
    <row r="464" spans="95:98" ht="13.8" x14ac:dyDescent="0.3">
      <c r="CQ464" s="24">
        <v>9.9097583265412986E-2</v>
      </c>
      <c r="CR464" s="24" t="str">
        <f>"0"</f>
        <v>0</v>
      </c>
      <c r="CS464" t="str">
        <f ca="1">IF((OFFSET($A$1, 464 - 1, 95 - 1)) &gt;= (OFFSET($A$1, 54 - 1, 7 - 1)), "1","0")</f>
        <v>0</v>
      </c>
      <c r="CT464">
        <f ca="1" xml:space="preserve"> IF( AND( OFFSET($A$1, 464 - 1, 96 - 1) = "1", OFFSET($A$1, 464 - 1, 97 - 1) = "1" ), 1, IF( AND( OFFSET($A$1, 464 - 1, 96 - 1) = "1", OFFSET($A$1, 464 - 1, 97 - 1) = "0" ), 2, IF( AND( OFFSET($A$1, 464 - 1, 96 - 1) = "0", OFFSET($A$1, 464 - 1, 97 - 1) = "1" ), 3, 4 ) ) )</f>
        <v>4</v>
      </c>
    </row>
    <row r="465" spans="95:98" ht="13.8" x14ac:dyDescent="0.3">
      <c r="CQ465" s="24">
        <v>0.88349103752900049</v>
      </c>
      <c r="CR465" s="24" t="str">
        <f>"1"</f>
        <v>1</v>
      </c>
      <c r="CS465" t="str">
        <f ca="1">IF((OFFSET($A$1, 465 - 1, 95 - 1)) &gt;= (OFFSET($A$1, 54 - 1, 7 - 1)), "1","0")</f>
        <v>1</v>
      </c>
      <c r="CT465">
        <f ca="1" xml:space="preserve"> IF( AND( OFFSET($A$1, 465 - 1, 96 - 1) = "1", OFFSET($A$1, 465 - 1, 97 - 1) = "1" ), 1, IF( AND( OFFSET($A$1, 465 - 1, 96 - 1) = "1", OFFSET($A$1, 465 - 1, 97 - 1) = "0" ), 2, IF( AND( OFFSET($A$1, 465 - 1, 96 - 1) = "0", OFFSET($A$1, 465 - 1, 97 - 1) = "1" ), 3, 4 ) ) )</f>
        <v>1</v>
      </c>
    </row>
    <row r="466" spans="95:98" ht="13.8" x14ac:dyDescent="0.3">
      <c r="CQ466" s="24">
        <v>5.9907003300273896E-2</v>
      </c>
      <c r="CR466" s="24" t="str">
        <f>"0"</f>
        <v>0</v>
      </c>
      <c r="CS466" t="str">
        <f ca="1">IF((OFFSET($A$1, 466 - 1, 95 - 1)) &gt;= (OFFSET($A$1, 54 - 1, 7 - 1)), "1","0")</f>
        <v>0</v>
      </c>
      <c r="CT466">
        <f ca="1" xml:space="preserve"> IF( AND( OFFSET($A$1, 466 - 1, 96 - 1) = "1", OFFSET($A$1, 466 - 1, 97 - 1) = "1" ), 1, IF( AND( OFFSET($A$1, 466 - 1, 96 - 1) = "1", OFFSET($A$1, 466 - 1, 97 - 1) = "0" ), 2, IF( AND( OFFSET($A$1, 466 - 1, 96 - 1) = "0", OFFSET($A$1, 466 - 1, 97 - 1) = "1" ), 3, 4 ) ) )</f>
        <v>4</v>
      </c>
    </row>
    <row r="467" spans="95:98" ht="13.8" x14ac:dyDescent="0.3">
      <c r="CQ467" s="24">
        <v>0.97075242203947787</v>
      </c>
      <c r="CR467" s="24" t="str">
        <f>"1"</f>
        <v>1</v>
      </c>
      <c r="CS467" t="str">
        <f ca="1">IF((OFFSET($A$1, 467 - 1, 95 - 1)) &gt;= (OFFSET($A$1, 54 - 1, 7 - 1)), "1","0")</f>
        <v>1</v>
      </c>
      <c r="CT467">
        <f ca="1" xml:space="preserve"> IF( AND( OFFSET($A$1, 467 - 1, 96 - 1) = "1", OFFSET($A$1, 467 - 1, 97 - 1) = "1" ), 1, IF( AND( OFFSET($A$1, 467 - 1, 96 - 1) = "1", OFFSET($A$1, 467 - 1, 97 - 1) = "0" ), 2, IF( AND( OFFSET($A$1, 467 - 1, 96 - 1) = "0", OFFSET($A$1, 467 - 1, 97 - 1) = "1" ), 3, 4 ) ) )</f>
        <v>1</v>
      </c>
    </row>
    <row r="468" spans="95:98" ht="13.8" x14ac:dyDescent="0.3">
      <c r="CQ468" s="24">
        <v>0.99039951414270755</v>
      </c>
      <c r="CR468" s="24" t="str">
        <f>"1"</f>
        <v>1</v>
      </c>
      <c r="CS468" t="str">
        <f ca="1">IF((OFFSET($A$1, 468 - 1, 95 - 1)) &gt;= (OFFSET($A$1, 54 - 1, 7 - 1)), "1","0")</f>
        <v>1</v>
      </c>
      <c r="CT468">
        <f ca="1" xml:space="preserve"> IF( AND( OFFSET($A$1, 468 - 1, 96 - 1) = "1", OFFSET($A$1, 468 - 1, 97 - 1) = "1" ), 1, IF( AND( OFFSET($A$1, 468 - 1, 96 - 1) = "1", OFFSET($A$1, 468 - 1, 97 - 1) = "0" ), 2, IF( AND( OFFSET($A$1, 468 - 1, 96 - 1) = "0", OFFSET($A$1, 468 - 1, 97 - 1) = "1" ), 3, 4 ) ) )</f>
        <v>1</v>
      </c>
    </row>
    <row r="469" spans="95:98" ht="13.8" x14ac:dyDescent="0.3">
      <c r="CQ469" s="24">
        <v>6.4047237347050322E-3</v>
      </c>
      <c r="CR469" s="24" t="str">
        <f>"0"</f>
        <v>0</v>
      </c>
      <c r="CS469" t="str">
        <f ca="1">IF((OFFSET($A$1, 469 - 1, 95 - 1)) &gt;= (OFFSET($A$1, 54 - 1, 7 - 1)), "1","0")</f>
        <v>0</v>
      </c>
      <c r="CT469">
        <f ca="1" xml:space="preserve"> IF( AND( OFFSET($A$1, 469 - 1, 96 - 1) = "1", OFFSET($A$1, 469 - 1, 97 - 1) = "1" ), 1, IF( AND( OFFSET($A$1, 469 - 1, 96 - 1) = "1", OFFSET($A$1, 469 - 1, 97 - 1) = "0" ), 2, IF( AND( OFFSET($A$1, 469 - 1, 96 - 1) = "0", OFFSET($A$1, 469 - 1, 97 - 1) = "1" ), 3, 4 ) ) )</f>
        <v>4</v>
      </c>
    </row>
    <row r="470" spans="95:98" ht="13.8" x14ac:dyDescent="0.3">
      <c r="CQ470" s="24">
        <v>0.23666968767925586</v>
      </c>
      <c r="CR470" s="24" t="str">
        <f>"0"</f>
        <v>0</v>
      </c>
      <c r="CS470" t="str">
        <f ca="1">IF((OFFSET($A$1, 470 - 1, 95 - 1)) &gt;= (OFFSET($A$1, 54 - 1, 7 - 1)), "1","0")</f>
        <v>0</v>
      </c>
      <c r="CT470">
        <f ca="1" xml:space="preserve"> IF( AND( OFFSET($A$1, 470 - 1, 96 - 1) = "1", OFFSET($A$1, 470 - 1, 97 - 1) = "1" ), 1, IF( AND( OFFSET($A$1, 470 - 1, 96 - 1) = "1", OFFSET($A$1, 470 - 1, 97 - 1) = "0" ), 2, IF( AND( OFFSET($A$1, 470 - 1, 96 - 1) = "0", OFFSET($A$1, 470 - 1, 97 - 1) = "1" ), 3, 4 ) ) )</f>
        <v>4</v>
      </c>
    </row>
    <row r="471" spans="95:98" ht="13.8" x14ac:dyDescent="0.3">
      <c r="CQ471" s="24">
        <v>0.99949515359194319</v>
      </c>
      <c r="CR471" s="24" t="str">
        <f>"0"</f>
        <v>0</v>
      </c>
      <c r="CS471" t="str">
        <f ca="1">IF((OFFSET($A$1, 471 - 1, 95 - 1)) &gt;= (OFFSET($A$1, 54 - 1, 7 - 1)), "1","0")</f>
        <v>1</v>
      </c>
      <c r="CT471">
        <f ca="1" xml:space="preserve"> IF( AND( OFFSET($A$1, 471 - 1, 96 - 1) = "1", OFFSET($A$1, 471 - 1, 97 - 1) = "1" ), 1, IF( AND( OFFSET($A$1, 471 - 1, 96 - 1) = "1", OFFSET($A$1, 471 - 1, 97 - 1) = "0" ), 2, IF( AND( OFFSET($A$1, 471 - 1, 96 - 1) = "0", OFFSET($A$1, 471 - 1, 97 - 1) = "1" ), 3, 4 ) ) )</f>
        <v>3</v>
      </c>
    </row>
    <row r="472" spans="95:98" ht="13.8" x14ac:dyDescent="0.3">
      <c r="CQ472" s="24">
        <v>0.96607356067825401</v>
      </c>
      <c r="CR472" s="24" t="str">
        <f>"1"</f>
        <v>1</v>
      </c>
      <c r="CS472" t="str">
        <f ca="1">IF((OFFSET($A$1, 472 - 1, 95 - 1)) &gt;= (OFFSET($A$1, 54 - 1, 7 - 1)), "1","0")</f>
        <v>1</v>
      </c>
      <c r="CT472">
        <f ca="1" xml:space="preserve"> IF( AND( OFFSET($A$1, 472 - 1, 96 - 1) = "1", OFFSET($A$1, 472 - 1, 97 - 1) = "1" ), 1, IF( AND( OFFSET($A$1, 472 - 1, 96 - 1) = "1", OFFSET($A$1, 472 - 1, 97 - 1) = "0" ), 2, IF( AND( OFFSET($A$1, 472 - 1, 96 - 1) = "0", OFFSET($A$1, 472 - 1, 97 - 1) = "1" ), 3, 4 ) ) )</f>
        <v>1</v>
      </c>
    </row>
    <row r="473" spans="95:98" ht="13.8" x14ac:dyDescent="0.3">
      <c r="CQ473" s="24">
        <v>6.6457106562049742E-2</v>
      </c>
      <c r="CR473" s="24" t="str">
        <f>"0"</f>
        <v>0</v>
      </c>
      <c r="CS473" t="str">
        <f ca="1">IF((OFFSET($A$1, 473 - 1, 95 - 1)) &gt;= (OFFSET($A$1, 54 - 1, 7 - 1)), "1","0")</f>
        <v>0</v>
      </c>
      <c r="CT473">
        <f ca="1" xml:space="preserve"> IF( AND( OFFSET($A$1, 473 - 1, 96 - 1) = "1", OFFSET($A$1, 473 - 1, 97 - 1) = "1" ), 1, IF( AND( OFFSET($A$1, 473 - 1, 96 - 1) = "1", OFFSET($A$1, 473 - 1, 97 - 1) = "0" ), 2, IF( AND( OFFSET($A$1, 473 - 1, 96 - 1) = "0", OFFSET($A$1, 473 - 1, 97 - 1) = "1" ), 3, 4 ) ) )</f>
        <v>4</v>
      </c>
    </row>
    <row r="474" spans="95:98" ht="13.8" x14ac:dyDescent="0.3">
      <c r="CQ474" s="24">
        <v>5.4998197436392997E-2</v>
      </c>
      <c r="CR474" s="24" t="str">
        <f>"0"</f>
        <v>0</v>
      </c>
      <c r="CS474" t="str">
        <f ca="1">IF((OFFSET($A$1, 474 - 1, 95 - 1)) &gt;= (OFFSET($A$1, 54 - 1, 7 - 1)), "1","0")</f>
        <v>0</v>
      </c>
      <c r="CT474">
        <f ca="1" xml:space="preserve"> IF( AND( OFFSET($A$1, 474 - 1, 96 - 1) = "1", OFFSET($A$1, 474 - 1, 97 - 1) = "1" ), 1, IF( AND( OFFSET($A$1, 474 - 1, 96 - 1) = "1", OFFSET($A$1, 474 - 1, 97 - 1) = "0" ), 2, IF( AND( OFFSET($A$1, 474 - 1, 96 - 1) = "0", OFFSET($A$1, 474 - 1, 97 - 1) = "1" ), 3, 4 ) ) )</f>
        <v>4</v>
      </c>
    </row>
    <row r="475" spans="95:98" ht="13.8" x14ac:dyDescent="0.3">
      <c r="CQ475" s="24">
        <v>0.99765452660874032</v>
      </c>
      <c r="CR475" s="24" t="str">
        <f>"1"</f>
        <v>1</v>
      </c>
      <c r="CS475" t="str">
        <f ca="1">IF((OFFSET($A$1, 475 - 1, 95 - 1)) &gt;= (OFFSET($A$1, 54 - 1, 7 - 1)), "1","0")</f>
        <v>1</v>
      </c>
      <c r="CT475">
        <f ca="1" xml:space="preserve"> IF( AND( OFFSET($A$1, 475 - 1, 96 - 1) = "1", OFFSET($A$1, 475 - 1, 97 - 1) = "1" ), 1, IF( AND( OFFSET($A$1, 475 - 1, 96 - 1) = "1", OFFSET($A$1, 475 - 1, 97 - 1) = "0" ), 2, IF( AND( OFFSET($A$1, 475 - 1, 96 - 1) = "0", OFFSET($A$1, 475 - 1, 97 - 1) = "1" ), 3, 4 ) ) )</f>
        <v>1</v>
      </c>
    </row>
    <row r="476" spans="95:98" ht="13.8" x14ac:dyDescent="0.3">
      <c r="CQ476" s="24">
        <v>0.99501677161224744</v>
      </c>
      <c r="CR476" s="24" t="str">
        <f>"1"</f>
        <v>1</v>
      </c>
      <c r="CS476" t="str">
        <f ca="1">IF((OFFSET($A$1, 476 - 1, 95 - 1)) &gt;= (OFFSET($A$1, 54 - 1, 7 - 1)), "1","0")</f>
        <v>1</v>
      </c>
      <c r="CT476">
        <f ca="1" xml:space="preserve"> IF( AND( OFFSET($A$1, 476 - 1, 96 - 1) = "1", OFFSET($A$1, 476 - 1, 97 - 1) = "1" ), 1, IF( AND( OFFSET($A$1, 476 - 1, 96 - 1) = "1", OFFSET($A$1, 476 - 1, 97 - 1) = "0" ), 2, IF( AND( OFFSET($A$1, 476 - 1, 96 - 1) = "0", OFFSET($A$1, 476 - 1, 97 - 1) = "1" ), 3, 4 ) ) )</f>
        <v>1</v>
      </c>
    </row>
    <row r="477" spans="95:98" ht="13.8" x14ac:dyDescent="0.3">
      <c r="CQ477" s="24">
        <v>0.14102129487247111</v>
      </c>
      <c r="CR477" s="24" t="str">
        <f>"0"</f>
        <v>0</v>
      </c>
      <c r="CS477" t="str">
        <f ca="1">IF((OFFSET($A$1, 477 - 1, 95 - 1)) &gt;= (OFFSET($A$1, 54 - 1, 7 - 1)), "1","0")</f>
        <v>0</v>
      </c>
      <c r="CT477">
        <f ca="1" xml:space="preserve"> IF( AND( OFFSET($A$1, 477 - 1, 96 - 1) = "1", OFFSET($A$1, 477 - 1, 97 - 1) = "1" ), 1, IF( AND( OFFSET($A$1, 477 - 1, 96 - 1) = "1", OFFSET($A$1, 477 - 1, 97 - 1) = "0" ), 2, IF( AND( OFFSET($A$1, 477 - 1, 96 - 1) = "0", OFFSET($A$1, 477 - 1, 97 - 1) = "1" ), 3, 4 ) ) )</f>
        <v>4</v>
      </c>
    </row>
    <row r="478" spans="95:98" ht="13.8" x14ac:dyDescent="0.3">
      <c r="CQ478" s="24">
        <v>0.99985630596130359</v>
      </c>
      <c r="CR478" s="24" t="str">
        <f>"1"</f>
        <v>1</v>
      </c>
      <c r="CS478" t="str">
        <f ca="1">IF((OFFSET($A$1, 478 - 1, 95 - 1)) &gt;= (OFFSET($A$1, 54 - 1, 7 - 1)), "1","0")</f>
        <v>1</v>
      </c>
      <c r="CT478">
        <f ca="1" xml:space="preserve"> IF( AND( OFFSET($A$1, 478 - 1, 96 - 1) = "1", OFFSET($A$1, 478 - 1, 97 - 1) = "1" ), 1, IF( AND( OFFSET($A$1, 478 - 1, 96 - 1) = "1", OFFSET($A$1, 478 - 1, 97 - 1) = "0" ), 2, IF( AND( OFFSET($A$1, 478 - 1, 96 - 1) = "0", OFFSET($A$1, 478 - 1, 97 - 1) = "1" ), 3, 4 ) ) )</f>
        <v>1</v>
      </c>
    </row>
    <row r="479" spans="95:98" ht="13.8" x14ac:dyDescent="0.3">
      <c r="CQ479" s="24">
        <v>0.89823525376244906</v>
      </c>
      <c r="CR479" s="24" t="str">
        <f>"1"</f>
        <v>1</v>
      </c>
      <c r="CS479" t="str">
        <f ca="1">IF((OFFSET($A$1, 479 - 1, 95 - 1)) &gt;= (OFFSET($A$1, 54 - 1, 7 - 1)), "1","0")</f>
        <v>1</v>
      </c>
      <c r="CT479">
        <f ca="1" xml:space="preserve"> IF( AND( OFFSET($A$1, 479 - 1, 96 - 1) = "1", OFFSET($A$1, 479 - 1, 97 - 1) = "1" ), 1, IF( AND( OFFSET($A$1, 479 - 1, 96 - 1) = "1", OFFSET($A$1, 479 - 1, 97 - 1) = "0" ), 2, IF( AND( OFFSET($A$1, 479 - 1, 96 - 1) = "0", OFFSET($A$1, 479 - 1, 97 - 1) = "1" ), 3, 4 ) ) )</f>
        <v>1</v>
      </c>
    </row>
    <row r="480" spans="95:98" ht="13.8" x14ac:dyDescent="0.3">
      <c r="CQ480" s="24">
        <v>9.3013699371716815E-2</v>
      </c>
      <c r="CR480" s="24" t="str">
        <f>"0"</f>
        <v>0</v>
      </c>
      <c r="CS480" t="str">
        <f ca="1">IF((OFFSET($A$1, 480 - 1, 95 - 1)) &gt;= (OFFSET($A$1, 54 - 1, 7 - 1)), "1","0")</f>
        <v>0</v>
      </c>
      <c r="CT480">
        <f ca="1" xml:space="preserve"> IF( AND( OFFSET($A$1, 480 - 1, 96 - 1) = "1", OFFSET($A$1, 480 - 1, 97 - 1) = "1" ), 1, IF( AND( OFFSET($A$1, 480 - 1, 96 - 1) = "1", OFFSET($A$1, 480 - 1, 97 - 1) = "0" ), 2, IF( AND( OFFSET($A$1, 480 - 1, 96 - 1) = "0", OFFSET($A$1, 480 - 1, 97 - 1) = "1" ), 3, 4 ) ) )</f>
        <v>4</v>
      </c>
    </row>
    <row r="481" spans="95:98" ht="13.8" x14ac:dyDescent="0.3">
      <c r="CQ481" s="24">
        <v>0.90424673927860044</v>
      </c>
      <c r="CR481" s="24" t="str">
        <f>"1"</f>
        <v>1</v>
      </c>
      <c r="CS481" t="str">
        <f ca="1">IF((OFFSET($A$1, 481 - 1, 95 - 1)) &gt;= (OFFSET($A$1, 54 - 1, 7 - 1)), "1","0")</f>
        <v>1</v>
      </c>
      <c r="CT481">
        <f ca="1" xml:space="preserve"> IF( AND( OFFSET($A$1, 481 - 1, 96 - 1) = "1", OFFSET($A$1, 481 - 1, 97 - 1) = "1" ), 1, IF( AND( OFFSET($A$1, 481 - 1, 96 - 1) = "1", OFFSET($A$1, 481 - 1, 97 - 1) = "0" ), 2, IF( AND( OFFSET($A$1, 481 - 1, 96 - 1) = "0", OFFSET($A$1, 481 - 1, 97 - 1) = "1" ), 3, 4 ) ) )</f>
        <v>1</v>
      </c>
    </row>
    <row r="482" spans="95:98" ht="13.8" x14ac:dyDescent="0.3">
      <c r="CQ482" s="24">
        <v>0.99712894956315568</v>
      </c>
      <c r="CR482" s="24" t="str">
        <f>"1"</f>
        <v>1</v>
      </c>
      <c r="CS482" t="str">
        <f ca="1">IF((OFFSET($A$1, 482 - 1, 95 - 1)) &gt;= (OFFSET($A$1, 54 - 1, 7 - 1)), "1","0")</f>
        <v>1</v>
      </c>
      <c r="CT482">
        <f ca="1" xml:space="preserve"> IF( AND( OFFSET($A$1, 482 - 1, 96 - 1) = "1", OFFSET($A$1, 482 - 1, 97 - 1) = "1" ), 1, IF( AND( OFFSET($A$1, 482 - 1, 96 - 1) = "1", OFFSET($A$1, 482 - 1, 97 - 1) = "0" ), 2, IF( AND( OFFSET($A$1, 482 - 1, 96 - 1) = "0", OFFSET($A$1, 482 - 1, 97 - 1) = "1" ), 3, 4 ) ) )</f>
        <v>1</v>
      </c>
    </row>
    <row r="483" spans="95:98" ht="13.8" x14ac:dyDescent="0.3">
      <c r="CQ483" s="24">
        <v>0.99310718547568044</v>
      </c>
      <c r="CR483" s="24" t="str">
        <f>"1"</f>
        <v>1</v>
      </c>
      <c r="CS483" t="str">
        <f ca="1">IF((OFFSET($A$1, 483 - 1, 95 - 1)) &gt;= (OFFSET($A$1, 54 - 1, 7 - 1)), "1","0")</f>
        <v>1</v>
      </c>
      <c r="CT483">
        <f ca="1" xml:space="preserve"> IF( AND( OFFSET($A$1, 483 - 1, 96 - 1) = "1", OFFSET($A$1, 483 - 1, 97 - 1) = "1" ), 1, IF( AND( OFFSET($A$1, 483 - 1, 96 - 1) = "1", OFFSET($A$1, 483 - 1, 97 - 1) = "0" ), 2, IF( AND( OFFSET($A$1, 483 - 1, 96 - 1) = "0", OFFSET($A$1, 483 - 1, 97 - 1) = "1" ), 3, 4 ) ) )</f>
        <v>1</v>
      </c>
    </row>
    <row r="484" spans="95:98" ht="13.8" x14ac:dyDescent="0.3">
      <c r="CQ484" s="24">
        <v>0.95716264541976281</v>
      </c>
      <c r="CR484" s="24" t="str">
        <f>"1"</f>
        <v>1</v>
      </c>
      <c r="CS484" t="str">
        <f ca="1">IF((OFFSET($A$1, 484 - 1, 95 - 1)) &gt;= (OFFSET($A$1, 54 - 1, 7 - 1)), "1","0")</f>
        <v>1</v>
      </c>
      <c r="CT484">
        <f ca="1" xml:space="preserve"> IF( AND( OFFSET($A$1, 484 - 1, 96 - 1) = "1", OFFSET($A$1, 484 - 1, 97 - 1) = "1" ), 1, IF( AND( OFFSET($A$1, 484 - 1, 96 - 1) = "1", OFFSET($A$1, 484 - 1, 97 - 1) = "0" ), 2, IF( AND( OFFSET($A$1, 484 - 1, 96 - 1) = "0", OFFSET($A$1, 484 - 1, 97 - 1) = "1" ), 3, 4 ) ) )</f>
        <v>1</v>
      </c>
    </row>
    <row r="485" spans="95:98" ht="13.8" x14ac:dyDescent="0.3">
      <c r="CQ485" s="24">
        <v>4.0775511848449944E-4</v>
      </c>
      <c r="CR485" s="24" t="str">
        <f>"0"</f>
        <v>0</v>
      </c>
      <c r="CS485" t="str">
        <f ca="1">IF((OFFSET($A$1, 485 - 1, 95 - 1)) &gt;= (OFFSET($A$1, 54 - 1, 7 - 1)), "1","0")</f>
        <v>0</v>
      </c>
      <c r="CT485">
        <f ca="1" xml:space="preserve"> IF( AND( OFFSET($A$1, 485 - 1, 96 - 1) = "1", OFFSET($A$1, 485 - 1, 97 - 1) = "1" ), 1, IF( AND( OFFSET($A$1, 485 - 1, 96 - 1) = "1", OFFSET($A$1, 485 - 1, 97 - 1) = "0" ), 2, IF( AND( OFFSET($A$1, 485 - 1, 96 - 1) = "0", OFFSET($A$1, 485 - 1, 97 - 1) = "1" ), 3, 4 ) ) )</f>
        <v>4</v>
      </c>
    </row>
    <row r="486" spans="95:98" ht="13.8" x14ac:dyDescent="0.3">
      <c r="CQ486" s="24">
        <v>0.92293265069128905</v>
      </c>
      <c r="CR486" s="24" t="str">
        <f>"1"</f>
        <v>1</v>
      </c>
      <c r="CS486" t="str">
        <f ca="1">IF((OFFSET($A$1, 486 - 1, 95 - 1)) &gt;= (OFFSET($A$1, 54 - 1, 7 - 1)), "1","0")</f>
        <v>1</v>
      </c>
      <c r="CT486">
        <f ca="1" xml:space="preserve"> IF( AND( OFFSET($A$1, 486 - 1, 96 - 1) = "1", OFFSET($A$1, 486 - 1, 97 - 1) = "1" ), 1, IF( AND( OFFSET($A$1, 486 - 1, 96 - 1) = "1", OFFSET($A$1, 486 - 1, 97 - 1) = "0" ), 2, IF( AND( OFFSET($A$1, 486 - 1, 96 - 1) = "0", OFFSET($A$1, 486 - 1, 97 - 1) = "1" ), 3, 4 ) ) )</f>
        <v>1</v>
      </c>
    </row>
    <row r="487" spans="95:98" ht="13.8" x14ac:dyDescent="0.3">
      <c r="CQ487" s="24">
        <v>0.89707772294647525</v>
      </c>
      <c r="CR487" s="24" t="str">
        <f>"1"</f>
        <v>1</v>
      </c>
      <c r="CS487" t="str">
        <f ca="1">IF((OFFSET($A$1, 487 - 1, 95 - 1)) &gt;= (OFFSET($A$1, 54 - 1, 7 - 1)), "1","0")</f>
        <v>1</v>
      </c>
      <c r="CT487">
        <f ca="1" xml:space="preserve"> IF( AND( OFFSET($A$1, 487 - 1, 96 - 1) = "1", OFFSET($A$1, 487 - 1, 97 - 1) = "1" ), 1, IF( AND( OFFSET($A$1, 487 - 1, 96 - 1) = "1", OFFSET($A$1, 487 - 1, 97 - 1) = "0" ), 2, IF( AND( OFFSET($A$1, 487 - 1, 96 - 1) = "0", OFFSET($A$1, 487 - 1, 97 - 1) = "1" ), 3, 4 ) ) )</f>
        <v>1</v>
      </c>
    </row>
    <row r="488" spans="95:98" ht="13.8" x14ac:dyDescent="0.3">
      <c r="CQ488" s="24">
        <v>7.2519798290732046E-3</v>
      </c>
      <c r="CR488" s="24" t="str">
        <f>"0"</f>
        <v>0</v>
      </c>
      <c r="CS488" t="str">
        <f ca="1">IF((OFFSET($A$1, 488 - 1, 95 - 1)) &gt;= (OFFSET($A$1, 54 - 1, 7 - 1)), "1","0")</f>
        <v>0</v>
      </c>
      <c r="CT488">
        <f ca="1" xml:space="preserve"> IF( AND( OFFSET($A$1, 488 - 1, 96 - 1) = "1", OFFSET($A$1, 488 - 1, 97 - 1) = "1" ), 1, IF( AND( OFFSET($A$1, 488 - 1, 96 - 1) = "1", OFFSET($A$1, 488 - 1, 97 - 1) = "0" ), 2, IF( AND( OFFSET($A$1, 488 - 1, 96 - 1) = "0", OFFSET($A$1, 488 - 1, 97 - 1) = "1" ), 3, 4 ) ) )</f>
        <v>4</v>
      </c>
    </row>
    <row r="489" spans="95:98" ht="13.8" x14ac:dyDescent="0.3">
      <c r="CQ489" s="24">
        <v>0.98381411303958122</v>
      </c>
      <c r="CR489" s="24" t="str">
        <f>"1"</f>
        <v>1</v>
      </c>
      <c r="CS489" t="str">
        <f ca="1">IF((OFFSET($A$1, 489 - 1, 95 - 1)) &gt;= (OFFSET($A$1, 54 - 1, 7 - 1)), "1","0")</f>
        <v>1</v>
      </c>
      <c r="CT489">
        <f ca="1" xml:space="preserve"> IF( AND( OFFSET($A$1, 489 - 1, 96 - 1) = "1", OFFSET($A$1, 489 - 1, 97 - 1) = "1" ), 1, IF( AND( OFFSET($A$1, 489 - 1, 96 - 1) = "1", OFFSET($A$1, 489 - 1, 97 - 1) = "0" ), 2, IF( AND( OFFSET($A$1, 489 - 1, 96 - 1) = "0", OFFSET($A$1, 489 - 1, 97 - 1) = "1" ), 3, 4 ) ) )</f>
        <v>1</v>
      </c>
    </row>
    <row r="490" spans="95:98" ht="13.8" x14ac:dyDescent="0.3">
      <c r="CQ490" s="24">
        <v>9.7414394437150692E-2</v>
      </c>
      <c r="CR490" s="24" t="str">
        <f>"0"</f>
        <v>0</v>
      </c>
      <c r="CS490" t="str">
        <f ca="1">IF((OFFSET($A$1, 490 - 1, 95 - 1)) &gt;= (OFFSET($A$1, 54 - 1, 7 - 1)), "1","0")</f>
        <v>0</v>
      </c>
      <c r="CT490">
        <f ca="1" xml:space="preserve"> IF( AND( OFFSET($A$1, 490 - 1, 96 - 1) = "1", OFFSET($A$1, 490 - 1, 97 - 1) = "1" ), 1, IF( AND( OFFSET($A$1, 490 - 1, 96 - 1) = "1", OFFSET($A$1, 490 - 1, 97 - 1) = "0" ), 2, IF( AND( OFFSET($A$1, 490 - 1, 96 - 1) = "0", OFFSET($A$1, 490 - 1, 97 - 1) = "1" ), 3, 4 ) ) )</f>
        <v>4</v>
      </c>
    </row>
    <row r="491" spans="95:98" ht="13.8" x14ac:dyDescent="0.3">
      <c r="CQ491" s="24">
        <v>0.88166159348214812</v>
      </c>
      <c r="CR491" s="24" t="str">
        <f t="shared" ref="CR491:CR502" si="34">"1"</f>
        <v>1</v>
      </c>
      <c r="CS491" t="str">
        <f ca="1">IF((OFFSET($A$1, 491 - 1, 95 - 1)) &gt;= (OFFSET($A$1, 54 - 1, 7 - 1)), "1","0")</f>
        <v>1</v>
      </c>
      <c r="CT491">
        <f ca="1" xml:space="preserve"> IF( AND( OFFSET($A$1, 491 - 1, 96 - 1) = "1", OFFSET($A$1, 491 - 1, 97 - 1) = "1" ), 1, IF( AND( OFFSET($A$1, 491 - 1, 96 - 1) = "1", OFFSET($A$1, 491 - 1, 97 - 1) = "0" ), 2, IF( AND( OFFSET($A$1, 491 - 1, 96 - 1) = "0", OFFSET($A$1, 491 - 1, 97 - 1) = "1" ), 3, 4 ) ) )</f>
        <v>1</v>
      </c>
    </row>
    <row r="492" spans="95:98" ht="13.8" x14ac:dyDescent="0.3">
      <c r="CQ492" s="24">
        <v>0.91405921665496848</v>
      </c>
      <c r="CR492" s="24" t="str">
        <f t="shared" si="34"/>
        <v>1</v>
      </c>
      <c r="CS492" t="str">
        <f ca="1">IF((OFFSET($A$1, 492 - 1, 95 - 1)) &gt;= (OFFSET($A$1, 54 - 1, 7 - 1)), "1","0")</f>
        <v>1</v>
      </c>
      <c r="CT492">
        <f ca="1" xml:space="preserve"> IF( AND( OFFSET($A$1, 492 - 1, 96 - 1) = "1", OFFSET($A$1, 492 - 1, 97 - 1) = "1" ), 1, IF( AND( OFFSET($A$1, 492 - 1, 96 - 1) = "1", OFFSET($A$1, 492 - 1, 97 - 1) = "0" ), 2, IF( AND( OFFSET($A$1, 492 - 1, 96 - 1) = "0", OFFSET($A$1, 492 - 1, 97 - 1) = "1" ), 3, 4 ) ) )</f>
        <v>1</v>
      </c>
    </row>
    <row r="493" spans="95:98" ht="13.8" x14ac:dyDescent="0.3">
      <c r="CQ493" s="24">
        <v>0.93852884336605047</v>
      </c>
      <c r="CR493" s="24" t="str">
        <f t="shared" si="34"/>
        <v>1</v>
      </c>
      <c r="CS493" t="str">
        <f ca="1">IF((OFFSET($A$1, 493 - 1, 95 - 1)) &gt;= (OFFSET($A$1, 54 - 1, 7 - 1)), "1","0")</f>
        <v>1</v>
      </c>
      <c r="CT493">
        <f ca="1" xml:space="preserve"> IF( AND( OFFSET($A$1, 493 - 1, 96 - 1) = "1", OFFSET($A$1, 493 - 1, 97 - 1) = "1" ), 1, IF( AND( OFFSET($A$1, 493 - 1, 96 - 1) = "1", OFFSET($A$1, 493 - 1, 97 - 1) = "0" ), 2, IF( AND( OFFSET($A$1, 493 - 1, 96 - 1) = "0", OFFSET($A$1, 493 - 1, 97 - 1) = "1" ), 3, 4 ) ) )</f>
        <v>1</v>
      </c>
    </row>
    <row r="494" spans="95:98" ht="13.8" x14ac:dyDescent="0.3">
      <c r="CQ494" s="24">
        <v>0.97494816404862206</v>
      </c>
      <c r="CR494" s="24" t="str">
        <f t="shared" si="34"/>
        <v>1</v>
      </c>
      <c r="CS494" t="str">
        <f ca="1">IF((OFFSET($A$1, 494 - 1, 95 - 1)) &gt;= (OFFSET($A$1, 54 - 1, 7 - 1)), "1","0")</f>
        <v>1</v>
      </c>
      <c r="CT494">
        <f ca="1" xml:space="preserve"> IF( AND( OFFSET($A$1, 494 - 1, 96 - 1) = "1", OFFSET($A$1, 494 - 1, 97 - 1) = "1" ), 1, IF( AND( OFFSET($A$1, 494 - 1, 96 - 1) = "1", OFFSET($A$1, 494 - 1, 97 - 1) = "0" ), 2, IF( AND( OFFSET($A$1, 494 - 1, 96 - 1) = "0", OFFSET($A$1, 494 - 1, 97 - 1) = "1" ), 3, 4 ) ) )</f>
        <v>1</v>
      </c>
    </row>
    <row r="495" spans="95:98" ht="13.8" x14ac:dyDescent="0.3">
      <c r="CQ495" s="24">
        <v>0.88979496872919694</v>
      </c>
      <c r="CR495" s="24" t="str">
        <f t="shared" si="34"/>
        <v>1</v>
      </c>
      <c r="CS495" t="str">
        <f ca="1">IF((OFFSET($A$1, 495 - 1, 95 - 1)) &gt;= (OFFSET($A$1, 54 - 1, 7 - 1)), "1","0")</f>
        <v>1</v>
      </c>
      <c r="CT495">
        <f ca="1" xml:space="preserve"> IF( AND( OFFSET($A$1, 495 - 1, 96 - 1) = "1", OFFSET($A$1, 495 - 1, 97 - 1) = "1" ), 1, IF( AND( OFFSET($A$1, 495 - 1, 96 - 1) = "1", OFFSET($A$1, 495 - 1, 97 - 1) = "0" ), 2, IF( AND( OFFSET($A$1, 495 - 1, 96 - 1) = "0", OFFSET($A$1, 495 - 1, 97 - 1) = "1" ), 3, 4 ) ) )</f>
        <v>1</v>
      </c>
    </row>
    <row r="496" spans="95:98" ht="13.8" x14ac:dyDescent="0.3">
      <c r="CQ496" s="24">
        <v>0.89959548466187245</v>
      </c>
      <c r="CR496" s="24" t="str">
        <f t="shared" si="34"/>
        <v>1</v>
      </c>
      <c r="CS496" t="str">
        <f ca="1">IF((OFFSET($A$1, 496 - 1, 95 - 1)) &gt;= (OFFSET($A$1, 54 - 1, 7 - 1)), "1","0")</f>
        <v>1</v>
      </c>
      <c r="CT496">
        <f ca="1" xml:space="preserve"> IF( AND( OFFSET($A$1, 496 - 1, 96 - 1) = "1", OFFSET($A$1, 496 - 1, 97 - 1) = "1" ), 1, IF( AND( OFFSET($A$1, 496 - 1, 96 - 1) = "1", OFFSET($A$1, 496 - 1, 97 - 1) = "0" ), 2, IF( AND( OFFSET($A$1, 496 - 1, 96 - 1) = "0", OFFSET($A$1, 496 - 1, 97 - 1) = "1" ), 3, 4 ) ) )</f>
        <v>1</v>
      </c>
    </row>
    <row r="497" spans="95:98" ht="13.8" x14ac:dyDescent="0.3">
      <c r="CQ497" s="24">
        <v>0.90291786919486094</v>
      </c>
      <c r="CR497" s="24" t="str">
        <f t="shared" si="34"/>
        <v>1</v>
      </c>
      <c r="CS497" t="str">
        <f ca="1">IF((OFFSET($A$1, 497 - 1, 95 - 1)) &gt;= (OFFSET($A$1, 54 - 1, 7 - 1)), "1","0")</f>
        <v>1</v>
      </c>
      <c r="CT497">
        <f ca="1" xml:space="preserve"> IF( AND( OFFSET($A$1, 497 - 1, 96 - 1) = "1", OFFSET($A$1, 497 - 1, 97 - 1) = "1" ), 1, IF( AND( OFFSET($A$1, 497 - 1, 96 - 1) = "1", OFFSET($A$1, 497 - 1, 97 - 1) = "0" ), 2, IF( AND( OFFSET($A$1, 497 - 1, 96 - 1) = "0", OFFSET($A$1, 497 - 1, 97 - 1) = "1" ), 3, 4 ) ) )</f>
        <v>1</v>
      </c>
    </row>
    <row r="498" spans="95:98" ht="13.8" x14ac:dyDescent="0.3">
      <c r="CQ498" s="24">
        <v>0.92604094792142644</v>
      </c>
      <c r="CR498" s="24" t="str">
        <f t="shared" si="34"/>
        <v>1</v>
      </c>
      <c r="CS498" t="str">
        <f ca="1">IF((OFFSET($A$1, 498 - 1, 95 - 1)) &gt;= (OFFSET($A$1, 54 - 1, 7 - 1)), "1","0")</f>
        <v>1</v>
      </c>
      <c r="CT498">
        <f ca="1" xml:space="preserve"> IF( AND( OFFSET($A$1, 498 - 1, 96 - 1) = "1", OFFSET($A$1, 498 - 1, 97 - 1) = "1" ), 1, IF( AND( OFFSET($A$1, 498 - 1, 96 - 1) = "1", OFFSET($A$1, 498 - 1, 97 - 1) = "0" ), 2, IF( AND( OFFSET($A$1, 498 - 1, 96 - 1) = "0", OFFSET($A$1, 498 - 1, 97 - 1) = "1" ), 3, 4 ) ) )</f>
        <v>1</v>
      </c>
    </row>
    <row r="499" spans="95:98" ht="13.8" x14ac:dyDescent="0.3">
      <c r="CQ499" s="24">
        <v>0.89528671829048223</v>
      </c>
      <c r="CR499" s="24" t="str">
        <f t="shared" si="34"/>
        <v>1</v>
      </c>
      <c r="CS499" t="str">
        <f ca="1">IF((OFFSET($A$1, 499 - 1, 95 - 1)) &gt;= (OFFSET($A$1, 54 - 1, 7 - 1)), "1","0")</f>
        <v>1</v>
      </c>
      <c r="CT499">
        <f ca="1" xml:space="preserve"> IF( AND( OFFSET($A$1, 499 - 1, 96 - 1) = "1", OFFSET($A$1, 499 - 1, 97 - 1) = "1" ), 1, IF( AND( OFFSET($A$1, 499 - 1, 96 - 1) = "1", OFFSET($A$1, 499 - 1, 97 - 1) = "0" ), 2, IF( AND( OFFSET($A$1, 499 - 1, 96 - 1) = "0", OFFSET($A$1, 499 - 1, 97 - 1) = "1" ), 3, 4 ) ) )</f>
        <v>1</v>
      </c>
    </row>
    <row r="500" spans="95:98" ht="13.8" x14ac:dyDescent="0.3">
      <c r="CQ500" s="24">
        <v>0.99474675994646378</v>
      </c>
      <c r="CR500" s="24" t="str">
        <f t="shared" si="34"/>
        <v>1</v>
      </c>
      <c r="CS500" t="str">
        <f ca="1">IF((OFFSET($A$1, 500 - 1, 95 - 1)) &gt;= (OFFSET($A$1, 54 - 1, 7 - 1)), "1","0")</f>
        <v>1</v>
      </c>
      <c r="CT500">
        <f ca="1" xml:space="preserve"> IF( AND( OFFSET($A$1, 500 - 1, 96 - 1) = "1", OFFSET($A$1, 500 - 1, 97 - 1) = "1" ), 1, IF( AND( OFFSET($A$1, 500 - 1, 96 - 1) = "1", OFFSET($A$1, 500 - 1, 97 - 1) = "0" ), 2, IF( AND( OFFSET($A$1, 500 - 1, 96 - 1) = "0", OFFSET($A$1, 500 - 1, 97 - 1) = "1" ), 3, 4 ) ) )</f>
        <v>1</v>
      </c>
    </row>
    <row r="501" spans="95:98" ht="13.8" x14ac:dyDescent="0.3">
      <c r="CQ501" s="24">
        <v>0.99818876474734386</v>
      </c>
      <c r="CR501" s="24" t="str">
        <f t="shared" si="34"/>
        <v>1</v>
      </c>
      <c r="CS501" t="str">
        <f ca="1">IF((OFFSET($A$1, 501 - 1, 95 - 1)) &gt;= (OFFSET($A$1, 54 - 1, 7 - 1)), "1","0")</f>
        <v>1</v>
      </c>
      <c r="CT501">
        <f ca="1" xml:space="preserve"> IF( AND( OFFSET($A$1, 501 - 1, 96 - 1) = "1", OFFSET($A$1, 501 - 1, 97 - 1) = "1" ), 1, IF( AND( OFFSET($A$1, 501 - 1, 96 - 1) = "1", OFFSET($A$1, 501 - 1, 97 - 1) = "0" ), 2, IF( AND( OFFSET($A$1, 501 - 1, 96 - 1) = "0", OFFSET($A$1, 501 - 1, 97 - 1) = "1" ), 3, 4 ) ) )</f>
        <v>1</v>
      </c>
    </row>
    <row r="502" spans="95:98" ht="13.8" x14ac:dyDescent="0.3">
      <c r="CQ502" s="24">
        <v>0.93910155034724463</v>
      </c>
      <c r="CR502" s="24" t="str">
        <f t="shared" si="34"/>
        <v>1</v>
      </c>
      <c r="CS502" t="str">
        <f ca="1">IF((OFFSET($A$1, 502 - 1, 95 - 1)) &gt;= (OFFSET($A$1, 54 - 1, 7 - 1)), "1","0")</f>
        <v>1</v>
      </c>
      <c r="CT502">
        <f ca="1" xml:space="preserve"> IF( AND( OFFSET($A$1, 502 - 1, 96 - 1) = "1", OFFSET($A$1, 502 - 1, 97 - 1) = "1" ), 1, IF( AND( OFFSET($A$1, 502 - 1, 96 - 1) = "1", OFFSET($A$1, 502 - 1, 97 - 1) = "0" ), 2, IF( AND( OFFSET($A$1, 502 - 1, 96 - 1) = "0", OFFSET($A$1, 502 - 1, 97 - 1) = "1" ), 3, 4 ) ) )</f>
        <v>1</v>
      </c>
    </row>
    <row r="503" spans="95:98" ht="13.8" x14ac:dyDescent="0.3">
      <c r="CQ503" s="24">
        <v>0.99986336312289115</v>
      </c>
      <c r="CR503" s="24" t="str">
        <f>"0"</f>
        <v>0</v>
      </c>
      <c r="CS503" t="str">
        <f ca="1">IF((OFFSET($A$1, 503 - 1, 95 - 1)) &gt;= (OFFSET($A$1, 54 - 1, 7 - 1)), "1","0")</f>
        <v>1</v>
      </c>
      <c r="CT503">
        <f ca="1" xml:space="preserve"> IF( AND( OFFSET($A$1, 503 - 1, 96 - 1) = "1", OFFSET($A$1, 503 - 1, 97 - 1) = "1" ), 1, IF( AND( OFFSET($A$1, 503 - 1, 96 - 1) = "1", OFFSET($A$1, 503 - 1, 97 - 1) = "0" ), 2, IF( AND( OFFSET($A$1, 503 - 1, 96 - 1) = "0", OFFSET($A$1, 503 - 1, 97 - 1) = "1" ), 3, 4 ) ) )</f>
        <v>3</v>
      </c>
    </row>
    <row r="504" spans="95:98" ht="13.8" x14ac:dyDescent="0.3">
      <c r="CQ504" s="24">
        <v>0.94864898915700469</v>
      </c>
      <c r="CR504" s="24" t="str">
        <f>"1"</f>
        <v>1</v>
      </c>
      <c r="CS504" t="str">
        <f ca="1">IF((OFFSET($A$1, 504 - 1, 95 - 1)) &gt;= (OFFSET($A$1, 54 - 1, 7 - 1)), "1","0")</f>
        <v>1</v>
      </c>
      <c r="CT504">
        <f ca="1" xml:space="preserve"> IF( AND( OFFSET($A$1, 504 - 1, 96 - 1) = "1", OFFSET($A$1, 504 - 1, 97 - 1) = "1" ), 1, IF( AND( OFFSET($A$1, 504 - 1, 96 - 1) = "1", OFFSET($A$1, 504 - 1, 97 - 1) = "0" ), 2, IF( AND( OFFSET($A$1, 504 - 1, 96 - 1) = "0", OFFSET($A$1, 504 - 1, 97 - 1) = "1" ), 3, 4 ) ) )</f>
        <v>1</v>
      </c>
    </row>
    <row r="505" spans="95:98" ht="13.8" x14ac:dyDescent="0.3">
      <c r="CQ505" s="24">
        <v>0.99745767130646035</v>
      </c>
      <c r="CR505" s="24" t="str">
        <f>"1"</f>
        <v>1</v>
      </c>
      <c r="CS505" t="str">
        <f ca="1">IF((OFFSET($A$1, 505 - 1, 95 - 1)) &gt;= (OFFSET($A$1, 54 - 1, 7 - 1)), "1","0")</f>
        <v>1</v>
      </c>
      <c r="CT505">
        <f ca="1" xml:space="preserve"> IF( AND( OFFSET($A$1, 505 - 1, 96 - 1) = "1", OFFSET($A$1, 505 - 1, 97 - 1) = "1" ), 1, IF( AND( OFFSET($A$1, 505 - 1, 96 - 1) = "1", OFFSET($A$1, 505 - 1, 97 - 1) = "0" ), 2, IF( AND( OFFSET($A$1, 505 - 1, 96 - 1) = "0", OFFSET($A$1, 505 - 1, 97 - 1) = "1" ), 3, 4 ) ) )</f>
        <v>1</v>
      </c>
    </row>
    <row r="506" spans="95:98" ht="13.8" x14ac:dyDescent="0.3">
      <c r="CQ506" s="24">
        <v>0.9992337585064246</v>
      </c>
      <c r="CR506" s="24" t="str">
        <f>"1"</f>
        <v>1</v>
      </c>
      <c r="CS506" t="str">
        <f ca="1">IF((OFFSET($A$1, 506 - 1, 95 - 1)) &gt;= (OFFSET($A$1, 54 - 1, 7 - 1)), "1","0")</f>
        <v>1</v>
      </c>
      <c r="CT506">
        <f ca="1" xml:space="preserve"> IF( AND( OFFSET($A$1, 506 - 1, 96 - 1) = "1", OFFSET($A$1, 506 - 1, 97 - 1) = "1" ), 1, IF( AND( OFFSET($A$1, 506 - 1, 96 - 1) = "1", OFFSET($A$1, 506 - 1, 97 - 1) = "0" ), 2, IF( AND( OFFSET($A$1, 506 - 1, 96 - 1) = "0", OFFSET($A$1, 506 - 1, 97 - 1) = "1" ), 3, 4 ) ) )</f>
        <v>1</v>
      </c>
    </row>
    <row r="507" spans="95:98" ht="13.8" x14ac:dyDescent="0.3">
      <c r="CQ507" s="24">
        <v>1.5040129048047341E-3</v>
      </c>
      <c r="CR507" s="24" t="str">
        <f>"0"</f>
        <v>0</v>
      </c>
      <c r="CS507" t="str">
        <f ca="1">IF((OFFSET($A$1, 507 - 1, 95 - 1)) &gt;= (OFFSET($A$1, 54 - 1, 7 - 1)), "1","0")</f>
        <v>0</v>
      </c>
      <c r="CT507">
        <f ca="1" xml:space="preserve"> IF( AND( OFFSET($A$1, 507 - 1, 96 - 1) = "1", OFFSET($A$1, 507 - 1, 97 - 1) = "1" ), 1, IF( AND( OFFSET($A$1, 507 - 1, 96 - 1) = "1", OFFSET($A$1, 507 - 1, 97 - 1) = "0" ), 2, IF( AND( OFFSET($A$1, 507 - 1, 96 - 1) = "0", OFFSET($A$1, 507 - 1, 97 - 1) = "1" ), 3, 4 ) ) )</f>
        <v>4</v>
      </c>
    </row>
    <row r="508" spans="95:98" ht="13.8" x14ac:dyDescent="0.3">
      <c r="CQ508" s="24">
        <v>0.11579070946113948</v>
      </c>
      <c r="CR508" s="24" t="str">
        <f>"0"</f>
        <v>0</v>
      </c>
      <c r="CS508" t="str">
        <f ca="1">IF((OFFSET($A$1, 508 - 1, 95 - 1)) &gt;= (OFFSET($A$1, 54 - 1, 7 - 1)), "1","0")</f>
        <v>0</v>
      </c>
      <c r="CT508">
        <f ca="1" xml:space="preserve"> IF( AND( OFFSET($A$1, 508 - 1, 96 - 1) = "1", OFFSET($A$1, 508 - 1, 97 - 1) = "1" ), 1, IF( AND( OFFSET($A$1, 508 - 1, 96 - 1) = "1", OFFSET($A$1, 508 - 1, 97 - 1) = "0" ), 2, IF( AND( OFFSET($A$1, 508 - 1, 96 - 1) = "0", OFFSET($A$1, 508 - 1, 97 - 1) = "1" ), 3, 4 ) ) )</f>
        <v>4</v>
      </c>
    </row>
    <row r="509" spans="95:98" ht="13.8" x14ac:dyDescent="0.3">
      <c r="CQ509" s="24">
        <v>3.9706338725491855E-2</v>
      </c>
      <c r="CR509" s="24" t="str">
        <f>"0"</f>
        <v>0</v>
      </c>
      <c r="CS509" t="str">
        <f ca="1">IF((OFFSET($A$1, 509 - 1, 95 - 1)) &gt;= (OFFSET($A$1, 54 - 1, 7 - 1)), "1","0")</f>
        <v>0</v>
      </c>
      <c r="CT509">
        <f ca="1" xml:space="preserve"> IF( AND( OFFSET($A$1, 509 - 1, 96 - 1) = "1", OFFSET($A$1, 509 - 1, 97 - 1) = "1" ), 1, IF( AND( OFFSET($A$1, 509 - 1, 96 - 1) = "1", OFFSET($A$1, 509 - 1, 97 - 1) = "0" ), 2, IF( AND( OFFSET($A$1, 509 - 1, 96 - 1) = "0", OFFSET($A$1, 509 - 1, 97 - 1) = "1" ), 3, 4 ) ) )</f>
        <v>4</v>
      </c>
    </row>
    <row r="510" spans="95:98" ht="13.8" x14ac:dyDescent="0.3">
      <c r="CQ510" s="24">
        <v>0.96253943924048579</v>
      </c>
      <c r="CR510" s="24" t="str">
        <f>"1"</f>
        <v>1</v>
      </c>
      <c r="CS510" t="str">
        <f ca="1">IF((OFFSET($A$1, 510 - 1, 95 - 1)) &gt;= (OFFSET($A$1, 54 - 1, 7 - 1)), "1","0")</f>
        <v>1</v>
      </c>
      <c r="CT510">
        <f ca="1" xml:space="preserve"> IF( AND( OFFSET($A$1, 510 - 1, 96 - 1) = "1", OFFSET($A$1, 510 - 1, 97 - 1) = "1" ), 1, IF( AND( OFFSET($A$1, 510 - 1, 96 - 1) = "1", OFFSET($A$1, 510 - 1, 97 - 1) = "0" ), 2, IF( AND( OFFSET($A$1, 510 - 1, 96 - 1) = "0", OFFSET($A$1, 510 - 1, 97 - 1) = "1" ), 3, 4 ) ) )</f>
        <v>1</v>
      </c>
    </row>
    <row r="511" spans="95:98" ht="13.8" x14ac:dyDescent="0.3">
      <c r="CQ511" s="24">
        <v>0.92075845232983655</v>
      </c>
      <c r="CR511" s="24" t="str">
        <f>"1"</f>
        <v>1</v>
      </c>
      <c r="CS511" t="str">
        <f ca="1">IF((OFFSET($A$1, 511 - 1, 95 - 1)) &gt;= (OFFSET($A$1, 54 - 1, 7 - 1)), "1","0")</f>
        <v>1</v>
      </c>
      <c r="CT511">
        <f ca="1" xml:space="preserve"> IF( AND( OFFSET($A$1, 511 - 1, 96 - 1) = "1", OFFSET($A$1, 511 - 1, 97 - 1) = "1" ), 1, IF( AND( OFFSET($A$1, 511 - 1, 96 - 1) = "1", OFFSET($A$1, 511 - 1, 97 - 1) = "0" ), 2, IF( AND( OFFSET($A$1, 511 - 1, 96 - 1) = "0", OFFSET($A$1, 511 - 1, 97 - 1) = "1" ), 3, 4 ) ) )</f>
        <v>1</v>
      </c>
    </row>
    <row r="512" spans="95:98" ht="13.8" x14ac:dyDescent="0.3">
      <c r="CQ512" s="24">
        <v>0.93065245993554924</v>
      </c>
      <c r="CR512" s="24" t="str">
        <f>"1"</f>
        <v>1</v>
      </c>
      <c r="CS512" t="str">
        <f ca="1">IF((OFFSET($A$1, 512 - 1, 95 - 1)) &gt;= (OFFSET($A$1, 54 - 1, 7 - 1)), "1","0")</f>
        <v>1</v>
      </c>
      <c r="CT512">
        <f ca="1" xml:space="preserve"> IF( AND( OFFSET($A$1, 512 - 1, 96 - 1) = "1", OFFSET($A$1, 512 - 1, 97 - 1) = "1" ), 1, IF( AND( OFFSET($A$1, 512 - 1, 96 - 1) = "1", OFFSET($A$1, 512 - 1, 97 - 1) = "0" ), 2, IF( AND( OFFSET($A$1, 512 - 1, 96 - 1) = "0", OFFSET($A$1, 512 - 1, 97 - 1) = "1" ), 3, 4 ) ) )</f>
        <v>1</v>
      </c>
    </row>
    <row r="513" spans="95:98" ht="13.8" x14ac:dyDescent="0.3">
      <c r="CQ513" s="24">
        <v>3.8320900296601179E-2</v>
      </c>
      <c r="CR513" s="24" t="str">
        <f>"0"</f>
        <v>0</v>
      </c>
      <c r="CS513" t="str">
        <f ca="1">IF((OFFSET($A$1, 513 - 1, 95 - 1)) &gt;= (OFFSET($A$1, 54 - 1, 7 - 1)), "1","0")</f>
        <v>0</v>
      </c>
      <c r="CT513">
        <f ca="1" xml:space="preserve"> IF( AND( OFFSET($A$1, 513 - 1, 96 - 1) = "1", OFFSET($A$1, 513 - 1, 97 - 1) = "1" ), 1, IF( AND( OFFSET($A$1, 513 - 1, 96 - 1) = "1", OFFSET($A$1, 513 - 1, 97 - 1) = "0" ), 2, IF( AND( OFFSET($A$1, 513 - 1, 96 - 1) = "0", OFFSET($A$1, 513 - 1, 97 - 1) = "1" ), 3, 4 ) ) )</f>
        <v>4</v>
      </c>
    </row>
    <row r="514" spans="95:98" ht="13.8" x14ac:dyDescent="0.3">
      <c r="CQ514" s="24">
        <v>0.89213663146735078</v>
      </c>
      <c r="CR514" s="24" t="str">
        <f>"1"</f>
        <v>1</v>
      </c>
      <c r="CS514" t="str">
        <f ca="1">IF((OFFSET($A$1, 514 - 1, 95 - 1)) &gt;= (OFFSET($A$1, 54 - 1, 7 - 1)), "1","0")</f>
        <v>1</v>
      </c>
      <c r="CT514">
        <f ca="1" xml:space="preserve"> IF( AND( OFFSET($A$1, 514 - 1, 96 - 1) = "1", OFFSET($A$1, 514 - 1, 97 - 1) = "1" ), 1, IF( AND( OFFSET($A$1, 514 - 1, 96 - 1) = "1", OFFSET($A$1, 514 - 1, 97 - 1) = "0" ), 2, IF( AND( OFFSET($A$1, 514 - 1, 96 - 1) = "0", OFFSET($A$1, 514 - 1, 97 - 1) = "1" ), 3, 4 ) ) )</f>
        <v>1</v>
      </c>
    </row>
    <row r="515" spans="95:98" ht="13.8" x14ac:dyDescent="0.3">
      <c r="CQ515" s="24">
        <v>0.87876600623043177</v>
      </c>
      <c r="CR515" s="24" t="str">
        <f>"1"</f>
        <v>1</v>
      </c>
      <c r="CS515" t="str">
        <f ca="1">IF((OFFSET($A$1, 515 - 1, 95 - 1)) &gt;= (OFFSET($A$1, 54 - 1, 7 - 1)), "1","0")</f>
        <v>1</v>
      </c>
      <c r="CT515">
        <f ca="1" xml:space="preserve"> IF( AND( OFFSET($A$1, 515 - 1, 96 - 1) = "1", OFFSET($A$1, 515 - 1, 97 - 1) = "1" ), 1, IF( AND( OFFSET($A$1, 515 - 1, 96 - 1) = "1", OFFSET($A$1, 515 - 1, 97 - 1) = "0" ), 2, IF( AND( OFFSET($A$1, 515 - 1, 96 - 1) = "0", OFFSET($A$1, 515 - 1, 97 - 1) = "1" ), 3, 4 ) ) )</f>
        <v>1</v>
      </c>
    </row>
    <row r="516" spans="95:98" ht="13.8" x14ac:dyDescent="0.3">
      <c r="CQ516" s="24">
        <v>0.99988614432102763</v>
      </c>
      <c r="CR516" s="24" t="str">
        <f>"1"</f>
        <v>1</v>
      </c>
      <c r="CS516" t="str">
        <f ca="1">IF((OFFSET($A$1, 516 - 1, 95 - 1)) &gt;= (OFFSET($A$1, 54 - 1, 7 - 1)), "1","0")</f>
        <v>1</v>
      </c>
      <c r="CT516">
        <f ca="1" xml:space="preserve"> IF( AND( OFFSET($A$1, 516 - 1, 96 - 1) = "1", OFFSET($A$1, 516 - 1, 97 - 1) = "1" ), 1, IF( AND( OFFSET($A$1, 516 - 1, 96 - 1) = "1", OFFSET($A$1, 516 - 1, 97 - 1) = "0" ), 2, IF( AND( OFFSET($A$1, 516 - 1, 96 - 1) = "0", OFFSET($A$1, 516 - 1, 97 - 1) = "1" ), 3, 4 ) ) )</f>
        <v>1</v>
      </c>
    </row>
    <row r="517" spans="95:98" ht="13.8" x14ac:dyDescent="0.3">
      <c r="CQ517" s="24">
        <v>0.97713847026520984</v>
      </c>
      <c r="CR517" s="24" t="str">
        <f>"1"</f>
        <v>1</v>
      </c>
      <c r="CS517" t="str">
        <f ca="1">IF((OFFSET($A$1, 517 - 1, 95 - 1)) &gt;= (OFFSET($A$1, 54 - 1, 7 - 1)), "1","0")</f>
        <v>1</v>
      </c>
      <c r="CT517">
        <f ca="1" xml:space="preserve"> IF( AND( OFFSET($A$1, 517 - 1, 96 - 1) = "1", OFFSET($A$1, 517 - 1, 97 - 1) = "1" ), 1, IF( AND( OFFSET($A$1, 517 - 1, 96 - 1) = "1", OFFSET($A$1, 517 - 1, 97 - 1) = "0" ), 2, IF( AND( OFFSET($A$1, 517 - 1, 96 - 1) = "0", OFFSET($A$1, 517 - 1, 97 - 1) = "1" ), 3, 4 ) ) )</f>
        <v>1</v>
      </c>
    </row>
    <row r="518" spans="95:98" ht="13.8" x14ac:dyDescent="0.3">
      <c r="CQ518" s="24">
        <v>0.99967655243179365</v>
      </c>
      <c r="CR518" s="24" t="str">
        <f>"1"</f>
        <v>1</v>
      </c>
      <c r="CS518" t="str">
        <f ca="1">IF((OFFSET($A$1, 518 - 1, 95 - 1)) &gt;= (OFFSET($A$1, 54 - 1, 7 - 1)), "1","0")</f>
        <v>1</v>
      </c>
      <c r="CT518">
        <f ca="1" xml:space="preserve"> IF( AND( OFFSET($A$1, 518 - 1, 96 - 1) = "1", OFFSET($A$1, 518 - 1, 97 - 1) = "1" ), 1, IF( AND( OFFSET($A$1, 518 - 1, 96 - 1) = "1", OFFSET($A$1, 518 - 1, 97 - 1) = "0" ), 2, IF( AND( OFFSET($A$1, 518 - 1, 96 - 1) = "0", OFFSET($A$1, 518 - 1, 97 - 1) = "1" ), 3, 4 ) ) )</f>
        <v>1</v>
      </c>
    </row>
    <row r="519" spans="95:98" ht="13.8" x14ac:dyDescent="0.3">
      <c r="CQ519" s="24">
        <v>0.10489985432275507</v>
      </c>
      <c r="CR519" s="24" t="str">
        <f>"0"</f>
        <v>0</v>
      </c>
      <c r="CS519" t="str">
        <f ca="1">IF((OFFSET($A$1, 519 - 1, 95 - 1)) &gt;= (OFFSET($A$1, 54 - 1, 7 - 1)), "1","0")</f>
        <v>0</v>
      </c>
      <c r="CT519">
        <f ca="1" xml:space="preserve"> IF( AND( OFFSET($A$1, 519 - 1, 96 - 1) = "1", OFFSET($A$1, 519 - 1, 97 - 1) = "1" ), 1, IF( AND( OFFSET($A$1, 519 - 1, 96 - 1) = "1", OFFSET($A$1, 519 - 1, 97 - 1) = "0" ), 2, IF( AND( OFFSET($A$1, 519 - 1, 96 - 1) = "0", OFFSET($A$1, 519 - 1, 97 - 1) = "1" ), 3, 4 ) ) )</f>
        <v>4</v>
      </c>
    </row>
    <row r="520" spans="95:98" ht="13.8" x14ac:dyDescent="0.3">
      <c r="CQ520" s="24">
        <v>0.11541215447016592</v>
      </c>
      <c r="CR520" s="24" t="str">
        <f>"0"</f>
        <v>0</v>
      </c>
      <c r="CS520" t="str">
        <f ca="1">IF((OFFSET($A$1, 520 - 1, 95 - 1)) &gt;= (OFFSET($A$1, 54 - 1, 7 - 1)), "1","0")</f>
        <v>0</v>
      </c>
      <c r="CT520">
        <f ca="1" xml:space="preserve"> IF( AND( OFFSET($A$1, 520 - 1, 96 - 1) = "1", OFFSET($A$1, 520 - 1, 97 - 1) = "1" ), 1, IF( AND( OFFSET($A$1, 520 - 1, 96 - 1) = "1", OFFSET($A$1, 520 - 1, 97 - 1) = "0" ), 2, IF( AND( OFFSET($A$1, 520 - 1, 96 - 1) = "0", OFFSET($A$1, 520 - 1, 97 - 1) = "1" ), 3, 4 ) ) )</f>
        <v>4</v>
      </c>
    </row>
    <row r="521" spans="95:98" ht="13.8" x14ac:dyDescent="0.3">
      <c r="CQ521" s="24">
        <v>0.99963882491344658</v>
      </c>
      <c r="CR521" s="24" t="str">
        <f>"1"</f>
        <v>1</v>
      </c>
      <c r="CS521" t="str">
        <f ca="1">IF((OFFSET($A$1, 521 - 1, 95 - 1)) &gt;= (OFFSET($A$1, 54 - 1, 7 - 1)), "1","0")</f>
        <v>1</v>
      </c>
      <c r="CT521">
        <f ca="1" xml:space="preserve"> IF( AND( OFFSET($A$1, 521 - 1, 96 - 1) = "1", OFFSET($A$1, 521 - 1, 97 - 1) = "1" ), 1, IF( AND( OFFSET($A$1, 521 - 1, 96 - 1) = "1", OFFSET($A$1, 521 - 1, 97 - 1) = "0" ), 2, IF( AND( OFFSET($A$1, 521 - 1, 96 - 1) = "0", OFFSET($A$1, 521 - 1, 97 - 1) = "1" ), 3, 4 ) ) )</f>
        <v>1</v>
      </c>
    </row>
    <row r="522" spans="95:98" ht="13.8" x14ac:dyDescent="0.3">
      <c r="CQ522" s="24">
        <v>0.99375145956542854</v>
      </c>
      <c r="CR522" s="24" t="str">
        <f>"1"</f>
        <v>1</v>
      </c>
      <c r="CS522" t="str">
        <f ca="1">IF((OFFSET($A$1, 522 - 1, 95 - 1)) &gt;= (OFFSET($A$1, 54 - 1, 7 - 1)), "1","0")</f>
        <v>1</v>
      </c>
      <c r="CT522">
        <f ca="1" xml:space="preserve"> IF( AND( OFFSET($A$1, 522 - 1, 96 - 1) = "1", OFFSET($A$1, 522 - 1, 97 - 1) = "1" ), 1, IF( AND( OFFSET($A$1, 522 - 1, 96 - 1) = "1", OFFSET($A$1, 522 - 1, 97 - 1) = "0" ), 2, IF( AND( OFFSET($A$1, 522 - 1, 96 - 1) = "0", OFFSET($A$1, 522 - 1, 97 - 1) = "1" ), 3, 4 ) ) )</f>
        <v>1</v>
      </c>
    </row>
    <row r="523" spans="95:98" ht="13.8" x14ac:dyDescent="0.3">
      <c r="CQ523" s="24">
        <v>0.92874159437864356</v>
      </c>
      <c r="CR523" s="24" t="str">
        <f>"1"</f>
        <v>1</v>
      </c>
      <c r="CS523" t="str">
        <f ca="1">IF((OFFSET($A$1, 523 - 1, 95 - 1)) &gt;= (OFFSET($A$1, 54 - 1, 7 - 1)), "1","0")</f>
        <v>1</v>
      </c>
      <c r="CT523">
        <f ca="1" xml:space="preserve"> IF( AND( OFFSET($A$1, 523 - 1, 96 - 1) = "1", OFFSET($A$1, 523 - 1, 97 - 1) = "1" ), 1, IF( AND( OFFSET($A$1, 523 - 1, 96 - 1) = "1", OFFSET($A$1, 523 - 1, 97 - 1) = "0" ), 2, IF( AND( OFFSET($A$1, 523 - 1, 96 - 1) = "0", OFFSET($A$1, 523 - 1, 97 - 1) = "1" ), 3, 4 ) ) )</f>
        <v>1</v>
      </c>
    </row>
    <row r="524" spans="95:98" ht="13.8" x14ac:dyDescent="0.3">
      <c r="CQ524" s="24">
        <v>0.1241246774641397</v>
      </c>
      <c r="CR524" s="24" t="str">
        <f>"0"</f>
        <v>0</v>
      </c>
      <c r="CS524" t="str">
        <f ca="1">IF((OFFSET($A$1, 524 - 1, 95 - 1)) &gt;= (OFFSET($A$1, 54 - 1, 7 - 1)), "1","0")</f>
        <v>0</v>
      </c>
      <c r="CT524">
        <f ca="1" xml:space="preserve"> IF( AND( OFFSET($A$1, 524 - 1, 96 - 1) = "1", OFFSET($A$1, 524 - 1, 97 - 1) = "1" ), 1, IF( AND( OFFSET($A$1, 524 - 1, 96 - 1) = "1", OFFSET($A$1, 524 - 1, 97 - 1) = "0" ), 2, IF( AND( OFFSET($A$1, 524 - 1, 96 - 1) = "0", OFFSET($A$1, 524 - 1, 97 - 1) = "1" ), 3, 4 ) ) )</f>
        <v>4</v>
      </c>
    </row>
    <row r="525" spans="95:98" ht="13.8" x14ac:dyDescent="0.3">
      <c r="CQ525" s="24">
        <v>0.10023750858782232</v>
      </c>
      <c r="CR525" s="24" t="str">
        <f>"0"</f>
        <v>0</v>
      </c>
      <c r="CS525" t="str">
        <f ca="1">IF((OFFSET($A$1, 525 - 1, 95 - 1)) &gt;= (OFFSET($A$1, 54 - 1, 7 - 1)), "1","0")</f>
        <v>0</v>
      </c>
      <c r="CT525">
        <f ca="1" xml:space="preserve"> IF( AND( OFFSET($A$1, 525 - 1, 96 - 1) = "1", OFFSET($A$1, 525 - 1, 97 - 1) = "1" ), 1, IF( AND( OFFSET($A$1, 525 - 1, 96 - 1) = "1", OFFSET($A$1, 525 - 1, 97 - 1) = "0" ), 2, IF( AND( OFFSET($A$1, 525 - 1, 96 - 1) = "0", OFFSET($A$1, 525 - 1, 97 - 1) = "1" ), 3, 4 ) ) )</f>
        <v>4</v>
      </c>
    </row>
    <row r="526" spans="95:98" ht="13.8" x14ac:dyDescent="0.3">
      <c r="CQ526" s="24">
        <v>0.89597574348392339</v>
      </c>
      <c r="CR526" s="24" t="str">
        <f>"1"</f>
        <v>1</v>
      </c>
      <c r="CS526" t="str">
        <f ca="1">IF((OFFSET($A$1, 526 - 1, 95 - 1)) &gt;= (OFFSET($A$1, 54 - 1, 7 - 1)), "1","0")</f>
        <v>1</v>
      </c>
      <c r="CT526">
        <f ca="1" xml:space="preserve"> IF( AND( OFFSET($A$1, 526 - 1, 96 - 1) = "1", OFFSET($A$1, 526 - 1, 97 - 1) = "1" ), 1, IF( AND( OFFSET($A$1, 526 - 1, 96 - 1) = "1", OFFSET($A$1, 526 - 1, 97 - 1) = "0" ), 2, IF( AND( OFFSET($A$1, 526 - 1, 96 - 1) = "0", OFFSET($A$1, 526 - 1, 97 - 1) = "1" ), 3, 4 ) ) )</f>
        <v>1</v>
      </c>
    </row>
    <row r="527" spans="95:98" ht="13.8" x14ac:dyDescent="0.3">
      <c r="CQ527" s="24">
        <v>0.99094422588901632</v>
      </c>
      <c r="CR527" s="24" t="str">
        <f>"1"</f>
        <v>1</v>
      </c>
      <c r="CS527" t="str">
        <f ca="1">IF((OFFSET($A$1, 527 - 1, 95 - 1)) &gt;= (OFFSET($A$1, 54 - 1, 7 - 1)), "1","0")</f>
        <v>1</v>
      </c>
      <c r="CT527">
        <f ca="1" xml:space="preserve"> IF( AND( OFFSET($A$1, 527 - 1, 96 - 1) = "1", OFFSET($A$1, 527 - 1, 97 - 1) = "1" ), 1, IF( AND( OFFSET($A$1, 527 - 1, 96 - 1) = "1", OFFSET($A$1, 527 - 1, 97 - 1) = "0" ), 2, IF( AND( OFFSET($A$1, 527 - 1, 96 - 1) = "0", OFFSET($A$1, 527 - 1, 97 - 1) = "1" ), 3, 4 ) ) )</f>
        <v>1</v>
      </c>
    </row>
    <row r="528" spans="95:98" ht="13.8" x14ac:dyDescent="0.3">
      <c r="CQ528" s="24">
        <v>0.91939641239957026</v>
      </c>
      <c r="CR528" s="24" t="str">
        <f>"1"</f>
        <v>1</v>
      </c>
      <c r="CS528" t="str">
        <f ca="1">IF((OFFSET($A$1, 528 - 1, 95 - 1)) &gt;= (OFFSET($A$1, 54 - 1, 7 - 1)), "1","0")</f>
        <v>1</v>
      </c>
      <c r="CT528">
        <f ca="1" xml:space="preserve"> IF( AND( OFFSET($A$1, 528 - 1, 96 - 1) = "1", OFFSET($A$1, 528 - 1, 97 - 1) = "1" ), 1, IF( AND( OFFSET($A$1, 528 - 1, 96 - 1) = "1", OFFSET($A$1, 528 - 1, 97 - 1) = "0" ), 2, IF( AND( OFFSET($A$1, 528 - 1, 96 - 1) = "0", OFFSET($A$1, 528 - 1, 97 - 1) = "1" ), 3, 4 ) ) )</f>
        <v>1</v>
      </c>
    </row>
    <row r="529" spans="95:98" ht="13.8" x14ac:dyDescent="0.3">
      <c r="CQ529" s="24">
        <v>7.4444710419134696E-2</v>
      </c>
      <c r="CR529" s="24" t="str">
        <f>"0"</f>
        <v>0</v>
      </c>
      <c r="CS529" t="str">
        <f ca="1">IF((OFFSET($A$1, 529 - 1, 95 - 1)) &gt;= (OFFSET($A$1, 54 - 1, 7 - 1)), "1","0")</f>
        <v>0</v>
      </c>
      <c r="CT529">
        <f ca="1" xml:space="preserve"> IF( AND( OFFSET($A$1, 529 - 1, 96 - 1) = "1", OFFSET($A$1, 529 - 1, 97 - 1) = "1" ), 1, IF( AND( OFFSET($A$1, 529 - 1, 96 - 1) = "1", OFFSET($A$1, 529 - 1, 97 - 1) = "0" ), 2, IF( AND( OFFSET($A$1, 529 - 1, 96 - 1) = "0", OFFSET($A$1, 529 - 1, 97 - 1) = "1" ), 3, 4 ) ) )</f>
        <v>4</v>
      </c>
    </row>
    <row r="530" spans="95:98" ht="13.8" x14ac:dyDescent="0.3">
      <c r="CQ530" s="24">
        <v>1.4503265296456905E-2</v>
      </c>
      <c r="CR530" s="24" t="str">
        <f>"0"</f>
        <v>0</v>
      </c>
      <c r="CS530" t="str">
        <f ca="1">IF((OFFSET($A$1, 530 - 1, 95 - 1)) &gt;= (OFFSET($A$1, 54 - 1, 7 - 1)), "1","0")</f>
        <v>0</v>
      </c>
      <c r="CT530">
        <f ca="1" xml:space="preserve"> IF( AND( OFFSET($A$1, 530 - 1, 96 - 1) = "1", OFFSET($A$1, 530 - 1, 97 - 1) = "1" ), 1, IF( AND( OFFSET($A$1, 530 - 1, 96 - 1) = "1", OFFSET($A$1, 530 - 1, 97 - 1) = "0" ), 2, IF( AND( OFFSET($A$1, 530 - 1, 96 - 1) = "0", OFFSET($A$1, 530 - 1, 97 - 1) = "1" ), 3, 4 ) ) )</f>
        <v>4</v>
      </c>
    </row>
    <row r="531" spans="95:98" ht="13.8" x14ac:dyDescent="0.3">
      <c r="CQ531" s="24">
        <v>0.92621482857513648</v>
      </c>
      <c r="CR531" s="24" t="str">
        <f t="shared" ref="CR531:CR539" si="35">"1"</f>
        <v>1</v>
      </c>
      <c r="CS531" t="str">
        <f ca="1">IF((OFFSET($A$1, 531 - 1, 95 - 1)) &gt;= (OFFSET($A$1, 54 - 1, 7 - 1)), "1","0")</f>
        <v>1</v>
      </c>
      <c r="CT531">
        <f ca="1" xml:space="preserve"> IF( AND( OFFSET($A$1, 531 - 1, 96 - 1) = "1", OFFSET($A$1, 531 - 1, 97 - 1) = "1" ), 1, IF( AND( OFFSET($A$1, 531 - 1, 96 - 1) = "1", OFFSET($A$1, 531 - 1, 97 - 1) = "0" ), 2, IF( AND( OFFSET($A$1, 531 - 1, 96 - 1) = "0", OFFSET($A$1, 531 - 1, 97 - 1) = "1" ), 3, 4 ) ) )</f>
        <v>1</v>
      </c>
    </row>
    <row r="532" spans="95:98" ht="13.8" x14ac:dyDescent="0.3">
      <c r="CQ532" s="24">
        <v>0.96761567188616715</v>
      </c>
      <c r="CR532" s="24" t="str">
        <f t="shared" si="35"/>
        <v>1</v>
      </c>
      <c r="CS532" t="str">
        <f ca="1">IF((OFFSET($A$1, 532 - 1, 95 - 1)) &gt;= (OFFSET($A$1, 54 - 1, 7 - 1)), "1","0")</f>
        <v>1</v>
      </c>
      <c r="CT532">
        <f ca="1" xml:space="preserve"> IF( AND( OFFSET($A$1, 532 - 1, 96 - 1) = "1", OFFSET($A$1, 532 - 1, 97 - 1) = "1" ), 1, IF( AND( OFFSET($A$1, 532 - 1, 96 - 1) = "1", OFFSET($A$1, 532 - 1, 97 - 1) = "0" ), 2, IF( AND( OFFSET($A$1, 532 - 1, 96 - 1) = "0", OFFSET($A$1, 532 - 1, 97 - 1) = "1" ), 3, 4 ) ) )</f>
        <v>1</v>
      </c>
    </row>
    <row r="533" spans="95:98" ht="13.8" x14ac:dyDescent="0.3">
      <c r="CQ533" s="24">
        <v>0.90412938570255041</v>
      </c>
      <c r="CR533" s="24" t="str">
        <f t="shared" si="35"/>
        <v>1</v>
      </c>
      <c r="CS533" t="str">
        <f ca="1">IF((OFFSET($A$1, 533 - 1, 95 - 1)) &gt;= (OFFSET($A$1, 54 - 1, 7 - 1)), "1","0")</f>
        <v>1</v>
      </c>
      <c r="CT533">
        <f ca="1" xml:space="preserve"> IF( AND( OFFSET($A$1, 533 - 1, 96 - 1) = "1", OFFSET($A$1, 533 - 1, 97 - 1) = "1" ), 1, IF( AND( OFFSET($A$1, 533 - 1, 96 - 1) = "1", OFFSET($A$1, 533 - 1, 97 - 1) = "0" ), 2, IF( AND( OFFSET($A$1, 533 - 1, 96 - 1) = "0", OFFSET($A$1, 533 - 1, 97 - 1) = "1" ), 3, 4 ) ) )</f>
        <v>1</v>
      </c>
    </row>
    <row r="534" spans="95:98" ht="13.8" x14ac:dyDescent="0.3">
      <c r="CQ534" s="24">
        <v>0.92435071997398255</v>
      </c>
      <c r="CR534" s="24" t="str">
        <f t="shared" si="35"/>
        <v>1</v>
      </c>
      <c r="CS534" t="str">
        <f ca="1">IF((OFFSET($A$1, 534 - 1, 95 - 1)) &gt;= (OFFSET($A$1, 54 - 1, 7 - 1)), "1","0")</f>
        <v>1</v>
      </c>
      <c r="CT534">
        <f ca="1" xml:space="preserve"> IF( AND( OFFSET($A$1, 534 - 1, 96 - 1) = "1", OFFSET($A$1, 534 - 1, 97 - 1) = "1" ), 1, IF( AND( OFFSET($A$1, 534 - 1, 96 - 1) = "1", OFFSET($A$1, 534 - 1, 97 - 1) = "0" ), 2, IF( AND( OFFSET($A$1, 534 - 1, 96 - 1) = "0", OFFSET($A$1, 534 - 1, 97 - 1) = "1" ), 3, 4 ) ) )</f>
        <v>1</v>
      </c>
    </row>
    <row r="535" spans="95:98" ht="13.8" x14ac:dyDescent="0.3">
      <c r="CQ535" s="24">
        <v>0.99096699571858471</v>
      </c>
      <c r="CR535" s="24" t="str">
        <f t="shared" si="35"/>
        <v>1</v>
      </c>
      <c r="CS535" t="str">
        <f ca="1">IF((OFFSET($A$1, 535 - 1, 95 - 1)) &gt;= (OFFSET($A$1, 54 - 1, 7 - 1)), "1","0")</f>
        <v>1</v>
      </c>
      <c r="CT535">
        <f ca="1" xml:space="preserve"> IF( AND( OFFSET($A$1, 535 - 1, 96 - 1) = "1", OFFSET($A$1, 535 - 1, 97 - 1) = "1" ), 1, IF( AND( OFFSET($A$1, 535 - 1, 96 - 1) = "1", OFFSET($A$1, 535 - 1, 97 - 1) = "0" ), 2, IF( AND( OFFSET($A$1, 535 - 1, 96 - 1) = "0", OFFSET($A$1, 535 - 1, 97 - 1) = "1" ), 3, 4 ) ) )</f>
        <v>1</v>
      </c>
    </row>
    <row r="536" spans="95:98" ht="13.8" x14ac:dyDescent="0.3">
      <c r="CQ536" s="24">
        <v>0.95514430176044773</v>
      </c>
      <c r="CR536" s="24" t="str">
        <f t="shared" si="35"/>
        <v>1</v>
      </c>
      <c r="CS536" t="str">
        <f ca="1">IF((OFFSET($A$1, 536 - 1, 95 - 1)) &gt;= (OFFSET($A$1, 54 - 1, 7 - 1)), "1","0")</f>
        <v>1</v>
      </c>
      <c r="CT536">
        <f ca="1" xml:space="preserve"> IF( AND( OFFSET($A$1, 536 - 1, 96 - 1) = "1", OFFSET($A$1, 536 - 1, 97 - 1) = "1" ), 1, IF( AND( OFFSET($A$1, 536 - 1, 96 - 1) = "1", OFFSET($A$1, 536 - 1, 97 - 1) = "0" ), 2, IF( AND( OFFSET($A$1, 536 - 1, 96 - 1) = "0", OFFSET($A$1, 536 - 1, 97 - 1) = "1" ), 3, 4 ) ) )</f>
        <v>1</v>
      </c>
    </row>
    <row r="537" spans="95:98" ht="13.8" x14ac:dyDescent="0.3">
      <c r="CQ537" s="24">
        <v>0.99989372917287889</v>
      </c>
      <c r="CR537" s="24" t="str">
        <f t="shared" si="35"/>
        <v>1</v>
      </c>
      <c r="CS537" t="str">
        <f ca="1">IF((OFFSET($A$1, 537 - 1, 95 - 1)) &gt;= (OFFSET($A$1, 54 - 1, 7 - 1)), "1","0")</f>
        <v>1</v>
      </c>
      <c r="CT537">
        <f ca="1" xml:space="preserve"> IF( AND( OFFSET($A$1, 537 - 1, 96 - 1) = "1", OFFSET($A$1, 537 - 1, 97 - 1) = "1" ), 1, IF( AND( OFFSET($A$1, 537 - 1, 96 - 1) = "1", OFFSET($A$1, 537 - 1, 97 - 1) = "0" ), 2, IF( AND( OFFSET($A$1, 537 - 1, 96 - 1) = "0", OFFSET($A$1, 537 - 1, 97 - 1) = "1" ), 3, 4 ) ) )</f>
        <v>1</v>
      </c>
    </row>
    <row r="538" spans="95:98" ht="13.8" x14ac:dyDescent="0.3">
      <c r="CQ538" s="24">
        <v>0.9978170561320191</v>
      </c>
      <c r="CR538" s="24" t="str">
        <f t="shared" si="35"/>
        <v>1</v>
      </c>
      <c r="CS538" t="str">
        <f ca="1">IF((OFFSET($A$1, 538 - 1, 95 - 1)) &gt;= (OFFSET($A$1, 54 - 1, 7 - 1)), "1","0")</f>
        <v>1</v>
      </c>
      <c r="CT538">
        <f ca="1" xml:space="preserve"> IF( AND( OFFSET($A$1, 538 - 1, 96 - 1) = "1", OFFSET($A$1, 538 - 1, 97 - 1) = "1" ), 1, IF( AND( OFFSET($A$1, 538 - 1, 96 - 1) = "1", OFFSET($A$1, 538 - 1, 97 - 1) = "0" ), 2, IF( AND( OFFSET($A$1, 538 - 1, 96 - 1) = "0", OFFSET($A$1, 538 - 1, 97 - 1) = "1" ), 3, 4 ) ) )</f>
        <v>1</v>
      </c>
    </row>
    <row r="539" spans="95:98" ht="13.8" x14ac:dyDescent="0.3">
      <c r="CQ539" s="24">
        <v>0.90681847555551753</v>
      </c>
      <c r="CR539" s="24" t="str">
        <f t="shared" si="35"/>
        <v>1</v>
      </c>
      <c r="CS539" t="str">
        <f ca="1">IF((OFFSET($A$1, 539 - 1, 95 - 1)) &gt;= (OFFSET($A$1, 54 - 1, 7 - 1)), "1","0")</f>
        <v>1</v>
      </c>
      <c r="CT539">
        <f ca="1" xml:space="preserve"> IF( AND( OFFSET($A$1, 539 - 1, 96 - 1) = "1", OFFSET($A$1, 539 - 1, 97 - 1) = "1" ), 1, IF( AND( OFFSET($A$1, 539 - 1, 96 - 1) = "1", OFFSET($A$1, 539 - 1, 97 - 1) = "0" ), 2, IF( AND( OFFSET($A$1, 539 - 1, 96 - 1) = "0", OFFSET($A$1, 539 - 1, 97 - 1) = "1" ), 3, 4 ) ) )</f>
        <v>1</v>
      </c>
    </row>
    <row r="540" spans="95:98" ht="13.8" x14ac:dyDescent="0.3">
      <c r="CQ540" s="24">
        <v>2.5015213422246989E-2</v>
      </c>
      <c r="CR540" s="24" t="str">
        <f>"0"</f>
        <v>0</v>
      </c>
      <c r="CS540" t="str">
        <f ca="1">IF((OFFSET($A$1, 540 - 1, 95 - 1)) &gt;= (OFFSET($A$1, 54 - 1, 7 - 1)), "1","0")</f>
        <v>0</v>
      </c>
      <c r="CT540">
        <f ca="1" xml:space="preserve"> IF( AND( OFFSET($A$1, 540 - 1, 96 - 1) = "1", OFFSET($A$1, 540 - 1, 97 - 1) = "1" ), 1, IF( AND( OFFSET($A$1, 540 - 1, 96 - 1) = "1", OFFSET($A$1, 540 - 1, 97 - 1) = "0" ), 2, IF( AND( OFFSET($A$1, 540 - 1, 96 - 1) = "0", OFFSET($A$1, 540 - 1, 97 - 1) = "1" ), 3, 4 ) ) )</f>
        <v>4</v>
      </c>
    </row>
    <row r="541" spans="95:98" ht="13.8" x14ac:dyDescent="0.3">
      <c r="CQ541" s="24">
        <v>0.88961527341657332</v>
      </c>
      <c r="CR541" s="24" t="str">
        <f>"1"</f>
        <v>1</v>
      </c>
      <c r="CS541" t="str">
        <f ca="1">IF((OFFSET($A$1, 541 - 1, 95 - 1)) &gt;= (OFFSET($A$1, 54 - 1, 7 - 1)), "1","0")</f>
        <v>1</v>
      </c>
      <c r="CT541">
        <f ca="1" xml:space="preserve"> IF( AND( OFFSET($A$1, 541 - 1, 96 - 1) = "1", OFFSET($A$1, 541 - 1, 97 - 1) = "1" ), 1, IF( AND( OFFSET($A$1, 541 - 1, 96 - 1) = "1", OFFSET($A$1, 541 - 1, 97 - 1) = "0" ), 2, IF( AND( OFFSET($A$1, 541 - 1, 96 - 1) = "0", OFFSET($A$1, 541 - 1, 97 - 1) = "1" ), 3, 4 ) ) )</f>
        <v>1</v>
      </c>
    </row>
    <row r="542" spans="95:98" ht="13.8" x14ac:dyDescent="0.3">
      <c r="CQ542" s="24">
        <v>0.99149348822295591</v>
      </c>
      <c r="CR542" s="24" t="str">
        <f>"1"</f>
        <v>1</v>
      </c>
      <c r="CS542" t="str">
        <f ca="1">IF((OFFSET($A$1, 542 - 1, 95 - 1)) &gt;= (OFFSET($A$1, 54 - 1, 7 - 1)), "1","0")</f>
        <v>1</v>
      </c>
      <c r="CT542">
        <f ca="1" xml:space="preserve"> IF( AND( OFFSET($A$1, 542 - 1, 96 - 1) = "1", OFFSET($A$1, 542 - 1, 97 - 1) = "1" ), 1, IF( AND( OFFSET($A$1, 542 - 1, 96 - 1) = "1", OFFSET($A$1, 542 - 1, 97 - 1) = "0" ), 2, IF( AND( OFFSET($A$1, 542 - 1, 96 - 1) = "0", OFFSET($A$1, 542 - 1, 97 - 1) = "1" ), 3, 4 ) ) )</f>
        <v>1</v>
      </c>
    </row>
    <row r="543" spans="95:98" ht="13.8" x14ac:dyDescent="0.3">
      <c r="CQ543" s="24">
        <v>0.99932273439369079</v>
      </c>
      <c r="CR543" s="24" t="str">
        <f>"1"</f>
        <v>1</v>
      </c>
      <c r="CS543" t="str">
        <f ca="1">IF((OFFSET($A$1, 543 - 1, 95 - 1)) &gt;= (OFFSET($A$1, 54 - 1, 7 - 1)), "1","0")</f>
        <v>1</v>
      </c>
      <c r="CT543">
        <f ca="1" xml:space="preserve"> IF( AND( OFFSET($A$1, 543 - 1, 96 - 1) = "1", OFFSET($A$1, 543 - 1, 97 - 1) = "1" ), 1, IF( AND( OFFSET($A$1, 543 - 1, 96 - 1) = "1", OFFSET($A$1, 543 - 1, 97 - 1) = "0" ), 2, IF( AND( OFFSET($A$1, 543 - 1, 96 - 1) = "0", OFFSET($A$1, 543 - 1, 97 - 1) = "1" ), 3, 4 ) ) )</f>
        <v>1</v>
      </c>
    </row>
    <row r="544" spans="95:98" ht="13.8" x14ac:dyDescent="0.3">
      <c r="CQ544" s="24">
        <v>0.98270352458585752</v>
      </c>
      <c r="CR544" s="24" t="str">
        <f>"1"</f>
        <v>1</v>
      </c>
      <c r="CS544" t="str">
        <f ca="1">IF((OFFSET($A$1, 544 - 1, 95 - 1)) &gt;= (OFFSET($A$1, 54 - 1, 7 - 1)), "1","0")</f>
        <v>1</v>
      </c>
      <c r="CT544">
        <f ca="1" xml:space="preserve"> IF( AND( OFFSET($A$1, 544 - 1, 96 - 1) = "1", OFFSET($A$1, 544 - 1, 97 - 1) = "1" ), 1, IF( AND( OFFSET($A$1, 544 - 1, 96 - 1) = "1", OFFSET($A$1, 544 - 1, 97 - 1) = "0" ), 2, IF( AND( OFFSET($A$1, 544 - 1, 96 - 1) = "0", OFFSET($A$1, 544 - 1, 97 - 1) = "1" ), 3, 4 ) ) )</f>
        <v>1</v>
      </c>
    </row>
    <row r="545" spans="95:98" ht="13.8" x14ac:dyDescent="0.3">
      <c r="CQ545" s="24">
        <v>1.9816270225209744E-3</v>
      </c>
      <c r="CR545" s="24" t="str">
        <f>"0"</f>
        <v>0</v>
      </c>
      <c r="CS545" t="str">
        <f ca="1">IF((OFFSET($A$1, 545 - 1, 95 - 1)) &gt;= (OFFSET($A$1, 54 - 1, 7 - 1)), "1","0")</f>
        <v>0</v>
      </c>
      <c r="CT545">
        <f ca="1" xml:space="preserve"> IF( AND( OFFSET($A$1, 545 - 1, 96 - 1) = "1", OFFSET($A$1, 545 - 1, 97 - 1) = "1" ), 1, IF( AND( OFFSET($A$1, 545 - 1, 96 - 1) = "1", OFFSET($A$1, 545 - 1, 97 - 1) = "0" ), 2, IF( AND( OFFSET($A$1, 545 - 1, 96 - 1) = "0", OFFSET($A$1, 545 - 1, 97 - 1) = "1" ), 3, 4 ) ) )</f>
        <v>4</v>
      </c>
    </row>
    <row r="546" spans="95:98" ht="13.8" x14ac:dyDescent="0.3">
      <c r="CQ546" s="24">
        <v>0.87645971636634912</v>
      </c>
      <c r="CR546" s="24" t="str">
        <f t="shared" ref="CR546:CR553" si="36">"1"</f>
        <v>1</v>
      </c>
      <c r="CS546" t="str">
        <f ca="1">IF((OFFSET($A$1, 546 - 1, 95 - 1)) &gt;= (OFFSET($A$1, 54 - 1, 7 - 1)), "1","0")</f>
        <v>1</v>
      </c>
      <c r="CT546">
        <f ca="1" xml:space="preserve"> IF( AND( OFFSET($A$1, 546 - 1, 96 - 1) = "1", OFFSET($A$1, 546 - 1, 97 - 1) = "1" ), 1, IF( AND( OFFSET($A$1, 546 - 1, 96 - 1) = "1", OFFSET($A$1, 546 - 1, 97 - 1) = "0" ), 2, IF( AND( OFFSET($A$1, 546 - 1, 96 - 1) = "0", OFFSET($A$1, 546 - 1, 97 - 1) = "1" ), 3, 4 ) ) )</f>
        <v>1</v>
      </c>
    </row>
    <row r="547" spans="95:98" ht="13.8" x14ac:dyDescent="0.3">
      <c r="CQ547" s="24">
        <v>0.98600194409622199</v>
      </c>
      <c r="CR547" s="24" t="str">
        <f t="shared" si="36"/>
        <v>1</v>
      </c>
      <c r="CS547" t="str">
        <f ca="1">IF((OFFSET($A$1, 547 - 1, 95 - 1)) &gt;= (OFFSET($A$1, 54 - 1, 7 - 1)), "1","0")</f>
        <v>1</v>
      </c>
      <c r="CT547">
        <f ca="1" xml:space="preserve"> IF( AND( OFFSET($A$1, 547 - 1, 96 - 1) = "1", OFFSET($A$1, 547 - 1, 97 - 1) = "1" ), 1, IF( AND( OFFSET($A$1, 547 - 1, 96 - 1) = "1", OFFSET($A$1, 547 - 1, 97 - 1) = "0" ), 2, IF( AND( OFFSET($A$1, 547 - 1, 96 - 1) = "0", OFFSET($A$1, 547 - 1, 97 - 1) = "1" ), 3, 4 ) ) )</f>
        <v>1</v>
      </c>
    </row>
    <row r="548" spans="95:98" ht="13.8" x14ac:dyDescent="0.3">
      <c r="CQ548" s="24">
        <v>0.98693356732541382</v>
      </c>
      <c r="CR548" s="24" t="str">
        <f t="shared" si="36"/>
        <v>1</v>
      </c>
      <c r="CS548" t="str">
        <f ca="1">IF((OFFSET($A$1, 548 - 1, 95 - 1)) &gt;= (OFFSET($A$1, 54 - 1, 7 - 1)), "1","0")</f>
        <v>1</v>
      </c>
      <c r="CT548">
        <f ca="1" xml:space="preserve"> IF( AND( OFFSET($A$1, 548 - 1, 96 - 1) = "1", OFFSET($A$1, 548 - 1, 97 - 1) = "1" ), 1, IF( AND( OFFSET($A$1, 548 - 1, 96 - 1) = "1", OFFSET($A$1, 548 - 1, 97 - 1) = "0" ), 2, IF( AND( OFFSET($A$1, 548 - 1, 96 - 1) = "0", OFFSET($A$1, 548 - 1, 97 - 1) = "1" ), 3, 4 ) ) )</f>
        <v>1</v>
      </c>
    </row>
    <row r="549" spans="95:98" ht="13.8" x14ac:dyDescent="0.3">
      <c r="CQ549" s="24">
        <v>0.92963479427066609</v>
      </c>
      <c r="CR549" s="24" t="str">
        <f t="shared" si="36"/>
        <v>1</v>
      </c>
      <c r="CS549" t="str">
        <f ca="1">IF((OFFSET($A$1, 549 - 1, 95 - 1)) &gt;= (OFFSET($A$1, 54 - 1, 7 - 1)), "1","0")</f>
        <v>1</v>
      </c>
      <c r="CT549">
        <f ca="1" xml:space="preserve"> IF( AND( OFFSET($A$1, 549 - 1, 96 - 1) = "1", OFFSET($A$1, 549 - 1, 97 - 1) = "1" ), 1, IF( AND( OFFSET($A$1, 549 - 1, 96 - 1) = "1", OFFSET($A$1, 549 - 1, 97 - 1) = "0" ), 2, IF( AND( OFFSET($A$1, 549 - 1, 96 - 1) = "0", OFFSET($A$1, 549 - 1, 97 - 1) = "1" ), 3, 4 ) ) )</f>
        <v>1</v>
      </c>
    </row>
    <row r="550" spans="95:98" ht="13.8" x14ac:dyDescent="0.3">
      <c r="CQ550" s="24">
        <v>0.99668444385597244</v>
      </c>
      <c r="CR550" s="24" t="str">
        <f t="shared" si="36"/>
        <v>1</v>
      </c>
      <c r="CS550" t="str">
        <f ca="1">IF((OFFSET($A$1, 550 - 1, 95 - 1)) &gt;= (OFFSET($A$1, 54 - 1, 7 - 1)), "1","0")</f>
        <v>1</v>
      </c>
      <c r="CT550">
        <f ca="1" xml:space="preserve"> IF( AND( OFFSET($A$1, 550 - 1, 96 - 1) = "1", OFFSET($A$1, 550 - 1, 97 - 1) = "1" ), 1, IF( AND( OFFSET($A$1, 550 - 1, 96 - 1) = "1", OFFSET($A$1, 550 - 1, 97 - 1) = "0" ), 2, IF( AND( OFFSET($A$1, 550 - 1, 96 - 1) = "0", OFFSET($A$1, 550 - 1, 97 - 1) = "1" ), 3, 4 ) ) )</f>
        <v>1</v>
      </c>
    </row>
    <row r="551" spans="95:98" ht="13.8" x14ac:dyDescent="0.3">
      <c r="CQ551" s="24">
        <v>0.96125235658381902</v>
      </c>
      <c r="CR551" s="24" t="str">
        <f t="shared" si="36"/>
        <v>1</v>
      </c>
      <c r="CS551" t="str">
        <f ca="1">IF((OFFSET($A$1, 551 - 1, 95 - 1)) &gt;= (OFFSET($A$1, 54 - 1, 7 - 1)), "1","0")</f>
        <v>1</v>
      </c>
      <c r="CT551">
        <f ca="1" xml:space="preserve"> IF( AND( OFFSET($A$1, 551 - 1, 96 - 1) = "1", OFFSET($A$1, 551 - 1, 97 - 1) = "1" ), 1, IF( AND( OFFSET($A$1, 551 - 1, 96 - 1) = "1", OFFSET($A$1, 551 - 1, 97 - 1) = "0" ), 2, IF( AND( OFFSET($A$1, 551 - 1, 96 - 1) = "0", OFFSET($A$1, 551 - 1, 97 - 1) = "1" ), 3, 4 ) ) )</f>
        <v>1</v>
      </c>
    </row>
    <row r="552" spans="95:98" ht="13.8" x14ac:dyDescent="0.3">
      <c r="CQ552" s="24">
        <v>0.90598769639227539</v>
      </c>
      <c r="CR552" s="24" t="str">
        <f t="shared" si="36"/>
        <v>1</v>
      </c>
      <c r="CS552" t="str">
        <f ca="1">IF((OFFSET($A$1, 552 - 1, 95 - 1)) &gt;= (OFFSET($A$1, 54 - 1, 7 - 1)), "1","0")</f>
        <v>1</v>
      </c>
      <c r="CT552">
        <f ca="1" xml:space="preserve"> IF( AND( OFFSET($A$1, 552 - 1, 96 - 1) = "1", OFFSET($A$1, 552 - 1, 97 - 1) = "1" ), 1, IF( AND( OFFSET($A$1, 552 - 1, 96 - 1) = "1", OFFSET($A$1, 552 - 1, 97 - 1) = "0" ), 2, IF( AND( OFFSET($A$1, 552 - 1, 96 - 1) = "0", OFFSET($A$1, 552 - 1, 97 - 1) = "1" ), 3, 4 ) ) )</f>
        <v>1</v>
      </c>
    </row>
    <row r="553" spans="95:98" ht="13.8" x14ac:dyDescent="0.3">
      <c r="CQ553" s="24">
        <v>0.87846415491524854</v>
      </c>
      <c r="CR553" s="24" t="str">
        <f t="shared" si="36"/>
        <v>1</v>
      </c>
      <c r="CS553" t="str">
        <f ca="1">IF((OFFSET($A$1, 553 - 1, 95 - 1)) &gt;= (OFFSET($A$1, 54 - 1, 7 - 1)), "1","0")</f>
        <v>1</v>
      </c>
      <c r="CT553">
        <f ca="1" xml:space="preserve"> IF( AND( OFFSET($A$1, 553 - 1, 96 - 1) = "1", OFFSET($A$1, 553 - 1, 97 - 1) = "1" ), 1, IF( AND( OFFSET($A$1, 553 - 1, 96 - 1) = "1", OFFSET($A$1, 553 - 1, 97 - 1) = "0" ), 2, IF( AND( OFFSET($A$1, 553 - 1, 96 - 1) = "0", OFFSET($A$1, 553 - 1, 97 - 1) = "1" ), 3, 4 ) ) )</f>
        <v>1</v>
      </c>
    </row>
    <row r="554" spans="95:98" ht="13.8" x14ac:dyDescent="0.3">
      <c r="CQ554" s="24">
        <v>5.8515897212912546E-2</v>
      </c>
      <c r="CR554" s="24" t="str">
        <f>"0"</f>
        <v>0</v>
      </c>
      <c r="CS554" t="str">
        <f ca="1">IF((OFFSET($A$1, 554 - 1, 95 - 1)) &gt;= (OFFSET($A$1, 54 - 1, 7 - 1)), "1","0")</f>
        <v>0</v>
      </c>
      <c r="CT554">
        <f ca="1" xml:space="preserve"> IF( AND( OFFSET($A$1, 554 - 1, 96 - 1) = "1", OFFSET($A$1, 554 - 1, 97 - 1) = "1" ), 1, IF( AND( OFFSET($A$1, 554 - 1, 96 - 1) = "1", OFFSET($A$1, 554 - 1, 97 - 1) = "0" ), 2, IF( AND( OFFSET($A$1, 554 - 1, 96 - 1) = "0", OFFSET($A$1, 554 - 1, 97 - 1) = "1" ), 3, 4 ) ) )</f>
        <v>4</v>
      </c>
    </row>
    <row r="555" spans="95:98" ht="13.8" x14ac:dyDescent="0.3">
      <c r="CQ555" s="24">
        <v>8.3464082806285738E-3</v>
      </c>
      <c r="CR555" s="24" t="str">
        <f>"0"</f>
        <v>0</v>
      </c>
      <c r="CS555" t="str">
        <f ca="1">IF((OFFSET($A$1, 555 - 1, 95 - 1)) &gt;= (OFFSET($A$1, 54 - 1, 7 - 1)), "1","0")</f>
        <v>0</v>
      </c>
      <c r="CT555">
        <f ca="1" xml:space="preserve"> IF( AND( OFFSET($A$1, 555 - 1, 96 - 1) = "1", OFFSET($A$1, 555 - 1, 97 - 1) = "1" ), 1, IF( AND( OFFSET($A$1, 555 - 1, 96 - 1) = "1", OFFSET($A$1, 555 - 1, 97 - 1) = "0" ), 2, IF( AND( OFFSET($A$1, 555 - 1, 96 - 1) = "0", OFFSET($A$1, 555 - 1, 97 - 1) = "1" ), 3, 4 ) ) )</f>
        <v>4</v>
      </c>
    </row>
    <row r="556" spans="95:98" ht="13.8" x14ac:dyDescent="0.3">
      <c r="CQ556" s="24">
        <v>0.99351682749535852</v>
      </c>
      <c r="CR556" s="24" t="str">
        <f>"1"</f>
        <v>1</v>
      </c>
      <c r="CS556" t="str">
        <f ca="1">IF((OFFSET($A$1, 556 - 1, 95 - 1)) &gt;= (OFFSET($A$1, 54 - 1, 7 - 1)), "1","0")</f>
        <v>1</v>
      </c>
      <c r="CT556">
        <f ca="1" xml:space="preserve"> IF( AND( OFFSET($A$1, 556 - 1, 96 - 1) = "1", OFFSET($A$1, 556 - 1, 97 - 1) = "1" ), 1, IF( AND( OFFSET($A$1, 556 - 1, 96 - 1) = "1", OFFSET($A$1, 556 - 1, 97 - 1) = "0" ), 2, IF( AND( OFFSET($A$1, 556 - 1, 96 - 1) = "0", OFFSET($A$1, 556 - 1, 97 - 1) = "1" ), 3, 4 ) ) )</f>
        <v>1</v>
      </c>
    </row>
    <row r="557" spans="95:98" ht="13.8" x14ac:dyDescent="0.3">
      <c r="CQ557" s="24">
        <v>3.3611220823364207E-2</v>
      </c>
      <c r="CR557" s="24" t="str">
        <f>"0"</f>
        <v>0</v>
      </c>
      <c r="CS557" t="str">
        <f ca="1">IF((OFFSET($A$1, 557 - 1, 95 - 1)) &gt;= (OFFSET($A$1, 54 - 1, 7 - 1)), "1","0")</f>
        <v>0</v>
      </c>
      <c r="CT557">
        <f ca="1" xml:space="preserve"> IF( AND( OFFSET($A$1, 557 - 1, 96 - 1) = "1", OFFSET($A$1, 557 - 1, 97 - 1) = "1" ), 1, IF( AND( OFFSET($A$1, 557 - 1, 96 - 1) = "1", OFFSET($A$1, 557 - 1, 97 - 1) = "0" ), 2, IF( AND( OFFSET($A$1, 557 - 1, 96 - 1) = "0", OFFSET($A$1, 557 - 1, 97 - 1) = "1" ), 3, 4 ) ) )</f>
        <v>4</v>
      </c>
    </row>
    <row r="558" spans="95:98" ht="13.8" x14ac:dyDescent="0.3">
      <c r="CQ558" s="24">
        <v>0.96169185682167346</v>
      </c>
      <c r="CR558" s="24" t="str">
        <f>"1"</f>
        <v>1</v>
      </c>
      <c r="CS558" t="str">
        <f ca="1">IF((OFFSET($A$1, 558 - 1, 95 - 1)) &gt;= (OFFSET($A$1, 54 - 1, 7 - 1)), "1","0")</f>
        <v>1</v>
      </c>
      <c r="CT558">
        <f ca="1" xml:space="preserve"> IF( AND( OFFSET($A$1, 558 - 1, 96 - 1) = "1", OFFSET($A$1, 558 - 1, 97 - 1) = "1" ), 1, IF( AND( OFFSET($A$1, 558 - 1, 96 - 1) = "1", OFFSET($A$1, 558 - 1, 97 - 1) = "0" ), 2, IF( AND( OFFSET($A$1, 558 - 1, 96 - 1) = "0", OFFSET($A$1, 558 - 1, 97 - 1) = "1" ), 3, 4 ) ) )</f>
        <v>1</v>
      </c>
    </row>
    <row r="559" spans="95:98" ht="13.8" x14ac:dyDescent="0.3">
      <c r="CQ559" s="24">
        <v>0.94820308308171908</v>
      </c>
      <c r="CR559" s="24" t="str">
        <f>"1"</f>
        <v>1</v>
      </c>
      <c r="CS559" t="str">
        <f ca="1">IF((OFFSET($A$1, 559 - 1, 95 - 1)) &gt;= (OFFSET($A$1, 54 - 1, 7 - 1)), "1","0")</f>
        <v>1</v>
      </c>
      <c r="CT559">
        <f ca="1" xml:space="preserve"> IF( AND( OFFSET($A$1, 559 - 1, 96 - 1) = "1", OFFSET($A$1, 559 - 1, 97 - 1) = "1" ), 1, IF( AND( OFFSET($A$1, 559 - 1, 96 - 1) = "1", OFFSET($A$1, 559 - 1, 97 - 1) = "0" ), 2, IF( AND( OFFSET($A$1, 559 - 1, 96 - 1) = "0", OFFSET($A$1, 559 - 1, 97 - 1) = "1" ), 3, 4 ) ) )</f>
        <v>1</v>
      </c>
    </row>
    <row r="560" spans="95:98" ht="13.8" x14ac:dyDescent="0.3">
      <c r="CQ560" s="24">
        <v>0.92312927395722777</v>
      </c>
      <c r="CR560" s="24" t="str">
        <f>"1"</f>
        <v>1</v>
      </c>
      <c r="CS560" t="str">
        <f ca="1">IF((OFFSET($A$1, 560 - 1, 95 - 1)) &gt;= (OFFSET($A$1, 54 - 1, 7 - 1)), "1","0")</f>
        <v>1</v>
      </c>
      <c r="CT560">
        <f ca="1" xml:space="preserve"> IF( AND( OFFSET($A$1, 560 - 1, 96 - 1) = "1", OFFSET($A$1, 560 - 1, 97 - 1) = "1" ), 1, IF( AND( OFFSET($A$1, 560 - 1, 96 - 1) = "1", OFFSET($A$1, 560 - 1, 97 - 1) = "0" ), 2, IF( AND( OFFSET($A$1, 560 - 1, 96 - 1) = "0", OFFSET($A$1, 560 - 1, 97 - 1) = "1" ), 3, 4 ) ) )</f>
        <v>1</v>
      </c>
    </row>
    <row r="561" spans="95:98" ht="13.8" x14ac:dyDescent="0.3">
      <c r="CQ561" s="24">
        <v>9.3125066273000198E-2</v>
      </c>
      <c r="CR561" s="24" t="str">
        <f>"0"</f>
        <v>0</v>
      </c>
      <c r="CS561" t="str">
        <f ca="1">IF((OFFSET($A$1, 561 - 1, 95 - 1)) &gt;= (OFFSET($A$1, 54 - 1, 7 - 1)), "1","0")</f>
        <v>0</v>
      </c>
      <c r="CT561">
        <f ca="1" xml:space="preserve"> IF( AND( OFFSET($A$1, 561 - 1, 96 - 1) = "1", OFFSET($A$1, 561 - 1, 97 - 1) = "1" ), 1, IF( AND( OFFSET($A$1, 561 - 1, 96 - 1) = "1", OFFSET($A$1, 561 - 1, 97 - 1) = "0" ), 2, IF( AND( OFFSET($A$1, 561 - 1, 96 - 1) = "0", OFFSET($A$1, 561 - 1, 97 - 1) = "1" ), 3, 4 ) ) )</f>
        <v>4</v>
      </c>
    </row>
    <row r="562" spans="95:98" ht="13.8" x14ac:dyDescent="0.3">
      <c r="CQ562" s="24">
        <v>0.99982489010130382</v>
      </c>
      <c r="CR562" s="24" t="str">
        <f>"1"</f>
        <v>1</v>
      </c>
      <c r="CS562" t="str">
        <f ca="1">IF((OFFSET($A$1, 562 - 1, 95 - 1)) &gt;= (OFFSET($A$1, 54 - 1, 7 - 1)), "1","0")</f>
        <v>1</v>
      </c>
      <c r="CT562">
        <f ca="1" xml:space="preserve"> IF( AND( OFFSET($A$1, 562 - 1, 96 - 1) = "1", OFFSET($A$1, 562 - 1, 97 - 1) = "1" ), 1, IF( AND( OFFSET($A$1, 562 - 1, 96 - 1) = "1", OFFSET($A$1, 562 - 1, 97 - 1) = "0" ), 2, IF( AND( OFFSET($A$1, 562 - 1, 96 - 1) = "0", OFFSET($A$1, 562 - 1, 97 - 1) = "1" ), 3, 4 ) ) )</f>
        <v>1</v>
      </c>
    </row>
    <row r="563" spans="95:98" ht="13.8" x14ac:dyDescent="0.3">
      <c r="CQ563" s="24">
        <v>0.92072539523332886</v>
      </c>
      <c r="CR563" s="24" t="str">
        <f>"1"</f>
        <v>1</v>
      </c>
      <c r="CS563" t="str">
        <f ca="1">IF((OFFSET($A$1, 563 - 1, 95 - 1)) &gt;= (OFFSET($A$1, 54 - 1, 7 - 1)), "1","0")</f>
        <v>1</v>
      </c>
      <c r="CT563">
        <f ca="1" xml:space="preserve"> IF( AND( OFFSET($A$1, 563 - 1, 96 - 1) = "1", OFFSET($A$1, 563 - 1, 97 - 1) = "1" ), 1, IF( AND( OFFSET($A$1, 563 - 1, 96 - 1) = "1", OFFSET($A$1, 563 - 1, 97 - 1) = "0" ), 2, IF( AND( OFFSET($A$1, 563 - 1, 96 - 1) = "0", OFFSET($A$1, 563 - 1, 97 - 1) = "1" ), 3, 4 ) ) )</f>
        <v>1</v>
      </c>
    </row>
    <row r="564" spans="95:98" ht="13.8" x14ac:dyDescent="0.3">
      <c r="CQ564" s="24">
        <v>0.97635893847799027</v>
      </c>
      <c r="CR564" s="24" t="str">
        <f>"1"</f>
        <v>1</v>
      </c>
      <c r="CS564" t="str">
        <f ca="1">IF((OFFSET($A$1, 564 - 1, 95 - 1)) &gt;= (OFFSET($A$1, 54 - 1, 7 - 1)), "1","0")</f>
        <v>1</v>
      </c>
      <c r="CT564">
        <f ca="1" xml:space="preserve"> IF( AND( OFFSET($A$1, 564 - 1, 96 - 1) = "1", OFFSET($A$1, 564 - 1, 97 - 1) = "1" ), 1, IF( AND( OFFSET($A$1, 564 - 1, 96 - 1) = "1", OFFSET($A$1, 564 - 1, 97 - 1) = "0" ), 2, IF( AND( OFFSET($A$1, 564 - 1, 96 - 1) = "0", OFFSET($A$1, 564 - 1, 97 - 1) = "1" ), 3, 4 ) ) )</f>
        <v>1</v>
      </c>
    </row>
    <row r="565" spans="95:98" ht="13.8" x14ac:dyDescent="0.3">
      <c r="CQ565" s="24">
        <v>0.12217693294301576</v>
      </c>
      <c r="CR565" s="24" t="str">
        <f>"0"</f>
        <v>0</v>
      </c>
      <c r="CS565" t="str">
        <f ca="1">IF((OFFSET($A$1, 565 - 1, 95 - 1)) &gt;= (OFFSET($A$1, 54 - 1, 7 - 1)), "1","0")</f>
        <v>0</v>
      </c>
      <c r="CT565">
        <f ca="1" xml:space="preserve"> IF( AND( OFFSET($A$1, 565 - 1, 96 - 1) = "1", OFFSET($A$1, 565 - 1, 97 - 1) = "1" ), 1, IF( AND( OFFSET($A$1, 565 - 1, 96 - 1) = "1", OFFSET($A$1, 565 - 1, 97 - 1) = "0" ), 2, IF( AND( OFFSET($A$1, 565 - 1, 96 - 1) = "0", OFFSET($A$1, 565 - 1, 97 - 1) = "1" ), 3, 4 ) ) )</f>
        <v>4</v>
      </c>
    </row>
    <row r="566" spans="95:98" ht="13.8" x14ac:dyDescent="0.3">
      <c r="CQ566" s="24">
        <v>0.98934181007594235</v>
      </c>
      <c r="CR566" s="24" t="str">
        <f>"1"</f>
        <v>1</v>
      </c>
      <c r="CS566" t="str">
        <f ca="1">IF((OFFSET($A$1, 566 - 1, 95 - 1)) &gt;= (OFFSET($A$1, 54 - 1, 7 - 1)), "1","0")</f>
        <v>1</v>
      </c>
      <c r="CT566">
        <f ca="1" xml:space="preserve"> IF( AND( OFFSET($A$1, 566 - 1, 96 - 1) = "1", OFFSET($A$1, 566 - 1, 97 - 1) = "1" ), 1, IF( AND( OFFSET($A$1, 566 - 1, 96 - 1) = "1", OFFSET($A$1, 566 - 1, 97 - 1) = "0" ), 2, IF( AND( OFFSET($A$1, 566 - 1, 96 - 1) = "0", OFFSET($A$1, 566 - 1, 97 - 1) = "1" ), 3, 4 ) ) )</f>
        <v>1</v>
      </c>
    </row>
    <row r="567" spans="95:98" ht="13.8" x14ac:dyDescent="0.3">
      <c r="CQ567" s="24">
        <v>0.94791409976852725</v>
      </c>
      <c r="CR567" s="24" t="str">
        <f>"1"</f>
        <v>1</v>
      </c>
      <c r="CS567" t="str">
        <f ca="1">IF((OFFSET($A$1, 567 - 1, 95 - 1)) &gt;= (OFFSET($A$1, 54 - 1, 7 - 1)), "1","0")</f>
        <v>1</v>
      </c>
      <c r="CT567">
        <f ca="1" xml:space="preserve"> IF( AND( OFFSET($A$1, 567 - 1, 96 - 1) = "1", OFFSET($A$1, 567 - 1, 97 - 1) = "1" ), 1, IF( AND( OFFSET($A$1, 567 - 1, 96 - 1) = "1", OFFSET($A$1, 567 - 1, 97 - 1) = "0" ), 2, IF( AND( OFFSET($A$1, 567 - 1, 96 - 1) = "0", OFFSET($A$1, 567 - 1, 97 - 1) = "1" ), 3, 4 ) ) )</f>
        <v>1</v>
      </c>
    </row>
    <row r="568" spans="95:98" ht="13.8" x14ac:dyDescent="0.3">
      <c r="CQ568" s="24">
        <v>7.9869846411726644E-3</v>
      </c>
      <c r="CR568" s="24" t="str">
        <f>"0"</f>
        <v>0</v>
      </c>
      <c r="CS568" t="str">
        <f ca="1">IF((OFFSET($A$1, 568 - 1, 95 - 1)) &gt;= (OFFSET($A$1, 54 - 1, 7 - 1)), "1","0")</f>
        <v>0</v>
      </c>
      <c r="CT568">
        <f ca="1" xml:space="preserve"> IF( AND( OFFSET($A$1, 568 - 1, 96 - 1) = "1", OFFSET($A$1, 568 - 1, 97 - 1) = "1" ), 1, IF( AND( OFFSET($A$1, 568 - 1, 96 - 1) = "1", OFFSET($A$1, 568 - 1, 97 - 1) = "0" ), 2, IF( AND( OFFSET($A$1, 568 - 1, 96 - 1) = "0", OFFSET($A$1, 568 - 1, 97 - 1) = "1" ), 3, 4 ) ) )</f>
        <v>4</v>
      </c>
    </row>
    <row r="569" spans="95:98" ht="13.8" x14ac:dyDescent="0.3">
      <c r="CQ569" s="24">
        <v>0.91110731137442147</v>
      </c>
      <c r="CR569" s="24" t="str">
        <f>"1"</f>
        <v>1</v>
      </c>
      <c r="CS569" t="str">
        <f ca="1">IF((OFFSET($A$1, 569 - 1, 95 - 1)) &gt;= (OFFSET($A$1, 54 - 1, 7 - 1)), "1","0")</f>
        <v>1</v>
      </c>
      <c r="CT569">
        <f ca="1" xml:space="preserve"> IF( AND( OFFSET($A$1, 569 - 1, 96 - 1) = "1", OFFSET($A$1, 569 - 1, 97 - 1) = "1" ), 1, IF( AND( OFFSET($A$1, 569 - 1, 96 - 1) = "1", OFFSET($A$1, 569 - 1, 97 - 1) = "0" ), 2, IF( AND( OFFSET($A$1, 569 - 1, 96 - 1) = "0", OFFSET($A$1, 569 - 1, 97 - 1) = "1" ), 3, 4 ) ) )</f>
        <v>1</v>
      </c>
    </row>
    <row r="570" spans="95:98" ht="13.8" x14ac:dyDescent="0.3">
      <c r="CQ570" s="24">
        <v>0.99445154842559047</v>
      </c>
      <c r="CR570" s="24" t="str">
        <f>"1"</f>
        <v>1</v>
      </c>
      <c r="CS570" t="str">
        <f ca="1">IF((OFFSET($A$1, 570 - 1, 95 - 1)) &gt;= (OFFSET($A$1, 54 - 1, 7 - 1)), "1","0")</f>
        <v>1</v>
      </c>
      <c r="CT570">
        <f ca="1" xml:space="preserve"> IF( AND( OFFSET($A$1, 570 - 1, 96 - 1) = "1", OFFSET($A$1, 570 - 1, 97 - 1) = "1" ), 1, IF( AND( OFFSET($A$1, 570 - 1, 96 - 1) = "1", OFFSET($A$1, 570 - 1, 97 - 1) = "0" ), 2, IF( AND( OFFSET($A$1, 570 - 1, 96 - 1) = "0", OFFSET($A$1, 570 - 1, 97 - 1) = "1" ), 3, 4 ) ) )</f>
        <v>1</v>
      </c>
    </row>
    <row r="571" spans="95:98" ht="13.8" x14ac:dyDescent="0.3">
      <c r="CQ571" s="24">
        <v>6.4422081369547482E-2</v>
      </c>
      <c r="CR571" s="24" t="str">
        <f>"0"</f>
        <v>0</v>
      </c>
      <c r="CS571" t="str">
        <f ca="1">IF((OFFSET($A$1, 571 - 1, 95 - 1)) &gt;= (OFFSET($A$1, 54 - 1, 7 - 1)), "1","0")</f>
        <v>0</v>
      </c>
      <c r="CT571">
        <f ca="1" xml:space="preserve"> IF( AND( OFFSET($A$1, 571 - 1, 96 - 1) = "1", OFFSET($A$1, 571 - 1, 97 - 1) = "1" ), 1, IF( AND( OFFSET($A$1, 571 - 1, 96 - 1) = "1", OFFSET($A$1, 571 - 1, 97 - 1) = "0" ), 2, IF( AND( OFFSET($A$1, 571 - 1, 96 - 1) = "0", OFFSET($A$1, 571 - 1, 97 - 1) = "1" ), 3, 4 ) ) )</f>
        <v>4</v>
      </c>
    </row>
    <row r="572" spans="95:98" ht="13.8" x14ac:dyDescent="0.3">
      <c r="CQ572" s="24">
        <v>0.99918119900550273</v>
      </c>
      <c r="CR572" s="24" t="str">
        <f>"1"</f>
        <v>1</v>
      </c>
      <c r="CS572" t="str">
        <f ca="1">IF((OFFSET($A$1, 572 - 1, 95 - 1)) &gt;= (OFFSET($A$1, 54 - 1, 7 - 1)), "1","0")</f>
        <v>1</v>
      </c>
      <c r="CT572">
        <f ca="1" xml:space="preserve"> IF( AND( OFFSET($A$1, 572 - 1, 96 - 1) = "1", OFFSET($A$1, 572 - 1, 97 - 1) = "1" ), 1, IF( AND( OFFSET($A$1, 572 - 1, 96 - 1) = "1", OFFSET($A$1, 572 - 1, 97 - 1) = "0" ), 2, IF( AND( OFFSET($A$1, 572 - 1, 96 - 1) = "0", OFFSET($A$1, 572 - 1, 97 - 1) = "1" ), 3, 4 ) ) )</f>
        <v>1</v>
      </c>
    </row>
    <row r="573" spans="95:98" ht="13.8" x14ac:dyDescent="0.3">
      <c r="CQ573" s="24">
        <v>8.3200881249101341E-2</v>
      </c>
      <c r="CR573" s="24" t="str">
        <f>"0"</f>
        <v>0</v>
      </c>
      <c r="CS573" t="str">
        <f ca="1">IF((OFFSET($A$1, 573 - 1, 95 - 1)) &gt;= (OFFSET($A$1, 54 - 1, 7 - 1)), "1","0")</f>
        <v>0</v>
      </c>
      <c r="CT573">
        <f ca="1" xml:space="preserve"> IF( AND( OFFSET($A$1, 573 - 1, 96 - 1) = "1", OFFSET($A$1, 573 - 1, 97 - 1) = "1" ), 1, IF( AND( OFFSET($A$1, 573 - 1, 96 - 1) = "1", OFFSET($A$1, 573 - 1, 97 - 1) = "0" ), 2, IF( AND( OFFSET($A$1, 573 - 1, 96 - 1) = "0", OFFSET($A$1, 573 - 1, 97 - 1) = "1" ), 3, 4 ) ) )</f>
        <v>4</v>
      </c>
    </row>
    <row r="574" spans="95:98" ht="13.8" x14ac:dyDescent="0.3">
      <c r="CQ574" s="24">
        <v>0.89112294312783769</v>
      </c>
      <c r="CR574" s="24" t="str">
        <f>"1"</f>
        <v>1</v>
      </c>
      <c r="CS574" t="str">
        <f ca="1">IF((OFFSET($A$1, 574 - 1, 95 - 1)) &gt;= (OFFSET($A$1, 54 - 1, 7 - 1)), "1","0")</f>
        <v>1</v>
      </c>
      <c r="CT574">
        <f ca="1" xml:space="preserve"> IF( AND( OFFSET($A$1, 574 - 1, 96 - 1) = "1", OFFSET($A$1, 574 - 1, 97 - 1) = "1" ), 1, IF( AND( OFFSET($A$1, 574 - 1, 96 - 1) = "1", OFFSET($A$1, 574 - 1, 97 - 1) = "0" ), 2, IF( AND( OFFSET($A$1, 574 - 1, 96 - 1) = "0", OFFSET($A$1, 574 - 1, 97 - 1) = "1" ), 3, 4 ) ) )</f>
        <v>1</v>
      </c>
    </row>
    <row r="575" spans="95:98" ht="13.8" x14ac:dyDescent="0.3">
      <c r="CQ575" s="24">
        <v>0.96828596224170427</v>
      </c>
      <c r="CR575" s="24" t="str">
        <f>"1"</f>
        <v>1</v>
      </c>
      <c r="CS575" t="str">
        <f ca="1">IF((OFFSET($A$1, 575 - 1, 95 - 1)) &gt;= (OFFSET($A$1, 54 - 1, 7 - 1)), "1","0")</f>
        <v>1</v>
      </c>
      <c r="CT575">
        <f ca="1" xml:space="preserve"> IF( AND( OFFSET($A$1, 575 - 1, 96 - 1) = "1", OFFSET($A$1, 575 - 1, 97 - 1) = "1" ), 1, IF( AND( OFFSET($A$1, 575 - 1, 96 - 1) = "1", OFFSET($A$1, 575 - 1, 97 - 1) = "0" ), 2, IF( AND( OFFSET($A$1, 575 - 1, 96 - 1) = "0", OFFSET($A$1, 575 - 1, 97 - 1) = "1" ), 3, 4 ) ) )</f>
        <v>1</v>
      </c>
    </row>
    <row r="576" spans="95:98" ht="13.8" x14ac:dyDescent="0.3">
      <c r="CQ576" s="24">
        <v>0.99808755917871417</v>
      </c>
      <c r="CR576" s="24" t="str">
        <f>"1"</f>
        <v>1</v>
      </c>
      <c r="CS576" t="str">
        <f ca="1">IF((OFFSET($A$1, 576 - 1, 95 - 1)) &gt;= (OFFSET($A$1, 54 - 1, 7 - 1)), "1","0")</f>
        <v>1</v>
      </c>
      <c r="CT576">
        <f ca="1" xml:space="preserve"> IF( AND( OFFSET($A$1, 576 - 1, 96 - 1) = "1", OFFSET($A$1, 576 - 1, 97 - 1) = "1" ), 1, IF( AND( OFFSET($A$1, 576 - 1, 96 - 1) = "1", OFFSET($A$1, 576 - 1, 97 - 1) = "0" ), 2, IF( AND( OFFSET($A$1, 576 - 1, 96 - 1) = "0", OFFSET($A$1, 576 - 1, 97 - 1) = "1" ), 3, 4 ) ) )</f>
        <v>1</v>
      </c>
    </row>
    <row r="577" spans="95:98" ht="13.8" x14ac:dyDescent="0.3">
      <c r="CQ577" s="24">
        <v>0.92368133651598261</v>
      </c>
      <c r="CR577" s="24" t="str">
        <f>"1"</f>
        <v>1</v>
      </c>
      <c r="CS577" t="str">
        <f ca="1">IF((OFFSET($A$1, 577 - 1, 95 - 1)) &gt;= (OFFSET($A$1, 54 - 1, 7 - 1)), "1","0")</f>
        <v>1</v>
      </c>
      <c r="CT577">
        <f ca="1" xml:space="preserve"> IF( AND( OFFSET($A$1, 577 - 1, 96 - 1) = "1", OFFSET($A$1, 577 - 1, 97 - 1) = "1" ), 1, IF( AND( OFFSET($A$1, 577 - 1, 96 - 1) = "1", OFFSET($A$1, 577 - 1, 97 - 1) = "0" ), 2, IF( AND( OFFSET($A$1, 577 - 1, 96 - 1) = "0", OFFSET($A$1, 577 - 1, 97 - 1) = "1" ), 3, 4 ) ) )</f>
        <v>1</v>
      </c>
    </row>
    <row r="578" spans="95:98" ht="13.8" x14ac:dyDescent="0.3">
      <c r="CQ578" s="24">
        <v>8.0226482328643295E-2</v>
      </c>
      <c r="CR578" s="24" t="str">
        <f>"0"</f>
        <v>0</v>
      </c>
      <c r="CS578" t="str">
        <f ca="1">IF((OFFSET($A$1, 578 - 1, 95 - 1)) &gt;= (OFFSET($A$1, 54 - 1, 7 - 1)), "1","0")</f>
        <v>0</v>
      </c>
      <c r="CT578">
        <f ca="1" xml:space="preserve"> IF( AND( OFFSET($A$1, 578 - 1, 96 - 1) = "1", OFFSET($A$1, 578 - 1, 97 - 1) = "1" ), 1, IF( AND( OFFSET($A$1, 578 - 1, 96 - 1) = "1", OFFSET($A$1, 578 - 1, 97 - 1) = "0" ), 2, IF( AND( OFFSET($A$1, 578 - 1, 96 - 1) = "0", OFFSET($A$1, 578 - 1, 97 - 1) = "1" ), 3, 4 ) ) )</f>
        <v>4</v>
      </c>
    </row>
    <row r="579" spans="95:98" ht="13.8" x14ac:dyDescent="0.3">
      <c r="CQ579" s="24">
        <v>5.6497522856412012E-2</v>
      </c>
      <c r="CR579" s="24" t="str">
        <f>"0"</f>
        <v>0</v>
      </c>
      <c r="CS579" t="str">
        <f ca="1">IF((OFFSET($A$1, 579 - 1, 95 - 1)) &gt;= (OFFSET($A$1, 54 - 1, 7 - 1)), "1","0")</f>
        <v>0</v>
      </c>
      <c r="CT579">
        <f ca="1" xml:space="preserve"> IF( AND( OFFSET($A$1, 579 - 1, 96 - 1) = "1", OFFSET($A$1, 579 - 1, 97 - 1) = "1" ), 1, IF( AND( OFFSET($A$1, 579 - 1, 96 - 1) = "1", OFFSET($A$1, 579 - 1, 97 - 1) = "0" ), 2, IF( AND( OFFSET($A$1, 579 - 1, 96 - 1) = "0", OFFSET($A$1, 579 - 1, 97 - 1) = "1" ), 3, 4 ) ) )</f>
        <v>4</v>
      </c>
    </row>
    <row r="580" spans="95:98" ht="13.8" x14ac:dyDescent="0.3">
      <c r="CQ580" s="24">
        <v>0.89433400709887234</v>
      </c>
      <c r="CR580" s="24" t="str">
        <f t="shared" ref="CR580:CR587" si="37">"1"</f>
        <v>1</v>
      </c>
      <c r="CS580" t="str">
        <f ca="1">IF((OFFSET($A$1, 580 - 1, 95 - 1)) &gt;= (OFFSET($A$1, 54 - 1, 7 - 1)), "1","0")</f>
        <v>1</v>
      </c>
      <c r="CT580">
        <f ca="1" xml:space="preserve"> IF( AND( OFFSET($A$1, 580 - 1, 96 - 1) = "1", OFFSET($A$1, 580 - 1, 97 - 1) = "1" ), 1, IF( AND( OFFSET($A$1, 580 - 1, 96 - 1) = "1", OFFSET($A$1, 580 - 1, 97 - 1) = "0" ), 2, IF( AND( OFFSET($A$1, 580 - 1, 96 - 1) = "0", OFFSET($A$1, 580 - 1, 97 - 1) = "1" ), 3, 4 ) ) )</f>
        <v>1</v>
      </c>
    </row>
    <row r="581" spans="95:98" ht="13.8" x14ac:dyDescent="0.3">
      <c r="CQ581" s="24">
        <v>0.90718484290158119</v>
      </c>
      <c r="CR581" s="24" t="str">
        <f t="shared" si="37"/>
        <v>1</v>
      </c>
      <c r="CS581" t="str">
        <f ca="1">IF((OFFSET($A$1, 581 - 1, 95 - 1)) &gt;= (OFFSET($A$1, 54 - 1, 7 - 1)), "1","0")</f>
        <v>1</v>
      </c>
      <c r="CT581">
        <f ca="1" xml:space="preserve"> IF( AND( OFFSET($A$1, 581 - 1, 96 - 1) = "1", OFFSET($A$1, 581 - 1, 97 - 1) = "1" ), 1, IF( AND( OFFSET($A$1, 581 - 1, 96 - 1) = "1", OFFSET($A$1, 581 - 1, 97 - 1) = "0" ), 2, IF( AND( OFFSET($A$1, 581 - 1, 96 - 1) = "0", OFFSET($A$1, 581 - 1, 97 - 1) = "1" ), 3, 4 ) ) )</f>
        <v>1</v>
      </c>
    </row>
    <row r="582" spans="95:98" ht="13.8" x14ac:dyDescent="0.3">
      <c r="CQ582" s="24">
        <v>0.90383558888985505</v>
      </c>
      <c r="CR582" s="24" t="str">
        <f t="shared" si="37"/>
        <v>1</v>
      </c>
      <c r="CS582" t="str">
        <f ca="1">IF((OFFSET($A$1, 582 - 1, 95 - 1)) &gt;= (OFFSET($A$1, 54 - 1, 7 - 1)), "1","0")</f>
        <v>1</v>
      </c>
      <c r="CT582">
        <f ca="1" xml:space="preserve"> IF( AND( OFFSET($A$1, 582 - 1, 96 - 1) = "1", OFFSET($A$1, 582 - 1, 97 - 1) = "1" ), 1, IF( AND( OFFSET($A$1, 582 - 1, 96 - 1) = "1", OFFSET($A$1, 582 - 1, 97 - 1) = "0" ), 2, IF( AND( OFFSET($A$1, 582 - 1, 96 - 1) = "0", OFFSET($A$1, 582 - 1, 97 - 1) = "1" ), 3, 4 ) ) )</f>
        <v>1</v>
      </c>
    </row>
    <row r="583" spans="95:98" ht="13.8" x14ac:dyDescent="0.3">
      <c r="CQ583" s="24">
        <v>0.91250631749456612</v>
      </c>
      <c r="CR583" s="24" t="str">
        <f t="shared" si="37"/>
        <v>1</v>
      </c>
      <c r="CS583" t="str">
        <f ca="1">IF((OFFSET($A$1, 583 - 1, 95 - 1)) &gt;= (OFFSET($A$1, 54 - 1, 7 - 1)), "1","0")</f>
        <v>1</v>
      </c>
      <c r="CT583">
        <f ca="1" xml:space="preserve"> IF( AND( OFFSET($A$1, 583 - 1, 96 - 1) = "1", OFFSET($A$1, 583 - 1, 97 - 1) = "1" ), 1, IF( AND( OFFSET($A$1, 583 - 1, 96 - 1) = "1", OFFSET($A$1, 583 - 1, 97 - 1) = "0" ), 2, IF( AND( OFFSET($A$1, 583 - 1, 96 - 1) = "0", OFFSET($A$1, 583 - 1, 97 - 1) = "1" ), 3, 4 ) ) )</f>
        <v>1</v>
      </c>
    </row>
    <row r="584" spans="95:98" ht="13.8" x14ac:dyDescent="0.3">
      <c r="CQ584" s="24">
        <v>0.86481733377232328</v>
      </c>
      <c r="CR584" s="24" t="str">
        <f t="shared" si="37"/>
        <v>1</v>
      </c>
      <c r="CS584" t="str">
        <f ca="1">IF((OFFSET($A$1, 584 - 1, 95 - 1)) &gt;= (OFFSET($A$1, 54 - 1, 7 - 1)), "1","0")</f>
        <v>1</v>
      </c>
      <c r="CT584">
        <f ca="1" xml:space="preserve"> IF( AND( OFFSET($A$1, 584 - 1, 96 - 1) = "1", OFFSET($A$1, 584 - 1, 97 - 1) = "1" ), 1, IF( AND( OFFSET($A$1, 584 - 1, 96 - 1) = "1", OFFSET($A$1, 584 - 1, 97 - 1) = "0" ), 2, IF( AND( OFFSET($A$1, 584 - 1, 96 - 1) = "0", OFFSET($A$1, 584 - 1, 97 - 1) = "1" ), 3, 4 ) ) )</f>
        <v>1</v>
      </c>
    </row>
    <row r="585" spans="95:98" ht="13.8" x14ac:dyDescent="0.3">
      <c r="CQ585" s="24">
        <v>0.99887189945689692</v>
      </c>
      <c r="CR585" s="24" t="str">
        <f t="shared" si="37"/>
        <v>1</v>
      </c>
      <c r="CS585" t="str">
        <f ca="1">IF((OFFSET($A$1, 585 - 1, 95 - 1)) &gt;= (OFFSET($A$1, 54 - 1, 7 - 1)), "1","0")</f>
        <v>1</v>
      </c>
      <c r="CT585">
        <f ca="1" xml:space="preserve"> IF( AND( OFFSET($A$1, 585 - 1, 96 - 1) = "1", OFFSET($A$1, 585 - 1, 97 - 1) = "1" ), 1, IF( AND( OFFSET($A$1, 585 - 1, 96 - 1) = "1", OFFSET($A$1, 585 - 1, 97 - 1) = "0" ), 2, IF( AND( OFFSET($A$1, 585 - 1, 96 - 1) = "0", OFFSET($A$1, 585 - 1, 97 - 1) = "1" ), 3, 4 ) ) )</f>
        <v>1</v>
      </c>
    </row>
    <row r="586" spans="95:98" ht="13.8" x14ac:dyDescent="0.3">
      <c r="CQ586" s="24">
        <v>0.97166778440968293</v>
      </c>
      <c r="CR586" s="24" t="str">
        <f t="shared" si="37"/>
        <v>1</v>
      </c>
      <c r="CS586" t="str">
        <f ca="1">IF((OFFSET($A$1, 586 - 1, 95 - 1)) &gt;= (OFFSET($A$1, 54 - 1, 7 - 1)), "1","0")</f>
        <v>1</v>
      </c>
      <c r="CT586">
        <f ca="1" xml:space="preserve"> IF( AND( OFFSET($A$1, 586 - 1, 96 - 1) = "1", OFFSET($A$1, 586 - 1, 97 - 1) = "1" ), 1, IF( AND( OFFSET($A$1, 586 - 1, 96 - 1) = "1", OFFSET($A$1, 586 - 1, 97 - 1) = "0" ), 2, IF( AND( OFFSET($A$1, 586 - 1, 96 - 1) = "0", OFFSET($A$1, 586 - 1, 97 - 1) = "1" ), 3, 4 ) ) )</f>
        <v>1</v>
      </c>
    </row>
    <row r="587" spans="95:98" ht="13.8" x14ac:dyDescent="0.3">
      <c r="CQ587" s="24">
        <v>0.98522454013487892</v>
      </c>
      <c r="CR587" s="24" t="str">
        <f t="shared" si="37"/>
        <v>1</v>
      </c>
      <c r="CS587" t="str">
        <f ca="1">IF((OFFSET($A$1, 587 - 1, 95 - 1)) &gt;= (OFFSET($A$1, 54 - 1, 7 - 1)), "1","0")</f>
        <v>1</v>
      </c>
      <c r="CT587">
        <f ca="1" xml:space="preserve"> IF( AND( OFFSET($A$1, 587 - 1, 96 - 1) = "1", OFFSET($A$1, 587 - 1, 97 - 1) = "1" ), 1, IF( AND( OFFSET($A$1, 587 - 1, 96 - 1) = "1", OFFSET($A$1, 587 - 1, 97 - 1) = "0" ), 2, IF( AND( OFFSET($A$1, 587 - 1, 96 - 1) = "0", OFFSET($A$1, 587 - 1, 97 - 1) = "1" ), 3, 4 ) ) )</f>
        <v>1</v>
      </c>
    </row>
    <row r="588" spans="95:98" ht="13.8" x14ac:dyDescent="0.3">
      <c r="CQ588" s="24">
        <v>6.121533192632754E-2</v>
      </c>
      <c r="CR588" s="24" t="str">
        <f>"0"</f>
        <v>0</v>
      </c>
      <c r="CS588" t="str">
        <f ca="1">IF((OFFSET($A$1, 588 - 1, 95 - 1)) &gt;= (OFFSET($A$1, 54 - 1, 7 - 1)), "1","0")</f>
        <v>0</v>
      </c>
      <c r="CT588">
        <f ca="1" xml:space="preserve"> IF( AND( OFFSET($A$1, 588 - 1, 96 - 1) = "1", OFFSET($A$1, 588 - 1, 97 - 1) = "1" ), 1, IF( AND( OFFSET($A$1, 588 - 1, 96 - 1) = "1", OFFSET($A$1, 588 - 1, 97 - 1) = "0" ), 2, IF( AND( OFFSET($A$1, 588 - 1, 96 - 1) = "0", OFFSET($A$1, 588 - 1, 97 - 1) = "1" ), 3, 4 ) ) )</f>
        <v>4</v>
      </c>
    </row>
    <row r="589" spans="95:98" ht="13.8" x14ac:dyDescent="0.3">
      <c r="CQ589" s="24">
        <v>1.1692372151965436E-2</v>
      </c>
      <c r="CR589" s="24" t="str">
        <f>"0"</f>
        <v>0</v>
      </c>
      <c r="CS589" t="str">
        <f ca="1">IF((OFFSET($A$1, 589 - 1, 95 - 1)) &gt;= (OFFSET($A$1, 54 - 1, 7 - 1)), "1","0")</f>
        <v>0</v>
      </c>
      <c r="CT589">
        <f ca="1" xml:space="preserve"> IF( AND( OFFSET($A$1, 589 - 1, 96 - 1) = "1", OFFSET($A$1, 589 - 1, 97 - 1) = "1" ), 1, IF( AND( OFFSET($A$1, 589 - 1, 96 - 1) = "1", OFFSET($A$1, 589 - 1, 97 - 1) = "0" ), 2, IF( AND( OFFSET($A$1, 589 - 1, 96 - 1) = "0", OFFSET($A$1, 589 - 1, 97 - 1) = "1" ), 3, 4 ) ) )</f>
        <v>4</v>
      </c>
    </row>
    <row r="590" spans="95:98" ht="13.8" x14ac:dyDescent="0.3">
      <c r="CQ590" s="24">
        <v>0.99637494584569852</v>
      </c>
      <c r="CR590" s="24" t="str">
        <f>"1"</f>
        <v>1</v>
      </c>
      <c r="CS590" t="str">
        <f ca="1">IF((OFFSET($A$1, 590 - 1, 95 - 1)) &gt;= (OFFSET($A$1, 54 - 1, 7 - 1)), "1","0")</f>
        <v>1</v>
      </c>
      <c r="CT590">
        <f ca="1" xml:space="preserve"> IF( AND( OFFSET($A$1, 590 - 1, 96 - 1) = "1", OFFSET($A$1, 590 - 1, 97 - 1) = "1" ), 1, IF( AND( OFFSET($A$1, 590 - 1, 96 - 1) = "1", OFFSET($A$1, 590 - 1, 97 - 1) = "0" ), 2, IF( AND( OFFSET($A$1, 590 - 1, 96 - 1) = "0", OFFSET($A$1, 590 - 1, 97 - 1) = "1" ), 3, 4 ) ) )</f>
        <v>1</v>
      </c>
    </row>
    <row r="591" spans="95:98" ht="13.8" x14ac:dyDescent="0.3">
      <c r="CQ591" s="24">
        <v>0.99925320500281911</v>
      </c>
      <c r="CR591" s="24" t="str">
        <f>"1"</f>
        <v>1</v>
      </c>
      <c r="CS591" t="str">
        <f ca="1">IF((OFFSET($A$1, 591 - 1, 95 - 1)) &gt;= (OFFSET($A$1, 54 - 1, 7 - 1)), "1","0")</f>
        <v>1</v>
      </c>
      <c r="CT591">
        <f ca="1" xml:space="preserve"> IF( AND( OFFSET($A$1, 591 - 1, 96 - 1) = "1", OFFSET($A$1, 591 - 1, 97 - 1) = "1" ), 1, IF( AND( OFFSET($A$1, 591 - 1, 96 - 1) = "1", OFFSET($A$1, 591 - 1, 97 - 1) = "0" ), 2, IF( AND( OFFSET($A$1, 591 - 1, 96 - 1) = "0", OFFSET($A$1, 591 - 1, 97 - 1) = "1" ), 3, 4 ) ) )</f>
        <v>1</v>
      </c>
    </row>
    <row r="592" spans="95:98" ht="13.8" x14ac:dyDescent="0.3">
      <c r="CQ592" s="24">
        <v>2.7436712781572021E-2</v>
      </c>
      <c r="CR592" s="24" t="str">
        <f>"0"</f>
        <v>0</v>
      </c>
      <c r="CS592" t="str">
        <f ca="1">IF((OFFSET($A$1, 592 - 1, 95 - 1)) &gt;= (OFFSET($A$1, 54 - 1, 7 - 1)), "1","0")</f>
        <v>0</v>
      </c>
      <c r="CT592">
        <f ca="1" xml:space="preserve"> IF( AND( OFFSET($A$1, 592 - 1, 96 - 1) = "1", OFFSET($A$1, 592 - 1, 97 - 1) = "1" ), 1, IF( AND( OFFSET($A$1, 592 - 1, 96 - 1) = "1", OFFSET($A$1, 592 - 1, 97 - 1) = "0" ), 2, IF( AND( OFFSET($A$1, 592 - 1, 96 - 1) = "0", OFFSET($A$1, 592 - 1, 97 - 1) = "1" ), 3, 4 ) ) )</f>
        <v>4</v>
      </c>
    </row>
    <row r="593" spans="95:98" ht="13.8" x14ac:dyDescent="0.3">
      <c r="CQ593" s="24">
        <v>0.10019605361981752</v>
      </c>
      <c r="CR593" s="24" t="str">
        <f>"0"</f>
        <v>0</v>
      </c>
      <c r="CS593" t="str">
        <f ca="1">IF((OFFSET($A$1, 593 - 1, 95 - 1)) &gt;= (OFFSET($A$1, 54 - 1, 7 - 1)), "1","0")</f>
        <v>0</v>
      </c>
      <c r="CT593">
        <f ca="1" xml:space="preserve"> IF( AND( OFFSET($A$1, 593 - 1, 96 - 1) = "1", OFFSET($A$1, 593 - 1, 97 - 1) = "1" ), 1, IF( AND( OFFSET($A$1, 593 - 1, 96 - 1) = "1", OFFSET($A$1, 593 - 1, 97 - 1) = "0" ), 2, IF( AND( OFFSET($A$1, 593 - 1, 96 - 1) = "0", OFFSET($A$1, 593 - 1, 97 - 1) = "1" ), 3, 4 ) ) )</f>
        <v>4</v>
      </c>
    </row>
    <row r="594" spans="95:98" ht="13.8" x14ac:dyDescent="0.3">
      <c r="CQ594" s="24">
        <v>0.98775862461470043</v>
      </c>
      <c r="CR594" s="24" t="str">
        <f>"1"</f>
        <v>1</v>
      </c>
      <c r="CS594" t="str">
        <f ca="1">IF((OFFSET($A$1, 594 - 1, 95 - 1)) &gt;= (OFFSET($A$1, 54 - 1, 7 - 1)), "1","0")</f>
        <v>1</v>
      </c>
      <c r="CT594">
        <f ca="1" xml:space="preserve"> IF( AND( OFFSET($A$1, 594 - 1, 96 - 1) = "1", OFFSET($A$1, 594 - 1, 97 - 1) = "1" ), 1, IF( AND( OFFSET($A$1, 594 - 1, 96 - 1) = "1", OFFSET($A$1, 594 - 1, 97 - 1) = "0" ), 2, IF( AND( OFFSET($A$1, 594 - 1, 96 - 1) = "0", OFFSET($A$1, 594 - 1, 97 - 1) = "1" ), 3, 4 ) ) )</f>
        <v>1</v>
      </c>
    </row>
    <row r="595" spans="95:98" ht="13.8" x14ac:dyDescent="0.3">
      <c r="CQ595" s="24">
        <v>0.10378946391345818</v>
      </c>
      <c r="CR595" s="24" t="str">
        <f>"0"</f>
        <v>0</v>
      </c>
      <c r="CS595" t="str">
        <f ca="1">IF((OFFSET($A$1, 595 - 1, 95 - 1)) &gt;= (OFFSET($A$1, 54 - 1, 7 - 1)), "1","0")</f>
        <v>0</v>
      </c>
      <c r="CT595">
        <f ca="1" xml:space="preserve"> IF( AND( OFFSET($A$1, 595 - 1, 96 - 1) = "1", OFFSET($A$1, 595 - 1, 97 - 1) = "1" ), 1, IF( AND( OFFSET($A$1, 595 - 1, 96 - 1) = "1", OFFSET($A$1, 595 - 1, 97 - 1) = "0" ), 2, IF( AND( OFFSET($A$1, 595 - 1, 96 - 1) = "0", OFFSET($A$1, 595 - 1, 97 - 1) = "1" ), 3, 4 ) ) )</f>
        <v>4</v>
      </c>
    </row>
    <row r="596" spans="95:98" ht="13.8" x14ac:dyDescent="0.3">
      <c r="CQ596" s="24">
        <v>0.99731253524563579</v>
      </c>
      <c r="CR596" s="24" t="str">
        <f>"1"</f>
        <v>1</v>
      </c>
      <c r="CS596" t="str">
        <f ca="1">IF((OFFSET($A$1, 596 - 1, 95 - 1)) &gt;= (OFFSET($A$1, 54 - 1, 7 - 1)), "1","0")</f>
        <v>1</v>
      </c>
      <c r="CT596">
        <f ca="1" xml:space="preserve"> IF( AND( OFFSET($A$1, 596 - 1, 96 - 1) = "1", OFFSET($A$1, 596 - 1, 97 - 1) = "1" ), 1, IF( AND( OFFSET($A$1, 596 - 1, 96 - 1) = "1", OFFSET($A$1, 596 - 1, 97 - 1) = "0" ), 2, IF( AND( OFFSET($A$1, 596 - 1, 96 - 1) = "0", OFFSET($A$1, 596 - 1, 97 - 1) = "1" ), 3, 4 ) ) )</f>
        <v>1</v>
      </c>
    </row>
    <row r="597" spans="95:98" ht="13.8" x14ac:dyDescent="0.3">
      <c r="CQ597" s="24">
        <v>0.93679946132093661</v>
      </c>
      <c r="CR597" s="24" t="str">
        <f>"1"</f>
        <v>1</v>
      </c>
      <c r="CS597" t="str">
        <f ca="1">IF((OFFSET($A$1, 597 - 1, 95 - 1)) &gt;= (OFFSET($A$1, 54 - 1, 7 - 1)), "1","0")</f>
        <v>1</v>
      </c>
      <c r="CT597">
        <f ca="1" xml:space="preserve"> IF( AND( OFFSET($A$1, 597 - 1, 96 - 1) = "1", OFFSET($A$1, 597 - 1, 97 - 1) = "1" ), 1, IF( AND( OFFSET($A$1, 597 - 1, 96 - 1) = "1", OFFSET($A$1, 597 - 1, 97 - 1) = "0" ), 2, IF( AND( OFFSET($A$1, 597 - 1, 96 - 1) = "0", OFFSET($A$1, 597 - 1, 97 - 1) = "1" ), 3, 4 ) ) )</f>
        <v>1</v>
      </c>
    </row>
    <row r="598" spans="95:98" ht="13.8" x14ac:dyDescent="0.3">
      <c r="CQ598" s="24">
        <v>1.0445224053905718E-2</v>
      </c>
      <c r="CR598" s="24" t="str">
        <f>"0"</f>
        <v>0</v>
      </c>
      <c r="CS598" t="str">
        <f ca="1">IF((OFFSET($A$1, 598 - 1, 95 - 1)) &gt;= (OFFSET($A$1, 54 - 1, 7 - 1)), "1","0")</f>
        <v>0</v>
      </c>
      <c r="CT598">
        <f ca="1" xml:space="preserve"> IF( AND( OFFSET($A$1, 598 - 1, 96 - 1) = "1", OFFSET($A$1, 598 - 1, 97 - 1) = "1" ), 1, IF( AND( OFFSET($A$1, 598 - 1, 96 - 1) = "1", OFFSET($A$1, 598 - 1, 97 - 1) = "0" ), 2, IF( AND( OFFSET($A$1, 598 - 1, 96 - 1) = "0", OFFSET($A$1, 598 - 1, 97 - 1) = "1" ), 3, 4 ) ) )</f>
        <v>4</v>
      </c>
    </row>
    <row r="599" spans="95:98" ht="13.8" x14ac:dyDescent="0.3">
      <c r="CQ599" s="24">
        <v>0.89864656523527142</v>
      </c>
      <c r="CR599" s="24" t="str">
        <f>"1"</f>
        <v>1</v>
      </c>
      <c r="CS599" t="str">
        <f ca="1">IF((OFFSET($A$1, 599 - 1, 95 - 1)) &gt;= (OFFSET($A$1, 54 - 1, 7 - 1)), "1","0")</f>
        <v>1</v>
      </c>
      <c r="CT599">
        <f ca="1" xml:space="preserve"> IF( AND( OFFSET($A$1, 599 - 1, 96 - 1) = "1", OFFSET($A$1, 599 - 1, 97 - 1) = "1" ), 1, IF( AND( OFFSET($A$1, 599 - 1, 96 - 1) = "1", OFFSET($A$1, 599 - 1, 97 - 1) = "0" ), 2, IF( AND( OFFSET($A$1, 599 - 1, 96 - 1) = "0", OFFSET($A$1, 599 - 1, 97 - 1) = "1" ), 3, 4 ) ) )</f>
        <v>1</v>
      </c>
    </row>
    <row r="600" spans="95:98" ht="13.8" x14ac:dyDescent="0.3">
      <c r="CQ600" s="24">
        <v>0.21303678341140209</v>
      </c>
      <c r="CR600" s="24" t="str">
        <f>"0"</f>
        <v>0</v>
      </c>
      <c r="CS600" t="str">
        <f ca="1">IF((OFFSET($A$1, 600 - 1, 95 - 1)) &gt;= (OFFSET($A$1, 54 - 1, 7 - 1)), "1","0")</f>
        <v>0</v>
      </c>
      <c r="CT600">
        <f ca="1" xml:space="preserve"> IF( AND( OFFSET($A$1, 600 - 1, 96 - 1) = "1", OFFSET($A$1, 600 - 1, 97 - 1) = "1" ), 1, IF( AND( OFFSET($A$1, 600 - 1, 96 - 1) = "1", OFFSET($A$1, 600 - 1, 97 - 1) = "0" ), 2, IF( AND( OFFSET($A$1, 600 - 1, 96 - 1) = "0", OFFSET($A$1, 600 - 1, 97 - 1) = "1" ), 3, 4 ) ) )</f>
        <v>4</v>
      </c>
    </row>
  </sheetData>
  <mergeCells count="78">
    <mergeCell ref="B3:M3"/>
    <mergeCell ref="P3:S3"/>
    <mergeCell ref="C97:D97"/>
    <mergeCell ref="D102:AW102"/>
    <mergeCell ref="D119:Q119"/>
    <mergeCell ref="B4:C4"/>
    <mergeCell ref="D4:E4"/>
    <mergeCell ref="F4:G4"/>
    <mergeCell ref="H4:I4"/>
    <mergeCell ref="J4:K4"/>
    <mergeCell ref="L4:M4"/>
    <mergeCell ref="C86:F86"/>
    <mergeCell ref="C92:E92"/>
    <mergeCell ref="C93:D93"/>
    <mergeCell ref="C94:D94"/>
    <mergeCell ref="D57:E57"/>
    <mergeCell ref="C62:F62"/>
    <mergeCell ref="C68:E68"/>
    <mergeCell ref="C69:D69"/>
    <mergeCell ref="C96:D96"/>
    <mergeCell ref="C72:D72"/>
    <mergeCell ref="C73:D73"/>
    <mergeCell ref="C78:F78"/>
    <mergeCell ref="H78:M78"/>
    <mergeCell ref="C80:E80"/>
    <mergeCell ref="D81:E81"/>
    <mergeCell ref="C95:D95"/>
    <mergeCell ref="C70:D70"/>
    <mergeCell ref="C71:D71"/>
    <mergeCell ref="C39:G39"/>
    <mergeCell ref="C40:G40"/>
    <mergeCell ref="C45:G45"/>
    <mergeCell ref="C54:F54"/>
    <mergeCell ref="C56:E56"/>
    <mergeCell ref="G32:J32"/>
    <mergeCell ref="G33:J33"/>
    <mergeCell ref="G34:J34"/>
    <mergeCell ref="G35:J35"/>
    <mergeCell ref="G36:J36"/>
    <mergeCell ref="C38:G38"/>
    <mergeCell ref="C35:F35"/>
    <mergeCell ref="C36:F36"/>
    <mergeCell ref="G26:J26"/>
    <mergeCell ref="G27:J27"/>
    <mergeCell ref="G28:J28"/>
    <mergeCell ref="G29:J29"/>
    <mergeCell ref="H54:M54"/>
    <mergeCell ref="C33:F33"/>
    <mergeCell ref="C34:F34"/>
    <mergeCell ref="C23:J23"/>
    <mergeCell ref="C24:F24"/>
    <mergeCell ref="C25:F25"/>
    <mergeCell ref="C26:F26"/>
    <mergeCell ref="C27:F27"/>
    <mergeCell ref="C28:F28"/>
    <mergeCell ref="G30:J30"/>
    <mergeCell ref="G31:J31"/>
    <mergeCell ref="C29:F29"/>
    <mergeCell ref="C30:F30"/>
    <mergeCell ref="C31:F31"/>
    <mergeCell ref="C32:F32"/>
    <mergeCell ref="G24:J24"/>
    <mergeCell ref="G25:J25"/>
    <mergeCell ref="C18:AW18"/>
    <mergeCell ref="C19:D19"/>
    <mergeCell ref="C20:D20"/>
    <mergeCell ref="C21:D21"/>
    <mergeCell ref="E19:AW19"/>
    <mergeCell ref="E21:AW21"/>
    <mergeCell ref="C12:K12"/>
    <mergeCell ref="C13:F13"/>
    <mergeCell ref="C14:F14"/>
    <mergeCell ref="C15:F15"/>
    <mergeCell ref="C16:F16"/>
    <mergeCell ref="G13:K13"/>
    <mergeCell ref="G14:K14"/>
    <mergeCell ref="G15:K15"/>
    <mergeCell ref="G16:K16"/>
  </mergeCells>
  <hyperlinks>
    <hyperlink ref="B4" location="'NNC_Output1'!$B$10:$B$10" display="Inputs"/>
    <hyperlink ref="D4" location="'NNC_Output1'!$B$43:$B$43" display="Prior Class Prob."/>
    <hyperlink ref="F4" location="'NNC_Output1'!$B$52:$B$52" display="Train. Score - Summary"/>
    <hyperlink ref="H4" location="'NNC_Output1'!$B$76:$B$76" display="Valid. Score - Summary"/>
    <hyperlink ref="J4" location="'NNC_Output1'!$B$100:$B$100" display="Weights"/>
    <hyperlink ref="L4" location="'NNC_TrainLog1'!$B$10:$B$10" display="Training Log"/>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62"/>
  <sheetViews>
    <sheetView showGridLines="0" topLeftCell="A43" workbookViewId="0">
      <selection activeCell="E62" sqref="E62"/>
    </sheetView>
  </sheetViews>
  <sheetFormatPr defaultRowHeight="13.2" x14ac:dyDescent="0.25"/>
  <cols>
    <col min="16" max="16" width="13.5546875" bestFit="1" customWidth="1"/>
  </cols>
  <sheetData>
    <row r="1" spans="2:19" ht="18" x14ac:dyDescent="0.35">
      <c r="B1" s="23" t="s">
        <v>691</v>
      </c>
      <c r="N1" t="s">
        <v>753</v>
      </c>
    </row>
    <row r="3" spans="2:19" ht="15.6" x14ac:dyDescent="0.3">
      <c r="B3" s="59" t="s">
        <v>136</v>
      </c>
      <c r="C3" s="60"/>
      <c r="D3" s="60"/>
      <c r="E3" s="60"/>
      <c r="F3" s="60"/>
      <c r="G3" s="60"/>
      <c r="H3" s="60"/>
      <c r="I3" s="60"/>
      <c r="J3" s="60"/>
      <c r="K3" s="60"/>
      <c r="L3" s="60"/>
      <c r="M3" s="61"/>
      <c r="P3" s="59" t="s">
        <v>137</v>
      </c>
      <c r="Q3" s="60"/>
      <c r="R3" s="60"/>
      <c r="S3" s="61"/>
    </row>
    <row r="4" spans="2:19" ht="13.8" x14ac:dyDescent="0.3">
      <c r="B4" s="65" t="s">
        <v>141</v>
      </c>
      <c r="C4" s="66"/>
      <c r="D4" s="65" t="s">
        <v>683</v>
      </c>
      <c r="E4" s="66"/>
      <c r="F4" s="65" t="s">
        <v>684</v>
      </c>
      <c r="G4" s="66"/>
      <c r="H4" s="65" t="s">
        <v>685</v>
      </c>
      <c r="I4" s="66"/>
      <c r="J4" s="65" t="s">
        <v>686</v>
      </c>
      <c r="K4" s="66"/>
      <c r="L4" s="65" t="s">
        <v>687</v>
      </c>
      <c r="M4" s="66"/>
      <c r="P4" s="26" t="s">
        <v>182</v>
      </c>
      <c r="Q4" s="26" t="s">
        <v>183</v>
      </c>
      <c r="R4" s="26" t="s">
        <v>139</v>
      </c>
      <c r="S4" s="26" t="s">
        <v>140</v>
      </c>
    </row>
    <row r="5" spans="2:19" ht="13.8" x14ac:dyDescent="0.3">
      <c r="P5" s="24">
        <v>62</v>
      </c>
      <c r="Q5" s="24">
        <v>319</v>
      </c>
      <c r="R5" s="24">
        <v>125</v>
      </c>
      <c r="S5" s="24">
        <v>506</v>
      </c>
    </row>
    <row r="10" spans="2:19" ht="13.8" x14ac:dyDescent="0.3">
      <c r="B10" s="21" t="s">
        <v>687</v>
      </c>
    </row>
    <row r="12" spans="2:19" ht="13.8" x14ac:dyDescent="0.3">
      <c r="C12" s="26" t="s">
        <v>692</v>
      </c>
      <c r="D12" s="26" t="s">
        <v>693</v>
      </c>
      <c r="E12" s="26" t="s">
        <v>694</v>
      </c>
    </row>
    <row r="13" spans="2:19" ht="13.8" x14ac:dyDescent="0.3">
      <c r="C13" s="24">
        <v>1</v>
      </c>
      <c r="D13" s="24">
        <v>109.833011489428</v>
      </c>
      <c r="E13" s="24">
        <v>28.666666666666668</v>
      </c>
    </row>
    <row r="14" spans="2:19" ht="13.8" x14ac:dyDescent="0.3">
      <c r="C14" s="24">
        <v>2</v>
      </c>
      <c r="D14" s="24">
        <v>93.33669640013899</v>
      </c>
      <c r="E14" s="24">
        <v>25</v>
      </c>
    </row>
    <row r="15" spans="2:19" ht="13.8" x14ac:dyDescent="0.3">
      <c r="C15" s="24">
        <v>3</v>
      </c>
      <c r="D15" s="24">
        <v>88.534655181073035</v>
      </c>
      <c r="E15" s="24">
        <v>22.666666666666668</v>
      </c>
    </row>
    <row r="16" spans="2:19" ht="13.8" x14ac:dyDescent="0.3">
      <c r="C16" s="24">
        <v>4</v>
      </c>
      <c r="D16" s="24">
        <v>85.113398084196845</v>
      </c>
      <c r="E16" s="24">
        <v>21.666666666666668</v>
      </c>
    </row>
    <row r="17" spans="3:5" ht="13.8" x14ac:dyDescent="0.3">
      <c r="C17" s="24">
        <v>5</v>
      </c>
      <c r="D17" s="24">
        <v>81.857105393463797</v>
      </c>
      <c r="E17" s="24">
        <v>20.166666666666668</v>
      </c>
    </row>
    <row r="18" spans="3:5" ht="13.8" x14ac:dyDescent="0.3">
      <c r="C18" s="24">
        <v>6</v>
      </c>
      <c r="D18" s="24">
        <v>78.658960367535371</v>
      </c>
      <c r="E18" s="24">
        <v>19.666666666666668</v>
      </c>
    </row>
    <row r="19" spans="3:5" ht="13.8" x14ac:dyDescent="0.3">
      <c r="C19" s="24">
        <v>7</v>
      </c>
      <c r="D19" s="24">
        <v>75.096917963502023</v>
      </c>
      <c r="E19" s="24">
        <v>18.333333333333332</v>
      </c>
    </row>
    <row r="20" spans="3:5" ht="13.8" x14ac:dyDescent="0.3">
      <c r="C20" s="24">
        <v>8</v>
      </c>
      <c r="D20" s="24">
        <v>71.320508188890869</v>
      </c>
      <c r="E20" s="24">
        <v>17.333333333333332</v>
      </c>
    </row>
    <row r="21" spans="3:5" ht="13.8" x14ac:dyDescent="0.3">
      <c r="C21" s="24">
        <v>9</v>
      </c>
      <c r="D21" s="24">
        <v>67.716202877903186</v>
      </c>
      <c r="E21" s="24">
        <v>16</v>
      </c>
    </row>
    <row r="22" spans="3:5" ht="13.8" x14ac:dyDescent="0.3">
      <c r="C22" s="24">
        <v>10</v>
      </c>
      <c r="D22" s="24">
        <v>64.286886241306618</v>
      </c>
      <c r="E22" s="24">
        <v>13.5</v>
      </c>
    </row>
    <row r="23" spans="3:5" ht="13.8" x14ac:dyDescent="0.3">
      <c r="C23" s="24">
        <v>11</v>
      </c>
      <c r="D23" s="24">
        <v>61.048237169857977</v>
      </c>
      <c r="E23" s="24">
        <v>12.333333333333334</v>
      </c>
    </row>
    <row r="24" spans="3:5" ht="13.8" x14ac:dyDescent="0.3">
      <c r="C24" s="24">
        <v>12</v>
      </c>
      <c r="D24" s="24">
        <v>58.013592780662961</v>
      </c>
      <c r="E24" s="24">
        <v>12</v>
      </c>
    </row>
    <row r="25" spans="3:5" ht="13.8" x14ac:dyDescent="0.3">
      <c r="C25" s="24">
        <v>13</v>
      </c>
      <c r="D25" s="24">
        <v>54.988857560348762</v>
      </c>
      <c r="E25" s="24">
        <v>11.166666666666666</v>
      </c>
    </row>
    <row r="26" spans="3:5" ht="13.8" x14ac:dyDescent="0.3">
      <c r="C26" s="24">
        <v>14</v>
      </c>
      <c r="D26" s="24">
        <v>52.068799936830494</v>
      </c>
      <c r="E26" s="24">
        <v>10.166666666666666</v>
      </c>
    </row>
    <row r="27" spans="3:5" ht="13.8" x14ac:dyDescent="0.3">
      <c r="C27" s="24">
        <v>15</v>
      </c>
      <c r="D27" s="24">
        <v>49.093237207808116</v>
      </c>
      <c r="E27" s="24">
        <v>9.8333333333333339</v>
      </c>
    </row>
    <row r="28" spans="3:5" ht="13.8" x14ac:dyDescent="0.3">
      <c r="C28" s="24">
        <v>16</v>
      </c>
      <c r="D28" s="24">
        <v>46.330612058017437</v>
      </c>
      <c r="E28" s="24">
        <v>8.8333333333333339</v>
      </c>
    </row>
    <row r="29" spans="3:5" ht="13.8" x14ac:dyDescent="0.3">
      <c r="C29" s="24">
        <v>17</v>
      </c>
      <c r="D29" s="24">
        <v>43.535364806276121</v>
      </c>
      <c r="E29" s="24">
        <v>7.833333333333333</v>
      </c>
    </row>
    <row r="30" spans="3:5" ht="13.8" x14ac:dyDescent="0.3">
      <c r="C30" s="24">
        <v>18</v>
      </c>
      <c r="D30" s="24">
        <v>40.982291267750469</v>
      </c>
      <c r="E30" s="24">
        <v>6.666666666666667</v>
      </c>
    </row>
    <row r="31" spans="3:5" ht="13.8" x14ac:dyDescent="0.3">
      <c r="C31" s="24">
        <v>19</v>
      </c>
      <c r="D31" s="24">
        <v>38.481900358174705</v>
      </c>
      <c r="E31" s="24">
        <v>6.5</v>
      </c>
    </row>
    <row r="32" spans="3:5" ht="13.8" x14ac:dyDescent="0.3">
      <c r="C32" s="24">
        <v>20</v>
      </c>
      <c r="D32" s="24">
        <v>36.055478633498367</v>
      </c>
      <c r="E32" s="24">
        <v>6.166666666666667</v>
      </c>
    </row>
    <row r="33" spans="3:5" ht="13.8" x14ac:dyDescent="0.3">
      <c r="C33" s="24">
        <v>21</v>
      </c>
      <c r="D33" s="24">
        <v>33.624309656511024</v>
      </c>
      <c r="E33" s="24">
        <v>5.666666666666667</v>
      </c>
    </row>
    <row r="34" spans="3:5" ht="13.8" x14ac:dyDescent="0.3">
      <c r="C34" s="24">
        <v>22</v>
      </c>
      <c r="D34" s="24">
        <v>31.298367514369179</v>
      </c>
      <c r="E34" s="24">
        <v>5</v>
      </c>
    </row>
    <row r="35" spans="3:5" ht="13.8" x14ac:dyDescent="0.3">
      <c r="C35" s="24">
        <v>23</v>
      </c>
      <c r="D35" s="24">
        <v>29.11012199257673</v>
      </c>
      <c r="E35" s="24">
        <v>4</v>
      </c>
    </row>
    <row r="36" spans="3:5" ht="13.8" x14ac:dyDescent="0.3">
      <c r="C36" s="24">
        <v>24</v>
      </c>
      <c r="D36" s="24">
        <v>27.217598929132251</v>
      </c>
      <c r="E36" s="24">
        <v>3.5</v>
      </c>
    </row>
    <row r="37" spans="3:5" ht="13.8" x14ac:dyDescent="0.3">
      <c r="C37" s="24">
        <v>25</v>
      </c>
      <c r="D37" s="24">
        <v>25.55115167436518</v>
      </c>
      <c r="E37" s="24">
        <v>3.3333333333333335</v>
      </c>
    </row>
    <row r="38" spans="3:5" ht="13.8" x14ac:dyDescent="0.3">
      <c r="C38" s="24">
        <v>26</v>
      </c>
      <c r="D38" s="24">
        <v>23.887509614451304</v>
      </c>
      <c r="E38" s="24">
        <v>2.8333333333333335</v>
      </c>
    </row>
    <row r="39" spans="3:5" ht="13.8" x14ac:dyDescent="0.3">
      <c r="C39" s="24">
        <v>27</v>
      </c>
      <c r="D39" s="24">
        <v>22.544733463938837</v>
      </c>
      <c r="E39" s="24">
        <v>2.6666666666666665</v>
      </c>
    </row>
    <row r="40" spans="3:5" ht="13.8" x14ac:dyDescent="0.3">
      <c r="C40" s="24">
        <v>28</v>
      </c>
      <c r="D40" s="24">
        <v>21.289523140373372</v>
      </c>
      <c r="E40" s="24">
        <v>2.6666666666666665</v>
      </c>
    </row>
    <row r="41" spans="3:5" ht="13.8" x14ac:dyDescent="0.3">
      <c r="C41" s="24">
        <v>29</v>
      </c>
      <c r="D41" s="24">
        <v>20.296193509196492</v>
      </c>
      <c r="E41" s="24">
        <v>2.5</v>
      </c>
    </row>
    <row r="42" spans="3:5" ht="13.8" x14ac:dyDescent="0.3">
      <c r="C42" s="24">
        <v>30</v>
      </c>
      <c r="D42" s="24">
        <v>19.266549347372589</v>
      </c>
      <c r="E42" s="24">
        <v>2.5</v>
      </c>
    </row>
    <row r="43" spans="3:5" ht="13.8" x14ac:dyDescent="0.3">
      <c r="C43" s="24">
        <v>31</v>
      </c>
      <c r="D43" s="24">
        <v>18.450511961182585</v>
      </c>
      <c r="E43" s="24">
        <v>2.3333333333333335</v>
      </c>
    </row>
    <row r="44" spans="3:5" ht="13.8" x14ac:dyDescent="0.3">
      <c r="C44" s="24">
        <v>32</v>
      </c>
      <c r="D44" s="24">
        <v>17.327286051896508</v>
      </c>
      <c r="E44" s="24">
        <v>2</v>
      </c>
    </row>
    <row r="45" spans="3:5" ht="13.8" x14ac:dyDescent="0.3">
      <c r="C45" s="24">
        <v>33</v>
      </c>
      <c r="D45" s="24">
        <v>16.2518410032425</v>
      </c>
      <c r="E45" s="24">
        <v>1.8333333333333333</v>
      </c>
    </row>
    <row r="46" spans="3:5" ht="13.8" x14ac:dyDescent="0.3">
      <c r="C46" s="24">
        <v>34</v>
      </c>
      <c r="D46" s="24">
        <v>15.655025957393715</v>
      </c>
      <c r="E46" s="24">
        <v>1.8333333333333333</v>
      </c>
    </row>
    <row r="47" spans="3:5" ht="13.8" x14ac:dyDescent="0.3">
      <c r="C47" s="24">
        <v>35</v>
      </c>
      <c r="D47" s="24">
        <v>15.165999454656893</v>
      </c>
      <c r="E47" s="24">
        <v>1.8333333333333333</v>
      </c>
    </row>
    <row r="48" spans="3:5" ht="13.8" x14ac:dyDescent="0.3">
      <c r="C48" s="24">
        <v>36</v>
      </c>
      <c r="D48" s="24">
        <v>14.773336613840783</v>
      </c>
      <c r="E48" s="24">
        <v>1.8333333333333333</v>
      </c>
    </row>
    <row r="49" spans="3:5" ht="13.8" x14ac:dyDescent="0.3">
      <c r="C49" s="24">
        <v>37</v>
      </c>
      <c r="D49" s="24">
        <v>14.413027846823081</v>
      </c>
      <c r="E49" s="24">
        <v>1.8333333333333333</v>
      </c>
    </row>
    <row r="50" spans="3:5" ht="13.8" x14ac:dyDescent="0.3">
      <c r="C50" s="24">
        <v>38</v>
      </c>
      <c r="D50" s="24">
        <v>14.002549028115899</v>
      </c>
      <c r="E50" s="24">
        <v>1.8333333333333333</v>
      </c>
    </row>
    <row r="51" spans="3:5" ht="13.8" x14ac:dyDescent="0.3">
      <c r="C51" s="24">
        <v>39</v>
      </c>
      <c r="D51" s="24">
        <v>13.624768982715315</v>
      </c>
      <c r="E51" s="24">
        <v>1.8333333333333333</v>
      </c>
    </row>
    <row r="52" spans="3:5" ht="13.8" x14ac:dyDescent="0.3">
      <c r="C52" s="24">
        <v>40</v>
      </c>
      <c r="D52" s="24">
        <v>13.112442347412824</v>
      </c>
      <c r="E52" s="24">
        <v>1.8333333333333333</v>
      </c>
    </row>
    <row r="53" spans="3:5" ht="13.8" x14ac:dyDescent="0.3">
      <c r="C53" s="24">
        <v>41</v>
      </c>
      <c r="D53" s="24">
        <v>12.707788986415535</v>
      </c>
      <c r="E53" s="24">
        <v>1.6666666666666667</v>
      </c>
    </row>
    <row r="54" spans="3:5" ht="13.8" x14ac:dyDescent="0.3">
      <c r="C54" s="24">
        <v>42</v>
      </c>
      <c r="D54" s="24">
        <v>12.241605131690218</v>
      </c>
      <c r="E54" s="24">
        <v>1.5</v>
      </c>
    </row>
    <row r="55" spans="3:5" ht="13.8" x14ac:dyDescent="0.3">
      <c r="C55" s="24">
        <v>43</v>
      </c>
      <c r="D55" s="24">
        <v>11.802914780641471</v>
      </c>
      <c r="E55" s="24">
        <v>1.5</v>
      </c>
    </row>
    <row r="56" spans="3:5" ht="13.8" x14ac:dyDescent="0.3">
      <c r="C56" s="24">
        <v>44</v>
      </c>
      <c r="D56" s="24">
        <v>11.35481033926618</v>
      </c>
      <c r="E56" s="24">
        <v>1.5</v>
      </c>
    </row>
    <row r="57" spans="3:5" ht="13.8" x14ac:dyDescent="0.3">
      <c r="C57" s="24">
        <v>45</v>
      </c>
      <c r="D57" s="24">
        <v>10.649789927149332</v>
      </c>
      <c r="E57" s="24">
        <v>1.5</v>
      </c>
    </row>
    <row r="58" spans="3:5" ht="13.8" x14ac:dyDescent="0.3">
      <c r="C58" s="24">
        <v>46</v>
      </c>
      <c r="D58" s="24">
        <v>10.19490726278848</v>
      </c>
      <c r="E58" s="24">
        <v>1.5</v>
      </c>
    </row>
    <row r="59" spans="3:5" ht="13.8" x14ac:dyDescent="0.3">
      <c r="C59" s="24">
        <v>47</v>
      </c>
      <c r="D59" s="24">
        <v>9.7739288231361154</v>
      </c>
      <c r="E59" s="24">
        <v>1.1666666666666667</v>
      </c>
    </row>
    <row r="60" spans="3:5" ht="13.8" x14ac:dyDescent="0.3">
      <c r="C60" s="24">
        <v>48</v>
      </c>
      <c r="D60" s="24">
        <v>9.3339867664346627</v>
      </c>
      <c r="E60" s="24">
        <v>1.1666666666666667</v>
      </c>
    </row>
    <row r="61" spans="3:5" ht="13.8" x14ac:dyDescent="0.3">
      <c r="C61" s="24">
        <v>49</v>
      </c>
      <c r="D61" s="24">
        <v>8.813203030517327</v>
      </c>
      <c r="E61" s="24">
        <v>1.1666666666666667</v>
      </c>
    </row>
    <row r="62" spans="3:5" ht="13.8" x14ac:dyDescent="0.3">
      <c r="C62" s="24">
        <v>50</v>
      </c>
      <c r="D62" s="24">
        <v>8.337546851307863</v>
      </c>
      <c r="E62" s="24">
        <v>1</v>
      </c>
    </row>
  </sheetData>
  <mergeCells count="8">
    <mergeCell ref="B3:M3"/>
    <mergeCell ref="P3:S3"/>
    <mergeCell ref="B4:C4"/>
    <mergeCell ref="D4:E4"/>
    <mergeCell ref="F4:G4"/>
    <mergeCell ref="H4:I4"/>
    <mergeCell ref="J4:K4"/>
    <mergeCell ref="L4:M4"/>
  </mergeCells>
  <hyperlinks>
    <hyperlink ref="B4" location="'NNC_Output1'!$B$10:$B$10" display="Inputs"/>
    <hyperlink ref="D4" location="'NNC_Output1'!$B$43:$B$43" display="Prior Class Prob."/>
    <hyperlink ref="F4" location="'NNC_Output1'!$B$52:$B$52" display="Train. Score - Summary"/>
    <hyperlink ref="H4" location="'NNC_Output1'!$B$76:$B$76" display="Valid. Score - Summary"/>
    <hyperlink ref="J4" location="'NNC_Output1'!$B$100:$B$100" display="Weights"/>
    <hyperlink ref="L4" location="'NNC_TrainLog1'!$B$10:$B$10" display="Training Log"/>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1"/>
  <sheetViews>
    <sheetView showGridLines="0" workbookViewId="0"/>
  </sheetViews>
  <sheetFormatPr defaultRowHeight="13.2" x14ac:dyDescent="0.25"/>
  <cols>
    <col min="1" max="1" width="26.77734375" bestFit="1" customWidth="1"/>
    <col min="2" max="2" width="26.88671875" bestFit="1" customWidth="1"/>
  </cols>
  <sheetData>
    <row r="1" spans="1:49" x14ac:dyDescent="0.25">
      <c r="M1" t="s">
        <v>753</v>
      </c>
    </row>
    <row r="2" spans="1:49" ht="13.8" x14ac:dyDescent="0.3">
      <c r="A2" s="25" t="s">
        <v>637</v>
      </c>
      <c r="B2" s="24" t="s">
        <v>638</v>
      </c>
    </row>
    <row r="3" spans="1:49" ht="13.8" x14ac:dyDescent="0.3">
      <c r="A3" s="25" t="s">
        <v>639</v>
      </c>
      <c r="B3" s="24">
        <v>45</v>
      </c>
    </row>
    <row r="4" spans="1:49" ht="13.8" x14ac:dyDescent="0.3">
      <c r="A4" s="25" t="s">
        <v>151</v>
      </c>
      <c r="B4" s="24" t="s">
        <v>640</v>
      </c>
      <c r="D4" s="24" t="s">
        <v>0</v>
      </c>
      <c r="E4" s="24" t="s">
        <v>68</v>
      </c>
      <c r="F4" s="24" t="s">
        <v>69</v>
      </c>
      <c r="G4" s="24" t="s">
        <v>70</v>
      </c>
      <c r="H4" s="24" t="s">
        <v>71</v>
      </c>
      <c r="I4" s="24" t="s">
        <v>81</v>
      </c>
      <c r="J4" s="24" t="s">
        <v>72</v>
      </c>
      <c r="K4" s="24" t="s">
        <v>2</v>
      </c>
      <c r="L4" s="24" t="s">
        <v>6</v>
      </c>
      <c r="M4" s="24" t="s">
        <v>74</v>
      </c>
      <c r="N4" s="24" t="s">
        <v>75</v>
      </c>
      <c r="O4" s="24" t="s">
        <v>76</v>
      </c>
      <c r="P4" s="24" t="s">
        <v>73</v>
      </c>
      <c r="Q4" s="24" t="s">
        <v>77</v>
      </c>
      <c r="R4" s="24" t="s">
        <v>78</v>
      </c>
      <c r="S4" s="24" t="s">
        <v>82</v>
      </c>
      <c r="T4" s="24" t="s">
        <v>8</v>
      </c>
      <c r="U4" s="24" t="s">
        <v>79</v>
      </c>
      <c r="V4" s="24" t="s">
        <v>80</v>
      </c>
      <c r="W4" s="24" t="s">
        <v>83</v>
      </c>
      <c r="X4" s="24" t="s">
        <v>9</v>
      </c>
      <c r="Y4" s="24" t="s">
        <v>11</v>
      </c>
      <c r="Z4" s="24" t="s">
        <v>12</v>
      </c>
      <c r="AA4" s="24" t="s">
        <v>13</v>
      </c>
      <c r="AB4" s="24" t="s">
        <v>152</v>
      </c>
      <c r="AC4" s="24" t="s">
        <v>153</v>
      </c>
      <c r="AD4" s="24" t="s">
        <v>154</v>
      </c>
      <c r="AE4" s="24" t="s">
        <v>156</v>
      </c>
      <c r="AF4" s="24" t="s">
        <v>157</v>
      </c>
      <c r="AG4" s="24" t="s">
        <v>158</v>
      </c>
      <c r="AH4" s="24" t="s">
        <v>159</v>
      </c>
      <c r="AI4" s="24" t="s">
        <v>161</v>
      </c>
      <c r="AJ4" s="24" t="s">
        <v>162</v>
      </c>
      <c r="AK4" s="24" t="s">
        <v>163</v>
      </c>
      <c r="AL4" s="24" t="s">
        <v>164</v>
      </c>
      <c r="AM4" s="24" t="s">
        <v>166</v>
      </c>
      <c r="AN4" s="24" t="s">
        <v>167</v>
      </c>
      <c r="AO4" s="24" t="s">
        <v>168</v>
      </c>
      <c r="AP4" s="24" t="s">
        <v>169</v>
      </c>
      <c r="AQ4" s="24" t="s">
        <v>171</v>
      </c>
      <c r="AR4" s="24" t="s">
        <v>172</v>
      </c>
      <c r="AS4" s="24" t="s">
        <v>173</v>
      </c>
      <c r="AT4" s="24" t="s">
        <v>176</v>
      </c>
      <c r="AU4" s="24" t="s">
        <v>177</v>
      </c>
      <c r="AV4" s="24" t="s">
        <v>178</v>
      </c>
      <c r="AW4" s="24" t="s">
        <v>14</v>
      </c>
    </row>
    <row r="5" spans="1:49" ht="13.8" x14ac:dyDescent="0.3">
      <c r="A5" s="25" t="s">
        <v>641</v>
      </c>
      <c r="B5" s="24" t="s">
        <v>642</v>
      </c>
      <c r="D5" s="24">
        <v>1</v>
      </c>
      <c r="E5" s="24">
        <v>2</v>
      </c>
      <c r="F5" s="24">
        <v>3</v>
      </c>
      <c r="G5" s="24">
        <v>4</v>
      </c>
      <c r="H5" s="24">
        <v>5</v>
      </c>
      <c r="I5" s="24">
        <v>6</v>
      </c>
      <c r="J5" s="24">
        <v>7</v>
      </c>
      <c r="K5" s="24">
        <v>8</v>
      </c>
      <c r="L5" s="24">
        <v>9</v>
      </c>
      <c r="M5" s="24">
        <v>10</v>
      </c>
      <c r="N5" s="24">
        <v>11</v>
      </c>
      <c r="O5" s="24">
        <v>12</v>
      </c>
      <c r="P5" s="24">
        <v>13</v>
      </c>
      <c r="Q5" s="24">
        <v>14</v>
      </c>
      <c r="R5" s="24">
        <v>15</v>
      </c>
      <c r="S5" s="24">
        <v>16</v>
      </c>
      <c r="T5" s="24">
        <v>17</v>
      </c>
      <c r="U5" s="24">
        <v>18</v>
      </c>
      <c r="V5" s="24">
        <v>19</v>
      </c>
      <c r="W5" s="24">
        <v>20</v>
      </c>
      <c r="X5" s="24">
        <v>21</v>
      </c>
      <c r="Y5" s="24">
        <v>22</v>
      </c>
      <c r="Z5" s="24">
        <v>23</v>
      </c>
      <c r="AA5" s="24">
        <v>24</v>
      </c>
      <c r="AB5" s="24">
        <v>26</v>
      </c>
      <c r="AC5" s="24">
        <v>27</v>
      </c>
      <c r="AD5" s="24">
        <v>28</v>
      </c>
      <c r="AE5" s="24">
        <v>30</v>
      </c>
      <c r="AF5" s="24">
        <v>31</v>
      </c>
      <c r="AG5" s="24">
        <v>32</v>
      </c>
      <c r="AH5" s="24">
        <v>33</v>
      </c>
      <c r="AI5" s="24">
        <v>35</v>
      </c>
      <c r="AJ5" s="24">
        <v>36</v>
      </c>
      <c r="AK5" s="24">
        <v>37</v>
      </c>
      <c r="AL5" s="24">
        <v>38</v>
      </c>
      <c r="AM5" s="24">
        <v>40</v>
      </c>
      <c r="AN5" s="24">
        <v>41</v>
      </c>
      <c r="AO5" s="24">
        <v>42</v>
      </c>
      <c r="AP5" s="24">
        <v>43</v>
      </c>
      <c r="AQ5" s="24">
        <v>45</v>
      </c>
      <c r="AR5" s="24">
        <v>46</v>
      </c>
      <c r="AS5" s="24">
        <v>47</v>
      </c>
      <c r="AT5" s="24">
        <v>49</v>
      </c>
      <c r="AU5" s="24">
        <v>50</v>
      </c>
      <c r="AV5" s="24">
        <v>51</v>
      </c>
      <c r="AW5" s="24">
        <v>25</v>
      </c>
    </row>
    <row r="6" spans="1:49" ht="13.8" x14ac:dyDescent="0.3">
      <c r="A6" s="25" t="s">
        <v>643</v>
      </c>
      <c r="B6" s="24" t="s">
        <v>644</v>
      </c>
      <c r="D6" s="24" t="s">
        <v>645</v>
      </c>
      <c r="E6" s="24" t="s">
        <v>645</v>
      </c>
      <c r="F6" s="24" t="s">
        <v>645</v>
      </c>
      <c r="G6" s="24" t="s">
        <v>645</v>
      </c>
      <c r="H6" s="24" t="s">
        <v>645</v>
      </c>
      <c r="I6" s="24" t="s">
        <v>645</v>
      </c>
      <c r="J6" s="24" t="s">
        <v>645</v>
      </c>
      <c r="K6" s="24" t="s">
        <v>645</v>
      </c>
      <c r="L6" s="24" t="s">
        <v>645</v>
      </c>
      <c r="M6" s="24" t="s">
        <v>645</v>
      </c>
      <c r="N6" s="24" t="s">
        <v>645</v>
      </c>
      <c r="O6" s="24" t="s">
        <v>645</v>
      </c>
      <c r="P6" s="24" t="s">
        <v>645</v>
      </c>
      <c r="Q6" s="24" t="s">
        <v>645</v>
      </c>
      <c r="R6" s="24" t="s">
        <v>645</v>
      </c>
      <c r="S6" s="24" t="s">
        <v>645</v>
      </c>
      <c r="T6" s="24" t="s">
        <v>645</v>
      </c>
      <c r="U6" s="24" t="s">
        <v>645</v>
      </c>
      <c r="V6" s="24" t="s">
        <v>645</v>
      </c>
      <c r="W6" s="24" t="s">
        <v>645</v>
      </c>
      <c r="X6" s="24" t="s">
        <v>645</v>
      </c>
      <c r="Y6" s="24" t="s">
        <v>645</v>
      </c>
      <c r="Z6" s="24" t="s">
        <v>645</v>
      </c>
      <c r="AA6" s="24" t="s">
        <v>645</v>
      </c>
      <c r="AB6" s="24" t="s">
        <v>645</v>
      </c>
      <c r="AC6" s="24" t="s">
        <v>645</v>
      </c>
      <c r="AD6" s="24" t="s">
        <v>645</v>
      </c>
      <c r="AE6" s="24" t="s">
        <v>645</v>
      </c>
      <c r="AF6" s="24" t="s">
        <v>645</v>
      </c>
      <c r="AG6" s="24" t="s">
        <v>645</v>
      </c>
      <c r="AH6" s="24" t="s">
        <v>645</v>
      </c>
      <c r="AI6" s="24" t="s">
        <v>645</v>
      </c>
      <c r="AJ6" s="24" t="s">
        <v>645</v>
      </c>
      <c r="AK6" s="24" t="s">
        <v>645</v>
      </c>
      <c r="AL6" s="24" t="s">
        <v>645</v>
      </c>
      <c r="AM6" s="24" t="s">
        <v>645</v>
      </c>
      <c r="AN6" s="24" t="s">
        <v>645</v>
      </c>
      <c r="AO6" s="24" t="s">
        <v>645</v>
      </c>
      <c r="AP6" s="24" t="s">
        <v>645</v>
      </c>
      <c r="AQ6" s="24" t="s">
        <v>645</v>
      </c>
      <c r="AR6" s="24" t="s">
        <v>645</v>
      </c>
      <c r="AS6" s="24" t="s">
        <v>645</v>
      </c>
      <c r="AT6" s="24" t="s">
        <v>645</v>
      </c>
      <c r="AU6" s="24" t="s">
        <v>645</v>
      </c>
      <c r="AV6" s="24" t="s">
        <v>645</v>
      </c>
      <c r="AW6" s="24" t="s">
        <v>666</v>
      </c>
    </row>
    <row r="7" spans="1:49" ht="13.8" x14ac:dyDescent="0.3">
      <c r="A7" s="25" t="s">
        <v>17</v>
      </c>
      <c r="B7" s="24" t="s">
        <v>646</v>
      </c>
      <c r="D7" s="24" t="s">
        <v>647</v>
      </c>
      <c r="E7" s="24" t="s">
        <v>647</v>
      </c>
      <c r="F7" s="24" t="s">
        <v>647</v>
      </c>
      <c r="G7" s="24" t="s">
        <v>647</v>
      </c>
      <c r="H7" s="24" t="s">
        <v>647</v>
      </c>
      <c r="I7" s="24" t="s">
        <v>647</v>
      </c>
      <c r="J7" s="24" t="s">
        <v>647</v>
      </c>
      <c r="K7" s="24" t="s">
        <v>647</v>
      </c>
      <c r="L7" s="24" t="s">
        <v>647</v>
      </c>
      <c r="M7" s="24" t="s">
        <v>647</v>
      </c>
      <c r="N7" s="24" t="s">
        <v>647</v>
      </c>
      <c r="O7" s="24" t="s">
        <v>647</v>
      </c>
      <c r="P7" s="24" t="s">
        <v>647</v>
      </c>
      <c r="Q7" s="24" t="s">
        <v>647</v>
      </c>
      <c r="R7" s="24" t="s">
        <v>647</v>
      </c>
      <c r="S7" s="24" t="s">
        <v>647</v>
      </c>
      <c r="T7" s="24" t="s">
        <v>647</v>
      </c>
      <c r="U7" s="24" t="s">
        <v>647</v>
      </c>
      <c r="V7" s="24" t="s">
        <v>647</v>
      </c>
      <c r="W7" s="24" t="s">
        <v>647</v>
      </c>
      <c r="X7" s="24" t="s">
        <v>647</v>
      </c>
      <c r="Y7" s="24" t="s">
        <v>647</v>
      </c>
      <c r="Z7" s="24" t="s">
        <v>647</v>
      </c>
      <c r="AA7" s="24" t="s">
        <v>647</v>
      </c>
      <c r="AB7" s="24" t="s">
        <v>647</v>
      </c>
      <c r="AC7" s="24" t="s">
        <v>647</v>
      </c>
      <c r="AD7" s="24" t="s">
        <v>647</v>
      </c>
      <c r="AE7" s="24" t="s">
        <v>647</v>
      </c>
      <c r="AF7" s="24" t="s">
        <v>647</v>
      </c>
      <c r="AG7" s="24" t="s">
        <v>647</v>
      </c>
      <c r="AH7" s="24" t="s">
        <v>647</v>
      </c>
      <c r="AI7" s="24" t="s">
        <v>647</v>
      </c>
      <c r="AJ7" s="24" t="s">
        <v>647</v>
      </c>
      <c r="AK7" s="24" t="s">
        <v>647</v>
      </c>
      <c r="AL7" s="24" t="s">
        <v>647</v>
      </c>
      <c r="AM7" s="24" t="s">
        <v>647</v>
      </c>
      <c r="AN7" s="24" t="s">
        <v>647</v>
      </c>
      <c r="AO7" s="24" t="s">
        <v>647</v>
      </c>
      <c r="AP7" s="24" t="s">
        <v>647</v>
      </c>
      <c r="AQ7" s="24" t="s">
        <v>647</v>
      </c>
      <c r="AR7" s="24" t="s">
        <v>647</v>
      </c>
      <c r="AS7" s="24" t="s">
        <v>647</v>
      </c>
      <c r="AT7" s="24" t="s">
        <v>647</v>
      </c>
      <c r="AU7" s="24" t="s">
        <v>647</v>
      </c>
      <c r="AV7" s="24" t="s">
        <v>647</v>
      </c>
      <c r="AW7" s="24"/>
    </row>
    <row r="8" spans="1:49" ht="13.8" x14ac:dyDescent="0.3">
      <c r="A8" s="25" t="s">
        <v>648</v>
      </c>
      <c r="B8" s="24" t="s">
        <v>649</v>
      </c>
      <c r="D8" s="24">
        <v>0</v>
      </c>
      <c r="E8" s="24">
        <v>1</v>
      </c>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row>
    <row r="9" spans="1:49" ht="13.8" x14ac:dyDescent="0.3">
      <c r="A9" s="25" t="s">
        <v>650</v>
      </c>
      <c r="B9" s="24">
        <v>1</v>
      </c>
      <c r="D9">
        <v>13</v>
      </c>
    </row>
    <row r="10" spans="1:49" ht="13.8" x14ac:dyDescent="0.3">
      <c r="A10" s="25" t="s">
        <v>651</v>
      </c>
      <c r="B10" s="24">
        <v>0.5</v>
      </c>
      <c r="D10" s="24">
        <v>20.905000000000001</v>
      </c>
      <c r="E10" s="24">
        <v>0.23</v>
      </c>
      <c r="F10" s="24">
        <v>9.1666666666666674E-2</v>
      </c>
      <c r="G10" s="24">
        <v>0.18500000000000003</v>
      </c>
      <c r="H10" s="24">
        <v>0.28500000000000003</v>
      </c>
      <c r="I10" s="24">
        <v>5.8333333333333334E-2</v>
      </c>
      <c r="J10" s="24">
        <v>8.666666666666667E-2</v>
      </c>
      <c r="K10" s="24">
        <v>3212.7466666666669</v>
      </c>
      <c r="L10" s="24">
        <v>2.996666666666667</v>
      </c>
      <c r="M10" s="24">
        <v>0.05</v>
      </c>
      <c r="N10" s="24">
        <v>0.53333333333333333</v>
      </c>
      <c r="O10" s="24">
        <v>9.1666666666666674E-2</v>
      </c>
      <c r="P10" s="24">
        <v>4.1666666666666671E-2</v>
      </c>
      <c r="Q10" s="24">
        <v>0.05</v>
      </c>
      <c r="R10" s="24">
        <v>0.28166666666666668</v>
      </c>
      <c r="S10" s="24">
        <v>0.13</v>
      </c>
      <c r="T10" s="24">
        <v>35.375</v>
      </c>
      <c r="U10" s="24">
        <v>0.19333333333333336</v>
      </c>
      <c r="V10" s="24">
        <v>0.18000000000000002</v>
      </c>
      <c r="W10" s="24">
        <v>0.72833333333333339</v>
      </c>
      <c r="X10" s="24">
        <v>1.385</v>
      </c>
      <c r="Y10" s="24">
        <v>1.1500000000000001</v>
      </c>
      <c r="Z10" s="24">
        <v>0.40166666666666667</v>
      </c>
      <c r="AA10" s="24">
        <v>3.8333333333333337E-2</v>
      </c>
      <c r="AB10" s="24">
        <v>0.30333333333333334</v>
      </c>
      <c r="AC10" s="24">
        <v>0.24833333333333335</v>
      </c>
      <c r="AD10" s="24">
        <v>6.1666666666666668E-2</v>
      </c>
      <c r="AE10" s="24">
        <v>2.6666666666666668E-2</v>
      </c>
      <c r="AF10" s="24">
        <v>0.05</v>
      </c>
      <c r="AG10" s="24">
        <v>0.54833333333333334</v>
      </c>
      <c r="AH10" s="24">
        <v>7.8333333333333338E-2</v>
      </c>
      <c r="AI10" s="24">
        <v>0.61166666666666669</v>
      </c>
      <c r="AJ10" s="24">
        <v>9.6666666666666679E-2</v>
      </c>
      <c r="AK10" s="24">
        <v>6.8333333333333343E-2</v>
      </c>
      <c r="AL10" s="24">
        <v>0.04</v>
      </c>
      <c r="AM10" s="24">
        <v>6.1666666666666668E-2</v>
      </c>
      <c r="AN10" s="24">
        <v>0.17166666666666669</v>
      </c>
      <c r="AO10" s="24">
        <v>0.33833333333333337</v>
      </c>
      <c r="AP10" s="24">
        <v>0.17166666666666669</v>
      </c>
      <c r="AQ10" s="24">
        <v>0.13</v>
      </c>
      <c r="AR10" s="24">
        <v>0.3116666666666667</v>
      </c>
      <c r="AS10" s="24">
        <v>0.15000000000000002</v>
      </c>
      <c r="AT10" s="24">
        <v>0.02</v>
      </c>
      <c r="AU10" s="24">
        <v>0.19833333333333333</v>
      </c>
      <c r="AV10" s="24">
        <v>0.62833333333333341</v>
      </c>
    </row>
    <row r="11" spans="1:49" ht="13.8" x14ac:dyDescent="0.3">
      <c r="A11" s="25" t="s">
        <v>652</v>
      </c>
      <c r="B11" s="24">
        <v>1</v>
      </c>
      <c r="D11" s="24">
        <v>11.899382357955998</v>
      </c>
      <c r="E11" s="24">
        <v>0.42118364098381827</v>
      </c>
      <c r="F11" s="24">
        <v>0.28879559157255369</v>
      </c>
      <c r="G11" s="24">
        <v>0.38862155265156118</v>
      </c>
      <c r="H11" s="24">
        <v>0.45179109330158984</v>
      </c>
      <c r="I11" s="24">
        <v>0.23456824022252351</v>
      </c>
      <c r="J11" s="24">
        <v>0.28158071973254489</v>
      </c>
      <c r="K11" s="24">
        <v>2738.2396656611136</v>
      </c>
      <c r="L11" s="24">
        <v>1.1054526666570852</v>
      </c>
      <c r="M11" s="24">
        <v>0.21812679530810955</v>
      </c>
      <c r="N11" s="24">
        <v>0.49930391167696198</v>
      </c>
      <c r="O11" s="24">
        <v>0.28879559157255347</v>
      </c>
      <c r="P11" s="24">
        <v>0.19999304384118813</v>
      </c>
      <c r="Q11" s="24">
        <v>0.21812679530811013</v>
      </c>
      <c r="R11" s="24">
        <v>0.4501870012736377</v>
      </c>
      <c r="S11" s="24">
        <v>0.33658403808135673</v>
      </c>
      <c r="T11" s="24">
        <v>11.564050058533144</v>
      </c>
      <c r="U11" s="24">
        <v>0.39524159120034369</v>
      </c>
      <c r="V11" s="24">
        <v>0.38450801120974598</v>
      </c>
      <c r="W11" s="24">
        <v>0.44519008589198761</v>
      </c>
      <c r="X11" s="24">
        <v>0.56032574594540885</v>
      </c>
      <c r="Y11" s="24">
        <v>0.35736935341174569</v>
      </c>
      <c r="Z11" s="24">
        <v>0.49064424502979515</v>
      </c>
      <c r="AA11" s="24">
        <v>0.19215991068468552</v>
      </c>
      <c r="AB11" s="24">
        <v>0.46008152963586263</v>
      </c>
      <c r="AC11" s="24">
        <v>0.43240665437386838</v>
      </c>
      <c r="AD11" s="24">
        <v>0.24074984881628569</v>
      </c>
      <c r="AE11" s="24">
        <v>0.16124170376780711</v>
      </c>
      <c r="AF11" s="24">
        <v>0.21812679530810983</v>
      </c>
      <c r="AG11" s="24">
        <v>0.49807364027901496</v>
      </c>
      <c r="AH11" s="24">
        <v>0.26891960101221679</v>
      </c>
      <c r="AI11" s="24">
        <v>0.48777771650971358</v>
      </c>
      <c r="AJ11" s="24">
        <v>0.29574989809961394</v>
      </c>
      <c r="AK11" s="24">
        <v>0.25252756782129554</v>
      </c>
      <c r="AL11" s="24">
        <v>0.19612268314690448</v>
      </c>
      <c r="AM11" s="24">
        <v>0.24074984881628569</v>
      </c>
      <c r="AN11" s="24">
        <v>0.37740510495261731</v>
      </c>
      <c r="AO11" s="24">
        <v>0.47353734620686555</v>
      </c>
      <c r="AP11" s="24">
        <v>0.37740510495261731</v>
      </c>
      <c r="AQ11" s="24">
        <v>0.33658403808135678</v>
      </c>
      <c r="AR11" s="24">
        <v>0.46356089502302389</v>
      </c>
      <c r="AS11" s="24">
        <v>0.35736935341174525</v>
      </c>
      <c r="AT11" s="24">
        <v>0.14011681270284301</v>
      </c>
      <c r="AU11" s="24">
        <v>0.39907726067626459</v>
      </c>
      <c r="AV11" s="24">
        <v>0.48365320522777661</v>
      </c>
    </row>
    <row r="12" spans="1:49" ht="13.8" x14ac:dyDescent="0.3">
      <c r="A12" s="25" t="s">
        <v>653</v>
      </c>
      <c r="B12" s="24" t="s">
        <v>654</v>
      </c>
    </row>
    <row r="13" spans="1:49" ht="13.8" x14ac:dyDescent="0.3">
      <c r="A13" s="25" t="s">
        <v>655</v>
      </c>
      <c r="B13" s="24" t="s">
        <v>656</v>
      </c>
    </row>
    <row r="14" spans="1:49" ht="13.8" x14ac:dyDescent="0.3">
      <c r="A14" s="25" t="s">
        <v>657</v>
      </c>
      <c r="B14" s="24" t="s">
        <v>656</v>
      </c>
    </row>
    <row r="15" spans="1:49" ht="13.8" x14ac:dyDescent="0.3">
      <c r="A15" s="25" t="s">
        <v>658</v>
      </c>
      <c r="B15" s="24" t="s">
        <v>659</v>
      </c>
      <c r="D15" s="24">
        <v>-1.0732853813372389</v>
      </c>
      <c r="E15" s="24">
        <v>-0.40489127029025429</v>
      </c>
      <c r="F15" s="24">
        <v>-3.1808929742041622E-2</v>
      </c>
      <c r="G15" s="24">
        <v>0.49061518641476942</v>
      </c>
      <c r="H15" s="24">
        <v>0.79185235800865561</v>
      </c>
      <c r="I15" s="24">
        <v>-0.22730096324837487</v>
      </c>
      <c r="J15" s="24">
        <v>0.30173623094128271</v>
      </c>
      <c r="K15" s="24">
        <v>-0.60102615930889258</v>
      </c>
      <c r="L15" s="24">
        <v>-0.27748298406105965</v>
      </c>
      <c r="M15" s="24">
        <v>-0.23436634322846553</v>
      </c>
      <c r="N15" s="24">
        <v>0.68036562038217518</v>
      </c>
      <c r="O15" s="24">
        <v>-1.372257459643181E-2</v>
      </c>
      <c r="P15" s="24">
        <v>-7.639428687841289E-2</v>
      </c>
      <c r="Q15" s="24">
        <v>-0.29981117578242183</v>
      </c>
      <c r="R15" s="24">
        <v>-0.3004896433603309</v>
      </c>
      <c r="S15" s="24">
        <v>-0.15809849353891162</v>
      </c>
      <c r="T15" s="24">
        <v>0.26538630984307798</v>
      </c>
      <c r="U15" s="24">
        <v>9.2413069189918373E-2</v>
      </c>
      <c r="V15" s="24">
        <v>-0.95340466171251781</v>
      </c>
      <c r="W15" s="24">
        <v>0.55851896969477899</v>
      </c>
      <c r="X15" s="24">
        <v>3.523571710870959E-3</v>
      </c>
      <c r="Y15" s="24">
        <v>0.20855515492520155</v>
      </c>
      <c r="Z15" s="24">
        <v>-0.69778599006093056</v>
      </c>
      <c r="AA15" s="24">
        <v>0.28187768187590667</v>
      </c>
      <c r="AB15" s="24">
        <v>0.17294847439567129</v>
      </c>
      <c r="AC15" s="24">
        <v>-1.3655688190364605</v>
      </c>
      <c r="AD15" s="24">
        <v>0.43631702566502206</v>
      </c>
      <c r="AE15" s="24">
        <v>-0.40128760246490042</v>
      </c>
      <c r="AF15" s="24">
        <v>-0.75847641043174374</v>
      </c>
      <c r="AG15" s="24">
        <v>0.88469437572600196</v>
      </c>
      <c r="AH15" s="24">
        <v>-5.6591116192740654E-2</v>
      </c>
      <c r="AI15" s="24">
        <v>-0.63068215168939434</v>
      </c>
      <c r="AJ15" s="24">
        <v>-0.51182974168757367</v>
      </c>
      <c r="AK15" s="24">
        <v>0.30830724513689722</v>
      </c>
      <c r="AL15" s="24">
        <v>0.34386007931013468</v>
      </c>
      <c r="AM15" s="24">
        <v>0.21184676002693506</v>
      </c>
      <c r="AN15" s="24">
        <v>0.1391439556827137</v>
      </c>
      <c r="AO15" s="24">
        <v>4.599776217438354E-2</v>
      </c>
      <c r="AP15" s="24">
        <v>-0.36930506101758004</v>
      </c>
      <c r="AQ15" s="24">
        <v>0.19289558887187871</v>
      </c>
      <c r="AR15" s="24">
        <v>0.21186146987042304</v>
      </c>
      <c r="AS15" s="24">
        <v>-0.19240026899072021</v>
      </c>
      <c r="AT15" s="24">
        <v>-0.13246868625967337</v>
      </c>
      <c r="AU15" s="24">
        <v>0.29254181144337355</v>
      </c>
      <c r="AV15" s="24">
        <v>0.26044842310389676</v>
      </c>
      <c r="AW15" s="24">
        <v>-0.43846811762819088</v>
      </c>
    </row>
    <row r="16" spans="1:49" ht="13.8" x14ac:dyDescent="0.3">
      <c r="A16" s="25"/>
      <c r="B16" s="24" t="s">
        <v>660</v>
      </c>
      <c r="D16" s="24">
        <v>-1.1653809305243068E-2</v>
      </c>
      <c r="E16" s="24">
        <v>-0.23311965662248543</v>
      </c>
      <c r="F16" s="24">
        <v>2.3837642970637212E-2</v>
      </c>
      <c r="G16" s="24">
        <v>0.41502608970624111</v>
      </c>
      <c r="H16" s="24">
        <v>-0.28276091572872214</v>
      </c>
      <c r="I16" s="24">
        <v>-0.32067484886781289</v>
      </c>
      <c r="J16" s="24">
        <v>-0.22937765398022439</v>
      </c>
      <c r="K16" s="24">
        <v>-0.31404523246361238</v>
      </c>
      <c r="L16" s="24">
        <v>0.52831239945514974</v>
      </c>
      <c r="M16" s="24">
        <v>-0.48132677070492008</v>
      </c>
      <c r="N16" s="24">
        <v>-0.29796995814595245</v>
      </c>
      <c r="O16" s="24">
        <v>-0.45135524173338687</v>
      </c>
      <c r="P16" s="24">
        <v>0.45435122030132813</v>
      </c>
      <c r="Q16" s="24">
        <v>0.24913830072491486</v>
      </c>
      <c r="R16" s="24">
        <v>1.048152731235465</v>
      </c>
      <c r="S16" s="24">
        <v>-0.21374109025551305</v>
      </c>
      <c r="T16" s="24">
        <v>-6.8216881336976676E-2</v>
      </c>
      <c r="U16" s="24">
        <v>3.4644713556872535E-2</v>
      </c>
      <c r="V16" s="24">
        <v>-1.1848522435771813</v>
      </c>
      <c r="W16" s="24">
        <v>0.43827509208742016</v>
      </c>
      <c r="X16" s="24">
        <v>-0.41445815603971337</v>
      </c>
      <c r="Y16" s="24">
        <v>0.64796011981075718</v>
      </c>
      <c r="Z16" s="24">
        <v>-1.2525765563299822</v>
      </c>
      <c r="AA16" s="24">
        <v>-6.5459602087812624E-2</v>
      </c>
      <c r="AB16" s="24">
        <v>-0.8241478406481888</v>
      </c>
      <c r="AC16" s="24">
        <v>-1.3672067988122478</v>
      </c>
      <c r="AD16" s="24">
        <v>0.61024736065913687</v>
      </c>
      <c r="AE16" s="24">
        <v>-0.41559835345921792</v>
      </c>
      <c r="AF16" s="24">
        <v>-0.51857474948631377</v>
      </c>
      <c r="AG16" s="24">
        <v>1.0043357468545526</v>
      </c>
      <c r="AH16" s="24">
        <v>-1.4177168832893934</v>
      </c>
      <c r="AI16" s="24">
        <v>0.86778860822488724</v>
      </c>
      <c r="AJ16" s="24">
        <v>-0.7175945016984645</v>
      </c>
      <c r="AK16" s="24">
        <v>-0.3735435554082015</v>
      </c>
      <c r="AL16" s="24">
        <v>0.26871611172356114</v>
      </c>
      <c r="AM16" s="24">
        <v>0.6928851842742797</v>
      </c>
      <c r="AN16" s="24">
        <v>0.49032697450619767</v>
      </c>
      <c r="AO16" s="24">
        <v>-0.84213514767452902</v>
      </c>
      <c r="AP16" s="24">
        <v>0.54248374895110385</v>
      </c>
      <c r="AQ16" s="24">
        <v>-0.10782555282424834</v>
      </c>
      <c r="AR16" s="24">
        <v>1.2067371429671856E-2</v>
      </c>
      <c r="AS16" s="24">
        <v>-1.1429273228849812</v>
      </c>
      <c r="AT16" s="24">
        <v>0.32284515988960288</v>
      </c>
      <c r="AU16" s="24">
        <v>0.90102360163625828</v>
      </c>
      <c r="AV16" s="24">
        <v>-1.7323746641482893</v>
      </c>
      <c r="AW16" s="24">
        <v>0.32337516580349956</v>
      </c>
    </row>
    <row r="17" spans="1:49" ht="13.8" x14ac:dyDescent="0.3">
      <c r="A17" s="25" t="s">
        <v>661</v>
      </c>
      <c r="B17" s="24" t="b">
        <v>1</v>
      </c>
      <c r="D17" s="24">
        <v>1.2176744842263219</v>
      </c>
      <c r="E17" s="24">
        <v>0.96906997660874106</v>
      </c>
      <c r="F17" s="24">
        <v>0.88150308894429041</v>
      </c>
      <c r="G17" s="24">
        <v>-0.46342565451452156</v>
      </c>
      <c r="H17" s="24">
        <v>-6.9324289747574416E-2</v>
      </c>
      <c r="I17" s="24">
        <v>1.0062840023880015</v>
      </c>
      <c r="J17" s="24">
        <v>2.5670242159707896E-2</v>
      </c>
      <c r="K17" s="24">
        <v>-1.1820836113444417</v>
      </c>
      <c r="L17" s="24">
        <v>-1.3527489593339828</v>
      </c>
      <c r="M17" s="24">
        <v>1.0970531867842417</v>
      </c>
      <c r="N17" s="24">
        <v>1.5793772787434086</v>
      </c>
      <c r="O17" s="24">
        <v>0.26323929866298656</v>
      </c>
      <c r="P17" s="24">
        <v>-0.20610859659992264</v>
      </c>
      <c r="Q17" s="24">
        <v>2.2548357316482286</v>
      </c>
      <c r="R17" s="24">
        <v>5.1418152748153888E-2</v>
      </c>
      <c r="S17" s="24">
        <v>-1.6859788096590567</v>
      </c>
      <c r="T17" s="24">
        <v>0.86332836549103409</v>
      </c>
      <c r="U17" s="24">
        <v>0.79725904108661094</v>
      </c>
      <c r="V17" s="24">
        <v>1.2191372920019024</v>
      </c>
      <c r="W17" s="24">
        <v>-0.5160423643462011</v>
      </c>
      <c r="X17" s="24">
        <v>-0.94623068294276036</v>
      </c>
      <c r="Y17" s="24">
        <v>0.86274618514744672</v>
      </c>
      <c r="Z17" s="24">
        <v>-0.20058707957563718</v>
      </c>
      <c r="AA17" s="24">
        <v>-6.2421414758412376E-2</v>
      </c>
      <c r="AB17" s="24">
        <v>-1.3371865293999761</v>
      </c>
      <c r="AC17" s="24">
        <v>-1.2340616910133853</v>
      </c>
      <c r="AD17" s="24">
        <v>-0.81494411950205581</v>
      </c>
      <c r="AE17" s="24">
        <v>-0.16224351915703042</v>
      </c>
      <c r="AF17" s="24">
        <v>-0.39581076255818054</v>
      </c>
      <c r="AG17" s="24">
        <v>-0.7316127036553064</v>
      </c>
      <c r="AH17" s="24">
        <v>-3.0625232929896461E-2</v>
      </c>
      <c r="AI17" s="24">
        <v>-1.2179207690869907</v>
      </c>
      <c r="AJ17" s="24">
        <v>1.1807657554302993</v>
      </c>
      <c r="AK17" s="24">
        <v>0.40184177460232429</v>
      </c>
      <c r="AL17" s="24">
        <v>-0.35045732188685452</v>
      </c>
      <c r="AM17" s="24">
        <v>-0.78011121163963704</v>
      </c>
      <c r="AN17" s="24">
        <v>-0.62520049632763564</v>
      </c>
      <c r="AO17" s="24">
        <v>1.8525423264057537</v>
      </c>
      <c r="AP17" s="24">
        <v>0.78924650733179946</v>
      </c>
      <c r="AQ17" s="24">
        <v>-0.62509567501703045</v>
      </c>
      <c r="AR17" s="24">
        <v>0.8847337914005442</v>
      </c>
      <c r="AS17" s="24">
        <v>-0.10433719878747108</v>
      </c>
      <c r="AT17" s="24">
        <v>0.99475767474159715</v>
      </c>
      <c r="AU17" s="24">
        <v>1.0072268533214896</v>
      </c>
      <c r="AV17" s="24">
        <v>-8.9599968596385457E-2</v>
      </c>
      <c r="AW17" s="24">
        <v>-0.25261965570352513</v>
      </c>
    </row>
    <row r="18" spans="1:49" ht="13.8" x14ac:dyDescent="0.3">
      <c r="A18" s="25" t="s">
        <v>662</v>
      </c>
      <c r="B18" s="24" t="s">
        <v>663</v>
      </c>
      <c r="D18" s="24">
        <v>0.652879714546444</v>
      </c>
      <c r="E18" s="24">
        <v>-0.25244126955022117</v>
      </c>
      <c r="F18" s="24">
        <v>0.15033667273506637</v>
      </c>
      <c r="G18" s="24">
        <v>-4.9334940602864504E-3</v>
      </c>
      <c r="H18" s="24">
        <v>-0.47739556495441071</v>
      </c>
      <c r="I18" s="24">
        <v>0.3378644345993248</v>
      </c>
      <c r="J18" s="24">
        <v>3.9487337448199863E-2</v>
      </c>
      <c r="K18" s="24">
        <v>-0.10646156583136861</v>
      </c>
      <c r="L18" s="24">
        <v>0.28157645391623104</v>
      </c>
      <c r="M18" s="24">
        <v>-0.18462481077905324</v>
      </c>
      <c r="N18" s="24">
        <v>-1.0448540621659597</v>
      </c>
      <c r="O18" s="24">
        <v>-0.13832346334856715</v>
      </c>
      <c r="P18" s="24">
        <v>0.16153558278147401</v>
      </c>
      <c r="Q18" s="24">
        <v>0.20860022397199754</v>
      </c>
      <c r="R18" s="24">
        <v>-0.78464864448507254</v>
      </c>
      <c r="S18" s="24">
        <v>-0.1873655423609363</v>
      </c>
      <c r="T18" s="24">
        <v>0.31548806015063985</v>
      </c>
      <c r="U18" s="24">
        <v>4.5132097559084143E-2</v>
      </c>
      <c r="V18" s="24">
        <v>0.33355930109154003</v>
      </c>
      <c r="W18" s="24">
        <v>-0.23843370486752036</v>
      </c>
      <c r="X18" s="24">
        <v>0.37050046779107781</v>
      </c>
      <c r="Y18" s="24">
        <v>-0.43669558233818084</v>
      </c>
      <c r="Z18" s="24">
        <v>0.9793288909960608</v>
      </c>
      <c r="AA18" s="24">
        <v>-0.13578709850684287</v>
      </c>
      <c r="AB18" s="24">
        <v>-0.76985711696810277</v>
      </c>
      <c r="AC18" s="24">
        <v>6.1082403039368328E-2</v>
      </c>
      <c r="AD18" s="24">
        <v>3.6381346634340346E-2</v>
      </c>
      <c r="AE18" s="24">
        <v>0.38300928908567244</v>
      </c>
      <c r="AF18" s="24">
        <v>-0.83974374783568417</v>
      </c>
      <c r="AG18" s="24">
        <v>0.31419320029049652</v>
      </c>
      <c r="AH18" s="24">
        <v>0.30000997931535839</v>
      </c>
      <c r="AI18" s="24">
        <v>0.1930355140462704</v>
      </c>
      <c r="AJ18" s="24">
        <v>-0.7546940671379907</v>
      </c>
      <c r="AK18" s="24">
        <v>-0.33168481009823458</v>
      </c>
      <c r="AL18" s="24">
        <v>-7.8786010978913648E-2</v>
      </c>
      <c r="AM18" s="24">
        <v>-4.994789578416263E-2</v>
      </c>
      <c r="AN18" s="24">
        <v>-0.46223414050047262</v>
      </c>
      <c r="AO18" s="24">
        <v>-0.42768449914105733</v>
      </c>
      <c r="AP18" s="24">
        <v>0.14509410773150697</v>
      </c>
      <c r="AQ18" s="24">
        <v>-0.65411558196597874</v>
      </c>
      <c r="AR18" s="24">
        <v>0.47549594666561473</v>
      </c>
      <c r="AS18" s="24">
        <v>0.52966276377840715</v>
      </c>
      <c r="AT18" s="24">
        <v>-1.944662580734657E-2</v>
      </c>
      <c r="AU18" s="24">
        <v>-0.77608043624917611</v>
      </c>
      <c r="AV18" s="24">
        <v>-0.89509708822575162</v>
      </c>
      <c r="AW18" s="24">
        <v>-0.70625255387842256</v>
      </c>
    </row>
    <row r="19" spans="1:49" ht="13.8" x14ac:dyDescent="0.3">
      <c r="A19" s="25" t="s">
        <v>664</v>
      </c>
      <c r="B19" s="24" t="s">
        <v>665</v>
      </c>
      <c r="D19" s="24">
        <v>-0.70575045823240501</v>
      </c>
      <c r="E19" s="24">
        <v>1.087011857034432</v>
      </c>
      <c r="F19" s="24">
        <v>0.12876327315730265</v>
      </c>
      <c r="G19" s="24">
        <v>-8.9640501098393874E-2</v>
      </c>
      <c r="H19" s="24">
        <v>-0.13115858323721566</v>
      </c>
      <c r="I19" s="24">
        <v>0.30171660792968952</v>
      </c>
      <c r="J19" s="24">
        <v>-1.5469945187914258</v>
      </c>
      <c r="K19" s="24">
        <v>0.16409333847161151</v>
      </c>
      <c r="L19" s="24">
        <v>-1.6381882243991901</v>
      </c>
      <c r="M19" s="24">
        <v>-1.2719251768075421</v>
      </c>
      <c r="N19" s="24">
        <v>1.2944630925449514</v>
      </c>
      <c r="O19" s="24">
        <v>-0.31701431601707475</v>
      </c>
      <c r="P19" s="24">
        <v>-0.82815425255775776</v>
      </c>
      <c r="Q19" s="24">
        <v>-1.3329269139329634</v>
      </c>
      <c r="R19" s="24">
        <v>1.7482087592573488</v>
      </c>
      <c r="S19" s="24">
        <v>0.13138117738392621</v>
      </c>
      <c r="T19" s="24">
        <v>1.5295741428819858</v>
      </c>
      <c r="U19" s="24">
        <v>-2.7755887686969056</v>
      </c>
      <c r="V19" s="24">
        <v>-1.0909323151754486</v>
      </c>
      <c r="W19" s="24">
        <v>-1.0515490858580046</v>
      </c>
      <c r="X19" s="24">
        <v>-0.94147907471030412</v>
      </c>
      <c r="Y19" s="24">
        <v>0.83812108415737085</v>
      </c>
      <c r="Z19" s="24">
        <v>1.2075761336503361</v>
      </c>
      <c r="AA19" s="24">
        <v>0.14177133324169836</v>
      </c>
      <c r="AB19" s="24">
        <v>-2.4228337574150518</v>
      </c>
      <c r="AC19" s="24">
        <v>-0.73820901229092117</v>
      </c>
      <c r="AD19" s="24">
        <v>-0.63196965489586088</v>
      </c>
      <c r="AE19" s="24">
        <v>-0.85417908983259394</v>
      </c>
      <c r="AF19" s="24">
        <v>-1.9327129893011246</v>
      </c>
      <c r="AG19" s="24">
        <v>0.15968172119945492</v>
      </c>
      <c r="AH19" s="24">
        <v>0.99026064059971519</v>
      </c>
      <c r="AI19" s="24">
        <v>-2.0784243509093221</v>
      </c>
      <c r="AJ19" s="24">
        <v>0.45386636179673789</v>
      </c>
      <c r="AK19" s="24">
        <v>0.30638393937053138</v>
      </c>
      <c r="AL19" s="24">
        <v>0.76478622257318063</v>
      </c>
      <c r="AM19" s="24">
        <v>0.5692381358829055</v>
      </c>
      <c r="AN19" s="24">
        <v>-0.45597513286493924</v>
      </c>
      <c r="AO19" s="24">
        <v>-3.9492638047929816E-2</v>
      </c>
      <c r="AP19" s="24">
        <v>-0.49962728581806615</v>
      </c>
      <c r="AQ19" s="24">
        <v>1.2480470346828463</v>
      </c>
      <c r="AR19" s="24">
        <v>0.49426660580864307</v>
      </c>
      <c r="AS19" s="24">
        <v>-0.16456772457651866</v>
      </c>
      <c r="AT19" s="24">
        <v>-0.12207588201908148</v>
      </c>
      <c r="AU19" s="24">
        <v>-1.0634596264490244</v>
      </c>
      <c r="AV19" s="24">
        <v>0.19339020893837222</v>
      </c>
      <c r="AW19" s="24">
        <v>-1.2377835126965626</v>
      </c>
    </row>
    <row r="20" spans="1:49" ht="13.8" x14ac:dyDescent="0.3">
      <c r="D20" s="24">
        <v>2.359538078378141</v>
      </c>
      <c r="E20" s="24">
        <v>1.5342626611538348</v>
      </c>
      <c r="F20" s="24">
        <v>-0.70396637001221873</v>
      </c>
      <c r="G20" s="24">
        <v>0.10931690674292587</v>
      </c>
      <c r="H20" s="24">
        <v>-2.3143138489059494</v>
      </c>
      <c r="I20" s="24">
        <v>1.1242084204365503</v>
      </c>
      <c r="J20" s="24">
        <v>0.19556288805498306</v>
      </c>
      <c r="K20" s="24">
        <v>1.4775532118150509</v>
      </c>
      <c r="L20" s="24">
        <v>-0.96139007396914211</v>
      </c>
      <c r="M20" s="24">
        <v>0.74292390696948407</v>
      </c>
      <c r="N20" s="24">
        <v>0.61311453568923424</v>
      </c>
      <c r="O20" s="24">
        <v>-0.79140083109871373</v>
      </c>
      <c r="P20" s="24">
        <v>0.20443942984547409</v>
      </c>
      <c r="Q20" s="24">
        <v>6.3038145193855227E-2</v>
      </c>
      <c r="R20" s="24">
        <v>-0.67611791759598805</v>
      </c>
      <c r="S20" s="24">
        <v>-1.9095500988074256E-2</v>
      </c>
      <c r="T20" s="24">
        <v>-0.99994348494870366</v>
      </c>
      <c r="U20" s="24">
        <v>0.12448257980103632</v>
      </c>
      <c r="V20" s="24">
        <v>1.0749537619706295</v>
      </c>
      <c r="W20" s="24">
        <v>-0.62027554807227492</v>
      </c>
      <c r="X20" s="24">
        <v>-0.45876355500362631</v>
      </c>
      <c r="Y20" s="24">
        <v>0.9237096681341681</v>
      </c>
      <c r="Z20" s="24">
        <v>-0.81591057833853098</v>
      </c>
      <c r="AA20" s="24">
        <v>-0.53551220199892513</v>
      </c>
      <c r="AB20" s="24">
        <v>0.60237102333451353</v>
      </c>
      <c r="AC20" s="24">
        <v>1.5079213529649014</v>
      </c>
      <c r="AD20" s="24">
        <v>-0.76709682771574206</v>
      </c>
      <c r="AE20" s="24">
        <v>-0.6199021265318625</v>
      </c>
      <c r="AF20" s="24">
        <v>-1.0718196463034749E-2</v>
      </c>
      <c r="AG20" s="24">
        <v>-0.36043332496897384</v>
      </c>
      <c r="AH20" s="24">
        <v>0.53210180601434653</v>
      </c>
      <c r="AI20" s="24">
        <v>-1.5680832247236389</v>
      </c>
      <c r="AJ20" s="24">
        <v>0.20408072792456344</v>
      </c>
      <c r="AK20" s="24">
        <v>-0.41565230298532668</v>
      </c>
      <c r="AL20" s="24">
        <v>0.41055123988157155</v>
      </c>
      <c r="AM20" s="24">
        <v>1.9042414060625683</v>
      </c>
      <c r="AN20" s="24">
        <v>-1.0149436756764016</v>
      </c>
      <c r="AO20" s="24">
        <v>0.29105294197356929</v>
      </c>
      <c r="AP20" s="24">
        <v>0.69980504758742679</v>
      </c>
      <c r="AQ20" s="24">
        <v>-0.62497129397763707</v>
      </c>
      <c r="AR20" s="24">
        <v>0.76294040898118387</v>
      </c>
      <c r="AS20" s="24">
        <v>-7.3118411607234313E-2</v>
      </c>
      <c r="AT20" s="24">
        <v>-1.7425000085440319</v>
      </c>
      <c r="AU20" s="24">
        <v>0.30873748934991402</v>
      </c>
      <c r="AV20" s="24">
        <v>-0.56394160569098606</v>
      </c>
      <c r="AW20" s="24">
        <v>-0.32528633536713397</v>
      </c>
    </row>
    <row r="21" spans="1:49" ht="13.8" x14ac:dyDescent="0.3">
      <c r="D21" s="24">
        <v>0.51222023004031092</v>
      </c>
      <c r="E21" s="24">
        <v>0.84603030679207136</v>
      </c>
      <c r="F21" s="24">
        <v>0.66417519278067816</v>
      </c>
      <c r="G21" s="24">
        <v>-1.9560116305650666</v>
      </c>
      <c r="H21" s="24">
        <v>-0.82795493112259422</v>
      </c>
      <c r="I21" s="24">
        <v>1.2348495742221981</v>
      </c>
      <c r="J21" s="24">
        <v>0.16418332053366425</v>
      </c>
      <c r="K21" s="24">
        <v>-5.2620504259450987E-2</v>
      </c>
      <c r="L21" s="24">
        <v>-0.35886346368897443</v>
      </c>
      <c r="M21" s="24">
        <v>-0.40375860608710484</v>
      </c>
      <c r="N21" s="24">
        <v>-0.11510704456888611</v>
      </c>
      <c r="O21" s="24">
        <v>-2.4266052261577746</v>
      </c>
      <c r="P21" s="24">
        <v>-0.50466940079109579</v>
      </c>
      <c r="Q21" s="24">
        <v>-0.74729685660023881</v>
      </c>
      <c r="R21" s="24">
        <v>0.95150543301228108</v>
      </c>
      <c r="S21" s="24">
        <v>-0.47626143120608189</v>
      </c>
      <c r="T21" s="24">
        <v>-0.14565683276394742</v>
      </c>
      <c r="U21" s="24">
        <v>-0.12311175621187863</v>
      </c>
      <c r="V21" s="24">
        <v>1.104299870791984</v>
      </c>
      <c r="W21" s="24">
        <v>-1.9473769994727903</v>
      </c>
      <c r="X21" s="24">
        <v>-0.21306961687485737</v>
      </c>
      <c r="Y21" s="24">
        <v>-0.77710743629079815</v>
      </c>
      <c r="Z21" s="24">
        <v>0.70697464222846196</v>
      </c>
      <c r="AA21" s="24">
        <v>0.19831464277947994</v>
      </c>
      <c r="AB21" s="24">
        <v>-0.18634952097785976</v>
      </c>
      <c r="AC21" s="24">
        <v>-0.59734772534424185</v>
      </c>
      <c r="AD21" s="24">
        <v>-9.7022619010727257E-2</v>
      </c>
      <c r="AE21" s="24">
        <v>0.89609103664025569</v>
      </c>
      <c r="AF21" s="24">
        <v>-0.30585992021782682</v>
      </c>
      <c r="AG21" s="24">
        <v>1.2395829840739623</v>
      </c>
      <c r="AH21" s="24">
        <v>0.4421470446230798</v>
      </c>
      <c r="AI21" s="24">
        <v>1.0119770863078548</v>
      </c>
      <c r="AJ21" s="24">
        <v>-0.60916373700341098</v>
      </c>
      <c r="AK21" s="24">
        <v>-0.111353884016603</v>
      </c>
      <c r="AL21" s="24">
        <v>-0.70605588547752018</v>
      </c>
      <c r="AM21" s="24">
        <v>9.1600635140261219E-2</v>
      </c>
      <c r="AN21" s="24">
        <v>0.46204821879953378</v>
      </c>
      <c r="AO21" s="24">
        <v>0.96596628625013969</v>
      </c>
      <c r="AP21" s="24">
        <v>1.5296087271858345</v>
      </c>
      <c r="AQ21" s="24">
        <v>-0.76154756694354742</v>
      </c>
      <c r="AR21" s="24">
        <v>0.97981633717762873</v>
      </c>
      <c r="AS21" s="24">
        <v>-1.2624315889397457</v>
      </c>
      <c r="AT21" s="24">
        <v>0.28280887868022064</v>
      </c>
      <c r="AU21" s="24">
        <v>1.3599436846933615</v>
      </c>
      <c r="AV21" s="24">
        <v>-1.2088289803391719</v>
      </c>
      <c r="AW21" s="24">
        <v>0.11186896349533397</v>
      </c>
    </row>
    <row r="22" spans="1:49" ht="13.8" x14ac:dyDescent="0.3">
      <c r="D22" s="24">
        <v>-0.10065459875160532</v>
      </c>
      <c r="E22" s="24">
        <v>2.4853723442478017E-2</v>
      </c>
      <c r="F22" s="24">
        <v>0.81566499689743843</v>
      </c>
      <c r="G22" s="24">
        <v>0.63391319763082965</v>
      </c>
      <c r="H22" s="24">
        <v>-1.1376884680438462</v>
      </c>
      <c r="I22" s="24">
        <v>0.44925627972040244</v>
      </c>
      <c r="J22" s="24">
        <v>0.1060894732614157</v>
      </c>
      <c r="K22" s="24">
        <v>-0.5305788893137835</v>
      </c>
      <c r="L22" s="24">
        <v>-1.3411137112500067</v>
      </c>
      <c r="M22" s="24">
        <v>-0.26422594612953715</v>
      </c>
      <c r="N22" s="24">
        <v>0.10766869373004372</v>
      </c>
      <c r="O22" s="24">
        <v>2.9503732150712537E-2</v>
      </c>
      <c r="P22" s="24">
        <v>-0.48448483782969048</v>
      </c>
      <c r="Q22" s="24">
        <v>-0.50235979195763558</v>
      </c>
      <c r="R22" s="24">
        <v>-0.14567672255776343</v>
      </c>
      <c r="S22" s="24">
        <v>-4.9397731430288389E-2</v>
      </c>
      <c r="T22" s="24">
        <v>-0.4914001284898985</v>
      </c>
      <c r="U22" s="24">
        <v>-0.75871248545590975</v>
      </c>
      <c r="V22" s="24">
        <v>-0.31269623997077722</v>
      </c>
      <c r="W22" s="24">
        <v>0.16571760628029591</v>
      </c>
      <c r="X22" s="24">
        <v>0.43285119893499913</v>
      </c>
      <c r="Y22" s="24">
        <v>-0.13439958254125989</v>
      </c>
      <c r="Z22" s="24">
        <v>0.71469870908170552</v>
      </c>
      <c r="AA22" s="24">
        <v>0.47737222884181596</v>
      </c>
      <c r="AB22" s="24">
        <v>0.63351797413838984</v>
      </c>
      <c r="AC22" s="24">
        <v>-0.5882768791124956</v>
      </c>
      <c r="AD22" s="24">
        <v>-0.23402422631692252</v>
      </c>
      <c r="AE22" s="24">
        <v>0.46649931928008348</v>
      </c>
      <c r="AF22" s="24">
        <v>-0.25436576526922994</v>
      </c>
      <c r="AG22" s="24">
        <v>-0.10127736490379419</v>
      </c>
      <c r="AH22" s="24">
        <v>-0.37469688529468165</v>
      </c>
      <c r="AI22" s="24">
        <v>-0.42891573655850457</v>
      </c>
      <c r="AJ22" s="24">
        <v>-0.3814500533467387</v>
      </c>
      <c r="AK22" s="24">
        <v>0.629521298572988</v>
      </c>
      <c r="AL22" s="24">
        <v>-0.10626844988154588</v>
      </c>
      <c r="AM22" s="24">
        <v>-0.60770737996161706</v>
      </c>
      <c r="AN22" s="24">
        <v>-0.2580658372232047</v>
      </c>
      <c r="AO22" s="24">
        <v>0.1379396292663978</v>
      </c>
      <c r="AP22" s="24">
        <v>0.11232893153770676</v>
      </c>
      <c r="AQ22" s="24">
        <v>5.4484421014633945E-2</v>
      </c>
      <c r="AR22" s="24">
        <v>-0.17751191104526459</v>
      </c>
      <c r="AS22" s="24">
        <v>0.35014917660286787</v>
      </c>
      <c r="AT22" s="24">
        <v>-0.42950725107258658</v>
      </c>
      <c r="AU22" s="24">
        <v>-0.78098041640980909</v>
      </c>
      <c r="AV22" s="24">
        <v>-0.10755797040149344</v>
      </c>
      <c r="AW22" s="24">
        <v>0.15598261380876716</v>
      </c>
    </row>
    <row r="23" spans="1:49" ht="13.8" x14ac:dyDescent="0.3">
      <c r="D23" s="24">
        <v>-0.1483091800717603</v>
      </c>
      <c r="E23" s="24">
        <v>-1.1355530310057516</v>
      </c>
      <c r="F23" s="24">
        <v>0.5317034502940936</v>
      </c>
      <c r="G23" s="24">
        <v>-0.83592962717970265</v>
      </c>
      <c r="H23" s="24">
        <v>1.4902920247724834E-3</v>
      </c>
      <c r="I23" s="24">
        <v>-0.71587933644881929</v>
      </c>
      <c r="J23" s="24">
        <v>0.94486344350287255</v>
      </c>
      <c r="K23" s="24">
        <v>1.7283625471223099</v>
      </c>
      <c r="L23" s="24">
        <v>-0.33336594065859027</v>
      </c>
      <c r="M23" s="24">
        <v>0.74048346618071736</v>
      </c>
      <c r="N23" s="24">
        <v>-8.9011035962684379E-3</v>
      </c>
      <c r="O23" s="24">
        <v>-0.62350547799602041</v>
      </c>
      <c r="P23" s="24">
        <v>0.88368332027835605</v>
      </c>
      <c r="Q23" s="24">
        <v>0.33321312072213788</v>
      </c>
      <c r="R23" s="24">
        <v>0.19498411564100732</v>
      </c>
      <c r="S23" s="24">
        <v>-0.86372531972570254</v>
      </c>
      <c r="T23" s="24">
        <v>-0.83389832825070143</v>
      </c>
      <c r="U23" s="24">
        <v>0.20530803739716103</v>
      </c>
      <c r="V23" s="24">
        <v>6.704315752730533E-2</v>
      </c>
      <c r="W23" s="24">
        <v>1.2875056688279594</v>
      </c>
      <c r="X23" s="24">
        <v>0.87065260787199983</v>
      </c>
      <c r="Y23" s="24">
        <v>0.1143018161818193</v>
      </c>
      <c r="Z23" s="24">
        <v>-3.9888065227183647E-2</v>
      </c>
      <c r="AA23" s="24">
        <v>0.42372596000214391</v>
      </c>
      <c r="AB23" s="24">
        <v>0.53525297972811636</v>
      </c>
      <c r="AC23" s="24">
        <v>0.49814981653971419</v>
      </c>
      <c r="AD23" s="24">
        <v>-0.20330027912694465</v>
      </c>
      <c r="AE23" s="24">
        <v>-0.2329801886816591</v>
      </c>
      <c r="AF23" s="24">
        <v>0.91518424204471904</v>
      </c>
      <c r="AG23" s="24">
        <v>-0.65336464502077674</v>
      </c>
      <c r="AH23" s="24">
        <v>0.75451021308550703</v>
      </c>
      <c r="AI23" s="24">
        <v>0.54178015733110219</v>
      </c>
      <c r="AJ23" s="24">
        <v>-3.5757652699280044E-2</v>
      </c>
      <c r="AK23" s="24">
        <v>0.19428508665847943</v>
      </c>
      <c r="AL23" s="24">
        <v>0.52558877418855676</v>
      </c>
      <c r="AM23" s="24">
        <v>-0.34473456548732773</v>
      </c>
      <c r="AN23" s="24">
        <v>-0.36119690905536023</v>
      </c>
      <c r="AO23" s="24">
        <v>0.67857255252857285</v>
      </c>
      <c r="AP23" s="24">
        <v>0.22719788971711102</v>
      </c>
      <c r="AQ23" s="24">
        <v>0.25466988099030419</v>
      </c>
      <c r="AR23" s="24">
        <v>0.78550581111507933</v>
      </c>
      <c r="AS23" s="24">
        <v>6.039826170179069E-2</v>
      </c>
      <c r="AT23" s="24">
        <v>3.9587833016200211E-2</v>
      </c>
      <c r="AU23" s="24">
        <v>0.44401653355320797</v>
      </c>
      <c r="AV23" s="24">
        <v>0.24151141475327043</v>
      </c>
      <c r="AW23" s="24">
        <v>-1.3779080599945117</v>
      </c>
    </row>
    <row r="24" spans="1:49" ht="13.8" x14ac:dyDescent="0.3">
      <c r="D24" s="24">
        <v>0.55434247551397398</v>
      </c>
      <c r="E24" s="24">
        <v>-0.10662835548376323</v>
      </c>
      <c r="F24" s="24">
        <v>0.59201304236487551</v>
      </c>
      <c r="G24" s="24">
        <v>-1.3583393041702265</v>
      </c>
      <c r="H24" s="24">
        <v>-0.92223105301002162</v>
      </c>
      <c r="I24" s="24">
        <v>0.44651256141546136</v>
      </c>
      <c r="J24" s="24">
        <v>0.98575591999702628</v>
      </c>
      <c r="K24" s="24">
        <v>1.4396915149077572</v>
      </c>
      <c r="L24" s="24">
        <v>-0.44853306880265698</v>
      </c>
      <c r="M24" s="24">
        <v>0.30055881108669813</v>
      </c>
      <c r="N24" s="24">
        <v>-4.0986624393399146E-2</v>
      </c>
      <c r="O24" s="24">
        <v>-0.93571585744109409</v>
      </c>
      <c r="P24" s="24">
        <v>-0.58184690579225895</v>
      </c>
      <c r="Q24" s="24">
        <v>-0.74014184876976985</v>
      </c>
      <c r="R24" s="24">
        <v>-1.5318646299717078</v>
      </c>
      <c r="S24" s="24">
        <v>-0.24894641754457794</v>
      </c>
      <c r="T24" s="24">
        <v>0.3560668357905874</v>
      </c>
      <c r="U24" s="24">
        <v>-0.61070888489325914</v>
      </c>
      <c r="V24" s="24">
        <v>-5.372970583143457E-2</v>
      </c>
      <c r="W24" s="24">
        <v>1.1601910371101616</v>
      </c>
      <c r="X24" s="24">
        <v>0.27114475084617545</v>
      </c>
      <c r="Y24" s="24">
        <v>-0.35460022742087688</v>
      </c>
      <c r="Z24" s="24">
        <v>-1.4883681209458535</v>
      </c>
      <c r="AA24" s="24">
        <v>2.2828351947406761E-2</v>
      </c>
      <c r="AB24" s="24">
        <v>0.24152001951784538</v>
      </c>
      <c r="AC24" s="24">
        <v>1.8585968229642051</v>
      </c>
      <c r="AD24" s="24">
        <v>-1.3116629475907249</v>
      </c>
      <c r="AE24" s="24">
        <v>0.22971033484541067</v>
      </c>
      <c r="AF24" s="24">
        <v>0.35230949180031201</v>
      </c>
      <c r="AG24" s="24">
        <v>-1.602508631605307</v>
      </c>
      <c r="AH24" s="24">
        <v>0.56694762705350188</v>
      </c>
      <c r="AI24" s="24">
        <v>-1.8761999946520651</v>
      </c>
      <c r="AJ24" s="24">
        <v>1.2511623449602061</v>
      </c>
      <c r="AK24" s="24">
        <v>-0.18628815504028043</v>
      </c>
      <c r="AL24" s="24">
        <v>-0.21847798580473396</v>
      </c>
      <c r="AM24" s="24">
        <v>-6.5901276585196539E-2</v>
      </c>
      <c r="AN24" s="24">
        <v>0.63814471643185888</v>
      </c>
      <c r="AO24" s="24">
        <v>-1.1629574471778206</v>
      </c>
      <c r="AP24" s="24">
        <v>0.9035838806257197</v>
      </c>
      <c r="AQ24" s="24">
        <v>0.29802023618520906</v>
      </c>
      <c r="AR24" s="24">
        <v>1.7518141057935928</v>
      </c>
      <c r="AS24" s="24">
        <v>0.98933630810291495</v>
      </c>
      <c r="AT24" s="24">
        <v>0.80150825783992941</v>
      </c>
      <c r="AU24" s="24">
        <v>-1.2101010840712603</v>
      </c>
      <c r="AV24" s="24">
        <v>1.0546358905029973</v>
      </c>
      <c r="AW24" s="24">
        <v>0.47328268136798457</v>
      </c>
    </row>
    <row r="25" spans="1:49" ht="13.8" x14ac:dyDescent="0.3">
      <c r="D25" s="24">
        <v>-1.2222410503985481E-2</v>
      </c>
      <c r="E25" s="24">
        <v>-1.0693373074356158</v>
      </c>
      <c r="F25" s="24">
        <v>-8.0570151955872051E-3</v>
      </c>
      <c r="G25" s="24">
        <v>-0.69342910214095765</v>
      </c>
      <c r="H25" s="24">
        <v>1.4044504656016821</v>
      </c>
      <c r="I25" s="24">
        <v>0.21216388976112249</v>
      </c>
      <c r="J25" s="24">
        <v>1.6259670440310037</v>
      </c>
      <c r="K25" s="24">
        <v>-0.56335224759202618</v>
      </c>
      <c r="L25" s="24">
        <v>-0.80799153160723436</v>
      </c>
      <c r="M25" s="24">
        <v>-1.2174953845839196</v>
      </c>
      <c r="N25" s="24">
        <v>0.54866472992345294</v>
      </c>
      <c r="O25" s="24">
        <v>-0.68951497160710185</v>
      </c>
      <c r="P25" s="24">
        <v>-0.73270326429084776</v>
      </c>
      <c r="Q25" s="24">
        <v>-0.77572638642992908</v>
      </c>
      <c r="R25" s="24">
        <v>-2.1150610216916146</v>
      </c>
      <c r="S25" s="24">
        <v>1.1227714711934447</v>
      </c>
      <c r="T25" s="24">
        <v>-0.26549127478111206</v>
      </c>
      <c r="U25" s="24">
        <v>-4.7307267542567373E-2</v>
      </c>
      <c r="V25" s="24">
        <v>0.49659058593048255</v>
      </c>
      <c r="W25" s="24">
        <v>-0.75870726259345878</v>
      </c>
      <c r="X25" s="24">
        <v>0.27384183989080257</v>
      </c>
      <c r="Y25" s="24">
        <v>-2.0285861850671196</v>
      </c>
      <c r="Z25" s="24">
        <v>-0.58615109586483238</v>
      </c>
      <c r="AA25" s="24">
        <v>0.94113371426746473</v>
      </c>
      <c r="AB25" s="24">
        <v>-1.1735114056423179</v>
      </c>
      <c r="AC25" s="24">
        <v>-0.11129472737431664</v>
      </c>
      <c r="AD25" s="24">
        <v>0.1453672938757577</v>
      </c>
      <c r="AE25" s="24">
        <v>-0.17323902514395373</v>
      </c>
      <c r="AF25" s="24">
        <v>-0.77992584170512613</v>
      </c>
      <c r="AG25" s="24">
        <v>5.4970716005814163E-3</v>
      </c>
      <c r="AH25" s="24">
        <v>1.0083933678752586</v>
      </c>
      <c r="AI25" s="24">
        <v>-0.960228724610249</v>
      </c>
      <c r="AJ25" s="24">
        <v>-1.9163133290707364</v>
      </c>
      <c r="AK25" s="24">
        <v>-1.2244535554912706</v>
      </c>
      <c r="AL25" s="24">
        <v>0.19433380344939549</v>
      </c>
      <c r="AM25" s="24">
        <v>-9.8390296705459027E-2</v>
      </c>
      <c r="AN25" s="24">
        <v>-0.35473249658510797</v>
      </c>
      <c r="AO25" s="24">
        <v>-1.0765428601427338</v>
      </c>
      <c r="AP25" s="24">
        <v>0.35541211987081367</v>
      </c>
      <c r="AQ25" s="24">
        <v>0.55560106630571071</v>
      </c>
      <c r="AR25" s="24">
        <v>-0.86423554177333772</v>
      </c>
      <c r="AS25" s="24">
        <v>-1.9134303389435769</v>
      </c>
      <c r="AT25" s="24">
        <v>-0.41189780444663843</v>
      </c>
      <c r="AU25" s="24">
        <v>-1.0609610983828444</v>
      </c>
      <c r="AV25" s="24">
        <v>0.18782508149785812</v>
      </c>
      <c r="AW25" s="24">
        <v>0.35977449319889127</v>
      </c>
    </row>
    <row r="26" spans="1:49" ht="13.8" x14ac:dyDescent="0.3">
      <c r="D26" s="24">
        <v>0.41153842452275835</v>
      </c>
      <c r="E26" s="24">
        <v>-0.51814399859572702</v>
      </c>
      <c r="F26" s="24">
        <v>0.84399358722359308</v>
      </c>
      <c r="G26" s="24">
        <v>-0.29022289039072374</v>
      </c>
      <c r="H26" s="24">
        <v>0.24893824172426554</v>
      </c>
      <c r="I26" s="24">
        <v>-0.6156990934981309</v>
      </c>
      <c r="J26" s="24">
        <v>-0.80127361844529821</v>
      </c>
      <c r="K26" s="24">
        <v>1.2253810544372332</v>
      </c>
      <c r="L26" s="24">
        <v>0.34269773624156458</v>
      </c>
      <c r="M26" s="24">
        <v>1.6917353864275269</v>
      </c>
      <c r="N26" s="24">
        <v>1.2695920183590914</v>
      </c>
      <c r="O26" s="24">
        <v>-1.0161562258796677</v>
      </c>
      <c r="P26" s="24">
        <v>0.13599690925632676</v>
      </c>
      <c r="Q26" s="24">
        <v>0.53038296493607018</v>
      </c>
      <c r="R26" s="24">
        <v>0.85125292550813447</v>
      </c>
      <c r="S26" s="24">
        <v>-2.5714400263766653E-2</v>
      </c>
      <c r="T26" s="24">
        <v>-3.4663760171732574E-2</v>
      </c>
      <c r="U26" s="24">
        <v>1.0592764887791801</v>
      </c>
      <c r="V26" s="24">
        <v>0.31424859829417673</v>
      </c>
      <c r="W26" s="24">
        <v>-0.40741475610711941</v>
      </c>
      <c r="X26" s="24">
        <v>-0.29502409686806313</v>
      </c>
      <c r="Y26" s="24">
        <v>-0.1184059003223642</v>
      </c>
      <c r="Z26" s="24">
        <v>-0.35812307825262163</v>
      </c>
      <c r="AA26" s="24">
        <v>-0.42104477816670766</v>
      </c>
      <c r="AB26" s="24">
        <v>-0.59887939275416346</v>
      </c>
      <c r="AC26" s="24">
        <v>0.51301725318952718</v>
      </c>
      <c r="AD26" s="24">
        <v>-0.27369235263349079</v>
      </c>
      <c r="AE26" s="24">
        <v>0.4279294032221258</v>
      </c>
      <c r="AF26" s="24">
        <v>0.87378392622572953</v>
      </c>
      <c r="AG26" s="24">
        <v>-0.30615174685605351</v>
      </c>
      <c r="AH26" s="24">
        <v>0.22072172886204733</v>
      </c>
      <c r="AI26" s="24">
        <v>-2.4222443344489492E-2</v>
      </c>
      <c r="AJ26" s="24">
        <v>-0.24773200103207102</v>
      </c>
      <c r="AK26" s="24">
        <v>0.86886553157956081</v>
      </c>
      <c r="AL26" s="24">
        <v>1.8416269554744728E-2</v>
      </c>
      <c r="AM26" s="24">
        <v>1.0189055436789962</v>
      </c>
      <c r="AN26" s="24">
        <v>0.16536599962997794</v>
      </c>
      <c r="AO26" s="24">
        <v>1.0064343530492643</v>
      </c>
      <c r="AP26" s="24">
        <v>-0.43700294601312656</v>
      </c>
      <c r="AQ26" s="24">
        <v>-0.93798545074149908</v>
      </c>
      <c r="AR26" s="24">
        <v>1.6355533834634783</v>
      </c>
      <c r="AS26" s="24">
        <v>-1.9851569187227194</v>
      </c>
      <c r="AT26" s="24">
        <v>0.37255701419930087</v>
      </c>
      <c r="AU26" s="24">
        <v>7.7654348654964081E-2</v>
      </c>
      <c r="AV26" s="24">
        <v>0.10270218279001275</v>
      </c>
      <c r="AW26" s="24">
        <v>0.60687587034863688</v>
      </c>
    </row>
    <row r="27" spans="1:49" ht="13.8" x14ac:dyDescent="0.3">
      <c r="D27" s="24">
        <v>-0.91712685939493754</v>
      </c>
      <c r="E27" s="24">
        <v>-0.17996304831665383</v>
      </c>
      <c r="F27" s="24">
        <v>0.857354555570493</v>
      </c>
      <c r="G27" s="24">
        <v>0.52595574158007496</v>
      </c>
      <c r="H27" s="24">
        <v>-0.18652162360052507</v>
      </c>
      <c r="I27" s="24">
        <v>-1.7972092826732136</v>
      </c>
      <c r="J27" s="24">
        <v>1.0946197971331473</v>
      </c>
      <c r="K27" s="24">
        <v>-3.1890402546103702E-2</v>
      </c>
      <c r="L27" s="24">
        <v>-0.25589793557986684</v>
      </c>
      <c r="M27" s="24">
        <v>0.54280565822530746</v>
      </c>
      <c r="N27" s="24">
        <v>2.0034198152736762</v>
      </c>
      <c r="O27" s="24">
        <v>-0.43661524492379233</v>
      </c>
      <c r="P27" s="24">
        <v>-0.56878528836035258</v>
      </c>
      <c r="Q27" s="24">
        <v>0.15121365468813172</v>
      </c>
      <c r="R27" s="24">
        <v>0.15480191034153212</v>
      </c>
      <c r="S27" s="24">
        <v>-1.1484354184221481</v>
      </c>
      <c r="T27" s="24">
        <v>0.30232181868418589</v>
      </c>
      <c r="U27" s="24">
        <v>-0.17370392227631692</v>
      </c>
      <c r="V27" s="24">
        <v>-0.25347091373950748</v>
      </c>
      <c r="W27" s="24">
        <v>1.028257411494637</v>
      </c>
      <c r="X27" s="24">
        <v>1.5062665155415791</v>
      </c>
      <c r="Y27" s="24">
        <v>-1.1175152283596677</v>
      </c>
      <c r="Z27" s="24">
        <v>-1.2262286555090214</v>
      </c>
      <c r="AA27" s="24">
        <v>0.74589909152710754</v>
      </c>
      <c r="AB27" s="24">
        <v>-0.77423786347418999</v>
      </c>
      <c r="AC27" s="24">
        <v>-1.2909112589198413</v>
      </c>
      <c r="AD27" s="24">
        <v>0.87567492572089478</v>
      </c>
      <c r="AE27" s="24">
        <v>0.48541552190598791</v>
      </c>
      <c r="AF27" s="24">
        <v>-0.675313002502825</v>
      </c>
      <c r="AG27" s="24">
        <v>-0.42501977169873251</v>
      </c>
      <c r="AH27" s="24">
        <v>-1.6662937658777177</v>
      </c>
      <c r="AI27" s="24">
        <v>-6.9573721007140071E-2</v>
      </c>
      <c r="AJ27" s="24">
        <v>0.36614243743168062</v>
      </c>
      <c r="AK27" s="24">
        <v>0.32800599806523234</v>
      </c>
      <c r="AL27" s="24">
        <v>0.54380420661802953</v>
      </c>
      <c r="AM27" s="24">
        <v>1.4444544174834104</v>
      </c>
      <c r="AN27" s="24">
        <v>-0.81441005226355645</v>
      </c>
      <c r="AO27" s="24">
        <v>-7.2852765044660484E-2</v>
      </c>
      <c r="AP27" s="24">
        <v>-0.13202062499955491</v>
      </c>
      <c r="AQ27" s="24">
        <v>-1.1541671090311427</v>
      </c>
      <c r="AR27" s="24">
        <v>0.69001835203014705</v>
      </c>
      <c r="AS27" s="24">
        <v>1.1675053352086231</v>
      </c>
      <c r="AT27" s="24">
        <v>0.75224849981686526</v>
      </c>
      <c r="AU27" s="24">
        <v>1.3119595573684848</v>
      </c>
      <c r="AV27" s="24">
        <v>-5.6460343949774564E-3</v>
      </c>
      <c r="AW27" s="24">
        <v>-0.3110351418584868</v>
      </c>
    </row>
    <row r="30" spans="1:49" ht="13.8" x14ac:dyDescent="0.3">
      <c r="D30" s="24">
        <v>2.6319958192289326</v>
      </c>
      <c r="E30" s="24">
        <v>-2.2479224388282071</v>
      </c>
      <c r="F30" s="24">
        <v>-3.6826630887323173</v>
      </c>
      <c r="G30" s="24">
        <v>-1.1868163943479653</v>
      </c>
      <c r="H30" s="24">
        <v>-4.3837545542442182</v>
      </c>
      <c r="I30" s="24">
        <v>2.5410975817705128</v>
      </c>
      <c r="J30" s="24">
        <v>3.5867140406386251</v>
      </c>
      <c r="K30" s="24">
        <v>-1.2509635398691195</v>
      </c>
      <c r="L30" s="24">
        <v>-2.604444115269791</v>
      </c>
      <c r="M30" s="24">
        <v>3.4044352973326202</v>
      </c>
      <c r="N30" s="24">
        <v>-3.6232400110809104</v>
      </c>
      <c r="O30" s="24">
        <v>2.2267194094255105</v>
      </c>
      <c r="P30" s="24">
        <v>-2.7649387974266326</v>
      </c>
      <c r="Q30" s="24">
        <v>1.0086790851380103</v>
      </c>
    </row>
    <row r="31" spans="1:49" ht="13.8" x14ac:dyDescent="0.3">
      <c r="D31" s="24">
        <v>-2.6333702009971782</v>
      </c>
      <c r="E31" s="24">
        <v>2.2051943761725652</v>
      </c>
      <c r="F31" s="24">
        <v>3.6784566503796978</v>
      </c>
      <c r="G31" s="24">
        <v>1.1922881906994209</v>
      </c>
      <c r="H31" s="24">
        <v>4.3962966533432741</v>
      </c>
      <c r="I31" s="24">
        <v>-2.5434271286815107</v>
      </c>
      <c r="J31" s="24">
        <v>-3.5898215777277693</v>
      </c>
      <c r="K31" s="24">
        <v>1.218022334567157</v>
      </c>
      <c r="L31" s="24">
        <v>2.6121169821478389</v>
      </c>
      <c r="M31" s="24">
        <v>-3.4330275379375923</v>
      </c>
      <c r="N31" s="24">
        <v>3.6209367671566581</v>
      </c>
      <c r="O31" s="24">
        <v>-2.2405426208293342</v>
      </c>
      <c r="P31" s="24">
        <v>2.788300288738188</v>
      </c>
      <c r="Q31" s="24">
        <v>-0.95797853298450875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Y600"/>
  <sheetViews>
    <sheetView showGridLines="0" topLeftCell="A102" workbookViewId="0">
      <selection activeCell="D86" sqref="D86:E87"/>
    </sheetView>
  </sheetViews>
  <sheetFormatPr defaultRowHeight="13.2" x14ac:dyDescent="0.25"/>
  <cols>
    <col min="3" max="3" width="14.21875" bestFit="1" customWidth="1"/>
    <col min="14" max="14" width="13.5546875" bestFit="1" customWidth="1"/>
  </cols>
  <sheetData>
    <row r="1" spans="2:103" ht="18" x14ac:dyDescent="0.35">
      <c r="B1" s="23" t="s">
        <v>180</v>
      </c>
      <c r="N1" t="s">
        <v>735</v>
      </c>
      <c r="CQ1" s="24">
        <v>0.99950445057112458</v>
      </c>
      <c r="CR1" s="24" t="str">
        <f>"1"</f>
        <v>1</v>
      </c>
      <c r="CS1" t="str">
        <f ca="1">IF((OFFSET($A$1, 1 - 1, 95 - 1)) &gt;= (OFFSET($A$1, 56 - 1, 7 - 1)), "1","0")</f>
        <v>1</v>
      </c>
      <c r="CT1">
        <f ca="1" xml:space="preserve"> IF( AND( OFFSET($A$1, 1 - 1, 96 - 1) = "1", OFFSET($A$1, 1 - 1, 97 - 1) = "1" ), 1, IF( AND( OFFSET($A$1, 1 - 1, 96 - 1) = "1", OFFSET($A$1, 1 - 1, 97 - 1) = "0" ), 2, IF( AND( OFFSET($A$1, 1 - 1, 96 - 1) = "0", OFFSET($A$1, 1 - 1, 97 - 1) = "1" ), 3, 4 ) ) )</f>
        <v>1</v>
      </c>
      <c r="CV1" s="24">
        <v>0.96639557031469481</v>
      </c>
      <c r="CW1" s="24" t="str">
        <f t="shared" ref="CW1:CW10" si="0">"1"</f>
        <v>1</v>
      </c>
      <c r="CX1" t="str">
        <f ca="1">IF((OFFSET($A$1, 1 - 1, 100 - 1)) &gt;= (OFFSET($A$1, 80 - 1, 7 - 1)), "1","0")</f>
        <v>1</v>
      </c>
      <c r="CY1">
        <f ca="1" xml:space="preserve"> IF( AND( OFFSET($A$1, 1 - 1, 101 - 1) = "1", OFFSET($A$1, 1 - 1, 102 - 1) = "1" ), 1, IF( AND( OFFSET($A$1, 1 - 1, 101 - 1) = "1", OFFSET($A$1, 1 - 1, 102 - 1) = "0" ), 2, IF( AND( OFFSET($A$1, 1 - 1, 101 - 1) = "0", OFFSET($A$1, 1 - 1, 102 - 1) = "1" ), 3, 4 ) ) )</f>
        <v>1</v>
      </c>
    </row>
    <row r="2" spans="2:103" ht="13.8" x14ac:dyDescent="0.3">
      <c r="CQ2" s="24">
        <v>0.16558741383787753</v>
      </c>
      <c r="CR2" s="24" t="str">
        <f>"0"</f>
        <v>0</v>
      </c>
      <c r="CS2" t="str">
        <f ca="1">IF((OFFSET($A$1, 2 - 1, 95 - 1)) &gt;= (OFFSET($A$1, 56 - 1, 7 - 1)), "1","0")</f>
        <v>0</v>
      </c>
      <c r="CT2">
        <f ca="1" xml:space="preserve"> IF( AND( OFFSET($A$1, 2 - 1, 96 - 1) = "1", OFFSET($A$1, 2 - 1, 97 - 1) = "1" ), 1, IF( AND( OFFSET($A$1, 2 - 1, 96 - 1) = "1", OFFSET($A$1, 2 - 1, 97 - 1) = "0" ), 2, IF( AND( OFFSET($A$1, 2 - 1, 96 - 1) = "0", OFFSET($A$1, 2 - 1, 97 - 1) = "1" ), 3, 4 ) ) )</f>
        <v>4</v>
      </c>
      <c r="CV2" s="24">
        <v>0.95041089903799458</v>
      </c>
      <c r="CW2" s="24" t="str">
        <f t="shared" si="0"/>
        <v>1</v>
      </c>
      <c r="CX2" t="str">
        <f ca="1">IF((OFFSET($A$1, 2 - 1, 100 - 1)) &gt;= (OFFSET($A$1, 80 - 1, 7 - 1)), "1","0")</f>
        <v>1</v>
      </c>
      <c r="CY2">
        <f ca="1" xml:space="preserve"> IF( AND( OFFSET($A$1, 2 - 1, 101 - 1) = "1", OFFSET($A$1, 2 - 1, 102 - 1) = "1" ), 1, IF( AND( OFFSET($A$1, 2 - 1, 101 - 1) = "1", OFFSET($A$1, 2 - 1, 102 - 1) = "0" ), 2, IF( AND( OFFSET($A$1, 2 - 1, 101 - 1) = "0", OFFSET($A$1, 2 - 1, 102 - 1) = "1" ), 3, 4 ) ) )</f>
        <v>1</v>
      </c>
    </row>
    <row r="3" spans="2:103" ht="15.6" x14ac:dyDescent="0.3">
      <c r="B3" s="59" t="s">
        <v>136</v>
      </c>
      <c r="C3" s="60"/>
      <c r="D3" s="60"/>
      <c r="E3" s="60"/>
      <c r="F3" s="60"/>
      <c r="G3" s="60"/>
      <c r="H3" s="60"/>
      <c r="I3" s="60"/>
      <c r="J3" s="60"/>
      <c r="K3" s="61"/>
      <c r="N3" s="59" t="s">
        <v>137</v>
      </c>
      <c r="O3" s="60"/>
      <c r="P3" s="60"/>
      <c r="Q3" s="61"/>
      <c r="CQ3" s="24">
        <v>0.98113328519216192</v>
      </c>
      <c r="CR3" s="24" t="str">
        <f>"1"</f>
        <v>1</v>
      </c>
      <c r="CS3" t="str">
        <f ca="1">IF((OFFSET($A$1, 3 - 1, 95 - 1)) &gt;= (OFFSET($A$1, 56 - 1, 7 - 1)), "1","0")</f>
        <v>1</v>
      </c>
      <c r="CT3">
        <f ca="1" xml:space="preserve"> IF( AND( OFFSET($A$1, 3 - 1, 96 - 1) = "1", OFFSET($A$1, 3 - 1, 97 - 1) = "1" ), 1, IF( AND( OFFSET($A$1, 3 - 1, 96 - 1) = "1", OFFSET($A$1, 3 - 1, 97 - 1) = "0" ), 2, IF( AND( OFFSET($A$1, 3 - 1, 96 - 1) = "0", OFFSET($A$1, 3 - 1, 97 - 1) = "1" ), 3, 4 ) ) )</f>
        <v>1</v>
      </c>
      <c r="CV3" s="24">
        <v>0.98687231006401965</v>
      </c>
      <c r="CW3" s="24" t="str">
        <f t="shared" si="0"/>
        <v>1</v>
      </c>
      <c r="CX3" t="str">
        <f ca="1">IF((OFFSET($A$1, 3 - 1, 100 - 1)) &gt;= (OFFSET($A$1, 80 - 1, 7 - 1)), "1","0")</f>
        <v>1</v>
      </c>
      <c r="CY3">
        <f ca="1" xml:space="preserve"> IF( AND( OFFSET($A$1, 3 - 1, 101 - 1) = "1", OFFSET($A$1, 3 - 1, 102 - 1) = "1" ), 1, IF( AND( OFFSET($A$1, 3 - 1, 101 - 1) = "1", OFFSET($A$1, 3 - 1, 102 - 1) = "0" ), 2, IF( AND( OFFSET($A$1, 3 - 1, 101 - 1) = "0", OFFSET($A$1, 3 - 1, 102 - 1) = "1" ), 3, 4 ) ) )</f>
        <v>1</v>
      </c>
    </row>
    <row r="4" spans="2:103" ht="13.8" x14ac:dyDescent="0.3">
      <c r="B4" s="65" t="s">
        <v>141</v>
      </c>
      <c r="C4" s="66"/>
      <c r="D4" s="65" t="s">
        <v>683</v>
      </c>
      <c r="E4" s="66"/>
      <c r="F4" s="65" t="s">
        <v>684</v>
      </c>
      <c r="G4" s="66"/>
      <c r="H4" s="65" t="s">
        <v>685</v>
      </c>
      <c r="I4" s="66"/>
      <c r="J4" s="65" t="s">
        <v>686</v>
      </c>
      <c r="K4" s="66"/>
      <c r="N4" s="26" t="s">
        <v>182</v>
      </c>
      <c r="O4" s="26" t="s">
        <v>183</v>
      </c>
      <c r="P4" s="26" t="s">
        <v>139</v>
      </c>
      <c r="Q4" s="26" t="s">
        <v>140</v>
      </c>
      <c r="CQ4" s="24">
        <v>0.15115033977727921</v>
      </c>
      <c r="CR4" s="24" t="str">
        <f>"0"</f>
        <v>0</v>
      </c>
      <c r="CS4" t="str">
        <f ca="1">IF((OFFSET($A$1, 4 - 1, 95 - 1)) &gt;= (OFFSET($A$1, 56 - 1, 7 - 1)), "1","0")</f>
        <v>0</v>
      </c>
      <c r="CT4">
        <f ca="1" xml:space="preserve"> IF( AND( OFFSET($A$1, 4 - 1, 96 - 1) = "1", OFFSET($A$1, 4 - 1, 97 - 1) = "1" ), 1, IF( AND( OFFSET($A$1, 4 - 1, 96 - 1) = "1", OFFSET($A$1, 4 - 1, 97 - 1) = "0" ), 2, IF( AND( OFFSET($A$1, 4 - 1, 96 - 1) = "0", OFFSET($A$1, 4 - 1, 97 - 1) = "1" ), 3, 4 ) ) )</f>
        <v>4</v>
      </c>
      <c r="CV4" s="24">
        <v>0.98774676057085853</v>
      </c>
      <c r="CW4" s="24" t="str">
        <f t="shared" si="0"/>
        <v>1</v>
      </c>
      <c r="CX4" t="str">
        <f ca="1">IF((OFFSET($A$1, 4 - 1, 100 - 1)) &gt;= (OFFSET($A$1, 80 - 1, 7 - 1)), "1","0")</f>
        <v>1</v>
      </c>
      <c r="CY4">
        <f ca="1" xml:space="preserve"> IF( AND( OFFSET($A$1, 4 - 1, 101 - 1) = "1", OFFSET($A$1, 4 - 1, 102 - 1) = "1" ), 1, IF( AND( OFFSET($A$1, 4 - 1, 101 - 1) = "1", OFFSET($A$1, 4 - 1, 102 - 1) = "0" ), 2, IF( AND( OFFSET($A$1, 4 - 1, 101 - 1) = "0", OFFSET($A$1, 4 - 1, 102 - 1) = "1" ), 3, 4 ) ) )</f>
        <v>1</v>
      </c>
    </row>
    <row r="5" spans="2:103" ht="13.8" x14ac:dyDescent="0.3">
      <c r="B5" s="65" t="s">
        <v>687</v>
      </c>
      <c r="C5" s="66"/>
      <c r="D5" s="65" t="s">
        <v>688</v>
      </c>
      <c r="E5" s="66"/>
      <c r="F5" s="65" t="s">
        <v>689</v>
      </c>
      <c r="G5" s="66"/>
      <c r="H5" s="67"/>
      <c r="I5" s="66"/>
      <c r="J5" s="67"/>
      <c r="K5" s="66"/>
      <c r="N5" s="24">
        <v>47</v>
      </c>
      <c r="O5" s="24">
        <v>224</v>
      </c>
      <c r="P5" s="24">
        <v>109</v>
      </c>
      <c r="Q5" s="24">
        <v>380</v>
      </c>
      <c r="CQ5" s="24">
        <v>1.6038314109076406E-2</v>
      </c>
      <c r="CR5" s="24" t="str">
        <f>"0"</f>
        <v>0</v>
      </c>
      <c r="CS5" t="str">
        <f ca="1">IF((OFFSET($A$1, 5 - 1, 95 - 1)) &gt;= (OFFSET($A$1, 56 - 1, 7 - 1)), "1","0")</f>
        <v>0</v>
      </c>
      <c r="CT5">
        <f ca="1" xml:space="preserve"> IF( AND( OFFSET($A$1, 5 - 1, 96 - 1) = "1", OFFSET($A$1, 5 - 1, 97 - 1) = "1" ), 1, IF( AND( OFFSET($A$1, 5 - 1, 96 - 1) = "1", OFFSET($A$1, 5 - 1, 97 - 1) = "0" ), 2, IF( AND( OFFSET($A$1, 5 - 1, 96 - 1) = "0", OFFSET($A$1, 5 - 1, 97 - 1) = "1" ), 3, 4 ) ) )</f>
        <v>4</v>
      </c>
      <c r="CV5" s="24">
        <v>0.9527943918149745</v>
      </c>
      <c r="CW5" s="24" t="str">
        <f t="shared" si="0"/>
        <v>1</v>
      </c>
      <c r="CX5" t="str">
        <f ca="1">IF((OFFSET($A$1, 5 - 1, 100 - 1)) &gt;= (OFFSET($A$1, 80 - 1, 7 - 1)), "1","0")</f>
        <v>1</v>
      </c>
      <c r="CY5">
        <f ca="1" xml:space="preserve"> IF( AND( OFFSET($A$1, 5 - 1, 101 - 1) = "1", OFFSET($A$1, 5 - 1, 102 - 1) = "1" ), 1, IF( AND( OFFSET($A$1, 5 - 1, 101 - 1) = "1", OFFSET($A$1, 5 - 1, 102 - 1) = "0" ), 2, IF( AND( OFFSET($A$1, 5 - 1, 101 - 1) = "0", OFFSET($A$1, 5 - 1, 102 - 1) = "1" ), 3, 4 ) ) )</f>
        <v>1</v>
      </c>
    </row>
    <row r="6" spans="2:103" ht="13.8" x14ac:dyDescent="0.3">
      <c r="CQ6" s="24">
        <v>5.4575034660282254E-2</v>
      </c>
      <c r="CR6" s="24" t="str">
        <f>"1"</f>
        <v>1</v>
      </c>
      <c r="CS6" t="str">
        <f ca="1">IF((OFFSET($A$1, 6 - 1, 95 - 1)) &gt;= (OFFSET($A$1, 56 - 1, 7 - 1)), "1","0")</f>
        <v>0</v>
      </c>
      <c r="CT6">
        <f ca="1" xml:space="preserve"> IF( AND( OFFSET($A$1, 6 - 1, 96 - 1) = "1", OFFSET($A$1, 6 - 1, 97 - 1) = "1" ), 1, IF( AND( OFFSET($A$1, 6 - 1, 96 - 1) = "1", OFFSET($A$1, 6 - 1, 97 - 1) = "0" ), 2, IF( AND( OFFSET($A$1, 6 - 1, 96 - 1) = "0", OFFSET($A$1, 6 - 1, 97 - 1) = "1" ), 3, 4 ) ) )</f>
        <v>2</v>
      </c>
      <c r="CV6" s="24">
        <v>0.99880690484322754</v>
      </c>
      <c r="CW6" s="24" t="str">
        <f t="shared" si="0"/>
        <v>1</v>
      </c>
      <c r="CX6" t="str">
        <f ca="1">IF((OFFSET($A$1, 6 - 1, 100 - 1)) &gt;= (OFFSET($A$1, 80 - 1, 7 - 1)), "1","0")</f>
        <v>1</v>
      </c>
      <c r="CY6">
        <f ca="1" xml:space="preserve"> IF( AND( OFFSET($A$1, 6 - 1, 101 - 1) = "1", OFFSET($A$1, 6 - 1, 102 - 1) = "1" ), 1, IF( AND( OFFSET($A$1, 6 - 1, 101 - 1) = "1", OFFSET($A$1, 6 - 1, 102 - 1) = "0" ), 2, IF( AND( OFFSET($A$1, 6 - 1, 101 - 1) = "0", OFFSET($A$1, 6 - 1, 102 - 1) = "1" ), 3, 4 ) ) )</f>
        <v>1</v>
      </c>
    </row>
    <row r="7" spans="2:103" ht="13.8" x14ac:dyDescent="0.3">
      <c r="CQ7" s="24">
        <v>0.14451090512668532</v>
      </c>
      <c r="CR7" s="24" t="str">
        <f>"0"</f>
        <v>0</v>
      </c>
      <c r="CS7" t="str">
        <f ca="1">IF((OFFSET($A$1, 7 - 1, 95 - 1)) &gt;= (OFFSET($A$1, 56 - 1, 7 - 1)), "1","0")</f>
        <v>0</v>
      </c>
      <c r="CT7">
        <f ca="1" xml:space="preserve"> IF( AND( OFFSET($A$1, 7 - 1, 96 - 1) = "1", OFFSET($A$1, 7 - 1, 97 - 1) = "1" ), 1, IF( AND( OFFSET($A$1, 7 - 1, 96 - 1) = "1", OFFSET($A$1, 7 - 1, 97 - 1) = "0" ), 2, IF( AND( OFFSET($A$1, 7 - 1, 96 - 1) = "0", OFFSET($A$1, 7 - 1, 97 - 1) = "1" ), 3, 4 ) ) )</f>
        <v>4</v>
      </c>
      <c r="CV7" s="24">
        <v>0.92947336933771973</v>
      </c>
      <c r="CW7" s="24" t="str">
        <f t="shared" si="0"/>
        <v>1</v>
      </c>
      <c r="CX7" t="str">
        <f ca="1">IF((OFFSET($A$1, 7 - 1, 100 - 1)) &gt;= (OFFSET($A$1, 80 - 1, 7 - 1)), "1","0")</f>
        <v>1</v>
      </c>
      <c r="CY7">
        <f ca="1" xml:space="preserve"> IF( AND( OFFSET($A$1, 7 - 1, 101 - 1) = "1", OFFSET($A$1, 7 - 1, 102 - 1) = "1" ), 1, IF( AND( OFFSET($A$1, 7 - 1, 101 - 1) = "1", OFFSET($A$1, 7 - 1, 102 - 1) = "0" ), 2, IF( AND( OFFSET($A$1, 7 - 1, 101 - 1) = "0", OFFSET($A$1, 7 - 1, 102 - 1) = "1" ), 3, 4 ) ) )</f>
        <v>1</v>
      </c>
    </row>
    <row r="8" spans="2:103" ht="13.8" x14ac:dyDescent="0.3">
      <c r="CQ8" s="24">
        <v>0.88861038471187315</v>
      </c>
      <c r="CR8" s="24" t="str">
        <f t="shared" ref="CR8:CR24" si="1">"1"</f>
        <v>1</v>
      </c>
      <c r="CS8" t="str">
        <f ca="1">IF((OFFSET($A$1, 8 - 1, 95 - 1)) &gt;= (OFFSET($A$1, 56 - 1, 7 - 1)), "1","0")</f>
        <v>1</v>
      </c>
      <c r="CT8">
        <f ca="1" xml:space="preserve"> IF( AND( OFFSET($A$1, 8 - 1, 96 - 1) = "1", OFFSET($A$1, 8 - 1, 97 - 1) = "1" ), 1, IF( AND( OFFSET($A$1, 8 - 1, 96 - 1) = "1", OFFSET($A$1, 8 - 1, 97 - 1) = "0" ), 2, IF( AND( OFFSET($A$1, 8 - 1, 96 - 1) = "0", OFFSET($A$1, 8 - 1, 97 - 1) = "1" ), 3, 4 ) ) )</f>
        <v>1</v>
      </c>
      <c r="CV8" s="24">
        <v>0.99062724247620115</v>
      </c>
      <c r="CW8" s="24" t="str">
        <f t="shared" si="0"/>
        <v>1</v>
      </c>
      <c r="CX8" t="str">
        <f ca="1">IF((OFFSET($A$1, 8 - 1, 100 - 1)) &gt;= (OFFSET($A$1, 80 - 1, 7 - 1)), "1","0")</f>
        <v>1</v>
      </c>
      <c r="CY8">
        <f ca="1" xml:space="preserve"> IF( AND( OFFSET($A$1, 8 - 1, 101 - 1) = "1", OFFSET($A$1, 8 - 1, 102 - 1) = "1" ), 1, IF( AND( OFFSET($A$1, 8 - 1, 101 - 1) = "1", OFFSET($A$1, 8 - 1, 102 - 1) = "0" ), 2, IF( AND( OFFSET($A$1, 8 - 1, 101 - 1) = "0", OFFSET($A$1, 8 - 1, 102 - 1) = "1" ), 3, 4 ) ) )</f>
        <v>1</v>
      </c>
    </row>
    <row r="9" spans="2:103" ht="13.8" x14ac:dyDescent="0.3">
      <c r="CQ9" s="24">
        <v>0.99703685101545769</v>
      </c>
      <c r="CR9" s="24" t="str">
        <f t="shared" si="1"/>
        <v>1</v>
      </c>
      <c r="CS9" t="str">
        <f ca="1">IF((OFFSET($A$1, 9 - 1, 95 - 1)) &gt;= (OFFSET($A$1, 56 - 1, 7 - 1)), "1","0")</f>
        <v>1</v>
      </c>
      <c r="CT9">
        <f ca="1" xml:space="preserve"> IF( AND( OFFSET($A$1, 9 - 1, 96 - 1) = "1", OFFSET($A$1, 9 - 1, 97 - 1) = "1" ), 1, IF( AND( OFFSET($A$1, 9 - 1, 96 - 1) = "1", OFFSET($A$1, 9 - 1, 97 - 1) = "0" ), 2, IF( AND( OFFSET($A$1, 9 - 1, 96 - 1) = "0", OFFSET($A$1, 9 - 1, 97 - 1) = "1" ), 3, 4 ) ) )</f>
        <v>1</v>
      </c>
      <c r="CV9" s="24">
        <v>0.87518673238816325</v>
      </c>
      <c r="CW9" s="24" t="str">
        <f t="shared" si="0"/>
        <v>1</v>
      </c>
      <c r="CX9" t="str">
        <f ca="1">IF((OFFSET($A$1, 9 - 1, 100 - 1)) &gt;= (OFFSET($A$1, 80 - 1, 7 - 1)), "1","0")</f>
        <v>1</v>
      </c>
      <c r="CY9">
        <f ca="1" xml:space="preserve"> IF( AND( OFFSET($A$1, 9 - 1, 101 - 1) = "1", OFFSET($A$1, 9 - 1, 102 - 1) = "1" ), 1, IF( AND( OFFSET($A$1, 9 - 1, 101 - 1) = "1", OFFSET($A$1, 9 - 1, 102 - 1) = "0" ), 2, IF( AND( OFFSET($A$1, 9 - 1, 101 - 1) = "0", OFFSET($A$1, 9 - 1, 102 - 1) = "1" ), 3, 4 ) ) )</f>
        <v>1</v>
      </c>
    </row>
    <row r="10" spans="2:103" ht="18" x14ac:dyDescent="0.35">
      <c r="B10" s="22" t="s">
        <v>141</v>
      </c>
      <c r="CQ10" s="24">
        <v>0.99904333805030576</v>
      </c>
      <c r="CR10" s="24" t="str">
        <f t="shared" si="1"/>
        <v>1</v>
      </c>
      <c r="CS10" t="str">
        <f ca="1">IF((OFFSET($A$1, 10 - 1, 95 - 1)) &gt;= (OFFSET($A$1, 56 - 1, 7 - 1)), "1","0")</f>
        <v>1</v>
      </c>
      <c r="CT10">
        <f ca="1" xml:space="preserve"> IF( AND( OFFSET($A$1, 10 - 1, 96 - 1) = "1", OFFSET($A$1, 10 - 1, 97 - 1) = "1" ), 1, IF( AND( OFFSET($A$1, 10 - 1, 96 - 1) = "1", OFFSET($A$1, 10 - 1, 97 - 1) = "0" ), 2, IF( AND( OFFSET($A$1, 10 - 1, 96 - 1) = "0", OFFSET($A$1, 10 - 1, 97 - 1) = "1" ), 3, 4 ) ) )</f>
        <v>1</v>
      </c>
      <c r="CV10" s="24">
        <v>0.99855619943808371</v>
      </c>
      <c r="CW10" s="24" t="str">
        <f t="shared" si="0"/>
        <v>1</v>
      </c>
      <c r="CX10" t="str">
        <f ca="1">IF((OFFSET($A$1, 10 - 1, 100 - 1)) &gt;= (OFFSET($A$1, 80 - 1, 7 - 1)), "1","0")</f>
        <v>1</v>
      </c>
      <c r="CY10">
        <f ca="1" xml:space="preserve"> IF( AND( OFFSET($A$1, 10 - 1, 101 - 1) = "1", OFFSET($A$1, 10 - 1, 102 - 1) = "1" ), 1, IF( AND( OFFSET($A$1, 10 - 1, 101 - 1) = "1", OFFSET($A$1, 10 - 1, 102 - 1) = "0" ), 2, IF( AND( OFFSET($A$1, 10 - 1, 101 - 1) = "0", OFFSET($A$1, 10 - 1, 102 - 1) = "1" ), 3, 4 ) ) )</f>
        <v>1</v>
      </c>
    </row>
    <row r="11" spans="2:103" ht="13.8" x14ac:dyDescent="0.3">
      <c r="CQ11" s="24">
        <v>0.99078915377125842</v>
      </c>
      <c r="CR11" s="24" t="str">
        <f t="shared" si="1"/>
        <v>1</v>
      </c>
      <c r="CS11" t="str">
        <f ca="1">IF((OFFSET($A$1, 11 - 1, 95 - 1)) &gt;= (OFFSET($A$1, 56 - 1, 7 - 1)), "1","0")</f>
        <v>1</v>
      </c>
      <c r="CT11">
        <f ca="1" xml:space="preserve"> IF( AND( OFFSET($A$1, 11 - 1, 96 - 1) = "1", OFFSET($A$1, 11 - 1, 97 - 1) = "1" ), 1, IF( AND( OFFSET($A$1, 11 - 1, 96 - 1) = "1", OFFSET($A$1, 11 - 1, 97 - 1) = "0" ), 2, IF( AND( OFFSET($A$1, 11 - 1, 96 - 1) = "0", OFFSET($A$1, 11 - 1, 97 - 1) = "1" ), 3, 4 ) ) )</f>
        <v>1</v>
      </c>
      <c r="CV11" s="24">
        <v>0.38011915613006697</v>
      </c>
      <c r="CW11" s="24" t="str">
        <f>"0"</f>
        <v>0</v>
      </c>
      <c r="CX11" t="str">
        <f ca="1">IF((OFFSET($A$1, 11 - 1, 100 - 1)) &gt;= (OFFSET($A$1, 80 - 1, 7 - 1)), "1","0")</f>
        <v>0</v>
      </c>
      <c r="CY11">
        <f ca="1" xml:space="preserve"> IF( AND( OFFSET($A$1, 11 - 1, 101 - 1) = "1", OFFSET($A$1, 11 - 1, 102 - 1) = "1" ), 1, IF( AND( OFFSET($A$1, 11 - 1, 101 - 1) = "1", OFFSET($A$1, 11 - 1, 102 - 1) = "0" ), 2, IF( AND( OFFSET($A$1, 11 - 1, 101 - 1) = "0", OFFSET($A$1, 11 - 1, 102 - 1) = "1" ), 3, 4 ) ) )</f>
        <v>4</v>
      </c>
    </row>
    <row r="12" spans="2:103" ht="15.6" x14ac:dyDescent="0.3">
      <c r="C12" s="59" t="s">
        <v>142</v>
      </c>
      <c r="D12" s="60"/>
      <c r="E12" s="60"/>
      <c r="F12" s="60"/>
      <c r="G12" s="60"/>
      <c r="H12" s="60"/>
      <c r="I12" s="60"/>
      <c r="J12" s="60"/>
      <c r="K12" s="61"/>
      <c r="CQ12" s="24">
        <v>0.9935796028899766</v>
      </c>
      <c r="CR12" s="24" t="str">
        <f t="shared" si="1"/>
        <v>1</v>
      </c>
      <c r="CS12" t="str">
        <f ca="1">IF((OFFSET($A$1, 12 - 1, 95 - 1)) &gt;= (OFFSET($A$1, 56 - 1, 7 - 1)), "1","0")</f>
        <v>1</v>
      </c>
      <c r="CT12">
        <f ca="1" xml:space="preserve"> IF( AND( OFFSET($A$1, 12 - 1, 96 - 1) = "1", OFFSET($A$1, 12 - 1, 97 - 1) = "1" ), 1, IF( AND( OFFSET($A$1, 12 - 1, 96 - 1) = "1", OFFSET($A$1, 12 - 1, 97 - 1) = "0" ), 2, IF( AND( OFFSET($A$1, 12 - 1, 96 - 1) = "0", OFFSET($A$1, 12 - 1, 97 - 1) = "1" ), 3, 4 ) ) )</f>
        <v>1</v>
      </c>
      <c r="CV12" s="24">
        <v>0.99994360420218609</v>
      </c>
      <c r="CW12" s="24" t="str">
        <f>"1"</f>
        <v>1</v>
      </c>
      <c r="CX12" t="str">
        <f ca="1">IF((OFFSET($A$1, 12 - 1, 100 - 1)) &gt;= (OFFSET($A$1, 80 - 1, 7 - 1)), "1","0")</f>
        <v>1</v>
      </c>
      <c r="CY12">
        <f ca="1" xml:space="preserve"> IF( AND( OFFSET($A$1, 12 - 1, 101 - 1) = "1", OFFSET($A$1, 12 - 1, 102 - 1) = "1" ), 1, IF( AND( OFFSET($A$1, 12 - 1, 101 - 1) = "1", OFFSET($A$1, 12 - 1, 102 - 1) = "0" ), 2, IF( AND( OFFSET($A$1, 12 - 1, 101 - 1) = "0", OFFSET($A$1, 12 - 1, 102 - 1) = "1" ), 3, 4 ) ) )</f>
        <v>1</v>
      </c>
    </row>
    <row r="13" spans="2:103" ht="13.8" x14ac:dyDescent="0.3">
      <c r="C13" s="62" t="s">
        <v>143</v>
      </c>
      <c r="D13" s="63"/>
      <c r="E13" s="63"/>
      <c r="F13" s="64"/>
      <c r="G13" s="69" t="s">
        <v>144</v>
      </c>
      <c r="H13" s="70"/>
      <c r="I13" s="70"/>
      <c r="J13" s="70"/>
      <c r="K13" s="71"/>
      <c r="CQ13" s="24">
        <v>0.9984225876702556</v>
      </c>
      <c r="CR13" s="24" t="str">
        <f t="shared" si="1"/>
        <v>1</v>
      </c>
      <c r="CS13" t="str">
        <f ca="1">IF((OFFSET($A$1, 13 - 1, 95 - 1)) &gt;= (OFFSET($A$1, 56 - 1, 7 - 1)), "1","0")</f>
        <v>1</v>
      </c>
      <c r="CT13">
        <f ca="1" xml:space="preserve"> IF( AND( OFFSET($A$1, 13 - 1, 96 - 1) = "1", OFFSET($A$1, 13 - 1, 97 - 1) = "1" ), 1, IF( AND( OFFSET($A$1, 13 - 1, 96 - 1) = "1", OFFSET($A$1, 13 - 1, 97 - 1) = "0" ), 2, IF( AND( OFFSET($A$1, 13 - 1, 96 - 1) = "0", OFFSET($A$1, 13 - 1, 97 - 1) = "1" ), 3, 4 ) ) )</f>
        <v>1</v>
      </c>
      <c r="CV13" s="24">
        <v>0.99521419892203034</v>
      </c>
      <c r="CW13" s="24" t="str">
        <f>"1"</f>
        <v>1</v>
      </c>
      <c r="CX13" t="str">
        <f ca="1">IF((OFFSET($A$1, 13 - 1, 100 - 1)) &gt;= (OFFSET($A$1, 80 - 1, 7 - 1)), "1","0")</f>
        <v>1</v>
      </c>
      <c r="CY13">
        <f ca="1" xml:space="preserve"> IF( AND( OFFSET($A$1, 13 - 1, 101 - 1) = "1", OFFSET($A$1, 13 - 1, 102 - 1) = "1" ), 1, IF( AND( OFFSET($A$1, 13 - 1, 101 - 1) = "1", OFFSET($A$1, 13 - 1, 102 - 1) = "0" ), 2, IF( AND( OFFSET($A$1, 13 - 1, 101 - 1) = "0", OFFSET($A$1, 13 - 1, 102 - 1) = "1" ), 3, 4 ) ) )</f>
        <v>1</v>
      </c>
    </row>
    <row r="14" spans="2:103" ht="13.8" x14ac:dyDescent="0.3">
      <c r="C14" s="62" t="s">
        <v>145</v>
      </c>
      <c r="D14" s="63"/>
      <c r="E14" s="63"/>
      <c r="F14" s="64"/>
      <c r="G14" s="69" t="s">
        <v>184</v>
      </c>
      <c r="H14" s="70"/>
      <c r="I14" s="70"/>
      <c r="J14" s="70"/>
      <c r="K14" s="71"/>
      <c r="CQ14" s="24">
        <v>0.99979964238194874</v>
      </c>
      <c r="CR14" s="24" t="str">
        <f t="shared" si="1"/>
        <v>1</v>
      </c>
      <c r="CS14" t="str">
        <f ca="1">IF((OFFSET($A$1, 14 - 1, 95 - 1)) &gt;= (OFFSET($A$1, 56 - 1, 7 - 1)), "1","0")</f>
        <v>1</v>
      </c>
      <c r="CT14">
        <f ca="1" xml:space="preserve"> IF( AND( OFFSET($A$1, 14 - 1, 96 - 1) = "1", OFFSET($A$1, 14 - 1, 97 - 1) = "1" ), 1, IF( AND( OFFSET($A$1, 14 - 1, 96 - 1) = "1", OFFSET($A$1, 14 - 1, 97 - 1) = "0" ), 2, IF( AND( OFFSET($A$1, 14 - 1, 96 - 1) = "0", OFFSET($A$1, 14 - 1, 97 - 1) = "1" ), 3, 4 ) ) )</f>
        <v>1</v>
      </c>
      <c r="CV14" s="24">
        <v>0.97918933148538545</v>
      </c>
      <c r="CW14" s="24" t="str">
        <f>"0"</f>
        <v>0</v>
      </c>
      <c r="CX14" t="str">
        <f ca="1">IF((OFFSET($A$1, 14 - 1, 100 - 1)) &gt;= (OFFSET($A$1, 80 - 1, 7 - 1)), "1","0")</f>
        <v>1</v>
      </c>
      <c r="CY14">
        <f ca="1" xml:space="preserve"> IF( AND( OFFSET($A$1, 14 - 1, 101 - 1) = "1", OFFSET($A$1, 14 - 1, 102 - 1) = "1" ), 1, IF( AND( OFFSET($A$1, 14 - 1, 101 - 1) = "1", OFFSET($A$1, 14 - 1, 102 - 1) = "0" ), 2, IF( AND( OFFSET($A$1, 14 - 1, 101 - 1) = "0", OFFSET($A$1, 14 - 1, 102 - 1) = "1" ), 3, 4 ) ) )</f>
        <v>3</v>
      </c>
    </row>
    <row r="15" spans="2:103" ht="13.8" x14ac:dyDescent="0.3">
      <c r="C15" s="62" t="s">
        <v>185</v>
      </c>
      <c r="D15" s="63"/>
      <c r="E15" s="63"/>
      <c r="F15" s="64"/>
      <c r="G15" s="69">
        <v>600</v>
      </c>
      <c r="H15" s="70"/>
      <c r="I15" s="70"/>
      <c r="J15" s="70"/>
      <c r="K15" s="71"/>
      <c r="CQ15" s="24">
        <v>0.78962335252483251</v>
      </c>
      <c r="CR15" s="24" t="str">
        <f t="shared" si="1"/>
        <v>1</v>
      </c>
      <c r="CS15" t="str">
        <f ca="1">IF((OFFSET($A$1, 15 - 1, 95 - 1)) &gt;= (OFFSET($A$1, 56 - 1, 7 - 1)), "1","0")</f>
        <v>1</v>
      </c>
      <c r="CT15">
        <f ca="1" xml:space="preserve"> IF( AND( OFFSET($A$1, 15 - 1, 96 - 1) = "1", OFFSET($A$1, 15 - 1, 97 - 1) = "1" ), 1, IF( AND( OFFSET($A$1, 15 - 1, 96 - 1) = "1", OFFSET($A$1, 15 - 1, 97 - 1) = "0" ), 2, IF( AND( OFFSET($A$1, 15 - 1, 96 - 1) = "0", OFFSET($A$1, 15 - 1, 97 - 1) = "1" ), 3, 4 ) ) )</f>
        <v>1</v>
      </c>
      <c r="CV15" s="24">
        <v>0.86422205860243773</v>
      </c>
      <c r="CW15" s="24" t="str">
        <f>"1"</f>
        <v>1</v>
      </c>
      <c r="CX15" t="str">
        <f ca="1">IF((OFFSET($A$1, 15 - 1, 100 - 1)) &gt;= (OFFSET($A$1, 80 - 1, 7 - 1)), "1","0")</f>
        <v>1</v>
      </c>
      <c r="CY15">
        <f ca="1" xml:space="preserve"> IF( AND( OFFSET($A$1, 15 - 1, 101 - 1) = "1", OFFSET($A$1, 15 - 1, 102 - 1) = "1" ), 1, IF( AND( OFFSET($A$1, 15 - 1, 101 - 1) = "1", OFFSET($A$1, 15 - 1, 102 - 1) = "0" ), 2, IF( AND( OFFSET($A$1, 15 - 1, 101 - 1) = "0", OFFSET($A$1, 15 - 1, 102 - 1) = "1" ), 3, 4 ) ) )</f>
        <v>1</v>
      </c>
    </row>
    <row r="16" spans="2:103" ht="13.8" x14ac:dyDescent="0.3">
      <c r="C16" s="62" t="s">
        <v>186</v>
      </c>
      <c r="D16" s="63"/>
      <c r="E16" s="63"/>
      <c r="F16" s="64"/>
      <c r="G16" s="69">
        <v>400</v>
      </c>
      <c r="H16" s="70"/>
      <c r="I16" s="70"/>
      <c r="J16" s="70"/>
      <c r="K16" s="71"/>
      <c r="CQ16" s="24">
        <v>0.99272805309727108</v>
      </c>
      <c r="CR16" s="24" t="str">
        <f t="shared" si="1"/>
        <v>1</v>
      </c>
      <c r="CS16" t="str">
        <f ca="1">IF((OFFSET($A$1, 16 - 1, 95 - 1)) &gt;= (OFFSET($A$1, 56 - 1, 7 - 1)), "1","0")</f>
        <v>1</v>
      </c>
      <c r="CT16">
        <f ca="1" xml:space="preserve"> IF( AND( OFFSET($A$1, 16 - 1, 96 - 1) = "1", OFFSET($A$1, 16 - 1, 97 - 1) = "1" ), 1, IF( AND( OFFSET($A$1, 16 - 1, 96 - 1) = "1", OFFSET($A$1, 16 - 1, 97 - 1) = "0" ), 2, IF( AND( OFFSET($A$1, 16 - 1, 96 - 1) = "0", OFFSET($A$1, 16 - 1, 97 - 1) = "1" ), 3, 4 ) ) )</f>
        <v>1</v>
      </c>
      <c r="CV16" s="24">
        <v>0.99851926878590314</v>
      </c>
      <c r="CW16" s="24" t="str">
        <f>"1"</f>
        <v>1</v>
      </c>
      <c r="CX16" t="str">
        <f ca="1">IF((OFFSET($A$1, 16 - 1, 100 - 1)) &gt;= (OFFSET($A$1, 80 - 1, 7 - 1)), "1","0")</f>
        <v>1</v>
      </c>
      <c r="CY16">
        <f ca="1" xml:space="preserve"> IF( AND( OFFSET($A$1, 16 - 1, 101 - 1) = "1", OFFSET($A$1, 16 - 1, 102 - 1) = "1" ), 1, IF( AND( OFFSET($A$1, 16 - 1, 101 - 1) = "1", OFFSET($A$1, 16 - 1, 102 - 1) = "0" ), 2, IF( AND( OFFSET($A$1, 16 - 1, 101 - 1) = "0", OFFSET($A$1, 16 - 1, 102 - 1) = "1" ), 3, 4 ) ) )</f>
        <v>1</v>
      </c>
    </row>
    <row r="17" spans="3:103" ht="13.8" x14ac:dyDescent="0.3">
      <c r="CQ17" s="24">
        <v>0.9863403443059916</v>
      </c>
      <c r="CR17" s="24" t="str">
        <f t="shared" si="1"/>
        <v>1</v>
      </c>
      <c r="CS17" t="str">
        <f ca="1">IF((OFFSET($A$1, 17 - 1, 95 - 1)) &gt;= (OFFSET($A$1, 56 - 1, 7 - 1)), "1","0")</f>
        <v>1</v>
      </c>
      <c r="CT17">
        <f ca="1" xml:space="preserve"> IF( AND( OFFSET($A$1, 17 - 1, 96 - 1) = "1", OFFSET($A$1, 17 - 1, 97 - 1) = "1" ), 1, IF( AND( OFFSET($A$1, 17 - 1, 96 - 1) = "1", OFFSET($A$1, 17 - 1, 97 - 1) = "0" ), 2, IF( AND( OFFSET($A$1, 17 - 1, 96 - 1) = "0", OFFSET($A$1, 17 - 1, 97 - 1) = "1" ), 3, 4 ) ) )</f>
        <v>1</v>
      </c>
      <c r="CV17" s="24">
        <v>0.95968217194650773</v>
      </c>
      <c r="CW17" s="24" t="str">
        <f>"1"</f>
        <v>1</v>
      </c>
      <c r="CX17" t="str">
        <f ca="1">IF((OFFSET($A$1, 17 - 1, 100 - 1)) &gt;= (OFFSET($A$1, 80 - 1, 7 - 1)), "1","0")</f>
        <v>1</v>
      </c>
      <c r="CY17">
        <f ca="1" xml:space="preserve"> IF( AND( OFFSET($A$1, 17 - 1, 101 - 1) = "1", OFFSET($A$1, 17 - 1, 102 - 1) = "1" ), 1, IF( AND( OFFSET($A$1, 17 - 1, 101 - 1) = "1", OFFSET($A$1, 17 - 1, 102 - 1) = "0" ), 2, IF( AND( OFFSET($A$1, 17 - 1, 101 - 1) = "0", OFFSET($A$1, 17 - 1, 102 - 1) = "1" ), 3, 4 ) ) )</f>
        <v>1</v>
      </c>
    </row>
    <row r="18" spans="3:103" ht="15.6" x14ac:dyDescent="0.3">
      <c r="C18" s="59" t="s">
        <v>187</v>
      </c>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1"/>
      <c r="CQ18" s="24">
        <v>0.71223668515520988</v>
      </c>
      <c r="CR18" s="24" t="str">
        <f t="shared" si="1"/>
        <v>1</v>
      </c>
      <c r="CS18" t="str">
        <f ca="1">IF((OFFSET($A$1, 18 - 1, 95 - 1)) &gt;= (OFFSET($A$1, 56 - 1, 7 - 1)), "1","0")</f>
        <v>1</v>
      </c>
      <c r="CT18">
        <f ca="1" xml:space="preserve"> IF( AND( OFFSET($A$1, 18 - 1, 96 - 1) = "1", OFFSET($A$1, 18 - 1, 97 - 1) = "1" ), 1, IF( AND( OFFSET($A$1, 18 - 1, 96 - 1) = "1", OFFSET($A$1, 18 - 1, 97 - 1) = "0" ), 2, IF( AND( OFFSET($A$1, 18 - 1, 96 - 1) = "0", OFFSET($A$1, 18 - 1, 97 - 1) = "1" ), 3, 4 ) ) )</f>
        <v>1</v>
      </c>
      <c r="CV18" s="24">
        <v>0.9980107378115376</v>
      </c>
      <c r="CW18" s="24" t="str">
        <f>"0"</f>
        <v>0</v>
      </c>
      <c r="CX18" t="str">
        <f ca="1">IF((OFFSET($A$1, 18 - 1, 100 - 1)) &gt;= (OFFSET($A$1, 80 - 1, 7 - 1)), "1","0")</f>
        <v>1</v>
      </c>
      <c r="CY18">
        <f ca="1" xml:space="preserve"> IF( AND( OFFSET($A$1, 18 - 1, 101 - 1) = "1", OFFSET($A$1, 18 - 1, 102 - 1) = "1" ), 1, IF( AND( OFFSET($A$1, 18 - 1, 101 - 1) = "1", OFFSET($A$1, 18 - 1, 102 - 1) = "0" ), 2, IF( AND( OFFSET($A$1, 18 - 1, 101 - 1) = "0", OFFSET($A$1, 18 - 1, 102 - 1) = "1" ), 3, 4 ) ) )</f>
        <v>3</v>
      </c>
    </row>
    <row r="19" spans="3:103" ht="13.8" x14ac:dyDescent="0.3">
      <c r="C19" s="62" t="s">
        <v>188</v>
      </c>
      <c r="D19" s="64"/>
      <c r="E19" s="69">
        <v>45</v>
      </c>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1"/>
      <c r="CQ19" s="24">
        <v>0.85144419060764676</v>
      </c>
      <c r="CR19" s="24" t="str">
        <f t="shared" si="1"/>
        <v>1</v>
      </c>
      <c r="CS19" t="str">
        <f ca="1">IF((OFFSET($A$1, 19 - 1, 95 - 1)) &gt;= (OFFSET($A$1, 56 - 1, 7 - 1)), "1","0")</f>
        <v>1</v>
      </c>
      <c r="CT19">
        <f ca="1" xml:space="preserve"> IF( AND( OFFSET($A$1, 19 - 1, 96 - 1) = "1", OFFSET($A$1, 19 - 1, 97 - 1) = "1" ), 1, IF( AND( OFFSET($A$1, 19 - 1, 96 - 1) = "1", OFFSET($A$1, 19 - 1, 97 - 1) = "0" ), 2, IF( AND( OFFSET($A$1, 19 - 1, 96 - 1) = "0", OFFSET($A$1, 19 - 1, 97 - 1) = "1" ), 3, 4 ) ) )</f>
        <v>1</v>
      </c>
      <c r="CV19" s="24">
        <v>0.8122597536058922</v>
      </c>
      <c r="CW19" s="24" t="str">
        <f t="shared" ref="CW19:CW24" si="2">"1"</f>
        <v>1</v>
      </c>
      <c r="CX19" t="str">
        <f ca="1">IF((OFFSET($A$1, 19 - 1, 100 - 1)) &gt;= (OFFSET($A$1, 80 - 1, 7 - 1)), "1","0")</f>
        <v>1</v>
      </c>
      <c r="CY19">
        <f ca="1" xml:space="preserve"> IF( AND( OFFSET($A$1, 19 - 1, 101 - 1) = "1", OFFSET($A$1, 19 - 1, 102 - 1) = "1" ), 1, IF( AND( OFFSET($A$1, 19 - 1, 101 - 1) = "1", OFFSET($A$1, 19 - 1, 102 - 1) = "0" ), 2, IF( AND( OFFSET($A$1, 19 - 1, 101 - 1) = "0", OFFSET($A$1, 19 - 1, 102 - 1) = "1" ), 3, 4 ) ) )</f>
        <v>1</v>
      </c>
    </row>
    <row r="20" spans="3:103" ht="13.8" x14ac:dyDescent="0.3">
      <c r="C20" s="62" t="s">
        <v>189</v>
      </c>
      <c r="D20" s="64"/>
      <c r="E20" s="24" t="s">
        <v>0</v>
      </c>
      <c r="F20" s="24" t="s">
        <v>68</v>
      </c>
      <c r="G20" s="24" t="s">
        <v>69</v>
      </c>
      <c r="H20" s="24" t="s">
        <v>70</v>
      </c>
      <c r="I20" s="24" t="s">
        <v>71</v>
      </c>
      <c r="J20" s="24" t="s">
        <v>81</v>
      </c>
      <c r="K20" s="24" t="s">
        <v>72</v>
      </c>
      <c r="L20" s="24" t="s">
        <v>2</v>
      </c>
      <c r="M20" s="24" t="s">
        <v>6</v>
      </c>
      <c r="N20" s="24" t="s">
        <v>74</v>
      </c>
      <c r="O20" s="24" t="s">
        <v>75</v>
      </c>
      <c r="P20" s="24" t="s">
        <v>76</v>
      </c>
      <c r="Q20" s="24" t="s">
        <v>73</v>
      </c>
      <c r="R20" s="24" t="s">
        <v>77</v>
      </c>
      <c r="S20" s="24" t="s">
        <v>78</v>
      </c>
      <c r="T20" s="24" t="s">
        <v>82</v>
      </c>
      <c r="U20" s="24" t="s">
        <v>8</v>
      </c>
      <c r="V20" s="24" t="s">
        <v>79</v>
      </c>
      <c r="W20" s="24" t="s">
        <v>80</v>
      </c>
      <c r="X20" s="24" t="s">
        <v>83</v>
      </c>
      <c r="Y20" s="24" t="s">
        <v>9</v>
      </c>
      <c r="Z20" s="24" t="s">
        <v>11</v>
      </c>
      <c r="AA20" s="24" t="s">
        <v>12</v>
      </c>
      <c r="AB20" s="24" t="s">
        <v>13</v>
      </c>
      <c r="AC20" s="24" t="s">
        <v>152</v>
      </c>
      <c r="AD20" s="24" t="s">
        <v>153</v>
      </c>
      <c r="AE20" s="24" t="s">
        <v>154</v>
      </c>
      <c r="AF20" s="24" t="s">
        <v>156</v>
      </c>
      <c r="AG20" s="24" t="s">
        <v>157</v>
      </c>
      <c r="AH20" s="24" t="s">
        <v>158</v>
      </c>
      <c r="AI20" s="24" t="s">
        <v>159</v>
      </c>
      <c r="AJ20" s="24" t="s">
        <v>161</v>
      </c>
      <c r="AK20" s="24" t="s">
        <v>162</v>
      </c>
      <c r="AL20" s="24" t="s">
        <v>163</v>
      </c>
      <c r="AM20" s="24" t="s">
        <v>164</v>
      </c>
      <c r="AN20" s="24" t="s">
        <v>166</v>
      </c>
      <c r="AO20" s="24" t="s">
        <v>167</v>
      </c>
      <c r="AP20" s="24" t="s">
        <v>168</v>
      </c>
      <c r="AQ20" s="24" t="s">
        <v>169</v>
      </c>
      <c r="AR20" s="24" t="s">
        <v>171</v>
      </c>
      <c r="AS20" s="24" t="s">
        <v>172</v>
      </c>
      <c r="AT20" s="24" t="s">
        <v>173</v>
      </c>
      <c r="AU20" s="24" t="s">
        <v>176</v>
      </c>
      <c r="AV20" s="24" t="s">
        <v>177</v>
      </c>
      <c r="AW20" s="24" t="s">
        <v>178</v>
      </c>
      <c r="CQ20" s="24">
        <v>0.98110554631048785</v>
      </c>
      <c r="CR20" s="24" t="str">
        <f t="shared" si="1"/>
        <v>1</v>
      </c>
      <c r="CS20" t="str">
        <f ca="1">IF((OFFSET($A$1, 20 - 1, 95 - 1)) &gt;= (OFFSET($A$1, 56 - 1, 7 - 1)), "1","0")</f>
        <v>1</v>
      </c>
      <c r="CT20">
        <f ca="1" xml:space="preserve"> IF( AND( OFFSET($A$1, 20 - 1, 96 - 1) = "1", OFFSET($A$1, 20 - 1, 97 - 1) = "1" ), 1, IF( AND( OFFSET($A$1, 20 - 1, 96 - 1) = "1", OFFSET($A$1, 20 - 1, 97 - 1) = "0" ), 2, IF( AND( OFFSET($A$1, 20 - 1, 96 - 1) = "0", OFFSET($A$1, 20 - 1, 97 - 1) = "1" ), 3, 4 ) ) )</f>
        <v>1</v>
      </c>
      <c r="CV20" s="24">
        <v>0.17870268669776404</v>
      </c>
      <c r="CW20" s="24" t="str">
        <f t="shared" si="2"/>
        <v>1</v>
      </c>
      <c r="CX20" t="str">
        <f ca="1">IF((OFFSET($A$1, 20 - 1, 100 - 1)) &gt;= (OFFSET($A$1, 80 - 1, 7 - 1)), "1","0")</f>
        <v>0</v>
      </c>
      <c r="CY20">
        <f ca="1" xml:space="preserve"> IF( AND( OFFSET($A$1, 20 - 1, 101 - 1) = "1", OFFSET($A$1, 20 - 1, 102 - 1) = "1" ), 1, IF( AND( OFFSET($A$1, 20 - 1, 101 - 1) = "1", OFFSET($A$1, 20 - 1, 102 - 1) = "0" ), 2, IF( AND( OFFSET($A$1, 20 - 1, 101 - 1) = "0", OFFSET($A$1, 20 - 1, 102 - 1) = "1" ), 3, 4 ) ) )</f>
        <v>2</v>
      </c>
    </row>
    <row r="21" spans="3:103" ht="13.8" x14ac:dyDescent="0.3">
      <c r="C21" s="62" t="s">
        <v>190</v>
      </c>
      <c r="D21" s="64"/>
      <c r="E21" s="67" t="s">
        <v>14</v>
      </c>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6"/>
      <c r="CQ21" s="24">
        <v>0.94300919810492601</v>
      </c>
      <c r="CR21" s="24" t="str">
        <f t="shared" si="1"/>
        <v>1</v>
      </c>
      <c r="CS21" t="str">
        <f ca="1">IF((OFFSET($A$1, 21 - 1, 95 - 1)) &gt;= (OFFSET($A$1, 56 - 1, 7 - 1)), "1","0")</f>
        <v>1</v>
      </c>
      <c r="CT21">
        <f ca="1" xml:space="preserve"> IF( AND( OFFSET($A$1, 21 - 1, 96 - 1) = "1", OFFSET($A$1, 21 - 1, 97 - 1) = "1" ), 1, IF( AND( OFFSET($A$1, 21 - 1, 96 - 1) = "1", OFFSET($A$1, 21 - 1, 97 - 1) = "0" ), 2, IF( AND( OFFSET($A$1, 21 - 1, 96 - 1) = "0", OFFSET($A$1, 21 - 1, 97 - 1) = "1" ), 3, 4 ) ) )</f>
        <v>1</v>
      </c>
      <c r="CV21" s="24">
        <v>0.84237947857989726</v>
      </c>
      <c r="CW21" s="24" t="str">
        <f t="shared" si="2"/>
        <v>1</v>
      </c>
      <c r="CX21" t="str">
        <f ca="1">IF((OFFSET($A$1, 21 - 1, 100 - 1)) &gt;= (OFFSET($A$1, 80 - 1, 7 - 1)), "1","0")</f>
        <v>1</v>
      </c>
      <c r="CY21">
        <f ca="1" xml:space="preserve"> IF( AND( OFFSET($A$1, 21 - 1, 101 - 1) = "1", OFFSET($A$1, 21 - 1, 102 - 1) = "1" ), 1, IF( AND( OFFSET($A$1, 21 - 1, 101 - 1) = "1", OFFSET($A$1, 21 - 1, 102 - 1) = "0" ), 2, IF( AND( OFFSET($A$1, 21 - 1, 101 - 1) = "0", OFFSET($A$1, 21 - 1, 102 - 1) = "1" ), 3, 4 ) ) )</f>
        <v>1</v>
      </c>
    </row>
    <row r="22" spans="3:103" ht="13.8" x14ac:dyDescent="0.3">
      <c r="CQ22" s="24">
        <v>0.9989716096179454</v>
      </c>
      <c r="CR22" s="24" t="str">
        <f t="shared" si="1"/>
        <v>1</v>
      </c>
      <c r="CS22" t="str">
        <f ca="1">IF((OFFSET($A$1, 22 - 1, 95 - 1)) &gt;= (OFFSET($A$1, 56 - 1, 7 - 1)), "1","0")</f>
        <v>1</v>
      </c>
      <c r="CT22">
        <f ca="1" xml:space="preserve"> IF( AND( OFFSET($A$1, 22 - 1, 96 - 1) = "1", OFFSET($A$1, 22 - 1, 97 - 1) = "1" ), 1, IF( AND( OFFSET($A$1, 22 - 1, 96 - 1) = "1", OFFSET($A$1, 22 - 1, 97 - 1) = "0" ), 2, IF( AND( OFFSET($A$1, 22 - 1, 96 - 1) = "0", OFFSET($A$1, 22 - 1, 97 - 1) = "1" ), 3, 4 ) ) )</f>
        <v>1</v>
      </c>
      <c r="CV22" s="24">
        <v>1.9075647656516714E-2</v>
      </c>
      <c r="CW22" s="24" t="str">
        <f t="shared" si="2"/>
        <v>1</v>
      </c>
      <c r="CX22" t="str">
        <f ca="1">IF((OFFSET($A$1, 22 - 1, 100 - 1)) &gt;= (OFFSET($A$1, 80 - 1, 7 - 1)), "1","0")</f>
        <v>0</v>
      </c>
      <c r="CY22">
        <f ca="1" xml:space="preserve"> IF( AND( OFFSET($A$1, 22 - 1, 101 - 1) = "1", OFFSET($A$1, 22 - 1, 102 - 1) = "1" ), 1, IF( AND( OFFSET($A$1, 22 - 1, 101 - 1) = "1", OFFSET($A$1, 22 - 1, 102 - 1) = "0" ), 2, IF( AND( OFFSET($A$1, 22 - 1, 101 - 1) = "0", OFFSET($A$1, 22 - 1, 102 - 1) = "1" ), 3, 4 ) ) )</f>
        <v>2</v>
      </c>
    </row>
    <row r="23" spans="3:103" ht="15.6" x14ac:dyDescent="0.3">
      <c r="C23" s="59" t="s">
        <v>191</v>
      </c>
      <c r="D23" s="60"/>
      <c r="E23" s="60"/>
      <c r="F23" s="60"/>
      <c r="G23" s="60"/>
      <c r="H23" s="60"/>
      <c r="I23" s="60"/>
      <c r="J23" s="61"/>
      <c r="CQ23" s="24">
        <v>0.93744150776761548</v>
      </c>
      <c r="CR23" s="24" t="str">
        <f t="shared" si="1"/>
        <v>1</v>
      </c>
      <c r="CS23" t="str">
        <f ca="1">IF((OFFSET($A$1, 23 - 1, 95 - 1)) &gt;= (OFFSET($A$1, 56 - 1, 7 - 1)), "1","0")</f>
        <v>1</v>
      </c>
      <c r="CT23">
        <f ca="1" xml:space="preserve"> IF( AND( OFFSET($A$1, 23 - 1, 96 - 1) = "1", OFFSET($A$1, 23 - 1, 97 - 1) = "1" ), 1, IF( AND( OFFSET($A$1, 23 - 1, 96 - 1) = "1", OFFSET($A$1, 23 - 1, 97 - 1) = "0" ), 2, IF( AND( OFFSET($A$1, 23 - 1, 96 - 1) = "0", OFFSET($A$1, 23 - 1, 97 - 1) = "1" ), 3, 4 ) ) )</f>
        <v>1</v>
      </c>
      <c r="CV23" s="24">
        <v>0.91732601658999491</v>
      </c>
      <c r="CW23" s="24" t="str">
        <f t="shared" si="2"/>
        <v>1</v>
      </c>
      <c r="CX23" t="str">
        <f ca="1">IF((OFFSET($A$1, 23 - 1, 100 - 1)) &gt;= (OFFSET($A$1, 80 - 1, 7 - 1)), "1","0")</f>
        <v>1</v>
      </c>
      <c r="CY23">
        <f ca="1" xml:space="preserve"> IF( AND( OFFSET($A$1, 23 - 1, 101 - 1) = "1", OFFSET($A$1, 23 - 1, 102 - 1) = "1" ), 1, IF( AND( OFFSET($A$1, 23 - 1, 101 - 1) = "1", OFFSET($A$1, 23 - 1, 102 - 1) = "0" ), 2, IF( AND( OFFSET($A$1, 23 - 1, 101 - 1) = "0", OFFSET($A$1, 23 - 1, 102 - 1) = "1" ), 3, 4 ) ) )</f>
        <v>1</v>
      </c>
    </row>
    <row r="24" spans="3:103" ht="13.8" x14ac:dyDescent="0.3">
      <c r="C24" s="62" t="s">
        <v>192</v>
      </c>
      <c r="D24" s="63"/>
      <c r="E24" s="63"/>
      <c r="F24" s="64"/>
      <c r="G24" s="69" t="s">
        <v>193</v>
      </c>
      <c r="H24" s="70"/>
      <c r="I24" s="70"/>
      <c r="J24" s="71"/>
      <c r="CQ24" s="24">
        <v>0.9076765617785193</v>
      </c>
      <c r="CR24" s="24" t="str">
        <f t="shared" si="1"/>
        <v>1</v>
      </c>
      <c r="CS24" t="str">
        <f ca="1">IF((OFFSET($A$1, 24 - 1, 95 - 1)) &gt;= (OFFSET($A$1, 56 - 1, 7 - 1)), "1","0")</f>
        <v>1</v>
      </c>
      <c r="CT24">
        <f ca="1" xml:space="preserve"> IF( AND( OFFSET($A$1, 24 - 1, 96 - 1) = "1", OFFSET($A$1, 24 - 1, 97 - 1) = "1" ), 1, IF( AND( OFFSET($A$1, 24 - 1, 96 - 1) = "1", OFFSET($A$1, 24 - 1, 97 - 1) = "0" ), 2, IF( AND( OFFSET($A$1, 24 - 1, 96 - 1) = "0", OFFSET($A$1, 24 - 1, 97 - 1) = "1" ), 3, 4 ) ) )</f>
        <v>1</v>
      </c>
      <c r="CV24" s="24">
        <v>0.60306239763263936</v>
      </c>
      <c r="CW24" s="24" t="str">
        <f t="shared" si="2"/>
        <v>1</v>
      </c>
      <c r="CX24" t="str">
        <f ca="1">IF((OFFSET($A$1, 24 - 1, 100 - 1)) &gt;= (OFFSET($A$1, 80 - 1, 7 - 1)), "1","0")</f>
        <v>1</v>
      </c>
      <c r="CY24">
        <f ca="1" xml:space="preserve"> IF( AND( OFFSET($A$1, 24 - 1, 101 - 1) = "1", OFFSET($A$1, 24 - 1, 102 - 1) = "1" ), 1, IF( AND( OFFSET($A$1, 24 - 1, 101 - 1) = "1", OFFSET($A$1, 24 - 1, 102 - 1) = "0" ), 2, IF( AND( OFFSET($A$1, 24 - 1, 101 - 1) = "0", OFFSET($A$1, 24 - 1, 102 - 1) = "1" ), 3, 4 ) ) )</f>
        <v>1</v>
      </c>
    </row>
    <row r="25" spans="3:103" ht="13.8" x14ac:dyDescent="0.3">
      <c r="C25" s="62" t="s">
        <v>194</v>
      </c>
      <c r="D25" s="63"/>
      <c r="E25" s="63"/>
      <c r="F25" s="64"/>
      <c r="G25" s="69" t="s">
        <v>695</v>
      </c>
      <c r="H25" s="70"/>
      <c r="I25" s="70"/>
      <c r="J25" s="71"/>
      <c r="CQ25" s="24">
        <v>0.15705154876516966</v>
      </c>
      <c r="CR25" s="24" t="str">
        <f>"0"</f>
        <v>0</v>
      </c>
      <c r="CS25" t="str">
        <f ca="1">IF((OFFSET($A$1, 25 - 1, 95 - 1)) &gt;= (OFFSET($A$1, 56 - 1, 7 - 1)), "1","0")</f>
        <v>0</v>
      </c>
      <c r="CT25">
        <f ca="1" xml:space="preserve"> IF( AND( OFFSET($A$1, 25 - 1, 96 - 1) = "1", OFFSET($A$1, 25 - 1, 97 - 1) = "1" ), 1, IF( AND( OFFSET($A$1, 25 - 1, 96 - 1) = "1", OFFSET($A$1, 25 - 1, 97 - 1) = "0" ), 2, IF( AND( OFFSET($A$1, 25 - 1, 96 - 1) = "0", OFFSET($A$1, 25 - 1, 97 - 1) = "1" ), 3, 4 ) ) )</f>
        <v>4</v>
      </c>
      <c r="CV25" s="24">
        <v>5.7089874569828537E-2</v>
      </c>
      <c r="CW25" s="24" t="str">
        <f>"0"</f>
        <v>0</v>
      </c>
      <c r="CX25" t="str">
        <f ca="1">IF((OFFSET($A$1, 25 - 1, 100 - 1)) &gt;= (OFFSET($A$1, 80 - 1, 7 - 1)), "1","0")</f>
        <v>0</v>
      </c>
      <c r="CY25">
        <f ca="1" xml:space="preserve"> IF( AND( OFFSET($A$1, 25 - 1, 101 - 1) = "1", OFFSET($A$1, 25 - 1, 102 - 1) = "1" ), 1, IF( AND( OFFSET($A$1, 25 - 1, 101 - 1) = "1", OFFSET($A$1, 25 - 1, 102 - 1) = "0" ), 2, IF( AND( OFFSET($A$1, 25 - 1, 101 - 1) = "0", OFFSET($A$1, 25 - 1, 102 - 1) = "1" ), 3, 4 ) ) )</f>
        <v>4</v>
      </c>
    </row>
    <row r="26" spans="3:103" ht="13.8" x14ac:dyDescent="0.3">
      <c r="C26" s="62" t="s">
        <v>196</v>
      </c>
      <c r="D26" s="63"/>
      <c r="E26" s="63"/>
      <c r="F26" s="64"/>
      <c r="G26" s="69">
        <v>12345</v>
      </c>
      <c r="H26" s="70"/>
      <c r="I26" s="70"/>
      <c r="J26" s="71"/>
      <c r="CQ26" s="24">
        <v>0.99950926166934062</v>
      </c>
      <c r="CR26" s="24" t="str">
        <f>"1"</f>
        <v>1</v>
      </c>
      <c r="CS26" t="str">
        <f ca="1">IF((OFFSET($A$1, 26 - 1, 95 - 1)) &gt;= (OFFSET($A$1, 56 - 1, 7 - 1)), "1","0")</f>
        <v>1</v>
      </c>
      <c r="CT26">
        <f ca="1" xml:space="preserve"> IF( AND( OFFSET($A$1, 26 - 1, 96 - 1) = "1", OFFSET($A$1, 26 - 1, 97 - 1) = "1" ), 1, IF( AND( OFFSET($A$1, 26 - 1, 96 - 1) = "1", OFFSET($A$1, 26 - 1, 97 - 1) = "0" ), 2, IF( AND( OFFSET($A$1, 26 - 1, 96 - 1) = "0", OFFSET($A$1, 26 - 1, 97 - 1) = "1" ), 3, 4 ) ) )</f>
        <v>1</v>
      </c>
      <c r="CV26" s="24">
        <v>0.98358977098315314</v>
      </c>
      <c r="CW26" s="24" t="str">
        <f>"0"</f>
        <v>0</v>
      </c>
      <c r="CX26" t="str">
        <f ca="1">IF((OFFSET($A$1, 26 - 1, 100 - 1)) &gt;= (OFFSET($A$1, 80 - 1, 7 - 1)), "1","0")</f>
        <v>1</v>
      </c>
      <c r="CY26">
        <f ca="1" xml:space="preserve"> IF( AND( OFFSET($A$1, 26 - 1, 101 - 1) = "1", OFFSET($A$1, 26 - 1, 102 - 1) = "1" ), 1, IF( AND( OFFSET($A$1, 26 - 1, 101 - 1) = "1", OFFSET($A$1, 26 - 1, 102 - 1) = "0" ), 2, IF( AND( OFFSET($A$1, 26 - 1, 101 - 1) = "0", OFFSET($A$1, 26 - 1, 102 - 1) = "1" ), 3, 4 ) ) )</f>
        <v>3</v>
      </c>
    </row>
    <row r="27" spans="3:103" ht="13.8" x14ac:dyDescent="0.3">
      <c r="C27" s="62" t="s">
        <v>652</v>
      </c>
      <c r="D27" s="63"/>
      <c r="E27" s="63"/>
      <c r="F27" s="64"/>
      <c r="G27" s="69">
        <v>1</v>
      </c>
      <c r="H27" s="70"/>
      <c r="I27" s="70"/>
      <c r="J27" s="71"/>
      <c r="CQ27" s="24">
        <v>0.99538869487725168</v>
      </c>
      <c r="CR27" s="24" t="str">
        <f>"1"</f>
        <v>1</v>
      </c>
      <c r="CS27" t="str">
        <f ca="1">IF((OFFSET($A$1, 27 - 1, 95 - 1)) &gt;= (OFFSET($A$1, 56 - 1, 7 - 1)), "1","0")</f>
        <v>1</v>
      </c>
      <c r="CT27">
        <f ca="1" xml:space="preserve"> IF( AND( OFFSET($A$1, 27 - 1, 96 - 1) = "1", OFFSET($A$1, 27 - 1, 97 - 1) = "1" ), 1, IF( AND( OFFSET($A$1, 27 - 1, 96 - 1) = "1", OFFSET($A$1, 27 - 1, 97 - 1) = "0" ), 2, IF( AND( OFFSET($A$1, 27 - 1, 96 - 1) = "0", OFFSET($A$1, 27 - 1, 97 - 1) = "1" ), 3, 4 ) ) )</f>
        <v>1</v>
      </c>
      <c r="CV27" s="24">
        <v>0.9892208601818745</v>
      </c>
      <c r="CW27" s="24" t="str">
        <f>"1"</f>
        <v>1</v>
      </c>
      <c r="CX27" t="str">
        <f ca="1">IF((OFFSET($A$1, 27 - 1, 100 - 1)) &gt;= (OFFSET($A$1, 80 - 1, 7 - 1)), "1","0")</f>
        <v>1</v>
      </c>
      <c r="CY27">
        <f ca="1" xml:space="preserve"> IF( AND( OFFSET($A$1, 27 - 1, 101 - 1) = "1", OFFSET($A$1, 27 - 1, 102 - 1) = "1" ), 1, IF( AND( OFFSET($A$1, 27 - 1, 101 - 1) = "1", OFFSET($A$1, 27 - 1, 102 - 1) = "0" ), 2, IF( AND( OFFSET($A$1, 27 - 1, 101 - 1) = "0", OFFSET($A$1, 27 - 1, 102 - 1) = "1" ), 3, 4 ) ) )</f>
        <v>1</v>
      </c>
    </row>
    <row r="28" spans="3:103" ht="13.8" x14ac:dyDescent="0.3">
      <c r="C28" s="62" t="s">
        <v>696</v>
      </c>
      <c r="D28" s="63"/>
      <c r="E28" s="63"/>
      <c r="F28" s="64"/>
      <c r="G28" s="69">
        <v>13</v>
      </c>
      <c r="H28" s="70"/>
      <c r="I28" s="70"/>
      <c r="J28" s="71"/>
      <c r="CQ28" s="24">
        <v>0.99519694035527528</v>
      </c>
      <c r="CR28" s="24" t="str">
        <f>"1"</f>
        <v>1</v>
      </c>
      <c r="CS28" t="str">
        <f ca="1">IF((OFFSET($A$1, 28 - 1, 95 - 1)) &gt;= (OFFSET($A$1, 56 - 1, 7 - 1)), "1","0")</f>
        <v>1</v>
      </c>
      <c r="CT28">
        <f ca="1" xml:space="preserve"> IF( AND( OFFSET($A$1, 28 - 1, 96 - 1) = "1", OFFSET($A$1, 28 - 1, 97 - 1) = "1" ), 1, IF( AND( OFFSET($A$1, 28 - 1, 96 - 1) = "1", OFFSET($A$1, 28 - 1, 97 - 1) = "0" ), 2, IF( AND( OFFSET($A$1, 28 - 1, 96 - 1) = "0", OFFSET($A$1, 28 - 1, 97 - 1) = "1" ), 3, 4 ) ) )</f>
        <v>1</v>
      </c>
      <c r="CV28" s="24">
        <v>9.6345160508225766E-2</v>
      </c>
      <c r="CW28" s="24" t="str">
        <f>"0"</f>
        <v>0</v>
      </c>
      <c r="CX28" t="str">
        <f ca="1">IF((OFFSET($A$1, 28 - 1, 100 - 1)) &gt;= (OFFSET($A$1, 80 - 1, 7 - 1)), "1","0")</f>
        <v>0</v>
      </c>
      <c r="CY28">
        <f ca="1" xml:space="preserve"> IF( AND( OFFSET($A$1, 28 - 1, 101 - 1) = "1", OFFSET($A$1, 28 - 1, 102 - 1) = "1" ), 1, IF( AND( OFFSET($A$1, 28 - 1, 101 - 1) = "1", OFFSET($A$1, 28 - 1, 102 - 1) = "0" ), 2, IF( AND( OFFSET($A$1, 28 - 1, 101 - 1) = "0", OFFSET($A$1, 28 - 1, 102 - 1) = "1" ), 3, 4 ) ) )</f>
        <v>4</v>
      </c>
    </row>
    <row r="29" spans="3:103" ht="13.8" x14ac:dyDescent="0.3">
      <c r="C29" s="62" t="s">
        <v>200</v>
      </c>
      <c r="D29" s="63"/>
      <c r="E29" s="63"/>
      <c r="F29" s="64"/>
      <c r="G29" s="69">
        <v>30</v>
      </c>
      <c r="H29" s="70"/>
      <c r="I29" s="70"/>
      <c r="J29" s="71"/>
      <c r="CQ29" s="24">
        <v>0.99999109447287227</v>
      </c>
      <c r="CR29" s="24" t="str">
        <f>"1"</f>
        <v>1</v>
      </c>
      <c r="CS29" t="str">
        <f ca="1">IF((OFFSET($A$1, 29 - 1, 95 - 1)) &gt;= (OFFSET($A$1, 56 - 1, 7 - 1)), "1","0")</f>
        <v>1</v>
      </c>
      <c r="CT29">
        <f ca="1" xml:space="preserve"> IF( AND( OFFSET($A$1, 29 - 1, 96 - 1) = "1", OFFSET($A$1, 29 - 1, 97 - 1) = "1" ), 1, IF( AND( OFFSET($A$1, 29 - 1, 96 - 1) = "1", OFFSET($A$1, 29 - 1, 97 - 1) = "0" ), 2, IF( AND( OFFSET($A$1, 29 - 1, 96 - 1) = "0", OFFSET($A$1, 29 - 1, 97 - 1) = "1" ), 3, 4 ) ) )</f>
        <v>1</v>
      </c>
      <c r="CV29" s="24">
        <v>0.9998300293231559</v>
      </c>
      <c r="CW29" s="24" t="str">
        <f>"1"</f>
        <v>1</v>
      </c>
      <c r="CX29" t="str">
        <f ca="1">IF((OFFSET($A$1, 29 - 1, 100 - 1)) &gt;= (OFFSET($A$1, 80 - 1, 7 - 1)), "1","0")</f>
        <v>1</v>
      </c>
      <c r="CY29">
        <f ca="1" xml:space="preserve"> IF( AND( OFFSET($A$1, 29 - 1, 101 - 1) = "1", OFFSET($A$1, 29 - 1, 102 - 1) = "1" ), 1, IF( AND( OFFSET($A$1, 29 - 1, 101 - 1) = "1", OFFSET($A$1, 29 - 1, 102 - 1) = "0" ), 2, IF( AND( OFFSET($A$1, 29 - 1, 101 - 1) = "0", OFFSET($A$1, 29 - 1, 102 - 1) = "1" ), 3, 4 ) ) )</f>
        <v>1</v>
      </c>
    </row>
    <row r="30" spans="3:103" ht="13.8" x14ac:dyDescent="0.3">
      <c r="C30" s="62" t="s">
        <v>201</v>
      </c>
      <c r="D30" s="63"/>
      <c r="E30" s="63"/>
      <c r="F30" s="64"/>
      <c r="G30" s="69">
        <v>0.1</v>
      </c>
      <c r="H30" s="70"/>
      <c r="I30" s="70"/>
      <c r="J30" s="71"/>
      <c r="CQ30" s="24">
        <v>0.86575535941293624</v>
      </c>
      <c r="CR30" s="24" t="str">
        <f>"1"</f>
        <v>1</v>
      </c>
      <c r="CS30" t="str">
        <f ca="1">IF((OFFSET($A$1, 30 - 1, 95 - 1)) &gt;= (OFFSET($A$1, 56 - 1, 7 - 1)), "1","0")</f>
        <v>1</v>
      </c>
      <c r="CT30">
        <f ca="1" xml:space="preserve"> IF( AND( OFFSET($A$1, 30 - 1, 96 - 1) = "1", OFFSET($A$1, 30 - 1, 97 - 1) = "1" ), 1, IF( AND( OFFSET($A$1, 30 - 1, 96 - 1) = "1", OFFSET($A$1, 30 - 1, 97 - 1) = "0" ), 2, IF( AND( OFFSET($A$1, 30 - 1, 96 - 1) = "0", OFFSET($A$1, 30 - 1, 97 - 1) = "1" ), 3, 4 ) ) )</f>
        <v>1</v>
      </c>
      <c r="CV30" s="24">
        <v>0.90050603664052165</v>
      </c>
      <c r="CW30" s="24" t="str">
        <f>"1"</f>
        <v>1</v>
      </c>
      <c r="CX30" t="str">
        <f ca="1">IF((OFFSET($A$1, 30 - 1, 100 - 1)) &gt;= (OFFSET($A$1, 80 - 1, 7 - 1)), "1","0")</f>
        <v>1</v>
      </c>
      <c r="CY30">
        <f ca="1" xml:space="preserve"> IF( AND( OFFSET($A$1, 30 - 1, 101 - 1) = "1", OFFSET($A$1, 30 - 1, 102 - 1) = "1" ), 1, IF( AND( OFFSET($A$1, 30 - 1, 101 - 1) = "1", OFFSET($A$1, 30 - 1, 102 - 1) = "0" ), 2, IF( AND( OFFSET($A$1, 30 - 1, 101 - 1) = "0", OFFSET($A$1, 30 - 1, 102 - 1) = "1" ), 3, 4 ) ) )</f>
        <v>1</v>
      </c>
    </row>
    <row r="31" spans="3:103" ht="13.8" x14ac:dyDescent="0.3">
      <c r="C31" s="62" t="s">
        <v>202</v>
      </c>
      <c r="D31" s="63"/>
      <c r="E31" s="63"/>
      <c r="F31" s="64"/>
      <c r="G31" s="69">
        <v>0.6</v>
      </c>
      <c r="H31" s="70"/>
      <c r="I31" s="70"/>
      <c r="J31" s="71"/>
      <c r="CQ31" s="24">
        <v>0.97088246025306224</v>
      </c>
      <c r="CR31" s="24" t="str">
        <f>"0"</f>
        <v>0</v>
      </c>
      <c r="CS31" t="str">
        <f ca="1">IF((OFFSET($A$1, 31 - 1, 95 - 1)) &gt;= (OFFSET($A$1, 56 - 1, 7 - 1)), "1","0")</f>
        <v>1</v>
      </c>
      <c r="CT31">
        <f ca="1" xml:space="preserve"> IF( AND( OFFSET($A$1, 31 - 1, 96 - 1) = "1", OFFSET($A$1, 31 - 1, 97 - 1) = "1" ), 1, IF( AND( OFFSET($A$1, 31 - 1, 96 - 1) = "1", OFFSET($A$1, 31 - 1, 97 - 1) = "0" ), 2, IF( AND( OFFSET($A$1, 31 - 1, 96 - 1) = "0", OFFSET($A$1, 31 - 1, 97 - 1) = "1" ), 3, 4 ) ) )</f>
        <v>3</v>
      </c>
      <c r="CV31" s="24">
        <v>0.93662111716767471</v>
      </c>
      <c r="CW31" s="24" t="str">
        <f>"0"</f>
        <v>0</v>
      </c>
      <c r="CX31" t="str">
        <f ca="1">IF((OFFSET($A$1, 31 - 1, 100 - 1)) &gt;= (OFFSET($A$1, 80 - 1, 7 - 1)), "1","0")</f>
        <v>1</v>
      </c>
      <c r="CY31">
        <f ca="1" xml:space="preserve"> IF( AND( OFFSET($A$1, 31 - 1, 101 - 1) = "1", OFFSET($A$1, 31 - 1, 102 - 1) = "1" ), 1, IF( AND( OFFSET($A$1, 31 - 1, 101 - 1) = "1", OFFSET($A$1, 31 - 1, 102 - 1) = "0" ), 2, IF( AND( OFFSET($A$1, 31 - 1, 101 - 1) = "0", OFFSET($A$1, 31 - 1, 102 - 1) = "1" ), 3, 4 ) ) )</f>
        <v>3</v>
      </c>
    </row>
    <row r="32" spans="3:103" ht="13.8" x14ac:dyDescent="0.3">
      <c r="C32" s="62" t="s">
        <v>203</v>
      </c>
      <c r="D32" s="63"/>
      <c r="E32" s="63"/>
      <c r="F32" s="64"/>
      <c r="G32" s="69">
        <v>0.01</v>
      </c>
      <c r="H32" s="70"/>
      <c r="I32" s="70"/>
      <c r="J32" s="71"/>
      <c r="CQ32" s="24">
        <v>0.91820087231233372</v>
      </c>
      <c r="CR32" s="24" t="str">
        <f>"1"</f>
        <v>1</v>
      </c>
      <c r="CS32" t="str">
        <f ca="1">IF((OFFSET($A$1, 32 - 1, 95 - 1)) &gt;= (OFFSET($A$1, 56 - 1, 7 - 1)), "1","0")</f>
        <v>1</v>
      </c>
      <c r="CT32">
        <f ca="1" xml:space="preserve"> IF( AND( OFFSET($A$1, 32 - 1, 96 - 1) = "1", OFFSET($A$1, 32 - 1, 97 - 1) = "1" ), 1, IF( AND( OFFSET($A$1, 32 - 1, 96 - 1) = "1", OFFSET($A$1, 32 - 1, 97 - 1) = "0" ), 2, IF( AND( OFFSET($A$1, 32 - 1, 96 - 1) = "0", OFFSET($A$1, 32 - 1, 97 - 1) = "1" ), 3, 4 ) ) )</f>
        <v>1</v>
      </c>
      <c r="CV32" s="24">
        <v>0.99998116699648631</v>
      </c>
      <c r="CW32" s="24" t="str">
        <f>"1"</f>
        <v>1</v>
      </c>
      <c r="CX32" t="str">
        <f ca="1">IF((OFFSET($A$1, 32 - 1, 100 - 1)) &gt;= (OFFSET($A$1, 80 - 1, 7 - 1)), "1","0")</f>
        <v>1</v>
      </c>
      <c r="CY32">
        <f ca="1" xml:space="preserve"> IF( AND( OFFSET($A$1, 32 - 1, 101 - 1) = "1", OFFSET($A$1, 32 - 1, 102 - 1) = "1" ), 1, IF( AND( OFFSET($A$1, 32 - 1, 101 - 1) = "1", OFFSET($A$1, 32 - 1, 102 - 1) = "0" ), 2, IF( AND( OFFSET($A$1, 32 - 1, 101 - 1) = "0", OFFSET($A$1, 32 - 1, 102 - 1) = "1" ), 3, 4 ) ) )</f>
        <v>1</v>
      </c>
    </row>
    <row r="33" spans="2:103" ht="13.8" x14ac:dyDescent="0.3">
      <c r="C33" s="62" t="s">
        <v>204</v>
      </c>
      <c r="D33" s="63"/>
      <c r="E33" s="63"/>
      <c r="F33" s="64"/>
      <c r="G33" s="69">
        <v>0</v>
      </c>
      <c r="H33" s="70"/>
      <c r="I33" s="70"/>
      <c r="J33" s="71"/>
      <c r="CQ33" s="24">
        <v>7.7969433656381912E-2</v>
      </c>
      <c r="CR33" s="24" t="str">
        <f>"0"</f>
        <v>0</v>
      </c>
      <c r="CS33" t="str">
        <f ca="1">IF((OFFSET($A$1, 33 - 1, 95 - 1)) &gt;= (OFFSET($A$1, 56 - 1, 7 - 1)), "1","0")</f>
        <v>0</v>
      </c>
      <c r="CT33">
        <f ca="1" xml:space="preserve"> IF( AND( OFFSET($A$1, 33 - 1, 96 - 1) = "1", OFFSET($A$1, 33 - 1, 97 - 1) = "1" ), 1, IF( AND( OFFSET($A$1, 33 - 1, 96 - 1) = "1", OFFSET($A$1, 33 - 1, 97 - 1) = "0" ), 2, IF( AND( OFFSET($A$1, 33 - 1, 96 - 1) = "0", OFFSET($A$1, 33 - 1, 97 - 1) = "1" ), 3, 4 ) ) )</f>
        <v>4</v>
      </c>
      <c r="CV33" s="24">
        <v>0.58856137516633611</v>
      </c>
      <c r="CW33" s="24" t="str">
        <f>"0"</f>
        <v>0</v>
      </c>
      <c r="CX33" t="str">
        <f ca="1">IF((OFFSET($A$1, 33 - 1, 100 - 1)) &gt;= (OFFSET($A$1, 80 - 1, 7 - 1)), "1","0")</f>
        <v>1</v>
      </c>
      <c r="CY33">
        <f ca="1" xml:space="preserve"> IF( AND( OFFSET($A$1, 33 - 1, 101 - 1) = "1", OFFSET($A$1, 33 - 1, 102 - 1) = "1" ), 1, IF( AND( OFFSET($A$1, 33 - 1, 101 - 1) = "1", OFFSET($A$1, 33 - 1, 102 - 1) = "0" ), 2, IF( AND( OFFSET($A$1, 33 - 1, 101 - 1) = "0", OFFSET($A$1, 33 - 1, 102 - 1) = "1" ), 3, 4 ) ) )</f>
        <v>3</v>
      </c>
    </row>
    <row r="34" spans="2:103" ht="13.8" x14ac:dyDescent="0.3">
      <c r="C34" s="62" t="s">
        <v>205</v>
      </c>
      <c r="D34" s="63"/>
      <c r="E34" s="63"/>
      <c r="F34" s="64"/>
      <c r="G34" s="69" t="s">
        <v>206</v>
      </c>
      <c r="H34" s="70"/>
      <c r="I34" s="70"/>
      <c r="J34" s="71"/>
      <c r="CQ34" s="24">
        <v>0.98175584703315688</v>
      </c>
      <c r="CR34" s="24" t="str">
        <f t="shared" ref="CR34:CR43" si="3">"1"</f>
        <v>1</v>
      </c>
      <c r="CS34" t="str">
        <f ca="1">IF((OFFSET($A$1, 34 - 1, 95 - 1)) &gt;= (OFFSET($A$1, 56 - 1, 7 - 1)), "1","0")</f>
        <v>1</v>
      </c>
      <c r="CT34">
        <f ca="1" xml:space="preserve"> IF( AND( OFFSET($A$1, 34 - 1, 96 - 1) = "1", OFFSET($A$1, 34 - 1, 97 - 1) = "1" ), 1, IF( AND( OFFSET($A$1, 34 - 1, 96 - 1) = "1", OFFSET($A$1, 34 - 1, 97 - 1) = "0" ), 2, IF( AND( OFFSET($A$1, 34 - 1, 96 - 1) = "0", OFFSET($A$1, 34 - 1, 97 - 1) = "1" ), 3, 4 ) ) )</f>
        <v>1</v>
      </c>
      <c r="CV34" s="24">
        <v>0.82368787333402071</v>
      </c>
      <c r="CW34" s="24" t="str">
        <f>"1"</f>
        <v>1</v>
      </c>
      <c r="CX34" t="str">
        <f ca="1">IF((OFFSET($A$1, 34 - 1, 100 - 1)) &gt;= (OFFSET($A$1, 80 - 1, 7 - 1)), "1","0")</f>
        <v>1</v>
      </c>
      <c r="CY34">
        <f ca="1" xml:space="preserve"> IF( AND( OFFSET($A$1, 34 - 1, 101 - 1) = "1", OFFSET($A$1, 34 - 1, 102 - 1) = "1" ), 1, IF( AND( OFFSET($A$1, 34 - 1, 101 - 1) = "1", OFFSET($A$1, 34 - 1, 102 - 1) = "0" ), 2, IF( AND( OFFSET($A$1, 34 - 1, 101 - 1) = "0", OFFSET($A$1, 34 - 1, 102 - 1) = "1" ), 3, 4 ) ) )</f>
        <v>1</v>
      </c>
    </row>
    <row r="35" spans="2:103" ht="13.8" x14ac:dyDescent="0.3">
      <c r="C35" s="62" t="s">
        <v>207</v>
      </c>
      <c r="D35" s="63"/>
      <c r="E35" s="63"/>
      <c r="F35" s="64"/>
      <c r="G35" s="69" t="s">
        <v>208</v>
      </c>
      <c r="H35" s="70"/>
      <c r="I35" s="70"/>
      <c r="J35" s="71"/>
      <c r="CQ35" s="24">
        <v>0.99993177256588051</v>
      </c>
      <c r="CR35" s="24" t="str">
        <f t="shared" si="3"/>
        <v>1</v>
      </c>
      <c r="CS35" t="str">
        <f ca="1">IF((OFFSET($A$1, 35 - 1, 95 - 1)) &gt;= (OFFSET($A$1, 56 - 1, 7 - 1)), "1","0")</f>
        <v>1</v>
      </c>
      <c r="CT35">
        <f ca="1" xml:space="preserve"> IF( AND( OFFSET($A$1, 35 - 1, 96 - 1) = "1", OFFSET($A$1, 35 - 1, 97 - 1) = "1" ), 1, IF( AND( OFFSET($A$1, 35 - 1, 96 - 1) = "1", OFFSET($A$1, 35 - 1, 97 - 1) = "0" ), 2, IF( AND( OFFSET($A$1, 35 - 1, 96 - 1) = "0", OFFSET($A$1, 35 - 1, 97 - 1) = "1" ), 3, 4 ) ) )</f>
        <v>1</v>
      </c>
      <c r="CV35" s="24">
        <v>0.99651031626469666</v>
      </c>
      <c r="CW35" s="24" t="str">
        <f>"1"</f>
        <v>1</v>
      </c>
      <c r="CX35" t="str">
        <f ca="1">IF((OFFSET($A$1, 35 - 1, 100 - 1)) &gt;= (OFFSET($A$1, 80 - 1, 7 - 1)), "1","0")</f>
        <v>1</v>
      </c>
      <c r="CY35">
        <f ca="1" xml:space="preserve"> IF( AND( OFFSET($A$1, 35 - 1, 101 - 1) = "1", OFFSET($A$1, 35 - 1, 102 - 1) = "1" ), 1, IF( AND( OFFSET($A$1, 35 - 1, 101 - 1) = "1", OFFSET($A$1, 35 - 1, 102 - 1) = "0" ), 2, IF( AND( OFFSET($A$1, 35 - 1, 101 - 1) = "0", OFFSET($A$1, 35 - 1, 102 - 1) = "1" ), 3, 4 ) ) )</f>
        <v>1</v>
      </c>
    </row>
    <row r="36" spans="2:103" ht="13.8" x14ac:dyDescent="0.3">
      <c r="C36" s="62" t="s">
        <v>209</v>
      </c>
      <c r="D36" s="63"/>
      <c r="E36" s="63"/>
      <c r="F36" s="64"/>
      <c r="G36" s="69" t="s">
        <v>208</v>
      </c>
      <c r="H36" s="70"/>
      <c r="I36" s="70"/>
      <c r="J36" s="71"/>
      <c r="CQ36" s="24">
        <v>0.90013824330798142</v>
      </c>
      <c r="CR36" s="24" t="str">
        <f t="shared" si="3"/>
        <v>1</v>
      </c>
      <c r="CS36" t="str">
        <f ca="1">IF((OFFSET($A$1, 36 - 1, 95 - 1)) &gt;= (OFFSET($A$1, 56 - 1, 7 - 1)), "1","0")</f>
        <v>1</v>
      </c>
      <c r="CT36">
        <f ca="1" xml:space="preserve"> IF( AND( OFFSET($A$1, 36 - 1, 96 - 1) = "1", OFFSET($A$1, 36 - 1, 97 - 1) = "1" ), 1, IF( AND( OFFSET($A$1, 36 - 1, 96 - 1) = "1", OFFSET($A$1, 36 - 1, 97 - 1) = "0" ), 2, IF( AND( OFFSET($A$1, 36 - 1, 96 - 1) = "0", OFFSET($A$1, 36 - 1, 97 - 1) = "1" ), 3, 4 ) ) )</f>
        <v>1</v>
      </c>
      <c r="CV36" s="24">
        <v>0.99941853138418613</v>
      </c>
      <c r="CW36" s="24" t="str">
        <f>"1"</f>
        <v>1</v>
      </c>
      <c r="CX36" t="str">
        <f ca="1">IF((OFFSET($A$1, 36 - 1, 100 - 1)) &gt;= (OFFSET($A$1, 80 - 1, 7 - 1)), "1","0")</f>
        <v>1</v>
      </c>
      <c r="CY36">
        <f ca="1" xml:space="preserve"> IF( AND( OFFSET($A$1, 36 - 1, 101 - 1) = "1", OFFSET($A$1, 36 - 1, 102 - 1) = "1" ), 1, IF( AND( OFFSET($A$1, 36 - 1, 101 - 1) = "1", OFFSET($A$1, 36 - 1, 102 - 1) = "0" ), 2, IF( AND( OFFSET($A$1, 36 - 1, 101 - 1) = "0", OFFSET($A$1, 36 - 1, 102 - 1) = "1" ), 3, 4 ) ) )</f>
        <v>1</v>
      </c>
    </row>
    <row r="37" spans="2:103" ht="13.8" x14ac:dyDescent="0.3">
      <c r="CQ37" s="24">
        <v>0.99986381784753664</v>
      </c>
      <c r="CR37" s="24" t="str">
        <f t="shared" si="3"/>
        <v>1</v>
      </c>
      <c r="CS37" t="str">
        <f ca="1">IF((OFFSET($A$1, 37 - 1, 95 - 1)) &gt;= (OFFSET($A$1, 56 - 1, 7 - 1)), "1","0")</f>
        <v>1</v>
      </c>
      <c r="CT37">
        <f ca="1" xml:space="preserve"> IF( AND( OFFSET($A$1, 37 - 1, 96 - 1) = "1", OFFSET($A$1, 37 - 1, 97 - 1) = "1" ), 1, IF( AND( OFFSET($A$1, 37 - 1, 96 - 1) = "1", OFFSET($A$1, 37 - 1, 97 - 1) = "0" ), 2, IF( AND( OFFSET($A$1, 37 - 1, 96 - 1) = "0", OFFSET($A$1, 37 - 1, 97 - 1) = "1" ), 3, 4 ) ) )</f>
        <v>1</v>
      </c>
      <c r="CV37" s="24">
        <v>0.97661869394894185</v>
      </c>
      <c r="CW37" s="24" t="str">
        <f>"1"</f>
        <v>1</v>
      </c>
      <c r="CX37" t="str">
        <f ca="1">IF((OFFSET($A$1, 37 - 1, 100 - 1)) &gt;= (OFFSET($A$1, 80 - 1, 7 - 1)), "1","0")</f>
        <v>1</v>
      </c>
      <c r="CY37">
        <f ca="1" xml:space="preserve"> IF( AND( OFFSET($A$1, 37 - 1, 101 - 1) = "1", OFFSET($A$1, 37 - 1, 102 - 1) = "1" ), 1, IF( AND( OFFSET($A$1, 37 - 1, 101 - 1) = "1", OFFSET($A$1, 37 - 1, 102 - 1) = "0" ), 2, IF( AND( OFFSET($A$1, 37 - 1, 101 - 1) = "0", OFFSET($A$1, 37 - 1, 102 - 1) = "1" ), 3, 4 ) ) )</f>
        <v>1</v>
      </c>
    </row>
    <row r="38" spans="2:103" ht="15.6" x14ac:dyDescent="0.3">
      <c r="C38" s="59" t="s">
        <v>697</v>
      </c>
      <c r="D38" s="60"/>
      <c r="E38" s="60"/>
      <c r="F38" s="60"/>
      <c r="G38" s="61"/>
      <c r="CQ38" s="24">
        <v>0.98643344700407576</v>
      </c>
      <c r="CR38" s="24" t="str">
        <f t="shared" si="3"/>
        <v>1</v>
      </c>
      <c r="CS38" t="str">
        <f ca="1">IF((OFFSET($A$1, 38 - 1, 95 - 1)) &gt;= (OFFSET($A$1, 56 - 1, 7 - 1)), "1","0")</f>
        <v>1</v>
      </c>
      <c r="CT38">
        <f ca="1" xml:space="preserve"> IF( AND( OFFSET($A$1, 38 - 1, 96 - 1) = "1", OFFSET($A$1, 38 - 1, 97 - 1) = "1" ), 1, IF( AND( OFFSET($A$1, 38 - 1, 96 - 1) = "1", OFFSET($A$1, 38 - 1, 97 - 1) = "0" ), 2, IF( AND( OFFSET($A$1, 38 - 1, 96 - 1) = "0", OFFSET($A$1, 38 - 1, 97 - 1) = "1" ), 3, 4 ) ) )</f>
        <v>1</v>
      </c>
      <c r="CV38" s="24">
        <v>0.12089259239027578</v>
      </c>
      <c r="CW38" s="24" t="str">
        <f>"0"</f>
        <v>0</v>
      </c>
      <c r="CX38" t="str">
        <f ca="1">IF((OFFSET($A$1, 38 - 1, 100 - 1)) &gt;= (OFFSET($A$1, 80 - 1, 7 - 1)), "1","0")</f>
        <v>0</v>
      </c>
      <c r="CY38">
        <f ca="1" xml:space="preserve"> IF( AND( OFFSET($A$1, 38 - 1, 101 - 1) = "1", OFFSET($A$1, 38 - 1, 102 - 1) = "1" ), 1, IF( AND( OFFSET($A$1, 38 - 1, 101 - 1) = "1", OFFSET($A$1, 38 - 1, 102 - 1) = "0" ), 2, IF( AND( OFFSET($A$1, 38 - 1, 101 - 1) = "0", OFFSET($A$1, 38 - 1, 102 - 1) = "1" ), 3, 4 ) ) )</f>
        <v>4</v>
      </c>
    </row>
    <row r="39" spans="2:103" ht="13.8" x14ac:dyDescent="0.3">
      <c r="C39" s="67" t="s">
        <v>698</v>
      </c>
      <c r="D39" s="68"/>
      <c r="E39" s="68"/>
      <c r="F39" s="68"/>
      <c r="G39" s="66"/>
      <c r="CQ39" s="24">
        <v>0.7344934631912815</v>
      </c>
      <c r="CR39" s="24" t="str">
        <f t="shared" si="3"/>
        <v>1</v>
      </c>
      <c r="CS39" t="str">
        <f ca="1">IF((OFFSET($A$1, 39 - 1, 95 - 1)) &gt;= (OFFSET($A$1, 56 - 1, 7 - 1)), "1","0")</f>
        <v>1</v>
      </c>
      <c r="CT39">
        <f ca="1" xml:space="preserve"> IF( AND( OFFSET($A$1, 39 - 1, 96 - 1) = "1", OFFSET($A$1, 39 - 1, 97 - 1) = "1" ), 1, IF( AND( OFFSET($A$1, 39 - 1, 96 - 1) = "1", OFFSET($A$1, 39 - 1, 97 - 1) = "0" ), 2, IF( AND( OFFSET($A$1, 39 - 1, 96 - 1) = "0", OFFSET($A$1, 39 - 1, 97 - 1) = "1" ), 3, 4 ) ) )</f>
        <v>1</v>
      </c>
      <c r="CV39" s="24">
        <v>0.99991836209212592</v>
      </c>
      <c r="CW39" s="24" t="str">
        <f>"1"</f>
        <v>1</v>
      </c>
      <c r="CX39" t="str">
        <f ca="1">IF((OFFSET($A$1, 39 - 1, 100 - 1)) &gt;= (OFFSET($A$1, 80 - 1, 7 - 1)), "1","0")</f>
        <v>1</v>
      </c>
      <c r="CY39">
        <f ca="1" xml:space="preserve"> IF( AND( OFFSET($A$1, 39 - 1, 101 - 1) = "1", OFFSET($A$1, 39 - 1, 102 - 1) = "1" ), 1, IF( AND( OFFSET($A$1, 39 - 1, 101 - 1) = "1", OFFSET($A$1, 39 - 1, 102 - 1) = "0" ), 2, IF( AND( OFFSET($A$1, 39 - 1, 101 - 1) = "0", OFFSET($A$1, 39 - 1, 102 - 1) = "1" ), 3, 4 ) ) )</f>
        <v>1</v>
      </c>
    </row>
    <row r="40" spans="2:103" ht="13.8" x14ac:dyDescent="0.3">
      <c r="C40" s="67" t="s">
        <v>699</v>
      </c>
      <c r="D40" s="68"/>
      <c r="E40" s="68"/>
      <c r="F40" s="68"/>
      <c r="G40" s="66"/>
      <c r="CQ40" s="24">
        <v>0.85274608861605938</v>
      </c>
      <c r="CR40" s="24" t="str">
        <f t="shared" si="3"/>
        <v>1</v>
      </c>
      <c r="CS40" t="str">
        <f ca="1">IF((OFFSET($A$1, 40 - 1, 95 - 1)) &gt;= (OFFSET($A$1, 56 - 1, 7 - 1)), "1","0")</f>
        <v>1</v>
      </c>
      <c r="CT40">
        <f ca="1" xml:space="preserve"> IF( AND( OFFSET($A$1, 40 - 1, 96 - 1) = "1", OFFSET($A$1, 40 - 1, 97 - 1) = "1" ), 1, IF( AND( OFFSET($A$1, 40 - 1, 96 - 1) = "1", OFFSET($A$1, 40 - 1, 97 - 1) = "0" ), 2, IF( AND( OFFSET($A$1, 40 - 1, 96 - 1) = "0", OFFSET($A$1, 40 - 1, 97 - 1) = "1" ), 3, 4 ) ) )</f>
        <v>1</v>
      </c>
      <c r="CV40" s="24">
        <v>0.57835299690335129</v>
      </c>
      <c r="CW40" s="24" t="str">
        <f>"1"</f>
        <v>1</v>
      </c>
      <c r="CX40" t="str">
        <f ca="1">IF((OFFSET($A$1, 40 - 1, 100 - 1)) &gt;= (OFFSET($A$1, 80 - 1, 7 - 1)), "1","0")</f>
        <v>1</v>
      </c>
      <c r="CY40">
        <f ca="1" xml:space="preserve"> IF( AND( OFFSET($A$1, 40 - 1, 101 - 1) = "1", OFFSET($A$1, 40 - 1, 102 - 1) = "1" ), 1, IF( AND( OFFSET($A$1, 40 - 1, 101 - 1) = "1", OFFSET($A$1, 40 - 1, 102 - 1) = "0" ), 2, IF( AND( OFFSET($A$1, 40 - 1, 101 - 1) = "0", OFFSET($A$1, 40 - 1, 102 - 1) = "1" ), 3, 4 ) ) )</f>
        <v>1</v>
      </c>
    </row>
    <row r="41" spans="2:103" ht="13.8" x14ac:dyDescent="0.3">
      <c r="C41" s="67" t="s">
        <v>700</v>
      </c>
      <c r="D41" s="68"/>
      <c r="E41" s="68"/>
      <c r="F41" s="68"/>
      <c r="G41" s="66"/>
      <c r="CQ41" s="24">
        <v>0.9137962975614774</v>
      </c>
      <c r="CR41" s="24" t="str">
        <f t="shared" si="3"/>
        <v>1</v>
      </c>
      <c r="CS41" t="str">
        <f ca="1">IF((OFFSET($A$1, 41 - 1, 95 - 1)) &gt;= (OFFSET($A$1, 56 - 1, 7 - 1)), "1","0")</f>
        <v>1</v>
      </c>
      <c r="CT41">
        <f ca="1" xml:space="preserve"> IF( AND( OFFSET($A$1, 41 - 1, 96 - 1) = "1", OFFSET($A$1, 41 - 1, 97 - 1) = "1" ), 1, IF( AND( OFFSET($A$1, 41 - 1, 96 - 1) = "1", OFFSET($A$1, 41 - 1, 97 - 1) = "0" ), 2, IF( AND( OFFSET($A$1, 41 - 1, 96 - 1) = "0", OFFSET($A$1, 41 - 1, 97 - 1) = "1" ), 3, 4 ) ) )</f>
        <v>1</v>
      </c>
      <c r="CV41" s="24">
        <v>0.80687879690230346</v>
      </c>
      <c r="CW41" s="24" t="str">
        <f>"1"</f>
        <v>1</v>
      </c>
      <c r="CX41" t="str">
        <f ca="1">IF((OFFSET($A$1, 41 - 1, 100 - 1)) &gt;= (OFFSET($A$1, 80 - 1, 7 - 1)), "1","0")</f>
        <v>1</v>
      </c>
      <c r="CY41">
        <f ca="1" xml:space="preserve"> IF( AND( OFFSET($A$1, 41 - 1, 101 - 1) = "1", OFFSET($A$1, 41 - 1, 102 - 1) = "1" ), 1, IF( AND( OFFSET($A$1, 41 - 1, 101 - 1) = "1", OFFSET($A$1, 41 - 1, 102 - 1) = "0" ), 2, IF( AND( OFFSET($A$1, 41 - 1, 101 - 1) = "0", OFFSET($A$1, 41 - 1, 102 - 1) = "1" ), 3, 4 ) ) )</f>
        <v>1</v>
      </c>
    </row>
    <row r="42" spans="2:103" ht="13.8" x14ac:dyDescent="0.3">
      <c r="C42" s="67" t="s">
        <v>701</v>
      </c>
      <c r="D42" s="68"/>
      <c r="E42" s="68"/>
      <c r="F42" s="68"/>
      <c r="G42" s="66"/>
      <c r="CQ42" s="24">
        <v>0.98789768560260605</v>
      </c>
      <c r="CR42" s="24" t="str">
        <f t="shared" si="3"/>
        <v>1</v>
      </c>
      <c r="CS42" t="str">
        <f ca="1">IF((OFFSET($A$1, 42 - 1, 95 - 1)) &gt;= (OFFSET($A$1, 56 - 1, 7 - 1)), "1","0")</f>
        <v>1</v>
      </c>
      <c r="CT42">
        <f ca="1" xml:space="preserve"> IF( AND( OFFSET($A$1, 42 - 1, 96 - 1) = "1", OFFSET($A$1, 42 - 1, 97 - 1) = "1" ), 1, IF( AND( OFFSET($A$1, 42 - 1, 96 - 1) = "1", OFFSET($A$1, 42 - 1, 97 - 1) = "0" ), 2, IF( AND( OFFSET($A$1, 42 - 1, 96 - 1) = "0", OFFSET($A$1, 42 - 1, 97 - 1) = "1" ), 3, 4 ) ) )</f>
        <v>1</v>
      </c>
      <c r="CV42" s="24">
        <v>0.9054304605009309</v>
      </c>
      <c r="CW42" s="24" t="str">
        <f>"1"</f>
        <v>1</v>
      </c>
      <c r="CX42" t="str">
        <f ca="1">IF((OFFSET($A$1, 42 - 1, 100 - 1)) &gt;= (OFFSET($A$1, 80 - 1, 7 - 1)), "1","0")</f>
        <v>1</v>
      </c>
      <c r="CY42">
        <f ca="1" xml:space="preserve"> IF( AND( OFFSET($A$1, 42 - 1, 101 - 1) = "1", OFFSET($A$1, 42 - 1, 102 - 1) = "1" ), 1, IF( AND( OFFSET($A$1, 42 - 1, 101 - 1) = "1", OFFSET($A$1, 42 - 1, 102 - 1) = "0" ), 2, IF( AND( OFFSET($A$1, 42 - 1, 101 - 1) = "0", OFFSET($A$1, 42 - 1, 102 - 1) = "1" ), 3, 4 ) ) )</f>
        <v>1</v>
      </c>
    </row>
    <row r="43" spans="2:103" ht="13.8" x14ac:dyDescent="0.3">
      <c r="CQ43" s="24">
        <v>0.82892374426421878</v>
      </c>
      <c r="CR43" s="24" t="str">
        <f t="shared" si="3"/>
        <v>1</v>
      </c>
      <c r="CS43" t="str">
        <f ca="1">IF((OFFSET($A$1, 43 - 1, 95 - 1)) &gt;= (OFFSET($A$1, 56 - 1, 7 - 1)), "1","0")</f>
        <v>1</v>
      </c>
      <c r="CT43">
        <f ca="1" xml:space="preserve"> IF( AND( OFFSET($A$1, 43 - 1, 96 - 1) = "1", OFFSET($A$1, 43 - 1, 97 - 1) = "1" ), 1, IF( AND( OFFSET($A$1, 43 - 1, 96 - 1) = "1", OFFSET($A$1, 43 - 1, 97 - 1) = "0" ), 2, IF( AND( OFFSET($A$1, 43 - 1, 96 - 1) = "0", OFFSET($A$1, 43 - 1, 97 - 1) = "1" ), 3, 4 ) ) )</f>
        <v>1</v>
      </c>
      <c r="CV43" s="24">
        <v>1.2309632726246402E-2</v>
      </c>
      <c r="CW43" s="24" t="str">
        <f>"0"</f>
        <v>0</v>
      </c>
      <c r="CX43" t="str">
        <f ca="1">IF((OFFSET($A$1, 43 - 1, 100 - 1)) &gt;= (OFFSET($A$1, 80 - 1, 7 - 1)), "1","0")</f>
        <v>0</v>
      </c>
      <c r="CY43">
        <f ca="1" xml:space="preserve"> IF( AND( OFFSET($A$1, 43 - 1, 101 - 1) = "1", OFFSET($A$1, 43 - 1, 102 - 1) = "1" ), 1, IF( AND( OFFSET($A$1, 43 - 1, 101 - 1) = "1", OFFSET($A$1, 43 - 1, 102 - 1) = "0" ), 2, IF( AND( OFFSET($A$1, 43 - 1, 101 - 1) = "0", OFFSET($A$1, 43 - 1, 102 - 1) = "1" ), 3, 4 ) ) )</f>
        <v>4</v>
      </c>
    </row>
    <row r="44" spans="2:103" ht="13.8" x14ac:dyDescent="0.3">
      <c r="CQ44" s="24">
        <v>0.99599089082211911</v>
      </c>
      <c r="CR44" s="24" t="str">
        <f>"0"</f>
        <v>0</v>
      </c>
      <c r="CS44" t="str">
        <f ca="1">IF((OFFSET($A$1, 44 - 1, 95 - 1)) &gt;= (OFFSET($A$1, 56 - 1, 7 - 1)), "1","0")</f>
        <v>1</v>
      </c>
      <c r="CT44">
        <f ca="1" xml:space="preserve"> IF( AND( OFFSET($A$1, 44 - 1, 96 - 1) = "1", OFFSET($A$1, 44 - 1, 97 - 1) = "1" ), 1, IF( AND( OFFSET($A$1, 44 - 1, 96 - 1) = "1", OFFSET($A$1, 44 - 1, 97 - 1) = "0" ), 2, IF( AND( OFFSET($A$1, 44 - 1, 96 - 1) = "0", OFFSET($A$1, 44 - 1, 97 - 1) = "1" ), 3, 4 ) ) )</f>
        <v>3</v>
      </c>
      <c r="CV44" s="24">
        <v>0.28077419582262303</v>
      </c>
      <c r="CW44" s="24" t="str">
        <f>"1"</f>
        <v>1</v>
      </c>
      <c r="CX44" t="str">
        <f ca="1">IF((OFFSET($A$1, 44 - 1, 100 - 1)) &gt;= (OFFSET($A$1, 80 - 1, 7 - 1)), "1","0")</f>
        <v>0</v>
      </c>
      <c r="CY44">
        <f ca="1" xml:space="preserve"> IF( AND( OFFSET($A$1, 44 - 1, 101 - 1) = "1", OFFSET($A$1, 44 - 1, 102 - 1) = "1" ), 1, IF( AND( OFFSET($A$1, 44 - 1, 101 - 1) = "1", OFFSET($A$1, 44 - 1, 102 - 1) = "0" ), 2, IF( AND( OFFSET($A$1, 44 - 1, 101 - 1) = "0", OFFSET($A$1, 44 - 1, 102 - 1) = "1" ), 3, 4 ) ) )</f>
        <v>2</v>
      </c>
    </row>
    <row r="45" spans="2:103" ht="18" x14ac:dyDescent="0.35">
      <c r="B45" s="22" t="s">
        <v>702</v>
      </c>
      <c r="CQ45" s="24">
        <v>0.99859545421361517</v>
      </c>
      <c r="CR45" s="24" t="str">
        <f>"1"</f>
        <v>1</v>
      </c>
      <c r="CS45" t="str">
        <f ca="1">IF((OFFSET($A$1, 45 - 1, 95 - 1)) &gt;= (OFFSET($A$1, 56 - 1, 7 - 1)), "1","0")</f>
        <v>1</v>
      </c>
      <c r="CT45">
        <f ca="1" xml:space="preserve"> IF( AND( OFFSET($A$1, 45 - 1, 96 - 1) = "1", OFFSET($A$1, 45 - 1, 97 - 1) = "1" ), 1, IF( AND( OFFSET($A$1, 45 - 1, 96 - 1) = "1", OFFSET($A$1, 45 - 1, 97 - 1) = "0" ), 2, IF( AND( OFFSET($A$1, 45 - 1, 96 - 1) = "0", OFFSET($A$1, 45 - 1, 97 - 1) = "1" ), 3, 4 ) ) )</f>
        <v>1</v>
      </c>
      <c r="CV45" s="24">
        <v>0.99775934484402407</v>
      </c>
      <c r="CW45" s="24" t="str">
        <f>"1"</f>
        <v>1</v>
      </c>
      <c r="CX45" t="str">
        <f ca="1">IF((OFFSET($A$1, 45 - 1, 100 - 1)) &gt;= (OFFSET($A$1, 80 - 1, 7 - 1)), "1","0")</f>
        <v>1</v>
      </c>
      <c r="CY45">
        <f ca="1" xml:space="preserve"> IF( AND( OFFSET($A$1, 45 - 1, 101 - 1) = "1", OFFSET($A$1, 45 - 1, 102 - 1) = "1" ), 1, IF( AND( OFFSET($A$1, 45 - 1, 101 - 1) = "1", OFFSET($A$1, 45 - 1, 102 - 1) = "0" ), 2, IF( AND( OFFSET($A$1, 45 - 1, 101 - 1) = "0", OFFSET($A$1, 45 - 1, 102 - 1) = "1" ), 3, 4 ) ) )</f>
        <v>1</v>
      </c>
    </row>
    <row r="46" spans="2:103" ht="13.8" x14ac:dyDescent="0.3">
      <c r="CQ46" s="24">
        <v>0.89608184615435538</v>
      </c>
      <c r="CR46" s="24" t="str">
        <f>"1"</f>
        <v>1</v>
      </c>
      <c r="CS46" t="str">
        <f ca="1">IF((OFFSET($A$1, 46 - 1, 95 - 1)) &gt;= (OFFSET($A$1, 56 - 1, 7 - 1)), "1","0")</f>
        <v>1</v>
      </c>
      <c r="CT46">
        <f ca="1" xml:space="preserve"> IF( AND( OFFSET($A$1, 46 - 1, 96 - 1) = "1", OFFSET($A$1, 46 - 1, 97 - 1) = "1" ), 1, IF( AND( OFFSET($A$1, 46 - 1, 96 - 1) = "1", OFFSET($A$1, 46 - 1, 97 - 1) = "0" ), 2, IF( AND( OFFSET($A$1, 46 - 1, 96 - 1) = "0", OFFSET($A$1, 46 - 1, 97 - 1) = "1" ), 3, 4 ) ) )</f>
        <v>1</v>
      </c>
      <c r="CV46" s="24">
        <v>0.54318450806777019</v>
      </c>
      <c r="CW46" s="24" t="str">
        <f>"0"</f>
        <v>0</v>
      </c>
      <c r="CX46" t="str">
        <f ca="1">IF((OFFSET($A$1, 46 - 1, 100 - 1)) &gt;= (OFFSET($A$1, 80 - 1, 7 - 1)), "1","0")</f>
        <v>1</v>
      </c>
      <c r="CY46">
        <f ca="1" xml:space="preserve"> IF( AND( OFFSET($A$1, 46 - 1, 101 - 1) = "1", OFFSET($A$1, 46 - 1, 102 - 1) = "1" ), 1, IF( AND( OFFSET($A$1, 46 - 1, 101 - 1) = "1", OFFSET($A$1, 46 - 1, 102 - 1) = "0" ), 2, IF( AND( OFFSET($A$1, 46 - 1, 101 - 1) = "0", OFFSET($A$1, 46 - 1, 102 - 1) = "1" ), 3, 4 ) ) )</f>
        <v>3</v>
      </c>
    </row>
    <row r="47" spans="2:103" ht="13.8" x14ac:dyDescent="0.3">
      <c r="C47" s="67" t="s">
        <v>703</v>
      </c>
      <c r="D47" s="68"/>
      <c r="E47" s="68"/>
      <c r="F47" s="68"/>
      <c r="G47" s="66"/>
      <c r="CQ47" s="24">
        <v>0.91750542292044635</v>
      </c>
      <c r="CR47" s="24" t="str">
        <f>"1"</f>
        <v>1</v>
      </c>
      <c r="CS47" t="str">
        <f ca="1">IF((OFFSET($A$1, 47 - 1, 95 - 1)) &gt;= (OFFSET($A$1, 56 - 1, 7 - 1)), "1","0")</f>
        <v>1</v>
      </c>
      <c r="CT47">
        <f ca="1" xml:space="preserve"> IF( AND( OFFSET($A$1, 47 - 1, 96 - 1) = "1", OFFSET($A$1, 47 - 1, 97 - 1) = "1" ), 1, IF( AND( OFFSET($A$1, 47 - 1, 96 - 1) = "1", OFFSET($A$1, 47 - 1, 97 - 1) = "0" ), 2, IF( AND( OFFSET($A$1, 47 - 1, 96 - 1) = "0", OFFSET($A$1, 47 - 1, 97 - 1) = "1" ), 3, 4 ) ) )</f>
        <v>1</v>
      </c>
      <c r="CV47" s="24">
        <v>0.15426059131952344</v>
      </c>
      <c r="CW47" s="24" t="str">
        <f>"0"</f>
        <v>0</v>
      </c>
      <c r="CX47" t="str">
        <f ca="1">IF((OFFSET($A$1, 47 - 1, 100 - 1)) &gt;= (OFFSET($A$1, 80 - 1, 7 - 1)), "1","0")</f>
        <v>0</v>
      </c>
      <c r="CY47">
        <f ca="1" xml:space="preserve"> IF( AND( OFFSET($A$1, 47 - 1, 101 - 1) = "1", OFFSET($A$1, 47 - 1, 102 - 1) = "1" ), 1, IF( AND( OFFSET($A$1, 47 - 1, 101 - 1) = "1", OFFSET($A$1, 47 - 1, 102 - 1) = "0" ), 2, IF( AND( OFFSET($A$1, 47 - 1, 101 - 1) = "0", OFFSET($A$1, 47 - 1, 102 - 1) = "1" ), 3, 4 ) ) )</f>
        <v>4</v>
      </c>
    </row>
    <row r="48" spans="2:103" ht="13.8" x14ac:dyDescent="0.3">
      <c r="CQ48" s="24">
        <v>9.5726292180153313E-2</v>
      </c>
      <c r="CR48" s="24" t="str">
        <f>"0"</f>
        <v>0</v>
      </c>
      <c r="CS48" t="str">
        <f ca="1">IF((OFFSET($A$1, 48 - 1, 95 - 1)) &gt;= (OFFSET($A$1, 56 - 1, 7 - 1)), "1","0")</f>
        <v>0</v>
      </c>
      <c r="CT48">
        <f ca="1" xml:space="preserve"> IF( AND( OFFSET($A$1, 48 - 1, 96 - 1) = "1", OFFSET($A$1, 48 - 1, 97 - 1) = "1" ), 1, IF( AND( OFFSET($A$1, 48 - 1, 96 - 1) = "1", OFFSET($A$1, 48 - 1, 97 - 1) = "0" ), 2, IF( AND( OFFSET($A$1, 48 - 1, 96 - 1) = "0", OFFSET($A$1, 48 - 1, 97 - 1) = "1" ), 3, 4 ) ) )</f>
        <v>4</v>
      </c>
      <c r="CV48" s="24">
        <v>0.98798198645126911</v>
      </c>
      <c r="CW48" s="24" t="str">
        <f>"1"</f>
        <v>1</v>
      </c>
      <c r="CX48" t="str">
        <f ca="1">IF((OFFSET($A$1, 48 - 1, 100 - 1)) &gt;= (OFFSET($A$1, 80 - 1, 7 - 1)), "1","0")</f>
        <v>1</v>
      </c>
      <c r="CY48">
        <f ca="1" xml:space="preserve"> IF( AND( OFFSET($A$1, 48 - 1, 101 - 1) = "1", OFFSET($A$1, 48 - 1, 102 - 1) = "1" ), 1, IF( AND( OFFSET($A$1, 48 - 1, 101 - 1) = "1", OFFSET($A$1, 48 - 1, 102 - 1) = "0" ), 2, IF( AND( OFFSET($A$1, 48 - 1, 101 - 1) = "0", OFFSET($A$1, 48 - 1, 102 - 1) = "1" ), 3, 4 ) ) )</f>
        <v>1</v>
      </c>
    </row>
    <row r="49" spans="2:103" ht="13.8" x14ac:dyDescent="0.3">
      <c r="C49" s="26" t="s">
        <v>332</v>
      </c>
      <c r="D49" s="26" t="s">
        <v>704</v>
      </c>
      <c r="CQ49" s="24">
        <v>0.96801541726702245</v>
      </c>
      <c r="CR49" s="24" t="str">
        <f t="shared" ref="CR49:CR55" si="4">"1"</f>
        <v>1</v>
      </c>
      <c r="CS49" t="str">
        <f ca="1">IF((OFFSET($A$1, 49 - 1, 95 - 1)) &gt;= (OFFSET($A$1, 56 - 1, 7 - 1)), "1","0")</f>
        <v>1</v>
      </c>
      <c r="CT49">
        <f ca="1" xml:space="preserve"> IF( AND( OFFSET($A$1, 49 - 1, 96 - 1) = "1", OFFSET($A$1, 49 - 1, 97 - 1) = "1" ), 1, IF( AND( OFFSET($A$1, 49 - 1, 96 - 1) = "1", OFFSET($A$1, 49 - 1, 97 - 1) = "0" ), 2, IF( AND( OFFSET($A$1, 49 - 1, 96 - 1) = "0", OFFSET($A$1, 49 - 1, 97 - 1) = "1" ), 3, 4 ) ) )</f>
        <v>1</v>
      </c>
      <c r="CV49" s="24">
        <v>0.99958578346472926</v>
      </c>
      <c r="CW49" s="24" t="str">
        <f>"1"</f>
        <v>1</v>
      </c>
      <c r="CX49" t="str">
        <f ca="1">IF((OFFSET($A$1, 49 - 1, 100 - 1)) &gt;= (OFFSET($A$1, 80 - 1, 7 - 1)), "1","0")</f>
        <v>1</v>
      </c>
      <c r="CY49">
        <f ca="1" xml:space="preserve"> IF( AND( OFFSET($A$1, 49 - 1, 101 - 1) = "1", OFFSET($A$1, 49 - 1, 102 - 1) = "1" ), 1, IF( AND( OFFSET($A$1, 49 - 1, 101 - 1) = "1", OFFSET($A$1, 49 - 1, 102 - 1) = "0" ), 2, IF( AND( OFFSET($A$1, 49 - 1, 101 - 1) = "0", OFFSET($A$1, 49 - 1, 102 - 1) = "1" ), 3, 4 ) ) )</f>
        <v>1</v>
      </c>
    </row>
    <row r="50" spans="2:103" ht="13.8" x14ac:dyDescent="0.3">
      <c r="C50" s="25">
        <v>0</v>
      </c>
      <c r="D50" s="24">
        <v>0.28500000000000003</v>
      </c>
      <c r="CQ50" s="24">
        <v>0.99976050744246214</v>
      </c>
      <c r="CR50" s="24" t="str">
        <f t="shared" si="4"/>
        <v>1</v>
      </c>
      <c r="CS50" t="str">
        <f ca="1">IF((OFFSET($A$1, 50 - 1, 95 - 1)) &gt;= (OFFSET($A$1, 56 - 1, 7 - 1)), "1","0")</f>
        <v>1</v>
      </c>
      <c r="CT50">
        <f ca="1" xml:space="preserve"> IF( AND( OFFSET($A$1, 50 - 1, 96 - 1) = "1", OFFSET($A$1, 50 - 1, 97 - 1) = "1" ), 1, IF( AND( OFFSET($A$1, 50 - 1, 96 - 1) = "1", OFFSET($A$1, 50 - 1, 97 - 1) = "0" ), 2, IF( AND( OFFSET($A$1, 50 - 1, 96 - 1) = "0", OFFSET($A$1, 50 - 1, 97 - 1) = "1" ), 3, 4 ) ) )</f>
        <v>1</v>
      </c>
      <c r="CV50" s="24">
        <v>0.70155106381941135</v>
      </c>
      <c r="CW50" s="24" t="str">
        <f>"0"</f>
        <v>0</v>
      </c>
      <c r="CX50" t="str">
        <f ca="1">IF((OFFSET($A$1, 50 - 1, 100 - 1)) &gt;= (OFFSET($A$1, 80 - 1, 7 - 1)), "1","0")</f>
        <v>1</v>
      </c>
      <c r="CY50">
        <f ca="1" xml:space="preserve"> IF( AND( OFFSET($A$1, 50 - 1, 101 - 1) = "1", OFFSET($A$1, 50 - 1, 102 - 1) = "1" ), 1, IF( AND( OFFSET($A$1, 50 - 1, 101 - 1) = "1", OFFSET($A$1, 50 - 1, 102 - 1) = "0" ), 2, IF( AND( OFFSET($A$1, 50 - 1, 101 - 1) = "0", OFFSET($A$1, 50 - 1, 102 - 1) = "1" ), 3, 4 ) ) )</f>
        <v>3</v>
      </c>
    </row>
    <row r="51" spans="2:103" ht="13.8" x14ac:dyDescent="0.3">
      <c r="C51" s="25">
        <v>1</v>
      </c>
      <c r="D51" s="24">
        <v>0.71500000000000008</v>
      </c>
      <c r="CQ51" s="24">
        <v>0.93619624503446197</v>
      </c>
      <c r="CR51" s="24" t="str">
        <f t="shared" si="4"/>
        <v>1</v>
      </c>
      <c r="CS51" t="str">
        <f ca="1">IF((OFFSET($A$1, 51 - 1, 95 - 1)) &gt;= (OFFSET($A$1, 56 - 1, 7 - 1)), "1","0")</f>
        <v>1</v>
      </c>
      <c r="CT51">
        <f ca="1" xml:space="preserve"> IF( AND( OFFSET($A$1, 51 - 1, 96 - 1) = "1", OFFSET($A$1, 51 - 1, 97 - 1) = "1" ), 1, IF( AND( OFFSET($A$1, 51 - 1, 96 - 1) = "1", OFFSET($A$1, 51 - 1, 97 - 1) = "0" ), 2, IF( AND( OFFSET($A$1, 51 - 1, 96 - 1) = "0", OFFSET($A$1, 51 - 1, 97 - 1) = "1" ), 3, 4 ) ) )</f>
        <v>1</v>
      </c>
      <c r="CV51" s="24">
        <v>0.87940324785404278</v>
      </c>
      <c r="CW51" s="24" t="str">
        <f>"1"</f>
        <v>1</v>
      </c>
      <c r="CX51" t="str">
        <f ca="1">IF((OFFSET($A$1, 51 - 1, 100 - 1)) &gt;= (OFFSET($A$1, 80 - 1, 7 - 1)), "1","0")</f>
        <v>1</v>
      </c>
      <c r="CY51">
        <f ca="1" xml:space="preserve"> IF( AND( OFFSET($A$1, 51 - 1, 101 - 1) = "1", OFFSET($A$1, 51 - 1, 102 - 1) = "1" ), 1, IF( AND( OFFSET($A$1, 51 - 1, 101 - 1) = "1", OFFSET($A$1, 51 - 1, 102 - 1) = "0" ), 2, IF( AND( OFFSET($A$1, 51 - 1, 101 - 1) = "0", OFFSET($A$1, 51 - 1, 102 - 1) = "1" ), 3, 4 ) ) )</f>
        <v>1</v>
      </c>
    </row>
    <row r="52" spans="2:103" ht="13.8" x14ac:dyDescent="0.3">
      <c r="CQ52" s="24">
        <v>0.99869832395485092</v>
      </c>
      <c r="CR52" s="24" t="str">
        <f t="shared" si="4"/>
        <v>1</v>
      </c>
      <c r="CS52" t="str">
        <f ca="1">IF((OFFSET($A$1, 52 - 1, 95 - 1)) &gt;= (OFFSET($A$1, 56 - 1, 7 - 1)), "1","0")</f>
        <v>1</v>
      </c>
      <c r="CT52">
        <f ca="1" xml:space="preserve"> IF( AND( OFFSET($A$1, 52 - 1, 96 - 1) = "1", OFFSET($A$1, 52 - 1, 97 - 1) = "1" ), 1, IF( AND( OFFSET($A$1, 52 - 1, 96 - 1) = "1", OFFSET($A$1, 52 - 1, 97 - 1) = "0" ), 2, IF( AND( OFFSET($A$1, 52 - 1, 96 - 1) = "0", OFFSET($A$1, 52 - 1, 97 - 1) = "1" ), 3, 4 ) ) )</f>
        <v>1</v>
      </c>
      <c r="CV52" s="24">
        <v>0.99695817648556251</v>
      </c>
      <c r="CW52" s="24" t="str">
        <f>"0"</f>
        <v>0</v>
      </c>
      <c r="CX52" t="str">
        <f ca="1">IF((OFFSET($A$1, 52 - 1, 100 - 1)) &gt;= (OFFSET($A$1, 80 - 1, 7 - 1)), "1","0")</f>
        <v>1</v>
      </c>
      <c r="CY52">
        <f ca="1" xml:space="preserve"> IF( AND( OFFSET($A$1, 52 - 1, 101 - 1) = "1", OFFSET($A$1, 52 - 1, 102 - 1) = "1" ), 1, IF( AND( OFFSET($A$1, 52 - 1, 101 - 1) = "1", OFFSET($A$1, 52 - 1, 102 - 1) = "0" ), 2, IF( AND( OFFSET($A$1, 52 - 1, 101 - 1) = "0", OFFSET($A$1, 52 - 1, 102 - 1) = "1" ), 3, 4 ) ) )</f>
        <v>3</v>
      </c>
    </row>
    <row r="53" spans="2:103" ht="13.8" x14ac:dyDescent="0.3">
      <c r="CQ53" s="24">
        <v>0.98370698349139751</v>
      </c>
      <c r="CR53" s="24" t="str">
        <f t="shared" si="4"/>
        <v>1</v>
      </c>
      <c r="CS53" t="str">
        <f ca="1">IF((OFFSET($A$1, 53 - 1, 95 - 1)) &gt;= (OFFSET($A$1, 56 - 1, 7 - 1)), "1","0")</f>
        <v>1</v>
      </c>
      <c r="CT53">
        <f ca="1" xml:space="preserve"> IF( AND( OFFSET($A$1, 53 - 1, 96 - 1) = "1", OFFSET($A$1, 53 - 1, 97 - 1) = "1" ), 1, IF( AND( OFFSET($A$1, 53 - 1, 96 - 1) = "1", OFFSET($A$1, 53 - 1, 97 - 1) = "0" ), 2, IF( AND( OFFSET($A$1, 53 - 1, 96 - 1) = "0", OFFSET($A$1, 53 - 1, 97 - 1) = "1" ), 3, 4 ) ) )</f>
        <v>1</v>
      </c>
      <c r="CV53" s="24">
        <v>0.97335357601732286</v>
      </c>
      <c r="CW53" s="24" t="str">
        <f>"0"</f>
        <v>0</v>
      </c>
      <c r="CX53" t="str">
        <f ca="1">IF((OFFSET($A$1, 53 - 1, 100 - 1)) &gt;= (OFFSET($A$1, 80 - 1, 7 - 1)), "1","0")</f>
        <v>1</v>
      </c>
      <c r="CY53">
        <f ca="1" xml:space="preserve"> IF( AND( OFFSET($A$1, 53 - 1, 101 - 1) = "1", OFFSET($A$1, 53 - 1, 102 - 1) = "1" ), 1, IF( AND( OFFSET($A$1, 53 - 1, 101 - 1) = "1", OFFSET($A$1, 53 - 1, 102 - 1) = "0" ), 2, IF( AND( OFFSET($A$1, 53 - 1, 101 - 1) = "0", OFFSET($A$1, 53 - 1, 102 - 1) = "1" ), 3, 4 ) ) )</f>
        <v>3</v>
      </c>
    </row>
    <row r="54" spans="2:103" ht="18" x14ac:dyDescent="0.35">
      <c r="B54" s="22" t="s">
        <v>705</v>
      </c>
      <c r="CQ54" s="24">
        <v>0.91427528539259895</v>
      </c>
      <c r="CR54" s="24" t="str">
        <f t="shared" si="4"/>
        <v>1</v>
      </c>
      <c r="CS54" t="str">
        <f ca="1">IF((OFFSET($A$1, 54 - 1, 95 - 1)) &gt;= (OFFSET($A$1, 56 - 1, 7 - 1)), "1","0")</f>
        <v>1</v>
      </c>
      <c r="CT54">
        <f ca="1" xml:space="preserve"> IF( AND( OFFSET($A$1, 54 - 1, 96 - 1) = "1", OFFSET($A$1, 54 - 1, 97 - 1) = "1" ), 1, IF( AND( OFFSET($A$1, 54 - 1, 96 - 1) = "1", OFFSET($A$1, 54 - 1, 97 - 1) = "0" ), 2, IF( AND( OFFSET($A$1, 54 - 1, 96 - 1) = "0", OFFSET($A$1, 54 - 1, 97 - 1) = "1" ), 3, 4 ) ) )</f>
        <v>1</v>
      </c>
      <c r="CV54" s="24">
        <v>0.92526627208055856</v>
      </c>
      <c r="CW54" s="24" t="str">
        <f>"1"</f>
        <v>1</v>
      </c>
      <c r="CX54" t="str">
        <f ca="1">IF((OFFSET($A$1, 54 - 1, 100 - 1)) &gt;= (OFFSET($A$1, 80 - 1, 7 - 1)), "1","0")</f>
        <v>1</v>
      </c>
      <c r="CY54">
        <f ca="1" xml:space="preserve"> IF( AND( OFFSET($A$1, 54 - 1, 101 - 1) = "1", OFFSET($A$1, 54 - 1, 102 - 1) = "1" ), 1, IF( AND( OFFSET($A$1, 54 - 1, 101 - 1) = "1", OFFSET($A$1, 54 - 1, 102 - 1) = "0" ), 2, IF( AND( OFFSET($A$1, 54 - 1, 101 - 1) = "0", OFFSET($A$1, 54 - 1, 102 - 1) = "1" ), 3, 4 ) ) )</f>
        <v>1</v>
      </c>
    </row>
    <row r="55" spans="2:103" ht="13.8" x14ac:dyDescent="0.3">
      <c r="CQ55" s="24">
        <v>0.86077520714589462</v>
      </c>
      <c r="CR55" s="24" t="str">
        <f t="shared" si="4"/>
        <v>1</v>
      </c>
      <c r="CS55" t="str">
        <f ca="1">IF((OFFSET($A$1, 55 - 1, 95 - 1)) &gt;= (OFFSET($A$1, 56 - 1, 7 - 1)), "1","0")</f>
        <v>1</v>
      </c>
      <c r="CT55">
        <f ca="1" xml:space="preserve"> IF( AND( OFFSET($A$1, 55 - 1, 96 - 1) = "1", OFFSET($A$1, 55 - 1, 97 - 1) = "1" ), 1, IF( AND( OFFSET($A$1, 55 - 1, 96 - 1) = "1", OFFSET($A$1, 55 - 1, 97 - 1) = "0" ), 2, IF( AND( OFFSET($A$1, 55 - 1, 96 - 1) = "0", OFFSET($A$1, 55 - 1, 97 - 1) = "1" ), 3, 4 ) ) )</f>
        <v>1</v>
      </c>
      <c r="CV55" s="24">
        <v>0.80869362476464168</v>
      </c>
      <c r="CW55" s="24" t="str">
        <f>"0"</f>
        <v>0</v>
      </c>
      <c r="CX55" t="str">
        <f ca="1">IF((OFFSET($A$1, 55 - 1, 100 - 1)) &gt;= (OFFSET($A$1, 80 - 1, 7 - 1)), "1","0")</f>
        <v>1</v>
      </c>
      <c r="CY55">
        <f ca="1" xml:space="preserve"> IF( AND( OFFSET($A$1, 55 - 1, 101 - 1) = "1", OFFSET($A$1, 55 - 1, 102 - 1) = "1" ), 1, IF( AND( OFFSET($A$1, 55 - 1, 101 - 1) = "1", OFFSET($A$1, 55 - 1, 102 - 1) = "0" ), 2, IF( AND( OFFSET($A$1, 55 - 1, 101 - 1) = "0", OFFSET($A$1, 55 - 1, 102 - 1) = "1" ), 3, 4 ) ) )</f>
        <v>3</v>
      </c>
    </row>
    <row r="56" spans="2:103" ht="13.8" x14ac:dyDescent="0.3">
      <c r="C56" s="72" t="s">
        <v>706</v>
      </c>
      <c r="D56" s="73"/>
      <c r="E56" s="73"/>
      <c r="F56" s="74"/>
      <c r="G56" s="35">
        <v>0.5</v>
      </c>
      <c r="H56" s="72" t="s">
        <v>707</v>
      </c>
      <c r="I56" s="73"/>
      <c r="J56" s="73"/>
      <c r="K56" s="73"/>
      <c r="L56" s="73"/>
      <c r="M56" s="74"/>
      <c r="CQ56" s="24">
        <v>6.9936993279509793E-2</v>
      </c>
      <c r="CR56" s="24" t="str">
        <f>"0"</f>
        <v>0</v>
      </c>
      <c r="CS56" t="str">
        <f ca="1">IF((OFFSET($A$1, 56 - 1, 95 - 1)) &gt;= (OFFSET($A$1, 56 - 1, 7 - 1)), "1","0")</f>
        <v>0</v>
      </c>
      <c r="CT56">
        <f ca="1" xml:space="preserve"> IF( AND( OFFSET($A$1, 56 - 1, 96 - 1) = "1", OFFSET($A$1, 56 - 1, 97 - 1) = "1" ), 1, IF( AND( OFFSET($A$1, 56 - 1, 96 - 1) = "1", OFFSET($A$1, 56 - 1, 97 - 1) = "0" ), 2, IF( AND( OFFSET($A$1, 56 - 1, 96 - 1) = "0", OFFSET($A$1, 56 - 1, 97 - 1) = "1" ), 3, 4 ) ) )</f>
        <v>4</v>
      </c>
      <c r="CV56" s="24">
        <v>0.99378967994524392</v>
      </c>
      <c r="CW56" s="24" t="str">
        <f>"0"</f>
        <v>0</v>
      </c>
      <c r="CX56" t="str">
        <f ca="1">IF((OFFSET($A$1, 56 - 1, 100 - 1)) &gt;= (OFFSET($A$1, 80 - 1, 7 - 1)), "1","0")</f>
        <v>1</v>
      </c>
      <c r="CY56">
        <f ca="1" xml:space="preserve"> IF( AND( OFFSET($A$1, 56 - 1, 101 - 1) = "1", OFFSET($A$1, 56 - 1, 102 - 1) = "1" ), 1, IF( AND( OFFSET($A$1, 56 - 1, 101 - 1) = "1", OFFSET($A$1, 56 - 1, 102 - 1) = "0" ), 2, IF( AND( OFFSET($A$1, 56 - 1, 101 - 1) = "0", OFFSET($A$1, 56 - 1, 102 - 1) = "1" ), 3, 4 ) ) )</f>
        <v>3</v>
      </c>
    </row>
    <row r="57" spans="2:103" ht="13.8" x14ac:dyDescent="0.3">
      <c r="CQ57" s="24">
        <v>6.8957404901893046E-2</v>
      </c>
      <c r="CR57" s="24" t="str">
        <f>"0"</f>
        <v>0</v>
      </c>
      <c r="CS57" t="str">
        <f ca="1">IF((OFFSET($A$1, 57 - 1, 95 - 1)) &gt;= (OFFSET($A$1, 56 - 1, 7 - 1)), "1","0")</f>
        <v>0</v>
      </c>
      <c r="CT57">
        <f ca="1" xml:space="preserve"> IF( AND( OFFSET($A$1, 57 - 1, 96 - 1) = "1", OFFSET($A$1, 57 - 1, 97 - 1) = "1" ), 1, IF( AND( OFFSET($A$1, 57 - 1, 96 - 1) = "1", OFFSET($A$1, 57 - 1, 97 - 1) = "0" ), 2, IF( AND( OFFSET($A$1, 57 - 1, 96 - 1) = "0", OFFSET($A$1, 57 - 1, 97 - 1) = "1" ), 3, 4 ) ) )</f>
        <v>4</v>
      </c>
      <c r="CV57" s="24">
        <v>0.5096880316503587</v>
      </c>
      <c r="CW57" s="24" t="str">
        <f>"0"</f>
        <v>0</v>
      </c>
      <c r="CX57" t="str">
        <f ca="1">IF((OFFSET($A$1, 57 - 1, 100 - 1)) &gt;= (OFFSET($A$1, 80 - 1, 7 - 1)), "1","0")</f>
        <v>1</v>
      </c>
      <c r="CY57">
        <f ca="1" xml:space="preserve"> IF( AND( OFFSET($A$1, 57 - 1, 101 - 1) = "1", OFFSET($A$1, 57 - 1, 102 - 1) = "1" ), 1, IF( AND( OFFSET($A$1, 57 - 1, 101 - 1) = "1", OFFSET($A$1, 57 - 1, 102 - 1) = "0" ), 2, IF( AND( OFFSET($A$1, 57 - 1, 101 - 1) = "0", OFFSET($A$1, 57 - 1, 102 - 1) = "1" ), 3, 4 ) ) )</f>
        <v>3</v>
      </c>
    </row>
    <row r="58" spans="2:103" ht="15.6" x14ac:dyDescent="0.3">
      <c r="C58" s="59" t="s">
        <v>329</v>
      </c>
      <c r="D58" s="60"/>
      <c r="E58" s="61"/>
      <c r="CQ58" s="24">
        <v>0.75437944808291668</v>
      </c>
      <c r="CR58" s="24" t="str">
        <f>"1"</f>
        <v>1</v>
      </c>
      <c r="CS58" t="str">
        <f ca="1">IF((OFFSET($A$1, 58 - 1, 95 - 1)) &gt;= (OFFSET($A$1, 56 - 1, 7 - 1)), "1","0")</f>
        <v>1</v>
      </c>
      <c r="CT58">
        <f ca="1" xml:space="preserve"> IF( AND( OFFSET($A$1, 58 - 1, 96 - 1) = "1", OFFSET($A$1, 58 - 1, 97 - 1) = "1" ), 1, IF( AND( OFFSET($A$1, 58 - 1, 96 - 1) = "1", OFFSET($A$1, 58 - 1, 97 - 1) = "0" ), 2, IF( AND( OFFSET($A$1, 58 - 1, 96 - 1) = "0", OFFSET($A$1, 58 - 1, 97 - 1) = "1" ), 3, 4 ) ) )</f>
        <v>1</v>
      </c>
      <c r="CV58" s="24">
        <v>0.99940675686794644</v>
      </c>
      <c r="CW58" s="24" t="str">
        <f>"1"</f>
        <v>1</v>
      </c>
      <c r="CX58" t="str">
        <f ca="1">IF((OFFSET($A$1, 58 - 1, 100 - 1)) &gt;= (OFFSET($A$1, 80 - 1, 7 - 1)), "1","0")</f>
        <v>1</v>
      </c>
      <c r="CY58">
        <f ca="1" xml:space="preserve"> IF( AND( OFFSET($A$1, 58 - 1, 101 - 1) = "1", OFFSET($A$1, 58 - 1, 102 - 1) = "1" ), 1, IF( AND( OFFSET($A$1, 58 - 1, 101 - 1) = "1", OFFSET($A$1, 58 - 1, 102 - 1) = "0" ), 2, IF( AND( OFFSET($A$1, 58 - 1, 101 - 1) = "0", OFFSET($A$1, 58 - 1, 102 - 1) = "1" ), 3, 4 ) ) )</f>
        <v>1</v>
      </c>
    </row>
    <row r="59" spans="2:103" ht="13.8" x14ac:dyDescent="0.3">
      <c r="C59" s="26"/>
      <c r="D59" s="75" t="s">
        <v>330</v>
      </c>
      <c r="E59" s="76"/>
      <c r="CQ59" s="24">
        <v>0.98214318694320102</v>
      </c>
      <c r="CR59" s="24" t="str">
        <f>"1"</f>
        <v>1</v>
      </c>
      <c r="CS59" t="str">
        <f ca="1">IF((OFFSET($A$1, 59 - 1, 95 - 1)) &gt;= (OFFSET($A$1, 56 - 1, 7 - 1)), "1","0")</f>
        <v>1</v>
      </c>
      <c r="CT59">
        <f ca="1" xml:space="preserve"> IF( AND( OFFSET($A$1, 59 - 1, 96 - 1) = "1", OFFSET($A$1, 59 - 1, 97 - 1) = "1" ), 1, IF( AND( OFFSET($A$1, 59 - 1, 96 - 1) = "1", OFFSET($A$1, 59 - 1, 97 - 1) = "0" ), 2, IF( AND( OFFSET($A$1, 59 - 1, 96 - 1) = "0", OFFSET($A$1, 59 - 1, 97 - 1) = "1" ), 3, 4 ) ) )</f>
        <v>1</v>
      </c>
      <c r="CV59" s="24">
        <v>0.97768558427431551</v>
      </c>
      <c r="CW59" s="24" t="str">
        <f>"1"</f>
        <v>1</v>
      </c>
      <c r="CX59" t="str">
        <f ca="1">IF((OFFSET($A$1, 59 - 1, 100 - 1)) &gt;= (OFFSET($A$1, 80 - 1, 7 - 1)), "1","0")</f>
        <v>1</v>
      </c>
      <c r="CY59">
        <f ca="1" xml:space="preserve"> IF( AND( OFFSET($A$1, 59 - 1, 101 - 1) = "1", OFFSET($A$1, 59 - 1, 102 - 1) = "1" ), 1, IF( AND( OFFSET($A$1, 59 - 1, 101 - 1) = "1", OFFSET($A$1, 59 - 1, 102 - 1) = "0" ), 2, IF( AND( OFFSET($A$1, 59 - 1, 101 - 1) = "0", OFFSET($A$1, 59 - 1, 102 - 1) = "1" ), 3, 4 ) ) )</f>
        <v>1</v>
      </c>
    </row>
    <row r="60" spans="2:103" ht="13.8" x14ac:dyDescent="0.3">
      <c r="C60" s="25" t="s">
        <v>331</v>
      </c>
      <c r="D60" s="26">
        <v>1</v>
      </c>
      <c r="E60" s="26">
        <v>0</v>
      </c>
      <c r="CQ60" s="24">
        <v>0.99751658260326936</v>
      </c>
      <c r="CR60" s="24" t="str">
        <f>"1"</f>
        <v>1</v>
      </c>
      <c r="CS60" t="str">
        <f ca="1">IF((OFFSET($A$1, 60 - 1, 95 - 1)) &gt;= (OFFSET($A$1, 56 - 1, 7 - 1)), "1","0")</f>
        <v>1</v>
      </c>
      <c r="CT60">
        <f ca="1" xml:space="preserve"> IF( AND( OFFSET($A$1, 60 - 1, 96 - 1) = "1", OFFSET($A$1, 60 - 1, 97 - 1) = "1" ), 1, IF( AND( OFFSET($A$1, 60 - 1, 96 - 1) = "1", OFFSET($A$1, 60 - 1, 97 - 1) = "0" ), 2, IF( AND( OFFSET($A$1, 60 - 1, 96 - 1) = "0", OFFSET($A$1, 60 - 1, 97 - 1) = "1" ), 3, 4 ) ) )</f>
        <v>1</v>
      </c>
      <c r="CV60" s="24">
        <v>6.6103301329476132E-3</v>
      </c>
      <c r="CW60" s="24" t="str">
        <f>"0"</f>
        <v>0</v>
      </c>
      <c r="CX60" t="str">
        <f ca="1">IF((OFFSET($A$1, 60 - 1, 100 - 1)) &gt;= (OFFSET($A$1, 80 - 1, 7 - 1)), "1","0")</f>
        <v>0</v>
      </c>
      <c r="CY60">
        <f ca="1" xml:space="preserve"> IF( AND( OFFSET($A$1, 60 - 1, 101 - 1) = "1", OFFSET($A$1, 60 - 1, 102 - 1) = "1" ), 1, IF( AND( OFFSET($A$1, 60 - 1, 101 - 1) = "1", OFFSET($A$1, 60 - 1, 102 - 1) = "0" ), 2, IF( AND( OFFSET($A$1, 60 - 1, 101 - 1) = "0", OFFSET($A$1, 60 - 1, 102 - 1) = "1" ), 3, 4 ) ) )</f>
        <v>4</v>
      </c>
    </row>
    <row r="61" spans="2:103" ht="13.8" x14ac:dyDescent="0.3">
      <c r="C61" s="25">
        <v>1</v>
      </c>
      <c r="D61" s="24">
        <f ca="1" xml:space="preserve"> COUNTIF( OFFSET($A$1, 1 - 1, 98 - 1, 601, 1), 1 )</f>
        <v>427</v>
      </c>
      <c r="E61" s="24">
        <f ca="1" xml:space="preserve"> COUNTIF( OFFSET($A$1, 1 - 1, 98 - 1, 601, 1), 2 )</f>
        <v>2</v>
      </c>
      <c r="CQ61" s="24">
        <v>0.9188249080615688</v>
      </c>
      <c r="CR61" s="24" t="str">
        <f>"1"</f>
        <v>1</v>
      </c>
      <c r="CS61" t="str">
        <f ca="1">IF((OFFSET($A$1, 61 - 1, 95 - 1)) &gt;= (OFFSET($A$1, 56 - 1, 7 - 1)), "1","0")</f>
        <v>1</v>
      </c>
      <c r="CT61">
        <f ca="1" xml:space="preserve"> IF( AND( OFFSET($A$1, 61 - 1, 96 - 1) = "1", OFFSET($A$1, 61 - 1, 97 - 1) = "1" ), 1, IF( AND( OFFSET($A$1, 61 - 1, 96 - 1) = "1", OFFSET($A$1, 61 - 1, 97 - 1) = "0" ), 2, IF( AND( OFFSET($A$1, 61 - 1, 96 - 1) = "0", OFFSET($A$1, 61 - 1, 97 - 1) = "1" ), 3, 4 ) ) )</f>
        <v>1</v>
      </c>
      <c r="CV61" s="24">
        <v>0.97360935049175223</v>
      </c>
      <c r="CW61" s="24" t="str">
        <f>"0"</f>
        <v>0</v>
      </c>
      <c r="CX61" t="str">
        <f ca="1">IF((OFFSET($A$1, 61 - 1, 100 - 1)) &gt;= (OFFSET($A$1, 80 - 1, 7 - 1)), "1","0")</f>
        <v>1</v>
      </c>
      <c r="CY61">
        <f ca="1" xml:space="preserve"> IF( AND( OFFSET($A$1, 61 - 1, 101 - 1) = "1", OFFSET($A$1, 61 - 1, 102 - 1) = "1" ), 1, IF( AND( OFFSET($A$1, 61 - 1, 101 - 1) = "1", OFFSET($A$1, 61 - 1, 102 - 1) = "0" ), 2, IF( AND( OFFSET($A$1, 61 - 1, 101 - 1) = "0", OFFSET($A$1, 61 - 1, 102 - 1) = "1" ), 3, 4 ) ) )</f>
        <v>3</v>
      </c>
    </row>
    <row r="62" spans="2:103" ht="13.8" x14ac:dyDescent="0.3">
      <c r="C62" s="25">
        <v>0</v>
      </c>
      <c r="D62" s="24">
        <f ca="1" xml:space="preserve"> COUNTIF( OFFSET($A$1, 1 - 1, 98 - 1, 601, 1), 3 )</f>
        <v>10</v>
      </c>
      <c r="E62" s="24">
        <f ca="1" xml:space="preserve"> COUNTIF( OFFSET($A$1, 1 - 1, 98 - 1, 601, 1), 4 )</f>
        <v>161</v>
      </c>
      <c r="CQ62" s="24">
        <v>0.90359943792294606</v>
      </c>
      <c r="CR62" s="24" t="str">
        <f>"1"</f>
        <v>1</v>
      </c>
      <c r="CS62" t="str">
        <f ca="1">IF((OFFSET($A$1, 62 - 1, 95 - 1)) &gt;= (OFFSET($A$1, 56 - 1, 7 - 1)), "1","0")</f>
        <v>1</v>
      </c>
      <c r="CT62">
        <f ca="1" xml:space="preserve"> IF( AND( OFFSET($A$1, 62 - 1, 96 - 1) = "1", OFFSET($A$1, 62 - 1, 97 - 1) = "1" ), 1, IF( AND( OFFSET($A$1, 62 - 1, 96 - 1) = "1", OFFSET($A$1, 62 - 1, 97 - 1) = "0" ), 2, IF( AND( OFFSET($A$1, 62 - 1, 96 - 1) = "0", OFFSET($A$1, 62 - 1, 97 - 1) = "1" ), 3, 4 ) ) )</f>
        <v>1</v>
      </c>
      <c r="CV62" s="24">
        <v>0.65840023541935244</v>
      </c>
      <c r="CW62" s="24" t="str">
        <f>"1"</f>
        <v>1</v>
      </c>
      <c r="CX62" t="str">
        <f ca="1">IF((OFFSET($A$1, 62 - 1, 100 - 1)) &gt;= (OFFSET($A$1, 80 - 1, 7 - 1)), "1","0")</f>
        <v>1</v>
      </c>
      <c r="CY62">
        <f ca="1" xml:space="preserve"> IF( AND( OFFSET($A$1, 62 - 1, 101 - 1) = "1", OFFSET($A$1, 62 - 1, 102 - 1) = "1" ), 1, IF( AND( OFFSET($A$1, 62 - 1, 101 - 1) = "1", OFFSET($A$1, 62 - 1, 102 - 1) = "0" ), 2, IF( AND( OFFSET($A$1, 62 - 1, 101 - 1) = "0", OFFSET($A$1, 62 - 1, 102 - 1) = "1" ), 3, 4 ) ) )</f>
        <v>1</v>
      </c>
    </row>
    <row r="63" spans="2:103" ht="13.8" x14ac:dyDescent="0.3">
      <c r="CQ63" s="24">
        <v>6.4604394807002696E-2</v>
      </c>
      <c r="CR63" s="24" t="str">
        <f>"0"</f>
        <v>0</v>
      </c>
      <c r="CS63" t="str">
        <f ca="1">IF((OFFSET($A$1, 63 - 1, 95 - 1)) &gt;= (OFFSET($A$1, 56 - 1, 7 - 1)), "1","0")</f>
        <v>0</v>
      </c>
      <c r="CT63">
        <f ca="1" xml:space="preserve"> IF( AND( OFFSET($A$1, 63 - 1, 96 - 1) = "1", OFFSET($A$1, 63 - 1, 97 - 1) = "1" ), 1, IF( AND( OFFSET($A$1, 63 - 1, 96 - 1) = "1", OFFSET($A$1, 63 - 1, 97 - 1) = "0" ), 2, IF( AND( OFFSET($A$1, 63 - 1, 96 - 1) = "0", OFFSET($A$1, 63 - 1, 97 - 1) = "1" ), 3, 4 ) ) )</f>
        <v>4</v>
      </c>
      <c r="CV63" s="24">
        <v>0.52951265864400165</v>
      </c>
      <c r="CW63" s="24" t="str">
        <f>"0"</f>
        <v>0</v>
      </c>
      <c r="CX63" t="str">
        <f ca="1">IF((OFFSET($A$1, 63 - 1, 100 - 1)) &gt;= (OFFSET($A$1, 80 - 1, 7 - 1)), "1","0")</f>
        <v>1</v>
      </c>
      <c r="CY63">
        <f ca="1" xml:space="preserve"> IF( AND( OFFSET($A$1, 63 - 1, 101 - 1) = "1", OFFSET($A$1, 63 - 1, 102 - 1) = "1" ), 1, IF( AND( OFFSET($A$1, 63 - 1, 101 - 1) = "1", OFFSET($A$1, 63 - 1, 102 - 1) = "0" ), 2, IF( AND( OFFSET($A$1, 63 - 1, 101 - 1) = "0", OFFSET($A$1, 63 - 1, 102 - 1) = "1" ), 3, 4 ) ) )</f>
        <v>3</v>
      </c>
    </row>
    <row r="64" spans="2:103" ht="15.6" x14ac:dyDescent="0.3">
      <c r="C64" s="59" t="s">
        <v>210</v>
      </c>
      <c r="D64" s="60"/>
      <c r="E64" s="60"/>
      <c r="F64" s="61"/>
      <c r="CQ64" s="24">
        <v>0.97660315953978893</v>
      </c>
      <c r="CR64" s="24" t="str">
        <f>"1"</f>
        <v>1</v>
      </c>
      <c r="CS64" t="str">
        <f ca="1">IF((OFFSET($A$1, 64 - 1, 95 - 1)) &gt;= (OFFSET($A$1, 56 - 1, 7 - 1)), "1","0")</f>
        <v>1</v>
      </c>
      <c r="CT64">
        <f ca="1" xml:space="preserve"> IF( AND( OFFSET($A$1, 64 - 1, 96 - 1) = "1", OFFSET($A$1, 64 - 1, 97 - 1) = "1" ), 1, IF( AND( OFFSET($A$1, 64 - 1, 96 - 1) = "1", OFFSET($A$1, 64 - 1, 97 - 1) = "0" ), 2, IF( AND( OFFSET($A$1, 64 - 1, 96 - 1) = "0", OFFSET($A$1, 64 - 1, 97 - 1) = "1" ), 3, 4 ) ) )</f>
        <v>1</v>
      </c>
      <c r="CV64" s="24">
        <v>7.2402041832446667E-2</v>
      </c>
      <c r="CW64" s="24" t="str">
        <f>"0"</f>
        <v>0</v>
      </c>
      <c r="CX64" t="str">
        <f ca="1">IF((OFFSET($A$1, 64 - 1, 100 - 1)) &gt;= (OFFSET($A$1, 80 - 1, 7 - 1)), "1","0")</f>
        <v>0</v>
      </c>
      <c r="CY64">
        <f ca="1" xml:space="preserve"> IF( AND( OFFSET($A$1, 64 - 1, 101 - 1) = "1", OFFSET($A$1, 64 - 1, 102 - 1) = "1" ), 1, IF( AND( OFFSET($A$1, 64 - 1, 101 - 1) = "1", OFFSET($A$1, 64 - 1, 102 - 1) = "0" ), 2, IF( AND( OFFSET($A$1, 64 - 1, 101 - 1) = "0", OFFSET($A$1, 64 - 1, 102 - 1) = "1" ), 3, 4 ) ) )</f>
        <v>4</v>
      </c>
    </row>
    <row r="65" spans="2:103" ht="13.8" x14ac:dyDescent="0.3">
      <c r="C65" s="26" t="s">
        <v>332</v>
      </c>
      <c r="D65" s="26" t="s">
        <v>333</v>
      </c>
      <c r="E65" s="26" t="s">
        <v>334</v>
      </c>
      <c r="F65" s="26" t="s">
        <v>335</v>
      </c>
      <c r="CQ65" s="24">
        <v>0.86872601285278461</v>
      </c>
      <c r="CR65" s="24" t="str">
        <f>"1"</f>
        <v>1</v>
      </c>
      <c r="CS65" t="str">
        <f ca="1">IF((OFFSET($A$1, 65 - 1, 95 - 1)) &gt;= (OFFSET($A$1, 56 - 1, 7 - 1)), "1","0")</f>
        <v>1</v>
      </c>
      <c r="CT65">
        <f ca="1" xml:space="preserve"> IF( AND( OFFSET($A$1, 65 - 1, 96 - 1) = "1", OFFSET($A$1, 65 - 1, 97 - 1) = "1" ), 1, IF( AND( OFFSET($A$1, 65 - 1, 96 - 1) = "1", OFFSET($A$1, 65 - 1, 97 - 1) = "0" ), 2, IF( AND( OFFSET($A$1, 65 - 1, 96 - 1) = "0", OFFSET($A$1, 65 - 1, 97 - 1) = "1" ), 3, 4 ) ) )</f>
        <v>1</v>
      </c>
      <c r="CV65" s="24">
        <v>0.99657984483997986</v>
      </c>
      <c r="CW65" s="24" t="str">
        <f>"1"</f>
        <v>1</v>
      </c>
      <c r="CX65" t="str">
        <f ca="1">IF((OFFSET($A$1, 65 - 1, 100 - 1)) &gt;= (OFFSET($A$1, 80 - 1, 7 - 1)), "1","0")</f>
        <v>1</v>
      </c>
      <c r="CY65">
        <f ca="1" xml:space="preserve"> IF( AND( OFFSET($A$1, 65 - 1, 101 - 1) = "1", OFFSET($A$1, 65 - 1, 102 - 1) = "1" ), 1, IF( AND( OFFSET($A$1, 65 - 1, 101 - 1) = "1", OFFSET($A$1, 65 - 1, 102 - 1) = "0" ), 2, IF( AND( OFFSET($A$1, 65 - 1, 101 - 1) = "0", OFFSET($A$1, 65 - 1, 102 - 1) = "1" ), 3, 4 ) ) )</f>
        <v>1</v>
      </c>
    </row>
    <row r="66" spans="2:103" ht="13.8" x14ac:dyDescent="0.3">
      <c r="C66" s="25">
        <v>1</v>
      </c>
      <c r="D66" s="24">
        <f ca="1">SUM(OFFSET($A$1, 61 - 1, 4 - 1, 1, 2))</f>
        <v>429</v>
      </c>
      <c r="E66" s="24">
        <f ca="1">SUM(OFFSET($A$1, 61 - 1, 4 - 1, 1, 2)) - OFFSET($A$1, 61 - 1, 4 - 1)</f>
        <v>2</v>
      </c>
      <c r="F66" s="24">
        <f ca="1">IF(OFFSET($A$1, 66 - 1, 4 - 1)=0,"Undefined",((OFFSET($A$1, 66 - 1, 5 - 1))*100) / (OFFSET($A$1, 66 - 1, 4 - 1)))</f>
        <v>0.46620046620046618</v>
      </c>
      <c r="CQ66" s="24">
        <v>0.10967618162299024</v>
      </c>
      <c r="CR66" s="24" t="str">
        <f>"0"</f>
        <v>0</v>
      </c>
      <c r="CS66" t="str">
        <f ca="1">IF((OFFSET($A$1, 66 - 1, 95 - 1)) &gt;= (OFFSET($A$1, 56 - 1, 7 - 1)), "1","0")</f>
        <v>0</v>
      </c>
      <c r="CT66">
        <f ca="1" xml:space="preserve"> IF( AND( OFFSET($A$1, 66 - 1, 96 - 1) = "1", OFFSET($A$1, 66 - 1, 97 - 1) = "1" ), 1, IF( AND( OFFSET($A$1, 66 - 1, 96 - 1) = "1", OFFSET($A$1, 66 - 1, 97 - 1) = "0" ), 2, IF( AND( OFFSET($A$1, 66 - 1, 96 - 1) = "0", OFFSET($A$1, 66 - 1, 97 - 1) = "1" ), 3, 4 ) ) )</f>
        <v>4</v>
      </c>
      <c r="CV66" s="24">
        <v>0.99396972859504829</v>
      </c>
      <c r="CW66" s="24" t="str">
        <f>"1"</f>
        <v>1</v>
      </c>
      <c r="CX66" t="str">
        <f ca="1">IF((OFFSET($A$1, 66 - 1, 100 - 1)) &gt;= (OFFSET($A$1, 80 - 1, 7 - 1)), "1","0")</f>
        <v>1</v>
      </c>
      <c r="CY66">
        <f ca="1" xml:space="preserve"> IF( AND( OFFSET($A$1, 66 - 1, 101 - 1) = "1", OFFSET($A$1, 66 - 1, 102 - 1) = "1" ), 1, IF( AND( OFFSET($A$1, 66 - 1, 101 - 1) = "1", OFFSET($A$1, 66 - 1, 102 - 1) = "0" ), 2, IF( AND( OFFSET($A$1, 66 - 1, 101 - 1) = "0", OFFSET($A$1, 66 - 1, 102 - 1) = "1" ), 3, 4 ) ) )</f>
        <v>1</v>
      </c>
    </row>
    <row r="67" spans="2:103" ht="13.8" x14ac:dyDescent="0.3">
      <c r="C67" s="25">
        <v>0</v>
      </c>
      <c r="D67" s="24">
        <f ca="1">SUM(OFFSET($A$1, 62 - 1, 4 - 1, 1, 2))</f>
        <v>171</v>
      </c>
      <c r="E67" s="24">
        <f ca="1">SUM(OFFSET($A$1, 62 - 1, 4 - 1, 1, 2)) - OFFSET($A$1, 62 - 1, 5 - 1)</f>
        <v>10</v>
      </c>
      <c r="F67" s="24">
        <f ca="1">IF(OFFSET($A$1, 67 - 1, 4 - 1)=0,"Undefined",((OFFSET($A$1, 67 - 1, 5 - 1))*100) / (OFFSET($A$1, 67 - 1, 4 - 1)))</f>
        <v>5.8479532163742691</v>
      </c>
      <c r="CQ67" s="24">
        <v>0.84500676706333011</v>
      </c>
      <c r="CR67" s="24" t="str">
        <f>"1"</f>
        <v>1</v>
      </c>
      <c r="CS67" t="str">
        <f ca="1">IF((OFFSET($A$1, 67 - 1, 95 - 1)) &gt;= (OFFSET($A$1, 56 - 1, 7 - 1)), "1","0")</f>
        <v>1</v>
      </c>
      <c r="CT67">
        <f ca="1" xml:space="preserve"> IF( AND( OFFSET($A$1, 67 - 1, 96 - 1) = "1", OFFSET($A$1, 67 - 1, 97 - 1) = "1" ), 1, IF( AND( OFFSET($A$1, 67 - 1, 96 - 1) = "1", OFFSET($A$1, 67 - 1, 97 - 1) = "0" ), 2, IF( AND( OFFSET($A$1, 67 - 1, 96 - 1) = "0", OFFSET($A$1, 67 - 1, 97 - 1) = "1" ), 3, 4 ) ) )</f>
        <v>1</v>
      </c>
      <c r="CV67" s="24">
        <v>0.96309387865869522</v>
      </c>
      <c r="CW67" s="24" t="str">
        <f>"1"</f>
        <v>1</v>
      </c>
      <c r="CX67" t="str">
        <f ca="1">IF((OFFSET($A$1, 67 - 1, 100 - 1)) &gt;= (OFFSET($A$1, 80 - 1, 7 - 1)), "1","0")</f>
        <v>1</v>
      </c>
      <c r="CY67">
        <f ca="1" xml:space="preserve"> IF( AND( OFFSET($A$1, 67 - 1, 101 - 1) = "1", OFFSET($A$1, 67 - 1, 102 - 1) = "1" ), 1, IF( AND( OFFSET($A$1, 67 - 1, 101 - 1) = "1", OFFSET($A$1, 67 - 1, 102 - 1) = "0" ), 2, IF( AND( OFFSET($A$1, 67 - 1, 101 - 1) = "0", OFFSET($A$1, 67 - 1, 102 - 1) = "1" ), 3, 4 ) ) )</f>
        <v>1</v>
      </c>
    </row>
    <row r="68" spans="2:103" ht="13.8" x14ac:dyDescent="0.3">
      <c r="C68" s="25" t="s">
        <v>336</v>
      </c>
      <c r="D68" s="24">
        <f ca="1">SUM(OFFSET($A$1, 66 - 1, 4 - 1, 2, 1))</f>
        <v>600</v>
      </c>
      <c r="E68" s="24">
        <f ca="1">SUM(OFFSET($A$1, 66 - 1, 5 - 1, 2, 1))</f>
        <v>12</v>
      </c>
      <c r="F68" s="24">
        <f ca="1">IF(OFFSET($A$1, 68 - 1, 4 - 1)=0,"Undefined",((OFFSET($A$1, 68 - 1, 5 - 1))*100) / (OFFSET($A$1, 68 - 1, 4 - 1)))</f>
        <v>2</v>
      </c>
      <c r="CQ68" s="24">
        <v>0.99847846125322448</v>
      </c>
      <c r="CR68" s="24" t="str">
        <f>"1"</f>
        <v>1</v>
      </c>
      <c r="CS68" t="str">
        <f ca="1">IF((OFFSET($A$1, 68 - 1, 95 - 1)) &gt;= (OFFSET($A$1, 56 - 1, 7 - 1)), "1","0")</f>
        <v>1</v>
      </c>
      <c r="CT68">
        <f ca="1" xml:space="preserve"> IF( AND( OFFSET($A$1, 68 - 1, 96 - 1) = "1", OFFSET($A$1, 68 - 1, 97 - 1) = "1" ), 1, IF( AND( OFFSET($A$1, 68 - 1, 96 - 1) = "1", OFFSET($A$1, 68 - 1, 97 - 1) = "0" ), 2, IF( AND( OFFSET($A$1, 68 - 1, 96 - 1) = "0", OFFSET($A$1, 68 - 1, 97 - 1) = "1" ), 3, 4 ) ) )</f>
        <v>1</v>
      </c>
      <c r="CV68" s="24">
        <v>0.25554110128071444</v>
      </c>
      <c r="CW68" s="24" t="str">
        <f>"0"</f>
        <v>0</v>
      </c>
      <c r="CX68" t="str">
        <f ca="1">IF((OFFSET($A$1, 68 - 1, 100 - 1)) &gt;= (OFFSET($A$1, 80 - 1, 7 - 1)), "1","0")</f>
        <v>0</v>
      </c>
      <c r="CY68">
        <f ca="1" xml:space="preserve"> IF( AND( OFFSET($A$1, 68 - 1, 101 - 1) = "1", OFFSET($A$1, 68 - 1, 102 - 1) = "1" ), 1, IF( AND( OFFSET($A$1, 68 - 1, 101 - 1) = "1", OFFSET($A$1, 68 - 1, 102 - 1) = "0" ), 2, IF( AND( OFFSET($A$1, 68 - 1, 101 - 1) = "0", OFFSET($A$1, 68 - 1, 102 - 1) = "1" ), 3, 4 ) ) )</f>
        <v>4</v>
      </c>
    </row>
    <row r="69" spans="2:103" ht="13.8" x14ac:dyDescent="0.3">
      <c r="CQ69" s="24">
        <v>0.86752304395672775</v>
      </c>
      <c r="CR69" s="24" t="str">
        <f>"1"</f>
        <v>1</v>
      </c>
      <c r="CS69" t="str">
        <f ca="1">IF((OFFSET($A$1, 69 - 1, 95 - 1)) &gt;= (OFFSET($A$1, 56 - 1, 7 - 1)), "1","0")</f>
        <v>1</v>
      </c>
      <c r="CT69">
        <f ca="1" xml:space="preserve"> IF( AND( OFFSET($A$1, 69 - 1, 96 - 1) = "1", OFFSET($A$1, 69 - 1, 97 - 1) = "1" ), 1, IF( AND( OFFSET($A$1, 69 - 1, 96 - 1) = "1", OFFSET($A$1, 69 - 1, 97 - 1) = "0" ), 2, IF( AND( OFFSET($A$1, 69 - 1, 96 - 1) = "0", OFFSET($A$1, 69 - 1, 97 - 1) = "1" ), 3, 4 ) ) )</f>
        <v>1</v>
      </c>
      <c r="CV69" s="24">
        <v>0.99989472462031725</v>
      </c>
      <c r="CW69" s="24" t="str">
        <f>"1"</f>
        <v>1</v>
      </c>
      <c r="CX69" t="str">
        <f ca="1">IF((OFFSET($A$1, 69 - 1, 100 - 1)) &gt;= (OFFSET($A$1, 80 - 1, 7 - 1)), "1","0")</f>
        <v>1</v>
      </c>
      <c r="CY69">
        <f ca="1" xml:space="preserve"> IF( AND( OFFSET($A$1, 69 - 1, 101 - 1) = "1", OFFSET($A$1, 69 - 1, 102 - 1) = "1" ), 1, IF( AND( OFFSET($A$1, 69 - 1, 101 - 1) = "1", OFFSET($A$1, 69 - 1, 102 - 1) = "0" ), 2, IF( AND( OFFSET($A$1, 69 - 1, 101 - 1) = "0", OFFSET($A$1, 69 - 1, 102 - 1) = "1" ), 3, 4 ) ) )</f>
        <v>1</v>
      </c>
    </row>
    <row r="70" spans="2:103" ht="15.6" x14ac:dyDescent="0.3">
      <c r="C70" s="59" t="s">
        <v>708</v>
      </c>
      <c r="D70" s="60"/>
      <c r="E70" s="61"/>
      <c r="CQ70" s="24">
        <v>0.10192545434206086</v>
      </c>
      <c r="CR70" s="24" t="str">
        <f>"0"</f>
        <v>0</v>
      </c>
      <c r="CS70" t="str">
        <f ca="1">IF((OFFSET($A$1, 70 - 1, 95 - 1)) &gt;= (OFFSET($A$1, 56 - 1, 7 - 1)), "1","0")</f>
        <v>0</v>
      </c>
      <c r="CT70">
        <f ca="1" xml:space="preserve"> IF( AND( OFFSET($A$1, 70 - 1, 96 - 1) = "1", OFFSET($A$1, 70 - 1, 97 - 1) = "1" ), 1, IF( AND( OFFSET($A$1, 70 - 1, 96 - 1) = "1", OFFSET($A$1, 70 - 1, 97 - 1) = "0" ), 2, IF( AND( OFFSET($A$1, 70 - 1, 96 - 1) = "0", OFFSET($A$1, 70 - 1, 97 - 1) = "1" ), 3, 4 ) ) )</f>
        <v>4</v>
      </c>
      <c r="CV70" s="24">
        <v>0.95725795836389094</v>
      </c>
      <c r="CW70" s="24" t="str">
        <f>"0"</f>
        <v>0</v>
      </c>
      <c r="CX70" t="str">
        <f ca="1">IF((OFFSET($A$1, 70 - 1, 100 - 1)) &gt;= (OFFSET($A$1, 80 - 1, 7 - 1)), "1","0")</f>
        <v>1</v>
      </c>
      <c r="CY70">
        <f ca="1" xml:space="preserve"> IF( AND( OFFSET($A$1, 70 - 1, 101 - 1) = "1", OFFSET($A$1, 70 - 1, 102 - 1) = "1" ), 1, IF( AND( OFFSET($A$1, 70 - 1, 101 - 1) = "1", OFFSET($A$1, 70 - 1, 102 - 1) = "0" ), 2, IF( AND( OFFSET($A$1, 70 - 1, 101 - 1) = "0", OFFSET($A$1, 70 - 1, 102 - 1) = "1" ), 3, 4 ) ) )</f>
        <v>3</v>
      </c>
    </row>
    <row r="71" spans="2:103" ht="13.8" x14ac:dyDescent="0.3">
      <c r="C71" s="62" t="s">
        <v>709</v>
      </c>
      <c r="D71" s="64"/>
      <c r="E71" s="34">
        <v>1</v>
      </c>
      <c r="CQ71" s="24">
        <v>0.95510562125955456</v>
      </c>
      <c r="CR71" s="24" t="str">
        <f>"1"</f>
        <v>1</v>
      </c>
      <c r="CS71" t="str">
        <f ca="1">IF((OFFSET($A$1, 71 - 1, 95 - 1)) &gt;= (OFFSET($A$1, 56 - 1, 7 - 1)), "1","0")</f>
        <v>1</v>
      </c>
      <c r="CT71">
        <f ca="1" xml:space="preserve"> IF( AND( OFFSET($A$1, 71 - 1, 96 - 1) = "1", OFFSET($A$1, 71 - 1, 97 - 1) = "1" ), 1, IF( AND( OFFSET($A$1, 71 - 1, 96 - 1) = "1", OFFSET($A$1, 71 - 1, 97 - 1) = "0" ), 2, IF( AND( OFFSET($A$1, 71 - 1, 96 - 1) = "0", OFFSET($A$1, 71 - 1, 97 - 1) = "1" ), 3, 4 ) ) )</f>
        <v>1</v>
      </c>
      <c r="CV71" s="24">
        <v>0.91792529856194294</v>
      </c>
      <c r="CW71" s="24" t="str">
        <f>"1"</f>
        <v>1</v>
      </c>
      <c r="CX71" t="str">
        <f ca="1">IF((OFFSET($A$1, 71 - 1, 100 - 1)) &gt;= (OFFSET($A$1, 80 - 1, 7 - 1)), "1","0")</f>
        <v>1</v>
      </c>
      <c r="CY71">
        <f ca="1" xml:space="preserve"> IF( AND( OFFSET($A$1, 71 - 1, 101 - 1) = "1", OFFSET($A$1, 71 - 1, 102 - 1) = "1" ), 1, IF( AND( OFFSET($A$1, 71 - 1, 101 - 1) = "1", OFFSET($A$1, 71 - 1, 102 - 1) = "0" ), 2, IF( AND( OFFSET($A$1, 71 - 1, 101 - 1) = "0", OFFSET($A$1, 71 - 1, 102 - 1) = "1" ), 3, 4 ) ) )</f>
        <v>1</v>
      </c>
    </row>
    <row r="72" spans="2:103" ht="13.8" x14ac:dyDescent="0.3">
      <c r="C72" s="62" t="s">
        <v>710</v>
      </c>
      <c r="D72" s="64"/>
      <c r="E72" s="34">
        <f ca="1">IF((OFFSET($A$1, 61 - 1, 4 - 1) + OFFSET($A$1, 62 - 1, 4 - 1)) = 0,"Undefined",OFFSET($A$1, 61 - 1, 4 - 1)/(OFFSET($A$1, 61 - 1, 4 - 1) + OFFSET($A$1, 62 - 1, 4 - 1)))</f>
        <v>0.97711670480549195</v>
      </c>
      <c r="CQ72" s="24">
        <v>8.5278723072899881E-2</v>
      </c>
      <c r="CR72" s="24" t="str">
        <f>"0"</f>
        <v>0</v>
      </c>
      <c r="CS72" t="str">
        <f ca="1">IF((OFFSET($A$1, 72 - 1, 95 - 1)) &gt;= (OFFSET($A$1, 56 - 1, 7 - 1)), "1","0")</f>
        <v>0</v>
      </c>
      <c r="CT72">
        <f ca="1" xml:space="preserve"> IF( AND( OFFSET($A$1, 72 - 1, 96 - 1) = "1", OFFSET($A$1, 72 - 1, 97 - 1) = "1" ), 1, IF( AND( OFFSET($A$1, 72 - 1, 96 - 1) = "1", OFFSET($A$1, 72 - 1, 97 - 1) = "0" ), 2, IF( AND( OFFSET($A$1, 72 - 1, 96 - 1) = "0", OFFSET($A$1, 72 - 1, 97 - 1) = "1" ), 3, 4 ) ) )</f>
        <v>4</v>
      </c>
      <c r="CV72" s="24">
        <v>0.99689925527925993</v>
      </c>
      <c r="CW72" s="24" t="str">
        <f>"0"</f>
        <v>0</v>
      </c>
      <c r="CX72" t="str">
        <f ca="1">IF((OFFSET($A$1, 72 - 1, 100 - 1)) &gt;= (OFFSET($A$1, 80 - 1, 7 - 1)), "1","0")</f>
        <v>1</v>
      </c>
      <c r="CY72">
        <f ca="1" xml:space="preserve"> IF( AND( OFFSET($A$1, 72 - 1, 101 - 1) = "1", OFFSET($A$1, 72 - 1, 102 - 1) = "1" ), 1, IF( AND( OFFSET($A$1, 72 - 1, 101 - 1) = "1", OFFSET($A$1, 72 - 1, 102 - 1) = "0" ), 2, IF( AND( OFFSET($A$1, 72 - 1, 101 - 1) = "0", OFFSET($A$1, 72 - 1, 102 - 1) = "1" ), 3, 4 ) ) )</f>
        <v>3</v>
      </c>
    </row>
    <row r="73" spans="2:103" ht="13.8" x14ac:dyDescent="0.3">
      <c r="C73" s="62" t="s">
        <v>711</v>
      </c>
      <c r="D73" s="64"/>
      <c r="E73" s="34">
        <f ca="1">IF((OFFSET($A$1, 61 - 1, 4 - 1) + OFFSET($A$1, 61 - 1, 5 - 1)) = 0,"Undefined",OFFSET($A$1, 61 - 1, 4 - 1)/(OFFSET($A$1, 61 - 1, 4 - 1) + OFFSET($A$1, 61 - 1, 5 - 1)))</f>
        <v>0.99533799533799538</v>
      </c>
      <c r="CQ73" s="24">
        <v>4.6379658541054261E-2</v>
      </c>
      <c r="CR73" s="24" t="str">
        <f>"0"</f>
        <v>0</v>
      </c>
      <c r="CS73" t="str">
        <f ca="1">IF((OFFSET($A$1, 73 - 1, 95 - 1)) &gt;= (OFFSET($A$1, 56 - 1, 7 - 1)), "1","0")</f>
        <v>0</v>
      </c>
      <c r="CT73">
        <f ca="1" xml:space="preserve"> IF( AND( OFFSET($A$1, 73 - 1, 96 - 1) = "1", OFFSET($A$1, 73 - 1, 97 - 1) = "1" ), 1, IF( AND( OFFSET($A$1, 73 - 1, 96 - 1) = "1", OFFSET($A$1, 73 - 1, 97 - 1) = "0" ), 2, IF( AND( OFFSET($A$1, 73 - 1, 96 - 1) = "0", OFFSET($A$1, 73 - 1, 97 - 1) = "1" ), 3, 4 ) ) )</f>
        <v>4</v>
      </c>
      <c r="CV73" s="24">
        <v>0.99957036583798431</v>
      </c>
      <c r="CW73" s="24" t="str">
        <f>"1"</f>
        <v>1</v>
      </c>
      <c r="CX73" t="str">
        <f ca="1">IF((OFFSET($A$1, 73 - 1, 100 - 1)) &gt;= (OFFSET($A$1, 80 - 1, 7 - 1)), "1","0")</f>
        <v>1</v>
      </c>
      <c r="CY73">
        <f ca="1" xml:space="preserve"> IF( AND( OFFSET($A$1, 73 - 1, 101 - 1) = "1", OFFSET($A$1, 73 - 1, 102 - 1) = "1" ), 1, IF( AND( OFFSET($A$1, 73 - 1, 101 - 1) = "1", OFFSET($A$1, 73 - 1, 102 - 1) = "0" ), 2, IF( AND( OFFSET($A$1, 73 - 1, 101 - 1) = "0", OFFSET($A$1, 73 - 1, 102 - 1) = "1" ), 3, 4 ) ) )</f>
        <v>1</v>
      </c>
    </row>
    <row r="74" spans="2:103" ht="13.8" x14ac:dyDescent="0.3">
      <c r="C74" s="62" t="s">
        <v>712</v>
      </c>
      <c r="D74" s="64"/>
      <c r="E74" s="34">
        <f ca="1">IF((OFFSET($A$1, 62 - 1, 4 - 1) + OFFSET($A$1, 62 - 1, 5 - 1)) = 0,"Undefined",OFFSET($A$1, 62 - 1, 5 - 1)/(OFFSET($A$1, 62 - 1, 4 - 1) + OFFSET($A$1, 62 - 1, 5 - 1)))</f>
        <v>0.94152046783625731</v>
      </c>
      <c r="CQ74" s="24">
        <v>0.95680399383296733</v>
      </c>
      <c r="CR74" s="24" t="str">
        <f t="shared" ref="CR74:CR84" si="5">"1"</f>
        <v>1</v>
      </c>
      <c r="CS74" t="str">
        <f ca="1">IF((OFFSET($A$1, 74 - 1, 95 - 1)) &gt;= (OFFSET($A$1, 56 - 1, 7 - 1)), "1","0")</f>
        <v>1</v>
      </c>
      <c r="CT74">
        <f ca="1" xml:space="preserve"> IF( AND( OFFSET($A$1, 74 - 1, 96 - 1) = "1", OFFSET($A$1, 74 - 1, 97 - 1) = "1" ), 1, IF( AND( OFFSET($A$1, 74 - 1, 96 - 1) = "1", OFFSET($A$1, 74 - 1, 97 - 1) = "0" ), 2, IF( AND( OFFSET($A$1, 74 - 1, 96 - 1) = "0", OFFSET($A$1, 74 - 1, 97 - 1) = "1" ), 3, 4 ) ) )</f>
        <v>1</v>
      </c>
      <c r="CV74" s="24">
        <v>0.24872537653997911</v>
      </c>
      <c r="CW74" s="24" t="str">
        <f>"0"</f>
        <v>0</v>
      </c>
      <c r="CX74" t="str">
        <f ca="1">IF((OFFSET($A$1, 74 - 1, 100 - 1)) &gt;= (OFFSET($A$1, 80 - 1, 7 - 1)), "1","0")</f>
        <v>0</v>
      </c>
      <c r="CY74">
        <f ca="1" xml:space="preserve"> IF( AND( OFFSET($A$1, 74 - 1, 101 - 1) = "1", OFFSET($A$1, 74 - 1, 102 - 1) = "1" ), 1, IF( AND( OFFSET($A$1, 74 - 1, 101 - 1) = "1", OFFSET($A$1, 74 - 1, 102 - 1) = "0" ), 2, IF( AND( OFFSET($A$1, 74 - 1, 101 - 1) = "0", OFFSET($A$1, 74 - 1, 102 - 1) = "1" ), 3, 4 ) ) )</f>
        <v>4</v>
      </c>
    </row>
    <row r="75" spans="2:103" ht="13.8" x14ac:dyDescent="0.3">
      <c r="C75" s="62" t="s">
        <v>713</v>
      </c>
      <c r="D75" s="64"/>
      <c r="E75" s="34">
        <f ca="1">IF(OR(OFFSET($A$1, 72 - 1, 5 - 1)="Undefined",OFFSET($A$1, 73 - 1, 5 - 1)="Undefined"),"Undefined",IF((OFFSET($A$1, 72 - 1, 5 - 1) + OFFSET($A$1, 73 - 1, 5 - 1))=0,"Undefined",2*OFFSET($A$1, 72 - 1, 5 - 1)*OFFSET($A$1, 73 - 1, 5 - 1)/(OFFSET($A$1, 72 - 1, 5 - 1)+OFFSET($A$1, 73 - 1, 5 - 1))))</f>
        <v>0.98614318706697468</v>
      </c>
      <c r="CQ75" s="24">
        <v>0.87883013070071681</v>
      </c>
      <c r="CR75" s="24" t="str">
        <f t="shared" si="5"/>
        <v>1</v>
      </c>
      <c r="CS75" t="str">
        <f ca="1">IF((OFFSET($A$1, 75 - 1, 95 - 1)) &gt;= (OFFSET($A$1, 56 - 1, 7 - 1)), "1","0")</f>
        <v>1</v>
      </c>
      <c r="CT75">
        <f ca="1" xml:space="preserve"> IF( AND( OFFSET($A$1, 75 - 1, 96 - 1) = "1", OFFSET($A$1, 75 - 1, 97 - 1) = "1" ), 1, IF( AND( OFFSET($A$1, 75 - 1, 96 - 1) = "1", OFFSET($A$1, 75 - 1, 97 - 1) = "0" ), 2, IF( AND( OFFSET($A$1, 75 - 1, 96 - 1) = "0", OFFSET($A$1, 75 - 1, 97 - 1) = "1" ), 3, 4 ) ) )</f>
        <v>1</v>
      </c>
      <c r="CV75" s="24">
        <v>0.93017988314737088</v>
      </c>
      <c r="CW75" s="24" t="str">
        <f t="shared" ref="CW75:CW84" si="6">"1"</f>
        <v>1</v>
      </c>
      <c r="CX75" t="str">
        <f ca="1">IF((OFFSET($A$1, 75 - 1, 100 - 1)) &gt;= (OFFSET($A$1, 80 - 1, 7 - 1)), "1","0")</f>
        <v>1</v>
      </c>
      <c r="CY75">
        <f ca="1" xml:space="preserve"> IF( AND( OFFSET($A$1, 75 - 1, 101 - 1) = "1", OFFSET($A$1, 75 - 1, 102 - 1) = "1" ), 1, IF( AND( OFFSET($A$1, 75 - 1, 101 - 1) = "1", OFFSET($A$1, 75 - 1, 102 - 1) = "0" ), 2, IF( AND( OFFSET($A$1, 75 - 1, 101 - 1) = "0", OFFSET($A$1, 75 - 1, 102 - 1) = "1" ), 3, 4 ) ) )</f>
        <v>1</v>
      </c>
    </row>
    <row r="76" spans="2:103" ht="13.8" x14ac:dyDescent="0.3">
      <c r="CQ76" s="24">
        <v>0.99947786366138569</v>
      </c>
      <c r="CR76" s="24" t="str">
        <f t="shared" si="5"/>
        <v>1</v>
      </c>
      <c r="CS76" t="str">
        <f ca="1">IF((OFFSET($A$1, 76 - 1, 95 - 1)) &gt;= (OFFSET($A$1, 56 - 1, 7 - 1)), "1","0")</f>
        <v>1</v>
      </c>
      <c r="CT76">
        <f ca="1" xml:space="preserve"> IF( AND( OFFSET($A$1, 76 - 1, 96 - 1) = "1", OFFSET($A$1, 76 - 1, 97 - 1) = "1" ), 1, IF( AND( OFFSET($A$1, 76 - 1, 96 - 1) = "1", OFFSET($A$1, 76 - 1, 97 - 1) = "0" ), 2, IF( AND( OFFSET($A$1, 76 - 1, 96 - 1) = "0", OFFSET($A$1, 76 - 1, 97 - 1) = "1" ), 3, 4 ) ) )</f>
        <v>1</v>
      </c>
      <c r="CV76" s="24">
        <v>0.95351859367551828</v>
      </c>
      <c r="CW76" s="24" t="str">
        <f t="shared" si="6"/>
        <v>1</v>
      </c>
      <c r="CX76" t="str">
        <f ca="1">IF((OFFSET($A$1, 76 - 1, 100 - 1)) &gt;= (OFFSET($A$1, 80 - 1, 7 - 1)), "1","0")</f>
        <v>1</v>
      </c>
      <c r="CY76">
        <f ca="1" xml:space="preserve"> IF( AND( OFFSET($A$1, 76 - 1, 101 - 1) = "1", OFFSET($A$1, 76 - 1, 102 - 1) = "1" ), 1, IF( AND( OFFSET($A$1, 76 - 1, 101 - 1) = "1", OFFSET($A$1, 76 - 1, 102 - 1) = "0" ), 2, IF( AND( OFFSET($A$1, 76 - 1, 101 - 1) = "0", OFFSET($A$1, 76 - 1, 102 - 1) = "1" ), 3, 4 ) ) )</f>
        <v>1</v>
      </c>
    </row>
    <row r="77" spans="2:103" ht="13.8" x14ac:dyDescent="0.3">
      <c r="CQ77" s="24">
        <v>0.99989837339408083</v>
      </c>
      <c r="CR77" s="24" t="str">
        <f t="shared" si="5"/>
        <v>1</v>
      </c>
      <c r="CS77" t="str">
        <f ca="1">IF((OFFSET($A$1, 77 - 1, 95 - 1)) &gt;= (OFFSET($A$1, 56 - 1, 7 - 1)), "1","0")</f>
        <v>1</v>
      </c>
      <c r="CT77">
        <f ca="1" xml:space="preserve"> IF( AND( OFFSET($A$1, 77 - 1, 96 - 1) = "1", OFFSET($A$1, 77 - 1, 97 - 1) = "1" ), 1, IF( AND( OFFSET($A$1, 77 - 1, 96 - 1) = "1", OFFSET($A$1, 77 - 1, 97 - 1) = "0" ), 2, IF( AND( OFFSET($A$1, 77 - 1, 96 - 1) = "0", OFFSET($A$1, 77 - 1, 97 - 1) = "1" ), 3, 4 ) ) )</f>
        <v>1</v>
      </c>
      <c r="CV77" s="24">
        <v>0.45818658639622112</v>
      </c>
      <c r="CW77" s="24" t="str">
        <f t="shared" si="6"/>
        <v>1</v>
      </c>
      <c r="CX77" t="str">
        <f ca="1">IF((OFFSET($A$1, 77 - 1, 100 - 1)) &gt;= (OFFSET($A$1, 80 - 1, 7 - 1)), "1","0")</f>
        <v>0</v>
      </c>
      <c r="CY77">
        <f ca="1" xml:space="preserve"> IF( AND( OFFSET($A$1, 77 - 1, 101 - 1) = "1", OFFSET($A$1, 77 - 1, 102 - 1) = "1" ), 1, IF( AND( OFFSET($A$1, 77 - 1, 101 - 1) = "1", OFFSET($A$1, 77 - 1, 102 - 1) = "0" ), 2, IF( AND( OFFSET($A$1, 77 - 1, 101 - 1) = "0", OFFSET($A$1, 77 - 1, 102 - 1) = "1" ), 3, 4 ) ) )</f>
        <v>2</v>
      </c>
    </row>
    <row r="78" spans="2:103" ht="18" x14ac:dyDescent="0.35">
      <c r="B78" s="22" t="s">
        <v>714</v>
      </c>
      <c r="CQ78" s="24">
        <v>0.92133644222778044</v>
      </c>
      <c r="CR78" s="24" t="str">
        <f t="shared" si="5"/>
        <v>1</v>
      </c>
      <c r="CS78" t="str">
        <f ca="1">IF((OFFSET($A$1, 78 - 1, 95 - 1)) &gt;= (OFFSET($A$1, 56 - 1, 7 - 1)), "1","0")</f>
        <v>1</v>
      </c>
      <c r="CT78">
        <f ca="1" xml:space="preserve"> IF( AND( OFFSET($A$1, 78 - 1, 96 - 1) = "1", OFFSET($A$1, 78 - 1, 97 - 1) = "1" ), 1, IF( AND( OFFSET($A$1, 78 - 1, 96 - 1) = "1", OFFSET($A$1, 78 - 1, 97 - 1) = "0" ), 2, IF( AND( OFFSET($A$1, 78 - 1, 96 - 1) = "0", OFFSET($A$1, 78 - 1, 97 - 1) = "1" ), 3, 4 ) ) )</f>
        <v>1</v>
      </c>
      <c r="CV78" s="24">
        <v>0.73824173405250337</v>
      </c>
      <c r="CW78" s="24" t="str">
        <f t="shared" si="6"/>
        <v>1</v>
      </c>
      <c r="CX78" t="str">
        <f ca="1">IF((OFFSET($A$1, 78 - 1, 100 - 1)) &gt;= (OFFSET($A$1, 80 - 1, 7 - 1)), "1","0")</f>
        <v>1</v>
      </c>
      <c r="CY78">
        <f ca="1" xml:space="preserve"> IF( AND( OFFSET($A$1, 78 - 1, 101 - 1) = "1", OFFSET($A$1, 78 - 1, 102 - 1) = "1" ), 1, IF( AND( OFFSET($A$1, 78 - 1, 101 - 1) = "1", OFFSET($A$1, 78 - 1, 102 - 1) = "0" ), 2, IF( AND( OFFSET($A$1, 78 - 1, 101 - 1) = "0", OFFSET($A$1, 78 - 1, 102 - 1) = "1" ), 3, 4 ) ) )</f>
        <v>1</v>
      </c>
    </row>
    <row r="79" spans="2:103" ht="13.8" x14ac:dyDescent="0.3">
      <c r="CQ79" s="24">
        <v>0.68283977465333501</v>
      </c>
      <c r="CR79" s="24" t="str">
        <f t="shared" si="5"/>
        <v>1</v>
      </c>
      <c r="CS79" t="str">
        <f ca="1">IF((OFFSET($A$1, 79 - 1, 95 - 1)) &gt;= (OFFSET($A$1, 56 - 1, 7 - 1)), "1","0")</f>
        <v>1</v>
      </c>
      <c r="CT79">
        <f ca="1" xml:space="preserve"> IF( AND( OFFSET($A$1, 79 - 1, 96 - 1) = "1", OFFSET($A$1, 79 - 1, 97 - 1) = "1" ), 1, IF( AND( OFFSET($A$1, 79 - 1, 96 - 1) = "1", OFFSET($A$1, 79 - 1, 97 - 1) = "0" ), 2, IF( AND( OFFSET($A$1, 79 - 1, 96 - 1) = "0", OFFSET($A$1, 79 - 1, 97 - 1) = "1" ), 3, 4 ) ) )</f>
        <v>1</v>
      </c>
      <c r="CV79" s="24">
        <v>0.99914600304039469</v>
      </c>
      <c r="CW79" s="24" t="str">
        <f t="shared" si="6"/>
        <v>1</v>
      </c>
      <c r="CX79" t="str">
        <f ca="1">IF((OFFSET($A$1, 79 - 1, 100 - 1)) &gt;= (OFFSET($A$1, 80 - 1, 7 - 1)), "1","0")</f>
        <v>1</v>
      </c>
      <c r="CY79">
        <f ca="1" xml:space="preserve"> IF( AND( OFFSET($A$1, 79 - 1, 101 - 1) = "1", OFFSET($A$1, 79 - 1, 102 - 1) = "1" ), 1, IF( AND( OFFSET($A$1, 79 - 1, 101 - 1) = "1", OFFSET($A$1, 79 - 1, 102 - 1) = "0" ), 2, IF( AND( OFFSET($A$1, 79 - 1, 101 - 1) = "0", OFFSET($A$1, 79 - 1, 102 - 1) = "1" ), 3, 4 ) ) )</f>
        <v>1</v>
      </c>
    </row>
    <row r="80" spans="2:103" ht="13.8" x14ac:dyDescent="0.3">
      <c r="C80" s="72" t="s">
        <v>706</v>
      </c>
      <c r="D80" s="73"/>
      <c r="E80" s="73"/>
      <c r="F80" s="74"/>
      <c r="G80" s="35">
        <v>0.5</v>
      </c>
      <c r="H80" s="72" t="s">
        <v>707</v>
      </c>
      <c r="I80" s="73"/>
      <c r="J80" s="73"/>
      <c r="K80" s="73"/>
      <c r="L80" s="73"/>
      <c r="M80" s="74"/>
      <c r="CQ80" s="24">
        <v>0.9892337287535391</v>
      </c>
      <c r="CR80" s="24" t="str">
        <f t="shared" si="5"/>
        <v>1</v>
      </c>
      <c r="CS80" t="str">
        <f ca="1">IF((OFFSET($A$1, 80 - 1, 95 - 1)) &gt;= (OFFSET($A$1, 56 - 1, 7 - 1)), "1","0")</f>
        <v>1</v>
      </c>
      <c r="CT80">
        <f ca="1" xml:space="preserve"> IF( AND( OFFSET($A$1, 80 - 1, 96 - 1) = "1", OFFSET($A$1, 80 - 1, 97 - 1) = "1" ), 1, IF( AND( OFFSET($A$1, 80 - 1, 96 - 1) = "1", OFFSET($A$1, 80 - 1, 97 - 1) = "0" ), 2, IF( AND( OFFSET($A$1, 80 - 1, 96 - 1) = "0", OFFSET($A$1, 80 - 1, 97 - 1) = "1" ), 3, 4 ) ) )</f>
        <v>1</v>
      </c>
      <c r="CV80" s="24">
        <v>0.99974426267434369</v>
      </c>
      <c r="CW80" s="24" t="str">
        <f t="shared" si="6"/>
        <v>1</v>
      </c>
      <c r="CX80" t="str">
        <f ca="1">IF((OFFSET($A$1, 80 - 1, 100 - 1)) &gt;= (OFFSET($A$1, 80 - 1, 7 - 1)), "1","0")</f>
        <v>1</v>
      </c>
      <c r="CY80">
        <f ca="1" xml:space="preserve"> IF( AND( OFFSET($A$1, 80 - 1, 101 - 1) = "1", OFFSET($A$1, 80 - 1, 102 - 1) = "1" ), 1, IF( AND( OFFSET($A$1, 80 - 1, 101 - 1) = "1", OFFSET($A$1, 80 - 1, 102 - 1) = "0" ), 2, IF( AND( OFFSET($A$1, 80 - 1, 101 - 1) = "0", OFFSET($A$1, 80 - 1, 102 - 1) = "1" ), 3, 4 ) ) )</f>
        <v>1</v>
      </c>
    </row>
    <row r="81" spans="3:103" ht="13.8" x14ac:dyDescent="0.3">
      <c r="CQ81" s="24">
        <v>0.8552073747362785</v>
      </c>
      <c r="CR81" s="24" t="str">
        <f t="shared" si="5"/>
        <v>1</v>
      </c>
      <c r="CS81" t="str">
        <f ca="1">IF((OFFSET($A$1, 81 - 1, 95 - 1)) &gt;= (OFFSET($A$1, 56 - 1, 7 - 1)), "1","0")</f>
        <v>1</v>
      </c>
      <c r="CT81">
        <f ca="1" xml:space="preserve"> IF( AND( OFFSET($A$1, 81 - 1, 96 - 1) = "1", OFFSET($A$1, 81 - 1, 97 - 1) = "1" ), 1, IF( AND( OFFSET($A$1, 81 - 1, 96 - 1) = "1", OFFSET($A$1, 81 - 1, 97 - 1) = "0" ), 2, IF( AND( OFFSET($A$1, 81 - 1, 96 - 1) = "0", OFFSET($A$1, 81 - 1, 97 - 1) = "1" ), 3, 4 ) ) )</f>
        <v>1</v>
      </c>
      <c r="CV81" s="24">
        <v>0.97313567931277012</v>
      </c>
      <c r="CW81" s="24" t="str">
        <f t="shared" si="6"/>
        <v>1</v>
      </c>
      <c r="CX81" t="str">
        <f ca="1">IF((OFFSET($A$1, 81 - 1, 100 - 1)) &gt;= (OFFSET($A$1, 80 - 1, 7 - 1)), "1","0")</f>
        <v>1</v>
      </c>
      <c r="CY81">
        <f ca="1" xml:space="preserve"> IF( AND( OFFSET($A$1, 81 - 1, 101 - 1) = "1", OFFSET($A$1, 81 - 1, 102 - 1) = "1" ), 1, IF( AND( OFFSET($A$1, 81 - 1, 101 - 1) = "1", OFFSET($A$1, 81 - 1, 102 - 1) = "0" ), 2, IF( AND( OFFSET($A$1, 81 - 1, 101 - 1) = "0", OFFSET($A$1, 81 - 1, 102 - 1) = "1" ), 3, 4 ) ) )</f>
        <v>1</v>
      </c>
    </row>
    <row r="82" spans="3:103" ht="15.6" x14ac:dyDescent="0.3">
      <c r="C82" s="59" t="s">
        <v>329</v>
      </c>
      <c r="D82" s="60"/>
      <c r="E82" s="61"/>
      <c r="CQ82" s="24">
        <v>0.99902808281113187</v>
      </c>
      <c r="CR82" s="24" t="str">
        <f t="shared" si="5"/>
        <v>1</v>
      </c>
      <c r="CS82" t="str">
        <f ca="1">IF((OFFSET($A$1, 82 - 1, 95 - 1)) &gt;= (OFFSET($A$1, 56 - 1, 7 - 1)), "1","0")</f>
        <v>1</v>
      </c>
      <c r="CT82">
        <f ca="1" xml:space="preserve"> IF( AND( OFFSET($A$1, 82 - 1, 96 - 1) = "1", OFFSET($A$1, 82 - 1, 97 - 1) = "1" ), 1, IF( AND( OFFSET($A$1, 82 - 1, 96 - 1) = "1", OFFSET($A$1, 82 - 1, 97 - 1) = "0" ), 2, IF( AND( OFFSET($A$1, 82 - 1, 96 - 1) = "0", OFFSET($A$1, 82 - 1, 97 - 1) = "1" ), 3, 4 ) ) )</f>
        <v>1</v>
      </c>
      <c r="CV82" s="24">
        <v>0.99968532832576484</v>
      </c>
      <c r="CW82" s="24" t="str">
        <f t="shared" si="6"/>
        <v>1</v>
      </c>
      <c r="CX82" t="str">
        <f ca="1">IF((OFFSET($A$1, 82 - 1, 100 - 1)) &gt;= (OFFSET($A$1, 80 - 1, 7 - 1)), "1","0")</f>
        <v>1</v>
      </c>
      <c r="CY82">
        <f ca="1" xml:space="preserve"> IF( AND( OFFSET($A$1, 82 - 1, 101 - 1) = "1", OFFSET($A$1, 82 - 1, 102 - 1) = "1" ), 1, IF( AND( OFFSET($A$1, 82 - 1, 101 - 1) = "1", OFFSET($A$1, 82 - 1, 102 - 1) = "0" ), 2, IF( AND( OFFSET($A$1, 82 - 1, 101 - 1) = "0", OFFSET($A$1, 82 - 1, 102 - 1) = "1" ), 3, 4 ) ) )</f>
        <v>1</v>
      </c>
    </row>
    <row r="83" spans="3:103" ht="13.8" x14ac:dyDescent="0.3">
      <c r="C83" s="26"/>
      <c r="D83" s="75" t="s">
        <v>330</v>
      </c>
      <c r="E83" s="76"/>
      <c r="CQ83" s="24">
        <v>0.99995406500214212</v>
      </c>
      <c r="CR83" s="24" t="str">
        <f t="shared" si="5"/>
        <v>1</v>
      </c>
      <c r="CS83" t="str">
        <f ca="1">IF((OFFSET($A$1, 83 - 1, 95 - 1)) &gt;= (OFFSET($A$1, 56 - 1, 7 - 1)), "1","0")</f>
        <v>1</v>
      </c>
      <c r="CT83">
        <f ca="1" xml:space="preserve"> IF( AND( OFFSET($A$1, 83 - 1, 96 - 1) = "1", OFFSET($A$1, 83 - 1, 97 - 1) = "1" ), 1, IF( AND( OFFSET($A$1, 83 - 1, 96 - 1) = "1", OFFSET($A$1, 83 - 1, 97 - 1) = "0" ), 2, IF( AND( OFFSET($A$1, 83 - 1, 96 - 1) = "0", OFFSET($A$1, 83 - 1, 97 - 1) = "1" ), 3, 4 ) ) )</f>
        <v>1</v>
      </c>
      <c r="CV83" s="24">
        <v>0.9996149390689425</v>
      </c>
      <c r="CW83" s="24" t="str">
        <f t="shared" si="6"/>
        <v>1</v>
      </c>
      <c r="CX83" t="str">
        <f ca="1">IF((OFFSET($A$1, 83 - 1, 100 - 1)) &gt;= (OFFSET($A$1, 80 - 1, 7 - 1)), "1","0")</f>
        <v>1</v>
      </c>
      <c r="CY83">
        <f ca="1" xml:space="preserve"> IF( AND( OFFSET($A$1, 83 - 1, 101 - 1) = "1", OFFSET($A$1, 83 - 1, 102 - 1) = "1" ), 1, IF( AND( OFFSET($A$1, 83 - 1, 101 - 1) = "1", OFFSET($A$1, 83 - 1, 102 - 1) = "0" ), 2, IF( AND( OFFSET($A$1, 83 - 1, 101 - 1) = "0", OFFSET($A$1, 83 - 1, 102 - 1) = "1" ), 3, 4 ) ) )</f>
        <v>1</v>
      </c>
    </row>
    <row r="84" spans="3:103" ht="13.8" x14ac:dyDescent="0.3">
      <c r="C84" s="25" t="s">
        <v>331</v>
      </c>
      <c r="D84" s="26">
        <v>1</v>
      </c>
      <c r="E84" s="26">
        <v>0</v>
      </c>
      <c r="CQ84" s="24">
        <v>0.99242282938835524</v>
      </c>
      <c r="CR84" s="24" t="str">
        <f t="shared" si="5"/>
        <v>1</v>
      </c>
      <c r="CS84" t="str">
        <f ca="1">IF((OFFSET($A$1, 84 - 1, 95 - 1)) &gt;= (OFFSET($A$1, 56 - 1, 7 - 1)), "1","0")</f>
        <v>1</v>
      </c>
      <c r="CT84">
        <f ca="1" xml:space="preserve"> IF( AND( OFFSET($A$1, 84 - 1, 96 - 1) = "1", OFFSET($A$1, 84 - 1, 97 - 1) = "1" ), 1, IF( AND( OFFSET($A$1, 84 - 1, 96 - 1) = "1", OFFSET($A$1, 84 - 1, 97 - 1) = "0" ), 2, IF( AND( OFFSET($A$1, 84 - 1, 96 - 1) = "0", OFFSET($A$1, 84 - 1, 97 - 1) = "1" ), 3, 4 ) ) )</f>
        <v>1</v>
      </c>
      <c r="CV84" s="24">
        <v>0.88965083642706888</v>
      </c>
      <c r="CW84" s="24" t="str">
        <f t="shared" si="6"/>
        <v>1</v>
      </c>
      <c r="CX84" t="str">
        <f ca="1">IF((OFFSET($A$1, 84 - 1, 100 - 1)) &gt;= (OFFSET($A$1, 80 - 1, 7 - 1)), "1","0")</f>
        <v>1</v>
      </c>
      <c r="CY84">
        <f ca="1" xml:space="preserve"> IF( AND( OFFSET($A$1, 84 - 1, 101 - 1) = "1", OFFSET($A$1, 84 - 1, 102 - 1) = "1" ), 1, IF( AND( OFFSET($A$1, 84 - 1, 101 - 1) = "1", OFFSET($A$1, 84 - 1, 102 - 1) = "0" ), 2, IF( AND( OFFSET($A$1, 84 - 1, 101 - 1) = "0", OFFSET($A$1, 84 - 1, 102 - 1) = "1" ), 3, 4 ) ) )</f>
        <v>1</v>
      </c>
    </row>
    <row r="85" spans="3:103" ht="13.8" x14ac:dyDescent="0.3">
      <c r="C85" s="25">
        <v>1</v>
      </c>
      <c r="D85" s="24">
        <f ca="1" xml:space="preserve"> COUNTIF( OFFSET($A$1, 1 - 1, 103 - 1, 401, 1), 1 )</f>
        <v>241</v>
      </c>
      <c r="E85" s="24">
        <f ca="1" xml:space="preserve"> COUNTIF( OFFSET($A$1, 1 - 1, 103 - 1, 401, 1), 2 )</f>
        <v>30</v>
      </c>
      <c r="CQ85" s="24">
        <v>0.14450330633555367</v>
      </c>
      <c r="CR85" s="24" t="str">
        <f>"0"</f>
        <v>0</v>
      </c>
      <c r="CS85" t="str">
        <f ca="1">IF((OFFSET($A$1, 85 - 1, 95 - 1)) &gt;= (OFFSET($A$1, 56 - 1, 7 - 1)), "1","0")</f>
        <v>0</v>
      </c>
      <c r="CT85">
        <f ca="1" xml:space="preserve"> IF( AND( OFFSET($A$1, 85 - 1, 96 - 1) = "1", OFFSET($A$1, 85 - 1, 97 - 1) = "1" ), 1, IF( AND( OFFSET($A$1, 85 - 1, 96 - 1) = "1", OFFSET($A$1, 85 - 1, 97 - 1) = "0" ), 2, IF( AND( OFFSET($A$1, 85 - 1, 96 - 1) = "0", OFFSET($A$1, 85 - 1, 97 - 1) = "1" ), 3, 4 ) ) )</f>
        <v>4</v>
      </c>
      <c r="CV85" s="24">
        <v>3.486341660769221E-2</v>
      </c>
      <c r="CW85" s="24" t="str">
        <f>"0"</f>
        <v>0</v>
      </c>
      <c r="CX85" t="str">
        <f ca="1">IF((OFFSET($A$1, 85 - 1, 100 - 1)) &gt;= (OFFSET($A$1, 80 - 1, 7 - 1)), "1","0")</f>
        <v>0</v>
      </c>
      <c r="CY85">
        <f ca="1" xml:space="preserve"> IF( AND( OFFSET($A$1, 85 - 1, 101 - 1) = "1", OFFSET($A$1, 85 - 1, 102 - 1) = "1" ), 1, IF( AND( OFFSET($A$1, 85 - 1, 101 - 1) = "1", OFFSET($A$1, 85 - 1, 102 - 1) = "0" ), 2, IF( AND( OFFSET($A$1, 85 - 1, 101 - 1) = "0", OFFSET($A$1, 85 - 1, 102 - 1) = "1" ), 3, 4 ) ) )</f>
        <v>4</v>
      </c>
    </row>
    <row r="86" spans="3:103" ht="13.8" x14ac:dyDescent="0.3">
      <c r="C86" s="25">
        <v>0</v>
      </c>
      <c r="D86" s="24">
        <f ca="1" xml:space="preserve"> COUNTIF( OFFSET($A$1, 1 - 1, 103 - 1, 401, 1), 3 )</f>
        <v>63</v>
      </c>
      <c r="E86" s="24">
        <f ca="1" xml:space="preserve"> COUNTIF( OFFSET($A$1, 1 - 1, 103 - 1, 401, 1), 4 )</f>
        <v>66</v>
      </c>
      <c r="CQ86" s="24">
        <v>0.99899082605812761</v>
      </c>
      <c r="CR86" s="24" t="str">
        <f>"1"</f>
        <v>1</v>
      </c>
      <c r="CS86" t="str">
        <f ca="1">IF((OFFSET($A$1, 86 - 1, 95 - 1)) &gt;= (OFFSET($A$1, 56 - 1, 7 - 1)), "1","0")</f>
        <v>1</v>
      </c>
      <c r="CT86">
        <f ca="1" xml:space="preserve"> IF( AND( OFFSET($A$1, 86 - 1, 96 - 1) = "1", OFFSET($A$1, 86 - 1, 97 - 1) = "1" ), 1, IF( AND( OFFSET($A$1, 86 - 1, 96 - 1) = "1", OFFSET($A$1, 86 - 1, 97 - 1) = "0" ), 2, IF( AND( OFFSET($A$1, 86 - 1, 96 - 1) = "0", OFFSET($A$1, 86 - 1, 97 - 1) = "1" ), 3, 4 ) ) )</f>
        <v>1</v>
      </c>
      <c r="CV86" s="24">
        <v>0.99036484996460861</v>
      </c>
      <c r="CW86" s="24" t="str">
        <f>"1"</f>
        <v>1</v>
      </c>
      <c r="CX86" t="str">
        <f ca="1">IF((OFFSET($A$1, 86 - 1, 100 - 1)) &gt;= (OFFSET($A$1, 80 - 1, 7 - 1)), "1","0")</f>
        <v>1</v>
      </c>
      <c r="CY86">
        <f ca="1" xml:space="preserve"> IF( AND( OFFSET($A$1, 86 - 1, 101 - 1) = "1", OFFSET($A$1, 86 - 1, 102 - 1) = "1" ), 1, IF( AND( OFFSET($A$1, 86 - 1, 101 - 1) = "1", OFFSET($A$1, 86 - 1, 102 - 1) = "0" ), 2, IF( AND( OFFSET($A$1, 86 - 1, 101 - 1) = "0", OFFSET($A$1, 86 - 1, 102 - 1) = "1" ), 3, 4 ) ) )</f>
        <v>1</v>
      </c>
    </row>
    <row r="87" spans="3:103" ht="13.8" x14ac:dyDescent="0.3">
      <c r="CQ87" s="24">
        <v>0.98621749874427556</v>
      </c>
      <c r="CR87" s="24" t="str">
        <f>"1"</f>
        <v>1</v>
      </c>
      <c r="CS87" t="str">
        <f ca="1">IF((OFFSET($A$1, 87 - 1, 95 - 1)) &gt;= (OFFSET($A$1, 56 - 1, 7 - 1)), "1","0")</f>
        <v>1</v>
      </c>
      <c r="CT87">
        <f ca="1" xml:space="preserve"> IF( AND( OFFSET($A$1, 87 - 1, 96 - 1) = "1", OFFSET($A$1, 87 - 1, 97 - 1) = "1" ), 1, IF( AND( OFFSET($A$1, 87 - 1, 96 - 1) = "1", OFFSET($A$1, 87 - 1, 97 - 1) = "0" ), 2, IF( AND( OFFSET($A$1, 87 - 1, 96 - 1) = "0", OFFSET($A$1, 87 - 1, 97 - 1) = "1" ), 3, 4 ) ) )</f>
        <v>1</v>
      </c>
      <c r="CV87" s="24">
        <v>0.91608816241569224</v>
      </c>
      <c r="CW87" s="24" t="str">
        <f>"1"</f>
        <v>1</v>
      </c>
      <c r="CX87" t="str">
        <f ca="1">IF((OFFSET($A$1, 87 - 1, 100 - 1)) &gt;= (OFFSET($A$1, 80 - 1, 7 - 1)), "1","0")</f>
        <v>1</v>
      </c>
      <c r="CY87">
        <f ca="1" xml:space="preserve"> IF( AND( OFFSET($A$1, 87 - 1, 101 - 1) = "1", OFFSET($A$1, 87 - 1, 102 - 1) = "1" ), 1, IF( AND( OFFSET($A$1, 87 - 1, 101 - 1) = "1", OFFSET($A$1, 87 - 1, 102 - 1) = "0" ), 2, IF( AND( OFFSET($A$1, 87 - 1, 101 - 1) = "0", OFFSET($A$1, 87 - 1, 102 - 1) = "1" ), 3, 4 ) ) )</f>
        <v>1</v>
      </c>
    </row>
    <row r="88" spans="3:103" ht="15.6" x14ac:dyDescent="0.3">
      <c r="C88" s="59" t="s">
        <v>210</v>
      </c>
      <c r="D88" s="60"/>
      <c r="E88" s="60"/>
      <c r="F88" s="61"/>
      <c r="CQ88" s="24">
        <v>0.99527666061694664</v>
      </c>
      <c r="CR88" s="24" t="str">
        <f>"1"</f>
        <v>1</v>
      </c>
      <c r="CS88" t="str">
        <f ca="1">IF((OFFSET($A$1, 88 - 1, 95 - 1)) &gt;= (OFFSET($A$1, 56 - 1, 7 - 1)), "1","0")</f>
        <v>1</v>
      </c>
      <c r="CT88">
        <f ca="1" xml:space="preserve"> IF( AND( OFFSET($A$1, 88 - 1, 96 - 1) = "1", OFFSET($A$1, 88 - 1, 97 - 1) = "1" ), 1, IF( AND( OFFSET($A$1, 88 - 1, 96 - 1) = "1", OFFSET($A$1, 88 - 1, 97 - 1) = "0" ), 2, IF( AND( OFFSET($A$1, 88 - 1, 96 - 1) = "0", OFFSET($A$1, 88 - 1, 97 - 1) = "1" ), 3, 4 ) ) )</f>
        <v>1</v>
      </c>
      <c r="CV88" s="24">
        <v>0.40321411955131947</v>
      </c>
      <c r="CW88" s="24" t="str">
        <f>"1"</f>
        <v>1</v>
      </c>
      <c r="CX88" t="str">
        <f ca="1">IF((OFFSET($A$1, 88 - 1, 100 - 1)) &gt;= (OFFSET($A$1, 80 - 1, 7 - 1)), "1","0")</f>
        <v>0</v>
      </c>
      <c r="CY88">
        <f ca="1" xml:space="preserve"> IF( AND( OFFSET($A$1, 88 - 1, 101 - 1) = "1", OFFSET($A$1, 88 - 1, 102 - 1) = "1" ), 1, IF( AND( OFFSET($A$1, 88 - 1, 101 - 1) = "1", OFFSET($A$1, 88 - 1, 102 - 1) = "0" ), 2, IF( AND( OFFSET($A$1, 88 - 1, 101 - 1) = "0", OFFSET($A$1, 88 - 1, 102 - 1) = "1" ), 3, 4 ) ) )</f>
        <v>2</v>
      </c>
    </row>
    <row r="89" spans="3:103" ht="13.8" x14ac:dyDescent="0.3">
      <c r="C89" s="26" t="s">
        <v>332</v>
      </c>
      <c r="D89" s="26" t="s">
        <v>333</v>
      </c>
      <c r="E89" s="26" t="s">
        <v>334</v>
      </c>
      <c r="F89" s="26" t="s">
        <v>335</v>
      </c>
      <c r="CQ89" s="24">
        <v>0.76560582343747219</v>
      </c>
      <c r="CR89" s="24" t="str">
        <f>"1"</f>
        <v>1</v>
      </c>
      <c r="CS89" t="str">
        <f ca="1">IF((OFFSET($A$1, 89 - 1, 95 - 1)) &gt;= (OFFSET($A$1, 56 - 1, 7 - 1)), "1","0")</f>
        <v>1</v>
      </c>
      <c r="CT89">
        <f ca="1" xml:space="preserve"> IF( AND( OFFSET($A$1, 89 - 1, 96 - 1) = "1", OFFSET($A$1, 89 - 1, 97 - 1) = "1" ), 1, IF( AND( OFFSET($A$1, 89 - 1, 96 - 1) = "1", OFFSET($A$1, 89 - 1, 97 - 1) = "0" ), 2, IF( AND( OFFSET($A$1, 89 - 1, 96 - 1) = "0", OFFSET($A$1, 89 - 1, 97 - 1) = "1" ), 3, 4 ) ) )</f>
        <v>1</v>
      </c>
      <c r="CV89" s="24">
        <v>0.96152070009121371</v>
      </c>
      <c r="CW89" s="24" t="str">
        <f>"0"</f>
        <v>0</v>
      </c>
      <c r="CX89" t="str">
        <f ca="1">IF((OFFSET($A$1, 89 - 1, 100 - 1)) &gt;= (OFFSET($A$1, 80 - 1, 7 - 1)), "1","0")</f>
        <v>1</v>
      </c>
      <c r="CY89">
        <f ca="1" xml:space="preserve"> IF( AND( OFFSET($A$1, 89 - 1, 101 - 1) = "1", OFFSET($A$1, 89 - 1, 102 - 1) = "1" ), 1, IF( AND( OFFSET($A$1, 89 - 1, 101 - 1) = "1", OFFSET($A$1, 89 - 1, 102 - 1) = "0" ), 2, IF( AND( OFFSET($A$1, 89 - 1, 101 - 1) = "0", OFFSET($A$1, 89 - 1, 102 - 1) = "1" ), 3, 4 ) ) )</f>
        <v>3</v>
      </c>
    </row>
    <row r="90" spans="3:103" ht="13.8" x14ac:dyDescent="0.3">
      <c r="C90" s="25">
        <v>1</v>
      </c>
      <c r="D90" s="24">
        <f ca="1">SUM(OFFSET($A$1, 85 - 1, 4 - 1, 1, 2))</f>
        <v>271</v>
      </c>
      <c r="E90" s="24">
        <f ca="1">SUM(OFFSET($A$1, 85 - 1, 4 - 1, 1, 2)) - OFFSET($A$1, 85 - 1, 4 - 1)</f>
        <v>30</v>
      </c>
      <c r="F90" s="24">
        <f ca="1">IF(OFFSET($A$1, 90 - 1, 4 - 1)=0,"Undefined",((OFFSET($A$1, 90 - 1, 5 - 1))*100) / (OFFSET($A$1, 90 - 1, 4 - 1)))</f>
        <v>11.07011070110701</v>
      </c>
      <c r="CQ90" s="24">
        <v>0.99830099841687636</v>
      </c>
      <c r="CR90" s="24" t="str">
        <f>"1"</f>
        <v>1</v>
      </c>
      <c r="CS90" t="str">
        <f ca="1">IF((OFFSET($A$1, 90 - 1, 95 - 1)) &gt;= (OFFSET($A$1, 56 - 1, 7 - 1)), "1","0")</f>
        <v>1</v>
      </c>
      <c r="CT90">
        <f ca="1" xml:space="preserve"> IF( AND( OFFSET($A$1, 90 - 1, 96 - 1) = "1", OFFSET($A$1, 90 - 1, 97 - 1) = "1" ), 1, IF( AND( OFFSET($A$1, 90 - 1, 96 - 1) = "1", OFFSET($A$1, 90 - 1, 97 - 1) = "0" ), 2, IF( AND( OFFSET($A$1, 90 - 1, 96 - 1) = "0", OFFSET($A$1, 90 - 1, 97 - 1) = "1" ), 3, 4 ) ) )</f>
        <v>1</v>
      </c>
      <c r="CV90" s="24">
        <v>0.14071455956543413</v>
      </c>
      <c r="CW90" s="24" t="str">
        <f>"0"</f>
        <v>0</v>
      </c>
      <c r="CX90" t="str">
        <f ca="1">IF((OFFSET($A$1, 90 - 1, 100 - 1)) &gt;= (OFFSET($A$1, 80 - 1, 7 - 1)), "1","0")</f>
        <v>0</v>
      </c>
      <c r="CY90">
        <f ca="1" xml:space="preserve"> IF( AND( OFFSET($A$1, 90 - 1, 101 - 1) = "1", OFFSET($A$1, 90 - 1, 102 - 1) = "1" ), 1, IF( AND( OFFSET($A$1, 90 - 1, 101 - 1) = "1", OFFSET($A$1, 90 - 1, 102 - 1) = "0" ), 2, IF( AND( OFFSET($A$1, 90 - 1, 101 - 1) = "0", OFFSET($A$1, 90 - 1, 102 - 1) = "1" ), 3, 4 ) ) )</f>
        <v>4</v>
      </c>
    </row>
    <row r="91" spans="3:103" ht="13.8" x14ac:dyDescent="0.3">
      <c r="C91" s="25">
        <v>0</v>
      </c>
      <c r="D91" s="24">
        <f ca="1">SUM(OFFSET($A$1, 86 - 1, 4 - 1, 1, 2))</f>
        <v>129</v>
      </c>
      <c r="E91" s="24">
        <f ca="1">SUM(OFFSET($A$1, 86 - 1, 4 - 1, 1, 2)) - OFFSET($A$1, 86 - 1, 5 - 1)</f>
        <v>63</v>
      </c>
      <c r="F91" s="24">
        <f ca="1">IF(OFFSET($A$1, 91 - 1, 4 - 1)=0,"Undefined",((OFFSET($A$1, 91 - 1, 5 - 1))*100) / (OFFSET($A$1, 91 - 1, 4 - 1)))</f>
        <v>48.837209302325583</v>
      </c>
      <c r="CQ91" s="24">
        <v>0.16561995872861218</v>
      </c>
      <c r="CR91" s="24" t="str">
        <f>"0"</f>
        <v>0</v>
      </c>
      <c r="CS91" t="str">
        <f ca="1">IF((OFFSET($A$1, 91 - 1, 95 - 1)) &gt;= (OFFSET($A$1, 56 - 1, 7 - 1)), "1","0")</f>
        <v>0</v>
      </c>
      <c r="CT91">
        <f ca="1" xml:space="preserve"> IF( AND( OFFSET($A$1, 91 - 1, 96 - 1) = "1", OFFSET($A$1, 91 - 1, 97 - 1) = "1" ), 1, IF( AND( OFFSET($A$1, 91 - 1, 96 - 1) = "1", OFFSET($A$1, 91 - 1, 97 - 1) = "0" ), 2, IF( AND( OFFSET($A$1, 91 - 1, 96 - 1) = "0", OFFSET($A$1, 91 - 1, 97 - 1) = "1" ), 3, 4 ) ) )</f>
        <v>4</v>
      </c>
      <c r="CV91" s="24">
        <v>0.99311421074721484</v>
      </c>
      <c r="CW91" s="24" t="str">
        <f>"1"</f>
        <v>1</v>
      </c>
      <c r="CX91" t="str">
        <f ca="1">IF((OFFSET($A$1, 91 - 1, 100 - 1)) &gt;= (OFFSET($A$1, 80 - 1, 7 - 1)), "1","0")</f>
        <v>1</v>
      </c>
      <c r="CY91">
        <f ca="1" xml:space="preserve"> IF( AND( OFFSET($A$1, 91 - 1, 101 - 1) = "1", OFFSET($A$1, 91 - 1, 102 - 1) = "1" ), 1, IF( AND( OFFSET($A$1, 91 - 1, 101 - 1) = "1", OFFSET($A$1, 91 - 1, 102 - 1) = "0" ), 2, IF( AND( OFFSET($A$1, 91 - 1, 101 - 1) = "0", OFFSET($A$1, 91 - 1, 102 - 1) = "1" ), 3, 4 ) ) )</f>
        <v>1</v>
      </c>
    </row>
    <row r="92" spans="3:103" ht="13.8" x14ac:dyDescent="0.3">
      <c r="C92" s="25" t="s">
        <v>336</v>
      </c>
      <c r="D92" s="24">
        <f ca="1">SUM(OFFSET($A$1, 90 - 1, 4 - 1, 2, 1))</f>
        <v>400</v>
      </c>
      <c r="E92" s="24">
        <f ca="1">SUM(OFFSET($A$1, 90 - 1, 5 - 1, 2, 1))</f>
        <v>93</v>
      </c>
      <c r="F92" s="24">
        <f ca="1">IF(OFFSET($A$1, 92 - 1, 4 - 1)=0,"Undefined",((OFFSET($A$1, 92 - 1, 5 - 1))*100) / (OFFSET($A$1, 92 - 1, 4 - 1)))</f>
        <v>23.25</v>
      </c>
      <c r="CQ92" s="24">
        <v>0.99854562292462978</v>
      </c>
      <c r="CR92" s="24" t="str">
        <f>"1"</f>
        <v>1</v>
      </c>
      <c r="CS92" t="str">
        <f ca="1">IF((OFFSET($A$1, 92 - 1, 95 - 1)) &gt;= (OFFSET($A$1, 56 - 1, 7 - 1)), "1","0")</f>
        <v>1</v>
      </c>
      <c r="CT92">
        <f ca="1" xml:space="preserve"> IF( AND( OFFSET($A$1, 92 - 1, 96 - 1) = "1", OFFSET($A$1, 92 - 1, 97 - 1) = "1" ), 1, IF( AND( OFFSET($A$1, 92 - 1, 96 - 1) = "1", OFFSET($A$1, 92 - 1, 97 - 1) = "0" ), 2, IF( AND( OFFSET($A$1, 92 - 1, 96 - 1) = "0", OFFSET($A$1, 92 - 1, 97 - 1) = "1" ), 3, 4 ) ) )</f>
        <v>1</v>
      </c>
      <c r="CV92" s="24">
        <v>0.69309128933995601</v>
      </c>
      <c r="CW92" s="24" t="str">
        <f>"0"</f>
        <v>0</v>
      </c>
      <c r="CX92" t="str">
        <f ca="1">IF((OFFSET($A$1, 92 - 1, 100 - 1)) &gt;= (OFFSET($A$1, 80 - 1, 7 - 1)), "1","0")</f>
        <v>1</v>
      </c>
      <c r="CY92">
        <f ca="1" xml:space="preserve"> IF( AND( OFFSET($A$1, 92 - 1, 101 - 1) = "1", OFFSET($A$1, 92 - 1, 102 - 1) = "1" ), 1, IF( AND( OFFSET($A$1, 92 - 1, 101 - 1) = "1", OFFSET($A$1, 92 - 1, 102 - 1) = "0" ), 2, IF( AND( OFFSET($A$1, 92 - 1, 101 - 1) = "0", OFFSET($A$1, 92 - 1, 102 - 1) = "1" ), 3, 4 ) ) )</f>
        <v>3</v>
      </c>
    </row>
    <row r="93" spans="3:103" ht="13.8" x14ac:dyDescent="0.3">
      <c r="CQ93" s="24">
        <v>0.97447553324087532</v>
      </c>
      <c r="CR93" s="24" t="str">
        <f>"1"</f>
        <v>1</v>
      </c>
      <c r="CS93" t="str">
        <f ca="1">IF((OFFSET($A$1, 93 - 1, 95 - 1)) &gt;= (OFFSET($A$1, 56 - 1, 7 - 1)), "1","0")</f>
        <v>1</v>
      </c>
      <c r="CT93">
        <f ca="1" xml:space="preserve"> IF( AND( OFFSET($A$1, 93 - 1, 96 - 1) = "1", OFFSET($A$1, 93 - 1, 97 - 1) = "1" ), 1, IF( AND( OFFSET($A$1, 93 - 1, 96 - 1) = "1", OFFSET($A$1, 93 - 1, 97 - 1) = "0" ), 2, IF( AND( OFFSET($A$1, 93 - 1, 96 - 1) = "0", OFFSET($A$1, 93 - 1, 97 - 1) = "1" ), 3, 4 ) ) )</f>
        <v>1</v>
      </c>
      <c r="CV93" s="24">
        <v>0.9998159450395484</v>
      </c>
      <c r="CW93" s="24" t="str">
        <f>"1"</f>
        <v>1</v>
      </c>
      <c r="CX93" t="str">
        <f ca="1">IF((OFFSET($A$1, 93 - 1, 100 - 1)) &gt;= (OFFSET($A$1, 80 - 1, 7 - 1)), "1","0")</f>
        <v>1</v>
      </c>
      <c r="CY93">
        <f ca="1" xml:space="preserve"> IF( AND( OFFSET($A$1, 93 - 1, 101 - 1) = "1", OFFSET($A$1, 93 - 1, 102 - 1) = "1" ), 1, IF( AND( OFFSET($A$1, 93 - 1, 101 - 1) = "1", OFFSET($A$1, 93 - 1, 102 - 1) = "0" ), 2, IF( AND( OFFSET($A$1, 93 - 1, 101 - 1) = "0", OFFSET($A$1, 93 - 1, 102 - 1) = "1" ), 3, 4 ) ) )</f>
        <v>1</v>
      </c>
    </row>
    <row r="94" spans="3:103" ht="15.6" x14ac:dyDescent="0.3">
      <c r="C94" s="59" t="s">
        <v>708</v>
      </c>
      <c r="D94" s="60"/>
      <c r="E94" s="61"/>
      <c r="CQ94" s="24">
        <v>7.8692325798183207E-2</v>
      </c>
      <c r="CR94" s="24" t="str">
        <f>"0"</f>
        <v>0</v>
      </c>
      <c r="CS94" t="str">
        <f ca="1">IF((OFFSET($A$1, 94 - 1, 95 - 1)) &gt;= (OFFSET($A$1, 56 - 1, 7 - 1)), "1","0")</f>
        <v>0</v>
      </c>
      <c r="CT94">
        <f ca="1" xml:space="preserve"> IF( AND( OFFSET($A$1, 94 - 1, 96 - 1) = "1", OFFSET($A$1, 94 - 1, 97 - 1) = "1" ), 1, IF( AND( OFFSET($A$1, 94 - 1, 96 - 1) = "1", OFFSET($A$1, 94 - 1, 97 - 1) = "0" ), 2, IF( AND( OFFSET($A$1, 94 - 1, 96 - 1) = "0", OFFSET($A$1, 94 - 1, 97 - 1) = "1" ), 3, 4 ) ) )</f>
        <v>4</v>
      </c>
      <c r="CV94" s="24">
        <v>0.70296964283765484</v>
      </c>
      <c r="CW94" s="24" t="str">
        <f>"0"</f>
        <v>0</v>
      </c>
      <c r="CX94" t="str">
        <f ca="1">IF((OFFSET($A$1, 94 - 1, 100 - 1)) &gt;= (OFFSET($A$1, 80 - 1, 7 - 1)), "1","0")</f>
        <v>1</v>
      </c>
      <c r="CY94">
        <f ca="1" xml:space="preserve"> IF( AND( OFFSET($A$1, 94 - 1, 101 - 1) = "1", OFFSET($A$1, 94 - 1, 102 - 1) = "1" ), 1, IF( AND( OFFSET($A$1, 94 - 1, 101 - 1) = "1", OFFSET($A$1, 94 - 1, 102 - 1) = "0" ), 2, IF( AND( OFFSET($A$1, 94 - 1, 101 - 1) = "0", OFFSET($A$1, 94 - 1, 102 - 1) = "1" ), 3, 4 ) ) )</f>
        <v>3</v>
      </c>
    </row>
    <row r="95" spans="3:103" ht="13.8" x14ac:dyDescent="0.3">
      <c r="C95" s="62" t="s">
        <v>709</v>
      </c>
      <c r="D95" s="64"/>
      <c r="E95" s="34">
        <v>1</v>
      </c>
      <c r="CQ95" s="24">
        <v>0.99647422357189119</v>
      </c>
      <c r="CR95" s="24" t="str">
        <f>"1"</f>
        <v>1</v>
      </c>
      <c r="CS95" t="str">
        <f ca="1">IF((OFFSET($A$1, 95 - 1, 95 - 1)) &gt;= (OFFSET($A$1, 56 - 1, 7 - 1)), "1","0")</f>
        <v>1</v>
      </c>
      <c r="CT95">
        <f ca="1" xml:space="preserve"> IF( AND( OFFSET($A$1, 95 - 1, 96 - 1) = "1", OFFSET($A$1, 95 - 1, 97 - 1) = "1" ), 1, IF( AND( OFFSET($A$1, 95 - 1, 96 - 1) = "1", OFFSET($A$1, 95 - 1, 97 - 1) = "0" ), 2, IF( AND( OFFSET($A$1, 95 - 1, 96 - 1) = "0", OFFSET($A$1, 95 - 1, 97 - 1) = "1" ), 3, 4 ) ) )</f>
        <v>1</v>
      </c>
      <c r="CV95" s="24">
        <v>0.89011311809540927</v>
      </c>
      <c r="CW95" s="24" t="str">
        <f>"1"</f>
        <v>1</v>
      </c>
      <c r="CX95" t="str">
        <f ca="1">IF((OFFSET($A$1, 95 - 1, 100 - 1)) &gt;= (OFFSET($A$1, 80 - 1, 7 - 1)), "1","0")</f>
        <v>1</v>
      </c>
      <c r="CY95">
        <f ca="1" xml:space="preserve"> IF( AND( OFFSET($A$1, 95 - 1, 101 - 1) = "1", OFFSET($A$1, 95 - 1, 102 - 1) = "1" ), 1, IF( AND( OFFSET($A$1, 95 - 1, 101 - 1) = "1", OFFSET($A$1, 95 - 1, 102 - 1) = "0" ), 2, IF( AND( OFFSET($A$1, 95 - 1, 101 - 1) = "0", OFFSET($A$1, 95 - 1, 102 - 1) = "1" ), 3, 4 ) ) )</f>
        <v>1</v>
      </c>
    </row>
    <row r="96" spans="3:103" ht="13.8" x14ac:dyDescent="0.3">
      <c r="C96" s="62" t="s">
        <v>710</v>
      </c>
      <c r="D96" s="64"/>
      <c r="E96" s="34">
        <f ca="1">IF((OFFSET($A$1, 85 - 1, 4 - 1) + OFFSET($A$1, 86 - 1, 4 - 1)) = 0,"Undefined",OFFSET($A$1, 85 - 1, 4 - 1)/(OFFSET($A$1, 85 - 1, 4 - 1) + OFFSET($A$1, 86 - 1, 4 - 1)))</f>
        <v>0.79276315789473684</v>
      </c>
      <c r="CQ96" s="24">
        <v>0.99958959018752314</v>
      </c>
      <c r="CR96" s="24" t="str">
        <f>"1"</f>
        <v>1</v>
      </c>
      <c r="CS96" t="str">
        <f ca="1">IF((OFFSET($A$1, 96 - 1, 95 - 1)) &gt;= (OFFSET($A$1, 56 - 1, 7 - 1)), "1","0")</f>
        <v>1</v>
      </c>
      <c r="CT96">
        <f ca="1" xml:space="preserve"> IF( AND( OFFSET($A$1, 96 - 1, 96 - 1) = "1", OFFSET($A$1, 96 - 1, 97 - 1) = "1" ), 1, IF( AND( OFFSET($A$1, 96 - 1, 96 - 1) = "1", OFFSET($A$1, 96 - 1, 97 - 1) = "0" ), 2, IF( AND( OFFSET($A$1, 96 - 1, 96 - 1) = "0", OFFSET($A$1, 96 - 1, 97 - 1) = "1" ), 3, 4 ) ) )</f>
        <v>1</v>
      </c>
      <c r="CV96" s="24">
        <v>0.48269920815319495</v>
      </c>
      <c r="CW96" s="24" t="str">
        <f>"0"</f>
        <v>0</v>
      </c>
      <c r="CX96" t="str">
        <f ca="1">IF((OFFSET($A$1, 96 - 1, 100 - 1)) &gt;= (OFFSET($A$1, 80 - 1, 7 - 1)), "1","0")</f>
        <v>0</v>
      </c>
      <c r="CY96">
        <f ca="1" xml:space="preserve"> IF( AND( OFFSET($A$1, 96 - 1, 101 - 1) = "1", OFFSET($A$1, 96 - 1, 102 - 1) = "1" ), 1, IF( AND( OFFSET($A$1, 96 - 1, 101 - 1) = "1", OFFSET($A$1, 96 - 1, 102 - 1) = "0" ), 2, IF( AND( OFFSET($A$1, 96 - 1, 101 - 1) = "0", OFFSET($A$1, 96 - 1, 102 - 1) = "1" ), 3, 4 ) ) )</f>
        <v>4</v>
      </c>
    </row>
    <row r="97" spans="2:103" ht="13.8" x14ac:dyDescent="0.3">
      <c r="C97" s="62" t="s">
        <v>711</v>
      </c>
      <c r="D97" s="64"/>
      <c r="E97" s="34">
        <f ca="1">IF((OFFSET($A$1, 85 - 1, 4 - 1) + OFFSET($A$1, 85 - 1, 5 - 1)) = 0,"Undefined",OFFSET($A$1, 85 - 1, 4 - 1)/(OFFSET($A$1, 85 - 1, 4 - 1) + OFFSET($A$1, 85 - 1, 5 - 1)))</f>
        <v>0.88929889298892983</v>
      </c>
      <c r="CQ97" s="24">
        <v>0.10167394525312838</v>
      </c>
      <c r="CR97" s="24" t="str">
        <f>"0"</f>
        <v>0</v>
      </c>
      <c r="CS97" t="str">
        <f ca="1">IF((OFFSET($A$1, 97 - 1, 95 - 1)) &gt;= (OFFSET($A$1, 56 - 1, 7 - 1)), "1","0")</f>
        <v>0</v>
      </c>
      <c r="CT97">
        <f ca="1" xml:space="preserve"> IF( AND( OFFSET($A$1, 97 - 1, 96 - 1) = "1", OFFSET($A$1, 97 - 1, 97 - 1) = "1" ), 1, IF( AND( OFFSET($A$1, 97 - 1, 96 - 1) = "1", OFFSET($A$1, 97 - 1, 97 - 1) = "0" ), 2, IF( AND( OFFSET($A$1, 97 - 1, 96 - 1) = "0", OFFSET($A$1, 97 - 1, 97 - 1) = "1" ), 3, 4 ) ) )</f>
        <v>4</v>
      </c>
      <c r="CV97" s="24">
        <v>0.88566700516172048</v>
      </c>
      <c r="CW97" s="24" t="str">
        <f>"1"</f>
        <v>1</v>
      </c>
      <c r="CX97" t="str">
        <f ca="1">IF((OFFSET($A$1, 97 - 1, 100 - 1)) &gt;= (OFFSET($A$1, 80 - 1, 7 - 1)), "1","0")</f>
        <v>1</v>
      </c>
      <c r="CY97">
        <f ca="1" xml:space="preserve"> IF( AND( OFFSET($A$1, 97 - 1, 101 - 1) = "1", OFFSET($A$1, 97 - 1, 102 - 1) = "1" ), 1, IF( AND( OFFSET($A$1, 97 - 1, 101 - 1) = "1", OFFSET($A$1, 97 - 1, 102 - 1) = "0" ), 2, IF( AND( OFFSET($A$1, 97 - 1, 101 - 1) = "0", OFFSET($A$1, 97 - 1, 102 - 1) = "1" ), 3, 4 ) ) )</f>
        <v>1</v>
      </c>
    </row>
    <row r="98" spans="2:103" ht="13.8" x14ac:dyDescent="0.3">
      <c r="C98" s="62" t="s">
        <v>712</v>
      </c>
      <c r="D98" s="64"/>
      <c r="E98" s="34">
        <f ca="1">IF((OFFSET($A$1, 86 - 1, 4 - 1) + OFFSET($A$1, 86 - 1, 5 - 1)) = 0,"Undefined",OFFSET($A$1, 86 - 1, 5 - 1)/(OFFSET($A$1, 86 - 1, 4 - 1) + OFFSET($A$1, 86 - 1, 5 - 1)))</f>
        <v>0.51162790697674421</v>
      </c>
      <c r="CQ98" s="24">
        <v>8.0521859050900729E-2</v>
      </c>
      <c r="CR98" s="24" t="str">
        <f>"0"</f>
        <v>0</v>
      </c>
      <c r="CS98" t="str">
        <f ca="1">IF((OFFSET($A$1, 98 - 1, 95 - 1)) &gt;= (OFFSET($A$1, 56 - 1, 7 - 1)), "1","0")</f>
        <v>0</v>
      </c>
      <c r="CT98">
        <f ca="1" xml:space="preserve"> IF( AND( OFFSET($A$1, 98 - 1, 96 - 1) = "1", OFFSET($A$1, 98 - 1, 97 - 1) = "1" ), 1, IF( AND( OFFSET($A$1, 98 - 1, 96 - 1) = "1", OFFSET($A$1, 98 - 1, 97 - 1) = "0" ), 2, IF( AND( OFFSET($A$1, 98 - 1, 96 - 1) = "0", OFFSET($A$1, 98 - 1, 97 - 1) = "1" ), 3, 4 ) ) )</f>
        <v>4</v>
      </c>
      <c r="CV98" s="24">
        <v>0.99713196057234776</v>
      </c>
      <c r="CW98" s="24" t="str">
        <f>"1"</f>
        <v>1</v>
      </c>
      <c r="CX98" t="str">
        <f ca="1">IF((OFFSET($A$1, 98 - 1, 100 - 1)) &gt;= (OFFSET($A$1, 80 - 1, 7 - 1)), "1","0")</f>
        <v>1</v>
      </c>
      <c r="CY98">
        <f ca="1" xml:space="preserve"> IF( AND( OFFSET($A$1, 98 - 1, 101 - 1) = "1", OFFSET($A$1, 98 - 1, 102 - 1) = "1" ), 1, IF( AND( OFFSET($A$1, 98 - 1, 101 - 1) = "1", OFFSET($A$1, 98 - 1, 102 - 1) = "0" ), 2, IF( AND( OFFSET($A$1, 98 - 1, 101 - 1) = "0", OFFSET($A$1, 98 - 1, 102 - 1) = "1" ), 3, 4 ) ) )</f>
        <v>1</v>
      </c>
    </row>
    <row r="99" spans="2:103" ht="13.8" x14ac:dyDescent="0.3">
      <c r="C99" s="62" t="s">
        <v>713</v>
      </c>
      <c r="D99" s="64"/>
      <c r="E99" s="34">
        <f ca="1">IF(OR(OFFSET($A$1, 96 - 1, 5 - 1)="Undefined",OFFSET($A$1, 97 - 1, 5 - 1)="Undefined"),"Undefined",IF((OFFSET($A$1, 96 - 1, 5 - 1) + OFFSET($A$1, 97 - 1, 5 - 1))=0,"Undefined",2*OFFSET($A$1, 96 - 1, 5 - 1)*OFFSET($A$1, 97 - 1, 5 - 1)/(OFFSET($A$1, 96 - 1, 5 - 1)+OFFSET($A$1, 97 - 1, 5 - 1))))</f>
        <v>0.83826086956521728</v>
      </c>
      <c r="CQ99" s="24">
        <v>3.2386460432978041E-2</v>
      </c>
      <c r="CR99" s="24" t="str">
        <f>"0"</f>
        <v>0</v>
      </c>
      <c r="CS99" t="str">
        <f ca="1">IF((OFFSET($A$1, 99 - 1, 95 - 1)) &gt;= (OFFSET($A$1, 56 - 1, 7 - 1)), "1","0")</f>
        <v>0</v>
      </c>
      <c r="CT99">
        <f ca="1" xml:space="preserve"> IF( AND( OFFSET($A$1, 99 - 1, 96 - 1) = "1", OFFSET($A$1, 99 - 1, 97 - 1) = "1" ), 1, IF( AND( OFFSET($A$1, 99 - 1, 96 - 1) = "1", OFFSET($A$1, 99 - 1, 97 - 1) = "0" ), 2, IF( AND( OFFSET($A$1, 99 - 1, 96 - 1) = "0", OFFSET($A$1, 99 - 1, 97 - 1) = "1" ), 3, 4 ) ) )</f>
        <v>4</v>
      </c>
      <c r="CV99" s="24">
        <v>0.94525697356514427</v>
      </c>
      <c r="CW99" s="24" t="str">
        <f>"0"</f>
        <v>0</v>
      </c>
      <c r="CX99" t="str">
        <f ca="1">IF((OFFSET($A$1, 99 - 1, 100 - 1)) &gt;= (OFFSET($A$1, 80 - 1, 7 - 1)), "1","0")</f>
        <v>1</v>
      </c>
      <c r="CY99">
        <f ca="1" xml:space="preserve"> IF( AND( OFFSET($A$1, 99 - 1, 101 - 1) = "1", OFFSET($A$1, 99 - 1, 102 - 1) = "1" ), 1, IF( AND( OFFSET($A$1, 99 - 1, 101 - 1) = "1", OFFSET($A$1, 99 - 1, 102 - 1) = "0" ), 2, IF( AND( OFFSET($A$1, 99 - 1, 101 - 1) = "0", OFFSET($A$1, 99 - 1, 102 - 1) = "1" ), 3, 4 ) ) )</f>
        <v>3</v>
      </c>
    </row>
    <row r="100" spans="2:103" ht="13.8" x14ac:dyDescent="0.3">
      <c r="CQ100" s="24">
        <v>0.9943304794426564</v>
      </c>
      <c r="CR100" s="24" t="str">
        <f>"1"</f>
        <v>1</v>
      </c>
      <c r="CS100" t="str">
        <f ca="1">IF((OFFSET($A$1, 100 - 1, 95 - 1)) &gt;= (OFFSET($A$1, 56 - 1, 7 - 1)), "1","0")</f>
        <v>1</v>
      </c>
      <c r="CT100">
        <f ca="1" xml:space="preserve"> IF( AND( OFFSET($A$1, 100 - 1, 96 - 1) = "1", OFFSET($A$1, 100 - 1, 97 - 1) = "1" ), 1, IF( AND( OFFSET($A$1, 100 - 1, 96 - 1) = "1", OFFSET($A$1, 100 - 1, 97 - 1) = "0" ), 2, IF( AND( OFFSET($A$1, 100 - 1, 96 - 1) = "0", OFFSET($A$1, 100 - 1, 97 - 1) = "1" ), 3, 4 ) ) )</f>
        <v>1</v>
      </c>
      <c r="CV100" s="24">
        <v>0.87960217945929431</v>
      </c>
      <c r="CW100" s="24" t="str">
        <f>"0"</f>
        <v>0</v>
      </c>
      <c r="CX100" t="str">
        <f ca="1">IF((OFFSET($A$1, 100 - 1, 100 - 1)) &gt;= (OFFSET($A$1, 80 - 1, 7 - 1)), "1","0")</f>
        <v>1</v>
      </c>
      <c r="CY100">
        <f ca="1" xml:space="preserve"> IF( AND( OFFSET($A$1, 100 - 1, 101 - 1) = "1", OFFSET($A$1, 100 - 1, 102 - 1) = "1" ), 1, IF( AND( OFFSET($A$1, 100 - 1, 101 - 1) = "1", OFFSET($A$1, 100 - 1, 102 - 1) = "0" ), 2, IF( AND( OFFSET($A$1, 100 - 1, 101 - 1) = "0", OFFSET($A$1, 100 - 1, 102 - 1) = "1" ), 3, 4 ) ) )</f>
        <v>3</v>
      </c>
    </row>
    <row r="101" spans="2:103" ht="13.8" x14ac:dyDescent="0.3">
      <c r="CQ101" s="24">
        <v>6.3453902529500936E-2</v>
      </c>
      <c r="CR101" s="24" t="str">
        <f>"0"</f>
        <v>0</v>
      </c>
      <c r="CS101" t="str">
        <f ca="1">IF((OFFSET($A$1, 101 - 1, 95 - 1)) &gt;= (OFFSET($A$1, 56 - 1, 7 - 1)), "1","0")</f>
        <v>0</v>
      </c>
      <c r="CT101">
        <f ca="1" xml:space="preserve"> IF( AND( OFFSET($A$1, 101 - 1, 96 - 1) = "1", OFFSET($A$1, 101 - 1, 97 - 1) = "1" ), 1, IF( AND( OFFSET($A$1, 101 - 1, 96 - 1) = "1", OFFSET($A$1, 101 - 1, 97 - 1) = "0" ), 2, IF( AND( OFFSET($A$1, 101 - 1, 96 - 1) = "0", OFFSET($A$1, 101 - 1, 97 - 1) = "1" ), 3, 4 ) ) )</f>
        <v>4</v>
      </c>
      <c r="CV101" s="24">
        <v>9.5936528427334952E-2</v>
      </c>
      <c r="CW101" s="24" t="str">
        <f>"0"</f>
        <v>0</v>
      </c>
      <c r="CX101" t="str">
        <f ca="1">IF((OFFSET($A$1, 101 - 1, 100 - 1)) &gt;= (OFFSET($A$1, 80 - 1, 7 - 1)), "1","0")</f>
        <v>0</v>
      </c>
      <c r="CY101">
        <f ca="1" xml:space="preserve"> IF( AND( OFFSET($A$1, 101 - 1, 101 - 1) = "1", OFFSET($A$1, 101 - 1, 102 - 1) = "1" ), 1, IF( AND( OFFSET($A$1, 101 - 1, 101 - 1) = "1", OFFSET($A$1, 101 - 1, 102 - 1) = "0" ), 2, IF( AND( OFFSET($A$1, 101 - 1, 101 - 1) = "0", OFFSET($A$1, 101 - 1, 102 - 1) = "1" ), 3, 4 ) ) )</f>
        <v>4</v>
      </c>
    </row>
    <row r="102" spans="2:103" ht="18" x14ac:dyDescent="0.35">
      <c r="B102" s="22" t="s">
        <v>715</v>
      </c>
      <c r="CQ102" s="24">
        <v>0.9877553806531445</v>
      </c>
      <c r="CR102" s="24" t="str">
        <f>"1"</f>
        <v>1</v>
      </c>
      <c r="CS102" t="str">
        <f ca="1">IF((OFFSET($A$1, 102 - 1, 95 - 1)) &gt;= (OFFSET($A$1, 56 - 1, 7 - 1)), "1","0")</f>
        <v>1</v>
      </c>
      <c r="CT102">
        <f ca="1" xml:space="preserve"> IF( AND( OFFSET($A$1, 102 - 1, 96 - 1) = "1", OFFSET($A$1, 102 - 1, 97 - 1) = "1" ), 1, IF( AND( OFFSET($A$1, 102 - 1, 96 - 1) = "1", OFFSET($A$1, 102 - 1, 97 - 1) = "0" ), 2, IF( AND( OFFSET($A$1, 102 - 1, 96 - 1) = "0", OFFSET($A$1, 102 - 1, 97 - 1) = "1" ), 3, 4 ) ) )</f>
        <v>1</v>
      </c>
      <c r="CV102" s="24">
        <v>0.99773849040256124</v>
      </c>
      <c r="CW102" s="24" t="str">
        <f>"1"</f>
        <v>1</v>
      </c>
      <c r="CX102" t="str">
        <f ca="1">IF((OFFSET($A$1, 102 - 1, 100 - 1)) &gt;= (OFFSET($A$1, 80 - 1, 7 - 1)), "1","0")</f>
        <v>1</v>
      </c>
      <c r="CY102">
        <f ca="1" xml:space="preserve"> IF( AND( OFFSET($A$1, 102 - 1, 101 - 1) = "1", OFFSET($A$1, 102 - 1, 102 - 1) = "1" ), 1, IF( AND( OFFSET($A$1, 102 - 1, 101 - 1) = "1", OFFSET($A$1, 102 - 1, 102 - 1) = "0" ), 2, IF( AND( OFFSET($A$1, 102 - 1, 101 - 1) = "0", OFFSET($A$1, 102 - 1, 102 - 1) = "1" ), 3, 4 ) ) )</f>
        <v>1</v>
      </c>
    </row>
    <row r="103" spans="2:103" ht="13.8" x14ac:dyDescent="0.3">
      <c r="CQ103" s="24">
        <v>9.193446236082399E-2</v>
      </c>
      <c r="CR103" s="24" t="str">
        <f>"0"</f>
        <v>0</v>
      </c>
      <c r="CS103" t="str">
        <f ca="1">IF((OFFSET($A$1, 103 - 1, 95 - 1)) &gt;= (OFFSET($A$1, 56 - 1, 7 - 1)), "1","0")</f>
        <v>0</v>
      </c>
      <c r="CT103">
        <f ca="1" xml:space="preserve"> IF( AND( OFFSET($A$1, 103 - 1, 96 - 1) = "1", OFFSET($A$1, 103 - 1, 97 - 1) = "1" ), 1, IF( AND( OFFSET($A$1, 103 - 1, 96 - 1) = "1", OFFSET($A$1, 103 - 1, 97 - 1) = "0" ), 2, IF( AND( OFFSET($A$1, 103 - 1, 96 - 1) = "0", OFFSET($A$1, 103 - 1, 97 - 1) = "1" ), 3, 4 ) ) )</f>
        <v>4</v>
      </c>
      <c r="CV103" s="24">
        <v>0.9962215219361259</v>
      </c>
      <c r="CW103" s="24" t="str">
        <f>"1"</f>
        <v>1</v>
      </c>
      <c r="CX103" t="str">
        <f ca="1">IF((OFFSET($A$1, 103 - 1, 100 - 1)) &gt;= (OFFSET($A$1, 80 - 1, 7 - 1)), "1","0")</f>
        <v>1</v>
      </c>
      <c r="CY103">
        <f ca="1" xml:space="preserve"> IF( AND( OFFSET($A$1, 103 - 1, 101 - 1) = "1", OFFSET($A$1, 103 - 1, 102 - 1) = "1" ), 1, IF( AND( OFFSET($A$1, 103 - 1, 101 - 1) = "1", OFFSET($A$1, 103 - 1, 102 - 1) = "0" ), 2, IF( AND( OFFSET($A$1, 103 - 1, 101 - 1) = "0", OFFSET($A$1, 103 - 1, 102 - 1) = "1" ), 3, 4 ) ) )</f>
        <v>1</v>
      </c>
    </row>
    <row r="104" spans="2:103" ht="13.8" x14ac:dyDescent="0.3">
      <c r="D104" s="77" t="s">
        <v>716</v>
      </c>
      <c r="E104" s="77"/>
      <c r="F104" s="77"/>
      <c r="G104" s="77"/>
      <c r="H104" s="77"/>
      <c r="I104" s="77"/>
      <c r="J104" s="77"/>
      <c r="K104" s="77"/>
      <c r="L104" s="77"/>
      <c r="M104" s="77"/>
      <c r="N104" s="77"/>
      <c r="O104" s="77"/>
      <c r="P104" s="77"/>
      <c r="Q104" s="77"/>
      <c r="R104" s="77"/>
      <c r="S104" s="77"/>
      <c r="T104" s="77"/>
      <c r="U104" s="77"/>
      <c r="V104" s="77"/>
      <c r="W104" s="77"/>
      <c r="X104" s="77"/>
      <c r="Y104" s="77"/>
      <c r="Z104" s="77"/>
      <c r="AA104" s="77"/>
      <c r="AB104" s="77"/>
      <c r="AC104" s="77"/>
      <c r="AD104" s="77"/>
      <c r="AE104" s="77"/>
      <c r="AF104" s="77"/>
      <c r="AG104" s="77"/>
      <c r="AH104" s="77"/>
      <c r="AI104" s="77"/>
      <c r="AJ104" s="77"/>
      <c r="AK104" s="77"/>
      <c r="AL104" s="77"/>
      <c r="AM104" s="77"/>
      <c r="AN104" s="77"/>
      <c r="AO104" s="77"/>
      <c r="AP104" s="77"/>
      <c r="AQ104" s="77"/>
      <c r="AR104" s="77"/>
      <c r="AS104" s="77"/>
      <c r="AT104" s="77"/>
      <c r="AU104" s="77"/>
      <c r="AV104" s="77"/>
      <c r="AW104" s="77"/>
      <c r="CQ104" s="24">
        <v>0.83243326185809197</v>
      </c>
      <c r="CR104" s="24" t="str">
        <f>"1"</f>
        <v>1</v>
      </c>
      <c r="CS104" t="str">
        <f ca="1">IF((OFFSET($A$1, 104 - 1, 95 - 1)) &gt;= (OFFSET($A$1, 56 - 1, 7 - 1)), "1","0")</f>
        <v>1</v>
      </c>
      <c r="CT104">
        <f ca="1" xml:space="preserve"> IF( AND( OFFSET($A$1, 104 - 1, 96 - 1) = "1", OFFSET($A$1, 104 - 1, 97 - 1) = "1" ), 1, IF( AND( OFFSET($A$1, 104 - 1, 96 - 1) = "1", OFFSET($A$1, 104 - 1, 97 - 1) = "0" ), 2, IF( AND( OFFSET($A$1, 104 - 1, 96 - 1) = "0", OFFSET($A$1, 104 - 1, 97 - 1) = "1" ), 3, 4 ) ) )</f>
        <v>1</v>
      </c>
      <c r="CV104" s="24">
        <v>0.17006926402992095</v>
      </c>
      <c r="CW104" s="24" t="str">
        <f>"0"</f>
        <v>0</v>
      </c>
      <c r="CX104" t="str">
        <f ca="1">IF((OFFSET($A$1, 104 - 1, 100 - 1)) &gt;= (OFFSET($A$1, 80 - 1, 7 - 1)), "1","0")</f>
        <v>0</v>
      </c>
      <c r="CY104">
        <f ca="1" xml:space="preserve"> IF( AND( OFFSET($A$1, 104 - 1, 101 - 1) = "1", OFFSET($A$1, 104 - 1, 102 - 1) = "1" ), 1, IF( AND( OFFSET($A$1, 104 - 1, 101 - 1) = "1", OFFSET($A$1, 104 - 1, 102 - 1) = "0" ), 2, IF( AND( OFFSET($A$1, 104 - 1, 101 - 1) = "0", OFFSET($A$1, 104 - 1, 102 - 1) = "1" ), 3, 4 ) ) )</f>
        <v>4</v>
      </c>
    </row>
    <row r="105" spans="2:103" ht="13.8" x14ac:dyDescent="0.3">
      <c r="C105" s="36" t="s">
        <v>717</v>
      </c>
      <c r="D105" s="26" t="s">
        <v>0</v>
      </c>
      <c r="E105" s="26" t="s">
        <v>68</v>
      </c>
      <c r="F105" s="26" t="s">
        <v>69</v>
      </c>
      <c r="G105" s="26" t="s">
        <v>70</v>
      </c>
      <c r="H105" s="26" t="s">
        <v>71</v>
      </c>
      <c r="I105" s="26" t="s">
        <v>81</v>
      </c>
      <c r="J105" s="26" t="s">
        <v>72</v>
      </c>
      <c r="K105" s="26" t="s">
        <v>2</v>
      </c>
      <c r="L105" s="26" t="s">
        <v>6</v>
      </c>
      <c r="M105" s="26" t="s">
        <v>74</v>
      </c>
      <c r="N105" s="26" t="s">
        <v>75</v>
      </c>
      <c r="O105" s="26" t="s">
        <v>76</v>
      </c>
      <c r="P105" s="26" t="s">
        <v>73</v>
      </c>
      <c r="Q105" s="26" t="s">
        <v>77</v>
      </c>
      <c r="R105" s="26" t="s">
        <v>78</v>
      </c>
      <c r="S105" s="26" t="s">
        <v>82</v>
      </c>
      <c r="T105" s="26" t="s">
        <v>8</v>
      </c>
      <c r="U105" s="26" t="s">
        <v>79</v>
      </c>
      <c r="V105" s="26" t="s">
        <v>80</v>
      </c>
      <c r="W105" s="26" t="s">
        <v>83</v>
      </c>
      <c r="X105" s="26" t="s">
        <v>9</v>
      </c>
      <c r="Y105" s="26" t="s">
        <v>11</v>
      </c>
      <c r="Z105" s="26" t="s">
        <v>12</v>
      </c>
      <c r="AA105" s="26" t="s">
        <v>13</v>
      </c>
      <c r="AB105" s="26" t="s">
        <v>152</v>
      </c>
      <c r="AC105" s="26" t="s">
        <v>153</v>
      </c>
      <c r="AD105" s="26" t="s">
        <v>154</v>
      </c>
      <c r="AE105" s="26" t="s">
        <v>156</v>
      </c>
      <c r="AF105" s="26" t="s">
        <v>157</v>
      </c>
      <c r="AG105" s="26" t="s">
        <v>158</v>
      </c>
      <c r="AH105" s="26" t="s">
        <v>159</v>
      </c>
      <c r="AI105" s="26" t="s">
        <v>161</v>
      </c>
      <c r="AJ105" s="26" t="s">
        <v>162</v>
      </c>
      <c r="AK105" s="26" t="s">
        <v>163</v>
      </c>
      <c r="AL105" s="26" t="s">
        <v>164</v>
      </c>
      <c r="AM105" s="26" t="s">
        <v>166</v>
      </c>
      <c r="AN105" s="26" t="s">
        <v>167</v>
      </c>
      <c r="AO105" s="26" t="s">
        <v>168</v>
      </c>
      <c r="AP105" s="26" t="s">
        <v>169</v>
      </c>
      <c r="AQ105" s="26" t="s">
        <v>171</v>
      </c>
      <c r="AR105" s="26" t="s">
        <v>172</v>
      </c>
      <c r="AS105" s="26" t="s">
        <v>173</v>
      </c>
      <c r="AT105" s="26" t="s">
        <v>176</v>
      </c>
      <c r="AU105" s="26" t="s">
        <v>177</v>
      </c>
      <c r="AV105" s="26" t="s">
        <v>178</v>
      </c>
      <c r="AW105" s="26" t="s">
        <v>732</v>
      </c>
      <c r="CQ105" s="24">
        <v>8.7978162846219427E-2</v>
      </c>
      <c r="CR105" s="24" t="str">
        <f>"0"</f>
        <v>0</v>
      </c>
      <c r="CS105" t="str">
        <f ca="1">IF((OFFSET($A$1, 105 - 1, 95 - 1)) &gt;= (OFFSET($A$1, 56 - 1, 7 - 1)), "1","0")</f>
        <v>0</v>
      </c>
      <c r="CT105">
        <f ca="1" xml:space="preserve"> IF( AND( OFFSET($A$1, 105 - 1, 96 - 1) = "1", OFFSET($A$1, 105 - 1, 97 - 1) = "1" ), 1, IF( AND( OFFSET($A$1, 105 - 1, 96 - 1) = "1", OFFSET($A$1, 105 - 1, 97 - 1) = "0" ), 2, IF( AND( OFFSET($A$1, 105 - 1, 96 - 1) = "0", OFFSET($A$1, 105 - 1, 97 - 1) = "1" ), 3, 4 ) ) )</f>
        <v>4</v>
      </c>
      <c r="CV105" s="24">
        <v>0.99356337871123535</v>
      </c>
      <c r="CW105" s="24" t="str">
        <f>"1"</f>
        <v>1</v>
      </c>
      <c r="CX105" t="str">
        <f ca="1">IF((OFFSET($A$1, 105 - 1, 100 - 1)) &gt;= (OFFSET($A$1, 80 - 1, 7 - 1)), "1","0")</f>
        <v>1</v>
      </c>
      <c r="CY105">
        <f ca="1" xml:space="preserve"> IF( AND( OFFSET($A$1, 105 - 1, 101 - 1) = "1", OFFSET($A$1, 105 - 1, 102 - 1) = "1" ), 1, IF( AND( OFFSET($A$1, 105 - 1, 101 - 1) = "1", OFFSET($A$1, 105 - 1, 102 - 1) = "0" ), 2, IF( AND( OFFSET($A$1, 105 - 1, 101 - 1) = "0", OFFSET($A$1, 105 - 1, 102 - 1) = "1" ), 3, 4 ) ) )</f>
        <v>1</v>
      </c>
    </row>
    <row r="106" spans="2:103" ht="13.8" x14ac:dyDescent="0.3">
      <c r="C106" s="26" t="s">
        <v>718</v>
      </c>
      <c r="D106" s="24">
        <v>-0.63690233237014304</v>
      </c>
      <c r="E106" s="24">
        <v>-0.11368284990148837</v>
      </c>
      <c r="F106" s="24">
        <v>6.6622851232688921E-2</v>
      </c>
      <c r="G106" s="24">
        <v>0.37212622666251294</v>
      </c>
      <c r="H106" s="24">
        <v>0.42081468755688117</v>
      </c>
      <c r="I106" s="24">
        <v>-8.0713437610121994E-2</v>
      </c>
      <c r="J106" s="24">
        <v>0.18206654236713166</v>
      </c>
      <c r="K106" s="24">
        <v>-0.41803851222287447</v>
      </c>
      <c r="L106" s="24">
        <v>-0.32626741790904568</v>
      </c>
      <c r="M106" s="24">
        <v>-0.19907735570105714</v>
      </c>
      <c r="N106" s="24">
        <v>0.55963919027203302</v>
      </c>
      <c r="O106" s="24">
        <v>0.15938849624175236</v>
      </c>
      <c r="P106" s="24">
        <v>-5.6597116138502887E-3</v>
      </c>
      <c r="Q106" s="24">
        <v>-5.2668560699371966E-2</v>
      </c>
      <c r="R106" s="24">
        <v>-0.17013435304154961</v>
      </c>
      <c r="S106" s="24">
        <v>-0.2853260769740068</v>
      </c>
      <c r="T106" s="24">
        <v>8.9268324670577992E-2</v>
      </c>
      <c r="U106" s="24">
        <v>0.11434919688728359</v>
      </c>
      <c r="V106" s="24">
        <v>-0.50124477562515457</v>
      </c>
      <c r="W106" s="24">
        <v>0.19867758920912251</v>
      </c>
      <c r="X106" s="24">
        <v>0.29569460194410913</v>
      </c>
      <c r="Y106" s="24">
        <v>-0.13988952295243012</v>
      </c>
      <c r="Z106" s="24">
        <v>-0.42266502382692284</v>
      </c>
      <c r="AA106" s="24">
        <v>0.32667395475937161</v>
      </c>
      <c r="AB106" s="24">
        <v>-0.35321963849409882</v>
      </c>
      <c r="AC106" s="24">
        <v>-1.0092361280583806</v>
      </c>
      <c r="AD106" s="24">
        <v>0.19868371633718351</v>
      </c>
      <c r="AE106" s="24">
        <v>-0.23844595634912907</v>
      </c>
      <c r="AF106" s="24">
        <v>-0.61727612860320291</v>
      </c>
      <c r="AG106" s="24">
        <v>0.54369174878815374</v>
      </c>
      <c r="AH106" s="24">
        <v>-0.12456341506063408</v>
      </c>
      <c r="AI106" s="24">
        <v>-0.1449329877455201</v>
      </c>
      <c r="AJ106" s="24">
        <v>-0.15877934041975755</v>
      </c>
      <c r="AK106" s="24">
        <v>0.39579813075745918</v>
      </c>
      <c r="AL106" s="24">
        <v>0.15403049030719052</v>
      </c>
      <c r="AM106" s="24">
        <v>-8.035278878749938E-2</v>
      </c>
      <c r="AN106" s="24">
        <v>0.14699626139804811</v>
      </c>
      <c r="AO106" s="24">
        <v>-0.17627878232409586</v>
      </c>
      <c r="AP106" s="24">
        <v>-9.8472897895400174E-2</v>
      </c>
      <c r="AQ106" s="24">
        <v>-6.5751395180033171E-3</v>
      </c>
      <c r="AR106" s="24">
        <v>2.5044192567516724E-3</v>
      </c>
      <c r="AS106" s="24">
        <v>-5.2319323976133369E-2</v>
      </c>
      <c r="AT106" s="24">
        <v>-0.1188278160242036</v>
      </c>
      <c r="AU106" s="24">
        <v>0.31499931802799924</v>
      </c>
      <c r="AV106" s="24">
        <v>0.11932965155964854</v>
      </c>
      <c r="AW106" s="24">
        <v>-0.43775182704553461</v>
      </c>
      <c r="CQ106" s="24">
        <v>9.2550270733034679E-2</v>
      </c>
      <c r="CR106" s="24" t="str">
        <f>"0"</f>
        <v>0</v>
      </c>
      <c r="CS106" t="str">
        <f ca="1">IF((OFFSET($A$1, 106 - 1, 95 - 1)) &gt;= (OFFSET($A$1, 56 - 1, 7 - 1)), "1","0")</f>
        <v>0</v>
      </c>
      <c r="CT106">
        <f ca="1" xml:space="preserve"> IF( AND( OFFSET($A$1, 106 - 1, 96 - 1) = "1", OFFSET($A$1, 106 - 1, 97 - 1) = "1" ), 1, IF( AND( OFFSET($A$1, 106 - 1, 96 - 1) = "1", OFFSET($A$1, 106 - 1, 97 - 1) = "0" ), 2, IF( AND( OFFSET($A$1, 106 - 1, 96 - 1) = "0", OFFSET($A$1, 106 - 1, 97 - 1) = "1" ), 3, 4 ) ) )</f>
        <v>4</v>
      </c>
      <c r="CV106" s="24">
        <v>0.90555153096851915</v>
      </c>
      <c r="CW106" s="24" t="str">
        <f>"1"</f>
        <v>1</v>
      </c>
      <c r="CX106" t="str">
        <f ca="1">IF((OFFSET($A$1, 106 - 1, 100 - 1)) &gt;= (OFFSET($A$1, 80 - 1, 7 - 1)), "1","0")</f>
        <v>1</v>
      </c>
      <c r="CY106">
        <f ca="1" xml:space="preserve"> IF( AND( OFFSET($A$1, 106 - 1, 101 - 1) = "1", OFFSET($A$1, 106 - 1, 102 - 1) = "1" ), 1, IF( AND( OFFSET($A$1, 106 - 1, 101 - 1) = "1", OFFSET($A$1, 106 - 1, 102 - 1) = "0" ), 2, IF( AND( OFFSET($A$1, 106 - 1, 101 - 1) = "0", OFFSET($A$1, 106 - 1, 102 - 1) = "1" ), 3, 4 ) ) )</f>
        <v>1</v>
      </c>
    </row>
    <row r="107" spans="2:103" ht="13.8" x14ac:dyDescent="0.3">
      <c r="C107" s="26" t="s">
        <v>719</v>
      </c>
      <c r="D107" s="24">
        <v>-8.6893137027585342E-3</v>
      </c>
      <c r="E107" s="24">
        <v>-0.32372191007293249</v>
      </c>
      <c r="F107" s="24">
        <v>1.7452308403974586E-2</v>
      </c>
      <c r="G107" s="24">
        <v>0.38008244124874846</v>
      </c>
      <c r="H107" s="24">
        <v>-0.20008121358881778</v>
      </c>
      <c r="I107" s="24">
        <v>-0.20154435727361431</v>
      </c>
      <c r="J107" s="24">
        <v>-0.10779684134564982</v>
      </c>
      <c r="K107" s="24">
        <v>-0.2755126386891959</v>
      </c>
      <c r="L107" s="24">
        <v>0.38785320311005911</v>
      </c>
      <c r="M107" s="24">
        <v>-0.30486660940770116</v>
      </c>
      <c r="N107" s="24">
        <v>-0.12239225316828053</v>
      </c>
      <c r="O107" s="24">
        <v>-0.55893008295970015</v>
      </c>
      <c r="P107" s="24">
        <v>0.22395994769640776</v>
      </c>
      <c r="Q107" s="24">
        <v>7.6191967461328156E-2</v>
      </c>
      <c r="R107" s="24">
        <v>0.95118874761219285</v>
      </c>
      <c r="S107" s="24">
        <v>-0.26657697905400601</v>
      </c>
      <c r="T107" s="24">
        <v>-4.6156427570963235E-2</v>
      </c>
      <c r="U107" s="24">
        <v>2.1838355942032515E-2</v>
      </c>
      <c r="V107" s="24">
        <v>-0.85942986656707809</v>
      </c>
      <c r="W107" s="24">
        <v>0.39193261604473467</v>
      </c>
      <c r="X107" s="24">
        <v>-0.36411160205868975</v>
      </c>
      <c r="Y107" s="24">
        <v>0.59763877032426349</v>
      </c>
      <c r="Z107" s="24">
        <v>-0.82787285857008852</v>
      </c>
      <c r="AA107" s="24">
        <v>-4.5848247428138721E-2</v>
      </c>
      <c r="AB107" s="24">
        <v>-0.65263943463644802</v>
      </c>
      <c r="AC107" s="24">
        <v>-1.1836553549708748</v>
      </c>
      <c r="AD107" s="24">
        <v>0.60508312082740356</v>
      </c>
      <c r="AE107" s="24">
        <v>-0.37631940350905491</v>
      </c>
      <c r="AF107" s="24">
        <v>-0.33196341058145645</v>
      </c>
      <c r="AG107" s="24">
        <v>0.88246031376729062</v>
      </c>
      <c r="AH107" s="24">
        <v>-1.2997060551565802</v>
      </c>
      <c r="AI107" s="24">
        <v>0.71769661269931972</v>
      </c>
      <c r="AJ107" s="24">
        <v>-0.64738658512740754</v>
      </c>
      <c r="AK107" s="24">
        <v>-0.21761441239891108</v>
      </c>
      <c r="AL107" s="24">
        <v>0.30534907778156156</v>
      </c>
      <c r="AM107" s="24">
        <v>0.77602805956076626</v>
      </c>
      <c r="AN107" s="24">
        <v>0.33224956447036802</v>
      </c>
      <c r="AO107" s="24">
        <v>-0.78049889393562399</v>
      </c>
      <c r="AP107" s="24">
        <v>0.37116557450001869</v>
      </c>
      <c r="AQ107" s="24">
        <v>0.36273854871019251</v>
      </c>
      <c r="AR107" s="24">
        <v>-6.5107737444386735E-2</v>
      </c>
      <c r="AS107" s="24">
        <v>-1.0802481462191775</v>
      </c>
      <c r="AT107" s="24">
        <v>0.38948321282835374</v>
      </c>
      <c r="AU107" s="24">
        <v>0.86537224567536897</v>
      </c>
      <c r="AV107" s="24">
        <v>-1.4554846683979199</v>
      </c>
      <c r="AW107" s="24">
        <v>0.35610080976242081</v>
      </c>
      <c r="CQ107" s="24">
        <v>6.1999203317087338E-2</v>
      </c>
      <c r="CR107" s="24" t="str">
        <f>"0"</f>
        <v>0</v>
      </c>
      <c r="CS107" t="str">
        <f ca="1">IF((OFFSET($A$1, 107 - 1, 95 - 1)) &gt;= (OFFSET($A$1, 56 - 1, 7 - 1)), "1","0")</f>
        <v>0</v>
      </c>
      <c r="CT107">
        <f ca="1" xml:space="preserve"> IF( AND( OFFSET($A$1, 107 - 1, 96 - 1) = "1", OFFSET($A$1, 107 - 1, 97 - 1) = "1" ), 1, IF( AND( OFFSET($A$1, 107 - 1, 96 - 1) = "1", OFFSET($A$1, 107 - 1, 97 - 1) = "0" ), 2, IF( AND( OFFSET($A$1, 107 - 1, 96 - 1) = "0", OFFSET($A$1, 107 - 1, 97 - 1) = "1" ), 3, 4 ) ) )</f>
        <v>4</v>
      </c>
      <c r="CV107" s="24">
        <v>6.8666485438444558E-2</v>
      </c>
      <c r="CW107" s="24" t="str">
        <f>"0"</f>
        <v>0</v>
      </c>
      <c r="CX107" t="str">
        <f ca="1">IF((OFFSET($A$1, 107 - 1, 100 - 1)) &gt;= (OFFSET($A$1, 80 - 1, 7 - 1)), "1","0")</f>
        <v>0</v>
      </c>
      <c r="CY107">
        <f ca="1" xml:space="preserve"> IF( AND( OFFSET($A$1, 107 - 1, 101 - 1) = "1", OFFSET($A$1, 107 - 1, 102 - 1) = "1" ), 1, IF( AND( OFFSET($A$1, 107 - 1, 101 - 1) = "1", OFFSET($A$1, 107 - 1, 102 - 1) = "0" ), 2, IF( AND( OFFSET($A$1, 107 - 1, 101 - 1) = "0", OFFSET($A$1, 107 - 1, 102 - 1) = "1" ), 3, 4 ) ) )</f>
        <v>4</v>
      </c>
    </row>
    <row r="108" spans="2:103" ht="13.8" x14ac:dyDescent="0.3">
      <c r="C108" s="26" t="s">
        <v>720</v>
      </c>
      <c r="D108" s="24">
        <v>0.88230551266018398</v>
      </c>
      <c r="E108" s="24">
        <v>0.45673413739993973</v>
      </c>
      <c r="F108" s="24">
        <v>0.85915734566859148</v>
      </c>
      <c r="G108" s="24">
        <v>-0.4158042210126584</v>
      </c>
      <c r="H108" s="24">
        <v>4.0002448118834862E-2</v>
      </c>
      <c r="I108" s="24">
        <v>0.83760260064735459</v>
      </c>
      <c r="J108" s="24">
        <v>-0.13861444019644498</v>
      </c>
      <c r="K108" s="24">
        <v>-0.86277531075209357</v>
      </c>
      <c r="L108" s="24">
        <v>-0.93665754436106952</v>
      </c>
      <c r="M108" s="24">
        <v>1.1170298805056946</v>
      </c>
      <c r="N108" s="24">
        <v>1.4837074848679248</v>
      </c>
      <c r="O108" s="24">
        <v>0.20749586155456581</v>
      </c>
      <c r="P108" s="24">
        <v>-0.23592267594582081</v>
      </c>
      <c r="Q108" s="24">
        <v>1.9634684257002935</v>
      </c>
      <c r="R108" s="24">
        <v>0.18571255575424431</v>
      </c>
      <c r="S108" s="24">
        <v>-1.2927488111431371</v>
      </c>
      <c r="T108" s="24">
        <v>0.49997139677341029</v>
      </c>
      <c r="U108" s="24">
        <v>0.63274210926193952</v>
      </c>
      <c r="V108" s="24">
        <v>0.94936639627432462</v>
      </c>
      <c r="W108" s="24">
        <v>-0.6779622268762211</v>
      </c>
      <c r="X108" s="24">
        <v>-0.63903796402731716</v>
      </c>
      <c r="Y108" s="24">
        <v>0.6604604532184456</v>
      </c>
      <c r="Z108" s="24">
        <v>-3.9888879094862099E-2</v>
      </c>
      <c r="AA108" s="24">
        <v>5.1974258678494187E-2</v>
      </c>
      <c r="AB108" s="24">
        <v>-1.5813022310985889</v>
      </c>
      <c r="AC108" s="24">
        <v>-1.0674270012726479</v>
      </c>
      <c r="AD108" s="24">
        <v>-1.188400755696537</v>
      </c>
      <c r="AE108" s="24">
        <v>-6.8772471938481627E-2</v>
      </c>
      <c r="AF108" s="24">
        <v>-0.30037363621520941</v>
      </c>
      <c r="AG108" s="24">
        <v>-0.66042826881632133</v>
      </c>
      <c r="AH108" s="24">
        <v>0.13525159840436599</v>
      </c>
      <c r="AI108" s="24">
        <v>-1.1919916521218961</v>
      </c>
      <c r="AJ108" s="24">
        <v>1.0269947098059213</v>
      </c>
      <c r="AK108" s="24">
        <v>0.45366893880317288</v>
      </c>
      <c r="AL108" s="24">
        <v>2.1733166839774689E-2</v>
      </c>
      <c r="AM108" s="24">
        <v>-0.86802577552172799</v>
      </c>
      <c r="AN108" s="24">
        <v>-0.81797302909271852</v>
      </c>
      <c r="AO108" s="24">
        <v>1.6371003972211289</v>
      </c>
      <c r="AP108" s="24">
        <v>0.96905760034626764</v>
      </c>
      <c r="AQ108" s="24">
        <v>-0.81235523348620031</v>
      </c>
      <c r="AR108" s="24">
        <v>1.1067127599588269</v>
      </c>
      <c r="AS108" s="24">
        <v>5.4417779961714374E-2</v>
      </c>
      <c r="AT108" s="24">
        <v>0.88257937892861393</v>
      </c>
      <c r="AU108" s="24">
        <v>1.0675167344408412</v>
      </c>
      <c r="AV108" s="24">
        <v>-6.3019338732649116E-2</v>
      </c>
      <c r="AW108" s="24">
        <v>-0.22349801976143538</v>
      </c>
      <c r="CQ108" s="24">
        <v>0.11320423713167635</v>
      </c>
      <c r="CR108" s="24" t="str">
        <f>"0"</f>
        <v>0</v>
      </c>
      <c r="CS108" t="str">
        <f ca="1">IF((OFFSET($A$1, 108 - 1, 95 - 1)) &gt;= (OFFSET($A$1, 56 - 1, 7 - 1)), "1","0")</f>
        <v>0</v>
      </c>
      <c r="CT108">
        <f ca="1" xml:space="preserve"> IF( AND( OFFSET($A$1, 108 - 1, 96 - 1) = "1", OFFSET($A$1, 108 - 1, 97 - 1) = "1" ), 1, IF( AND( OFFSET($A$1, 108 - 1, 96 - 1) = "1", OFFSET($A$1, 108 - 1, 97 - 1) = "0" ), 2, IF( AND( OFFSET($A$1, 108 - 1, 96 - 1) = "0", OFFSET($A$1, 108 - 1, 97 - 1) = "1" ), 3, 4 ) ) )</f>
        <v>4</v>
      </c>
      <c r="CV108" s="24">
        <v>0.5753507099170776</v>
      </c>
      <c r="CW108" s="24" t="str">
        <f>"1"</f>
        <v>1</v>
      </c>
      <c r="CX108" t="str">
        <f ca="1">IF((OFFSET($A$1, 108 - 1, 100 - 1)) &gt;= (OFFSET($A$1, 80 - 1, 7 - 1)), "1","0")</f>
        <v>1</v>
      </c>
      <c r="CY108">
        <f ca="1" xml:space="preserve"> IF( AND( OFFSET($A$1, 108 - 1, 101 - 1) = "1", OFFSET($A$1, 108 - 1, 102 - 1) = "1" ), 1, IF( AND( OFFSET($A$1, 108 - 1, 101 - 1) = "1", OFFSET($A$1, 108 - 1, 102 - 1) = "0" ), 2, IF( AND( OFFSET($A$1, 108 - 1, 101 - 1) = "0", OFFSET($A$1, 108 - 1, 102 - 1) = "1" ), 3, 4 ) ) )</f>
        <v>1</v>
      </c>
    </row>
    <row r="109" spans="2:103" ht="13.8" x14ac:dyDescent="0.3">
      <c r="C109" s="26" t="s">
        <v>721</v>
      </c>
      <c r="D109" s="24">
        <v>0.34207935000228151</v>
      </c>
      <c r="E109" s="24">
        <v>-0.40234927614212085</v>
      </c>
      <c r="F109" s="24">
        <v>0.20796183892088838</v>
      </c>
      <c r="G109" s="24">
        <v>7.2407633174644506E-2</v>
      </c>
      <c r="H109" s="24">
        <v>-0.25142831067937105</v>
      </c>
      <c r="I109" s="24">
        <v>0.25326535776369097</v>
      </c>
      <c r="J109" s="24">
        <v>-4.899708947012376E-2</v>
      </c>
      <c r="K109" s="24">
        <v>-0.37843182541158527</v>
      </c>
      <c r="L109" s="24">
        <v>0.18576986827811717</v>
      </c>
      <c r="M109" s="24">
        <v>-0.35105987461047189</v>
      </c>
      <c r="N109" s="24">
        <v>-0.67950319914613211</v>
      </c>
      <c r="O109" s="24">
        <v>-0.10125123878468403</v>
      </c>
      <c r="P109" s="24">
        <v>-0.21660739973506035</v>
      </c>
      <c r="Q109" s="24">
        <v>0.30361407404937146</v>
      </c>
      <c r="R109" s="24">
        <v>-0.39867918535449798</v>
      </c>
      <c r="S109" s="24">
        <v>-9.9815500661549025E-2</v>
      </c>
      <c r="T109" s="24">
        <v>0.31151802810702472</v>
      </c>
      <c r="U109" s="24">
        <v>-0.29226610111698409</v>
      </c>
      <c r="V109" s="24">
        <v>0.30953441095482337</v>
      </c>
      <c r="W109" s="24">
        <v>-0.26314104965845131</v>
      </c>
      <c r="X109" s="24">
        <v>0.41431205409634192</v>
      </c>
      <c r="Y109" s="24">
        <v>-6.8847085090844293E-2</v>
      </c>
      <c r="Z109" s="24">
        <v>1.0473143220302761</v>
      </c>
      <c r="AA109" s="24">
        <v>-0.15474026828132154</v>
      </c>
      <c r="AB109" s="24">
        <v>-0.75999046626407796</v>
      </c>
      <c r="AC109" s="24">
        <v>8.900910990157207E-2</v>
      </c>
      <c r="AD109" s="24">
        <v>-0.21023948853106245</v>
      </c>
      <c r="AE109" s="24">
        <v>0.21837329270304717</v>
      </c>
      <c r="AF109" s="24">
        <v>-0.7187611300183836</v>
      </c>
      <c r="AG109" s="24">
        <v>0.243459130446846</v>
      </c>
      <c r="AH109" s="24">
        <v>0.34942004418067529</v>
      </c>
      <c r="AI109" s="24">
        <v>-0.21788182928331293</v>
      </c>
      <c r="AJ109" s="24">
        <v>-0.6502331822224493</v>
      </c>
      <c r="AK109" s="24">
        <v>-0.4036526357633235</v>
      </c>
      <c r="AL109" s="24">
        <v>0.11900482699131577</v>
      </c>
      <c r="AM109" s="24">
        <v>-0.24958368097008293</v>
      </c>
      <c r="AN109" s="24">
        <v>-0.38904619779573674</v>
      </c>
      <c r="AO109" s="24">
        <v>-0.49804697942624682</v>
      </c>
      <c r="AP109" s="24">
        <v>0.27062499498010911</v>
      </c>
      <c r="AQ109" s="24">
        <v>-0.27411954411281308</v>
      </c>
      <c r="AR109" s="24">
        <v>0.34530269659323887</v>
      </c>
      <c r="AS109" s="24">
        <v>0.26638798611633441</v>
      </c>
      <c r="AT109" s="24">
        <v>-3.7873097772223294E-2</v>
      </c>
      <c r="AU109" s="24">
        <v>-0.70095167414600912</v>
      </c>
      <c r="AV109" s="24">
        <v>-0.68321634383619989</v>
      </c>
      <c r="AW109" s="24">
        <v>-0.37002190171574906</v>
      </c>
      <c r="CQ109" s="24">
        <v>9.5324423485510339E-3</v>
      </c>
      <c r="CR109" s="24" t="str">
        <f>"0"</f>
        <v>0</v>
      </c>
      <c r="CS109" t="str">
        <f ca="1">IF((OFFSET($A$1, 109 - 1, 95 - 1)) &gt;= (OFFSET($A$1, 56 - 1, 7 - 1)), "1","0")</f>
        <v>0</v>
      </c>
      <c r="CT109">
        <f ca="1" xml:space="preserve"> IF( AND( OFFSET($A$1, 109 - 1, 96 - 1) = "1", OFFSET($A$1, 109 - 1, 97 - 1) = "1" ), 1, IF( AND( OFFSET($A$1, 109 - 1, 96 - 1) = "1", OFFSET($A$1, 109 - 1, 97 - 1) = "0" ), 2, IF( AND( OFFSET($A$1, 109 - 1, 96 - 1) = "0", OFFSET($A$1, 109 - 1, 97 - 1) = "1" ), 3, 4 ) ) )</f>
        <v>4</v>
      </c>
      <c r="CV109" s="24">
        <v>0.99810249663375983</v>
      </c>
      <c r="CW109" s="24" t="str">
        <f>"1"</f>
        <v>1</v>
      </c>
      <c r="CX109" t="str">
        <f ca="1">IF((OFFSET($A$1, 109 - 1, 100 - 1)) &gt;= (OFFSET($A$1, 80 - 1, 7 - 1)), "1","0")</f>
        <v>1</v>
      </c>
      <c r="CY109">
        <f ca="1" xml:space="preserve"> IF( AND( OFFSET($A$1, 109 - 1, 101 - 1) = "1", OFFSET($A$1, 109 - 1, 102 - 1) = "1" ), 1, IF( AND( OFFSET($A$1, 109 - 1, 101 - 1) = "1", OFFSET($A$1, 109 - 1, 102 - 1) = "0" ), 2, IF( AND( OFFSET($A$1, 109 - 1, 101 - 1) = "0", OFFSET($A$1, 109 - 1, 102 - 1) = "1" ), 3, 4 ) ) )</f>
        <v>1</v>
      </c>
    </row>
    <row r="110" spans="2:103" ht="13.8" x14ac:dyDescent="0.3">
      <c r="C110" s="26" t="s">
        <v>722</v>
      </c>
      <c r="D110" s="24">
        <v>-0.44075797920456</v>
      </c>
      <c r="E110" s="24">
        <v>1.0773914152334321</v>
      </c>
      <c r="F110" s="24">
        <v>-4.9808304603031883E-3</v>
      </c>
      <c r="G110" s="24">
        <v>-0.2149020286047609</v>
      </c>
      <c r="H110" s="24">
        <v>-0.2845002535472182</v>
      </c>
      <c r="I110" s="24">
        <v>0.36058287333713901</v>
      </c>
      <c r="J110" s="24">
        <v>-1.3222508385820206</v>
      </c>
      <c r="K110" s="24">
        <v>0.25243917659064113</v>
      </c>
      <c r="L110" s="24">
        <v>-1.4775764271339724</v>
      </c>
      <c r="M110" s="24">
        <v>-1.2699147064043983</v>
      </c>
      <c r="N110" s="24">
        <v>0.91010979610030596</v>
      </c>
      <c r="O110" s="24">
        <v>-0.25079141874092858</v>
      </c>
      <c r="P110" s="24">
        <v>-0.86841901924012821</v>
      </c>
      <c r="Q110" s="24">
        <v>-1.1127136294675808</v>
      </c>
      <c r="R110" s="24">
        <v>1.5666287576231912</v>
      </c>
      <c r="S110" s="24">
        <v>-5.1582132962101297E-2</v>
      </c>
      <c r="T110" s="24">
        <v>1.5419110450678275</v>
      </c>
      <c r="U110" s="24">
        <v>-2.5308658431876867</v>
      </c>
      <c r="V110" s="24">
        <v>-0.85423421142927736</v>
      </c>
      <c r="W110" s="24">
        <v>-0.99039356430147907</v>
      </c>
      <c r="X110" s="24">
        <v>-0.94703127528638253</v>
      </c>
      <c r="Y110" s="24">
        <v>0.61787060918765524</v>
      </c>
      <c r="Z110" s="24">
        <v>1.0491602893502532</v>
      </c>
      <c r="AA110" s="24">
        <v>3.4993546893157368E-2</v>
      </c>
      <c r="AB110" s="24">
        <v>-2.4490912527106685</v>
      </c>
      <c r="AC110" s="24">
        <v>-0.87855343868580449</v>
      </c>
      <c r="AD110" s="24">
        <v>-0.29821390138621373</v>
      </c>
      <c r="AE110" s="24">
        <v>-0.69221366560525932</v>
      </c>
      <c r="AF110" s="24">
        <v>-1.8856451192351751</v>
      </c>
      <c r="AG110" s="24">
        <v>-0.17959321717803006</v>
      </c>
      <c r="AH110" s="24">
        <v>0.6569034016695785</v>
      </c>
      <c r="AI110" s="24">
        <v>-1.7994753714527709</v>
      </c>
      <c r="AJ110" s="24">
        <v>0.50385024951377733</v>
      </c>
      <c r="AK110" s="24">
        <v>0.34495330177245614</v>
      </c>
      <c r="AL110" s="24">
        <v>0.75783097666482091</v>
      </c>
      <c r="AM110" s="24">
        <v>0.6298545831034239</v>
      </c>
      <c r="AN110" s="24">
        <v>-0.3689093615399372</v>
      </c>
      <c r="AO110" s="24">
        <v>-0.10990736333385777</v>
      </c>
      <c r="AP110" s="24">
        <v>-2.8400730655667908E-2</v>
      </c>
      <c r="AQ110" s="24">
        <v>0.94694963820879374</v>
      </c>
      <c r="AR110" s="24">
        <v>0.70120939950493799</v>
      </c>
      <c r="AS110" s="24">
        <v>-0.19108395307222176</v>
      </c>
      <c r="AT110" s="24">
        <v>-0.10344576712852434</v>
      </c>
      <c r="AU110" s="24">
        <v>-1.001400843502023</v>
      </c>
      <c r="AV110" s="24">
        <v>0.18165686179827945</v>
      </c>
      <c r="AW110" s="24">
        <v>-1.2394573691349045</v>
      </c>
      <c r="CQ110" s="24">
        <v>0.95303981009143535</v>
      </c>
      <c r="CR110" s="24" t="str">
        <f t="shared" ref="CR110:CR126" si="7">"1"</f>
        <v>1</v>
      </c>
      <c r="CS110" t="str">
        <f ca="1">IF((OFFSET($A$1, 110 - 1, 95 - 1)) &gt;= (OFFSET($A$1, 56 - 1, 7 - 1)), "1","0")</f>
        <v>1</v>
      </c>
      <c r="CT110">
        <f ca="1" xml:space="preserve"> IF( AND( OFFSET($A$1, 110 - 1, 96 - 1) = "1", OFFSET($A$1, 110 - 1, 97 - 1) = "1" ), 1, IF( AND( OFFSET($A$1, 110 - 1, 96 - 1) = "1", OFFSET($A$1, 110 - 1, 97 - 1) = "0" ), 2, IF( AND( OFFSET($A$1, 110 - 1, 96 - 1) = "0", OFFSET($A$1, 110 - 1, 97 - 1) = "1" ), 3, 4 ) ) )</f>
        <v>1</v>
      </c>
      <c r="CV110" s="24">
        <v>0.80150280499594495</v>
      </c>
      <c r="CW110" s="24" t="str">
        <f>"0"</f>
        <v>0</v>
      </c>
      <c r="CX110" t="str">
        <f ca="1">IF((OFFSET($A$1, 110 - 1, 100 - 1)) &gt;= (OFFSET($A$1, 80 - 1, 7 - 1)), "1","0")</f>
        <v>1</v>
      </c>
      <c r="CY110">
        <f ca="1" xml:space="preserve"> IF( AND( OFFSET($A$1, 110 - 1, 101 - 1) = "1", OFFSET($A$1, 110 - 1, 102 - 1) = "1" ), 1, IF( AND( OFFSET($A$1, 110 - 1, 101 - 1) = "1", OFFSET($A$1, 110 - 1, 102 - 1) = "0" ), 2, IF( AND( OFFSET($A$1, 110 - 1, 101 - 1) = "0", OFFSET($A$1, 110 - 1, 102 - 1) = "1" ), 3, 4 ) ) )</f>
        <v>3</v>
      </c>
    </row>
    <row r="111" spans="2:103" ht="13.8" x14ac:dyDescent="0.3">
      <c r="C111" s="26" t="s">
        <v>723</v>
      </c>
      <c r="D111" s="24">
        <v>2.2054982485054255</v>
      </c>
      <c r="E111" s="24">
        <v>1.509963518951996</v>
      </c>
      <c r="F111" s="24">
        <v>-0.65101428311480869</v>
      </c>
      <c r="G111" s="24">
        <v>4.6895528764375437E-2</v>
      </c>
      <c r="H111" s="24">
        <v>-1.888368574477727</v>
      </c>
      <c r="I111" s="24">
        <v>1.1071779211006871</v>
      </c>
      <c r="J111" s="24">
        <v>0.16335503786906902</v>
      </c>
      <c r="K111" s="24">
        <v>1.257027245237657</v>
      </c>
      <c r="L111" s="24">
        <v>-1.1518781456063232</v>
      </c>
      <c r="M111" s="24">
        <v>0.65671859301317315</v>
      </c>
      <c r="N111" s="24">
        <v>0.66488327057154395</v>
      </c>
      <c r="O111" s="24">
        <v>-0.75711816059642545</v>
      </c>
      <c r="P111" s="24">
        <v>7.6469540109390846E-2</v>
      </c>
      <c r="Q111" s="24">
        <v>1.1661597608620337E-3</v>
      </c>
      <c r="R111" s="24">
        <v>-0.63699026958500216</v>
      </c>
      <c r="S111" s="24">
        <v>-8.2094684759428035E-2</v>
      </c>
      <c r="T111" s="24">
        <v>-1.0890027287171871</v>
      </c>
      <c r="U111" s="24">
        <v>0.27364608170316562</v>
      </c>
      <c r="V111" s="24">
        <v>1.0086340249309531</v>
      </c>
      <c r="W111" s="24">
        <v>-0.52263194783994749</v>
      </c>
      <c r="X111" s="24">
        <v>-0.57470436432460803</v>
      </c>
      <c r="Y111" s="24">
        <v>0.66280735393793333</v>
      </c>
      <c r="Z111" s="24">
        <v>-0.5458977204976786</v>
      </c>
      <c r="AA111" s="24">
        <v>-0.50559825882109188</v>
      </c>
      <c r="AB111" s="24">
        <v>0.52739591733583557</v>
      </c>
      <c r="AC111" s="24">
        <v>1.2737707880736722</v>
      </c>
      <c r="AD111" s="24">
        <v>-0.70834047695952151</v>
      </c>
      <c r="AE111" s="24">
        <v>-0.54860449128632738</v>
      </c>
      <c r="AF111" s="24">
        <v>-0.11441084883570761</v>
      </c>
      <c r="AG111" s="24">
        <v>-0.11029459085163644</v>
      </c>
      <c r="AH111" s="24">
        <v>0.37532547141940586</v>
      </c>
      <c r="AI111" s="24">
        <v>-1.2851473195895764</v>
      </c>
      <c r="AJ111" s="24">
        <v>0.32706609715149954</v>
      </c>
      <c r="AK111" s="24">
        <v>-0.35330492817043496</v>
      </c>
      <c r="AL111" s="24">
        <v>-0.11044133537214876</v>
      </c>
      <c r="AM111" s="24">
        <v>1.709693742204796</v>
      </c>
      <c r="AN111" s="24">
        <v>-0.88157170788537975</v>
      </c>
      <c r="AO111" s="24">
        <v>0.24249418743869511</v>
      </c>
      <c r="AP111" s="24">
        <v>0.71351808356350688</v>
      </c>
      <c r="AQ111" s="24">
        <v>-0.59772756641630675</v>
      </c>
      <c r="AR111" s="24">
        <v>0.94929831298360157</v>
      </c>
      <c r="AS111" s="24">
        <v>-2.9264248488163162E-2</v>
      </c>
      <c r="AT111" s="24">
        <v>-1.6556948679730585</v>
      </c>
      <c r="AU111" s="24">
        <v>0.36605251814471707</v>
      </c>
      <c r="AV111" s="24">
        <v>-0.66925101180619972</v>
      </c>
      <c r="AW111" s="24">
        <v>-0.50166778822442626</v>
      </c>
      <c r="CQ111" s="24">
        <v>0.92464434726416578</v>
      </c>
      <c r="CR111" s="24" t="str">
        <f t="shared" si="7"/>
        <v>1</v>
      </c>
      <c r="CS111" t="str">
        <f ca="1">IF((OFFSET($A$1, 111 - 1, 95 - 1)) &gt;= (OFFSET($A$1, 56 - 1, 7 - 1)), "1","0")</f>
        <v>1</v>
      </c>
      <c r="CT111">
        <f ca="1" xml:space="preserve"> IF( AND( OFFSET($A$1, 111 - 1, 96 - 1) = "1", OFFSET($A$1, 111 - 1, 97 - 1) = "1" ), 1, IF( AND( OFFSET($A$1, 111 - 1, 96 - 1) = "1", OFFSET($A$1, 111 - 1, 97 - 1) = "0" ), 2, IF( AND( OFFSET($A$1, 111 - 1, 96 - 1) = "0", OFFSET($A$1, 111 - 1, 97 - 1) = "1" ), 3, 4 ) ) )</f>
        <v>1</v>
      </c>
      <c r="CV111" s="24">
        <v>0.85192797380025354</v>
      </c>
      <c r="CW111" s="24" t="str">
        <f>"0"</f>
        <v>0</v>
      </c>
      <c r="CX111" t="str">
        <f ca="1">IF((OFFSET($A$1, 111 - 1, 100 - 1)) &gt;= (OFFSET($A$1, 80 - 1, 7 - 1)), "1","0")</f>
        <v>1</v>
      </c>
      <c r="CY111">
        <f ca="1" xml:space="preserve"> IF( AND( OFFSET($A$1, 111 - 1, 101 - 1) = "1", OFFSET($A$1, 111 - 1, 102 - 1) = "1" ), 1, IF( AND( OFFSET($A$1, 111 - 1, 101 - 1) = "1", OFFSET($A$1, 111 - 1, 102 - 1) = "0" ), 2, IF( AND( OFFSET($A$1, 111 - 1, 101 - 1) = "0", OFFSET($A$1, 111 - 1, 102 - 1) = "1" ), 3, 4 ) ) )</f>
        <v>3</v>
      </c>
    </row>
    <row r="112" spans="2:103" ht="13.8" x14ac:dyDescent="0.3">
      <c r="C112" s="26" t="s">
        <v>724</v>
      </c>
      <c r="D112" s="24">
        <v>0.50132535573942993</v>
      </c>
      <c r="E112" s="24">
        <v>0.6714418370037607</v>
      </c>
      <c r="F112" s="24">
        <v>0.27171607482871996</v>
      </c>
      <c r="G112" s="24">
        <v>-1.7394830144887496</v>
      </c>
      <c r="H112" s="24">
        <v>-0.50336530489989473</v>
      </c>
      <c r="I112" s="24">
        <v>1.1742989334661269</v>
      </c>
      <c r="J112" s="24">
        <v>6.4082327361832017E-2</v>
      </c>
      <c r="K112" s="24">
        <v>-6.3468372585976512E-2</v>
      </c>
      <c r="L112" s="24">
        <v>-0.1265927754716191</v>
      </c>
      <c r="M112" s="24">
        <v>-0.4265766977121051</v>
      </c>
      <c r="N112" s="24">
        <v>6.4067613789521458E-2</v>
      </c>
      <c r="O112" s="24">
        <v>-2.2755592994156726</v>
      </c>
      <c r="P112" s="24">
        <v>-0.62987157107223701</v>
      </c>
      <c r="Q112" s="24">
        <v>-0.57601118141579244</v>
      </c>
      <c r="R112" s="24">
        <v>0.71467952838483839</v>
      </c>
      <c r="S112" s="24">
        <v>3.0585768870351961E-3</v>
      </c>
      <c r="T112" s="24">
        <v>-1.233729725329656E-2</v>
      </c>
      <c r="U112" s="24">
        <v>-0.12528741383890019</v>
      </c>
      <c r="V112" s="24">
        <v>0.88464528290359878</v>
      </c>
      <c r="W112" s="24">
        <v>-1.5967891991934535</v>
      </c>
      <c r="X112" s="24">
        <v>-7.6441325575701685E-2</v>
      </c>
      <c r="Y112" s="24">
        <v>-0.78030069938731972</v>
      </c>
      <c r="Z112" s="24">
        <v>0.80518471654222079</v>
      </c>
      <c r="AA112" s="24">
        <v>0.1489338362984752</v>
      </c>
      <c r="AB112" s="24">
        <v>-0.16667420994762802</v>
      </c>
      <c r="AC112" s="24">
        <v>-0.34500721543190582</v>
      </c>
      <c r="AD112" s="24">
        <v>0.12884922303561211</v>
      </c>
      <c r="AE112" s="24">
        <v>0.58368874547619765</v>
      </c>
      <c r="AF112" s="24">
        <v>-0.2661358265029769</v>
      </c>
      <c r="AG112" s="24">
        <v>0.88802853319245756</v>
      </c>
      <c r="AH112" s="24">
        <v>0.32001730029320474</v>
      </c>
      <c r="AI112" s="24">
        <v>0.91720939151845882</v>
      </c>
      <c r="AJ112" s="24">
        <v>-0.51526421135616873</v>
      </c>
      <c r="AK112" s="24">
        <v>0.13075375683178389</v>
      </c>
      <c r="AL112" s="24">
        <v>-0.51011001932854061</v>
      </c>
      <c r="AM112" s="24">
        <v>-8.7316294612486307E-3</v>
      </c>
      <c r="AN112" s="24">
        <v>0.39164708695450168</v>
      </c>
      <c r="AO112" s="24">
        <v>0.7663527875101146</v>
      </c>
      <c r="AP112" s="24">
        <v>1.1538215668740386</v>
      </c>
      <c r="AQ112" s="24">
        <v>-0.81316614313467772</v>
      </c>
      <c r="AR112" s="24">
        <v>1.0375329795673236</v>
      </c>
      <c r="AS112" s="24">
        <v>-1.1751727881431102</v>
      </c>
      <c r="AT112" s="24">
        <v>0.27473928695604843</v>
      </c>
      <c r="AU112" s="24">
        <v>1.1733255340451991</v>
      </c>
      <c r="AV112" s="24">
        <v>-1.2998679419580403</v>
      </c>
      <c r="AW112" s="24">
        <v>0.19223789786394146</v>
      </c>
      <c r="CQ112" s="24">
        <v>0.99872264940119693</v>
      </c>
      <c r="CR112" s="24" t="str">
        <f t="shared" si="7"/>
        <v>1</v>
      </c>
      <c r="CS112" t="str">
        <f ca="1">IF((OFFSET($A$1, 112 - 1, 95 - 1)) &gt;= (OFFSET($A$1, 56 - 1, 7 - 1)), "1","0")</f>
        <v>1</v>
      </c>
      <c r="CT112">
        <f ca="1" xml:space="preserve"> IF( AND( OFFSET($A$1, 112 - 1, 96 - 1) = "1", OFFSET($A$1, 112 - 1, 97 - 1) = "1" ), 1, IF( AND( OFFSET($A$1, 112 - 1, 96 - 1) = "1", OFFSET($A$1, 112 - 1, 97 - 1) = "0" ), 2, IF( AND( OFFSET($A$1, 112 - 1, 96 - 1) = "0", OFFSET($A$1, 112 - 1, 97 - 1) = "1" ), 3, 4 ) ) )</f>
        <v>1</v>
      </c>
      <c r="CV112" s="24">
        <v>0.47398123248220636</v>
      </c>
      <c r="CW112" s="24" t="str">
        <f>"1"</f>
        <v>1</v>
      </c>
      <c r="CX112" t="str">
        <f ca="1">IF((OFFSET($A$1, 112 - 1, 100 - 1)) &gt;= (OFFSET($A$1, 80 - 1, 7 - 1)), "1","0")</f>
        <v>0</v>
      </c>
      <c r="CY112">
        <f ca="1" xml:space="preserve"> IF( AND( OFFSET($A$1, 112 - 1, 101 - 1) = "1", OFFSET($A$1, 112 - 1, 102 - 1) = "1" ), 1, IF( AND( OFFSET($A$1, 112 - 1, 101 - 1) = "1", OFFSET($A$1, 112 - 1, 102 - 1) = "0" ), 2, IF( AND( OFFSET($A$1, 112 - 1, 101 - 1) = "0", OFFSET($A$1, 112 - 1, 102 - 1) = "1" ), 3, 4 ) ) )</f>
        <v>2</v>
      </c>
    </row>
    <row r="113" spans="3:103" ht="13.8" x14ac:dyDescent="0.3">
      <c r="C113" s="26" t="s">
        <v>725</v>
      </c>
      <c r="D113" s="24">
        <v>-0.1583296179909969</v>
      </c>
      <c r="E113" s="24">
        <v>3.4886799330869925E-2</v>
      </c>
      <c r="F113" s="24">
        <v>0.62283805029739059</v>
      </c>
      <c r="G113" s="24">
        <v>0.43859771727274699</v>
      </c>
      <c r="H113" s="24">
        <v>-0.92815768280914401</v>
      </c>
      <c r="I113" s="24">
        <v>0.42549000617662946</v>
      </c>
      <c r="J113" s="24">
        <v>1.0696961296633428E-2</v>
      </c>
      <c r="K113" s="24">
        <v>-0.71428669244163889</v>
      </c>
      <c r="L113" s="24">
        <v>-0.87317448430431466</v>
      </c>
      <c r="M113" s="24">
        <v>-0.34006510024810288</v>
      </c>
      <c r="N113" s="24">
        <v>0.24199911092055049</v>
      </c>
      <c r="O113" s="24">
        <v>-4.3503998377276747E-2</v>
      </c>
      <c r="P113" s="24">
        <v>-0.51224472541889665</v>
      </c>
      <c r="Q113" s="24">
        <v>-0.35403870408810229</v>
      </c>
      <c r="R113" s="24">
        <v>-0.31656870406476223</v>
      </c>
      <c r="S113" s="24">
        <v>-0.14272885156264775</v>
      </c>
      <c r="T113" s="24">
        <v>-0.55798646643425065</v>
      </c>
      <c r="U113" s="24">
        <v>-0.60644471421373081</v>
      </c>
      <c r="V113" s="24">
        <v>-0.33998065767281976</v>
      </c>
      <c r="W113" s="24">
        <v>0.2267987214352559</v>
      </c>
      <c r="X113" s="24">
        <v>0.53942797658363595</v>
      </c>
      <c r="Y113" s="24">
        <v>-0.21716581433037985</v>
      </c>
      <c r="Z113" s="24">
        <v>0.47611886841708057</v>
      </c>
      <c r="AA113" s="24">
        <v>0.37429964178663622</v>
      </c>
      <c r="AB113" s="24">
        <v>0.30979716514138272</v>
      </c>
      <c r="AC113" s="24">
        <v>-0.57075126224094808</v>
      </c>
      <c r="AD113" s="24">
        <v>-0.12991269743692463</v>
      </c>
      <c r="AE113" s="24">
        <v>0.3516029617860556</v>
      </c>
      <c r="AF113" s="24">
        <v>-0.13477502864143334</v>
      </c>
      <c r="AG113" s="24">
        <v>-0.17652172578024167</v>
      </c>
      <c r="AH113" s="24">
        <v>-0.23254534162671703</v>
      </c>
      <c r="AI113" s="24">
        <v>-0.37186248789059412</v>
      </c>
      <c r="AJ113" s="24">
        <v>-0.34716020200490683</v>
      </c>
      <c r="AK113" s="24">
        <v>0.54486826264286869</v>
      </c>
      <c r="AL113" s="24">
        <v>1.8829356987310784E-2</v>
      </c>
      <c r="AM113" s="24">
        <v>-0.69643242296450913</v>
      </c>
      <c r="AN113" s="24">
        <v>-0.27703331314366841</v>
      </c>
      <c r="AO113" s="24">
        <v>0.14191997358249503</v>
      </c>
      <c r="AP113" s="24">
        <v>0.28069194938437886</v>
      </c>
      <c r="AQ113" s="24">
        <v>-2.2367127119625005E-2</v>
      </c>
      <c r="AR113" s="24">
        <v>3.6358106735974796E-2</v>
      </c>
      <c r="AS113" s="24">
        <v>0.347886163914018</v>
      </c>
      <c r="AT113" s="24">
        <v>-0.34507892114773253</v>
      </c>
      <c r="AU113" s="24">
        <v>-0.70294915669426306</v>
      </c>
      <c r="AV113" s="24">
        <v>9.932574732852574E-2</v>
      </c>
      <c r="AW113" s="24">
        <v>0.10443546674861283</v>
      </c>
      <c r="CQ113" s="24">
        <v>0.82922622318041506</v>
      </c>
      <c r="CR113" s="24" t="str">
        <f t="shared" si="7"/>
        <v>1</v>
      </c>
      <c r="CS113" t="str">
        <f ca="1">IF((OFFSET($A$1, 113 - 1, 95 - 1)) &gt;= (OFFSET($A$1, 56 - 1, 7 - 1)), "1","0")</f>
        <v>1</v>
      </c>
      <c r="CT113">
        <f ca="1" xml:space="preserve"> IF( AND( OFFSET($A$1, 113 - 1, 96 - 1) = "1", OFFSET($A$1, 113 - 1, 97 - 1) = "1" ), 1, IF( AND( OFFSET($A$1, 113 - 1, 96 - 1) = "1", OFFSET($A$1, 113 - 1, 97 - 1) = "0" ), 2, IF( AND( OFFSET($A$1, 113 - 1, 96 - 1) = "0", OFFSET($A$1, 113 - 1, 97 - 1) = "1" ), 3, 4 ) ) )</f>
        <v>1</v>
      </c>
      <c r="CV113" s="24">
        <v>1.0795671636051793E-2</v>
      </c>
      <c r="CW113" s="24" t="str">
        <f>"0"</f>
        <v>0</v>
      </c>
      <c r="CX113" t="str">
        <f ca="1">IF((OFFSET($A$1, 113 - 1, 100 - 1)) &gt;= (OFFSET($A$1, 80 - 1, 7 - 1)), "1","0")</f>
        <v>0</v>
      </c>
      <c r="CY113">
        <f ca="1" xml:space="preserve"> IF( AND( OFFSET($A$1, 113 - 1, 101 - 1) = "1", OFFSET($A$1, 113 - 1, 102 - 1) = "1" ), 1, IF( AND( OFFSET($A$1, 113 - 1, 101 - 1) = "1", OFFSET($A$1, 113 - 1, 102 - 1) = "0" ), 2, IF( AND( OFFSET($A$1, 113 - 1, 101 - 1) = "0", OFFSET($A$1, 113 - 1, 102 - 1) = "1" ), 3, 4 ) ) )</f>
        <v>4</v>
      </c>
    </row>
    <row r="114" spans="3:103" ht="13.8" x14ac:dyDescent="0.3">
      <c r="C114" s="26" t="s">
        <v>726</v>
      </c>
      <c r="D114" s="24">
        <v>-0.21320871684506154</v>
      </c>
      <c r="E114" s="24">
        <v>-0.84988633708971506</v>
      </c>
      <c r="F114" s="24">
        <v>0.48667053930553072</v>
      </c>
      <c r="G114" s="24">
        <v>-0.76237270107072308</v>
      </c>
      <c r="H114" s="24">
        <v>-5.0456014636003209E-2</v>
      </c>
      <c r="I114" s="24">
        <v>-0.72590844654828335</v>
      </c>
      <c r="J114" s="24">
        <v>0.84553409942134738</v>
      </c>
      <c r="K114" s="24">
        <v>1.2764840075542914</v>
      </c>
      <c r="L114" s="24">
        <v>-0.4113509695617999</v>
      </c>
      <c r="M114" s="24">
        <v>0.56160951042310792</v>
      </c>
      <c r="N114" s="24">
        <v>0.1757899801895744</v>
      </c>
      <c r="O114" s="24">
        <v>-0.56669573563667219</v>
      </c>
      <c r="P114" s="24">
        <v>0.743732497946474</v>
      </c>
      <c r="Q114" s="24">
        <v>0.19113890940195491</v>
      </c>
      <c r="R114" s="24">
        <v>5.3202403009055786E-2</v>
      </c>
      <c r="S114" s="24">
        <v>-0.90749317734878077</v>
      </c>
      <c r="T114" s="24">
        <v>-0.52684180722658069</v>
      </c>
      <c r="U114" s="24">
        <v>-2.9128034347639952E-2</v>
      </c>
      <c r="V114" s="24">
        <v>2.1414810487610691E-2</v>
      </c>
      <c r="W114" s="24">
        <v>0.92372974848508282</v>
      </c>
      <c r="X114" s="24">
        <v>0.76750981390246908</v>
      </c>
      <c r="Y114" s="24">
        <v>0.37607388791740659</v>
      </c>
      <c r="Z114" s="24">
        <v>4.3565480365340151E-2</v>
      </c>
      <c r="AA114" s="24">
        <v>0.27412266912767008</v>
      </c>
      <c r="AB114" s="24">
        <v>0.26870175680337433</v>
      </c>
      <c r="AC114" s="24">
        <v>0.20837498197496412</v>
      </c>
      <c r="AD114" s="24">
        <v>-0.34854626871187144</v>
      </c>
      <c r="AE114" s="24">
        <v>-0.26365356411080931</v>
      </c>
      <c r="AF114" s="24">
        <v>0.59033939728963625</v>
      </c>
      <c r="AG114" s="24">
        <v>-0.47539051706030405</v>
      </c>
      <c r="AH114" s="24">
        <v>0.58746677678632098</v>
      </c>
      <c r="AI114" s="24">
        <v>0.23421320623512054</v>
      </c>
      <c r="AJ114" s="24">
        <v>5.7125387690639247E-2</v>
      </c>
      <c r="AK114" s="24">
        <v>-6.9734990447502532E-2</v>
      </c>
      <c r="AL114" s="24">
        <v>0.46839118553494646</v>
      </c>
      <c r="AM114" s="24">
        <v>-0.28904458216685386</v>
      </c>
      <c r="AN114" s="24">
        <v>-0.49727910609405274</v>
      </c>
      <c r="AO114" s="24">
        <v>0.48615371698677029</v>
      </c>
      <c r="AP114" s="24">
        <v>0.33323447449298077</v>
      </c>
      <c r="AQ114" s="24">
        <v>0.15130863690063384</v>
      </c>
      <c r="AR114" s="24">
        <v>0.49892913820272561</v>
      </c>
      <c r="AS114" s="24">
        <v>-1.9525953488773336E-2</v>
      </c>
      <c r="AT114" s="24">
        <v>-3.5722744121558916E-2</v>
      </c>
      <c r="AU114" s="24">
        <v>0.19452308595234194</v>
      </c>
      <c r="AV114" s="24">
        <v>4.8126690663618955E-3</v>
      </c>
      <c r="AW114" s="24">
        <v>-0.8394020121328678</v>
      </c>
      <c r="CQ114" s="24">
        <v>0.99996820809244868</v>
      </c>
      <c r="CR114" s="24" t="str">
        <f t="shared" si="7"/>
        <v>1</v>
      </c>
      <c r="CS114" t="str">
        <f ca="1">IF((OFFSET($A$1, 114 - 1, 95 - 1)) &gt;= (OFFSET($A$1, 56 - 1, 7 - 1)), "1","0")</f>
        <v>1</v>
      </c>
      <c r="CT114">
        <f ca="1" xml:space="preserve"> IF( AND( OFFSET($A$1, 114 - 1, 96 - 1) = "1", OFFSET($A$1, 114 - 1, 97 - 1) = "1" ), 1, IF( AND( OFFSET($A$1, 114 - 1, 96 - 1) = "1", OFFSET($A$1, 114 - 1, 97 - 1) = "0" ), 2, IF( AND( OFFSET($A$1, 114 - 1, 96 - 1) = "0", OFFSET($A$1, 114 - 1, 97 - 1) = "1" ), 3, 4 ) ) )</f>
        <v>1</v>
      </c>
      <c r="CV114" s="24">
        <v>0.99980622485998893</v>
      </c>
      <c r="CW114" s="24" t="str">
        <f>"1"</f>
        <v>1</v>
      </c>
      <c r="CX114" t="str">
        <f ca="1">IF((OFFSET($A$1, 114 - 1, 100 - 1)) &gt;= (OFFSET($A$1, 80 - 1, 7 - 1)), "1","0")</f>
        <v>1</v>
      </c>
      <c r="CY114">
        <f ca="1" xml:space="preserve"> IF( AND( OFFSET($A$1, 114 - 1, 101 - 1) = "1", OFFSET($A$1, 114 - 1, 102 - 1) = "1" ), 1, IF( AND( OFFSET($A$1, 114 - 1, 101 - 1) = "1", OFFSET($A$1, 114 - 1, 102 - 1) = "0" ), 2, IF( AND( OFFSET($A$1, 114 - 1, 101 - 1) = "0", OFFSET($A$1, 114 - 1, 102 - 1) = "1" ), 3, 4 ) ) )</f>
        <v>1</v>
      </c>
    </row>
    <row r="115" spans="3:103" ht="13.8" x14ac:dyDescent="0.3">
      <c r="C115" s="26" t="s">
        <v>727</v>
      </c>
      <c r="D115" s="24">
        <v>0.4533370200101261</v>
      </c>
      <c r="E115" s="24">
        <v>0.18890548596008272</v>
      </c>
      <c r="F115" s="24">
        <v>0.47437537939182678</v>
      </c>
      <c r="G115" s="24">
        <v>-1.1713106411441088</v>
      </c>
      <c r="H115" s="24">
        <v>-0.97388253126896884</v>
      </c>
      <c r="I115" s="24">
        <v>0.33412315212795368</v>
      </c>
      <c r="J115" s="24">
        <v>0.91605156839411639</v>
      </c>
      <c r="K115" s="24">
        <v>1.1173914555875029</v>
      </c>
      <c r="L115" s="24">
        <v>-0.10845249641110873</v>
      </c>
      <c r="M115" s="24">
        <v>0.13189052949601346</v>
      </c>
      <c r="N115" s="24">
        <v>-1.8081502499729819E-2</v>
      </c>
      <c r="O115" s="24">
        <v>-0.60401565321156969</v>
      </c>
      <c r="P115" s="24">
        <v>-0.52544108100698583</v>
      </c>
      <c r="Q115" s="24">
        <v>-0.68320139729582363</v>
      </c>
      <c r="R115" s="24">
        <v>-1.2877761120352476</v>
      </c>
      <c r="S115" s="24">
        <v>-0.14994661560365558</v>
      </c>
      <c r="T115" s="24">
        <v>0.37236258051205512</v>
      </c>
      <c r="U115" s="24">
        <v>-0.32436269146269742</v>
      </c>
      <c r="V115" s="24">
        <v>-0.26277910958610168</v>
      </c>
      <c r="W115" s="24">
        <v>1.0648031280827548</v>
      </c>
      <c r="X115" s="24">
        <v>0.22820616132888005</v>
      </c>
      <c r="Y115" s="24">
        <v>-0.37920032250476848</v>
      </c>
      <c r="Z115" s="24">
        <v>-1.4689389518080329</v>
      </c>
      <c r="AA115" s="24">
        <v>9.3035212838605913E-2</v>
      </c>
      <c r="AB115" s="24">
        <v>0.35583682995485982</v>
      </c>
      <c r="AC115" s="24">
        <v>1.8982264424465656</v>
      </c>
      <c r="AD115" s="24">
        <v>-0.9351939502427935</v>
      </c>
      <c r="AE115" s="24">
        <v>0.39194307694755576</v>
      </c>
      <c r="AF115" s="24">
        <v>0.29142662729664748</v>
      </c>
      <c r="AG115" s="24">
        <v>-1.3233205984757173</v>
      </c>
      <c r="AH115" s="24">
        <v>0.57452934063546379</v>
      </c>
      <c r="AI115" s="24">
        <v>-1.5603786102400892</v>
      </c>
      <c r="AJ115" s="24">
        <v>1.4152923777700988</v>
      </c>
      <c r="AK115" s="24">
        <v>-9.6722862834178386E-2</v>
      </c>
      <c r="AL115" s="24">
        <v>-0.50311565980803219</v>
      </c>
      <c r="AM115" s="24">
        <v>-0.11692059560742864</v>
      </c>
      <c r="AN115" s="24">
        <v>0.66223901127506135</v>
      </c>
      <c r="AO115" s="24">
        <v>-1.1559253776507477</v>
      </c>
      <c r="AP115" s="24">
        <v>0.57156198764014754</v>
      </c>
      <c r="AQ115" s="24">
        <v>-2.1887726035849382E-2</v>
      </c>
      <c r="AR115" s="24">
        <v>1.4842023459810489</v>
      </c>
      <c r="AS115" s="24">
        <v>0.89776789324885165</v>
      </c>
      <c r="AT115" s="24">
        <v>0.79362528851102709</v>
      </c>
      <c r="AU115" s="24">
        <v>-1.0298731625271824</v>
      </c>
      <c r="AV115" s="24">
        <v>1.1261534354067146</v>
      </c>
      <c r="AW115" s="24">
        <v>0.26623048604963612</v>
      </c>
      <c r="CQ115" s="24">
        <v>0.99930353090711055</v>
      </c>
      <c r="CR115" s="24" t="str">
        <f t="shared" si="7"/>
        <v>1</v>
      </c>
      <c r="CS115" t="str">
        <f ca="1">IF((OFFSET($A$1, 115 - 1, 95 - 1)) &gt;= (OFFSET($A$1, 56 - 1, 7 - 1)), "1","0")</f>
        <v>1</v>
      </c>
      <c r="CT115">
        <f ca="1" xml:space="preserve"> IF( AND( OFFSET($A$1, 115 - 1, 96 - 1) = "1", OFFSET($A$1, 115 - 1, 97 - 1) = "1" ), 1, IF( AND( OFFSET($A$1, 115 - 1, 96 - 1) = "1", OFFSET($A$1, 115 - 1, 97 - 1) = "0" ), 2, IF( AND( OFFSET($A$1, 115 - 1, 96 - 1) = "0", OFFSET($A$1, 115 - 1, 97 - 1) = "1" ), 3, 4 ) ) )</f>
        <v>1</v>
      </c>
      <c r="CV115" s="24">
        <v>0.99981965463132538</v>
      </c>
      <c r="CW115" s="24" t="str">
        <f>"1"</f>
        <v>1</v>
      </c>
      <c r="CX115" t="str">
        <f ca="1">IF((OFFSET($A$1, 115 - 1, 100 - 1)) &gt;= (OFFSET($A$1, 80 - 1, 7 - 1)), "1","0")</f>
        <v>1</v>
      </c>
      <c r="CY115">
        <f ca="1" xml:space="preserve"> IF( AND( OFFSET($A$1, 115 - 1, 101 - 1) = "1", OFFSET($A$1, 115 - 1, 102 - 1) = "1" ), 1, IF( AND( OFFSET($A$1, 115 - 1, 101 - 1) = "1", OFFSET($A$1, 115 - 1, 102 - 1) = "0" ), 2, IF( AND( OFFSET($A$1, 115 - 1, 101 - 1) = "0", OFFSET($A$1, 115 - 1, 102 - 1) = "1" ), 3, 4 ) ) )</f>
        <v>1</v>
      </c>
    </row>
    <row r="116" spans="3:103" ht="13.8" x14ac:dyDescent="0.3">
      <c r="C116" s="26" t="s">
        <v>728</v>
      </c>
      <c r="D116" s="24">
        <v>0.21878710178939165</v>
      </c>
      <c r="E116" s="24">
        <v>-1.1235831886408947</v>
      </c>
      <c r="F116" s="24">
        <v>0.29338456565782095</v>
      </c>
      <c r="G116" s="24">
        <v>-0.4107416098434396</v>
      </c>
      <c r="H116" s="24">
        <v>1.2347120399675946</v>
      </c>
      <c r="I116" s="24">
        <v>9.5779178784864277E-2</v>
      </c>
      <c r="J116" s="24">
        <v>1.2564861441956074</v>
      </c>
      <c r="K116" s="24">
        <v>-0.32963574834081444</v>
      </c>
      <c r="L116" s="24">
        <v>-0.61561393123585761</v>
      </c>
      <c r="M116" s="24">
        <v>-1.2864261355626083</v>
      </c>
      <c r="N116" s="24">
        <v>0.52412258468926898</v>
      </c>
      <c r="O116" s="24">
        <v>-0.46957428114634131</v>
      </c>
      <c r="P116" s="24">
        <v>-0.71726871144105819</v>
      </c>
      <c r="Q116" s="24">
        <v>-0.69483640943918501</v>
      </c>
      <c r="R116" s="24">
        <v>-1.7364432747710346</v>
      </c>
      <c r="S116" s="24">
        <v>0.94888625215263467</v>
      </c>
      <c r="T116" s="24">
        <v>-0.32644338747681012</v>
      </c>
      <c r="U116" s="24">
        <v>0.14188799391576173</v>
      </c>
      <c r="V116" s="24">
        <v>0.35812892325329004</v>
      </c>
      <c r="W116" s="24">
        <v>-0.79875979181840617</v>
      </c>
      <c r="X116" s="24">
        <v>0.53888196925967036</v>
      </c>
      <c r="Y116" s="24">
        <v>-1.6817923545090085</v>
      </c>
      <c r="Z116" s="24">
        <v>0.15947504743570479</v>
      </c>
      <c r="AA116" s="24">
        <v>0.92082434609557096</v>
      </c>
      <c r="AB116" s="24">
        <v>-1.2296954915383405</v>
      </c>
      <c r="AC116" s="24">
        <v>9.1124470238442043E-2</v>
      </c>
      <c r="AD116" s="24">
        <v>0.20372526744481287</v>
      </c>
      <c r="AE116" s="24">
        <v>-0.18563063196172172</v>
      </c>
      <c r="AF116" s="24">
        <v>-0.66826182201460427</v>
      </c>
      <c r="AG116" s="24">
        <v>-2.733320037573267E-3</v>
      </c>
      <c r="AH116" s="24">
        <v>1.1185185642270712</v>
      </c>
      <c r="AI116" s="24">
        <v>-0.81803658524816503</v>
      </c>
      <c r="AJ116" s="24">
        <v>-1.8823627226807422</v>
      </c>
      <c r="AK116" s="24">
        <v>-1.0080947530302735</v>
      </c>
      <c r="AL116" s="24">
        <v>0.15047577596064382</v>
      </c>
      <c r="AM116" s="24">
        <v>-0.24270815262973341</v>
      </c>
      <c r="AN116" s="24">
        <v>-0.18655482152369177</v>
      </c>
      <c r="AO116" s="24">
        <v>-1.4451110945831771</v>
      </c>
      <c r="AP116" s="24">
        <v>0.2703426411330041</v>
      </c>
      <c r="AQ116" s="24">
        <v>0.43821293473989442</v>
      </c>
      <c r="AR116" s="24">
        <v>-0.64197194472755081</v>
      </c>
      <c r="AS116" s="24">
        <v>-1.783615715050906</v>
      </c>
      <c r="AT116" s="24">
        <v>-0.23783137221042286</v>
      </c>
      <c r="AU116" s="24">
        <v>-0.76735765813750123</v>
      </c>
      <c r="AV116" s="24">
        <v>0.21888256905321599</v>
      </c>
      <c r="AW116" s="24">
        <v>0.3950914718186172</v>
      </c>
      <c r="CQ116" s="24">
        <v>0.99979202952950075</v>
      </c>
      <c r="CR116" s="24" t="str">
        <f t="shared" si="7"/>
        <v>1</v>
      </c>
      <c r="CS116" t="str">
        <f ca="1">IF((OFFSET($A$1, 116 - 1, 95 - 1)) &gt;= (OFFSET($A$1, 56 - 1, 7 - 1)), "1","0")</f>
        <v>1</v>
      </c>
      <c r="CT116">
        <f ca="1" xml:space="preserve"> IF( AND( OFFSET($A$1, 116 - 1, 96 - 1) = "1", OFFSET($A$1, 116 - 1, 97 - 1) = "1" ), 1, IF( AND( OFFSET($A$1, 116 - 1, 96 - 1) = "1", OFFSET($A$1, 116 - 1, 97 - 1) = "0" ), 2, IF( AND( OFFSET($A$1, 116 - 1, 96 - 1) = "0", OFFSET($A$1, 116 - 1, 97 - 1) = "1" ), 3, 4 ) ) )</f>
        <v>1</v>
      </c>
      <c r="CV116" s="24">
        <v>0.78641965994856911</v>
      </c>
      <c r="CW116" s="24" t="str">
        <f>"0"</f>
        <v>0</v>
      </c>
      <c r="CX116" t="str">
        <f ca="1">IF((OFFSET($A$1, 116 - 1, 100 - 1)) &gt;= (OFFSET($A$1, 80 - 1, 7 - 1)), "1","0")</f>
        <v>1</v>
      </c>
      <c r="CY116">
        <f ca="1" xml:space="preserve"> IF( AND( OFFSET($A$1, 116 - 1, 101 - 1) = "1", OFFSET($A$1, 116 - 1, 102 - 1) = "1" ), 1, IF( AND( OFFSET($A$1, 116 - 1, 101 - 1) = "1", OFFSET($A$1, 116 - 1, 102 - 1) = "0" ), 2, IF( AND( OFFSET($A$1, 116 - 1, 101 - 1) = "0", OFFSET($A$1, 116 - 1, 102 - 1) = "1" ), 3, 4 ) ) )</f>
        <v>3</v>
      </c>
    </row>
    <row r="117" spans="3:103" ht="13.8" x14ac:dyDescent="0.3">
      <c r="C117" s="26" t="s">
        <v>729</v>
      </c>
      <c r="D117" s="24">
        <v>0.49352538148076786</v>
      </c>
      <c r="E117" s="24">
        <v>-0.39483807236709462</v>
      </c>
      <c r="F117" s="24">
        <v>0.60418176082417308</v>
      </c>
      <c r="G117" s="24">
        <v>-0.26114482973520281</v>
      </c>
      <c r="H117" s="24">
        <v>0.15930863120121042</v>
      </c>
      <c r="I117" s="24">
        <v>-0.31749481572976246</v>
      </c>
      <c r="J117" s="24">
        <v>-0.60360759207584624</v>
      </c>
      <c r="K117" s="24">
        <v>0.89349486723937188</v>
      </c>
      <c r="L117" s="24">
        <v>0.65608906853803839</v>
      </c>
      <c r="M117" s="24">
        <v>1.575642754778307</v>
      </c>
      <c r="N117" s="24">
        <v>0.94469592571932204</v>
      </c>
      <c r="O117" s="24">
        <v>-0.94164334283082973</v>
      </c>
      <c r="P117" s="24">
        <v>0.25663546987692099</v>
      </c>
      <c r="Q117" s="24">
        <v>0.45091569448856161</v>
      </c>
      <c r="R117" s="24">
        <v>0.7647370367658437</v>
      </c>
      <c r="S117" s="24">
        <v>-0.14171090654028129</v>
      </c>
      <c r="T117" s="24">
        <v>-6.4402365620565338E-2</v>
      </c>
      <c r="U117" s="24">
        <v>1.194111449745626</v>
      </c>
      <c r="V117" s="24">
        <v>0.22142836876318017</v>
      </c>
      <c r="W117" s="24">
        <v>-0.2520656545764568</v>
      </c>
      <c r="X117" s="24">
        <v>-0.43391255055357436</v>
      </c>
      <c r="Y117" s="24">
        <v>-0.15730941674473153</v>
      </c>
      <c r="Z117" s="24">
        <v>-0.43923949202599954</v>
      </c>
      <c r="AA117" s="24">
        <v>-0.33214432567422914</v>
      </c>
      <c r="AB117" s="24">
        <v>-0.33853150062689968</v>
      </c>
      <c r="AC117" s="24">
        <v>0.63668163526549804</v>
      </c>
      <c r="AD117" s="24">
        <v>-0.32059822299731133</v>
      </c>
      <c r="AE117" s="24">
        <v>0.45583298884082712</v>
      </c>
      <c r="AF117" s="24">
        <v>0.61822423780777913</v>
      </c>
      <c r="AG117" s="24">
        <v>-0.15578645968276383</v>
      </c>
      <c r="AH117" s="24">
        <v>0.15333797533399468</v>
      </c>
      <c r="AI117" s="24">
        <v>-3.4483102165568068E-2</v>
      </c>
      <c r="AJ117" s="24">
        <v>-0.10873774958002884</v>
      </c>
      <c r="AK117" s="24">
        <v>0.88442618702551345</v>
      </c>
      <c r="AL117" s="24">
        <v>-0.308995788930364</v>
      </c>
      <c r="AM117" s="24">
        <v>0.74181123008422867</v>
      </c>
      <c r="AN117" s="24">
        <v>0.27833033003248137</v>
      </c>
      <c r="AO117" s="24">
        <v>0.95567612726097118</v>
      </c>
      <c r="AP117" s="24">
        <v>-0.50428846189242127</v>
      </c>
      <c r="AQ117" s="24">
        <v>-1.0464315631225849</v>
      </c>
      <c r="AR117" s="24">
        <v>1.1652958469490009</v>
      </c>
      <c r="AS117" s="24">
        <v>-1.6482485519032697</v>
      </c>
      <c r="AT117" s="24">
        <v>0.34964754781457097</v>
      </c>
      <c r="AU117" s="24">
        <v>2.1364323466075735E-2</v>
      </c>
      <c r="AV117" s="24">
        <v>0.13338470606653902</v>
      </c>
      <c r="AW117" s="24">
        <v>0.2180854215213571</v>
      </c>
      <c r="CQ117" s="24">
        <v>0.99923606381832175</v>
      </c>
      <c r="CR117" s="24" t="str">
        <f t="shared" si="7"/>
        <v>1</v>
      </c>
      <c r="CS117" t="str">
        <f ca="1">IF((OFFSET($A$1, 117 - 1, 95 - 1)) &gt;= (OFFSET($A$1, 56 - 1, 7 - 1)), "1","0")</f>
        <v>1</v>
      </c>
      <c r="CT117">
        <f ca="1" xml:space="preserve"> IF( AND( OFFSET($A$1, 117 - 1, 96 - 1) = "1", OFFSET($A$1, 117 - 1, 97 - 1) = "1" ), 1, IF( AND( OFFSET($A$1, 117 - 1, 96 - 1) = "1", OFFSET($A$1, 117 - 1, 97 - 1) = "0" ), 2, IF( AND( OFFSET($A$1, 117 - 1, 96 - 1) = "0", OFFSET($A$1, 117 - 1, 97 - 1) = "1" ), 3, 4 ) ) )</f>
        <v>1</v>
      </c>
      <c r="CV117" s="24">
        <v>0.99681278880143998</v>
      </c>
      <c r="CW117" s="24" t="str">
        <f>"0"</f>
        <v>0</v>
      </c>
      <c r="CX117" t="str">
        <f ca="1">IF((OFFSET($A$1, 117 - 1, 100 - 1)) &gt;= (OFFSET($A$1, 80 - 1, 7 - 1)), "1","0")</f>
        <v>1</v>
      </c>
      <c r="CY117">
        <f ca="1" xml:space="preserve"> IF( AND( OFFSET($A$1, 117 - 1, 101 - 1) = "1", OFFSET($A$1, 117 - 1, 102 - 1) = "1" ), 1, IF( AND( OFFSET($A$1, 117 - 1, 101 - 1) = "1", OFFSET($A$1, 117 - 1, 102 - 1) = "0" ), 2, IF( AND( OFFSET($A$1, 117 - 1, 101 - 1) = "0", OFFSET($A$1, 117 - 1, 102 - 1) = "1" ), 3, 4 ) ) )</f>
        <v>3</v>
      </c>
    </row>
    <row r="118" spans="3:103" ht="13.8" x14ac:dyDescent="0.3">
      <c r="C118" s="26" t="s">
        <v>730</v>
      </c>
      <c r="D118" s="24">
        <v>-0.78304231909651145</v>
      </c>
      <c r="E118" s="24">
        <v>-0.47877671851028597</v>
      </c>
      <c r="F118" s="24">
        <v>0.98896353491536404</v>
      </c>
      <c r="G118" s="24">
        <v>0.58534355321635079</v>
      </c>
      <c r="H118" s="24">
        <v>-0.21775080494389851</v>
      </c>
      <c r="I118" s="24">
        <v>-1.677103681267381</v>
      </c>
      <c r="J118" s="24">
        <v>0.96537643406694473</v>
      </c>
      <c r="K118" s="24">
        <v>3.0651044140751045E-2</v>
      </c>
      <c r="L118" s="24">
        <v>-0.36383204551665582</v>
      </c>
      <c r="M118" s="24">
        <v>0.43010742337044866</v>
      </c>
      <c r="N118" s="24">
        <v>1.6811043486386767</v>
      </c>
      <c r="O118" s="24">
        <v>-0.46792526825534358</v>
      </c>
      <c r="P118" s="24">
        <v>-0.45447703945982471</v>
      </c>
      <c r="Q118" s="24">
        <v>0.10019912847254418</v>
      </c>
      <c r="R118" s="24">
        <v>0.17846988803920638</v>
      </c>
      <c r="S118" s="24">
        <v>-1.1091406769419219</v>
      </c>
      <c r="T118" s="24">
        <v>0.29003371512113257</v>
      </c>
      <c r="U118" s="24">
        <v>-0.22535422663184337</v>
      </c>
      <c r="V118" s="24">
        <v>-0.33638538106981253</v>
      </c>
      <c r="W118" s="24">
        <v>1.0779726777421157</v>
      </c>
      <c r="X118" s="24">
        <v>1.3669665813406857</v>
      </c>
      <c r="Y118" s="24">
        <v>-1.1711657349059412</v>
      </c>
      <c r="Z118" s="24">
        <v>-0.8632159098766472</v>
      </c>
      <c r="AA118" s="24">
        <v>0.80184805327354369</v>
      </c>
      <c r="AB118" s="24">
        <v>-0.55354461502194596</v>
      </c>
      <c r="AC118" s="24">
        <v>-1.2815121204383806</v>
      </c>
      <c r="AD118" s="24">
        <v>0.80913238105506569</v>
      </c>
      <c r="AE118" s="24">
        <v>0.30923041742337581</v>
      </c>
      <c r="AF118" s="24">
        <v>-0.39173487365962462</v>
      </c>
      <c r="AG118" s="24">
        <v>-0.56844456999189008</v>
      </c>
      <c r="AH118" s="24">
        <v>-1.5276232036537452</v>
      </c>
      <c r="AI118" s="24">
        <v>-0.13919214533756671</v>
      </c>
      <c r="AJ118" s="24">
        <v>0.58398258136473769</v>
      </c>
      <c r="AK118" s="24">
        <v>0.17995818062485944</v>
      </c>
      <c r="AL118" s="24">
        <v>0.54926690948363777</v>
      </c>
      <c r="AM118" s="24">
        <v>1.1803978472962333</v>
      </c>
      <c r="AN118" s="24">
        <v>-0.87505311229344496</v>
      </c>
      <c r="AO118" s="24">
        <v>-9.4711645702667532E-2</v>
      </c>
      <c r="AP118" s="24">
        <v>-0.22156614442738418</v>
      </c>
      <c r="AQ118" s="24">
        <v>-0.74903228708275871</v>
      </c>
      <c r="AR118" s="24">
        <v>0.36797048794939691</v>
      </c>
      <c r="AS118" s="24">
        <v>1.0158192358731375</v>
      </c>
      <c r="AT118" s="24">
        <v>0.67655950008162524</v>
      </c>
      <c r="AU118" s="24">
        <v>1.0396987770341519</v>
      </c>
      <c r="AV118" s="24">
        <v>-0.2291966944237567</v>
      </c>
      <c r="AW118" s="24">
        <v>-0.33931469140225456</v>
      </c>
      <c r="CQ118" s="24">
        <v>0.85618465461178495</v>
      </c>
      <c r="CR118" s="24" t="str">
        <f t="shared" si="7"/>
        <v>1</v>
      </c>
      <c r="CS118" t="str">
        <f ca="1">IF((OFFSET($A$1, 118 - 1, 95 - 1)) &gt;= (OFFSET($A$1, 56 - 1, 7 - 1)), "1","0")</f>
        <v>1</v>
      </c>
      <c r="CT118">
        <f ca="1" xml:space="preserve"> IF( AND( OFFSET($A$1, 118 - 1, 96 - 1) = "1", OFFSET($A$1, 118 - 1, 97 - 1) = "1" ), 1, IF( AND( OFFSET($A$1, 118 - 1, 96 - 1) = "1", OFFSET($A$1, 118 - 1, 97 - 1) = "0" ), 2, IF( AND( OFFSET($A$1, 118 - 1, 96 - 1) = "0", OFFSET($A$1, 118 - 1, 97 - 1) = "1" ), 3, 4 ) ) )</f>
        <v>1</v>
      </c>
      <c r="CV118" s="24">
        <v>0.1047868269426835</v>
      </c>
      <c r="CW118" s="24" t="str">
        <f>"0"</f>
        <v>0</v>
      </c>
      <c r="CX118" t="str">
        <f ca="1">IF((OFFSET($A$1, 118 - 1, 100 - 1)) &gt;= (OFFSET($A$1, 80 - 1, 7 - 1)), "1","0")</f>
        <v>0</v>
      </c>
      <c r="CY118">
        <f ca="1" xml:space="preserve"> IF( AND( OFFSET($A$1, 118 - 1, 101 - 1) = "1", OFFSET($A$1, 118 - 1, 102 - 1) = "1" ), 1, IF( AND( OFFSET($A$1, 118 - 1, 101 - 1) = "1", OFFSET($A$1, 118 - 1, 102 - 1) = "0" ), 2, IF( AND( OFFSET($A$1, 118 - 1, 101 - 1) = "0", OFFSET($A$1, 118 - 1, 102 - 1) = "1" ), 3, 4 ) ) )</f>
        <v>4</v>
      </c>
    </row>
    <row r="119" spans="3:103" ht="13.8" x14ac:dyDescent="0.3">
      <c r="CQ119" s="24">
        <v>0.63803930862651137</v>
      </c>
      <c r="CR119" s="24" t="str">
        <f t="shared" si="7"/>
        <v>1</v>
      </c>
      <c r="CS119" t="str">
        <f ca="1">IF((OFFSET($A$1, 119 - 1, 95 - 1)) &gt;= (OFFSET($A$1, 56 - 1, 7 - 1)), "1","0")</f>
        <v>1</v>
      </c>
      <c r="CT119">
        <f ca="1" xml:space="preserve"> IF( AND( OFFSET($A$1, 119 - 1, 96 - 1) = "1", OFFSET($A$1, 119 - 1, 97 - 1) = "1" ), 1, IF( AND( OFFSET($A$1, 119 - 1, 96 - 1) = "1", OFFSET($A$1, 119 - 1, 97 - 1) = "0" ), 2, IF( AND( OFFSET($A$1, 119 - 1, 96 - 1) = "0", OFFSET($A$1, 119 - 1, 97 - 1) = "1" ), 3, 4 ) ) )</f>
        <v>1</v>
      </c>
      <c r="CV119" s="24">
        <v>0.99489085707422742</v>
      </c>
      <c r="CW119" s="24" t="str">
        <f t="shared" ref="CW119:CW124" si="8">"1"</f>
        <v>1</v>
      </c>
      <c r="CX119" t="str">
        <f ca="1">IF((OFFSET($A$1, 119 - 1, 100 - 1)) &gt;= (OFFSET($A$1, 80 - 1, 7 - 1)), "1","0")</f>
        <v>1</v>
      </c>
      <c r="CY119">
        <f ca="1" xml:space="preserve"> IF( AND( OFFSET($A$1, 119 - 1, 101 - 1) = "1", OFFSET($A$1, 119 - 1, 102 - 1) = "1" ), 1, IF( AND( OFFSET($A$1, 119 - 1, 101 - 1) = "1", OFFSET($A$1, 119 - 1, 102 - 1) = "0" ), 2, IF( AND( OFFSET($A$1, 119 - 1, 101 - 1) = "0", OFFSET($A$1, 119 - 1, 102 - 1) = "1" ), 3, 4 ) ) )</f>
        <v>1</v>
      </c>
    </row>
    <row r="120" spans="3:103" ht="13.8" x14ac:dyDescent="0.3">
      <c r="CQ120" s="24">
        <v>0.98182124795432413</v>
      </c>
      <c r="CR120" s="24" t="str">
        <f t="shared" si="7"/>
        <v>1</v>
      </c>
      <c r="CS120" t="str">
        <f ca="1">IF((OFFSET($A$1, 120 - 1, 95 - 1)) &gt;= (OFFSET($A$1, 56 - 1, 7 - 1)), "1","0")</f>
        <v>1</v>
      </c>
      <c r="CT120">
        <f ca="1" xml:space="preserve"> IF( AND( OFFSET($A$1, 120 - 1, 96 - 1) = "1", OFFSET($A$1, 120 - 1, 97 - 1) = "1" ), 1, IF( AND( OFFSET($A$1, 120 - 1, 96 - 1) = "1", OFFSET($A$1, 120 - 1, 97 - 1) = "0" ), 2, IF( AND( OFFSET($A$1, 120 - 1, 96 - 1) = "0", OFFSET($A$1, 120 - 1, 97 - 1) = "1" ), 3, 4 ) ) )</f>
        <v>1</v>
      </c>
      <c r="CV120" s="24">
        <v>0.99719220306791589</v>
      </c>
      <c r="CW120" s="24" t="str">
        <f t="shared" si="8"/>
        <v>1</v>
      </c>
      <c r="CX120" t="str">
        <f ca="1">IF((OFFSET($A$1, 120 - 1, 100 - 1)) &gt;= (OFFSET($A$1, 80 - 1, 7 - 1)), "1","0")</f>
        <v>1</v>
      </c>
      <c r="CY120">
        <f ca="1" xml:space="preserve"> IF( AND( OFFSET($A$1, 120 - 1, 101 - 1) = "1", OFFSET($A$1, 120 - 1, 102 - 1) = "1" ), 1, IF( AND( OFFSET($A$1, 120 - 1, 101 - 1) = "1", OFFSET($A$1, 120 - 1, 102 - 1) = "0" ), 2, IF( AND( OFFSET($A$1, 120 - 1, 101 - 1) = "0", OFFSET($A$1, 120 - 1, 102 - 1) = "1" ), 3, 4 ) ) )</f>
        <v>1</v>
      </c>
    </row>
    <row r="121" spans="3:103" ht="13.8" x14ac:dyDescent="0.3">
      <c r="D121" s="77" t="s">
        <v>717</v>
      </c>
      <c r="E121" s="77"/>
      <c r="F121" s="77"/>
      <c r="G121" s="77"/>
      <c r="H121" s="77"/>
      <c r="I121" s="77"/>
      <c r="J121" s="77"/>
      <c r="K121" s="77"/>
      <c r="L121" s="77"/>
      <c r="M121" s="77"/>
      <c r="N121" s="77"/>
      <c r="O121" s="77"/>
      <c r="P121" s="77"/>
      <c r="Q121" s="77"/>
      <c r="CQ121" s="24">
        <v>0.83917502309717018</v>
      </c>
      <c r="CR121" s="24" t="str">
        <f t="shared" si="7"/>
        <v>1</v>
      </c>
      <c r="CS121" t="str">
        <f ca="1">IF((OFFSET($A$1, 121 - 1, 95 - 1)) &gt;= (OFFSET($A$1, 56 - 1, 7 - 1)), "1","0")</f>
        <v>1</v>
      </c>
      <c r="CT121">
        <f ca="1" xml:space="preserve"> IF( AND( OFFSET($A$1, 121 - 1, 96 - 1) = "1", OFFSET($A$1, 121 - 1, 97 - 1) = "1" ), 1, IF( AND( OFFSET($A$1, 121 - 1, 96 - 1) = "1", OFFSET($A$1, 121 - 1, 97 - 1) = "0" ), 2, IF( AND( OFFSET($A$1, 121 - 1, 96 - 1) = "0", OFFSET($A$1, 121 - 1, 97 - 1) = "1" ), 3, 4 ) ) )</f>
        <v>1</v>
      </c>
      <c r="CV121" s="24">
        <v>0.4019543242002977</v>
      </c>
      <c r="CW121" s="24" t="str">
        <f t="shared" si="8"/>
        <v>1</v>
      </c>
      <c r="CX121" t="str">
        <f ca="1">IF((OFFSET($A$1, 121 - 1, 100 - 1)) &gt;= (OFFSET($A$1, 80 - 1, 7 - 1)), "1","0")</f>
        <v>0</v>
      </c>
      <c r="CY121">
        <f ca="1" xml:space="preserve"> IF( AND( OFFSET($A$1, 121 - 1, 101 - 1) = "1", OFFSET($A$1, 121 - 1, 102 - 1) = "1" ), 1, IF( AND( OFFSET($A$1, 121 - 1, 101 - 1) = "1", OFFSET($A$1, 121 - 1, 102 - 1) = "0" ), 2, IF( AND( OFFSET($A$1, 121 - 1, 101 - 1) = "0", OFFSET($A$1, 121 - 1, 102 - 1) = "1" ), 3, 4 ) ) )</f>
        <v>2</v>
      </c>
    </row>
    <row r="122" spans="3:103" ht="13.8" x14ac:dyDescent="0.3">
      <c r="C122" s="36" t="s">
        <v>731</v>
      </c>
      <c r="D122" s="26" t="s">
        <v>718</v>
      </c>
      <c r="E122" s="26" t="s">
        <v>719</v>
      </c>
      <c r="F122" s="26" t="s">
        <v>720</v>
      </c>
      <c r="G122" s="26" t="s">
        <v>721</v>
      </c>
      <c r="H122" s="26" t="s">
        <v>722</v>
      </c>
      <c r="I122" s="26" t="s">
        <v>723</v>
      </c>
      <c r="J122" s="26" t="s">
        <v>724</v>
      </c>
      <c r="K122" s="26" t="s">
        <v>725</v>
      </c>
      <c r="L122" s="26" t="s">
        <v>726</v>
      </c>
      <c r="M122" s="26" t="s">
        <v>727</v>
      </c>
      <c r="N122" s="26" t="s">
        <v>728</v>
      </c>
      <c r="O122" s="26" t="s">
        <v>729</v>
      </c>
      <c r="P122" s="26" t="s">
        <v>730</v>
      </c>
      <c r="Q122" s="26" t="s">
        <v>732</v>
      </c>
      <c r="CQ122" s="24">
        <v>0.93062552709305968</v>
      </c>
      <c r="CR122" s="24" t="str">
        <f t="shared" si="7"/>
        <v>1</v>
      </c>
      <c r="CS122" t="str">
        <f ca="1">IF((OFFSET($A$1, 122 - 1, 95 - 1)) &gt;= (OFFSET($A$1, 56 - 1, 7 - 1)), "1","0")</f>
        <v>1</v>
      </c>
      <c r="CT122">
        <f ca="1" xml:space="preserve"> IF( AND( OFFSET($A$1, 122 - 1, 96 - 1) = "1", OFFSET($A$1, 122 - 1, 97 - 1) = "1" ), 1, IF( AND( OFFSET($A$1, 122 - 1, 96 - 1) = "1", OFFSET($A$1, 122 - 1, 97 - 1) = "0" ), 2, IF( AND( OFFSET($A$1, 122 - 1, 96 - 1) = "0", OFFSET($A$1, 122 - 1, 97 - 1) = "1" ), 3, 4 ) ) )</f>
        <v>1</v>
      </c>
      <c r="CV122" s="24">
        <v>0.99451109035145457</v>
      </c>
      <c r="CW122" s="24" t="str">
        <f t="shared" si="8"/>
        <v>1</v>
      </c>
      <c r="CX122" t="str">
        <f ca="1">IF((OFFSET($A$1, 122 - 1, 100 - 1)) &gt;= (OFFSET($A$1, 80 - 1, 7 - 1)), "1","0")</f>
        <v>1</v>
      </c>
      <c r="CY122">
        <f ca="1" xml:space="preserve"> IF( AND( OFFSET($A$1, 122 - 1, 101 - 1) = "1", OFFSET($A$1, 122 - 1, 102 - 1) = "1" ), 1, IF( AND( OFFSET($A$1, 122 - 1, 101 - 1) = "1", OFFSET($A$1, 122 - 1, 102 - 1) = "0" ), 2, IF( AND( OFFSET($A$1, 122 - 1, 101 - 1) = "0", OFFSET($A$1, 122 - 1, 102 - 1) = "1" ), 3, 4 ) ) )</f>
        <v>1</v>
      </c>
    </row>
    <row r="123" spans="3:103" ht="13.8" x14ac:dyDescent="0.3">
      <c r="C123" s="26">
        <v>0</v>
      </c>
      <c r="D123" s="24">
        <v>1.3430526168448396</v>
      </c>
      <c r="E123" s="24">
        <v>-1.7781311843444185</v>
      </c>
      <c r="F123" s="24">
        <v>-3.3082654110884993</v>
      </c>
      <c r="G123" s="24">
        <v>-0.95258781947836979</v>
      </c>
      <c r="H123" s="24">
        <v>-3.7593139260041175</v>
      </c>
      <c r="I123" s="24">
        <v>2.180940590762984</v>
      </c>
      <c r="J123" s="24">
        <v>2.9059670583563442</v>
      </c>
      <c r="K123" s="24">
        <v>-0.86438094678199517</v>
      </c>
      <c r="L123" s="24">
        <v>-1.7611301272893591</v>
      </c>
      <c r="M123" s="24">
        <v>2.7936026624121624</v>
      </c>
      <c r="N123" s="24">
        <v>-3.1521327157317471</v>
      </c>
      <c r="O123" s="24">
        <v>1.7612634995592962</v>
      </c>
      <c r="P123" s="24">
        <v>-2.2389150516190672</v>
      </c>
      <c r="Q123" s="24">
        <v>0.70092960279658245</v>
      </c>
      <c r="CQ123" s="24">
        <v>0.99621524311347309</v>
      </c>
      <c r="CR123" s="24" t="str">
        <f t="shared" si="7"/>
        <v>1</v>
      </c>
      <c r="CS123" t="str">
        <f ca="1">IF((OFFSET($A$1, 123 - 1, 95 - 1)) &gt;= (OFFSET($A$1, 56 - 1, 7 - 1)), "1","0")</f>
        <v>1</v>
      </c>
      <c r="CT123">
        <f ca="1" xml:space="preserve"> IF( AND( OFFSET($A$1, 123 - 1, 96 - 1) = "1", OFFSET($A$1, 123 - 1, 97 - 1) = "1" ), 1, IF( AND( OFFSET($A$1, 123 - 1, 96 - 1) = "1", OFFSET($A$1, 123 - 1, 97 - 1) = "0" ), 2, IF( AND( OFFSET($A$1, 123 - 1, 96 - 1) = "0", OFFSET($A$1, 123 - 1, 97 - 1) = "1" ), 3, 4 ) ) )</f>
        <v>1</v>
      </c>
      <c r="CV123" s="24">
        <v>0.98704761285022891</v>
      </c>
      <c r="CW123" s="24" t="str">
        <f t="shared" si="8"/>
        <v>1</v>
      </c>
      <c r="CX123" t="str">
        <f ca="1">IF((OFFSET($A$1, 123 - 1, 100 - 1)) &gt;= (OFFSET($A$1, 80 - 1, 7 - 1)), "1","0")</f>
        <v>1</v>
      </c>
      <c r="CY123">
        <f ca="1" xml:space="preserve"> IF( AND( OFFSET($A$1, 123 - 1, 101 - 1) = "1", OFFSET($A$1, 123 - 1, 102 - 1) = "1" ), 1, IF( AND( OFFSET($A$1, 123 - 1, 101 - 1) = "1", OFFSET($A$1, 123 - 1, 102 - 1) = "0" ), 2, IF( AND( OFFSET($A$1, 123 - 1, 101 - 1) = "0", OFFSET($A$1, 123 - 1, 102 - 1) = "1" ), 3, 4 ) ) )</f>
        <v>1</v>
      </c>
    </row>
    <row r="124" spans="3:103" ht="13.8" x14ac:dyDescent="0.3">
      <c r="C124" s="26">
        <v>1</v>
      </c>
      <c r="D124" s="24">
        <v>-1.3280324226432374</v>
      </c>
      <c r="E124" s="24">
        <v>1.6877023067745678</v>
      </c>
      <c r="F124" s="24">
        <v>3.3028747835196315</v>
      </c>
      <c r="G124" s="24">
        <v>0.97109297441761788</v>
      </c>
      <c r="H124" s="24">
        <v>3.7884383746720713</v>
      </c>
      <c r="I124" s="24">
        <v>-2.1854625344901146</v>
      </c>
      <c r="J124" s="24">
        <v>-2.9045223296278024</v>
      </c>
      <c r="K124" s="24">
        <v>0.77978085675647735</v>
      </c>
      <c r="L124" s="24">
        <v>1.7614373648615356</v>
      </c>
      <c r="M124" s="24">
        <v>-2.8416007956527358</v>
      </c>
      <c r="N124" s="24">
        <v>3.1427451767183912</v>
      </c>
      <c r="O124" s="24">
        <v>-1.7969502598419165</v>
      </c>
      <c r="P124" s="24">
        <v>2.2880491563479817</v>
      </c>
      <c r="Q124" s="24">
        <v>-0.61283286886379551</v>
      </c>
      <c r="CQ124" s="24">
        <v>0.96077944048360187</v>
      </c>
      <c r="CR124" s="24" t="str">
        <f t="shared" si="7"/>
        <v>1</v>
      </c>
      <c r="CS124" t="str">
        <f ca="1">IF((OFFSET($A$1, 124 - 1, 95 - 1)) &gt;= (OFFSET($A$1, 56 - 1, 7 - 1)), "1","0")</f>
        <v>1</v>
      </c>
      <c r="CT124">
        <f ca="1" xml:space="preserve"> IF( AND( OFFSET($A$1, 124 - 1, 96 - 1) = "1", OFFSET($A$1, 124 - 1, 97 - 1) = "1" ), 1, IF( AND( OFFSET($A$1, 124 - 1, 96 - 1) = "1", OFFSET($A$1, 124 - 1, 97 - 1) = "0" ), 2, IF( AND( OFFSET($A$1, 124 - 1, 96 - 1) = "0", OFFSET($A$1, 124 - 1, 97 - 1) = "1" ), 3, 4 ) ) )</f>
        <v>1</v>
      </c>
      <c r="CV124" s="24">
        <v>0.43932752142511733</v>
      </c>
      <c r="CW124" s="24" t="str">
        <f t="shared" si="8"/>
        <v>1</v>
      </c>
      <c r="CX124" t="str">
        <f ca="1">IF((OFFSET($A$1, 124 - 1, 100 - 1)) &gt;= (OFFSET($A$1, 80 - 1, 7 - 1)), "1","0")</f>
        <v>0</v>
      </c>
      <c r="CY124">
        <f ca="1" xml:space="preserve"> IF( AND( OFFSET($A$1, 124 - 1, 101 - 1) = "1", OFFSET($A$1, 124 - 1, 102 - 1) = "1" ), 1, IF( AND( OFFSET($A$1, 124 - 1, 101 - 1) = "1", OFFSET($A$1, 124 - 1, 102 - 1) = "0" ), 2, IF( AND( OFFSET($A$1, 124 - 1, 101 - 1) = "0", OFFSET($A$1, 124 - 1, 102 - 1) = "1" ), 3, 4 ) ) )</f>
        <v>2</v>
      </c>
    </row>
    <row r="125" spans="3:103" ht="13.8" x14ac:dyDescent="0.3">
      <c r="CQ125" s="24">
        <v>0.96573932735798707</v>
      </c>
      <c r="CR125" s="24" t="str">
        <f t="shared" si="7"/>
        <v>1</v>
      </c>
      <c r="CS125" t="str">
        <f ca="1">IF((OFFSET($A$1, 125 - 1, 95 - 1)) &gt;= (OFFSET($A$1, 56 - 1, 7 - 1)), "1","0")</f>
        <v>1</v>
      </c>
      <c r="CT125">
        <f ca="1" xml:space="preserve"> IF( AND( OFFSET($A$1, 125 - 1, 96 - 1) = "1", OFFSET($A$1, 125 - 1, 97 - 1) = "1" ), 1, IF( AND( OFFSET($A$1, 125 - 1, 96 - 1) = "1", OFFSET($A$1, 125 - 1, 97 - 1) = "0" ), 2, IF( AND( OFFSET($A$1, 125 - 1, 96 - 1) = "0", OFFSET($A$1, 125 - 1, 97 - 1) = "1" ), 3, 4 ) ) )</f>
        <v>1</v>
      </c>
      <c r="CV125" s="24">
        <v>0.35663894417082254</v>
      </c>
      <c r="CW125" s="24" t="str">
        <f>"0"</f>
        <v>0</v>
      </c>
      <c r="CX125" t="str">
        <f ca="1">IF((OFFSET($A$1, 125 - 1, 100 - 1)) &gt;= (OFFSET($A$1, 80 - 1, 7 - 1)), "1","0")</f>
        <v>0</v>
      </c>
      <c r="CY125">
        <f ca="1" xml:space="preserve"> IF( AND( OFFSET($A$1, 125 - 1, 101 - 1) = "1", OFFSET($A$1, 125 - 1, 102 - 1) = "1" ), 1, IF( AND( OFFSET($A$1, 125 - 1, 101 - 1) = "1", OFFSET($A$1, 125 - 1, 102 - 1) = "0" ), 2, IF( AND( OFFSET($A$1, 125 - 1, 101 - 1) = "0", OFFSET($A$1, 125 - 1, 102 - 1) = "1" ), 3, 4 ) ) )</f>
        <v>4</v>
      </c>
    </row>
    <row r="126" spans="3:103" ht="13.8" x14ac:dyDescent="0.3">
      <c r="CQ126" s="24">
        <v>0.99211377032565584</v>
      </c>
      <c r="CR126" s="24" t="str">
        <f t="shared" si="7"/>
        <v>1</v>
      </c>
      <c r="CS126" t="str">
        <f ca="1">IF((OFFSET($A$1, 126 - 1, 95 - 1)) &gt;= (OFFSET($A$1, 56 - 1, 7 - 1)), "1","0")</f>
        <v>1</v>
      </c>
      <c r="CT126">
        <f ca="1" xml:space="preserve"> IF( AND( OFFSET($A$1, 126 - 1, 96 - 1) = "1", OFFSET($A$1, 126 - 1, 97 - 1) = "1" ), 1, IF( AND( OFFSET($A$1, 126 - 1, 96 - 1) = "1", OFFSET($A$1, 126 - 1, 97 - 1) = "0" ), 2, IF( AND( OFFSET($A$1, 126 - 1, 96 - 1) = "0", OFFSET($A$1, 126 - 1, 97 - 1) = "1" ), 3, 4 ) ) )</f>
        <v>1</v>
      </c>
      <c r="CV126" s="24">
        <v>0.92431322476052491</v>
      </c>
      <c r="CW126" s="24" t="str">
        <f>"1"</f>
        <v>1</v>
      </c>
      <c r="CX126" t="str">
        <f ca="1">IF((OFFSET($A$1, 126 - 1, 100 - 1)) &gt;= (OFFSET($A$1, 80 - 1, 7 - 1)), "1","0")</f>
        <v>1</v>
      </c>
      <c r="CY126">
        <f ca="1" xml:space="preserve"> IF( AND( OFFSET($A$1, 126 - 1, 101 - 1) = "1", OFFSET($A$1, 126 - 1, 102 - 1) = "1" ), 1, IF( AND( OFFSET($A$1, 126 - 1, 101 - 1) = "1", OFFSET($A$1, 126 - 1, 102 - 1) = "0" ), 2, IF( AND( OFFSET($A$1, 126 - 1, 101 - 1) = "0", OFFSET($A$1, 126 - 1, 102 - 1) = "1" ), 3, 4 ) ) )</f>
        <v>1</v>
      </c>
    </row>
    <row r="127" spans="3:103" ht="13.8" x14ac:dyDescent="0.3">
      <c r="CQ127" s="24">
        <v>1.8869437650074286E-3</v>
      </c>
      <c r="CR127" s="24" t="str">
        <f>"0"</f>
        <v>0</v>
      </c>
      <c r="CS127" t="str">
        <f ca="1">IF((OFFSET($A$1, 127 - 1, 95 - 1)) &gt;= (OFFSET($A$1, 56 - 1, 7 - 1)), "1","0")</f>
        <v>0</v>
      </c>
      <c r="CT127">
        <f ca="1" xml:space="preserve"> IF( AND( OFFSET($A$1, 127 - 1, 96 - 1) = "1", OFFSET($A$1, 127 - 1, 97 - 1) = "1" ), 1, IF( AND( OFFSET($A$1, 127 - 1, 96 - 1) = "1", OFFSET($A$1, 127 - 1, 97 - 1) = "0" ), 2, IF( AND( OFFSET($A$1, 127 - 1, 96 - 1) = "0", OFFSET($A$1, 127 - 1, 97 - 1) = "1" ), 3, 4 ) ) )</f>
        <v>4</v>
      </c>
      <c r="CV127" s="24">
        <v>0.99548269848976212</v>
      </c>
      <c r="CW127" s="24" t="str">
        <f>"1"</f>
        <v>1</v>
      </c>
      <c r="CX127" t="str">
        <f ca="1">IF((OFFSET($A$1, 127 - 1, 100 - 1)) &gt;= (OFFSET($A$1, 80 - 1, 7 - 1)), "1","0")</f>
        <v>1</v>
      </c>
      <c r="CY127">
        <f ca="1" xml:space="preserve"> IF( AND( OFFSET($A$1, 127 - 1, 101 - 1) = "1", OFFSET($A$1, 127 - 1, 102 - 1) = "1" ), 1, IF( AND( OFFSET($A$1, 127 - 1, 101 - 1) = "1", OFFSET($A$1, 127 - 1, 102 - 1) = "0" ), 2, IF( AND( OFFSET($A$1, 127 - 1, 101 - 1) = "0", OFFSET($A$1, 127 - 1, 102 - 1) = "1" ), 3, 4 ) ) )</f>
        <v>1</v>
      </c>
    </row>
    <row r="128" spans="3:103" ht="13.8" x14ac:dyDescent="0.3">
      <c r="CQ128" s="24">
        <v>0.99957396404010423</v>
      </c>
      <c r="CR128" s="24" t="str">
        <f>"1"</f>
        <v>1</v>
      </c>
      <c r="CS128" t="str">
        <f ca="1">IF((OFFSET($A$1, 128 - 1, 95 - 1)) &gt;= (OFFSET($A$1, 56 - 1, 7 - 1)), "1","0")</f>
        <v>1</v>
      </c>
      <c r="CT128">
        <f ca="1" xml:space="preserve"> IF( AND( OFFSET($A$1, 128 - 1, 96 - 1) = "1", OFFSET($A$1, 128 - 1, 97 - 1) = "1" ), 1, IF( AND( OFFSET($A$1, 128 - 1, 96 - 1) = "1", OFFSET($A$1, 128 - 1, 97 - 1) = "0" ), 2, IF( AND( OFFSET($A$1, 128 - 1, 96 - 1) = "0", OFFSET($A$1, 128 - 1, 97 - 1) = "1" ), 3, 4 ) ) )</f>
        <v>1</v>
      </c>
      <c r="CV128" s="24">
        <v>0.23062446001264175</v>
      </c>
      <c r="CW128" s="24" t="str">
        <f>"0"</f>
        <v>0</v>
      </c>
      <c r="CX128" t="str">
        <f ca="1">IF((OFFSET($A$1, 128 - 1, 100 - 1)) &gt;= (OFFSET($A$1, 80 - 1, 7 - 1)), "1","0")</f>
        <v>0</v>
      </c>
      <c r="CY128">
        <f ca="1" xml:space="preserve"> IF( AND( OFFSET($A$1, 128 - 1, 101 - 1) = "1", OFFSET($A$1, 128 - 1, 102 - 1) = "1" ), 1, IF( AND( OFFSET($A$1, 128 - 1, 101 - 1) = "1", OFFSET($A$1, 128 - 1, 102 - 1) = "0" ), 2, IF( AND( OFFSET($A$1, 128 - 1, 101 - 1) = "0", OFFSET($A$1, 128 - 1, 102 - 1) = "1" ), 3, 4 ) ) )</f>
        <v>4</v>
      </c>
    </row>
    <row r="129" spans="95:103" ht="13.8" x14ac:dyDescent="0.3">
      <c r="CQ129" s="24">
        <v>0.92011390058385689</v>
      </c>
      <c r="CR129" s="24" t="str">
        <f>"1"</f>
        <v>1</v>
      </c>
      <c r="CS129" t="str">
        <f ca="1">IF((OFFSET($A$1, 129 - 1, 95 - 1)) &gt;= (OFFSET($A$1, 56 - 1, 7 - 1)), "1","0")</f>
        <v>1</v>
      </c>
      <c r="CT129">
        <f ca="1" xml:space="preserve"> IF( AND( OFFSET($A$1, 129 - 1, 96 - 1) = "1", OFFSET($A$1, 129 - 1, 97 - 1) = "1" ), 1, IF( AND( OFFSET($A$1, 129 - 1, 96 - 1) = "1", OFFSET($A$1, 129 - 1, 97 - 1) = "0" ), 2, IF( AND( OFFSET($A$1, 129 - 1, 96 - 1) = "0", OFFSET($A$1, 129 - 1, 97 - 1) = "1" ), 3, 4 ) ) )</f>
        <v>1</v>
      </c>
      <c r="CV129" s="24">
        <v>0.99564615208828411</v>
      </c>
      <c r="CW129" s="24" t="str">
        <f>"1"</f>
        <v>1</v>
      </c>
      <c r="CX129" t="str">
        <f ca="1">IF((OFFSET($A$1, 129 - 1, 100 - 1)) &gt;= (OFFSET($A$1, 80 - 1, 7 - 1)), "1","0")</f>
        <v>1</v>
      </c>
      <c r="CY129">
        <f ca="1" xml:space="preserve"> IF( AND( OFFSET($A$1, 129 - 1, 101 - 1) = "1", OFFSET($A$1, 129 - 1, 102 - 1) = "1" ), 1, IF( AND( OFFSET($A$1, 129 - 1, 101 - 1) = "1", OFFSET($A$1, 129 - 1, 102 - 1) = "0" ), 2, IF( AND( OFFSET($A$1, 129 - 1, 101 - 1) = "0", OFFSET($A$1, 129 - 1, 102 - 1) = "1" ), 3, 4 ) ) )</f>
        <v>1</v>
      </c>
    </row>
    <row r="130" spans="95:103" ht="13.8" x14ac:dyDescent="0.3">
      <c r="CQ130" s="24">
        <v>0.99764944499400687</v>
      </c>
      <c r="CR130" s="24" t="str">
        <f>"1"</f>
        <v>1</v>
      </c>
      <c r="CS130" t="str">
        <f ca="1">IF((OFFSET($A$1, 130 - 1, 95 - 1)) &gt;= (OFFSET($A$1, 56 - 1, 7 - 1)), "1","0")</f>
        <v>1</v>
      </c>
      <c r="CT130">
        <f ca="1" xml:space="preserve"> IF( AND( OFFSET($A$1, 130 - 1, 96 - 1) = "1", OFFSET($A$1, 130 - 1, 97 - 1) = "1" ), 1, IF( AND( OFFSET($A$1, 130 - 1, 96 - 1) = "1", OFFSET($A$1, 130 - 1, 97 - 1) = "0" ), 2, IF( AND( OFFSET($A$1, 130 - 1, 96 - 1) = "0", OFFSET($A$1, 130 - 1, 97 - 1) = "1" ), 3, 4 ) ) )</f>
        <v>1</v>
      </c>
      <c r="CV130" s="24">
        <v>0.12750812311827908</v>
      </c>
      <c r="CW130" s="24" t="str">
        <f>"0"</f>
        <v>0</v>
      </c>
      <c r="CX130" t="str">
        <f ca="1">IF((OFFSET($A$1, 130 - 1, 100 - 1)) &gt;= (OFFSET($A$1, 80 - 1, 7 - 1)), "1","0")</f>
        <v>0</v>
      </c>
      <c r="CY130">
        <f ca="1" xml:space="preserve"> IF( AND( OFFSET($A$1, 130 - 1, 101 - 1) = "1", OFFSET($A$1, 130 - 1, 102 - 1) = "1" ), 1, IF( AND( OFFSET($A$1, 130 - 1, 101 - 1) = "1", OFFSET($A$1, 130 - 1, 102 - 1) = "0" ), 2, IF( AND( OFFSET($A$1, 130 - 1, 101 - 1) = "0", OFFSET($A$1, 130 - 1, 102 - 1) = "1" ), 3, 4 ) ) )</f>
        <v>4</v>
      </c>
    </row>
    <row r="131" spans="95:103" ht="13.8" x14ac:dyDescent="0.3">
      <c r="CQ131" s="24">
        <v>0.99950820268300555</v>
      </c>
      <c r="CR131" s="24" t="str">
        <f>"1"</f>
        <v>1</v>
      </c>
      <c r="CS131" t="str">
        <f ca="1">IF((OFFSET($A$1, 131 - 1, 95 - 1)) &gt;= (OFFSET($A$1, 56 - 1, 7 - 1)), "1","0")</f>
        <v>1</v>
      </c>
      <c r="CT131">
        <f ca="1" xml:space="preserve"> IF( AND( OFFSET($A$1, 131 - 1, 96 - 1) = "1", OFFSET($A$1, 131 - 1, 97 - 1) = "1" ), 1, IF( AND( OFFSET($A$1, 131 - 1, 96 - 1) = "1", OFFSET($A$1, 131 - 1, 97 - 1) = "0" ), 2, IF( AND( OFFSET($A$1, 131 - 1, 96 - 1) = "0", OFFSET($A$1, 131 - 1, 97 - 1) = "1" ), 3, 4 ) ) )</f>
        <v>1</v>
      </c>
      <c r="CV131" s="24">
        <v>0.93842993223720672</v>
      </c>
      <c r="CW131" s="24" t="str">
        <f>"0"</f>
        <v>0</v>
      </c>
      <c r="CX131" t="str">
        <f ca="1">IF((OFFSET($A$1, 131 - 1, 100 - 1)) &gt;= (OFFSET($A$1, 80 - 1, 7 - 1)), "1","0")</f>
        <v>1</v>
      </c>
      <c r="CY131">
        <f ca="1" xml:space="preserve"> IF( AND( OFFSET($A$1, 131 - 1, 101 - 1) = "1", OFFSET($A$1, 131 - 1, 102 - 1) = "1" ), 1, IF( AND( OFFSET($A$1, 131 - 1, 101 - 1) = "1", OFFSET($A$1, 131 - 1, 102 - 1) = "0" ), 2, IF( AND( OFFSET($A$1, 131 - 1, 101 - 1) = "0", OFFSET($A$1, 131 - 1, 102 - 1) = "1" ), 3, 4 ) ) )</f>
        <v>3</v>
      </c>
    </row>
    <row r="132" spans="95:103" ht="13.8" x14ac:dyDescent="0.3">
      <c r="CQ132" s="24">
        <v>0.97617539284390575</v>
      </c>
      <c r="CR132" s="24" t="str">
        <f>"1"</f>
        <v>1</v>
      </c>
      <c r="CS132" t="str">
        <f ca="1">IF((OFFSET($A$1, 132 - 1, 95 - 1)) &gt;= (OFFSET($A$1, 56 - 1, 7 - 1)), "1","0")</f>
        <v>1</v>
      </c>
      <c r="CT132">
        <f ca="1" xml:space="preserve"> IF( AND( OFFSET($A$1, 132 - 1, 96 - 1) = "1", OFFSET($A$1, 132 - 1, 97 - 1) = "1" ), 1, IF( AND( OFFSET($A$1, 132 - 1, 96 - 1) = "1", OFFSET($A$1, 132 - 1, 97 - 1) = "0" ), 2, IF( AND( OFFSET($A$1, 132 - 1, 96 - 1) = "0", OFFSET($A$1, 132 - 1, 97 - 1) = "1" ), 3, 4 ) ) )</f>
        <v>1</v>
      </c>
      <c r="CV132" s="24">
        <v>0.99999154680107027</v>
      </c>
      <c r="CW132" s="24" t="str">
        <f>"1"</f>
        <v>1</v>
      </c>
      <c r="CX132" t="str">
        <f ca="1">IF((OFFSET($A$1, 132 - 1, 100 - 1)) &gt;= (OFFSET($A$1, 80 - 1, 7 - 1)), "1","0")</f>
        <v>1</v>
      </c>
      <c r="CY132">
        <f ca="1" xml:space="preserve"> IF( AND( OFFSET($A$1, 132 - 1, 101 - 1) = "1", OFFSET($A$1, 132 - 1, 102 - 1) = "1" ), 1, IF( AND( OFFSET($A$1, 132 - 1, 101 - 1) = "1", OFFSET($A$1, 132 - 1, 102 - 1) = "0" ), 2, IF( AND( OFFSET($A$1, 132 - 1, 101 - 1) = "0", OFFSET($A$1, 132 - 1, 102 - 1) = "1" ), 3, 4 ) ) )</f>
        <v>1</v>
      </c>
    </row>
    <row r="133" spans="95:103" ht="13.8" x14ac:dyDescent="0.3">
      <c r="CQ133" s="24">
        <v>0.1394220455297096</v>
      </c>
      <c r="CR133" s="24" t="str">
        <f>"0"</f>
        <v>0</v>
      </c>
      <c r="CS133" t="str">
        <f ca="1">IF((OFFSET($A$1, 133 - 1, 95 - 1)) &gt;= (OFFSET($A$1, 56 - 1, 7 - 1)), "1","0")</f>
        <v>0</v>
      </c>
      <c r="CT133">
        <f ca="1" xml:space="preserve"> IF( AND( OFFSET($A$1, 133 - 1, 96 - 1) = "1", OFFSET($A$1, 133 - 1, 97 - 1) = "1" ), 1, IF( AND( OFFSET($A$1, 133 - 1, 96 - 1) = "1", OFFSET($A$1, 133 - 1, 97 - 1) = "0" ), 2, IF( AND( OFFSET($A$1, 133 - 1, 96 - 1) = "0", OFFSET($A$1, 133 - 1, 97 - 1) = "1" ), 3, 4 ) ) )</f>
        <v>4</v>
      </c>
      <c r="CV133" s="24">
        <v>0.93905408495316334</v>
      </c>
      <c r="CW133" s="24" t="str">
        <f>"1"</f>
        <v>1</v>
      </c>
      <c r="CX133" t="str">
        <f ca="1">IF((OFFSET($A$1, 133 - 1, 100 - 1)) &gt;= (OFFSET($A$1, 80 - 1, 7 - 1)), "1","0")</f>
        <v>1</v>
      </c>
      <c r="CY133">
        <f ca="1" xml:space="preserve"> IF( AND( OFFSET($A$1, 133 - 1, 101 - 1) = "1", OFFSET($A$1, 133 - 1, 102 - 1) = "1" ), 1, IF( AND( OFFSET($A$1, 133 - 1, 101 - 1) = "1", OFFSET($A$1, 133 - 1, 102 - 1) = "0" ), 2, IF( AND( OFFSET($A$1, 133 - 1, 101 - 1) = "0", OFFSET($A$1, 133 - 1, 102 - 1) = "1" ), 3, 4 ) ) )</f>
        <v>1</v>
      </c>
    </row>
    <row r="134" spans="95:103" ht="13.8" x14ac:dyDescent="0.3">
      <c r="CQ134" s="24">
        <v>0.99572702653786971</v>
      </c>
      <c r="CR134" s="24" t="str">
        <f t="shared" ref="CR134:CR139" si="9">"1"</f>
        <v>1</v>
      </c>
      <c r="CS134" t="str">
        <f ca="1">IF((OFFSET($A$1, 134 - 1, 95 - 1)) &gt;= (OFFSET($A$1, 56 - 1, 7 - 1)), "1","0")</f>
        <v>1</v>
      </c>
      <c r="CT134">
        <f ca="1" xml:space="preserve"> IF( AND( OFFSET($A$1, 134 - 1, 96 - 1) = "1", OFFSET($A$1, 134 - 1, 97 - 1) = "1" ), 1, IF( AND( OFFSET($A$1, 134 - 1, 96 - 1) = "1", OFFSET($A$1, 134 - 1, 97 - 1) = "0" ), 2, IF( AND( OFFSET($A$1, 134 - 1, 96 - 1) = "0", OFFSET($A$1, 134 - 1, 97 - 1) = "1" ), 3, 4 ) ) )</f>
        <v>1</v>
      </c>
      <c r="CV134" s="24">
        <v>0.90731383602809368</v>
      </c>
      <c r="CW134" s="24" t="str">
        <f>"0"</f>
        <v>0</v>
      </c>
      <c r="CX134" t="str">
        <f ca="1">IF((OFFSET($A$1, 134 - 1, 100 - 1)) &gt;= (OFFSET($A$1, 80 - 1, 7 - 1)), "1","0")</f>
        <v>1</v>
      </c>
      <c r="CY134">
        <f ca="1" xml:space="preserve"> IF( AND( OFFSET($A$1, 134 - 1, 101 - 1) = "1", OFFSET($A$1, 134 - 1, 102 - 1) = "1" ), 1, IF( AND( OFFSET($A$1, 134 - 1, 101 - 1) = "1", OFFSET($A$1, 134 - 1, 102 - 1) = "0" ), 2, IF( AND( OFFSET($A$1, 134 - 1, 101 - 1) = "0", OFFSET($A$1, 134 - 1, 102 - 1) = "1" ), 3, 4 ) ) )</f>
        <v>3</v>
      </c>
    </row>
    <row r="135" spans="95:103" ht="13.8" x14ac:dyDescent="0.3">
      <c r="CQ135" s="24">
        <v>0.89180994135361558</v>
      </c>
      <c r="CR135" s="24" t="str">
        <f t="shared" si="9"/>
        <v>1</v>
      </c>
      <c r="CS135" t="str">
        <f ca="1">IF((OFFSET($A$1, 135 - 1, 95 - 1)) &gt;= (OFFSET($A$1, 56 - 1, 7 - 1)), "1","0")</f>
        <v>1</v>
      </c>
      <c r="CT135">
        <f ca="1" xml:space="preserve"> IF( AND( OFFSET($A$1, 135 - 1, 96 - 1) = "1", OFFSET($A$1, 135 - 1, 97 - 1) = "1" ), 1, IF( AND( OFFSET($A$1, 135 - 1, 96 - 1) = "1", OFFSET($A$1, 135 - 1, 97 - 1) = "0" ), 2, IF( AND( OFFSET($A$1, 135 - 1, 96 - 1) = "0", OFFSET($A$1, 135 - 1, 97 - 1) = "1" ), 3, 4 ) ) )</f>
        <v>1</v>
      </c>
      <c r="CV135" s="24">
        <v>0.45101779173832096</v>
      </c>
      <c r="CW135" s="24" t="str">
        <f>"0"</f>
        <v>0</v>
      </c>
      <c r="CX135" t="str">
        <f ca="1">IF((OFFSET($A$1, 135 - 1, 100 - 1)) &gt;= (OFFSET($A$1, 80 - 1, 7 - 1)), "1","0")</f>
        <v>0</v>
      </c>
      <c r="CY135">
        <f ca="1" xml:space="preserve"> IF( AND( OFFSET($A$1, 135 - 1, 101 - 1) = "1", OFFSET($A$1, 135 - 1, 102 - 1) = "1" ), 1, IF( AND( OFFSET($A$1, 135 - 1, 101 - 1) = "1", OFFSET($A$1, 135 - 1, 102 - 1) = "0" ), 2, IF( AND( OFFSET($A$1, 135 - 1, 101 - 1) = "0", OFFSET($A$1, 135 - 1, 102 - 1) = "1" ), 3, 4 ) ) )</f>
        <v>4</v>
      </c>
    </row>
    <row r="136" spans="95:103" ht="13.8" x14ac:dyDescent="0.3">
      <c r="CQ136" s="24">
        <v>0.95643311876532544</v>
      </c>
      <c r="CR136" s="24" t="str">
        <f t="shared" si="9"/>
        <v>1</v>
      </c>
      <c r="CS136" t="str">
        <f ca="1">IF((OFFSET($A$1, 136 - 1, 95 - 1)) &gt;= (OFFSET($A$1, 56 - 1, 7 - 1)), "1","0")</f>
        <v>1</v>
      </c>
      <c r="CT136">
        <f ca="1" xml:space="preserve"> IF( AND( OFFSET($A$1, 136 - 1, 96 - 1) = "1", OFFSET($A$1, 136 - 1, 97 - 1) = "1" ), 1, IF( AND( OFFSET($A$1, 136 - 1, 96 - 1) = "1", OFFSET($A$1, 136 - 1, 97 - 1) = "0" ), 2, IF( AND( OFFSET($A$1, 136 - 1, 96 - 1) = "0", OFFSET($A$1, 136 - 1, 97 - 1) = "1" ), 3, 4 ) ) )</f>
        <v>1</v>
      </c>
      <c r="CV136" s="24">
        <v>0.35836891835495005</v>
      </c>
      <c r="CW136" s="24" t="str">
        <f>"0"</f>
        <v>0</v>
      </c>
      <c r="CX136" t="str">
        <f ca="1">IF((OFFSET($A$1, 136 - 1, 100 - 1)) &gt;= (OFFSET($A$1, 80 - 1, 7 - 1)), "1","0")</f>
        <v>0</v>
      </c>
      <c r="CY136">
        <f ca="1" xml:space="preserve"> IF( AND( OFFSET($A$1, 136 - 1, 101 - 1) = "1", OFFSET($A$1, 136 - 1, 102 - 1) = "1" ), 1, IF( AND( OFFSET($A$1, 136 - 1, 101 - 1) = "1", OFFSET($A$1, 136 - 1, 102 - 1) = "0" ), 2, IF( AND( OFFSET($A$1, 136 - 1, 101 - 1) = "0", OFFSET($A$1, 136 - 1, 102 - 1) = "1" ), 3, 4 ) ) )</f>
        <v>4</v>
      </c>
    </row>
    <row r="137" spans="95:103" ht="13.8" x14ac:dyDescent="0.3">
      <c r="CQ137" s="24">
        <v>0.92801905083665603</v>
      </c>
      <c r="CR137" s="24" t="str">
        <f t="shared" si="9"/>
        <v>1</v>
      </c>
      <c r="CS137" t="str">
        <f ca="1">IF((OFFSET($A$1, 137 - 1, 95 - 1)) &gt;= (OFFSET($A$1, 56 - 1, 7 - 1)), "1","0")</f>
        <v>1</v>
      </c>
      <c r="CT137">
        <f ca="1" xml:space="preserve"> IF( AND( OFFSET($A$1, 137 - 1, 96 - 1) = "1", OFFSET($A$1, 137 - 1, 97 - 1) = "1" ), 1, IF( AND( OFFSET($A$1, 137 - 1, 96 - 1) = "1", OFFSET($A$1, 137 - 1, 97 - 1) = "0" ), 2, IF( AND( OFFSET($A$1, 137 - 1, 96 - 1) = "0", OFFSET($A$1, 137 - 1, 97 - 1) = "1" ), 3, 4 ) ) )</f>
        <v>1</v>
      </c>
      <c r="CV137" s="24">
        <v>0.96117789042386403</v>
      </c>
      <c r="CW137" s="24" t="str">
        <f>"1"</f>
        <v>1</v>
      </c>
      <c r="CX137" t="str">
        <f ca="1">IF((OFFSET($A$1, 137 - 1, 100 - 1)) &gt;= (OFFSET($A$1, 80 - 1, 7 - 1)), "1","0")</f>
        <v>1</v>
      </c>
      <c r="CY137">
        <f ca="1" xml:space="preserve"> IF( AND( OFFSET($A$1, 137 - 1, 101 - 1) = "1", OFFSET($A$1, 137 - 1, 102 - 1) = "1" ), 1, IF( AND( OFFSET($A$1, 137 - 1, 101 - 1) = "1", OFFSET($A$1, 137 - 1, 102 - 1) = "0" ), 2, IF( AND( OFFSET($A$1, 137 - 1, 101 - 1) = "0", OFFSET($A$1, 137 - 1, 102 - 1) = "1" ), 3, 4 ) ) )</f>
        <v>1</v>
      </c>
    </row>
    <row r="138" spans="95:103" ht="13.8" x14ac:dyDescent="0.3">
      <c r="CQ138" s="24">
        <v>0.85064038223704419</v>
      </c>
      <c r="CR138" s="24" t="str">
        <f t="shared" si="9"/>
        <v>1</v>
      </c>
      <c r="CS138" t="str">
        <f ca="1">IF((OFFSET($A$1, 138 - 1, 95 - 1)) &gt;= (OFFSET($A$1, 56 - 1, 7 - 1)), "1","0")</f>
        <v>1</v>
      </c>
      <c r="CT138">
        <f ca="1" xml:space="preserve"> IF( AND( OFFSET($A$1, 138 - 1, 96 - 1) = "1", OFFSET($A$1, 138 - 1, 97 - 1) = "1" ), 1, IF( AND( OFFSET($A$1, 138 - 1, 96 - 1) = "1", OFFSET($A$1, 138 - 1, 97 - 1) = "0" ), 2, IF( AND( OFFSET($A$1, 138 - 1, 96 - 1) = "0", OFFSET($A$1, 138 - 1, 97 - 1) = "1" ), 3, 4 ) ) )</f>
        <v>1</v>
      </c>
      <c r="CV138" s="24">
        <v>0.99884401927496647</v>
      </c>
      <c r="CW138" s="24" t="str">
        <f>"0"</f>
        <v>0</v>
      </c>
      <c r="CX138" t="str">
        <f ca="1">IF((OFFSET($A$1, 138 - 1, 100 - 1)) &gt;= (OFFSET($A$1, 80 - 1, 7 - 1)), "1","0")</f>
        <v>1</v>
      </c>
      <c r="CY138">
        <f ca="1" xml:space="preserve"> IF( AND( OFFSET($A$1, 138 - 1, 101 - 1) = "1", OFFSET($A$1, 138 - 1, 102 - 1) = "1" ), 1, IF( AND( OFFSET($A$1, 138 - 1, 101 - 1) = "1", OFFSET($A$1, 138 - 1, 102 - 1) = "0" ), 2, IF( AND( OFFSET($A$1, 138 - 1, 101 - 1) = "0", OFFSET($A$1, 138 - 1, 102 - 1) = "1" ), 3, 4 ) ) )</f>
        <v>3</v>
      </c>
    </row>
    <row r="139" spans="95:103" ht="13.8" x14ac:dyDescent="0.3">
      <c r="CQ139" s="24">
        <v>0.90380980083409734</v>
      </c>
      <c r="CR139" s="24" t="str">
        <f t="shared" si="9"/>
        <v>1</v>
      </c>
      <c r="CS139" t="str">
        <f ca="1">IF((OFFSET($A$1, 139 - 1, 95 - 1)) &gt;= (OFFSET($A$1, 56 - 1, 7 - 1)), "1","0")</f>
        <v>1</v>
      </c>
      <c r="CT139">
        <f ca="1" xml:space="preserve"> IF( AND( OFFSET($A$1, 139 - 1, 96 - 1) = "1", OFFSET($A$1, 139 - 1, 97 - 1) = "1" ), 1, IF( AND( OFFSET($A$1, 139 - 1, 96 - 1) = "1", OFFSET($A$1, 139 - 1, 97 - 1) = "0" ), 2, IF( AND( OFFSET($A$1, 139 - 1, 96 - 1) = "0", OFFSET($A$1, 139 - 1, 97 - 1) = "1" ), 3, 4 ) ) )</f>
        <v>1</v>
      </c>
      <c r="CV139" s="24">
        <v>3.4152369105095802E-2</v>
      </c>
      <c r="CW139" s="24" t="str">
        <f>"0"</f>
        <v>0</v>
      </c>
      <c r="CX139" t="str">
        <f ca="1">IF((OFFSET($A$1, 139 - 1, 100 - 1)) &gt;= (OFFSET($A$1, 80 - 1, 7 - 1)), "1","0")</f>
        <v>0</v>
      </c>
      <c r="CY139">
        <f ca="1" xml:space="preserve"> IF( AND( OFFSET($A$1, 139 - 1, 101 - 1) = "1", OFFSET($A$1, 139 - 1, 102 - 1) = "1" ), 1, IF( AND( OFFSET($A$1, 139 - 1, 101 - 1) = "1", OFFSET($A$1, 139 - 1, 102 - 1) = "0" ), 2, IF( AND( OFFSET($A$1, 139 - 1, 101 - 1) = "0", OFFSET($A$1, 139 - 1, 102 - 1) = "1" ), 3, 4 ) ) )</f>
        <v>4</v>
      </c>
    </row>
    <row r="140" spans="95:103" ht="13.8" x14ac:dyDescent="0.3">
      <c r="CQ140" s="24">
        <v>0.1757299327019638</v>
      </c>
      <c r="CR140" s="24" t="str">
        <f>"0"</f>
        <v>0</v>
      </c>
      <c r="CS140" t="str">
        <f ca="1">IF((OFFSET($A$1, 140 - 1, 95 - 1)) &gt;= (OFFSET($A$1, 56 - 1, 7 - 1)), "1","0")</f>
        <v>0</v>
      </c>
      <c r="CT140">
        <f ca="1" xml:space="preserve"> IF( AND( OFFSET($A$1, 140 - 1, 96 - 1) = "1", OFFSET($A$1, 140 - 1, 97 - 1) = "1" ), 1, IF( AND( OFFSET($A$1, 140 - 1, 96 - 1) = "1", OFFSET($A$1, 140 - 1, 97 - 1) = "0" ), 2, IF( AND( OFFSET($A$1, 140 - 1, 96 - 1) = "0", OFFSET($A$1, 140 - 1, 97 - 1) = "1" ), 3, 4 ) ) )</f>
        <v>4</v>
      </c>
      <c r="CV140" s="24">
        <v>0.97154959052211531</v>
      </c>
      <c r="CW140" s="24" t="str">
        <f>"1"</f>
        <v>1</v>
      </c>
      <c r="CX140" t="str">
        <f ca="1">IF((OFFSET($A$1, 140 - 1, 100 - 1)) &gt;= (OFFSET($A$1, 80 - 1, 7 - 1)), "1","0")</f>
        <v>1</v>
      </c>
      <c r="CY140">
        <f ca="1" xml:space="preserve"> IF( AND( OFFSET($A$1, 140 - 1, 101 - 1) = "1", OFFSET($A$1, 140 - 1, 102 - 1) = "1" ), 1, IF( AND( OFFSET($A$1, 140 - 1, 101 - 1) = "1", OFFSET($A$1, 140 - 1, 102 - 1) = "0" ), 2, IF( AND( OFFSET($A$1, 140 - 1, 101 - 1) = "0", OFFSET($A$1, 140 - 1, 102 - 1) = "1" ), 3, 4 ) ) )</f>
        <v>1</v>
      </c>
    </row>
    <row r="141" spans="95:103" ht="13.8" x14ac:dyDescent="0.3">
      <c r="CQ141" s="24">
        <v>0.99201562481766103</v>
      </c>
      <c r="CR141" s="24" t="str">
        <f>"1"</f>
        <v>1</v>
      </c>
      <c r="CS141" t="str">
        <f ca="1">IF((OFFSET($A$1, 141 - 1, 95 - 1)) &gt;= (OFFSET($A$1, 56 - 1, 7 - 1)), "1","0")</f>
        <v>1</v>
      </c>
      <c r="CT141">
        <f ca="1" xml:space="preserve"> IF( AND( OFFSET($A$1, 141 - 1, 96 - 1) = "1", OFFSET($A$1, 141 - 1, 97 - 1) = "1" ), 1, IF( AND( OFFSET($A$1, 141 - 1, 96 - 1) = "1", OFFSET($A$1, 141 - 1, 97 - 1) = "0" ), 2, IF( AND( OFFSET($A$1, 141 - 1, 96 - 1) = "0", OFFSET($A$1, 141 - 1, 97 - 1) = "1" ), 3, 4 ) ) )</f>
        <v>1</v>
      </c>
      <c r="CV141" s="24">
        <v>0.84336128834025692</v>
      </c>
      <c r="CW141" s="24" t="str">
        <f>"0"</f>
        <v>0</v>
      </c>
      <c r="CX141" t="str">
        <f ca="1">IF((OFFSET($A$1, 141 - 1, 100 - 1)) &gt;= (OFFSET($A$1, 80 - 1, 7 - 1)), "1","0")</f>
        <v>1</v>
      </c>
      <c r="CY141">
        <f ca="1" xml:space="preserve"> IF( AND( OFFSET($A$1, 141 - 1, 101 - 1) = "1", OFFSET($A$1, 141 - 1, 102 - 1) = "1" ), 1, IF( AND( OFFSET($A$1, 141 - 1, 101 - 1) = "1", OFFSET($A$1, 141 - 1, 102 - 1) = "0" ), 2, IF( AND( OFFSET($A$1, 141 - 1, 101 - 1) = "0", OFFSET($A$1, 141 - 1, 102 - 1) = "1" ), 3, 4 ) ) )</f>
        <v>3</v>
      </c>
    </row>
    <row r="142" spans="95:103" ht="13.8" x14ac:dyDescent="0.3">
      <c r="CQ142" s="24">
        <v>6.6856351697613919E-2</v>
      </c>
      <c r="CR142" s="24" t="str">
        <f>"0"</f>
        <v>0</v>
      </c>
      <c r="CS142" t="str">
        <f ca="1">IF((OFFSET($A$1, 142 - 1, 95 - 1)) &gt;= (OFFSET($A$1, 56 - 1, 7 - 1)), "1","0")</f>
        <v>0</v>
      </c>
      <c r="CT142">
        <f ca="1" xml:space="preserve"> IF( AND( OFFSET($A$1, 142 - 1, 96 - 1) = "1", OFFSET($A$1, 142 - 1, 97 - 1) = "1" ), 1, IF( AND( OFFSET($A$1, 142 - 1, 96 - 1) = "1", OFFSET($A$1, 142 - 1, 97 - 1) = "0" ), 2, IF( AND( OFFSET($A$1, 142 - 1, 96 - 1) = "0", OFFSET($A$1, 142 - 1, 97 - 1) = "1" ), 3, 4 ) ) )</f>
        <v>4</v>
      </c>
      <c r="CV142" s="24">
        <v>0.99996262062263652</v>
      </c>
      <c r="CW142" s="24" t="str">
        <f t="shared" ref="CW142:CW150" si="10">"1"</f>
        <v>1</v>
      </c>
      <c r="CX142" t="str">
        <f ca="1">IF((OFFSET($A$1, 142 - 1, 100 - 1)) &gt;= (OFFSET($A$1, 80 - 1, 7 - 1)), "1","0")</f>
        <v>1</v>
      </c>
      <c r="CY142">
        <f ca="1" xml:space="preserve"> IF( AND( OFFSET($A$1, 142 - 1, 101 - 1) = "1", OFFSET($A$1, 142 - 1, 102 - 1) = "1" ), 1, IF( AND( OFFSET($A$1, 142 - 1, 101 - 1) = "1", OFFSET($A$1, 142 - 1, 102 - 1) = "0" ), 2, IF( AND( OFFSET($A$1, 142 - 1, 101 - 1) = "0", OFFSET($A$1, 142 - 1, 102 - 1) = "1" ), 3, 4 ) ) )</f>
        <v>1</v>
      </c>
    </row>
    <row r="143" spans="95:103" ht="13.8" x14ac:dyDescent="0.3">
      <c r="CQ143" s="24">
        <v>0.99820488876908142</v>
      </c>
      <c r="CR143" s="24" t="str">
        <f>"1"</f>
        <v>1</v>
      </c>
      <c r="CS143" t="str">
        <f ca="1">IF((OFFSET($A$1, 143 - 1, 95 - 1)) &gt;= (OFFSET($A$1, 56 - 1, 7 - 1)), "1","0")</f>
        <v>1</v>
      </c>
      <c r="CT143">
        <f ca="1" xml:space="preserve"> IF( AND( OFFSET($A$1, 143 - 1, 96 - 1) = "1", OFFSET($A$1, 143 - 1, 97 - 1) = "1" ), 1, IF( AND( OFFSET($A$1, 143 - 1, 96 - 1) = "1", OFFSET($A$1, 143 - 1, 97 - 1) = "0" ), 2, IF( AND( OFFSET($A$1, 143 - 1, 96 - 1) = "0", OFFSET($A$1, 143 - 1, 97 - 1) = "1" ), 3, 4 ) ) )</f>
        <v>1</v>
      </c>
      <c r="CV143" s="24">
        <v>0.96015653984246263</v>
      </c>
      <c r="CW143" s="24" t="str">
        <f t="shared" si="10"/>
        <v>1</v>
      </c>
      <c r="CX143" t="str">
        <f ca="1">IF((OFFSET($A$1, 143 - 1, 100 - 1)) &gt;= (OFFSET($A$1, 80 - 1, 7 - 1)), "1","0")</f>
        <v>1</v>
      </c>
      <c r="CY143">
        <f ca="1" xml:space="preserve"> IF( AND( OFFSET($A$1, 143 - 1, 101 - 1) = "1", OFFSET($A$1, 143 - 1, 102 - 1) = "1" ), 1, IF( AND( OFFSET($A$1, 143 - 1, 101 - 1) = "1", OFFSET($A$1, 143 - 1, 102 - 1) = "0" ), 2, IF( AND( OFFSET($A$1, 143 - 1, 101 - 1) = "0", OFFSET($A$1, 143 - 1, 102 - 1) = "1" ), 3, 4 ) ) )</f>
        <v>1</v>
      </c>
    </row>
    <row r="144" spans="95:103" ht="13.8" x14ac:dyDescent="0.3">
      <c r="CQ144" s="24">
        <v>0.9991418844131611</v>
      </c>
      <c r="CR144" s="24" t="str">
        <f>"1"</f>
        <v>1</v>
      </c>
      <c r="CS144" t="str">
        <f ca="1">IF((OFFSET($A$1, 144 - 1, 95 - 1)) &gt;= (OFFSET($A$1, 56 - 1, 7 - 1)), "1","0")</f>
        <v>1</v>
      </c>
      <c r="CT144">
        <f ca="1" xml:space="preserve"> IF( AND( OFFSET($A$1, 144 - 1, 96 - 1) = "1", OFFSET($A$1, 144 - 1, 97 - 1) = "1" ), 1, IF( AND( OFFSET($A$1, 144 - 1, 96 - 1) = "1", OFFSET($A$1, 144 - 1, 97 - 1) = "0" ), 2, IF( AND( OFFSET($A$1, 144 - 1, 96 - 1) = "0", OFFSET($A$1, 144 - 1, 97 - 1) = "1" ), 3, 4 ) ) )</f>
        <v>1</v>
      </c>
      <c r="CV144" s="24">
        <v>0.99336836361105929</v>
      </c>
      <c r="CW144" s="24" t="str">
        <f t="shared" si="10"/>
        <v>1</v>
      </c>
      <c r="CX144" t="str">
        <f ca="1">IF((OFFSET($A$1, 144 - 1, 100 - 1)) &gt;= (OFFSET($A$1, 80 - 1, 7 - 1)), "1","0")</f>
        <v>1</v>
      </c>
      <c r="CY144">
        <f ca="1" xml:space="preserve"> IF( AND( OFFSET($A$1, 144 - 1, 101 - 1) = "1", OFFSET($A$1, 144 - 1, 102 - 1) = "1" ), 1, IF( AND( OFFSET($A$1, 144 - 1, 101 - 1) = "1", OFFSET($A$1, 144 - 1, 102 - 1) = "0" ), 2, IF( AND( OFFSET($A$1, 144 - 1, 101 - 1) = "0", OFFSET($A$1, 144 - 1, 102 - 1) = "1" ), 3, 4 ) ) )</f>
        <v>1</v>
      </c>
    </row>
    <row r="145" spans="95:103" ht="13.8" x14ac:dyDescent="0.3">
      <c r="CQ145" s="24">
        <v>0.17493559959822619</v>
      </c>
      <c r="CR145" s="24" t="str">
        <f>"0"</f>
        <v>0</v>
      </c>
      <c r="CS145" t="str">
        <f ca="1">IF((OFFSET($A$1, 145 - 1, 95 - 1)) &gt;= (OFFSET($A$1, 56 - 1, 7 - 1)), "1","0")</f>
        <v>0</v>
      </c>
      <c r="CT145">
        <f ca="1" xml:space="preserve"> IF( AND( OFFSET($A$1, 145 - 1, 96 - 1) = "1", OFFSET($A$1, 145 - 1, 97 - 1) = "1" ), 1, IF( AND( OFFSET($A$1, 145 - 1, 96 - 1) = "1", OFFSET($A$1, 145 - 1, 97 - 1) = "0" ), 2, IF( AND( OFFSET($A$1, 145 - 1, 96 - 1) = "0", OFFSET($A$1, 145 - 1, 97 - 1) = "1" ), 3, 4 ) ) )</f>
        <v>4</v>
      </c>
      <c r="CV145" s="24">
        <v>0.99980457119283783</v>
      </c>
      <c r="CW145" s="24" t="str">
        <f t="shared" si="10"/>
        <v>1</v>
      </c>
      <c r="CX145" t="str">
        <f ca="1">IF((OFFSET($A$1, 145 - 1, 100 - 1)) &gt;= (OFFSET($A$1, 80 - 1, 7 - 1)), "1","0")</f>
        <v>1</v>
      </c>
      <c r="CY145">
        <f ca="1" xml:space="preserve"> IF( AND( OFFSET($A$1, 145 - 1, 101 - 1) = "1", OFFSET($A$1, 145 - 1, 102 - 1) = "1" ), 1, IF( AND( OFFSET($A$1, 145 - 1, 101 - 1) = "1", OFFSET($A$1, 145 - 1, 102 - 1) = "0" ), 2, IF( AND( OFFSET($A$1, 145 - 1, 101 - 1) = "0", OFFSET($A$1, 145 - 1, 102 - 1) = "1" ), 3, 4 ) ) )</f>
        <v>1</v>
      </c>
    </row>
    <row r="146" spans="95:103" ht="13.8" x14ac:dyDescent="0.3">
      <c r="CQ146" s="24">
        <v>0.99106063473002448</v>
      </c>
      <c r="CR146" s="24" t="str">
        <f t="shared" ref="CR146:CR151" si="11">"1"</f>
        <v>1</v>
      </c>
      <c r="CS146" t="str">
        <f ca="1">IF((OFFSET($A$1, 146 - 1, 95 - 1)) &gt;= (OFFSET($A$1, 56 - 1, 7 - 1)), "1","0")</f>
        <v>1</v>
      </c>
      <c r="CT146">
        <f ca="1" xml:space="preserve"> IF( AND( OFFSET($A$1, 146 - 1, 96 - 1) = "1", OFFSET($A$1, 146 - 1, 97 - 1) = "1" ), 1, IF( AND( OFFSET($A$1, 146 - 1, 96 - 1) = "1", OFFSET($A$1, 146 - 1, 97 - 1) = "0" ), 2, IF( AND( OFFSET($A$1, 146 - 1, 96 - 1) = "0", OFFSET($A$1, 146 - 1, 97 - 1) = "1" ), 3, 4 ) ) )</f>
        <v>1</v>
      </c>
      <c r="CV146" s="24">
        <v>0.94493555136989316</v>
      </c>
      <c r="CW146" s="24" t="str">
        <f t="shared" si="10"/>
        <v>1</v>
      </c>
      <c r="CX146" t="str">
        <f ca="1">IF((OFFSET($A$1, 146 - 1, 100 - 1)) &gt;= (OFFSET($A$1, 80 - 1, 7 - 1)), "1","0")</f>
        <v>1</v>
      </c>
      <c r="CY146">
        <f ca="1" xml:space="preserve"> IF( AND( OFFSET($A$1, 146 - 1, 101 - 1) = "1", OFFSET($A$1, 146 - 1, 102 - 1) = "1" ), 1, IF( AND( OFFSET($A$1, 146 - 1, 101 - 1) = "1", OFFSET($A$1, 146 - 1, 102 - 1) = "0" ), 2, IF( AND( OFFSET($A$1, 146 - 1, 101 - 1) = "0", OFFSET($A$1, 146 - 1, 102 - 1) = "1" ), 3, 4 ) ) )</f>
        <v>1</v>
      </c>
    </row>
    <row r="147" spans="95:103" ht="13.8" x14ac:dyDescent="0.3">
      <c r="CQ147" s="24">
        <v>0.96236483177888255</v>
      </c>
      <c r="CR147" s="24" t="str">
        <f t="shared" si="11"/>
        <v>1</v>
      </c>
      <c r="CS147" t="str">
        <f ca="1">IF((OFFSET($A$1, 147 - 1, 95 - 1)) &gt;= (OFFSET($A$1, 56 - 1, 7 - 1)), "1","0")</f>
        <v>1</v>
      </c>
      <c r="CT147">
        <f ca="1" xml:space="preserve"> IF( AND( OFFSET($A$1, 147 - 1, 96 - 1) = "1", OFFSET($A$1, 147 - 1, 97 - 1) = "1" ), 1, IF( AND( OFFSET($A$1, 147 - 1, 96 - 1) = "1", OFFSET($A$1, 147 - 1, 97 - 1) = "0" ), 2, IF( AND( OFFSET($A$1, 147 - 1, 96 - 1) = "0", OFFSET($A$1, 147 - 1, 97 - 1) = "1" ), 3, 4 ) ) )</f>
        <v>1</v>
      </c>
      <c r="CV147" s="24">
        <v>0.99786413256222672</v>
      </c>
      <c r="CW147" s="24" t="str">
        <f t="shared" si="10"/>
        <v>1</v>
      </c>
      <c r="CX147" t="str">
        <f ca="1">IF((OFFSET($A$1, 147 - 1, 100 - 1)) &gt;= (OFFSET($A$1, 80 - 1, 7 - 1)), "1","0")</f>
        <v>1</v>
      </c>
      <c r="CY147">
        <f ca="1" xml:space="preserve"> IF( AND( OFFSET($A$1, 147 - 1, 101 - 1) = "1", OFFSET($A$1, 147 - 1, 102 - 1) = "1" ), 1, IF( AND( OFFSET($A$1, 147 - 1, 101 - 1) = "1", OFFSET($A$1, 147 - 1, 102 - 1) = "0" ), 2, IF( AND( OFFSET($A$1, 147 - 1, 101 - 1) = "0", OFFSET($A$1, 147 - 1, 102 - 1) = "1" ), 3, 4 ) ) )</f>
        <v>1</v>
      </c>
    </row>
    <row r="148" spans="95:103" ht="13.8" x14ac:dyDescent="0.3">
      <c r="CQ148" s="24">
        <v>0.98311860518022065</v>
      </c>
      <c r="CR148" s="24" t="str">
        <f t="shared" si="11"/>
        <v>1</v>
      </c>
      <c r="CS148" t="str">
        <f ca="1">IF((OFFSET($A$1, 148 - 1, 95 - 1)) &gt;= (OFFSET($A$1, 56 - 1, 7 - 1)), "1","0")</f>
        <v>1</v>
      </c>
      <c r="CT148">
        <f ca="1" xml:space="preserve"> IF( AND( OFFSET($A$1, 148 - 1, 96 - 1) = "1", OFFSET($A$1, 148 - 1, 97 - 1) = "1" ), 1, IF( AND( OFFSET($A$1, 148 - 1, 96 - 1) = "1", OFFSET($A$1, 148 - 1, 97 - 1) = "0" ), 2, IF( AND( OFFSET($A$1, 148 - 1, 96 - 1) = "0", OFFSET($A$1, 148 - 1, 97 - 1) = "1" ), 3, 4 ) ) )</f>
        <v>1</v>
      </c>
      <c r="CV148" s="24">
        <v>0.93806264075030477</v>
      </c>
      <c r="CW148" s="24" t="str">
        <f t="shared" si="10"/>
        <v>1</v>
      </c>
      <c r="CX148" t="str">
        <f ca="1">IF((OFFSET($A$1, 148 - 1, 100 - 1)) &gt;= (OFFSET($A$1, 80 - 1, 7 - 1)), "1","0")</f>
        <v>1</v>
      </c>
      <c r="CY148">
        <f ca="1" xml:space="preserve"> IF( AND( OFFSET($A$1, 148 - 1, 101 - 1) = "1", OFFSET($A$1, 148 - 1, 102 - 1) = "1" ), 1, IF( AND( OFFSET($A$1, 148 - 1, 101 - 1) = "1", OFFSET($A$1, 148 - 1, 102 - 1) = "0" ), 2, IF( AND( OFFSET($A$1, 148 - 1, 101 - 1) = "0", OFFSET($A$1, 148 - 1, 102 - 1) = "1" ), 3, 4 ) ) )</f>
        <v>1</v>
      </c>
    </row>
    <row r="149" spans="95:103" ht="13.8" x14ac:dyDescent="0.3">
      <c r="CQ149" s="24">
        <v>0.99897785045160792</v>
      </c>
      <c r="CR149" s="24" t="str">
        <f t="shared" si="11"/>
        <v>1</v>
      </c>
      <c r="CS149" t="str">
        <f ca="1">IF((OFFSET($A$1, 149 - 1, 95 - 1)) &gt;= (OFFSET($A$1, 56 - 1, 7 - 1)), "1","0")</f>
        <v>1</v>
      </c>
      <c r="CT149">
        <f ca="1" xml:space="preserve"> IF( AND( OFFSET($A$1, 149 - 1, 96 - 1) = "1", OFFSET($A$1, 149 - 1, 97 - 1) = "1" ), 1, IF( AND( OFFSET($A$1, 149 - 1, 96 - 1) = "1", OFFSET($A$1, 149 - 1, 97 - 1) = "0" ), 2, IF( AND( OFFSET($A$1, 149 - 1, 96 - 1) = "0", OFFSET($A$1, 149 - 1, 97 - 1) = "1" ), 3, 4 ) ) )</f>
        <v>1</v>
      </c>
      <c r="CV149" s="24">
        <v>0.20081757681323445</v>
      </c>
      <c r="CW149" s="24" t="str">
        <f t="shared" si="10"/>
        <v>1</v>
      </c>
      <c r="CX149" t="str">
        <f ca="1">IF((OFFSET($A$1, 149 - 1, 100 - 1)) &gt;= (OFFSET($A$1, 80 - 1, 7 - 1)), "1","0")</f>
        <v>0</v>
      </c>
      <c r="CY149">
        <f ca="1" xml:space="preserve"> IF( AND( OFFSET($A$1, 149 - 1, 101 - 1) = "1", OFFSET($A$1, 149 - 1, 102 - 1) = "1" ), 1, IF( AND( OFFSET($A$1, 149 - 1, 101 - 1) = "1", OFFSET($A$1, 149 - 1, 102 - 1) = "0" ), 2, IF( AND( OFFSET($A$1, 149 - 1, 101 - 1) = "0", OFFSET($A$1, 149 - 1, 102 - 1) = "1" ), 3, 4 ) ) )</f>
        <v>2</v>
      </c>
    </row>
    <row r="150" spans="95:103" ht="13.8" x14ac:dyDescent="0.3">
      <c r="CQ150" s="24">
        <v>0.93066179297069263</v>
      </c>
      <c r="CR150" s="24" t="str">
        <f t="shared" si="11"/>
        <v>1</v>
      </c>
      <c r="CS150" t="str">
        <f ca="1">IF((OFFSET($A$1, 150 - 1, 95 - 1)) &gt;= (OFFSET($A$1, 56 - 1, 7 - 1)), "1","0")</f>
        <v>1</v>
      </c>
      <c r="CT150">
        <f ca="1" xml:space="preserve"> IF( AND( OFFSET($A$1, 150 - 1, 96 - 1) = "1", OFFSET($A$1, 150 - 1, 97 - 1) = "1" ), 1, IF( AND( OFFSET($A$1, 150 - 1, 96 - 1) = "1", OFFSET($A$1, 150 - 1, 97 - 1) = "0" ), 2, IF( AND( OFFSET($A$1, 150 - 1, 96 - 1) = "0", OFFSET($A$1, 150 - 1, 97 - 1) = "1" ), 3, 4 ) ) )</f>
        <v>1</v>
      </c>
      <c r="CV150" s="24">
        <v>0.9965541360417729</v>
      </c>
      <c r="CW150" s="24" t="str">
        <f t="shared" si="10"/>
        <v>1</v>
      </c>
      <c r="CX150" t="str">
        <f ca="1">IF((OFFSET($A$1, 150 - 1, 100 - 1)) &gt;= (OFFSET($A$1, 80 - 1, 7 - 1)), "1","0")</f>
        <v>1</v>
      </c>
      <c r="CY150">
        <f ca="1" xml:space="preserve"> IF( AND( OFFSET($A$1, 150 - 1, 101 - 1) = "1", OFFSET($A$1, 150 - 1, 102 - 1) = "1" ), 1, IF( AND( OFFSET($A$1, 150 - 1, 101 - 1) = "1", OFFSET($A$1, 150 - 1, 102 - 1) = "0" ), 2, IF( AND( OFFSET($A$1, 150 - 1, 101 - 1) = "0", OFFSET($A$1, 150 - 1, 102 - 1) = "1" ), 3, 4 ) ) )</f>
        <v>1</v>
      </c>
    </row>
    <row r="151" spans="95:103" ht="13.8" x14ac:dyDescent="0.3">
      <c r="CQ151" s="24">
        <v>0.94481838617032798</v>
      </c>
      <c r="CR151" s="24" t="str">
        <f t="shared" si="11"/>
        <v>1</v>
      </c>
      <c r="CS151" t="str">
        <f ca="1">IF((OFFSET($A$1, 151 - 1, 95 - 1)) &gt;= (OFFSET($A$1, 56 - 1, 7 - 1)), "1","0")</f>
        <v>1</v>
      </c>
      <c r="CT151">
        <f ca="1" xml:space="preserve"> IF( AND( OFFSET($A$1, 151 - 1, 96 - 1) = "1", OFFSET($A$1, 151 - 1, 97 - 1) = "1" ), 1, IF( AND( OFFSET($A$1, 151 - 1, 96 - 1) = "1", OFFSET($A$1, 151 - 1, 97 - 1) = "0" ), 2, IF( AND( OFFSET($A$1, 151 - 1, 96 - 1) = "0", OFFSET($A$1, 151 - 1, 97 - 1) = "1" ), 3, 4 ) ) )</f>
        <v>1</v>
      </c>
      <c r="CV151" s="24">
        <v>0.91018655115351543</v>
      </c>
      <c r="CW151" s="24" t="str">
        <f>"0"</f>
        <v>0</v>
      </c>
      <c r="CX151" t="str">
        <f ca="1">IF((OFFSET($A$1, 151 - 1, 100 - 1)) &gt;= (OFFSET($A$1, 80 - 1, 7 - 1)), "1","0")</f>
        <v>1</v>
      </c>
      <c r="CY151">
        <f ca="1" xml:space="preserve"> IF( AND( OFFSET($A$1, 151 - 1, 101 - 1) = "1", OFFSET($A$1, 151 - 1, 102 - 1) = "1" ), 1, IF( AND( OFFSET($A$1, 151 - 1, 101 - 1) = "1", OFFSET($A$1, 151 - 1, 102 - 1) = "0" ), 2, IF( AND( OFFSET($A$1, 151 - 1, 101 - 1) = "0", OFFSET($A$1, 151 - 1, 102 - 1) = "1" ), 3, 4 ) ) )</f>
        <v>3</v>
      </c>
    </row>
    <row r="152" spans="95:103" ht="13.8" x14ac:dyDescent="0.3">
      <c r="CQ152" s="24">
        <v>6.8864300769146847E-2</v>
      </c>
      <c r="CR152" s="24" t="str">
        <f>"0"</f>
        <v>0</v>
      </c>
      <c r="CS152" t="str">
        <f ca="1">IF((OFFSET($A$1, 152 - 1, 95 - 1)) &gt;= (OFFSET($A$1, 56 - 1, 7 - 1)), "1","0")</f>
        <v>0</v>
      </c>
      <c r="CT152">
        <f ca="1" xml:space="preserve"> IF( AND( OFFSET($A$1, 152 - 1, 96 - 1) = "1", OFFSET($A$1, 152 - 1, 97 - 1) = "1" ), 1, IF( AND( OFFSET($A$1, 152 - 1, 96 - 1) = "1", OFFSET($A$1, 152 - 1, 97 - 1) = "0" ), 2, IF( AND( OFFSET($A$1, 152 - 1, 96 - 1) = "0", OFFSET($A$1, 152 - 1, 97 - 1) = "1" ), 3, 4 ) ) )</f>
        <v>4</v>
      </c>
      <c r="CV152" s="24">
        <v>0.59172233411373654</v>
      </c>
      <c r="CW152" s="24" t="str">
        <f>"0"</f>
        <v>0</v>
      </c>
      <c r="CX152" t="str">
        <f ca="1">IF((OFFSET($A$1, 152 - 1, 100 - 1)) &gt;= (OFFSET($A$1, 80 - 1, 7 - 1)), "1","0")</f>
        <v>1</v>
      </c>
      <c r="CY152">
        <f ca="1" xml:space="preserve"> IF( AND( OFFSET($A$1, 152 - 1, 101 - 1) = "1", OFFSET($A$1, 152 - 1, 102 - 1) = "1" ), 1, IF( AND( OFFSET($A$1, 152 - 1, 101 - 1) = "1", OFFSET($A$1, 152 - 1, 102 - 1) = "0" ), 2, IF( AND( OFFSET($A$1, 152 - 1, 101 - 1) = "0", OFFSET($A$1, 152 - 1, 102 - 1) = "1" ), 3, 4 ) ) )</f>
        <v>3</v>
      </c>
    </row>
    <row r="153" spans="95:103" ht="13.8" x14ac:dyDescent="0.3">
      <c r="CQ153" s="24">
        <v>0.98946339157845553</v>
      </c>
      <c r="CR153" s="24" t="str">
        <f>"1"</f>
        <v>1</v>
      </c>
      <c r="CS153" t="str">
        <f ca="1">IF((OFFSET($A$1, 153 - 1, 95 - 1)) &gt;= (OFFSET($A$1, 56 - 1, 7 - 1)), "1","0")</f>
        <v>1</v>
      </c>
      <c r="CT153">
        <f ca="1" xml:space="preserve"> IF( AND( OFFSET($A$1, 153 - 1, 96 - 1) = "1", OFFSET($A$1, 153 - 1, 97 - 1) = "1" ), 1, IF( AND( OFFSET($A$1, 153 - 1, 96 - 1) = "1", OFFSET($A$1, 153 - 1, 97 - 1) = "0" ), 2, IF( AND( OFFSET($A$1, 153 - 1, 96 - 1) = "0", OFFSET($A$1, 153 - 1, 97 - 1) = "1" ), 3, 4 ) ) )</f>
        <v>1</v>
      </c>
      <c r="CV153" s="24">
        <v>0.30320023730582135</v>
      </c>
      <c r="CW153" s="24" t="str">
        <f>"1"</f>
        <v>1</v>
      </c>
      <c r="CX153" t="str">
        <f ca="1">IF((OFFSET($A$1, 153 - 1, 100 - 1)) &gt;= (OFFSET($A$1, 80 - 1, 7 - 1)), "1","0")</f>
        <v>0</v>
      </c>
      <c r="CY153">
        <f ca="1" xml:space="preserve"> IF( AND( OFFSET($A$1, 153 - 1, 101 - 1) = "1", OFFSET($A$1, 153 - 1, 102 - 1) = "1" ), 1, IF( AND( OFFSET($A$1, 153 - 1, 101 - 1) = "1", OFFSET($A$1, 153 - 1, 102 - 1) = "0" ), 2, IF( AND( OFFSET($A$1, 153 - 1, 101 - 1) = "0", OFFSET($A$1, 153 - 1, 102 - 1) = "1" ), 3, 4 ) ) )</f>
        <v>2</v>
      </c>
    </row>
    <row r="154" spans="95:103" ht="13.8" x14ac:dyDescent="0.3">
      <c r="CQ154" s="24">
        <v>0.89675401664850252</v>
      </c>
      <c r="CR154" s="24" t="str">
        <f>"1"</f>
        <v>1</v>
      </c>
      <c r="CS154" t="str">
        <f ca="1">IF((OFFSET($A$1, 154 - 1, 95 - 1)) &gt;= (OFFSET($A$1, 56 - 1, 7 - 1)), "1","0")</f>
        <v>1</v>
      </c>
      <c r="CT154">
        <f ca="1" xml:space="preserve"> IF( AND( OFFSET($A$1, 154 - 1, 96 - 1) = "1", OFFSET($A$1, 154 - 1, 97 - 1) = "1" ), 1, IF( AND( OFFSET($A$1, 154 - 1, 96 - 1) = "1", OFFSET($A$1, 154 - 1, 97 - 1) = "0" ), 2, IF( AND( OFFSET($A$1, 154 - 1, 96 - 1) = "0", OFFSET($A$1, 154 - 1, 97 - 1) = "1" ), 3, 4 ) ) )</f>
        <v>1</v>
      </c>
      <c r="CV154" s="24">
        <v>0.98690436344693899</v>
      </c>
      <c r="CW154" s="24" t="str">
        <f>"1"</f>
        <v>1</v>
      </c>
      <c r="CX154" t="str">
        <f ca="1">IF((OFFSET($A$1, 154 - 1, 100 - 1)) &gt;= (OFFSET($A$1, 80 - 1, 7 - 1)), "1","0")</f>
        <v>1</v>
      </c>
      <c r="CY154">
        <f ca="1" xml:space="preserve"> IF( AND( OFFSET($A$1, 154 - 1, 101 - 1) = "1", OFFSET($A$1, 154 - 1, 102 - 1) = "1" ), 1, IF( AND( OFFSET($A$1, 154 - 1, 101 - 1) = "1", OFFSET($A$1, 154 - 1, 102 - 1) = "0" ), 2, IF( AND( OFFSET($A$1, 154 - 1, 101 - 1) = "0", OFFSET($A$1, 154 - 1, 102 - 1) = "1" ), 3, 4 ) ) )</f>
        <v>1</v>
      </c>
    </row>
    <row r="155" spans="95:103" ht="13.8" x14ac:dyDescent="0.3">
      <c r="CQ155" s="24">
        <v>0.99662140216128103</v>
      </c>
      <c r="CR155" s="24" t="str">
        <f>"1"</f>
        <v>1</v>
      </c>
      <c r="CS155" t="str">
        <f ca="1">IF((OFFSET($A$1, 155 - 1, 95 - 1)) &gt;= (OFFSET($A$1, 56 - 1, 7 - 1)), "1","0")</f>
        <v>1</v>
      </c>
      <c r="CT155">
        <f ca="1" xml:space="preserve"> IF( AND( OFFSET($A$1, 155 - 1, 96 - 1) = "1", OFFSET($A$1, 155 - 1, 97 - 1) = "1" ), 1, IF( AND( OFFSET($A$1, 155 - 1, 96 - 1) = "1", OFFSET($A$1, 155 - 1, 97 - 1) = "0" ), 2, IF( AND( OFFSET($A$1, 155 - 1, 96 - 1) = "0", OFFSET($A$1, 155 - 1, 97 - 1) = "1" ), 3, 4 ) ) )</f>
        <v>1</v>
      </c>
      <c r="CV155" s="24">
        <v>0.8772741493057874</v>
      </c>
      <c r="CW155" s="24" t="str">
        <f>"1"</f>
        <v>1</v>
      </c>
      <c r="CX155" t="str">
        <f ca="1">IF((OFFSET($A$1, 155 - 1, 100 - 1)) &gt;= (OFFSET($A$1, 80 - 1, 7 - 1)), "1","0")</f>
        <v>1</v>
      </c>
      <c r="CY155">
        <f ca="1" xml:space="preserve"> IF( AND( OFFSET($A$1, 155 - 1, 101 - 1) = "1", OFFSET($A$1, 155 - 1, 102 - 1) = "1" ), 1, IF( AND( OFFSET($A$1, 155 - 1, 101 - 1) = "1", OFFSET($A$1, 155 - 1, 102 - 1) = "0" ), 2, IF( AND( OFFSET($A$1, 155 - 1, 101 - 1) = "0", OFFSET($A$1, 155 - 1, 102 - 1) = "1" ), 3, 4 ) ) )</f>
        <v>1</v>
      </c>
    </row>
    <row r="156" spans="95:103" ht="13.8" x14ac:dyDescent="0.3">
      <c r="CQ156" s="24">
        <v>0.99986072101854184</v>
      </c>
      <c r="CR156" s="24" t="str">
        <f>"1"</f>
        <v>1</v>
      </c>
      <c r="CS156" t="str">
        <f ca="1">IF((OFFSET($A$1, 156 - 1, 95 - 1)) &gt;= (OFFSET($A$1, 56 - 1, 7 - 1)), "1","0")</f>
        <v>1</v>
      </c>
      <c r="CT156">
        <f ca="1" xml:space="preserve"> IF( AND( OFFSET($A$1, 156 - 1, 96 - 1) = "1", OFFSET($A$1, 156 - 1, 97 - 1) = "1" ), 1, IF( AND( OFFSET($A$1, 156 - 1, 96 - 1) = "1", OFFSET($A$1, 156 - 1, 97 - 1) = "0" ), 2, IF( AND( OFFSET($A$1, 156 - 1, 96 - 1) = "0", OFFSET($A$1, 156 - 1, 97 - 1) = "1" ), 3, 4 ) ) )</f>
        <v>1</v>
      </c>
      <c r="CV156" s="24">
        <v>0.99796506513103056</v>
      </c>
      <c r="CW156" s="24" t="str">
        <f>"1"</f>
        <v>1</v>
      </c>
      <c r="CX156" t="str">
        <f ca="1">IF((OFFSET($A$1, 156 - 1, 100 - 1)) &gt;= (OFFSET($A$1, 80 - 1, 7 - 1)), "1","0")</f>
        <v>1</v>
      </c>
      <c r="CY156">
        <f ca="1" xml:space="preserve"> IF( AND( OFFSET($A$1, 156 - 1, 101 - 1) = "1", OFFSET($A$1, 156 - 1, 102 - 1) = "1" ), 1, IF( AND( OFFSET($A$1, 156 - 1, 101 - 1) = "1", OFFSET($A$1, 156 - 1, 102 - 1) = "0" ), 2, IF( AND( OFFSET($A$1, 156 - 1, 101 - 1) = "0", OFFSET($A$1, 156 - 1, 102 - 1) = "1" ), 3, 4 ) ) )</f>
        <v>1</v>
      </c>
    </row>
    <row r="157" spans="95:103" ht="13.8" x14ac:dyDescent="0.3">
      <c r="CQ157" s="24">
        <v>0.15049127188708158</v>
      </c>
      <c r="CR157" s="24" t="str">
        <f>"0"</f>
        <v>0</v>
      </c>
      <c r="CS157" t="str">
        <f ca="1">IF((OFFSET($A$1, 157 - 1, 95 - 1)) &gt;= (OFFSET($A$1, 56 - 1, 7 - 1)), "1","0")</f>
        <v>0</v>
      </c>
      <c r="CT157">
        <f ca="1" xml:space="preserve"> IF( AND( OFFSET($A$1, 157 - 1, 96 - 1) = "1", OFFSET($A$1, 157 - 1, 97 - 1) = "1" ), 1, IF( AND( OFFSET($A$1, 157 - 1, 96 - 1) = "1", OFFSET($A$1, 157 - 1, 97 - 1) = "0" ), 2, IF( AND( OFFSET($A$1, 157 - 1, 96 - 1) = "0", OFFSET($A$1, 157 - 1, 97 - 1) = "1" ), 3, 4 ) ) )</f>
        <v>4</v>
      </c>
      <c r="CV157" s="24">
        <v>0.68473400396610073</v>
      </c>
      <c r="CW157" s="24" t="str">
        <f>"0"</f>
        <v>0</v>
      </c>
      <c r="CX157" t="str">
        <f ca="1">IF((OFFSET($A$1, 157 - 1, 100 - 1)) &gt;= (OFFSET($A$1, 80 - 1, 7 - 1)), "1","0")</f>
        <v>1</v>
      </c>
      <c r="CY157">
        <f ca="1" xml:space="preserve"> IF( AND( OFFSET($A$1, 157 - 1, 101 - 1) = "1", OFFSET($A$1, 157 - 1, 102 - 1) = "1" ), 1, IF( AND( OFFSET($A$1, 157 - 1, 101 - 1) = "1", OFFSET($A$1, 157 - 1, 102 - 1) = "0" ), 2, IF( AND( OFFSET($A$1, 157 - 1, 101 - 1) = "0", OFFSET($A$1, 157 - 1, 102 - 1) = "1" ), 3, 4 ) ) )</f>
        <v>3</v>
      </c>
    </row>
    <row r="158" spans="95:103" ht="13.8" x14ac:dyDescent="0.3">
      <c r="CQ158" s="24">
        <v>0.79785930424108775</v>
      </c>
      <c r="CR158" s="24" t="str">
        <f>"0"</f>
        <v>0</v>
      </c>
      <c r="CS158" t="str">
        <f ca="1">IF((OFFSET($A$1, 158 - 1, 95 - 1)) &gt;= (OFFSET($A$1, 56 - 1, 7 - 1)), "1","0")</f>
        <v>1</v>
      </c>
      <c r="CT158">
        <f ca="1" xml:space="preserve"> IF( AND( OFFSET($A$1, 158 - 1, 96 - 1) = "1", OFFSET($A$1, 158 - 1, 97 - 1) = "1" ), 1, IF( AND( OFFSET($A$1, 158 - 1, 96 - 1) = "1", OFFSET($A$1, 158 - 1, 97 - 1) = "0" ), 2, IF( AND( OFFSET($A$1, 158 - 1, 96 - 1) = "0", OFFSET($A$1, 158 - 1, 97 - 1) = "1" ), 3, 4 ) ) )</f>
        <v>3</v>
      </c>
      <c r="CV158" s="24">
        <v>0.9551654779131854</v>
      </c>
      <c r="CW158" s="24" t="str">
        <f>"1"</f>
        <v>1</v>
      </c>
      <c r="CX158" t="str">
        <f ca="1">IF((OFFSET($A$1, 158 - 1, 100 - 1)) &gt;= (OFFSET($A$1, 80 - 1, 7 - 1)), "1","0")</f>
        <v>1</v>
      </c>
      <c r="CY158">
        <f ca="1" xml:space="preserve"> IF( AND( OFFSET($A$1, 158 - 1, 101 - 1) = "1", OFFSET($A$1, 158 - 1, 102 - 1) = "1" ), 1, IF( AND( OFFSET($A$1, 158 - 1, 101 - 1) = "1", OFFSET($A$1, 158 - 1, 102 - 1) = "0" ), 2, IF( AND( OFFSET($A$1, 158 - 1, 101 - 1) = "0", OFFSET($A$1, 158 - 1, 102 - 1) = "1" ), 3, 4 ) ) )</f>
        <v>1</v>
      </c>
    </row>
    <row r="159" spans="95:103" ht="13.8" x14ac:dyDescent="0.3">
      <c r="CQ159" s="24">
        <v>0.77001973454960493</v>
      </c>
      <c r="CR159" s="24" t="str">
        <f>"1"</f>
        <v>1</v>
      </c>
      <c r="CS159" t="str">
        <f ca="1">IF((OFFSET($A$1, 159 - 1, 95 - 1)) &gt;= (OFFSET($A$1, 56 - 1, 7 - 1)), "1","0")</f>
        <v>1</v>
      </c>
      <c r="CT159">
        <f ca="1" xml:space="preserve"> IF( AND( OFFSET($A$1, 159 - 1, 96 - 1) = "1", OFFSET($A$1, 159 - 1, 97 - 1) = "1" ), 1, IF( AND( OFFSET($A$1, 159 - 1, 96 - 1) = "1", OFFSET($A$1, 159 - 1, 97 - 1) = "0" ), 2, IF( AND( OFFSET($A$1, 159 - 1, 96 - 1) = "0", OFFSET($A$1, 159 - 1, 97 - 1) = "1" ), 3, 4 ) ) )</f>
        <v>1</v>
      </c>
      <c r="CV159" s="24">
        <v>0.93262948958483705</v>
      </c>
      <c r="CW159" s="24" t="str">
        <f>"1"</f>
        <v>1</v>
      </c>
      <c r="CX159" t="str">
        <f ca="1">IF((OFFSET($A$1, 159 - 1, 100 - 1)) &gt;= (OFFSET($A$1, 80 - 1, 7 - 1)), "1","0")</f>
        <v>1</v>
      </c>
      <c r="CY159">
        <f ca="1" xml:space="preserve"> IF( AND( OFFSET($A$1, 159 - 1, 101 - 1) = "1", OFFSET($A$1, 159 - 1, 102 - 1) = "1" ), 1, IF( AND( OFFSET($A$1, 159 - 1, 101 - 1) = "1", OFFSET($A$1, 159 - 1, 102 - 1) = "0" ), 2, IF( AND( OFFSET($A$1, 159 - 1, 101 - 1) = "0", OFFSET($A$1, 159 - 1, 102 - 1) = "1" ), 3, 4 ) ) )</f>
        <v>1</v>
      </c>
    </row>
    <row r="160" spans="95:103" ht="13.8" x14ac:dyDescent="0.3">
      <c r="CQ160" s="24">
        <v>0.11454081857222204</v>
      </c>
      <c r="CR160" s="24" t="str">
        <f>"0"</f>
        <v>0</v>
      </c>
      <c r="CS160" t="str">
        <f ca="1">IF((OFFSET($A$1, 160 - 1, 95 - 1)) &gt;= (OFFSET($A$1, 56 - 1, 7 - 1)), "1","0")</f>
        <v>0</v>
      </c>
      <c r="CT160">
        <f ca="1" xml:space="preserve"> IF( AND( OFFSET($A$1, 160 - 1, 96 - 1) = "1", OFFSET($A$1, 160 - 1, 97 - 1) = "1" ), 1, IF( AND( OFFSET($A$1, 160 - 1, 96 - 1) = "1", OFFSET($A$1, 160 - 1, 97 - 1) = "0" ), 2, IF( AND( OFFSET($A$1, 160 - 1, 96 - 1) = "0", OFFSET($A$1, 160 - 1, 97 - 1) = "1" ), 3, 4 ) ) )</f>
        <v>4</v>
      </c>
      <c r="CV160" s="24">
        <v>0.99927087088255417</v>
      </c>
      <c r="CW160" s="24" t="str">
        <f>"1"</f>
        <v>1</v>
      </c>
      <c r="CX160" t="str">
        <f ca="1">IF((OFFSET($A$1, 160 - 1, 100 - 1)) &gt;= (OFFSET($A$1, 80 - 1, 7 - 1)), "1","0")</f>
        <v>1</v>
      </c>
      <c r="CY160">
        <f ca="1" xml:space="preserve"> IF( AND( OFFSET($A$1, 160 - 1, 101 - 1) = "1", OFFSET($A$1, 160 - 1, 102 - 1) = "1" ), 1, IF( AND( OFFSET($A$1, 160 - 1, 101 - 1) = "1", OFFSET($A$1, 160 - 1, 102 - 1) = "0" ), 2, IF( AND( OFFSET($A$1, 160 - 1, 101 - 1) = "0", OFFSET($A$1, 160 - 1, 102 - 1) = "1" ), 3, 4 ) ) )</f>
        <v>1</v>
      </c>
    </row>
    <row r="161" spans="95:103" ht="13.8" x14ac:dyDescent="0.3">
      <c r="CQ161" s="24">
        <v>0.84539312317697701</v>
      </c>
      <c r="CR161" s="24" t="str">
        <f>"1"</f>
        <v>1</v>
      </c>
      <c r="CS161" t="str">
        <f ca="1">IF((OFFSET($A$1, 161 - 1, 95 - 1)) &gt;= (OFFSET($A$1, 56 - 1, 7 - 1)), "1","0")</f>
        <v>1</v>
      </c>
      <c r="CT161">
        <f ca="1" xml:space="preserve"> IF( AND( OFFSET($A$1, 161 - 1, 96 - 1) = "1", OFFSET($A$1, 161 - 1, 97 - 1) = "1" ), 1, IF( AND( OFFSET($A$1, 161 - 1, 96 - 1) = "1", OFFSET($A$1, 161 - 1, 97 - 1) = "0" ), 2, IF( AND( OFFSET($A$1, 161 - 1, 96 - 1) = "0", OFFSET($A$1, 161 - 1, 97 - 1) = "1" ), 3, 4 ) ) )</f>
        <v>1</v>
      </c>
      <c r="CV161" s="24">
        <v>0.98770858902038583</v>
      </c>
      <c r="CW161" s="24" t="str">
        <f>"1"</f>
        <v>1</v>
      </c>
      <c r="CX161" t="str">
        <f ca="1">IF((OFFSET($A$1, 161 - 1, 100 - 1)) &gt;= (OFFSET($A$1, 80 - 1, 7 - 1)), "1","0")</f>
        <v>1</v>
      </c>
      <c r="CY161">
        <f ca="1" xml:space="preserve"> IF( AND( OFFSET($A$1, 161 - 1, 101 - 1) = "1", OFFSET($A$1, 161 - 1, 102 - 1) = "1" ), 1, IF( AND( OFFSET($A$1, 161 - 1, 101 - 1) = "1", OFFSET($A$1, 161 - 1, 102 - 1) = "0" ), 2, IF( AND( OFFSET($A$1, 161 - 1, 101 - 1) = "0", OFFSET($A$1, 161 - 1, 102 - 1) = "1" ), 3, 4 ) ) )</f>
        <v>1</v>
      </c>
    </row>
    <row r="162" spans="95:103" ht="13.8" x14ac:dyDescent="0.3">
      <c r="CQ162" s="24">
        <v>0.99786680768206615</v>
      </c>
      <c r="CR162" s="24" t="str">
        <f>"1"</f>
        <v>1</v>
      </c>
      <c r="CS162" t="str">
        <f ca="1">IF((OFFSET($A$1, 162 - 1, 95 - 1)) &gt;= (OFFSET($A$1, 56 - 1, 7 - 1)), "1","0")</f>
        <v>1</v>
      </c>
      <c r="CT162">
        <f ca="1" xml:space="preserve"> IF( AND( OFFSET($A$1, 162 - 1, 96 - 1) = "1", OFFSET($A$1, 162 - 1, 97 - 1) = "1" ), 1, IF( AND( OFFSET($A$1, 162 - 1, 96 - 1) = "1", OFFSET($A$1, 162 - 1, 97 - 1) = "0" ), 2, IF( AND( OFFSET($A$1, 162 - 1, 96 - 1) = "0", OFFSET($A$1, 162 - 1, 97 - 1) = "1" ), 3, 4 ) ) )</f>
        <v>1</v>
      </c>
      <c r="CV162" s="24">
        <v>4.9309510533090524E-2</v>
      </c>
      <c r="CW162" s="24" t="str">
        <f>"0"</f>
        <v>0</v>
      </c>
      <c r="CX162" t="str">
        <f ca="1">IF((OFFSET($A$1, 162 - 1, 100 - 1)) &gt;= (OFFSET($A$1, 80 - 1, 7 - 1)), "1","0")</f>
        <v>0</v>
      </c>
      <c r="CY162">
        <f ca="1" xml:space="preserve"> IF( AND( OFFSET($A$1, 162 - 1, 101 - 1) = "1", OFFSET($A$1, 162 - 1, 102 - 1) = "1" ), 1, IF( AND( OFFSET($A$1, 162 - 1, 101 - 1) = "1", OFFSET($A$1, 162 - 1, 102 - 1) = "0" ), 2, IF( AND( OFFSET($A$1, 162 - 1, 101 - 1) = "0", OFFSET($A$1, 162 - 1, 102 - 1) = "1" ), 3, 4 ) ) )</f>
        <v>4</v>
      </c>
    </row>
    <row r="163" spans="95:103" ht="13.8" x14ac:dyDescent="0.3">
      <c r="CQ163" s="24">
        <v>6.5419532603092592E-2</v>
      </c>
      <c r="CR163" s="24" t="str">
        <f>"0"</f>
        <v>0</v>
      </c>
      <c r="CS163" t="str">
        <f ca="1">IF((OFFSET($A$1, 163 - 1, 95 - 1)) &gt;= (OFFSET($A$1, 56 - 1, 7 - 1)), "1","0")</f>
        <v>0</v>
      </c>
      <c r="CT163">
        <f ca="1" xml:space="preserve"> IF( AND( OFFSET($A$1, 163 - 1, 96 - 1) = "1", OFFSET($A$1, 163 - 1, 97 - 1) = "1" ), 1, IF( AND( OFFSET($A$1, 163 - 1, 96 - 1) = "1", OFFSET($A$1, 163 - 1, 97 - 1) = "0" ), 2, IF( AND( OFFSET($A$1, 163 - 1, 96 - 1) = "0", OFFSET($A$1, 163 - 1, 97 - 1) = "1" ), 3, 4 ) ) )</f>
        <v>4</v>
      </c>
      <c r="CV163" s="24">
        <v>0.57974099573386717</v>
      </c>
      <c r="CW163" s="24" t="str">
        <f>"1"</f>
        <v>1</v>
      </c>
      <c r="CX163" t="str">
        <f ca="1">IF((OFFSET($A$1, 163 - 1, 100 - 1)) &gt;= (OFFSET($A$1, 80 - 1, 7 - 1)), "1","0")</f>
        <v>1</v>
      </c>
      <c r="CY163">
        <f ca="1" xml:space="preserve"> IF( AND( OFFSET($A$1, 163 - 1, 101 - 1) = "1", OFFSET($A$1, 163 - 1, 102 - 1) = "1" ), 1, IF( AND( OFFSET($A$1, 163 - 1, 101 - 1) = "1", OFFSET($A$1, 163 - 1, 102 - 1) = "0" ), 2, IF( AND( OFFSET($A$1, 163 - 1, 101 - 1) = "0", OFFSET($A$1, 163 - 1, 102 - 1) = "1" ), 3, 4 ) ) )</f>
        <v>1</v>
      </c>
    </row>
    <row r="164" spans="95:103" ht="13.8" x14ac:dyDescent="0.3">
      <c r="CQ164" s="24">
        <v>0.99502271829354128</v>
      </c>
      <c r="CR164" s="24" t="str">
        <f>"1"</f>
        <v>1</v>
      </c>
      <c r="CS164" t="str">
        <f ca="1">IF((OFFSET($A$1, 164 - 1, 95 - 1)) &gt;= (OFFSET($A$1, 56 - 1, 7 - 1)), "1","0")</f>
        <v>1</v>
      </c>
      <c r="CT164">
        <f ca="1" xml:space="preserve"> IF( AND( OFFSET($A$1, 164 - 1, 96 - 1) = "1", OFFSET($A$1, 164 - 1, 97 - 1) = "1" ), 1, IF( AND( OFFSET($A$1, 164 - 1, 96 - 1) = "1", OFFSET($A$1, 164 - 1, 97 - 1) = "0" ), 2, IF( AND( OFFSET($A$1, 164 - 1, 96 - 1) = "0", OFFSET($A$1, 164 - 1, 97 - 1) = "1" ), 3, 4 ) ) )</f>
        <v>1</v>
      </c>
      <c r="CV164" s="24">
        <v>0.86943851412788165</v>
      </c>
      <c r="CW164" s="24" t="str">
        <f>"1"</f>
        <v>1</v>
      </c>
      <c r="CX164" t="str">
        <f ca="1">IF((OFFSET($A$1, 164 - 1, 100 - 1)) &gt;= (OFFSET($A$1, 80 - 1, 7 - 1)), "1","0")</f>
        <v>1</v>
      </c>
      <c r="CY164">
        <f ca="1" xml:space="preserve"> IF( AND( OFFSET($A$1, 164 - 1, 101 - 1) = "1", OFFSET($A$1, 164 - 1, 102 - 1) = "1" ), 1, IF( AND( OFFSET($A$1, 164 - 1, 101 - 1) = "1", OFFSET($A$1, 164 - 1, 102 - 1) = "0" ), 2, IF( AND( OFFSET($A$1, 164 - 1, 101 - 1) = "0", OFFSET($A$1, 164 - 1, 102 - 1) = "1" ), 3, 4 ) ) )</f>
        <v>1</v>
      </c>
    </row>
    <row r="165" spans="95:103" ht="13.8" x14ac:dyDescent="0.3">
      <c r="CQ165" s="24">
        <v>0.98061257651399802</v>
      </c>
      <c r="CR165" s="24" t="str">
        <f>"1"</f>
        <v>1</v>
      </c>
      <c r="CS165" t="str">
        <f ca="1">IF((OFFSET($A$1, 165 - 1, 95 - 1)) &gt;= (OFFSET($A$1, 56 - 1, 7 - 1)), "1","0")</f>
        <v>1</v>
      </c>
      <c r="CT165">
        <f ca="1" xml:space="preserve"> IF( AND( OFFSET($A$1, 165 - 1, 96 - 1) = "1", OFFSET($A$1, 165 - 1, 97 - 1) = "1" ), 1, IF( AND( OFFSET($A$1, 165 - 1, 96 - 1) = "1", OFFSET($A$1, 165 - 1, 97 - 1) = "0" ), 2, IF( AND( OFFSET($A$1, 165 - 1, 96 - 1) = "0", OFFSET($A$1, 165 - 1, 97 - 1) = "1" ), 3, 4 ) ) )</f>
        <v>1</v>
      </c>
      <c r="CV165" s="24">
        <v>0.99836529588217493</v>
      </c>
      <c r="CW165" s="24" t="str">
        <f>"0"</f>
        <v>0</v>
      </c>
      <c r="CX165" t="str">
        <f ca="1">IF((OFFSET($A$1, 165 - 1, 100 - 1)) &gt;= (OFFSET($A$1, 80 - 1, 7 - 1)), "1","0")</f>
        <v>1</v>
      </c>
      <c r="CY165">
        <f ca="1" xml:space="preserve"> IF( AND( OFFSET($A$1, 165 - 1, 101 - 1) = "1", OFFSET($A$1, 165 - 1, 102 - 1) = "1" ), 1, IF( AND( OFFSET($A$1, 165 - 1, 101 - 1) = "1", OFFSET($A$1, 165 - 1, 102 - 1) = "0" ), 2, IF( AND( OFFSET($A$1, 165 - 1, 101 - 1) = "0", OFFSET($A$1, 165 - 1, 102 - 1) = "1" ), 3, 4 ) ) )</f>
        <v>3</v>
      </c>
    </row>
    <row r="166" spans="95:103" ht="13.8" x14ac:dyDescent="0.3">
      <c r="CQ166" s="24">
        <v>0.11061162297891654</v>
      </c>
      <c r="CR166" s="24" t="str">
        <f>"0"</f>
        <v>0</v>
      </c>
      <c r="CS166" t="str">
        <f ca="1">IF((OFFSET($A$1, 166 - 1, 95 - 1)) &gt;= (OFFSET($A$1, 56 - 1, 7 - 1)), "1","0")</f>
        <v>0</v>
      </c>
      <c r="CT166">
        <f ca="1" xml:space="preserve"> IF( AND( OFFSET($A$1, 166 - 1, 96 - 1) = "1", OFFSET($A$1, 166 - 1, 97 - 1) = "1" ), 1, IF( AND( OFFSET($A$1, 166 - 1, 96 - 1) = "1", OFFSET($A$1, 166 - 1, 97 - 1) = "0" ), 2, IF( AND( OFFSET($A$1, 166 - 1, 96 - 1) = "0", OFFSET($A$1, 166 - 1, 97 - 1) = "1" ), 3, 4 ) ) )</f>
        <v>4</v>
      </c>
      <c r="CV166" s="24">
        <v>0.84849574489303581</v>
      </c>
      <c r="CW166" s="24" t="str">
        <f>"1"</f>
        <v>1</v>
      </c>
      <c r="CX166" t="str">
        <f ca="1">IF((OFFSET($A$1, 166 - 1, 100 - 1)) &gt;= (OFFSET($A$1, 80 - 1, 7 - 1)), "1","0")</f>
        <v>1</v>
      </c>
      <c r="CY166">
        <f ca="1" xml:space="preserve"> IF( AND( OFFSET($A$1, 166 - 1, 101 - 1) = "1", OFFSET($A$1, 166 - 1, 102 - 1) = "1" ), 1, IF( AND( OFFSET($A$1, 166 - 1, 101 - 1) = "1", OFFSET($A$1, 166 - 1, 102 - 1) = "0" ), 2, IF( AND( OFFSET($A$1, 166 - 1, 101 - 1) = "0", OFFSET($A$1, 166 - 1, 102 - 1) = "1" ), 3, 4 ) ) )</f>
        <v>1</v>
      </c>
    </row>
    <row r="167" spans="95:103" ht="13.8" x14ac:dyDescent="0.3">
      <c r="CQ167" s="24">
        <v>2.1645387311902079E-2</v>
      </c>
      <c r="CR167" s="24" t="str">
        <f>"0"</f>
        <v>0</v>
      </c>
      <c r="CS167" t="str">
        <f ca="1">IF((OFFSET($A$1, 167 - 1, 95 - 1)) &gt;= (OFFSET($A$1, 56 - 1, 7 - 1)), "1","0")</f>
        <v>0</v>
      </c>
      <c r="CT167">
        <f ca="1" xml:space="preserve"> IF( AND( OFFSET($A$1, 167 - 1, 96 - 1) = "1", OFFSET($A$1, 167 - 1, 97 - 1) = "1" ), 1, IF( AND( OFFSET($A$1, 167 - 1, 96 - 1) = "1", OFFSET($A$1, 167 - 1, 97 - 1) = "0" ), 2, IF( AND( OFFSET($A$1, 167 - 1, 96 - 1) = "0", OFFSET($A$1, 167 - 1, 97 - 1) = "1" ), 3, 4 ) ) )</f>
        <v>4</v>
      </c>
      <c r="CV167" s="24">
        <v>0.99998291145012508</v>
      </c>
      <c r="CW167" s="24" t="str">
        <f>"0"</f>
        <v>0</v>
      </c>
      <c r="CX167" t="str">
        <f ca="1">IF((OFFSET($A$1, 167 - 1, 100 - 1)) &gt;= (OFFSET($A$1, 80 - 1, 7 - 1)), "1","0")</f>
        <v>1</v>
      </c>
      <c r="CY167">
        <f ca="1" xml:space="preserve"> IF( AND( OFFSET($A$1, 167 - 1, 101 - 1) = "1", OFFSET($A$1, 167 - 1, 102 - 1) = "1" ), 1, IF( AND( OFFSET($A$1, 167 - 1, 101 - 1) = "1", OFFSET($A$1, 167 - 1, 102 - 1) = "0" ), 2, IF( AND( OFFSET($A$1, 167 - 1, 101 - 1) = "0", OFFSET($A$1, 167 - 1, 102 - 1) = "1" ), 3, 4 ) ) )</f>
        <v>3</v>
      </c>
    </row>
    <row r="168" spans="95:103" ht="13.8" x14ac:dyDescent="0.3">
      <c r="CQ168" s="24">
        <v>0.99692924236132074</v>
      </c>
      <c r="CR168" s="24" t="str">
        <f>"1"</f>
        <v>1</v>
      </c>
      <c r="CS168" t="str">
        <f ca="1">IF((OFFSET($A$1, 168 - 1, 95 - 1)) &gt;= (OFFSET($A$1, 56 - 1, 7 - 1)), "1","0")</f>
        <v>1</v>
      </c>
      <c r="CT168">
        <f ca="1" xml:space="preserve"> IF( AND( OFFSET($A$1, 168 - 1, 96 - 1) = "1", OFFSET($A$1, 168 - 1, 97 - 1) = "1" ), 1, IF( AND( OFFSET($A$1, 168 - 1, 96 - 1) = "1", OFFSET($A$1, 168 - 1, 97 - 1) = "0" ), 2, IF( AND( OFFSET($A$1, 168 - 1, 96 - 1) = "0", OFFSET($A$1, 168 - 1, 97 - 1) = "1" ), 3, 4 ) ) )</f>
        <v>1</v>
      </c>
      <c r="CV168" s="24">
        <v>0.83378824937607909</v>
      </c>
      <c r="CW168" s="24" t="str">
        <f>"0"</f>
        <v>0</v>
      </c>
      <c r="CX168" t="str">
        <f ca="1">IF((OFFSET($A$1, 168 - 1, 100 - 1)) &gt;= (OFFSET($A$1, 80 - 1, 7 - 1)), "1","0")</f>
        <v>1</v>
      </c>
      <c r="CY168">
        <f ca="1" xml:space="preserve"> IF( AND( OFFSET($A$1, 168 - 1, 101 - 1) = "1", OFFSET($A$1, 168 - 1, 102 - 1) = "1" ), 1, IF( AND( OFFSET($A$1, 168 - 1, 101 - 1) = "1", OFFSET($A$1, 168 - 1, 102 - 1) = "0" ), 2, IF( AND( OFFSET($A$1, 168 - 1, 101 - 1) = "0", OFFSET($A$1, 168 - 1, 102 - 1) = "1" ), 3, 4 ) ) )</f>
        <v>3</v>
      </c>
    </row>
    <row r="169" spans="95:103" ht="13.8" x14ac:dyDescent="0.3">
      <c r="CQ169" s="24">
        <v>0.99360785496440351</v>
      </c>
      <c r="CR169" s="24" t="str">
        <f>"1"</f>
        <v>1</v>
      </c>
      <c r="CS169" t="str">
        <f ca="1">IF((OFFSET($A$1, 169 - 1, 95 - 1)) &gt;= (OFFSET($A$1, 56 - 1, 7 - 1)), "1","0")</f>
        <v>1</v>
      </c>
      <c r="CT169">
        <f ca="1" xml:space="preserve"> IF( AND( OFFSET($A$1, 169 - 1, 96 - 1) = "1", OFFSET($A$1, 169 - 1, 97 - 1) = "1" ), 1, IF( AND( OFFSET($A$1, 169 - 1, 96 - 1) = "1", OFFSET($A$1, 169 - 1, 97 - 1) = "0" ), 2, IF( AND( OFFSET($A$1, 169 - 1, 96 - 1) = "0", OFFSET($A$1, 169 - 1, 97 - 1) = "1" ), 3, 4 ) ) )</f>
        <v>1</v>
      </c>
      <c r="CV169" s="24">
        <v>0.9663485693823326</v>
      </c>
      <c r="CW169" s="24" t="str">
        <f t="shared" ref="CW169:CW174" si="12">"1"</f>
        <v>1</v>
      </c>
      <c r="CX169" t="str">
        <f ca="1">IF((OFFSET($A$1, 169 - 1, 100 - 1)) &gt;= (OFFSET($A$1, 80 - 1, 7 - 1)), "1","0")</f>
        <v>1</v>
      </c>
      <c r="CY169">
        <f ca="1" xml:space="preserve"> IF( AND( OFFSET($A$1, 169 - 1, 101 - 1) = "1", OFFSET($A$1, 169 - 1, 102 - 1) = "1" ), 1, IF( AND( OFFSET($A$1, 169 - 1, 101 - 1) = "1", OFFSET($A$1, 169 - 1, 102 - 1) = "0" ), 2, IF( AND( OFFSET($A$1, 169 - 1, 101 - 1) = "0", OFFSET($A$1, 169 - 1, 102 - 1) = "1" ), 3, 4 ) ) )</f>
        <v>1</v>
      </c>
    </row>
    <row r="170" spans="95:103" ht="13.8" x14ac:dyDescent="0.3">
      <c r="CQ170" s="24">
        <v>0.99269048842654095</v>
      </c>
      <c r="CR170" s="24" t="str">
        <f>"1"</f>
        <v>1</v>
      </c>
      <c r="CS170" t="str">
        <f ca="1">IF((OFFSET($A$1, 170 - 1, 95 - 1)) &gt;= (OFFSET($A$1, 56 - 1, 7 - 1)), "1","0")</f>
        <v>1</v>
      </c>
      <c r="CT170">
        <f ca="1" xml:space="preserve"> IF( AND( OFFSET($A$1, 170 - 1, 96 - 1) = "1", OFFSET($A$1, 170 - 1, 97 - 1) = "1" ), 1, IF( AND( OFFSET($A$1, 170 - 1, 96 - 1) = "1", OFFSET($A$1, 170 - 1, 97 - 1) = "0" ), 2, IF( AND( OFFSET($A$1, 170 - 1, 96 - 1) = "0", OFFSET($A$1, 170 - 1, 97 - 1) = "1" ), 3, 4 ) ) )</f>
        <v>1</v>
      </c>
      <c r="CV170" s="24">
        <v>0.99978757653398154</v>
      </c>
      <c r="CW170" s="24" t="str">
        <f t="shared" si="12"/>
        <v>1</v>
      </c>
      <c r="CX170" t="str">
        <f ca="1">IF((OFFSET($A$1, 170 - 1, 100 - 1)) &gt;= (OFFSET($A$1, 80 - 1, 7 - 1)), "1","0")</f>
        <v>1</v>
      </c>
      <c r="CY170">
        <f ca="1" xml:space="preserve"> IF( AND( OFFSET($A$1, 170 - 1, 101 - 1) = "1", OFFSET($A$1, 170 - 1, 102 - 1) = "1" ), 1, IF( AND( OFFSET($A$1, 170 - 1, 101 - 1) = "1", OFFSET($A$1, 170 - 1, 102 - 1) = "0" ), 2, IF( AND( OFFSET($A$1, 170 - 1, 101 - 1) = "0", OFFSET($A$1, 170 - 1, 102 - 1) = "1" ), 3, 4 ) ) )</f>
        <v>1</v>
      </c>
    </row>
    <row r="171" spans="95:103" ht="13.8" x14ac:dyDescent="0.3">
      <c r="CQ171" s="24">
        <v>0.99987902283234864</v>
      </c>
      <c r="CR171" s="24" t="str">
        <f>"1"</f>
        <v>1</v>
      </c>
      <c r="CS171" t="str">
        <f ca="1">IF((OFFSET($A$1, 171 - 1, 95 - 1)) &gt;= (OFFSET($A$1, 56 - 1, 7 - 1)), "1","0")</f>
        <v>1</v>
      </c>
      <c r="CT171">
        <f ca="1" xml:space="preserve"> IF( AND( OFFSET($A$1, 171 - 1, 96 - 1) = "1", OFFSET($A$1, 171 - 1, 97 - 1) = "1" ), 1, IF( AND( OFFSET($A$1, 171 - 1, 96 - 1) = "1", OFFSET($A$1, 171 - 1, 97 - 1) = "0" ), 2, IF( AND( OFFSET($A$1, 171 - 1, 96 - 1) = "0", OFFSET($A$1, 171 - 1, 97 - 1) = "1" ), 3, 4 ) ) )</f>
        <v>1</v>
      </c>
      <c r="CV171" s="24">
        <v>0.99556257367310474</v>
      </c>
      <c r="CW171" s="24" t="str">
        <f t="shared" si="12"/>
        <v>1</v>
      </c>
      <c r="CX171" t="str">
        <f ca="1">IF((OFFSET($A$1, 171 - 1, 100 - 1)) &gt;= (OFFSET($A$1, 80 - 1, 7 - 1)), "1","0")</f>
        <v>1</v>
      </c>
      <c r="CY171">
        <f ca="1" xml:space="preserve"> IF( AND( OFFSET($A$1, 171 - 1, 101 - 1) = "1", OFFSET($A$1, 171 - 1, 102 - 1) = "1" ), 1, IF( AND( OFFSET($A$1, 171 - 1, 101 - 1) = "1", OFFSET($A$1, 171 - 1, 102 - 1) = "0" ), 2, IF( AND( OFFSET($A$1, 171 - 1, 101 - 1) = "0", OFFSET($A$1, 171 - 1, 102 - 1) = "1" ), 3, 4 ) ) )</f>
        <v>1</v>
      </c>
    </row>
    <row r="172" spans="95:103" ht="13.8" x14ac:dyDescent="0.3">
      <c r="CQ172" s="24">
        <v>0.87698237454236583</v>
      </c>
      <c r="CR172" s="24" t="str">
        <f>"1"</f>
        <v>1</v>
      </c>
      <c r="CS172" t="str">
        <f ca="1">IF((OFFSET($A$1, 172 - 1, 95 - 1)) &gt;= (OFFSET($A$1, 56 - 1, 7 - 1)), "1","0")</f>
        <v>1</v>
      </c>
      <c r="CT172">
        <f ca="1" xml:space="preserve"> IF( AND( OFFSET($A$1, 172 - 1, 96 - 1) = "1", OFFSET($A$1, 172 - 1, 97 - 1) = "1" ), 1, IF( AND( OFFSET($A$1, 172 - 1, 96 - 1) = "1", OFFSET($A$1, 172 - 1, 97 - 1) = "0" ), 2, IF( AND( OFFSET($A$1, 172 - 1, 96 - 1) = "0", OFFSET($A$1, 172 - 1, 97 - 1) = "1" ), 3, 4 ) ) )</f>
        <v>1</v>
      </c>
      <c r="CV172" s="24">
        <v>0.99993268398376822</v>
      </c>
      <c r="CW172" s="24" t="str">
        <f t="shared" si="12"/>
        <v>1</v>
      </c>
      <c r="CX172" t="str">
        <f ca="1">IF((OFFSET($A$1, 172 - 1, 100 - 1)) &gt;= (OFFSET($A$1, 80 - 1, 7 - 1)), "1","0")</f>
        <v>1</v>
      </c>
      <c r="CY172">
        <f ca="1" xml:space="preserve"> IF( AND( OFFSET($A$1, 172 - 1, 101 - 1) = "1", OFFSET($A$1, 172 - 1, 102 - 1) = "1" ), 1, IF( AND( OFFSET($A$1, 172 - 1, 101 - 1) = "1", OFFSET($A$1, 172 - 1, 102 - 1) = "0" ), 2, IF( AND( OFFSET($A$1, 172 - 1, 101 - 1) = "0", OFFSET($A$1, 172 - 1, 102 - 1) = "1" ), 3, 4 ) ) )</f>
        <v>1</v>
      </c>
    </row>
    <row r="173" spans="95:103" ht="13.8" x14ac:dyDescent="0.3">
      <c r="CQ173" s="24">
        <v>0.21052676109099905</v>
      </c>
      <c r="CR173" s="24" t="str">
        <f>"0"</f>
        <v>0</v>
      </c>
      <c r="CS173" t="str">
        <f ca="1">IF((OFFSET($A$1, 173 - 1, 95 - 1)) &gt;= (OFFSET($A$1, 56 - 1, 7 - 1)), "1","0")</f>
        <v>0</v>
      </c>
      <c r="CT173">
        <f ca="1" xml:space="preserve"> IF( AND( OFFSET($A$1, 173 - 1, 96 - 1) = "1", OFFSET($A$1, 173 - 1, 97 - 1) = "1" ), 1, IF( AND( OFFSET($A$1, 173 - 1, 96 - 1) = "1", OFFSET($A$1, 173 - 1, 97 - 1) = "0" ), 2, IF( AND( OFFSET($A$1, 173 - 1, 96 - 1) = "0", OFFSET($A$1, 173 - 1, 97 - 1) = "1" ), 3, 4 ) ) )</f>
        <v>4</v>
      </c>
      <c r="CV173" s="24">
        <v>0.66093954309265257</v>
      </c>
      <c r="CW173" s="24" t="str">
        <f t="shared" si="12"/>
        <v>1</v>
      </c>
      <c r="CX173" t="str">
        <f ca="1">IF((OFFSET($A$1, 173 - 1, 100 - 1)) &gt;= (OFFSET($A$1, 80 - 1, 7 - 1)), "1","0")</f>
        <v>1</v>
      </c>
      <c r="CY173">
        <f ca="1" xml:space="preserve"> IF( AND( OFFSET($A$1, 173 - 1, 101 - 1) = "1", OFFSET($A$1, 173 - 1, 102 - 1) = "1" ), 1, IF( AND( OFFSET($A$1, 173 - 1, 101 - 1) = "1", OFFSET($A$1, 173 - 1, 102 - 1) = "0" ), 2, IF( AND( OFFSET($A$1, 173 - 1, 101 - 1) = "0", OFFSET($A$1, 173 - 1, 102 - 1) = "1" ), 3, 4 ) ) )</f>
        <v>1</v>
      </c>
    </row>
    <row r="174" spans="95:103" ht="13.8" x14ac:dyDescent="0.3">
      <c r="CQ174" s="24">
        <v>0.12150379896415089</v>
      </c>
      <c r="CR174" s="24" t="str">
        <f>"0"</f>
        <v>0</v>
      </c>
      <c r="CS174" t="str">
        <f ca="1">IF((OFFSET($A$1, 174 - 1, 95 - 1)) &gt;= (OFFSET($A$1, 56 - 1, 7 - 1)), "1","0")</f>
        <v>0</v>
      </c>
      <c r="CT174">
        <f ca="1" xml:space="preserve"> IF( AND( OFFSET($A$1, 174 - 1, 96 - 1) = "1", OFFSET($A$1, 174 - 1, 97 - 1) = "1" ), 1, IF( AND( OFFSET($A$1, 174 - 1, 96 - 1) = "1", OFFSET($A$1, 174 - 1, 97 - 1) = "0" ), 2, IF( AND( OFFSET($A$1, 174 - 1, 96 - 1) = "0", OFFSET($A$1, 174 - 1, 97 - 1) = "1" ), 3, 4 ) ) )</f>
        <v>4</v>
      </c>
      <c r="CV174" s="24">
        <v>0.93111132546880349</v>
      </c>
      <c r="CW174" s="24" t="str">
        <f t="shared" si="12"/>
        <v>1</v>
      </c>
      <c r="CX174" t="str">
        <f ca="1">IF((OFFSET($A$1, 174 - 1, 100 - 1)) &gt;= (OFFSET($A$1, 80 - 1, 7 - 1)), "1","0")</f>
        <v>1</v>
      </c>
      <c r="CY174">
        <f ca="1" xml:space="preserve"> IF( AND( OFFSET($A$1, 174 - 1, 101 - 1) = "1", OFFSET($A$1, 174 - 1, 102 - 1) = "1" ), 1, IF( AND( OFFSET($A$1, 174 - 1, 101 - 1) = "1", OFFSET($A$1, 174 - 1, 102 - 1) = "0" ), 2, IF( AND( OFFSET($A$1, 174 - 1, 101 - 1) = "0", OFFSET($A$1, 174 - 1, 102 - 1) = "1" ), 3, 4 ) ) )</f>
        <v>1</v>
      </c>
    </row>
    <row r="175" spans="95:103" ht="13.8" x14ac:dyDescent="0.3">
      <c r="CQ175" s="24">
        <v>0.32911221355268089</v>
      </c>
      <c r="CR175" s="24" t="str">
        <f>"0"</f>
        <v>0</v>
      </c>
      <c r="CS175" t="str">
        <f ca="1">IF((OFFSET($A$1, 175 - 1, 95 - 1)) &gt;= (OFFSET($A$1, 56 - 1, 7 - 1)), "1","0")</f>
        <v>0</v>
      </c>
      <c r="CT175">
        <f ca="1" xml:space="preserve"> IF( AND( OFFSET($A$1, 175 - 1, 96 - 1) = "1", OFFSET($A$1, 175 - 1, 97 - 1) = "1" ), 1, IF( AND( OFFSET($A$1, 175 - 1, 96 - 1) = "1", OFFSET($A$1, 175 - 1, 97 - 1) = "0" ), 2, IF( AND( OFFSET($A$1, 175 - 1, 96 - 1) = "0", OFFSET($A$1, 175 - 1, 97 - 1) = "1" ), 3, 4 ) ) )</f>
        <v>4</v>
      </c>
      <c r="CV175" s="24">
        <v>0.89597039147688085</v>
      </c>
      <c r="CW175" s="24" t="str">
        <f>"0"</f>
        <v>0</v>
      </c>
      <c r="CX175" t="str">
        <f ca="1">IF((OFFSET($A$1, 175 - 1, 100 - 1)) &gt;= (OFFSET($A$1, 80 - 1, 7 - 1)), "1","0")</f>
        <v>1</v>
      </c>
      <c r="CY175">
        <f ca="1" xml:space="preserve"> IF( AND( OFFSET($A$1, 175 - 1, 101 - 1) = "1", OFFSET($A$1, 175 - 1, 102 - 1) = "1" ), 1, IF( AND( OFFSET($A$1, 175 - 1, 101 - 1) = "1", OFFSET($A$1, 175 - 1, 102 - 1) = "0" ), 2, IF( AND( OFFSET($A$1, 175 - 1, 101 - 1) = "0", OFFSET($A$1, 175 - 1, 102 - 1) = "1" ), 3, 4 ) ) )</f>
        <v>3</v>
      </c>
    </row>
    <row r="176" spans="95:103" ht="13.8" x14ac:dyDescent="0.3">
      <c r="CQ176" s="24">
        <v>5.5402652614573708E-2</v>
      </c>
      <c r="CR176" s="24" t="str">
        <f>"0"</f>
        <v>0</v>
      </c>
      <c r="CS176" t="str">
        <f ca="1">IF((OFFSET($A$1, 176 - 1, 95 - 1)) &gt;= (OFFSET($A$1, 56 - 1, 7 - 1)), "1","0")</f>
        <v>0</v>
      </c>
      <c r="CT176">
        <f ca="1" xml:space="preserve"> IF( AND( OFFSET($A$1, 176 - 1, 96 - 1) = "1", OFFSET($A$1, 176 - 1, 97 - 1) = "1" ), 1, IF( AND( OFFSET($A$1, 176 - 1, 96 - 1) = "1", OFFSET($A$1, 176 - 1, 97 - 1) = "0" ), 2, IF( AND( OFFSET($A$1, 176 - 1, 96 - 1) = "0", OFFSET($A$1, 176 - 1, 97 - 1) = "1" ), 3, 4 ) ) )</f>
        <v>4</v>
      </c>
      <c r="CV176" s="24">
        <v>0.99006351669740922</v>
      </c>
      <c r="CW176" s="24" t="str">
        <f>"1"</f>
        <v>1</v>
      </c>
      <c r="CX176" t="str">
        <f ca="1">IF((OFFSET($A$1, 176 - 1, 100 - 1)) &gt;= (OFFSET($A$1, 80 - 1, 7 - 1)), "1","0")</f>
        <v>1</v>
      </c>
      <c r="CY176">
        <f ca="1" xml:space="preserve"> IF( AND( OFFSET($A$1, 176 - 1, 101 - 1) = "1", OFFSET($A$1, 176 - 1, 102 - 1) = "1" ), 1, IF( AND( OFFSET($A$1, 176 - 1, 101 - 1) = "1", OFFSET($A$1, 176 - 1, 102 - 1) = "0" ), 2, IF( AND( OFFSET($A$1, 176 - 1, 101 - 1) = "0", OFFSET($A$1, 176 - 1, 102 - 1) = "1" ), 3, 4 ) ) )</f>
        <v>1</v>
      </c>
    </row>
    <row r="177" spans="95:103" ht="13.8" x14ac:dyDescent="0.3">
      <c r="CQ177" s="24">
        <v>0.86425259618110517</v>
      </c>
      <c r="CR177" s="24" t="str">
        <f t="shared" ref="CR177:CR184" si="13">"1"</f>
        <v>1</v>
      </c>
      <c r="CS177" t="str">
        <f ca="1">IF((OFFSET($A$1, 177 - 1, 95 - 1)) &gt;= (OFFSET($A$1, 56 - 1, 7 - 1)), "1","0")</f>
        <v>1</v>
      </c>
      <c r="CT177">
        <f ca="1" xml:space="preserve"> IF( AND( OFFSET($A$1, 177 - 1, 96 - 1) = "1", OFFSET($A$1, 177 - 1, 97 - 1) = "1" ), 1, IF( AND( OFFSET($A$1, 177 - 1, 96 - 1) = "1", OFFSET($A$1, 177 - 1, 97 - 1) = "0" ), 2, IF( AND( OFFSET($A$1, 177 - 1, 96 - 1) = "0", OFFSET($A$1, 177 - 1, 97 - 1) = "1" ), 3, 4 ) ) )</f>
        <v>1</v>
      </c>
      <c r="CV177" s="24">
        <v>0.99942873634357521</v>
      </c>
      <c r="CW177" s="24" t="str">
        <f>"1"</f>
        <v>1</v>
      </c>
      <c r="CX177" t="str">
        <f ca="1">IF((OFFSET($A$1, 177 - 1, 100 - 1)) &gt;= (OFFSET($A$1, 80 - 1, 7 - 1)), "1","0")</f>
        <v>1</v>
      </c>
      <c r="CY177">
        <f ca="1" xml:space="preserve"> IF( AND( OFFSET($A$1, 177 - 1, 101 - 1) = "1", OFFSET($A$1, 177 - 1, 102 - 1) = "1" ), 1, IF( AND( OFFSET($A$1, 177 - 1, 101 - 1) = "1", OFFSET($A$1, 177 - 1, 102 - 1) = "0" ), 2, IF( AND( OFFSET($A$1, 177 - 1, 101 - 1) = "0", OFFSET($A$1, 177 - 1, 102 - 1) = "1" ), 3, 4 ) ) )</f>
        <v>1</v>
      </c>
    </row>
    <row r="178" spans="95:103" ht="13.8" x14ac:dyDescent="0.3">
      <c r="CQ178" s="24">
        <v>0.86840837359090495</v>
      </c>
      <c r="CR178" s="24" t="str">
        <f t="shared" si="13"/>
        <v>1</v>
      </c>
      <c r="CS178" t="str">
        <f ca="1">IF((OFFSET($A$1, 178 - 1, 95 - 1)) &gt;= (OFFSET($A$1, 56 - 1, 7 - 1)), "1","0")</f>
        <v>1</v>
      </c>
      <c r="CT178">
        <f ca="1" xml:space="preserve"> IF( AND( OFFSET($A$1, 178 - 1, 96 - 1) = "1", OFFSET($A$1, 178 - 1, 97 - 1) = "1" ), 1, IF( AND( OFFSET($A$1, 178 - 1, 96 - 1) = "1", OFFSET($A$1, 178 - 1, 97 - 1) = "0" ), 2, IF( AND( OFFSET($A$1, 178 - 1, 96 - 1) = "0", OFFSET($A$1, 178 - 1, 97 - 1) = "1" ), 3, 4 ) ) )</f>
        <v>1</v>
      </c>
      <c r="CV178" s="24">
        <v>0.87205519935232434</v>
      </c>
      <c r="CW178" s="24" t="str">
        <f>"1"</f>
        <v>1</v>
      </c>
      <c r="CX178" t="str">
        <f ca="1">IF((OFFSET($A$1, 178 - 1, 100 - 1)) &gt;= (OFFSET($A$1, 80 - 1, 7 - 1)), "1","0")</f>
        <v>1</v>
      </c>
      <c r="CY178">
        <f ca="1" xml:space="preserve"> IF( AND( OFFSET($A$1, 178 - 1, 101 - 1) = "1", OFFSET($A$1, 178 - 1, 102 - 1) = "1" ), 1, IF( AND( OFFSET($A$1, 178 - 1, 101 - 1) = "1", OFFSET($A$1, 178 - 1, 102 - 1) = "0" ), 2, IF( AND( OFFSET($A$1, 178 - 1, 101 - 1) = "0", OFFSET($A$1, 178 - 1, 102 - 1) = "1" ), 3, 4 ) ) )</f>
        <v>1</v>
      </c>
    </row>
    <row r="179" spans="95:103" ht="13.8" x14ac:dyDescent="0.3">
      <c r="CQ179" s="24">
        <v>0.9144351449640622</v>
      </c>
      <c r="CR179" s="24" t="str">
        <f t="shared" si="13"/>
        <v>1</v>
      </c>
      <c r="CS179" t="str">
        <f ca="1">IF((OFFSET($A$1, 179 - 1, 95 - 1)) &gt;= (OFFSET($A$1, 56 - 1, 7 - 1)), "1","0")</f>
        <v>1</v>
      </c>
      <c r="CT179">
        <f ca="1" xml:space="preserve"> IF( AND( OFFSET($A$1, 179 - 1, 96 - 1) = "1", OFFSET($A$1, 179 - 1, 97 - 1) = "1" ), 1, IF( AND( OFFSET($A$1, 179 - 1, 96 - 1) = "1", OFFSET($A$1, 179 - 1, 97 - 1) = "0" ), 2, IF( AND( OFFSET($A$1, 179 - 1, 96 - 1) = "0", OFFSET($A$1, 179 - 1, 97 - 1) = "1" ), 3, 4 ) ) )</f>
        <v>1</v>
      </c>
      <c r="CV179" s="24">
        <v>7.7460659363898954E-2</v>
      </c>
      <c r="CW179" s="24" t="str">
        <f>"0"</f>
        <v>0</v>
      </c>
      <c r="CX179" t="str">
        <f ca="1">IF((OFFSET($A$1, 179 - 1, 100 - 1)) &gt;= (OFFSET($A$1, 80 - 1, 7 - 1)), "1","0")</f>
        <v>0</v>
      </c>
      <c r="CY179">
        <f ca="1" xml:space="preserve"> IF( AND( OFFSET($A$1, 179 - 1, 101 - 1) = "1", OFFSET($A$1, 179 - 1, 102 - 1) = "1" ), 1, IF( AND( OFFSET($A$1, 179 - 1, 101 - 1) = "1", OFFSET($A$1, 179 - 1, 102 - 1) = "0" ), 2, IF( AND( OFFSET($A$1, 179 - 1, 101 - 1) = "0", OFFSET($A$1, 179 - 1, 102 - 1) = "1" ), 3, 4 ) ) )</f>
        <v>4</v>
      </c>
    </row>
    <row r="180" spans="95:103" ht="13.8" x14ac:dyDescent="0.3">
      <c r="CQ180" s="24">
        <v>0.95594892487990313</v>
      </c>
      <c r="CR180" s="24" t="str">
        <f t="shared" si="13"/>
        <v>1</v>
      </c>
      <c r="CS180" t="str">
        <f ca="1">IF((OFFSET($A$1, 180 - 1, 95 - 1)) &gt;= (OFFSET($A$1, 56 - 1, 7 - 1)), "1","0")</f>
        <v>1</v>
      </c>
      <c r="CT180">
        <f ca="1" xml:space="preserve"> IF( AND( OFFSET($A$1, 180 - 1, 96 - 1) = "1", OFFSET($A$1, 180 - 1, 97 - 1) = "1" ), 1, IF( AND( OFFSET($A$1, 180 - 1, 96 - 1) = "1", OFFSET($A$1, 180 - 1, 97 - 1) = "0" ), 2, IF( AND( OFFSET($A$1, 180 - 1, 96 - 1) = "0", OFFSET($A$1, 180 - 1, 97 - 1) = "1" ), 3, 4 ) ) )</f>
        <v>1</v>
      </c>
      <c r="CV180" s="24">
        <v>0.61823495035637277</v>
      </c>
      <c r="CW180" s="24" t="str">
        <f>"0"</f>
        <v>0</v>
      </c>
      <c r="CX180" t="str">
        <f ca="1">IF((OFFSET($A$1, 180 - 1, 100 - 1)) &gt;= (OFFSET($A$1, 80 - 1, 7 - 1)), "1","0")</f>
        <v>1</v>
      </c>
      <c r="CY180">
        <f ca="1" xml:space="preserve"> IF( AND( OFFSET($A$1, 180 - 1, 101 - 1) = "1", OFFSET($A$1, 180 - 1, 102 - 1) = "1" ), 1, IF( AND( OFFSET($A$1, 180 - 1, 101 - 1) = "1", OFFSET($A$1, 180 - 1, 102 - 1) = "0" ), 2, IF( AND( OFFSET($A$1, 180 - 1, 101 - 1) = "0", OFFSET($A$1, 180 - 1, 102 - 1) = "1" ), 3, 4 ) ) )</f>
        <v>3</v>
      </c>
    </row>
    <row r="181" spans="95:103" ht="13.8" x14ac:dyDescent="0.3">
      <c r="CQ181" s="24">
        <v>0.91936716668750051</v>
      </c>
      <c r="CR181" s="24" t="str">
        <f t="shared" si="13"/>
        <v>1</v>
      </c>
      <c r="CS181" t="str">
        <f ca="1">IF((OFFSET($A$1, 181 - 1, 95 - 1)) &gt;= (OFFSET($A$1, 56 - 1, 7 - 1)), "1","0")</f>
        <v>1</v>
      </c>
      <c r="CT181">
        <f ca="1" xml:space="preserve"> IF( AND( OFFSET($A$1, 181 - 1, 96 - 1) = "1", OFFSET($A$1, 181 - 1, 97 - 1) = "1" ), 1, IF( AND( OFFSET($A$1, 181 - 1, 96 - 1) = "1", OFFSET($A$1, 181 - 1, 97 - 1) = "0" ), 2, IF( AND( OFFSET($A$1, 181 - 1, 96 - 1) = "0", OFFSET($A$1, 181 - 1, 97 - 1) = "1" ), 3, 4 ) ) )</f>
        <v>1</v>
      </c>
      <c r="CV181" s="24">
        <v>0.25560849261690649</v>
      </c>
      <c r="CW181" s="24" t="str">
        <f>"0"</f>
        <v>0</v>
      </c>
      <c r="CX181" t="str">
        <f ca="1">IF((OFFSET($A$1, 181 - 1, 100 - 1)) &gt;= (OFFSET($A$1, 80 - 1, 7 - 1)), "1","0")</f>
        <v>0</v>
      </c>
      <c r="CY181">
        <f ca="1" xml:space="preserve"> IF( AND( OFFSET($A$1, 181 - 1, 101 - 1) = "1", OFFSET($A$1, 181 - 1, 102 - 1) = "1" ), 1, IF( AND( OFFSET($A$1, 181 - 1, 101 - 1) = "1", OFFSET($A$1, 181 - 1, 102 - 1) = "0" ), 2, IF( AND( OFFSET($A$1, 181 - 1, 101 - 1) = "0", OFFSET($A$1, 181 - 1, 102 - 1) = "1" ), 3, 4 ) ) )</f>
        <v>4</v>
      </c>
    </row>
    <row r="182" spans="95:103" ht="13.8" x14ac:dyDescent="0.3">
      <c r="CQ182" s="24">
        <v>0.89950144273044852</v>
      </c>
      <c r="CR182" s="24" t="str">
        <f t="shared" si="13"/>
        <v>1</v>
      </c>
      <c r="CS182" t="str">
        <f ca="1">IF((OFFSET($A$1, 182 - 1, 95 - 1)) &gt;= (OFFSET($A$1, 56 - 1, 7 - 1)), "1","0")</f>
        <v>1</v>
      </c>
      <c r="CT182">
        <f ca="1" xml:space="preserve"> IF( AND( OFFSET($A$1, 182 - 1, 96 - 1) = "1", OFFSET($A$1, 182 - 1, 97 - 1) = "1" ), 1, IF( AND( OFFSET($A$1, 182 - 1, 96 - 1) = "1", OFFSET($A$1, 182 - 1, 97 - 1) = "0" ), 2, IF( AND( OFFSET($A$1, 182 - 1, 96 - 1) = "0", OFFSET($A$1, 182 - 1, 97 - 1) = "1" ), 3, 4 ) ) )</f>
        <v>1</v>
      </c>
      <c r="CV182" s="24">
        <v>0.99786529132210633</v>
      </c>
      <c r="CW182" s="24" t="str">
        <f>"0"</f>
        <v>0</v>
      </c>
      <c r="CX182" t="str">
        <f ca="1">IF((OFFSET($A$1, 182 - 1, 100 - 1)) &gt;= (OFFSET($A$1, 80 - 1, 7 - 1)), "1","0")</f>
        <v>1</v>
      </c>
      <c r="CY182">
        <f ca="1" xml:space="preserve"> IF( AND( OFFSET($A$1, 182 - 1, 101 - 1) = "1", OFFSET($A$1, 182 - 1, 102 - 1) = "1" ), 1, IF( AND( OFFSET($A$1, 182 - 1, 101 - 1) = "1", OFFSET($A$1, 182 - 1, 102 - 1) = "0" ), 2, IF( AND( OFFSET($A$1, 182 - 1, 101 - 1) = "0", OFFSET($A$1, 182 - 1, 102 - 1) = "1" ), 3, 4 ) ) )</f>
        <v>3</v>
      </c>
    </row>
    <row r="183" spans="95:103" ht="13.8" x14ac:dyDescent="0.3">
      <c r="CQ183" s="24">
        <v>0.9960770874667213</v>
      </c>
      <c r="CR183" s="24" t="str">
        <f t="shared" si="13"/>
        <v>1</v>
      </c>
      <c r="CS183" t="str">
        <f ca="1">IF((OFFSET($A$1, 183 - 1, 95 - 1)) &gt;= (OFFSET($A$1, 56 - 1, 7 - 1)), "1","0")</f>
        <v>1</v>
      </c>
      <c r="CT183">
        <f ca="1" xml:space="preserve"> IF( AND( OFFSET($A$1, 183 - 1, 96 - 1) = "1", OFFSET($A$1, 183 - 1, 97 - 1) = "1" ), 1, IF( AND( OFFSET($A$1, 183 - 1, 96 - 1) = "1", OFFSET($A$1, 183 - 1, 97 - 1) = "0" ), 2, IF( AND( OFFSET($A$1, 183 - 1, 96 - 1) = "0", OFFSET($A$1, 183 - 1, 97 - 1) = "1" ), 3, 4 ) ) )</f>
        <v>1</v>
      </c>
      <c r="CV183" s="24">
        <v>0.94581228684575802</v>
      </c>
      <c r="CW183" s="24" t="str">
        <f>"1"</f>
        <v>1</v>
      </c>
      <c r="CX183" t="str">
        <f ca="1">IF((OFFSET($A$1, 183 - 1, 100 - 1)) &gt;= (OFFSET($A$1, 80 - 1, 7 - 1)), "1","0")</f>
        <v>1</v>
      </c>
      <c r="CY183">
        <f ca="1" xml:space="preserve"> IF( AND( OFFSET($A$1, 183 - 1, 101 - 1) = "1", OFFSET($A$1, 183 - 1, 102 - 1) = "1" ), 1, IF( AND( OFFSET($A$1, 183 - 1, 101 - 1) = "1", OFFSET($A$1, 183 - 1, 102 - 1) = "0" ), 2, IF( AND( OFFSET($A$1, 183 - 1, 101 - 1) = "0", OFFSET($A$1, 183 - 1, 102 - 1) = "1" ), 3, 4 ) ) )</f>
        <v>1</v>
      </c>
    </row>
    <row r="184" spans="95:103" ht="13.8" x14ac:dyDescent="0.3">
      <c r="CQ184" s="24">
        <v>0.99576275491185628</v>
      </c>
      <c r="CR184" s="24" t="str">
        <f t="shared" si="13"/>
        <v>1</v>
      </c>
      <c r="CS184" t="str">
        <f ca="1">IF((OFFSET($A$1, 184 - 1, 95 - 1)) &gt;= (OFFSET($A$1, 56 - 1, 7 - 1)), "1","0")</f>
        <v>1</v>
      </c>
      <c r="CT184">
        <f ca="1" xml:space="preserve"> IF( AND( OFFSET($A$1, 184 - 1, 96 - 1) = "1", OFFSET($A$1, 184 - 1, 97 - 1) = "1" ), 1, IF( AND( OFFSET($A$1, 184 - 1, 96 - 1) = "1", OFFSET($A$1, 184 - 1, 97 - 1) = "0" ), 2, IF( AND( OFFSET($A$1, 184 - 1, 96 - 1) = "0", OFFSET($A$1, 184 - 1, 97 - 1) = "1" ), 3, 4 ) ) )</f>
        <v>1</v>
      </c>
      <c r="CV184" s="24">
        <v>0.97792848081814709</v>
      </c>
      <c r="CW184" s="24" t="str">
        <f>"1"</f>
        <v>1</v>
      </c>
      <c r="CX184" t="str">
        <f ca="1">IF((OFFSET($A$1, 184 - 1, 100 - 1)) &gt;= (OFFSET($A$1, 80 - 1, 7 - 1)), "1","0")</f>
        <v>1</v>
      </c>
      <c r="CY184">
        <f ca="1" xml:space="preserve"> IF( AND( OFFSET($A$1, 184 - 1, 101 - 1) = "1", OFFSET($A$1, 184 - 1, 102 - 1) = "1" ), 1, IF( AND( OFFSET($A$1, 184 - 1, 101 - 1) = "1", OFFSET($A$1, 184 - 1, 102 - 1) = "0" ), 2, IF( AND( OFFSET($A$1, 184 - 1, 101 - 1) = "0", OFFSET($A$1, 184 - 1, 102 - 1) = "1" ), 3, 4 ) ) )</f>
        <v>1</v>
      </c>
    </row>
    <row r="185" spans="95:103" ht="13.8" x14ac:dyDescent="0.3">
      <c r="CQ185" s="24">
        <v>3.7881875818930786E-3</v>
      </c>
      <c r="CR185" s="24" t="str">
        <f>"0"</f>
        <v>0</v>
      </c>
      <c r="CS185" t="str">
        <f ca="1">IF((OFFSET($A$1, 185 - 1, 95 - 1)) &gt;= (OFFSET($A$1, 56 - 1, 7 - 1)), "1","0")</f>
        <v>0</v>
      </c>
      <c r="CT185">
        <f ca="1" xml:space="preserve"> IF( AND( OFFSET($A$1, 185 - 1, 96 - 1) = "1", OFFSET($A$1, 185 - 1, 97 - 1) = "1" ), 1, IF( AND( OFFSET($A$1, 185 - 1, 96 - 1) = "1", OFFSET($A$1, 185 - 1, 97 - 1) = "0" ), 2, IF( AND( OFFSET($A$1, 185 - 1, 96 - 1) = "0", OFFSET($A$1, 185 - 1, 97 - 1) = "1" ), 3, 4 ) ) )</f>
        <v>4</v>
      </c>
      <c r="CV185" s="24">
        <v>0.9079427016276016</v>
      </c>
      <c r="CW185" s="24" t="str">
        <f>"0"</f>
        <v>0</v>
      </c>
      <c r="CX185" t="str">
        <f ca="1">IF((OFFSET($A$1, 185 - 1, 100 - 1)) &gt;= (OFFSET($A$1, 80 - 1, 7 - 1)), "1","0")</f>
        <v>1</v>
      </c>
      <c r="CY185">
        <f ca="1" xml:space="preserve"> IF( AND( OFFSET($A$1, 185 - 1, 101 - 1) = "1", OFFSET($A$1, 185 - 1, 102 - 1) = "1" ), 1, IF( AND( OFFSET($A$1, 185 - 1, 101 - 1) = "1", OFFSET($A$1, 185 - 1, 102 - 1) = "0" ), 2, IF( AND( OFFSET($A$1, 185 - 1, 101 - 1) = "0", OFFSET($A$1, 185 - 1, 102 - 1) = "1" ), 3, 4 ) ) )</f>
        <v>3</v>
      </c>
    </row>
    <row r="186" spans="95:103" ht="13.8" x14ac:dyDescent="0.3">
      <c r="CQ186" s="24">
        <v>0.99998876693783922</v>
      </c>
      <c r="CR186" s="24" t="str">
        <f>"1"</f>
        <v>1</v>
      </c>
      <c r="CS186" t="str">
        <f ca="1">IF((OFFSET($A$1, 186 - 1, 95 - 1)) &gt;= (OFFSET($A$1, 56 - 1, 7 - 1)), "1","0")</f>
        <v>1</v>
      </c>
      <c r="CT186">
        <f ca="1" xml:space="preserve"> IF( AND( OFFSET($A$1, 186 - 1, 96 - 1) = "1", OFFSET($A$1, 186 - 1, 97 - 1) = "1" ), 1, IF( AND( OFFSET($A$1, 186 - 1, 96 - 1) = "1", OFFSET($A$1, 186 - 1, 97 - 1) = "0" ), 2, IF( AND( OFFSET($A$1, 186 - 1, 96 - 1) = "0", OFFSET($A$1, 186 - 1, 97 - 1) = "1" ), 3, 4 ) ) )</f>
        <v>1</v>
      </c>
      <c r="CV186" s="24">
        <v>0.99969774921618981</v>
      </c>
      <c r="CW186" s="24" t="str">
        <f>"1"</f>
        <v>1</v>
      </c>
      <c r="CX186" t="str">
        <f ca="1">IF((OFFSET($A$1, 186 - 1, 100 - 1)) &gt;= (OFFSET($A$1, 80 - 1, 7 - 1)), "1","0")</f>
        <v>1</v>
      </c>
      <c r="CY186">
        <f ca="1" xml:space="preserve"> IF( AND( OFFSET($A$1, 186 - 1, 101 - 1) = "1", OFFSET($A$1, 186 - 1, 102 - 1) = "1" ), 1, IF( AND( OFFSET($A$1, 186 - 1, 101 - 1) = "1", OFFSET($A$1, 186 - 1, 102 - 1) = "0" ), 2, IF( AND( OFFSET($A$1, 186 - 1, 101 - 1) = "0", OFFSET($A$1, 186 - 1, 102 - 1) = "1" ), 3, 4 ) ) )</f>
        <v>1</v>
      </c>
    </row>
    <row r="187" spans="95:103" ht="13.8" x14ac:dyDescent="0.3">
      <c r="CQ187" s="24">
        <v>0.9153940078949373</v>
      </c>
      <c r="CR187" s="24" t="str">
        <f>"1"</f>
        <v>1</v>
      </c>
      <c r="CS187" t="str">
        <f ca="1">IF((OFFSET($A$1, 187 - 1, 95 - 1)) &gt;= (OFFSET($A$1, 56 - 1, 7 - 1)), "1","0")</f>
        <v>1</v>
      </c>
      <c r="CT187">
        <f ca="1" xml:space="preserve"> IF( AND( OFFSET($A$1, 187 - 1, 96 - 1) = "1", OFFSET($A$1, 187 - 1, 97 - 1) = "1" ), 1, IF( AND( OFFSET($A$1, 187 - 1, 96 - 1) = "1", OFFSET($A$1, 187 - 1, 97 - 1) = "0" ), 2, IF( AND( OFFSET($A$1, 187 - 1, 96 - 1) = "0", OFFSET($A$1, 187 - 1, 97 - 1) = "1" ), 3, 4 ) ) )</f>
        <v>1</v>
      </c>
      <c r="CV187" s="24">
        <v>1.4169388163088348E-2</v>
      </c>
      <c r="CW187" s="24" t="str">
        <f>"0"</f>
        <v>0</v>
      </c>
      <c r="CX187" t="str">
        <f ca="1">IF((OFFSET($A$1, 187 - 1, 100 - 1)) &gt;= (OFFSET($A$1, 80 - 1, 7 - 1)), "1","0")</f>
        <v>0</v>
      </c>
      <c r="CY187">
        <f ca="1" xml:space="preserve"> IF( AND( OFFSET($A$1, 187 - 1, 101 - 1) = "1", OFFSET($A$1, 187 - 1, 102 - 1) = "1" ), 1, IF( AND( OFFSET($A$1, 187 - 1, 101 - 1) = "1", OFFSET($A$1, 187 - 1, 102 - 1) = "0" ), 2, IF( AND( OFFSET($A$1, 187 - 1, 101 - 1) = "0", OFFSET($A$1, 187 - 1, 102 - 1) = "1" ), 3, 4 ) ) )</f>
        <v>4</v>
      </c>
    </row>
    <row r="188" spans="95:103" ht="13.8" x14ac:dyDescent="0.3">
      <c r="CQ188" s="24">
        <v>0.99796780599678947</v>
      </c>
      <c r="CR188" s="24" t="str">
        <f>"1"</f>
        <v>1</v>
      </c>
      <c r="CS188" t="str">
        <f ca="1">IF((OFFSET($A$1, 188 - 1, 95 - 1)) &gt;= (OFFSET($A$1, 56 - 1, 7 - 1)), "1","0")</f>
        <v>1</v>
      </c>
      <c r="CT188">
        <f ca="1" xml:space="preserve"> IF( AND( OFFSET($A$1, 188 - 1, 96 - 1) = "1", OFFSET($A$1, 188 - 1, 97 - 1) = "1" ), 1, IF( AND( OFFSET($A$1, 188 - 1, 96 - 1) = "1", OFFSET($A$1, 188 - 1, 97 - 1) = "0" ), 2, IF( AND( OFFSET($A$1, 188 - 1, 96 - 1) = "0", OFFSET($A$1, 188 - 1, 97 - 1) = "1" ), 3, 4 ) ) )</f>
        <v>1</v>
      </c>
      <c r="CV188" s="24">
        <v>0.70432109370583051</v>
      </c>
      <c r="CW188" s="24" t="str">
        <f>"1"</f>
        <v>1</v>
      </c>
      <c r="CX188" t="str">
        <f ca="1">IF((OFFSET($A$1, 188 - 1, 100 - 1)) &gt;= (OFFSET($A$1, 80 - 1, 7 - 1)), "1","0")</f>
        <v>1</v>
      </c>
      <c r="CY188">
        <f ca="1" xml:space="preserve"> IF( AND( OFFSET($A$1, 188 - 1, 101 - 1) = "1", OFFSET($A$1, 188 - 1, 102 - 1) = "1" ), 1, IF( AND( OFFSET($A$1, 188 - 1, 101 - 1) = "1", OFFSET($A$1, 188 - 1, 102 - 1) = "0" ), 2, IF( AND( OFFSET($A$1, 188 - 1, 101 - 1) = "0", OFFSET($A$1, 188 - 1, 102 - 1) = "1" ), 3, 4 ) ) )</f>
        <v>1</v>
      </c>
    </row>
    <row r="189" spans="95:103" ht="13.8" x14ac:dyDescent="0.3">
      <c r="CQ189" s="24">
        <v>3.278231486468472E-2</v>
      </c>
      <c r="CR189" s="24" t="str">
        <f>"0"</f>
        <v>0</v>
      </c>
      <c r="CS189" t="str">
        <f ca="1">IF((OFFSET($A$1, 189 - 1, 95 - 1)) &gt;= (OFFSET($A$1, 56 - 1, 7 - 1)), "1","0")</f>
        <v>0</v>
      </c>
      <c r="CT189">
        <f ca="1" xml:space="preserve"> IF( AND( OFFSET($A$1, 189 - 1, 96 - 1) = "1", OFFSET($A$1, 189 - 1, 97 - 1) = "1" ), 1, IF( AND( OFFSET($A$1, 189 - 1, 96 - 1) = "1", OFFSET($A$1, 189 - 1, 97 - 1) = "0" ), 2, IF( AND( OFFSET($A$1, 189 - 1, 96 - 1) = "0", OFFSET($A$1, 189 - 1, 97 - 1) = "1" ), 3, 4 ) ) )</f>
        <v>4</v>
      </c>
      <c r="CV189" s="24">
        <v>0.99775067751992708</v>
      </c>
      <c r="CW189" s="24" t="str">
        <f>"1"</f>
        <v>1</v>
      </c>
      <c r="CX189" t="str">
        <f ca="1">IF((OFFSET($A$1, 189 - 1, 100 - 1)) &gt;= (OFFSET($A$1, 80 - 1, 7 - 1)), "1","0")</f>
        <v>1</v>
      </c>
      <c r="CY189">
        <f ca="1" xml:space="preserve"> IF( AND( OFFSET($A$1, 189 - 1, 101 - 1) = "1", OFFSET($A$1, 189 - 1, 102 - 1) = "1" ), 1, IF( AND( OFFSET($A$1, 189 - 1, 101 - 1) = "1", OFFSET($A$1, 189 - 1, 102 - 1) = "0" ), 2, IF( AND( OFFSET($A$1, 189 - 1, 101 - 1) = "0", OFFSET($A$1, 189 - 1, 102 - 1) = "1" ), 3, 4 ) ) )</f>
        <v>1</v>
      </c>
    </row>
    <row r="190" spans="95:103" ht="13.8" x14ac:dyDescent="0.3">
      <c r="CQ190" s="24">
        <v>0.86857664747224494</v>
      </c>
      <c r="CR190" s="24" t="str">
        <f>"1"</f>
        <v>1</v>
      </c>
      <c r="CS190" t="str">
        <f ca="1">IF((OFFSET($A$1, 190 - 1, 95 - 1)) &gt;= (OFFSET($A$1, 56 - 1, 7 - 1)), "1","0")</f>
        <v>1</v>
      </c>
      <c r="CT190">
        <f ca="1" xml:space="preserve"> IF( AND( OFFSET($A$1, 190 - 1, 96 - 1) = "1", OFFSET($A$1, 190 - 1, 97 - 1) = "1" ), 1, IF( AND( OFFSET($A$1, 190 - 1, 96 - 1) = "1", OFFSET($A$1, 190 - 1, 97 - 1) = "0" ), 2, IF( AND( OFFSET($A$1, 190 - 1, 96 - 1) = "0", OFFSET($A$1, 190 - 1, 97 - 1) = "1" ), 3, 4 ) ) )</f>
        <v>1</v>
      </c>
      <c r="CV190" s="24">
        <v>0.98460379088524008</v>
      </c>
      <c r="CW190" s="24" t="str">
        <f>"1"</f>
        <v>1</v>
      </c>
      <c r="CX190" t="str">
        <f ca="1">IF((OFFSET($A$1, 190 - 1, 100 - 1)) &gt;= (OFFSET($A$1, 80 - 1, 7 - 1)), "1","0")</f>
        <v>1</v>
      </c>
      <c r="CY190">
        <f ca="1" xml:space="preserve"> IF( AND( OFFSET($A$1, 190 - 1, 101 - 1) = "1", OFFSET($A$1, 190 - 1, 102 - 1) = "1" ), 1, IF( AND( OFFSET($A$1, 190 - 1, 101 - 1) = "1", OFFSET($A$1, 190 - 1, 102 - 1) = "0" ), 2, IF( AND( OFFSET($A$1, 190 - 1, 101 - 1) = "0", OFFSET($A$1, 190 - 1, 102 - 1) = "1" ), 3, 4 ) ) )</f>
        <v>1</v>
      </c>
    </row>
    <row r="191" spans="95:103" ht="13.8" x14ac:dyDescent="0.3">
      <c r="CQ191" s="24">
        <v>0.99955952036055984</v>
      </c>
      <c r="CR191" s="24" t="str">
        <f>"1"</f>
        <v>1</v>
      </c>
      <c r="CS191" t="str">
        <f ca="1">IF((OFFSET($A$1, 191 - 1, 95 - 1)) &gt;= (OFFSET($A$1, 56 - 1, 7 - 1)), "1","0")</f>
        <v>1</v>
      </c>
      <c r="CT191">
        <f ca="1" xml:space="preserve"> IF( AND( OFFSET($A$1, 191 - 1, 96 - 1) = "1", OFFSET($A$1, 191 - 1, 97 - 1) = "1" ), 1, IF( AND( OFFSET($A$1, 191 - 1, 96 - 1) = "1", OFFSET($A$1, 191 - 1, 97 - 1) = "0" ), 2, IF( AND( OFFSET($A$1, 191 - 1, 96 - 1) = "0", OFFSET($A$1, 191 - 1, 97 - 1) = "1" ), 3, 4 ) ) )</f>
        <v>1</v>
      </c>
      <c r="CV191" s="24">
        <v>0.82162390384694539</v>
      </c>
      <c r="CW191" s="24" t="str">
        <f>"1"</f>
        <v>1</v>
      </c>
      <c r="CX191" t="str">
        <f ca="1">IF((OFFSET($A$1, 191 - 1, 100 - 1)) &gt;= (OFFSET($A$1, 80 - 1, 7 - 1)), "1","0")</f>
        <v>1</v>
      </c>
      <c r="CY191">
        <f ca="1" xml:space="preserve"> IF( AND( OFFSET($A$1, 191 - 1, 101 - 1) = "1", OFFSET($A$1, 191 - 1, 102 - 1) = "1" ), 1, IF( AND( OFFSET($A$1, 191 - 1, 101 - 1) = "1", OFFSET($A$1, 191 - 1, 102 - 1) = "0" ), 2, IF( AND( OFFSET($A$1, 191 - 1, 101 - 1) = "0", OFFSET($A$1, 191 - 1, 102 - 1) = "1" ), 3, 4 ) ) )</f>
        <v>1</v>
      </c>
    </row>
    <row r="192" spans="95:103" ht="13.8" x14ac:dyDescent="0.3">
      <c r="CQ192" s="24">
        <v>0.98879251155870596</v>
      </c>
      <c r="CR192" s="24" t="str">
        <f>"1"</f>
        <v>1</v>
      </c>
      <c r="CS192" t="str">
        <f ca="1">IF((OFFSET($A$1, 192 - 1, 95 - 1)) &gt;= (OFFSET($A$1, 56 - 1, 7 - 1)), "1","0")</f>
        <v>1</v>
      </c>
      <c r="CT192">
        <f ca="1" xml:space="preserve"> IF( AND( OFFSET($A$1, 192 - 1, 96 - 1) = "1", OFFSET($A$1, 192 - 1, 97 - 1) = "1" ), 1, IF( AND( OFFSET($A$1, 192 - 1, 96 - 1) = "1", OFFSET($A$1, 192 - 1, 97 - 1) = "0" ), 2, IF( AND( OFFSET($A$1, 192 - 1, 96 - 1) = "0", OFFSET($A$1, 192 - 1, 97 - 1) = "1" ), 3, 4 ) ) )</f>
        <v>1</v>
      </c>
      <c r="CV192" s="24">
        <v>0.98423820816870911</v>
      </c>
      <c r="CW192" s="24" t="str">
        <f>"1"</f>
        <v>1</v>
      </c>
      <c r="CX192" t="str">
        <f ca="1">IF((OFFSET($A$1, 192 - 1, 100 - 1)) &gt;= (OFFSET($A$1, 80 - 1, 7 - 1)), "1","0")</f>
        <v>1</v>
      </c>
      <c r="CY192">
        <f ca="1" xml:space="preserve"> IF( AND( OFFSET($A$1, 192 - 1, 101 - 1) = "1", OFFSET($A$1, 192 - 1, 102 - 1) = "1" ), 1, IF( AND( OFFSET($A$1, 192 - 1, 101 - 1) = "1", OFFSET($A$1, 192 - 1, 102 - 1) = "0" ), 2, IF( AND( OFFSET($A$1, 192 - 1, 101 - 1) = "0", OFFSET($A$1, 192 - 1, 102 - 1) = "1" ), 3, 4 ) ) )</f>
        <v>1</v>
      </c>
    </row>
    <row r="193" spans="95:103" ht="13.8" x14ac:dyDescent="0.3">
      <c r="CQ193" s="24">
        <v>6.4156899031178527E-3</v>
      </c>
      <c r="CR193" s="24" t="str">
        <f>"0"</f>
        <v>0</v>
      </c>
      <c r="CS193" t="str">
        <f ca="1">IF((OFFSET($A$1, 193 - 1, 95 - 1)) &gt;= (OFFSET($A$1, 56 - 1, 7 - 1)), "1","0")</f>
        <v>0</v>
      </c>
      <c r="CT193">
        <f ca="1" xml:space="preserve"> IF( AND( OFFSET($A$1, 193 - 1, 96 - 1) = "1", OFFSET($A$1, 193 - 1, 97 - 1) = "1" ), 1, IF( AND( OFFSET($A$1, 193 - 1, 96 - 1) = "1", OFFSET($A$1, 193 - 1, 97 - 1) = "0" ), 2, IF( AND( OFFSET($A$1, 193 - 1, 96 - 1) = "0", OFFSET($A$1, 193 - 1, 97 - 1) = "1" ), 3, 4 ) ) )</f>
        <v>4</v>
      </c>
      <c r="CV193" s="24">
        <v>0.34924539938301719</v>
      </c>
      <c r="CW193" s="24" t="str">
        <f>"0"</f>
        <v>0</v>
      </c>
      <c r="CX193" t="str">
        <f ca="1">IF((OFFSET($A$1, 193 - 1, 100 - 1)) &gt;= (OFFSET($A$1, 80 - 1, 7 - 1)), "1","0")</f>
        <v>0</v>
      </c>
      <c r="CY193">
        <f ca="1" xml:space="preserve"> IF( AND( OFFSET($A$1, 193 - 1, 101 - 1) = "1", OFFSET($A$1, 193 - 1, 102 - 1) = "1" ), 1, IF( AND( OFFSET($A$1, 193 - 1, 101 - 1) = "1", OFFSET($A$1, 193 - 1, 102 - 1) = "0" ), 2, IF( AND( OFFSET($A$1, 193 - 1, 101 - 1) = "0", OFFSET($A$1, 193 - 1, 102 - 1) = "1" ), 3, 4 ) ) )</f>
        <v>4</v>
      </c>
    </row>
    <row r="194" spans="95:103" ht="13.8" x14ac:dyDescent="0.3">
      <c r="CQ194" s="24">
        <v>0.16905508186591103</v>
      </c>
      <c r="CR194" s="24" t="str">
        <f>"0"</f>
        <v>0</v>
      </c>
      <c r="CS194" t="str">
        <f ca="1">IF((OFFSET($A$1, 194 - 1, 95 - 1)) &gt;= (OFFSET($A$1, 56 - 1, 7 - 1)), "1","0")</f>
        <v>0</v>
      </c>
      <c r="CT194">
        <f ca="1" xml:space="preserve"> IF( AND( OFFSET($A$1, 194 - 1, 96 - 1) = "1", OFFSET($A$1, 194 - 1, 97 - 1) = "1" ), 1, IF( AND( OFFSET($A$1, 194 - 1, 96 - 1) = "1", OFFSET($A$1, 194 - 1, 97 - 1) = "0" ), 2, IF( AND( OFFSET($A$1, 194 - 1, 96 - 1) = "0", OFFSET($A$1, 194 - 1, 97 - 1) = "1" ), 3, 4 ) ) )</f>
        <v>4</v>
      </c>
      <c r="CV194" s="24">
        <v>0.9939497945197453</v>
      </c>
      <c r="CW194" s="24" t="str">
        <f>"0"</f>
        <v>0</v>
      </c>
      <c r="CX194" t="str">
        <f ca="1">IF((OFFSET($A$1, 194 - 1, 100 - 1)) &gt;= (OFFSET($A$1, 80 - 1, 7 - 1)), "1","0")</f>
        <v>1</v>
      </c>
      <c r="CY194">
        <f ca="1" xml:space="preserve"> IF( AND( OFFSET($A$1, 194 - 1, 101 - 1) = "1", OFFSET($A$1, 194 - 1, 102 - 1) = "1" ), 1, IF( AND( OFFSET($A$1, 194 - 1, 101 - 1) = "1", OFFSET($A$1, 194 - 1, 102 - 1) = "0" ), 2, IF( AND( OFFSET($A$1, 194 - 1, 101 - 1) = "0", OFFSET($A$1, 194 - 1, 102 - 1) = "1" ), 3, 4 ) ) )</f>
        <v>3</v>
      </c>
    </row>
    <row r="195" spans="95:103" ht="13.8" x14ac:dyDescent="0.3">
      <c r="CQ195" s="24">
        <v>0.99770435028812465</v>
      </c>
      <c r="CR195" s="24" t="str">
        <f t="shared" ref="CR195:CR206" si="14">"1"</f>
        <v>1</v>
      </c>
      <c r="CS195" t="str">
        <f ca="1">IF((OFFSET($A$1, 195 - 1, 95 - 1)) &gt;= (OFFSET($A$1, 56 - 1, 7 - 1)), "1","0")</f>
        <v>1</v>
      </c>
      <c r="CT195">
        <f ca="1" xml:space="preserve"> IF( AND( OFFSET($A$1, 195 - 1, 96 - 1) = "1", OFFSET($A$1, 195 - 1, 97 - 1) = "1" ), 1, IF( AND( OFFSET($A$1, 195 - 1, 96 - 1) = "1", OFFSET($A$1, 195 - 1, 97 - 1) = "0" ), 2, IF( AND( OFFSET($A$1, 195 - 1, 96 - 1) = "0", OFFSET($A$1, 195 - 1, 97 - 1) = "1" ), 3, 4 ) ) )</f>
        <v>1</v>
      </c>
      <c r="CV195" s="24">
        <v>0.70736377267492678</v>
      </c>
      <c r="CW195" s="24" t="str">
        <f>"1"</f>
        <v>1</v>
      </c>
      <c r="CX195" t="str">
        <f ca="1">IF((OFFSET($A$1, 195 - 1, 100 - 1)) &gt;= (OFFSET($A$1, 80 - 1, 7 - 1)), "1","0")</f>
        <v>1</v>
      </c>
      <c r="CY195">
        <f ca="1" xml:space="preserve"> IF( AND( OFFSET($A$1, 195 - 1, 101 - 1) = "1", OFFSET($A$1, 195 - 1, 102 - 1) = "1" ), 1, IF( AND( OFFSET($A$1, 195 - 1, 101 - 1) = "1", OFFSET($A$1, 195 - 1, 102 - 1) = "0" ), 2, IF( AND( OFFSET($A$1, 195 - 1, 101 - 1) = "0", OFFSET($A$1, 195 - 1, 102 - 1) = "1" ), 3, 4 ) ) )</f>
        <v>1</v>
      </c>
    </row>
    <row r="196" spans="95:103" ht="13.8" x14ac:dyDescent="0.3">
      <c r="CQ196" s="24">
        <v>0.97844311531335348</v>
      </c>
      <c r="CR196" s="24" t="str">
        <f t="shared" si="14"/>
        <v>1</v>
      </c>
      <c r="CS196" t="str">
        <f ca="1">IF((OFFSET($A$1, 196 - 1, 95 - 1)) &gt;= (OFFSET($A$1, 56 - 1, 7 - 1)), "1","0")</f>
        <v>1</v>
      </c>
      <c r="CT196">
        <f ca="1" xml:space="preserve"> IF( AND( OFFSET($A$1, 196 - 1, 96 - 1) = "1", OFFSET($A$1, 196 - 1, 97 - 1) = "1" ), 1, IF( AND( OFFSET($A$1, 196 - 1, 96 - 1) = "1", OFFSET($A$1, 196 - 1, 97 - 1) = "0" ), 2, IF( AND( OFFSET($A$1, 196 - 1, 96 - 1) = "0", OFFSET($A$1, 196 - 1, 97 - 1) = "1" ), 3, 4 ) ) )</f>
        <v>1</v>
      </c>
      <c r="CV196" s="24">
        <v>0.99164471890440786</v>
      </c>
      <c r="CW196" s="24" t="str">
        <f>"1"</f>
        <v>1</v>
      </c>
      <c r="CX196" t="str">
        <f ca="1">IF((OFFSET($A$1, 196 - 1, 100 - 1)) &gt;= (OFFSET($A$1, 80 - 1, 7 - 1)), "1","0")</f>
        <v>1</v>
      </c>
      <c r="CY196">
        <f ca="1" xml:space="preserve"> IF( AND( OFFSET($A$1, 196 - 1, 101 - 1) = "1", OFFSET($A$1, 196 - 1, 102 - 1) = "1" ), 1, IF( AND( OFFSET($A$1, 196 - 1, 101 - 1) = "1", OFFSET($A$1, 196 - 1, 102 - 1) = "0" ), 2, IF( AND( OFFSET($A$1, 196 - 1, 101 - 1) = "0", OFFSET($A$1, 196 - 1, 102 - 1) = "1" ), 3, 4 ) ) )</f>
        <v>1</v>
      </c>
    </row>
    <row r="197" spans="95:103" ht="13.8" x14ac:dyDescent="0.3">
      <c r="CQ197" s="24">
        <v>0.99396064712768861</v>
      </c>
      <c r="CR197" s="24" t="str">
        <f t="shared" si="14"/>
        <v>1</v>
      </c>
      <c r="CS197" t="str">
        <f ca="1">IF((OFFSET($A$1, 197 - 1, 95 - 1)) &gt;= (OFFSET($A$1, 56 - 1, 7 - 1)), "1","0")</f>
        <v>1</v>
      </c>
      <c r="CT197">
        <f ca="1" xml:space="preserve"> IF( AND( OFFSET($A$1, 197 - 1, 96 - 1) = "1", OFFSET($A$1, 197 - 1, 97 - 1) = "1" ), 1, IF( AND( OFFSET($A$1, 197 - 1, 96 - 1) = "1", OFFSET($A$1, 197 - 1, 97 - 1) = "0" ), 2, IF( AND( OFFSET($A$1, 197 - 1, 96 - 1) = "0", OFFSET($A$1, 197 - 1, 97 - 1) = "1" ), 3, 4 ) ) )</f>
        <v>1</v>
      </c>
      <c r="CV197" s="24">
        <v>0.3041075707500604</v>
      </c>
      <c r="CW197" s="24" t="str">
        <f>"0"</f>
        <v>0</v>
      </c>
      <c r="CX197" t="str">
        <f ca="1">IF((OFFSET($A$1, 197 - 1, 100 - 1)) &gt;= (OFFSET($A$1, 80 - 1, 7 - 1)), "1","0")</f>
        <v>0</v>
      </c>
      <c r="CY197">
        <f ca="1" xml:space="preserve"> IF( AND( OFFSET($A$1, 197 - 1, 101 - 1) = "1", OFFSET($A$1, 197 - 1, 102 - 1) = "1" ), 1, IF( AND( OFFSET($A$1, 197 - 1, 101 - 1) = "1", OFFSET($A$1, 197 - 1, 102 - 1) = "0" ), 2, IF( AND( OFFSET($A$1, 197 - 1, 101 - 1) = "0", OFFSET($A$1, 197 - 1, 102 - 1) = "1" ), 3, 4 ) ) )</f>
        <v>4</v>
      </c>
    </row>
    <row r="198" spans="95:103" ht="13.8" x14ac:dyDescent="0.3">
      <c r="CQ198" s="24">
        <v>0.98582973278080344</v>
      </c>
      <c r="CR198" s="24" t="str">
        <f t="shared" si="14"/>
        <v>1</v>
      </c>
      <c r="CS198" t="str">
        <f ca="1">IF((OFFSET($A$1, 198 - 1, 95 - 1)) &gt;= (OFFSET($A$1, 56 - 1, 7 - 1)), "1","0")</f>
        <v>1</v>
      </c>
      <c r="CT198">
        <f ca="1" xml:space="preserve"> IF( AND( OFFSET($A$1, 198 - 1, 96 - 1) = "1", OFFSET($A$1, 198 - 1, 97 - 1) = "1" ), 1, IF( AND( OFFSET($A$1, 198 - 1, 96 - 1) = "1", OFFSET($A$1, 198 - 1, 97 - 1) = "0" ), 2, IF( AND( OFFSET($A$1, 198 - 1, 96 - 1) = "0", OFFSET($A$1, 198 - 1, 97 - 1) = "1" ), 3, 4 ) ) )</f>
        <v>1</v>
      </c>
      <c r="CV198" s="24">
        <v>0.99276262359619327</v>
      </c>
      <c r="CW198" s="24" t="str">
        <f>"1"</f>
        <v>1</v>
      </c>
      <c r="CX198" t="str">
        <f ca="1">IF((OFFSET($A$1, 198 - 1, 100 - 1)) &gt;= (OFFSET($A$1, 80 - 1, 7 - 1)), "1","0")</f>
        <v>1</v>
      </c>
      <c r="CY198">
        <f ca="1" xml:space="preserve"> IF( AND( OFFSET($A$1, 198 - 1, 101 - 1) = "1", OFFSET($A$1, 198 - 1, 102 - 1) = "1" ), 1, IF( AND( OFFSET($A$1, 198 - 1, 101 - 1) = "1", OFFSET($A$1, 198 - 1, 102 - 1) = "0" ), 2, IF( AND( OFFSET($A$1, 198 - 1, 101 - 1) = "0", OFFSET($A$1, 198 - 1, 102 - 1) = "1" ), 3, 4 ) ) )</f>
        <v>1</v>
      </c>
    </row>
    <row r="199" spans="95:103" ht="13.8" x14ac:dyDescent="0.3">
      <c r="CQ199" s="24">
        <v>0.99866011210956063</v>
      </c>
      <c r="CR199" s="24" t="str">
        <f t="shared" si="14"/>
        <v>1</v>
      </c>
      <c r="CS199" t="str">
        <f ca="1">IF((OFFSET($A$1, 199 - 1, 95 - 1)) &gt;= (OFFSET($A$1, 56 - 1, 7 - 1)), "1","0")</f>
        <v>1</v>
      </c>
      <c r="CT199">
        <f ca="1" xml:space="preserve"> IF( AND( OFFSET($A$1, 199 - 1, 96 - 1) = "1", OFFSET($A$1, 199 - 1, 97 - 1) = "1" ), 1, IF( AND( OFFSET($A$1, 199 - 1, 96 - 1) = "1", OFFSET($A$1, 199 - 1, 97 - 1) = "0" ), 2, IF( AND( OFFSET($A$1, 199 - 1, 96 - 1) = "0", OFFSET($A$1, 199 - 1, 97 - 1) = "1" ), 3, 4 ) ) )</f>
        <v>1</v>
      </c>
      <c r="CV199" s="24">
        <v>0.81250381883187706</v>
      </c>
      <c r="CW199" s="24" t="str">
        <f>"0"</f>
        <v>0</v>
      </c>
      <c r="CX199" t="str">
        <f ca="1">IF((OFFSET($A$1, 199 - 1, 100 - 1)) &gt;= (OFFSET($A$1, 80 - 1, 7 - 1)), "1","0")</f>
        <v>1</v>
      </c>
      <c r="CY199">
        <f ca="1" xml:space="preserve"> IF( AND( OFFSET($A$1, 199 - 1, 101 - 1) = "1", OFFSET($A$1, 199 - 1, 102 - 1) = "1" ), 1, IF( AND( OFFSET($A$1, 199 - 1, 101 - 1) = "1", OFFSET($A$1, 199 - 1, 102 - 1) = "0" ), 2, IF( AND( OFFSET($A$1, 199 - 1, 101 - 1) = "0", OFFSET($A$1, 199 - 1, 102 - 1) = "1" ), 3, 4 ) ) )</f>
        <v>3</v>
      </c>
    </row>
    <row r="200" spans="95:103" ht="13.8" x14ac:dyDescent="0.3">
      <c r="CQ200" s="24">
        <v>0.99277835685768745</v>
      </c>
      <c r="CR200" s="24" t="str">
        <f t="shared" si="14"/>
        <v>1</v>
      </c>
      <c r="CS200" t="str">
        <f ca="1">IF((OFFSET($A$1, 200 - 1, 95 - 1)) &gt;= (OFFSET($A$1, 56 - 1, 7 - 1)), "1","0")</f>
        <v>1</v>
      </c>
      <c r="CT200">
        <f ca="1" xml:space="preserve"> IF( AND( OFFSET($A$1, 200 - 1, 96 - 1) = "1", OFFSET($A$1, 200 - 1, 97 - 1) = "1" ), 1, IF( AND( OFFSET($A$1, 200 - 1, 96 - 1) = "1", OFFSET($A$1, 200 - 1, 97 - 1) = "0" ), 2, IF( AND( OFFSET($A$1, 200 - 1, 96 - 1) = "0", OFFSET($A$1, 200 - 1, 97 - 1) = "1" ), 3, 4 ) ) )</f>
        <v>1</v>
      </c>
      <c r="CV200" s="24">
        <v>0.64133736259985141</v>
      </c>
      <c r="CW200" s="24" t="str">
        <f>"1"</f>
        <v>1</v>
      </c>
      <c r="CX200" t="str">
        <f ca="1">IF((OFFSET($A$1, 200 - 1, 100 - 1)) &gt;= (OFFSET($A$1, 80 - 1, 7 - 1)), "1","0")</f>
        <v>1</v>
      </c>
      <c r="CY200">
        <f ca="1" xml:space="preserve"> IF( AND( OFFSET($A$1, 200 - 1, 101 - 1) = "1", OFFSET($A$1, 200 - 1, 102 - 1) = "1" ), 1, IF( AND( OFFSET($A$1, 200 - 1, 101 - 1) = "1", OFFSET($A$1, 200 - 1, 102 - 1) = "0" ), 2, IF( AND( OFFSET($A$1, 200 - 1, 101 - 1) = "0", OFFSET($A$1, 200 - 1, 102 - 1) = "1" ), 3, 4 ) ) )</f>
        <v>1</v>
      </c>
    </row>
    <row r="201" spans="95:103" ht="13.8" x14ac:dyDescent="0.3">
      <c r="CQ201" s="24">
        <v>0.95272469749848632</v>
      </c>
      <c r="CR201" s="24" t="str">
        <f t="shared" si="14"/>
        <v>1</v>
      </c>
      <c r="CS201" t="str">
        <f ca="1">IF((OFFSET($A$1, 201 - 1, 95 - 1)) &gt;= (OFFSET($A$1, 56 - 1, 7 - 1)), "1","0")</f>
        <v>1</v>
      </c>
      <c r="CT201">
        <f ca="1" xml:space="preserve"> IF( AND( OFFSET($A$1, 201 - 1, 96 - 1) = "1", OFFSET($A$1, 201 - 1, 97 - 1) = "1" ), 1, IF( AND( OFFSET($A$1, 201 - 1, 96 - 1) = "1", OFFSET($A$1, 201 - 1, 97 - 1) = "0" ), 2, IF( AND( OFFSET($A$1, 201 - 1, 96 - 1) = "0", OFFSET($A$1, 201 - 1, 97 - 1) = "1" ), 3, 4 ) ) )</f>
        <v>1</v>
      </c>
      <c r="CV201" s="24">
        <v>0.85470762639383158</v>
      </c>
      <c r="CW201" s="24" t="str">
        <f>"1"</f>
        <v>1</v>
      </c>
      <c r="CX201" t="str">
        <f ca="1">IF((OFFSET($A$1, 201 - 1, 100 - 1)) &gt;= (OFFSET($A$1, 80 - 1, 7 - 1)), "1","0")</f>
        <v>1</v>
      </c>
      <c r="CY201">
        <f ca="1" xml:space="preserve"> IF( AND( OFFSET($A$1, 201 - 1, 101 - 1) = "1", OFFSET($A$1, 201 - 1, 102 - 1) = "1" ), 1, IF( AND( OFFSET($A$1, 201 - 1, 101 - 1) = "1", OFFSET($A$1, 201 - 1, 102 - 1) = "0" ), 2, IF( AND( OFFSET($A$1, 201 - 1, 101 - 1) = "0", OFFSET($A$1, 201 - 1, 102 - 1) = "1" ), 3, 4 ) ) )</f>
        <v>1</v>
      </c>
    </row>
    <row r="202" spans="95:103" ht="13.8" x14ac:dyDescent="0.3">
      <c r="CQ202" s="24">
        <v>0.99446333094753059</v>
      </c>
      <c r="CR202" s="24" t="str">
        <f t="shared" si="14"/>
        <v>1</v>
      </c>
      <c r="CS202" t="str">
        <f ca="1">IF((OFFSET($A$1, 202 - 1, 95 - 1)) &gt;= (OFFSET($A$1, 56 - 1, 7 - 1)), "1","0")</f>
        <v>1</v>
      </c>
      <c r="CT202">
        <f ca="1" xml:space="preserve"> IF( AND( OFFSET($A$1, 202 - 1, 96 - 1) = "1", OFFSET($A$1, 202 - 1, 97 - 1) = "1" ), 1, IF( AND( OFFSET($A$1, 202 - 1, 96 - 1) = "1", OFFSET($A$1, 202 - 1, 97 - 1) = "0" ), 2, IF( AND( OFFSET($A$1, 202 - 1, 96 - 1) = "0", OFFSET($A$1, 202 - 1, 97 - 1) = "1" ), 3, 4 ) ) )</f>
        <v>1</v>
      </c>
      <c r="CV202" s="24">
        <v>9.3970248851843838E-2</v>
      </c>
      <c r="CW202" s="24" t="str">
        <f>"0"</f>
        <v>0</v>
      </c>
      <c r="CX202" t="str">
        <f ca="1">IF((OFFSET($A$1, 202 - 1, 100 - 1)) &gt;= (OFFSET($A$1, 80 - 1, 7 - 1)), "1","0")</f>
        <v>0</v>
      </c>
      <c r="CY202">
        <f ca="1" xml:space="preserve"> IF( AND( OFFSET($A$1, 202 - 1, 101 - 1) = "1", OFFSET($A$1, 202 - 1, 102 - 1) = "1" ), 1, IF( AND( OFFSET($A$1, 202 - 1, 101 - 1) = "1", OFFSET($A$1, 202 - 1, 102 - 1) = "0" ), 2, IF( AND( OFFSET($A$1, 202 - 1, 101 - 1) = "0", OFFSET($A$1, 202 - 1, 102 - 1) = "1" ), 3, 4 ) ) )</f>
        <v>4</v>
      </c>
    </row>
    <row r="203" spans="95:103" ht="13.8" x14ac:dyDescent="0.3">
      <c r="CQ203" s="24">
        <v>0.83081718259222614</v>
      </c>
      <c r="CR203" s="24" t="str">
        <f t="shared" si="14"/>
        <v>1</v>
      </c>
      <c r="CS203" t="str">
        <f ca="1">IF((OFFSET($A$1, 203 - 1, 95 - 1)) &gt;= (OFFSET($A$1, 56 - 1, 7 - 1)), "1","0")</f>
        <v>1</v>
      </c>
      <c r="CT203">
        <f ca="1" xml:space="preserve"> IF( AND( OFFSET($A$1, 203 - 1, 96 - 1) = "1", OFFSET($A$1, 203 - 1, 97 - 1) = "1" ), 1, IF( AND( OFFSET($A$1, 203 - 1, 96 - 1) = "1", OFFSET($A$1, 203 - 1, 97 - 1) = "0" ), 2, IF( AND( OFFSET($A$1, 203 - 1, 96 - 1) = "0", OFFSET($A$1, 203 - 1, 97 - 1) = "1" ), 3, 4 ) ) )</f>
        <v>1</v>
      </c>
      <c r="CV203" s="24">
        <v>0.96452688682891541</v>
      </c>
      <c r="CW203" s="24" t="str">
        <f>"1"</f>
        <v>1</v>
      </c>
      <c r="CX203" t="str">
        <f ca="1">IF((OFFSET($A$1, 203 - 1, 100 - 1)) &gt;= (OFFSET($A$1, 80 - 1, 7 - 1)), "1","0")</f>
        <v>1</v>
      </c>
      <c r="CY203">
        <f ca="1" xml:space="preserve"> IF( AND( OFFSET($A$1, 203 - 1, 101 - 1) = "1", OFFSET($A$1, 203 - 1, 102 - 1) = "1" ), 1, IF( AND( OFFSET($A$1, 203 - 1, 101 - 1) = "1", OFFSET($A$1, 203 - 1, 102 - 1) = "0" ), 2, IF( AND( OFFSET($A$1, 203 - 1, 101 - 1) = "0", OFFSET($A$1, 203 - 1, 102 - 1) = "1" ), 3, 4 ) ) )</f>
        <v>1</v>
      </c>
    </row>
    <row r="204" spans="95:103" ht="13.8" x14ac:dyDescent="0.3">
      <c r="CQ204" s="24">
        <v>0.96550499706075998</v>
      </c>
      <c r="CR204" s="24" t="str">
        <f t="shared" si="14"/>
        <v>1</v>
      </c>
      <c r="CS204" t="str">
        <f ca="1">IF((OFFSET($A$1, 204 - 1, 95 - 1)) &gt;= (OFFSET($A$1, 56 - 1, 7 - 1)), "1","0")</f>
        <v>1</v>
      </c>
      <c r="CT204">
        <f ca="1" xml:space="preserve"> IF( AND( OFFSET($A$1, 204 - 1, 96 - 1) = "1", OFFSET($A$1, 204 - 1, 97 - 1) = "1" ), 1, IF( AND( OFFSET($A$1, 204 - 1, 96 - 1) = "1", OFFSET($A$1, 204 - 1, 97 - 1) = "0" ), 2, IF( AND( OFFSET($A$1, 204 - 1, 96 - 1) = "0", OFFSET($A$1, 204 - 1, 97 - 1) = "1" ), 3, 4 ) ) )</f>
        <v>1</v>
      </c>
      <c r="CV204" s="24">
        <v>0.99682184301185972</v>
      </c>
      <c r="CW204" s="24" t="str">
        <f>"1"</f>
        <v>1</v>
      </c>
      <c r="CX204" t="str">
        <f ca="1">IF((OFFSET($A$1, 204 - 1, 100 - 1)) &gt;= (OFFSET($A$1, 80 - 1, 7 - 1)), "1","0")</f>
        <v>1</v>
      </c>
      <c r="CY204">
        <f ca="1" xml:space="preserve"> IF( AND( OFFSET($A$1, 204 - 1, 101 - 1) = "1", OFFSET($A$1, 204 - 1, 102 - 1) = "1" ), 1, IF( AND( OFFSET($A$1, 204 - 1, 101 - 1) = "1", OFFSET($A$1, 204 - 1, 102 - 1) = "0" ), 2, IF( AND( OFFSET($A$1, 204 - 1, 101 - 1) = "0", OFFSET($A$1, 204 - 1, 102 - 1) = "1" ), 3, 4 ) ) )</f>
        <v>1</v>
      </c>
    </row>
    <row r="205" spans="95:103" ht="13.8" x14ac:dyDescent="0.3">
      <c r="CQ205" s="24">
        <v>0.96433520803319217</v>
      </c>
      <c r="CR205" s="24" t="str">
        <f t="shared" si="14"/>
        <v>1</v>
      </c>
      <c r="CS205" t="str">
        <f ca="1">IF((OFFSET($A$1, 205 - 1, 95 - 1)) &gt;= (OFFSET($A$1, 56 - 1, 7 - 1)), "1","0")</f>
        <v>1</v>
      </c>
      <c r="CT205">
        <f ca="1" xml:space="preserve"> IF( AND( OFFSET($A$1, 205 - 1, 96 - 1) = "1", OFFSET($A$1, 205 - 1, 97 - 1) = "1" ), 1, IF( AND( OFFSET($A$1, 205 - 1, 96 - 1) = "1", OFFSET($A$1, 205 - 1, 97 - 1) = "0" ), 2, IF( AND( OFFSET($A$1, 205 - 1, 96 - 1) = "0", OFFSET($A$1, 205 - 1, 97 - 1) = "1" ), 3, 4 ) ) )</f>
        <v>1</v>
      </c>
      <c r="CV205" s="24">
        <v>0.99886140687312497</v>
      </c>
      <c r="CW205" s="24" t="str">
        <f>"1"</f>
        <v>1</v>
      </c>
      <c r="CX205" t="str">
        <f ca="1">IF((OFFSET($A$1, 205 - 1, 100 - 1)) &gt;= (OFFSET($A$1, 80 - 1, 7 - 1)), "1","0")</f>
        <v>1</v>
      </c>
      <c r="CY205">
        <f ca="1" xml:space="preserve"> IF( AND( OFFSET($A$1, 205 - 1, 101 - 1) = "1", OFFSET($A$1, 205 - 1, 102 - 1) = "1" ), 1, IF( AND( OFFSET($A$1, 205 - 1, 101 - 1) = "1", OFFSET($A$1, 205 - 1, 102 - 1) = "0" ), 2, IF( AND( OFFSET($A$1, 205 - 1, 101 - 1) = "0", OFFSET($A$1, 205 - 1, 102 - 1) = "1" ), 3, 4 ) ) )</f>
        <v>1</v>
      </c>
    </row>
    <row r="206" spans="95:103" ht="13.8" x14ac:dyDescent="0.3">
      <c r="CQ206" s="24">
        <v>0.84857126247778669</v>
      </c>
      <c r="CR206" s="24" t="str">
        <f t="shared" si="14"/>
        <v>1</v>
      </c>
      <c r="CS206" t="str">
        <f ca="1">IF((OFFSET($A$1, 206 - 1, 95 - 1)) &gt;= (OFFSET($A$1, 56 - 1, 7 - 1)), "1","0")</f>
        <v>1</v>
      </c>
      <c r="CT206">
        <f ca="1" xml:space="preserve"> IF( AND( OFFSET($A$1, 206 - 1, 96 - 1) = "1", OFFSET($A$1, 206 - 1, 97 - 1) = "1" ), 1, IF( AND( OFFSET($A$1, 206 - 1, 96 - 1) = "1", OFFSET($A$1, 206 - 1, 97 - 1) = "0" ), 2, IF( AND( OFFSET($A$1, 206 - 1, 96 - 1) = "0", OFFSET($A$1, 206 - 1, 97 - 1) = "1" ), 3, 4 ) ) )</f>
        <v>1</v>
      </c>
      <c r="CV206" s="24">
        <v>0.99356609049286904</v>
      </c>
      <c r="CW206" s="24" t="str">
        <f>"1"</f>
        <v>1</v>
      </c>
      <c r="CX206" t="str">
        <f ca="1">IF((OFFSET($A$1, 206 - 1, 100 - 1)) &gt;= (OFFSET($A$1, 80 - 1, 7 - 1)), "1","0")</f>
        <v>1</v>
      </c>
      <c r="CY206">
        <f ca="1" xml:space="preserve"> IF( AND( OFFSET($A$1, 206 - 1, 101 - 1) = "1", OFFSET($A$1, 206 - 1, 102 - 1) = "1" ), 1, IF( AND( OFFSET($A$1, 206 - 1, 101 - 1) = "1", OFFSET($A$1, 206 - 1, 102 - 1) = "0" ), 2, IF( AND( OFFSET($A$1, 206 - 1, 101 - 1) = "0", OFFSET($A$1, 206 - 1, 102 - 1) = "1" ), 3, 4 ) ) )</f>
        <v>1</v>
      </c>
    </row>
    <row r="207" spans="95:103" ht="13.8" x14ac:dyDescent="0.3">
      <c r="CQ207" s="24">
        <v>0.19672218790022775</v>
      </c>
      <c r="CR207" s="24" t="str">
        <f>"0"</f>
        <v>0</v>
      </c>
      <c r="CS207" t="str">
        <f ca="1">IF((OFFSET($A$1, 207 - 1, 95 - 1)) &gt;= (OFFSET($A$1, 56 - 1, 7 - 1)), "1","0")</f>
        <v>0</v>
      </c>
      <c r="CT207">
        <f ca="1" xml:space="preserve"> IF( AND( OFFSET($A$1, 207 - 1, 96 - 1) = "1", OFFSET($A$1, 207 - 1, 97 - 1) = "1" ), 1, IF( AND( OFFSET($A$1, 207 - 1, 96 - 1) = "1", OFFSET($A$1, 207 - 1, 97 - 1) = "0" ), 2, IF( AND( OFFSET($A$1, 207 - 1, 96 - 1) = "0", OFFSET($A$1, 207 - 1, 97 - 1) = "1" ), 3, 4 ) ) )</f>
        <v>4</v>
      </c>
      <c r="CV207" s="24">
        <v>0.14668023209051323</v>
      </c>
      <c r="CW207" s="24" t="str">
        <f>"0"</f>
        <v>0</v>
      </c>
      <c r="CX207" t="str">
        <f ca="1">IF((OFFSET($A$1, 207 - 1, 100 - 1)) &gt;= (OFFSET($A$1, 80 - 1, 7 - 1)), "1","0")</f>
        <v>0</v>
      </c>
      <c r="CY207">
        <f ca="1" xml:space="preserve"> IF( AND( OFFSET($A$1, 207 - 1, 101 - 1) = "1", OFFSET($A$1, 207 - 1, 102 - 1) = "1" ), 1, IF( AND( OFFSET($A$1, 207 - 1, 101 - 1) = "1", OFFSET($A$1, 207 - 1, 102 - 1) = "0" ), 2, IF( AND( OFFSET($A$1, 207 - 1, 101 - 1) = "0", OFFSET($A$1, 207 - 1, 102 - 1) = "1" ), 3, 4 ) ) )</f>
        <v>4</v>
      </c>
    </row>
    <row r="208" spans="95:103" ht="13.8" x14ac:dyDescent="0.3">
      <c r="CQ208" s="24">
        <v>0.9999970180603982</v>
      </c>
      <c r="CR208" s="24" t="str">
        <f t="shared" ref="CR208:CR213" si="15">"1"</f>
        <v>1</v>
      </c>
      <c r="CS208" t="str">
        <f ca="1">IF((OFFSET($A$1, 208 - 1, 95 - 1)) &gt;= (OFFSET($A$1, 56 - 1, 7 - 1)), "1","0")</f>
        <v>1</v>
      </c>
      <c r="CT208">
        <f ca="1" xml:space="preserve"> IF( AND( OFFSET($A$1, 208 - 1, 96 - 1) = "1", OFFSET($A$1, 208 - 1, 97 - 1) = "1" ), 1, IF( AND( OFFSET($A$1, 208 - 1, 96 - 1) = "1", OFFSET($A$1, 208 - 1, 97 - 1) = "0" ), 2, IF( AND( OFFSET($A$1, 208 - 1, 96 - 1) = "0", OFFSET($A$1, 208 - 1, 97 - 1) = "1" ), 3, 4 ) ) )</f>
        <v>1</v>
      </c>
      <c r="CV208" s="24">
        <v>0.74672818249345774</v>
      </c>
      <c r="CW208" s="24" t="str">
        <f t="shared" ref="CW208:CW213" si="16">"1"</f>
        <v>1</v>
      </c>
      <c r="CX208" t="str">
        <f ca="1">IF((OFFSET($A$1, 208 - 1, 100 - 1)) &gt;= (OFFSET($A$1, 80 - 1, 7 - 1)), "1","0")</f>
        <v>1</v>
      </c>
      <c r="CY208">
        <f ca="1" xml:space="preserve"> IF( AND( OFFSET($A$1, 208 - 1, 101 - 1) = "1", OFFSET($A$1, 208 - 1, 102 - 1) = "1" ), 1, IF( AND( OFFSET($A$1, 208 - 1, 101 - 1) = "1", OFFSET($A$1, 208 - 1, 102 - 1) = "0" ), 2, IF( AND( OFFSET($A$1, 208 - 1, 101 - 1) = "0", OFFSET($A$1, 208 - 1, 102 - 1) = "1" ), 3, 4 ) ) )</f>
        <v>1</v>
      </c>
    </row>
    <row r="209" spans="95:103" ht="13.8" x14ac:dyDescent="0.3">
      <c r="CQ209" s="24">
        <v>0.92040431568925185</v>
      </c>
      <c r="CR209" s="24" t="str">
        <f t="shared" si="15"/>
        <v>1</v>
      </c>
      <c r="CS209" t="str">
        <f ca="1">IF((OFFSET($A$1, 209 - 1, 95 - 1)) &gt;= (OFFSET($A$1, 56 - 1, 7 - 1)), "1","0")</f>
        <v>1</v>
      </c>
      <c r="CT209">
        <f ca="1" xml:space="preserve"> IF( AND( OFFSET($A$1, 209 - 1, 96 - 1) = "1", OFFSET($A$1, 209 - 1, 97 - 1) = "1" ), 1, IF( AND( OFFSET($A$1, 209 - 1, 96 - 1) = "1", OFFSET($A$1, 209 - 1, 97 - 1) = "0" ), 2, IF( AND( OFFSET($A$1, 209 - 1, 96 - 1) = "0", OFFSET($A$1, 209 - 1, 97 - 1) = "1" ), 3, 4 ) ) )</f>
        <v>1</v>
      </c>
      <c r="CV209" s="24">
        <v>9.5894534119246033E-2</v>
      </c>
      <c r="CW209" s="24" t="str">
        <f t="shared" si="16"/>
        <v>1</v>
      </c>
      <c r="CX209" t="str">
        <f ca="1">IF((OFFSET($A$1, 209 - 1, 100 - 1)) &gt;= (OFFSET($A$1, 80 - 1, 7 - 1)), "1","0")</f>
        <v>0</v>
      </c>
      <c r="CY209">
        <f ca="1" xml:space="preserve"> IF( AND( OFFSET($A$1, 209 - 1, 101 - 1) = "1", OFFSET($A$1, 209 - 1, 102 - 1) = "1" ), 1, IF( AND( OFFSET($A$1, 209 - 1, 101 - 1) = "1", OFFSET($A$1, 209 - 1, 102 - 1) = "0" ), 2, IF( AND( OFFSET($A$1, 209 - 1, 101 - 1) = "0", OFFSET($A$1, 209 - 1, 102 - 1) = "1" ), 3, 4 ) ) )</f>
        <v>2</v>
      </c>
    </row>
    <row r="210" spans="95:103" ht="13.8" x14ac:dyDescent="0.3">
      <c r="CQ210" s="24">
        <v>0.90440977728438821</v>
      </c>
      <c r="CR210" s="24" t="str">
        <f t="shared" si="15"/>
        <v>1</v>
      </c>
      <c r="CS210" t="str">
        <f ca="1">IF((OFFSET($A$1, 210 - 1, 95 - 1)) &gt;= (OFFSET($A$1, 56 - 1, 7 - 1)), "1","0")</f>
        <v>1</v>
      </c>
      <c r="CT210">
        <f ca="1" xml:space="preserve"> IF( AND( OFFSET($A$1, 210 - 1, 96 - 1) = "1", OFFSET($A$1, 210 - 1, 97 - 1) = "1" ), 1, IF( AND( OFFSET($A$1, 210 - 1, 96 - 1) = "1", OFFSET($A$1, 210 - 1, 97 - 1) = "0" ), 2, IF( AND( OFFSET($A$1, 210 - 1, 96 - 1) = "0", OFFSET($A$1, 210 - 1, 97 - 1) = "1" ), 3, 4 ) ) )</f>
        <v>1</v>
      </c>
      <c r="CV210" s="24">
        <v>0.99583480695838089</v>
      </c>
      <c r="CW210" s="24" t="str">
        <f t="shared" si="16"/>
        <v>1</v>
      </c>
      <c r="CX210" t="str">
        <f ca="1">IF((OFFSET($A$1, 210 - 1, 100 - 1)) &gt;= (OFFSET($A$1, 80 - 1, 7 - 1)), "1","0")</f>
        <v>1</v>
      </c>
      <c r="CY210">
        <f ca="1" xml:space="preserve"> IF( AND( OFFSET($A$1, 210 - 1, 101 - 1) = "1", OFFSET($A$1, 210 - 1, 102 - 1) = "1" ), 1, IF( AND( OFFSET($A$1, 210 - 1, 101 - 1) = "1", OFFSET($A$1, 210 - 1, 102 - 1) = "0" ), 2, IF( AND( OFFSET($A$1, 210 - 1, 101 - 1) = "0", OFFSET($A$1, 210 - 1, 102 - 1) = "1" ), 3, 4 ) ) )</f>
        <v>1</v>
      </c>
    </row>
    <row r="211" spans="95:103" ht="13.8" x14ac:dyDescent="0.3">
      <c r="CQ211" s="24">
        <v>0.91122835402392055</v>
      </c>
      <c r="CR211" s="24" t="str">
        <f t="shared" si="15"/>
        <v>1</v>
      </c>
      <c r="CS211" t="str">
        <f ca="1">IF((OFFSET($A$1, 211 - 1, 95 - 1)) &gt;= (OFFSET($A$1, 56 - 1, 7 - 1)), "1","0")</f>
        <v>1</v>
      </c>
      <c r="CT211">
        <f ca="1" xml:space="preserve"> IF( AND( OFFSET($A$1, 211 - 1, 96 - 1) = "1", OFFSET($A$1, 211 - 1, 97 - 1) = "1" ), 1, IF( AND( OFFSET($A$1, 211 - 1, 96 - 1) = "1", OFFSET($A$1, 211 - 1, 97 - 1) = "0" ), 2, IF( AND( OFFSET($A$1, 211 - 1, 96 - 1) = "0", OFFSET($A$1, 211 - 1, 97 - 1) = "1" ), 3, 4 ) ) )</f>
        <v>1</v>
      </c>
      <c r="CV211" s="24">
        <v>0.99471969553531403</v>
      </c>
      <c r="CW211" s="24" t="str">
        <f t="shared" si="16"/>
        <v>1</v>
      </c>
      <c r="CX211" t="str">
        <f ca="1">IF((OFFSET($A$1, 211 - 1, 100 - 1)) &gt;= (OFFSET($A$1, 80 - 1, 7 - 1)), "1","0")</f>
        <v>1</v>
      </c>
      <c r="CY211">
        <f ca="1" xml:space="preserve"> IF( AND( OFFSET($A$1, 211 - 1, 101 - 1) = "1", OFFSET($A$1, 211 - 1, 102 - 1) = "1" ), 1, IF( AND( OFFSET($A$1, 211 - 1, 101 - 1) = "1", OFFSET($A$1, 211 - 1, 102 - 1) = "0" ), 2, IF( AND( OFFSET($A$1, 211 - 1, 101 - 1) = "0", OFFSET($A$1, 211 - 1, 102 - 1) = "1" ), 3, 4 ) ) )</f>
        <v>1</v>
      </c>
    </row>
    <row r="212" spans="95:103" ht="13.8" x14ac:dyDescent="0.3">
      <c r="CQ212" s="24">
        <v>0.92130701824213057</v>
      </c>
      <c r="CR212" s="24" t="str">
        <f t="shared" si="15"/>
        <v>1</v>
      </c>
      <c r="CS212" t="str">
        <f ca="1">IF((OFFSET($A$1, 212 - 1, 95 - 1)) &gt;= (OFFSET($A$1, 56 - 1, 7 - 1)), "1","0")</f>
        <v>1</v>
      </c>
      <c r="CT212">
        <f ca="1" xml:space="preserve"> IF( AND( OFFSET($A$1, 212 - 1, 96 - 1) = "1", OFFSET($A$1, 212 - 1, 97 - 1) = "1" ), 1, IF( AND( OFFSET($A$1, 212 - 1, 96 - 1) = "1", OFFSET($A$1, 212 - 1, 97 - 1) = "0" ), 2, IF( AND( OFFSET($A$1, 212 - 1, 96 - 1) = "0", OFFSET($A$1, 212 - 1, 97 - 1) = "1" ), 3, 4 ) ) )</f>
        <v>1</v>
      </c>
      <c r="CV212" s="24">
        <v>0.99971459860574596</v>
      </c>
      <c r="CW212" s="24" t="str">
        <f t="shared" si="16"/>
        <v>1</v>
      </c>
      <c r="CX212" t="str">
        <f ca="1">IF((OFFSET($A$1, 212 - 1, 100 - 1)) &gt;= (OFFSET($A$1, 80 - 1, 7 - 1)), "1","0")</f>
        <v>1</v>
      </c>
      <c r="CY212">
        <f ca="1" xml:space="preserve"> IF( AND( OFFSET($A$1, 212 - 1, 101 - 1) = "1", OFFSET($A$1, 212 - 1, 102 - 1) = "1" ), 1, IF( AND( OFFSET($A$1, 212 - 1, 101 - 1) = "1", OFFSET($A$1, 212 - 1, 102 - 1) = "0" ), 2, IF( AND( OFFSET($A$1, 212 - 1, 101 - 1) = "0", OFFSET($A$1, 212 - 1, 102 - 1) = "1" ), 3, 4 ) ) )</f>
        <v>1</v>
      </c>
    </row>
    <row r="213" spans="95:103" ht="13.8" x14ac:dyDescent="0.3">
      <c r="CQ213" s="24">
        <v>0.99900745040675321</v>
      </c>
      <c r="CR213" s="24" t="str">
        <f t="shared" si="15"/>
        <v>1</v>
      </c>
      <c r="CS213" t="str">
        <f ca="1">IF((OFFSET($A$1, 213 - 1, 95 - 1)) &gt;= (OFFSET($A$1, 56 - 1, 7 - 1)), "1","0")</f>
        <v>1</v>
      </c>
      <c r="CT213">
        <f ca="1" xml:space="preserve"> IF( AND( OFFSET($A$1, 213 - 1, 96 - 1) = "1", OFFSET($A$1, 213 - 1, 97 - 1) = "1" ), 1, IF( AND( OFFSET($A$1, 213 - 1, 96 - 1) = "1", OFFSET($A$1, 213 - 1, 97 - 1) = "0" ), 2, IF( AND( OFFSET($A$1, 213 - 1, 96 - 1) = "0", OFFSET($A$1, 213 - 1, 97 - 1) = "1" ), 3, 4 ) ) )</f>
        <v>1</v>
      </c>
      <c r="CV213" s="24">
        <v>0.93946524280665877</v>
      </c>
      <c r="CW213" s="24" t="str">
        <f t="shared" si="16"/>
        <v>1</v>
      </c>
      <c r="CX213" t="str">
        <f ca="1">IF((OFFSET($A$1, 213 - 1, 100 - 1)) &gt;= (OFFSET($A$1, 80 - 1, 7 - 1)), "1","0")</f>
        <v>1</v>
      </c>
      <c r="CY213">
        <f ca="1" xml:space="preserve"> IF( AND( OFFSET($A$1, 213 - 1, 101 - 1) = "1", OFFSET($A$1, 213 - 1, 102 - 1) = "1" ), 1, IF( AND( OFFSET($A$1, 213 - 1, 101 - 1) = "1", OFFSET($A$1, 213 - 1, 102 - 1) = "0" ), 2, IF( AND( OFFSET($A$1, 213 - 1, 101 - 1) = "0", OFFSET($A$1, 213 - 1, 102 - 1) = "1" ), 3, 4 ) ) )</f>
        <v>1</v>
      </c>
    </row>
    <row r="214" spans="95:103" ht="13.8" x14ac:dyDescent="0.3">
      <c r="CQ214" s="24">
        <v>0.26134691668833565</v>
      </c>
      <c r="CR214" s="24" t="str">
        <f>"0"</f>
        <v>0</v>
      </c>
      <c r="CS214" t="str">
        <f ca="1">IF((OFFSET($A$1, 214 - 1, 95 - 1)) &gt;= (OFFSET($A$1, 56 - 1, 7 - 1)), "1","0")</f>
        <v>0</v>
      </c>
      <c r="CT214">
        <f ca="1" xml:space="preserve"> IF( AND( OFFSET($A$1, 214 - 1, 96 - 1) = "1", OFFSET($A$1, 214 - 1, 97 - 1) = "1" ), 1, IF( AND( OFFSET($A$1, 214 - 1, 96 - 1) = "1", OFFSET($A$1, 214 - 1, 97 - 1) = "0" ), 2, IF( AND( OFFSET($A$1, 214 - 1, 96 - 1) = "0", OFFSET($A$1, 214 - 1, 97 - 1) = "1" ), 3, 4 ) ) )</f>
        <v>4</v>
      </c>
      <c r="CV214" s="24">
        <v>3.8832913202178722E-2</v>
      </c>
      <c r="CW214" s="24" t="str">
        <f>"0"</f>
        <v>0</v>
      </c>
      <c r="CX214" t="str">
        <f ca="1">IF((OFFSET($A$1, 214 - 1, 100 - 1)) &gt;= (OFFSET($A$1, 80 - 1, 7 - 1)), "1","0")</f>
        <v>0</v>
      </c>
      <c r="CY214">
        <f ca="1" xml:space="preserve"> IF( AND( OFFSET($A$1, 214 - 1, 101 - 1) = "1", OFFSET($A$1, 214 - 1, 102 - 1) = "1" ), 1, IF( AND( OFFSET($A$1, 214 - 1, 101 - 1) = "1", OFFSET($A$1, 214 - 1, 102 - 1) = "0" ), 2, IF( AND( OFFSET($A$1, 214 - 1, 101 - 1) = "0", OFFSET($A$1, 214 - 1, 102 - 1) = "1" ), 3, 4 ) ) )</f>
        <v>4</v>
      </c>
    </row>
    <row r="215" spans="95:103" ht="13.8" x14ac:dyDescent="0.3">
      <c r="CQ215" s="24">
        <v>0.92237113281141503</v>
      </c>
      <c r="CR215" s="24" t="str">
        <f>"1"</f>
        <v>1</v>
      </c>
      <c r="CS215" t="str">
        <f ca="1">IF((OFFSET($A$1, 215 - 1, 95 - 1)) &gt;= (OFFSET($A$1, 56 - 1, 7 - 1)), "1","0")</f>
        <v>1</v>
      </c>
      <c r="CT215">
        <f ca="1" xml:space="preserve"> IF( AND( OFFSET($A$1, 215 - 1, 96 - 1) = "1", OFFSET($A$1, 215 - 1, 97 - 1) = "1" ), 1, IF( AND( OFFSET($A$1, 215 - 1, 96 - 1) = "1", OFFSET($A$1, 215 - 1, 97 - 1) = "0" ), 2, IF( AND( OFFSET($A$1, 215 - 1, 96 - 1) = "0", OFFSET($A$1, 215 - 1, 97 - 1) = "1" ), 3, 4 ) ) )</f>
        <v>1</v>
      </c>
      <c r="CV215" s="24">
        <v>1.3159847652508426E-2</v>
      </c>
      <c r="CW215" s="24" t="str">
        <f>"0"</f>
        <v>0</v>
      </c>
      <c r="CX215" t="str">
        <f ca="1">IF((OFFSET($A$1, 215 - 1, 100 - 1)) &gt;= (OFFSET($A$1, 80 - 1, 7 - 1)), "1","0")</f>
        <v>0</v>
      </c>
      <c r="CY215">
        <f ca="1" xml:space="preserve"> IF( AND( OFFSET($A$1, 215 - 1, 101 - 1) = "1", OFFSET($A$1, 215 - 1, 102 - 1) = "1" ), 1, IF( AND( OFFSET($A$1, 215 - 1, 101 - 1) = "1", OFFSET($A$1, 215 - 1, 102 - 1) = "0" ), 2, IF( AND( OFFSET($A$1, 215 - 1, 101 - 1) = "0", OFFSET($A$1, 215 - 1, 102 - 1) = "1" ), 3, 4 ) ) )</f>
        <v>4</v>
      </c>
    </row>
    <row r="216" spans="95:103" ht="13.8" x14ac:dyDescent="0.3">
      <c r="CQ216" s="24">
        <v>4.1977952634647004E-3</v>
      </c>
      <c r="CR216" s="24" t="str">
        <f>"0"</f>
        <v>0</v>
      </c>
      <c r="CS216" t="str">
        <f ca="1">IF((OFFSET($A$1, 216 - 1, 95 - 1)) &gt;= (OFFSET($A$1, 56 - 1, 7 - 1)), "1","0")</f>
        <v>0</v>
      </c>
      <c r="CT216">
        <f ca="1" xml:space="preserve"> IF( AND( OFFSET($A$1, 216 - 1, 96 - 1) = "1", OFFSET($A$1, 216 - 1, 97 - 1) = "1" ), 1, IF( AND( OFFSET($A$1, 216 - 1, 96 - 1) = "1", OFFSET($A$1, 216 - 1, 97 - 1) = "0" ), 2, IF( AND( OFFSET($A$1, 216 - 1, 96 - 1) = "0", OFFSET($A$1, 216 - 1, 97 - 1) = "1" ), 3, 4 ) ) )</f>
        <v>4</v>
      </c>
      <c r="CV216" s="24">
        <v>0.70070224581880303</v>
      </c>
      <c r="CW216" s="24" t="str">
        <f>"0"</f>
        <v>0</v>
      </c>
      <c r="CX216" t="str">
        <f ca="1">IF((OFFSET($A$1, 216 - 1, 100 - 1)) &gt;= (OFFSET($A$1, 80 - 1, 7 - 1)), "1","0")</f>
        <v>1</v>
      </c>
      <c r="CY216">
        <f ca="1" xml:space="preserve"> IF( AND( OFFSET($A$1, 216 - 1, 101 - 1) = "1", OFFSET($A$1, 216 - 1, 102 - 1) = "1" ), 1, IF( AND( OFFSET($A$1, 216 - 1, 101 - 1) = "1", OFFSET($A$1, 216 - 1, 102 - 1) = "0" ), 2, IF( AND( OFFSET($A$1, 216 - 1, 101 - 1) = "0", OFFSET($A$1, 216 - 1, 102 - 1) = "1" ), 3, 4 ) ) )</f>
        <v>3</v>
      </c>
    </row>
    <row r="217" spans="95:103" ht="13.8" x14ac:dyDescent="0.3">
      <c r="CQ217" s="24">
        <v>0.99917498728928733</v>
      </c>
      <c r="CR217" s="24" t="str">
        <f>"1"</f>
        <v>1</v>
      </c>
      <c r="CS217" t="str">
        <f ca="1">IF((OFFSET($A$1, 217 - 1, 95 - 1)) &gt;= (OFFSET($A$1, 56 - 1, 7 - 1)), "1","0")</f>
        <v>1</v>
      </c>
      <c r="CT217">
        <f ca="1" xml:space="preserve"> IF( AND( OFFSET($A$1, 217 - 1, 96 - 1) = "1", OFFSET($A$1, 217 - 1, 97 - 1) = "1" ), 1, IF( AND( OFFSET($A$1, 217 - 1, 96 - 1) = "1", OFFSET($A$1, 217 - 1, 97 - 1) = "0" ), 2, IF( AND( OFFSET($A$1, 217 - 1, 96 - 1) = "0", OFFSET($A$1, 217 - 1, 97 - 1) = "1" ), 3, 4 ) ) )</f>
        <v>1</v>
      </c>
      <c r="CV217" s="24">
        <v>0.20071326333607187</v>
      </c>
      <c r="CW217" s="24" t="str">
        <f>"1"</f>
        <v>1</v>
      </c>
      <c r="CX217" t="str">
        <f ca="1">IF((OFFSET($A$1, 217 - 1, 100 - 1)) &gt;= (OFFSET($A$1, 80 - 1, 7 - 1)), "1","0")</f>
        <v>0</v>
      </c>
      <c r="CY217">
        <f ca="1" xml:space="preserve"> IF( AND( OFFSET($A$1, 217 - 1, 101 - 1) = "1", OFFSET($A$1, 217 - 1, 102 - 1) = "1" ), 1, IF( AND( OFFSET($A$1, 217 - 1, 101 - 1) = "1", OFFSET($A$1, 217 - 1, 102 - 1) = "0" ), 2, IF( AND( OFFSET($A$1, 217 - 1, 101 - 1) = "0", OFFSET($A$1, 217 - 1, 102 - 1) = "1" ), 3, 4 ) ) )</f>
        <v>2</v>
      </c>
    </row>
    <row r="218" spans="95:103" ht="13.8" x14ac:dyDescent="0.3">
      <c r="CQ218" s="24">
        <v>0.97720120698911306</v>
      </c>
      <c r="CR218" s="24" t="str">
        <f>"1"</f>
        <v>1</v>
      </c>
      <c r="CS218" t="str">
        <f ca="1">IF((OFFSET($A$1, 218 - 1, 95 - 1)) &gt;= (OFFSET($A$1, 56 - 1, 7 - 1)), "1","0")</f>
        <v>1</v>
      </c>
      <c r="CT218">
        <f ca="1" xml:space="preserve"> IF( AND( OFFSET($A$1, 218 - 1, 96 - 1) = "1", OFFSET($A$1, 218 - 1, 97 - 1) = "1" ), 1, IF( AND( OFFSET($A$1, 218 - 1, 96 - 1) = "1", OFFSET($A$1, 218 - 1, 97 - 1) = "0" ), 2, IF( AND( OFFSET($A$1, 218 - 1, 96 - 1) = "0", OFFSET($A$1, 218 - 1, 97 - 1) = "1" ), 3, 4 ) ) )</f>
        <v>1</v>
      </c>
      <c r="CV218" s="24">
        <v>0.99743398836527786</v>
      </c>
      <c r="CW218" s="24" t="str">
        <f>"1"</f>
        <v>1</v>
      </c>
      <c r="CX218" t="str">
        <f ca="1">IF((OFFSET($A$1, 218 - 1, 100 - 1)) &gt;= (OFFSET($A$1, 80 - 1, 7 - 1)), "1","0")</f>
        <v>1</v>
      </c>
      <c r="CY218">
        <f ca="1" xml:space="preserve"> IF( AND( OFFSET($A$1, 218 - 1, 101 - 1) = "1", OFFSET($A$1, 218 - 1, 102 - 1) = "1" ), 1, IF( AND( OFFSET($A$1, 218 - 1, 101 - 1) = "1", OFFSET($A$1, 218 - 1, 102 - 1) = "0" ), 2, IF( AND( OFFSET($A$1, 218 - 1, 101 - 1) = "0", OFFSET($A$1, 218 - 1, 102 - 1) = "1" ), 3, 4 ) ) )</f>
        <v>1</v>
      </c>
    </row>
    <row r="219" spans="95:103" ht="13.8" x14ac:dyDescent="0.3">
      <c r="CQ219" s="24">
        <v>7.542481556371855E-2</v>
      </c>
      <c r="CR219" s="24" t="str">
        <f>"0"</f>
        <v>0</v>
      </c>
      <c r="CS219" t="str">
        <f ca="1">IF((OFFSET($A$1, 219 - 1, 95 - 1)) &gt;= (OFFSET($A$1, 56 - 1, 7 - 1)), "1","0")</f>
        <v>0</v>
      </c>
      <c r="CT219">
        <f ca="1" xml:space="preserve"> IF( AND( OFFSET($A$1, 219 - 1, 96 - 1) = "1", OFFSET($A$1, 219 - 1, 97 - 1) = "1" ), 1, IF( AND( OFFSET($A$1, 219 - 1, 96 - 1) = "1", OFFSET($A$1, 219 - 1, 97 - 1) = "0" ), 2, IF( AND( OFFSET($A$1, 219 - 1, 96 - 1) = "0", OFFSET($A$1, 219 - 1, 97 - 1) = "1" ), 3, 4 ) ) )</f>
        <v>4</v>
      </c>
      <c r="CV219" s="24">
        <v>0.99897559201876351</v>
      </c>
      <c r="CW219" s="24" t="str">
        <f>"1"</f>
        <v>1</v>
      </c>
      <c r="CX219" t="str">
        <f ca="1">IF((OFFSET($A$1, 219 - 1, 100 - 1)) &gt;= (OFFSET($A$1, 80 - 1, 7 - 1)), "1","0")</f>
        <v>1</v>
      </c>
      <c r="CY219">
        <f ca="1" xml:space="preserve"> IF( AND( OFFSET($A$1, 219 - 1, 101 - 1) = "1", OFFSET($A$1, 219 - 1, 102 - 1) = "1" ), 1, IF( AND( OFFSET($A$1, 219 - 1, 101 - 1) = "1", OFFSET($A$1, 219 - 1, 102 - 1) = "0" ), 2, IF( AND( OFFSET($A$1, 219 - 1, 101 - 1) = "0", OFFSET($A$1, 219 - 1, 102 - 1) = "1" ), 3, 4 ) ) )</f>
        <v>1</v>
      </c>
    </row>
    <row r="220" spans="95:103" ht="13.8" x14ac:dyDescent="0.3">
      <c r="CQ220" s="24">
        <v>0.22321875463010421</v>
      </c>
      <c r="CR220" s="24" t="str">
        <f>"0"</f>
        <v>0</v>
      </c>
      <c r="CS220" t="str">
        <f ca="1">IF((OFFSET($A$1, 220 - 1, 95 - 1)) &gt;= (OFFSET($A$1, 56 - 1, 7 - 1)), "1","0")</f>
        <v>0</v>
      </c>
      <c r="CT220">
        <f ca="1" xml:space="preserve"> IF( AND( OFFSET($A$1, 220 - 1, 96 - 1) = "1", OFFSET($A$1, 220 - 1, 97 - 1) = "1" ), 1, IF( AND( OFFSET($A$1, 220 - 1, 96 - 1) = "1", OFFSET($A$1, 220 - 1, 97 - 1) = "0" ), 2, IF( AND( OFFSET($A$1, 220 - 1, 96 - 1) = "0", OFFSET($A$1, 220 - 1, 97 - 1) = "1" ), 3, 4 ) ) )</f>
        <v>4</v>
      </c>
      <c r="CV220" s="24">
        <v>0.99945097393177584</v>
      </c>
      <c r="CW220" s="24" t="str">
        <f>"1"</f>
        <v>1</v>
      </c>
      <c r="CX220" t="str">
        <f ca="1">IF((OFFSET($A$1, 220 - 1, 100 - 1)) &gt;= (OFFSET($A$1, 80 - 1, 7 - 1)), "1","0")</f>
        <v>1</v>
      </c>
      <c r="CY220">
        <f ca="1" xml:space="preserve"> IF( AND( OFFSET($A$1, 220 - 1, 101 - 1) = "1", OFFSET($A$1, 220 - 1, 102 - 1) = "1" ), 1, IF( AND( OFFSET($A$1, 220 - 1, 101 - 1) = "1", OFFSET($A$1, 220 - 1, 102 - 1) = "0" ), 2, IF( AND( OFFSET($A$1, 220 - 1, 101 - 1) = "0", OFFSET($A$1, 220 - 1, 102 - 1) = "1" ), 3, 4 ) ) )</f>
        <v>1</v>
      </c>
    </row>
    <row r="221" spans="95:103" ht="13.8" x14ac:dyDescent="0.3">
      <c r="CQ221" s="24">
        <v>0.97427172740119528</v>
      </c>
      <c r="CR221" s="24" t="str">
        <f>"1"</f>
        <v>1</v>
      </c>
      <c r="CS221" t="str">
        <f ca="1">IF((OFFSET($A$1, 221 - 1, 95 - 1)) &gt;= (OFFSET($A$1, 56 - 1, 7 - 1)), "1","0")</f>
        <v>1</v>
      </c>
      <c r="CT221">
        <f ca="1" xml:space="preserve"> IF( AND( OFFSET($A$1, 221 - 1, 96 - 1) = "1", OFFSET($A$1, 221 - 1, 97 - 1) = "1" ), 1, IF( AND( OFFSET($A$1, 221 - 1, 96 - 1) = "1", OFFSET($A$1, 221 - 1, 97 - 1) = "0" ), 2, IF( AND( OFFSET($A$1, 221 - 1, 96 - 1) = "0", OFFSET($A$1, 221 - 1, 97 - 1) = "1" ), 3, 4 ) ) )</f>
        <v>1</v>
      </c>
      <c r="CV221" s="24">
        <v>0.99981896005817883</v>
      </c>
      <c r="CW221" s="24" t="str">
        <f>"1"</f>
        <v>1</v>
      </c>
      <c r="CX221" t="str">
        <f ca="1">IF((OFFSET($A$1, 221 - 1, 100 - 1)) &gt;= (OFFSET($A$1, 80 - 1, 7 - 1)), "1","0")</f>
        <v>1</v>
      </c>
      <c r="CY221">
        <f ca="1" xml:space="preserve"> IF( AND( OFFSET($A$1, 221 - 1, 101 - 1) = "1", OFFSET($A$1, 221 - 1, 102 - 1) = "1" ), 1, IF( AND( OFFSET($A$1, 221 - 1, 101 - 1) = "1", OFFSET($A$1, 221 - 1, 102 - 1) = "0" ), 2, IF( AND( OFFSET($A$1, 221 - 1, 101 - 1) = "0", OFFSET($A$1, 221 - 1, 102 - 1) = "1" ), 3, 4 ) ) )</f>
        <v>1</v>
      </c>
    </row>
    <row r="222" spans="95:103" ht="13.8" x14ac:dyDescent="0.3">
      <c r="CQ222" s="24">
        <v>0.99983453546689782</v>
      </c>
      <c r="CR222" s="24" t="str">
        <f>"1"</f>
        <v>1</v>
      </c>
      <c r="CS222" t="str">
        <f ca="1">IF((OFFSET($A$1, 222 - 1, 95 - 1)) &gt;= (OFFSET($A$1, 56 - 1, 7 - 1)), "1","0")</f>
        <v>1</v>
      </c>
      <c r="CT222">
        <f ca="1" xml:space="preserve"> IF( AND( OFFSET($A$1, 222 - 1, 96 - 1) = "1", OFFSET($A$1, 222 - 1, 97 - 1) = "1" ), 1, IF( AND( OFFSET($A$1, 222 - 1, 96 - 1) = "1", OFFSET($A$1, 222 - 1, 97 - 1) = "0" ), 2, IF( AND( OFFSET($A$1, 222 - 1, 96 - 1) = "0", OFFSET($A$1, 222 - 1, 97 - 1) = "1" ), 3, 4 ) ) )</f>
        <v>1</v>
      </c>
      <c r="CV222" s="24">
        <v>0.99149630654597043</v>
      </c>
      <c r="CW222" s="24" t="str">
        <f>"0"</f>
        <v>0</v>
      </c>
      <c r="CX222" t="str">
        <f ca="1">IF((OFFSET($A$1, 222 - 1, 100 - 1)) &gt;= (OFFSET($A$1, 80 - 1, 7 - 1)), "1","0")</f>
        <v>1</v>
      </c>
      <c r="CY222">
        <f ca="1" xml:space="preserve"> IF( AND( OFFSET($A$1, 222 - 1, 101 - 1) = "1", OFFSET($A$1, 222 - 1, 102 - 1) = "1" ), 1, IF( AND( OFFSET($A$1, 222 - 1, 101 - 1) = "1", OFFSET($A$1, 222 - 1, 102 - 1) = "0" ), 2, IF( AND( OFFSET($A$1, 222 - 1, 101 - 1) = "0", OFFSET($A$1, 222 - 1, 102 - 1) = "1" ), 3, 4 ) ) )</f>
        <v>3</v>
      </c>
    </row>
    <row r="223" spans="95:103" ht="13.8" x14ac:dyDescent="0.3">
      <c r="CQ223" s="24">
        <v>0.99997752441965138</v>
      </c>
      <c r="CR223" s="24" t="str">
        <f>"1"</f>
        <v>1</v>
      </c>
      <c r="CS223" t="str">
        <f ca="1">IF((OFFSET($A$1, 223 - 1, 95 - 1)) &gt;= (OFFSET($A$1, 56 - 1, 7 - 1)), "1","0")</f>
        <v>1</v>
      </c>
      <c r="CT223">
        <f ca="1" xml:space="preserve"> IF( AND( OFFSET($A$1, 223 - 1, 96 - 1) = "1", OFFSET($A$1, 223 - 1, 97 - 1) = "1" ), 1, IF( AND( OFFSET($A$1, 223 - 1, 96 - 1) = "1", OFFSET($A$1, 223 - 1, 97 - 1) = "0" ), 2, IF( AND( OFFSET($A$1, 223 - 1, 96 - 1) = "0", OFFSET($A$1, 223 - 1, 97 - 1) = "1" ), 3, 4 ) ) )</f>
        <v>1</v>
      </c>
      <c r="CV223" s="24">
        <v>0.84723844861689657</v>
      </c>
      <c r="CW223" s="24" t="str">
        <f>"0"</f>
        <v>0</v>
      </c>
      <c r="CX223" t="str">
        <f ca="1">IF((OFFSET($A$1, 223 - 1, 100 - 1)) &gt;= (OFFSET($A$1, 80 - 1, 7 - 1)), "1","0")</f>
        <v>1</v>
      </c>
      <c r="CY223">
        <f ca="1" xml:space="preserve"> IF( AND( OFFSET($A$1, 223 - 1, 101 - 1) = "1", OFFSET($A$1, 223 - 1, 102 - 1) = "1" ), 1, IF( AND( OFFSET($A$1, 223 - 1, 101 - 1) = "1", OFFSET($A$1, 223 - 1, 102 - 1) = "0" ), 2, IF( AND( OFFSET($A$1, 223 - 1, 101 - 1) = "0", OFFSET($A$1, 223 - 1, 102 - 1) = "1" ), 3, 4 ) ) )</f>
        <v>3</v>
      </c>
    </row>
    <row r="224" spans="95:103" ht="13.8" x14ac:dyDescent="0.3">
      <c r="CQ224" s="24">
        <v>9.7022360475869707E-2</v>
      </c>
      <c r="CR224" s="24" t="str">
        <f>"0"</f>
        <v>0</v>
      </c>
      <c r="CS224" t="str">
        <f ca="1">IF((OFFSET($A$1, 224 - 1, 95 - 1)) &gt;= (OFFSET($A$1, 56 - 1, 7 - 1)), "1","0")</f>
        <v>0</v>
      </c>
      <c r="CT224">
        <f ca="1" xml:space="preserve"> IF( AND( OFFSET($A$1, 224 - 1, 96 - 1) = "1", OFFSET($A$1, 224 - 1, 97 - 1) = "1" ), 1, IF( AND( OFFSET($A$1, 224 - 1, 96 - 1) = "1", OFFSET($A$1, 224 - 1, 97 - 1) = "0" ), 2, IF( AND( OFFSET($A$1, 224 - 1, 96 - 1) = "0", OFFSET($A$1, 224 - 1, 97 - 1) = "1" ), 3, 4 ) ) )</f>
        <v>4</v>
      </c>
      <c r="CV224" s="24">
        <v>0.99987722020804637</v>
      </c>
      <c r="CW224" s="24" t="str">
        <f>"1"</f>
        <v>1</v>
      </c>
      <c r="CX224" t="str">
        <f ca="1">IF((OFFSET($A$1, 224 - 1, 100 - 1)) &gt;= (OFFSET($A$1, 80 - 1, 7 - 1)), "1","0")</f>
        <v>1</v>
      </c>
      <c r="CY224">
        <f ca="1" xml:space="preserve"> IF( AND( OFFSET($A$1, 224 - 1, 101 - 1) = "1", OFFSET($A$1, 224 - 1, 102 - 1) = "1" ), 1, IF( AND( OFFSET($A$1, 224 - 1, 101 - 1) = "1", OFFSET($A$1, 224 - 1, 102 - 1) = "0" ), 2, IF( AND( OFFSET($A$1, 224 - 1, 101 - 1) = "0", OFFSET($A$1, 224 - 1, 102 - 1) = "1" ), 3, 4 ) ) )</f>
        <v>1</v>
      </c>
    </row>
    <row r="225" spans="95:103" ht="13.8" x14ac:dyDescent="0.3">
      <c r="CQ225" s="24">
        <v>0.99336641654914615</v>
      </c>
      <c r="CR225" s="24" t="str">
        <f>"1"</f>
        <v>1</v>
      </c>
      <c r="CS225" t="str">
        <f ca="1">IF((OFFSET($A$1, 225 - 1, 95 - 1)) &gt;= (OFFSET($A$1, 56 - 1, 7 - 1)), "1","0")</f>
        <v>1</v>
      </c>
      <c r="CT225">
        <f ca="1" xml:space="preserve"> IF( AND( OFFSET($A$1, 225 - 1, 96 - 1) = "1", OFFSET($A$1, 225 - 1, 97 - 1) = "1" ), 1, IF( AND( OFFSET($A$1, 225 - 1, 96 - 1) = "1", OFFSET($A$1, 225 - 1, 97 - 1) = "0" ), 2, IF( AND( OFFSET($A$1, 225 - 1, 96 - 1) = "0", OFFSET($A$1, 225 - 1, 97 - 1) = "1" ), 3, 4 ) ) )</f>
        <v>1</v>
      </c>
      <c r="CV225" s="24">
        <v>0.31312766874327785</v>
      </c>
      <c r="CW225" s="24" t="str">
        <f>"0"</f>
        <v>0</v>
      </c>
      <c r="CX225" t="str">
        <f ca="1">IF((OFFSET($A$1, 225 - 1, 100 - 1)) &gt;= (OFFSET($A$1, 80 - 1, 7 - 1)), "1","0")</f>
        <v>0</v>
      </c>
      <c r="CY225">
        <f ca="1" xml:space="preserve"> IF( AND( OFFSET($A$1, 225 - 1, 101 - 1) = "1", OFFSET($A$1, 225 - 1, 102 - 1) = "1" ), 1, IF( AND( OFFSET($A$1, 225 - 1, 101 - 1) = "1", OFFSET($A$1, 225 - 1, 102 - 1) = "0" ), 2, IF( AND( OFFSET($A$1, 225 - 1, 101 - 1) = "0", OFFSET($A$1, 225 - 1, 102 - 1) = "1" ), 3, 4 ) ) )</f>
        <v>4</v>
      </c>
    </row>
    <row r="226" spans="95:103" ht="13.8" x14ac:dyDescent="0.3">
      <c r="CQ226" s="24">
        <v>0.95975304826489372</v>
      </c>
      <c r="CR226" s="24" t="str">
        <f>"1"</f>
        <v>1</v>
      </c>
      <c r="CS226" t="str">
        <f ca="1">IF((OFFSET($A$1, 226 - 1, 95 - 1)) &gt;= (OFFSET($A$1, 56 - 1, 7 - 1)), "1","0")</f>
        <v>1</v>
      </c>
      <c r="CT226">
        <f ca="1" xml:space="preserve"> IF( AND( OFFSET($A$1, 226 - 1, 96 - 1) = "1", OFFSET($A$1, 226 - 1, 97 - 1) = "1" ), 1, IF( AND( OFFSET($A$1, 226 - 1, 96 - 1) = "1", OFFSET($A$1, 226 - 1, 97 - 1) = "0" ), 2, IF( AND( OFFSET($A$1, 226 - 1, 96 - 1) = "0", OFFSET($A$1, 226 - 1, 97 - 1) = "1" ), 3, 4 ) ) )</f>
        <v>1</v>
      </c>
      <c r="CV226" s="24">
        <v>0.99970096720572876</v>
      </c>
      <c r="CW226" s="24" t="str">
        <f>"1"</f>
        <v>1</v>
      </c>
      <c r="CX226" t="str">
        <f ca="1">IF((OFFSET($A$1, 226 - 1, 100 - 1)) &gt;= (OFFSET($A$1, 80 - 1, 7 - 1)), "1","0")</f>
        <v>1</v>
      </c>
      <c r="CY226">
        <f ca="1" xml:space="preserve"> IF( AND( OFFSET($A$1, 226 - 1, 101 - 1) = "1", OFFSET($A$1, 226 - 1, 102 - 1) = "1" ), 1, IF( AND( OFFSET($A$1, 226 - 1, 101 - 1) = "1", OFFSET($A$1, 226 - 1, 102 - 1) = "0" ), 2, IF( AND( OFFSET($A$1, 226 - 1, 101 - 1) = "0", OFFSET($A$1, 226 - 1, 102 - 1) = "1" ), 3, 4 ) ) )</f>
        <v>1</v>
      </c>
    </row>
    <row r="227" spans="95:103" ht="13.8" x14ac:dyDescent="0.3">
      <c r="CQ227" s="24">
        <v>0.86172117873535314</v>
      </c>
      <c r="CR227" s="24" t="str">
        <f>"1"</f>
        <v>1</v>
      </c>
      <c r="CS227" t="str">
        <f ca="1">IF((OFFSET($A$1, 227 - 1, 95 - 1)) &gt;= (OFFSET($A$1, 56 - 1, 7 - 1)), "1","0")</f>
        <v>1</v>
      </c>
      <c r="CT227">
        <f ca="1" xml:space="preserve"> IF( AND( OFFSET($A$1, 227 - 1, 96 - 1) = "1", OFFSET($A$1, 227 - 1, 97 - 1) = "1" ), 1, IF( AND( OFFSET($A$1, 227 - 1, 96 - 1) = "1", OFFSET($A$1, 227 - 1, 97 - 1) = "0" ), 2, IF( AND( OFFSET($A$1, 227 - 1, 96 - 1) = "0", OFFSET($A$1, 227 - 1, 97 - 1) = "1" ), 3, 4 ) ) )</f>
        <v>1</v>
      </c>
      <c r="CV227" s="24">
        <v>0.99952693253544134</v>
      </c>
      <c r="CW227" s="24" t="str">
        <f>"1"</f>
        <v>1</v>
      </c>
      <c r="CX227" t="str">
        <f ca="1">IF((OFFSET($A$1, 227 - 1, 100 - 1)) &gt;= (OFFSET($A$1, 80 - 1, 7 - 1)), "1","0")</f>
        <v>1</v>
      </c>
      <c r="CY227">
        <f ca="1" xml:space="preserve"> IF( AND( OFFSET($A$1, 227 - 1, 101 - 1) = "1", OFFSET($A$1, 227 - 1, 102 - 1) = "1" ), 1, IF( AND( OFFSET($A$1, 227 - 1, 101 - 1) = "1", OFFSET($A$1, 227 - 1, 102 - 1) = "0" ), 2, IF( AND( OFFSET($A$1, 227 - 1, 101 - 1) = "0", OFFSET($A$1, 227 - 1, 102 - 1) = "1" ), 3, 4 ) ) )</f>
        <v>1</v>
      </c>
    </row>
    <row r="228" spans="95:103" ht="13.8" x14ac:dyDescent="0.3">
      <c r="CQ228" s="24">
        <v>0.99852297414474356</v>
      </c>
      <c r="CR228" s="24" t="str">
        <f>"0"</f>
        <v>0</v>
      </c>
      <c r="CS228" t="str">
        <f ca="1">IF((OFFSET($A$1, 228 - 1, 95 - 1)) &gt;= (OFFSET($A$1, 56 - 1, 7 - 1)), "1","0")</f>
        <v>1</v>
      </c>
      <c r="CT228">
        <f ca="1" xml:space="preserve"> IF( AND( OFFSET($A$1, 228 - 1, 96 - 1) = "1", OFFSET($A$1, 228 - 1, 97 - 1) = "1" ), 1, IF( AND( OFFSET($A$1, 228 - 1, 96 - 1) = "1", OFFSET($A$1, 228 - 1, 97 - 1) = "0" ), 2, IF( AND( OFFSET($A$1, 228 - 1, 96 - 1) = "0", OFFSET($A$1, 228 - 1, 97 - 1) = "1" ), 3, 4 ) ) )</f>
        <v>3</v>
      </c>
      <c r="CV228" s="24">
        <v>0.18760992308780167</v>
      </c>
      <c r="CW228" s="24" t="str">
        <f>"0"</f>
        <v>0</v>
      </c>
      <c r="CX228" t="str">
        <f ca="1">IF((OFFSET($A$1, 228 - 1, 100 - 1)) &gt;= (OFFSET($A$1, 80 - 1, 7 - 1)), "1","0")</f>
        <v>0</v>
      </c>
      <c r="CY228">
        <f ca="1" xml:space="preserve"> IF( AND( OFFSET($A$1, 228 - 1, 101 - 1) = "1", OFFSET($A$1, 228 - 1, 102 - 1) = "1" ), 1, IF( AND( OFFSET($A$1, 228 - 1, 101 - 1) = "1", OFFSET($A$1, 228 - 1, 102 - 1) = "0" ), 2, IF( AND( OFFSET($A$1, 228 - 1, 101 - 1) = "0", OFFSET($A$1, 228 - 1, 102 - 1) = "1" ), 3, 4 ) ) )</f>
        <v>4</v>
      </c>
    </row>
    <row r="229" spans="95:103" ht="13.8" x14ac:dyDescent="0.3">
      <c r="CQ229" s="24">
        <v>0.99277695734447258</v>
      </c>
      <c r="CR229" s="24" t="str">
        <f>"1"</f>
        <v>1</v>
      </c>
      <c r="CS229" t="str">
        <f ca="1">IF((OFFSET($A$1, 229 - 1, 95 - 1)) &gt;= (OFFSET($A$1, 56 - 1, 7 - 1)), "1","0")</f>
        <v>1</v>
      </c>
      <c r="CT229">
        <f ca="1" xml:space="preserve"> IF( AND( OFFSET($A$1, 229 - 1, 96 - 1) = "1", OFFSET($A$1, 229 - 1, 97 - 1) = "1" ), 1, IF( AND( OFFSET($A$1, 229 - 1, 96 - 1) = "1", OFFSET($A$1, 229 - 1, 97 - 1) = "0" ), 2, IF( AND( OFFSET($A$1, 229 - 1, 96 - 1) = "0", OFFSET($A$1, 229 - 1, 97 - 1) = "1" ), 3, 4 ) ) )</f>
        <v>1</v>
      </c>
      <c r="CV229" s="24">
        <v>0.74927353191122115</v>
      </c>
      <c r="CW229" s="24" t="str">
        <f>"1"</f>
        <v>1</v>
      </c>
      <c r="CX229" t="str">
        <f ca="1">IF((OFFSET($A$1, 229 - 1, 100 - 1)) &gt;= (OFFSET($A$1, 80 - 1, 7 - 1)), "1","0")</f>
        <v>1</v>
      </c>
      <c r="CY229">
        <f ca="1" xml:space="preserve"> IF( AND( OFFSET($A$1, 229 - 1, 101 - 1) = "1", OFFSET($A$1, 229 - 1, 102 - 1) = "1" ), 1, IF( AND( OFFSET($A$1, 229 - 1, 101 - 1) = "1", OFFSET($A$1, 229 - 1, 102 - 1) = "0" ), 2, IF( AND( OFFSET($A$1, 229 - 1, 101 - 1) = "0", OFFSET($A$1, 229 - 1, 102 - 1) = "1" ), 3, 4 ) ) )</f>
        <v>1</v>
      </c>
    </row>
    <row r="230" spans="95:103" ht="13.8" x14ac:dyDescent="0.3">
      <c r="CQ230" s="24">
        <v>0.99748248893975788</v>
      </c>
      <c r="CR230" s="24" t="str">
        <f>"1"</f>
        <v>1</v>
      </c>
      <c r="CS230" t="str">
        <f ca="1">IF((OFFSET($A$1, 230 - 1, 95 - 1)) &gt;= (OFFSET($A$1, 56 - 1, 7 - 1)), "1","0")</f>
        <v>1</v>
      </c>
      <c r="CT230">
        <f ca="1" xml:space="preserve"> IF( AND( OFFSET($A$1, 230 - 1, 96 - 1) = "1", OFFSET($A$1, 230 - 1, 97 - 1) = "1" ), 1, IF( AND( OFFSET($A$1, 230 - 1, 96 - 1) = "1", OFFSET($A$1, 230 - 1, 97 - 1) = "0" ), 2, IF( AND( OFFSET($A$1, 230 - 1, 96 - 1) = "0", OFFSET($A$1, 230 - 1, 97 - 1) = "1" ), 3, 4 ) ) )</f>
        <v>1</v>
      </c>
      <c r="CV230" s="24">
        <v>0.99970137099361589</v>
      </c>
      <c r="CW230" s="24" t="str">
        <f>"1"</f>
        <v>1</v>
      </c>
      <c r="CX230" t="str">
        <f ca="1">IF((OFFSET($A$1, 230 - 1, 100 - 1)) &gt;= (OFFSET($A$1, 80 - 1, 7 - 1)), "1","0")</f>
        <v>1</v>
      </c>
      <c r="CY230">
        <f ca="1" xml:space="preserve"> IF( AND( OFFSET($A$1, 230 - 1, 101 - 1) = "1", OFFSET($A$1, 230 - 1, 102 - 1) = "1" ), 1, IF( AND( OFFSET($A$1, 230 - 1, 101 - 1) = "1", OFFSET($A$1, 230 - 1, 102 - 1) = "0" ), 2, IF( AND( OFFSET($A$1, 230 - 1, 101 - 1) = "0", OFFSET($A$1, 230 - 1, 102 - 1) = "1" ), 3, 4 ) ) )</f>
        <v>1</v>
      </c>
    </row>
    <row r="231" spans="95:103" ht="13.8" x14ac:dyDescent="0.3">
      <c r="CQ231" s="24">
        <v>0.92974628897525624</v>
      </c>
      <c r="CR231" s="24" t="str">
        <f>"1"</f>
        <v>1</v>
      </c>
      <c r="CS231" t="str">
        <f ca="1">IF((OFFSET($A$1, 231 - 1, 95 - 1)) &gt;= (OFFSET($A$1, 56 - 1, 7 - 1)), "1","0")</f>
        <v>1</v>
      </c>
      <c r="CT231">
        <f ca="1" xml:space="preserve"> IF( AND( OFFSET($A$1, 231 - 1, 96 - 1) = "1", OFFSET($A$1, 231 - 1, 97 - 1) = "1" ), 1, IF( AND( OFFSET($A$1, 231 - 1, 96 - 1) = "1", OFFSET($A$1, 231 - 1, 97 - 1) = "0" ), 2, IF( AND( OFFSET($A$1, 231 - 1, 96 - 1) = "0", OFFSET($A$1, 231 - 1, 97 - 1) = "1" ), 3, 4 ) ) )</f>
        <v>1</v>
      </c>
      <c r="CV231" s="24">
        <v>0.99998439005743411</v>
      </c>
      <c r="CW231" s="24" t="str">
        <f>"1"</f>
        <v>1</v>
      </c>
      <c r="CX231" t="str">
        <f ca="1">IF((OFFSET($A$1, 231 - 1, 100 - 1)) &gt;= (OFFSET($A$1, 80 - 1, 7 - 1)), "1","0")</f>
        <v>1</v>
      </c>
      <c r="CY231">
        <f ca="1" xml:space="preserve"> IF( AND( OFFSET($A$1, 231 - 1, 101 - 1) = "1", OFFSET($A$1, 231 - 1, 102 - 1) = "1" ), 1, IF( AND( OFFSET($A$1, 231 - 1, 101 - 1) = "1", OFFSET($A$1, 231 - 1, 102 - 1) = "0" ), 2, IF( AND( OFFSET($A$1, 231 - 1, 101 - 1) = "0", OFFSET($A$1, 231 - 1, 102 - 1) = "1" ), 3, 4 ) ) )</f>
        <v>1</v>
      </c>
    </row>
    <row r="232" spans="95:103" ht="13.8" x14ac:dyDescent="0.3">
      <c r="CQ232" s="24">
        <v>0.13408569213830632</v>
      </c>
      <c r="CR232" s="24" t="str">
        <f>"0"</f>
        <v>0</v>
      </c>
      <c r="CS232" t="str">
        <f ca="1">IF((OFFSET($A$1, 232 - 1, 95 - 1)) &gt;= (OFFSET($A$1, 56 - 1, 7 - 1)), "1","0")</f>
        <v>0</v>
      </c>
      <c r="CT232">
        <f ca="1" xml:space="preserve"> IF( AND( OFFSET($A$1, 232 - 1, 96 - 1) = "1", OFFSET($A$1, 232 - 1, 97 - 1) = "1" ), 1, IF( AND( OFFSET($A$1, 232 - 1, 96 - 1) = "1", OFFSET($A$1, 232 - 1, 97 - 1) = "0" ), 2, IF( AND( OFFSET($A$1, 232 - 1, 96 - 1) = "0", OFFSET($A$1, 232 - 1, 97 - 1) = "1" ), 3, 4 ) ) )</f>
        <v>4</v>
      </c>
      <c r="CV232" s="24">
        <v>0.92796532214286354</v>
      </c>
      <c r="CW232" s="24" t="str">
        <f>"1"</f>
        <v>1</v>
      </c>
      <c r="CX232" t="str">
        <f ca="1">IF((OFFSET($A$1, 232 - 1, 100 - 1)) &gt;= (OFFSET($A$1, 80 - 1, 7 - 1)), "1","0")</f>
        <v>1</v>
      </c>
      <c r="CY232">
        <f ca="1" xml:space="preserve"> IF( AND( OFFSET($A$1, 232 - 1, 101 - 1) = "1", OFFSET($A$1, 232 - 1, 102 - 1) = "1" ), 1, IF( AND( OFFSET($A$1, 232 - 1, 101 - 1) = "1", OFFSET($A$1, 232 - 1, 102 - 1) = "0" ), 2, IF( AND( OFFSET($A$1, 232 - 1, 101 - 1) = "0", OFFSET($A$1, 232 - 1, 102 - 1) = "1" ), 3, 4 ) ) )</f>
        <v>1</v>
      </c>
    </row>
    <row r="233" spans="95:103" ht="13.8" x14ac:dyDescent="0.3">
      <c r="CQ233" s="24">
        <v>0.1808169702271604</v>
      </c>
      <c r="CR233" s="24" t="str">
        <f>"0"</f>
        <v>0</v>
      </c>
      <c r="CS233" t="str">
        <f ca="1">IF((OFFSET($A$1, 233 - 1, 95 - 1)) &gt;= (OFFSET($A$1, 56 - 1, 7 - 1)), "1","0")</f>
        <v>0</v>
      </c>
      <c r="CT233">
        <f ca="1" xml:space="preserve"> IF( AND( OFFSET($A$1, 233 - 1, 96 - 1) = "1", OFFSET($A$1, 233 - 1, 97 - 1) = "1" ), 1, IF( AND( OFFSET($A$1, 233 - 1, 96 - 1) = "1", OFFSET($A$1, 233 - 1, 97 - 1) = "0" ), 2, IF( AND( OFFSET($A$1, 233 - 1, 96 - 1) = "0", OFFSET($A$1, 233 - 1, 97 - 1) = "1" ), 3, 4 ) ) )</f>
        <v>4</v>
      </c>
      <c r="CV233" s="24">
        <v>0.69941294139772237</v>
      </c>
      <c r="CW233" s="24" t="str">
        <f>"0"</f>
        <v>0</v>
      </c>
      <c r="CX233" t="str">
        <f ca="1">IF((OFFSET($A$1, 233 - 1, 100 - 1)) &gt;= (OFFSET($A$1, 80 - 1, 7 - 1)), "1","0")</f>
        <v>1</v>
      </c>
      <c r="CY233">
        <f ca="1" xml:space="preserve"> IF( AND( OFFSET($A$1, 233 - 1, 101 - 1) = "1", OFFSET($A$1, 233 - 1, 102 - 1) = "1" ), 1, IF( AND( OFFSET($A$1, 233 - 1, 101 - 1) = "1", OFFSET($A$1, 233 - 1, 102 - 1) = "0" ), 2, IF( AND( OFFSET($A$1, 233 - 1, 101 - 1) = "0", OFFSET($A$1, 233 - 1, 102 - 1) = "1" ), 3, 4 ) ) )</f>
        <v>3</v>
      </c>
    </row>
    <row r="234" spans="95:103" ht="13.8" x14ac:dyDescent="0.3">
      <c r="CQ234" s="24">
        <v>0.978343316853308</v>
      </c>
      <c r="CR234" s="24" t="str">
        <f t="shared" ref="CR234:CR240" si="17">"1"</f>
        <v>1</v>
      </c>
      <c r="CS234" t="str">
        <f ca="1">IF((OFFSET($A$1, 234 - 1, 95 - 1)) &gt;= (OFFSET($A$1, 56 - 1, 7 - 1)), "1","0")</f>
        <v>1</v>
      </c>
      <c r="CT234">
        <f ca="1" xml:space="preserve"> IF( AND( OFFSET($A$1, 234 - 1, 96 - 1) = "1", OFFSET($A$1, 234 - 1, 97 - 1) = "1" ), 1, IF( AND( OFFSET($A$1, 234 - 1, 96 - 1) = "1", OFFSET($A$1, 234 - 1, 97 - 1) = "0" ), 2, IF( AND( OFFSET($A$1, 234 - 1, 96 - 1) = "0", OFFSET($A$1, 234 - 1, 97 - 1) = "1" ), 3, 4 ) ) )</f>
        <v>1</v>
      </c>
      <c r="CV234" s="24">
        <v>0.90658310081841553</v>
      </c>
      <c r="CW234" s="24" t="str">
        <f t="shared" ref="CW234:CW242" si="18">"1"</f>
        <v>1</v>
      </c>
      <c r="CX234" t="str">
        <f ca="1">IF((OFFSET($A$1, 234 - 1, 100 - 1)) &gt;= (OFFSET($A$1, 80 - 1, 7 - 1)), "1","0")</f>
        <v>1</v>
      </c>
      <c r="CY234">
        <f ca="1" xml:space="preserve"> IF( AND( OFFSET($A$1, 234 - 1, 101 - 1) = "1", OFFSET($A$1, 234 - 1, 102 - 1) = "1" ), 1, IF( AND( OFFSET($A$1, 234 - 1, 101 - 1) = "1", OFFSET($A$1, 234 - 1, 102 - 1) = "0" ), 2, IF( AND( OFFSET($A$1, 234 - 1, 101 - 1) = "0", OFFSET($A$1, 234 - 1, 102 - 1) = "1" ), 3, 4 ) ) )</f>
        <v>1</v>
      </c>
    </row>
    <row r="235" spans="95:103" ht="13.8" x14ac:dyDescent="0.3">
      <c r="CQ235" s="24">
        <v>0.9936621049665425</v>
      </c>
      <c r="CR235" s="24" t="str">
        <f t="shared" si="17"/>
        <v>1</v>
      </c>
      <c r="CS235" t="str">
        <f ca="1">IF((OFFSET($A$1, 235 - 1, 95 - 1)) &gt;= (OFFSET($A$1, 56 - 1, 7 - 1)), "1","0")</f>
        <v>1</v>
      </c>
      <c r="CT235">
        <f ca="1" xml:space="preserve"> IF( AND( OFFSET($A$1, 235 - 1, 96 - 1) = "1", OFFSET($A$1, 235 - 1, 97 - 1) = "1" ), 1, IF( AND( OFFSET($A$1, 235 - 1, 96 - 1) = "1", OFFSET($A$1, 235 - 1, 97 - 1) = "0" ), 2, IF( AND( OFFSET($A$1, 235 - 1, 96 - 1) = "0", OFFSET($A$1, 235 - 1, 97 - 1) = "1" ), 3, 4 ) ) )</f>
        <v>1</v>
      </c>
      <c r="CV235" s="24">
        <v>5.161068258918293E-2</v>
      </c>
      <c r="CW235" s="24" t="str">
        <f t="shared" si="18"/>
        <v>1</v>
      </c>
      <c r="CX235" t="str">
        <f ca="1">IF((OFFSET($A$1, 235 - 1, 100 - 1)) &gt;= (OFFSET($A$1, 80 - 1, 7 - 1)), "1","0")</f>
        <v>0</v>
      </c>
      <c r="CY235">
        <f ca="1" xml:space="preserve"> IF( AND( OFFSET($A$1, 235 - 1, 101 - 1) = "1", OFFSET($A$1, 235 - 1, 102 - 1) = "1" ), 1, IF( AND( OFFSET($A$1, 235 - 1, 101 - 1) = "1", OFFSET($A$1, 235 - 1, 102 - 1) = "0" ), 2, IF( AND( OFFSET($A$1, 235 - 1, 101 - 1) = "0", OFFSET($A$1, 235 - 1, 102 - 1) = "1" ), 3, 4 ) ) )</f>
        <v>2</v>
      </c>
    </row>
    <row r="236" spans="95:103" ht="13.8" x14ac:dyDescent="0.3">
      <c r="CQ236" s="24">
        <v>0.99987019899573559</v>
      </c>
      <c r="CR236" s="24" t="str">
        <f t="shared" si="17"/>
        <v>1</v>
      </c>
      <c r="CS236" t="str">
        <f ca="1">IF((OFFSET($A$1, 236 - 1, 95 - 1)) &gt;= (OFFSET($A$1, 56 - 1, 7 - 1)), "1","0")</f>
        <v>1</v>
      </c>
      <c r="CT236">
        <f ca="1" xml:space="preserve"> IF( AND( OFFSET($A$1, 236 - 1, 96 - 1) = "1", OFFSET($A$1, 236 - 1, 97 - 1) = "1" ), 1, IF( AND( OFFSET($A$1, 236 - 1, 96 - 1) = "1", OFFSET($A$1, 236 - 1, 97 - 1) = "0" ), 2, IF( AND( OFFSET($A$1, 236 - 1, 96 - 1) = "0", OFFSET($A$1, 236 - 1, 97 - 1) = "1" ), 3, 4 ) ) )</f>
        <v>1</v>
      </c>
      <c r="CV236" s="24">
        <v>0.99963239598609877</v>
      </c>
      <c r="CW236" s="24" t="str">
        <f t="shared" si="18"/>
        <v>1</v>
      </c>
      <c r="CX236" t="str">
        <f ca="1">IF((OFFSET($A$1, 236 - 1, 100 - 1)) &gt;= (OFFSET($A$1, 80 - 1, 7 - 1)), "1","0")</f>
        <v>1</v>
      </c>
      <c r="CY236">
        <f ca="1" xml:space="preserve"> IF( AND( OFFSET($A$1, 236 - 1, 101 - 1) = "1", OFFSET($A$1, 236 - 1, 102 - 1) = "1" ), 1, IF( AND( OFFSET($A$1, 236 - 1, 101 - 1) = "1", OFFSET($A$1, 236 - 1, 102 - 1) = "0" ), 2, IF( AND( OFFSET($A$1, 236 - 1, 101 - 1) = "0", OFFSET($A$1, 236 - 1, 102 - 1) = "1" ), 3, 4 ) ) )</f>
        <v>1</v>
      </c>
    </row>
    <row r="237" spans="95:103" ht="13.8" x14ac:dyDescent="0.3">
      <c r="CQ237" s="24">
        <v>0.99606058751547066</v>
      </c>
      <c r="CR237" s="24" t="str">
        <f t="shared" si="17"/>
        <v>1</v>
      </c>
      <c r="CS237" t="str">
        <f ca="1">IF((OFFSET($A$1, 237 - 1, 95 - 1)) &gt;= (OFFSET($A$1, 56 - 1, 7 - 1)), "1","0")</f>
        <v>1</v>
      </c>
      <c r="CT237">
        <f ca="1" xml:space="preserve"> IF( AND( OFFSET($A$1, 237 - 1, 96 - 1) = "1", OFFSET($A$1, 237 - 1, 97 - 1) = "1" ), 1, IF( AND( OFFSET($A$1, 237 - 1, 96 - 1) = "1", OFFSET($A$1, 237 - 1, 97 - 1) = "0" ), 2, IF( AND( OFFSET($A$1, 237 - 1, 96 - 1) = "0", OFFSET($A$1, 237 - 1, 97 - 1) = "1" ), 3, 4 ) ) )</f>
        <v>1</v>
      </c>
      <c r="CV237" s="24">
        <v>0.11339518413267126</v>
      </c>
      <c r="CW237" s="24" t="str">
        <f t="shared" si="18"/>
        <v>1</v>
      </c>
      <c r="CX237" t="str">
        <f ca="1">IF((OFFSET($A$1, 237 - 1, 100 - 1)) &gt;= (OFFSET($A$1, 80 - 1, 7 - 1)), "1","0")</f>
        <v>0</v>
      </c>
      <c r="CY237">
        <f ca="1" xml:space="preserve"> IF( AND( OFFSET($A$1, 237 - 1, 101 - 1) = "1", OFFSET($A$1, 237 - 1, 102 - 1) = "1" ), 1, IF( AND( OFFSET($A$1, 237 - 1, 101 - 1) = "1", OFFSET($A$1, 237 - 1, 102 - 1) = "0" ), 2, IF( AND( OFFSET($A$1, 237 - 1, 101 - 1) = "0", OFFSET($A$1, 237 - 1, 102 - 1) = "1" ), 3, 4 ) ) )</f>
        <v>2</v>
      </c>
    </row>
    <row r="238" spans="95:103" ht="13.8" x14ac:dyDescent="0.3">
      <c r="CQ238" s="24">
        <v>0.99810279165598903</v>
      </c>
      <c r="CR238" s="24" t="str">
        <f t="shared" si="17"/>
        <v>1</v>
      </c>
      <c r="CS238" t="str">
        <f ca="1">IF((OFFSET($A$1, 238 - 1, 95 - 1)) &gt;= (OFFSET($A$1, 56 - 1, 7 - 1)), "1","0")</f>
        <v>1</v>
      </c>
      <c r="CT238">
        <f ca="1" xml:space="preserve"> IF( AND( OFFSET($A$1, 238 - 1, 96 - 1) = "1", OFFSET($A$1, 238 - 1, 97 - 1) = "1" ), 1, IF( AND( OFFSET($A$1, 238 - 1, 96 - 1) = "1", OFFSET($A$1, 238 - 1, 97 - 1) = "0" ), 2, IF( AND( OFFSET($A$1, 238 - 1, 96 - 1) = "0", OFFSET($A$1, 238 - 1, 97 - 1) = "1" ), 3, 4 ) ) )</f>
        <v>1</v>
      </c>
      <c r="CV238" s="24">
        <v>0.99466763674078928</v>
      </c>
      <c r="CW238" s="24" t="str">
        <f t="shared" si="18"/>
        <v>1</v>
      </c>
      <c r="CX238" t="str">
        <f ca="1">IF((OFFSET($A$1, 238 - 1, 100 - 1)) &gt;= (OFFSET($A$1, 80 - 1, 7 - 1)), "1","0")</f>
        <v>1</v>
      </c>
      <c r="CY238">
        <f ca="1" xml:space="preserve"> IF( AND( OFFSET($A$1, 238 - 1, 101 - 1) = "1", OFFSET($A$1, 238 - 1, 102 - 1) = "1" ), 1, IF( AND( OFFSET($A$1, 238 - 1, 101 - 1) = "1", OFFSET($A$1, 238 - 1, 102 - 1) = "0" ), 2, IF( AND( OFFSET($A$1, 238 - 1, 101 - 1) = "0", OFFSET($A$1, 238 - 1, 102 - 1) = "1" ), 3, 4 ) ) )</f>
        <v>1</v>
      </c>
    </row>
    <row r="239" spans="95:103" ht="13.8" x14ac:dyDescent="0.3">
      <c r="CQ239" s="24">
        <v>0.90814627241200352</v>
      </c>
      <c r="CR239" s="24" t="str">
        <f t="shared" si="17"/>
        <v>1</v>
      </c>
      <c r="CS239" t="str">
        <f ca="1">IF((OFFSET($A$1, 239 - 1, 95 - 1)) &gt;= (OFFSET($A$1, 56 - 1, 7 - 1)), "1","0")</f>
        <v>1</v>
      </c>
      <c r="CT239">
        <f ca="1" xml:space="preserve"> IF( AND( OFFSET($A$1, 239 - 1, 96 - 1) = "1", OFFSET($A$1, 239 - 1, 97 - 1) = "1" ), 1, IF( AND( OFFSET($A$1, 239 - 1, 96 - 1) = "1", OFFSET($A$1, 239 - 1, 97 - 1) = "0" ), 2, IF( AND( OFFSET($A$1, 239 - 1, 96 - 1) = "0", OFFSET($A$1, 239 - 1, 97 - 1) = "1" ), 3, 4 ) ) )</f>
        <v>1</v>
      </c>
      <c r="CV239" s="24">
        <v>0.9999872338218474</v>
      </c>
      <c r="CW239" s="24" t="str">
        <f t="shared" si="18"/>
        <v>1</v>
      </c>
      <c r="CX239" t="str">
        <f ca="1">IF((OFFSET($A$1, 239 - 1, 100 - 1)) &gt;= (OFFSET($A$1, 80 - 1, 7 - 1)), "1","0")</f>
        <v>1</v>
      </c>
      <c r="CY239">
        <f ca="1" xml:space="preserve"> IF( AND( OFFSET($A$1, 239 - 1, 101 - 1) = "1", OFFSET($A$1, 239 - 1, 102 - 1) = "1" ), 1, IF( AND( OFFSET($A$1, 239 - 1, 101 - 1) = "1", OFFSET($A$1, 239 - 1, 102 - 1) = "0" ), 2, IF( AND( OFFSET($A$1, 239 - 1, 101 - 1) = "0", OFFSET($A$1, 239 - 1, 102 - 1) = "1" ), 3, 4 ) ) )</f>
        <v>1</v>
      </c>
    </row>
    <row r="240" spans="95:103" ht="13.8" x14ac:dyDescent="0.3">
      <c r="CQ240" s="24">
        <v>0.99954808271238238</v>
      </c>
      <c r="CR240" s="24" t="str">
        <f t="shared" si="17"/>
        <v>1</v>
      </c>
      <c r="CS240" t="str">
        <f ca="1">IF((OFFSET($A$1, 240 - 1, 95 - 1)) &gt;= (OFFSET($A$1, 56 - 1, 7 - 1)), "1","0")</f>
        <v>1</v>
      </c>
      <c r="CT240">
        <f ca="1" xml:space="preserve"> IF( AND( OFFSET($A$1, 240 - 1, 96 - 1) = "1", OFFSET($A$1, 240 - 1, 97 - 1) = "1" ), 1, IF( AND( OFFSET($A$1, 240 - 1, 96 - 1) = "1", OFFSET($A$1, 240 - 1, 97 - 1) = "0" ), 2, IF( AND( OFFSET($A$1, 240 - 1, 96 - 1) = "0", OFFSET($A$1, 240 - 1, 97 - 1) = "1" ), 3, 4 ) ) )</f>
        <v>1</v>
      </c>
      <c r="CV240" s="24">
        <v>0.99617121850335466</v>
      </c>
      <c r="CW240" s="24" t="str">
        <f t="shared" si="18"/>
        <v>1</v>
      </c>
      <c r="CX240" t="str">
        <f ca="1">IF((OFFSET($A$1, 240 - 1, 100 - 1)) &gt;= (OFFSET($A$1, 80 - 1, 7 - 1)), "1","0")</f>
        <v>1</v>
      </c>
      <c r="CY240">
        <f ca="1" xml:space="preserve"> IF( AND( OFFSET($A$1, 240 - 1, 101 - 1) = "1", OFFSET($A$1, 240 - 1, 102 - 1) = "1" ), 1, IF( AND( OFFSET($A$1, 240 - 1, 101 - 1) = "1", OFFSET($A$1, 240 - 1, 102 - 1) = "0" ), 2, IF( AND( OFFSET($A$1, 240 - 1, 101 - 1) = "0", OFFSET($A$1, 240 - 1, 102 - 1) = "1" ), 3, 4 ) ) )</f>
        <v>1</v>
      </c>
    </row>
    <row r="241" spans="95:103" ht="13.8" x14ac:dyDescent="0.3">
      <c r="CQ241" s="24">
        <v>8.9574271372976633E-2</v>
      </c>
      <c r="CR241" s="24" t="str">
        <f>"0"</f>
        <v>0</v>
      </c>
      <c r="CS241" t="str">
        <f ca="1">IF((OFFSET($A$1, 241 - 1, 95 - 1)) &gt;= (OFFSET($A$1, 56 - 1, 7 - 1)), "1","0")</f>
        <v>0</v>
      </c>
      <c r="CT241">
        <f ca="1" xml:space="preserve"> IF( AND( OFFSET($A$1, 241 - 1, 96 - 1) = "1", OFFSET($A$1, 241 - 1, 97 - 1) = "1" ), 1, IF( AND( OFFSET($A$1, 241 - 1, 96 - 1) = "1", OFFSET($A$1, 241 - 1, 97 - 1) = "0" ), 2, IF( AND( OFFSET($A$1, 241 - 1, 96 - 1) = "0", OFFSET($A$1, 241 - 1, 97 - 1) = "1" ), 3, 4 ) ) )</f>
        <v>4</v>
      </c>
      <c r="CV241" s="24">
        <v>0.99901719940259814</v>
      </c>
      <c r="CW241" s="24" t="str">
        <f t="shared" si="18"/>
        <v>1</v>
      </c>
      <c r="CX241" t="str">
        <f ca="1">IF((OFFSET($A$1, 241 - 1, 100 - 1)) &gt;= (OFFSET($A$1, 80 - 1, 7 - 1)), "1","0")</f>
        <v>1</v>
      </c>
      <c r="CY241">
        <f ca="1" xml:space="preserve"> IF( AND( OFFSET($A$1, 241 - 1, 101 - 1) = "1", OFFSET($A$1, 241 - 1, 102 - 1) = "1" ), 1, IF( AND( OFFSET($A$1, 241 - 1, 101 - 1) = "1", OFFSET($A$1, 241 - 1, 102 - 1) = "0" ), 2, IF( AND( OFFSET($A$1, 241 - 1, 101 - 1) = "0", OFFSET($A$1, 241 - 1, 102 - 1) = "1" ), 3, 4 ) ) )</f>
        <v>1</v>
      </c>
    </row>
    <row r="242" spans="95:103" ht="13.8" x14ac:dyDescent="0.3">
      <c r="CQ242" s="24">
        <v>0.81117747751458247</v>
      </c>
      <c r="CR242" s="24" t="str">
        <f t="shared" ref="CR242:CR247" si="19">"1"</f>
        <v>1</v>
      </c>
      <c r="CS242" t="str">
        <f ca="1">IF((OFFSET($A$1, 242 - 1, 95 - 1)) &gt;= (OFFSET($A$1, 56 - 1, 7 - 1)), "1","0")</f>
        <v>1</v>
      </c>
      <c r="CT242">
        <f ca="1" xml:space="preserve"> IF( AND( OFFSET($A$1, 242 - 1, 96 - 1) = "1", OFFSET($A$1, 242 - 1, 97 - 1) = "1" ), 1, IF( AND( OFFSET($A$1, 242 - 1, 96 - 1) = "1", OFFSET($A$1, 242 - 1, 97 - 1) = "0" ), 2, IF( AND( OFFSET($A$1, 242 - 1, 96 - 1) = "0", OFFSET($A$1, 242 - 1, 97 - 1) = "1" ), 3, 4 ) ) )</f>
        <v>1</v>
      </c>
      <c r="CV242" s="24">
        <v>0.99995679662835479</v>
      </c>
      <c r="CW242" s="24" t="str">
        <f t="shared" si="18"/>
        <v>1</v>
      </c>
      <c r="CX242" t="str">
        <f ca="1">IF((OFFSET($A$1, 242 - 1, 100 - 1)) &gt;= (OFFSET($A$1, 80 - 1, 7 - 1)), "1","0")</f>
        <v>1</v>
      </c>
      <c r="CY242">
        <f ca="1" xml:space="preserve"> IF( AND( OFFSET($A$1, 242 - 1, 101 - 1) = "1", OFFSET($A$1, 242 - 1, 102 - 1) = "1" ), 1, IF( AND( OFFSET($A$1, 242 - 1, 101 - 1) = "1", OFFSET($A$1, 242 - 1, 102 - 1) = "0" ), 2, IF( AND( OFFSET($A$1, 242 - 1, 101 - 1) = "0", OFFSET($A$1, 242 - 1, 102 - 1) = "1" ), 3, 4 ) ) )</f>
        <v>1</v>
      </c>
    </row>
    <row r="243" spans="95:103" ht="13.8" x14ac:dyDescent="0.3">
      <c r="CQ243" s="24">
        <v>0.96788153452897996</v>
      </c>
      <c r="CR243" s="24" t="str">
        <f t="shared" si="19"/>
        <v>1</v>
      </c>
      <c r="CS243" t="str">
        <f ca="1">IF((OFFSET($A$1, 243 - 1, 95 - 1)) &gt;= (OFFSET($A$1, 56 - 1, 7 - 1)), "1","0")</f>
        <v>1</v>
      </c>
      <c r="CT243">
        <f ca="1" xml:space="preserve"> IF( AND( OFFSET($A$1, 243 - 1, 96 - 1) = "1", OFFSET($A$1, 243 - 1, 97 - 1) = "1" ), 1, IF( AND( OFFSET($A$1, 243 - 1, 96 - 1) = "1", OFFSET($A$1, 243 - 1, 97 - 1) = "0" ), 2, IF( AND( OFFSET($A$1, 243 - 1, 96 - 1) = "0", OFFSET($A$1, 243 - 1, 97 - 1) = "1" ), 3, 4 ) ) )</f>
        <v>1</v>
      </c>
      <c r="CV243" s="24">
        <v>0.74961093497539932</v>
      </c>
      <c r="CW243" s="24" t="str">
        <f>"0"</f>
        <v>0</v>
      </c>
      <c r="CX243" t="str">
        <f ca="1">IF((OFFSET($A$1, 243 - 1, 100 - 1)) &gt;= (OFFSET($A$1, 80 - 1, 7 - 1)), "1","0")</f>
        <v>1</v>
      </c>
      <c r="CY243">
        <f ca="1" xml:space="preserve"> IF( AND( OFFSET($A$1, 243 - 1, 101 - 1) = "1", OFFSET($A$1, 243 - 1, 102 - 1) = "1" ), 1, IF( AND( OFFSET($A$1, 243 - 1, 101 - 1) = "1", OFFSET($A$1, 243 - 1, 102 - 1) = "0" ), 2, IF( AND( OFFSET($A$1, 243 - 1, 101 - 1) = "0", OFFSET($A$1, 243 - 1, 102 - 1) = "1" ), 3, 4 ) ) )</f>
        <v>3</v>
      </c>
    </row>
    <row r="244" spans="95:103" ht="13.8" x14ac:dyDescent="0.3">
      <c r="CQ244" s="24">
        <v>0.98907333171242795</v>
      </c>
      <c r="CR244" s="24" t="str">
        <f t="shared" si="19"/>
        <v>1</v>
      </c>
      <c r="CS244" t="str">
        <f ca="1">IF((OFFSET($A$1, 244 - 1, 95 - 1)) &gt;= (OFFSET($A$1, 56 - 1, 7 - 1)), "1","0")</f>
        <v>1</v>
      </c>
      <c r="CT244">
        <f ca="1" xml:space="preserve"> IF( AND( OFFSET($A$1, 244 - 1, 96 - 1) = "1", OFFSET($A$1, 244 - 1, 97 - 1) = "1" ), 1, IF( AND( OFFSET($A$1, 244 - 1, 96 - 1) = "1", OFFSET($A$1, 244 - 1, 97 - 1) = "0" ), 2, IF( AND( OFFSET($A$1, 244 - 1, 96 - 1) = "0", OFFSET($A$1, 244 - 1, 97 - 1) = "1" ), 3, 4 ) ) )</f>
        <v>1</v>
      </c>
      <c r="CV244" s="24">
        <v>0.12902689249551086</v>
      </c>
      <c r="CW244" s="24" t="str">
        <f>"0"</f>
        <v>0</v>
      </c>
      <c r="CX244" t="str">
        <f ca="1">IF((OFFSET($A$1, 244 - 1, 100 - 1)) &gt;= (OFFSET($A$1, 80 - 1, 7 - 1)), "1","0")</f>
        <v>0</v>
      </c>
      <c r="CY244">
        <f ca="1" xml:space="preserve"> IF( AND( OFFSET($A$1, 244 - 1, 101 - 1) = "1", OFFSET($A$1, 244 - 1, 102 - 1) = "1" ), 1, IF( AND( OFFSET($A$1, 244 - 1, 101 - 1) = "1", OFFSET($A$1, 244 - 1, 102 - 1) = "0" ), 2, IF( AND( OFFSET($A$1, 244 - 1, 101 - 1) = "0", OFFSET($A$1, 244 - 1, 102 - 1) = "1" ), 3, 4 ) ) )</f>
        <v>4</v>
      </c>
    </row>
    <row r="245" spans="95:103" ht="13.8" x14ac:dyDescent="0.3">
      <c r="CQ245" s="24">
        <v>0.93787522508272314</v>
      </c>
      <c r="CR245" s="24" t="str">
        <f t="shared" si="19"/>
        <v>1</v>
      </c>
      <c r="CS245" t="str">
        <f ca="1">IF((OFFSET($A$1, 245 - 1, 95 - 1)) &gt;= (OFFSET($A$1, 56 - 1, 7 - 1)), "1","0")</f>
        <v>1</v>
      </c>
      <c r="CT245">
        <f ca="1" xml:space="preserve"> IF( AND( OFFSET($A$1, 245 - 1, 96 - 1) = "1", OFFSET($A$1, 245 - 1, 97 - 1) = "1" ), 1, IF( AND( OFFSET($A$1, 245 - 1, 96 - 1) = "1", OFFSET($A$1, 245 - 1, 97 - 1) = "0" ), 2, IF( AND( OFFSET($A$1, 245 - 1, 96 - 1) = "0", OFFSET($A$1, 245 - 1, 97 - 1) = "1" ), 3, 4 ) ) )</f>
        <v>1</v>
      </c>
      <c r="CV245" s="24">
        <v>0.7489768321812541</v>
      </c>
      <c r="CW245" s="24" t="str">
        <f>"1"</f>
        <v>1</v>
      </c>
      <c r="CX245" t="str">
        <f ca="1">IF((OFFSET($A$1, 245 - 1, 100 - 1)) &gt;= (OFFSET($A$1, 80 - 1, 7 - 1)), "1","0")</f>
        <v>1</v>
      </c>
      <c r="CY245">
        <f ca="1" xml:space="preserve"> IF( AND( OFFSET($A$1, 245 - 1, 101 - 1) = "1", OFFSET($A$1, 245 - 1, 102 - 1) = "1" ), 1, IF( AND( OFFSET($A$1, 245 - 1, 101 - 1) = "1", OFFSET($A$1, 245 - 1, 102 - 1) = "0" ), 2, IF( AND( OFFSET($A$1, 245 - 1, 101 - 1) = "0", OFFSET($A$1, 245 - 1, 102 - 1) = "1" ), 3, 4 ) ) )</f>
        <v>1</v>
      </c>
    </row>
    <row r="246" spans="95:103" ht="13.8" x14ac:dyDescent="0.3">
      <c r="CQ246" s="24">
        <v>0.90689557021892375</v>
      </c>
      <c r="CR246" s="24" t="str">
        <f t="shared" si="19"/>
        <v>1</v>
      </c>
      <c r="CS246" t="str">
        <f ca="1">IF((OFFSET($A$1, 246 - 1, 95 - 1)) &gt;= (OFFSET($A$1, 56 - 1, 7 - 1)), "1","0")</f>
        <v>1</v>
      </c>
      <c r="CT246">
        <f ca="1" xml:space="preserve"> IF( AND( OFFSET($A$1, 246 - 1, 96 - 1) = "1", OFFSET($A$1, 246 - 1, 97 - 1) = "1" ), 1, IF( AND( OFFSET($A$1, 246 - 1, 96 - 1) = "1", OFFSET($A$1, 246 - 1, 97 - 1) = "0" ), 2, IF( AND( OFFSET($A$1, 246 - 1, 96 - 1) = "0", OFFSET($A$1, 246 - 1, 97 - 1) = "1" ), 3, 4 ) ) )</f>
        <v>1</v>
      </c>
      <c r="CV246" s="24">
        <v>0.14186884785225506</v>
      </c>
      <c r="CW246" s="24" t="str">
        <f>"0"</f>
        <v>0</v>
      </c>
      <c r="CX246" t="str">
        <f ca="1">IF((OFFSET($A$1, 246 - 1, 100 - 1)) &gt;= (OFFSET($A$1, 80 - 1, 7 - 1)), "1","0")</f>
        <v>0</v>
      </c>
      <c r="CY246">
        <f ca="1" xml:space="preserve"> IF( AND( OFFSET($A$1, 246 - 1, 101 - 1) = "1", OFFSET($A$1, 246 - 1, 102 - 1) = "1" ), 1, IF( AND( OFFSET($A$1, 246 - 1, 101 - 1) = "1", OFFSET($A$1, 246 - 1, 102 - 1) = "0" ), 2, IF( AND( OFFSET($A$1, 246 - 1, 101 - 1) = "0", OFFSET($A$1, 246 - 1, 102 - 1) = "1" ), 3, 4 ) ) )</f>
        <v>4</v>
      </c>
    </row>
    <row r="247" spans="95:103" ht="13.8" x14ac:dyDescent="0.3">
      <c r="CQ247" s="24">
        <v>0.99292898355595038</v>
      </c>
      <c r="CR247" s="24" t="str">
        <f t="shared" si="19"/>
        <v>1</v>
      </c>
      <c r="CS247" t="str">
        <f ca="1">IF((OFFSET($A$1, 247 - 1, 95 - 1)) &gt;= (OFFSET($A$1, 56 - 1, 7 - 1)), "1","0")</f>
        <v>1</v>
      </c>
      <c r="CT247">
        <f ca="1" xml:space="preserve"> IF( AND( OFFSET($A$1, 247 - 1, 96 - 1) = "1", OFFSET($A$1, 247 - 1, 97 - 1) = "1" ), 1, IF( AND( OFFSET($A$1, 247 - 1, 96 - 1) = "1", OFFSET($A$1, 247 - 1, 97 - 1) = "0" ), 2, IF( AND( OFFSET($A$1, 247 - 1, 96 - 1) = "0", OFFSET($A$1, 247 - 1, 97 - 1) = "1" ), 3, 4 ) ) )</f>
        <v>1</v>
      </c>
      <c r="CV247" s="24">
        <v>0.91444626228155068</v>
      </c>
      <c r="CW247" s="24" t="str">
        <f t="shared" ref="CW247:CW258" si="20">"1"</f>
        <v>1</v>
      </c>
      <c r="CX247" t="str">
        <f ca="1">IF((OFFSET($A$1, 247 - 1, 100 - 1)) &gt;= (OFFSET($A$1, 80 - 1, 7 - 1)), "1","0")</f>
        <v>1</v>
      </c>
      <c r="CY247">
        <f ca="1" xml:space="preserve"> IF( AND( OFFSET($A$1, 247 - 1, 101 - 1) = "1", OFFSET($A$1, 247 - 1, 102 - 1) = "1" ), 1, IF( AND( OFFSET($A$1, 247 - 1, 101 - 1) = "1", OFFSET($A$1, 247 - 1, 102 - 1) = "0" ), 2, IF( AND( OFFSET($A$1, 247 - 1, 101 - 1) = "0", OFFSET($A$1, 247 - 1, 102 - 1) = "1" ), 3, 4 ) ) )</f>
        <v>1</v>
      </c>
    </row>
    <row r="248" spans="95:103" ht="13.8" x14ac:dyDescent="0.3">
      <c r="CQ248" s="24">
        <v>0.19593850343140812</v>
      </c>
      <c r="CR248" s="24" t="str">
        <f>"0"</f>
        <v>0</v>
      </c>
      <c r="CS248" t="str">
        <f ca="1">IF((OFFSET($A$1, 248 - 1, 95 - 1)) &gt;= (OFFSET($A$1, 56 - 1, 7 - 1)), "1","0")</f>
        <v>0</v>
      </c>
      <c r="CT248">
        <f ca="1" xml:space="preserve"> IF( AND( OFFSET($A$1, 248 - 1, 96 - 1) = "1", OFFSET($A$1, 248 - 1, 97 - 1) = "1" ), 1, IF( AND( OFFSET($A$1, 248 - 1, 96 - 1) = "1", OFFSET($A$1, 248 - 1, 97 - 1) = "0" ), 2, IF( AND( OFFSET($A$1, 248 - 1, 96 - 1) = "0", OFFSET($A$1, 248 - 1, 97 - 1) = "1" ), 3, 4 ) ) )</f>
        <v>4</v>
      </c>
      <c r="CV248" s="24">
        <v>0.99974579619318193</v>
      </c>
      <c r="CW248" s="24" t="str">
        <f t="shared" si="20"/>
        <v>1</v>
      </c>
      <c r="CX248" t="str">
        <f ca="1">IF((OFFSET($A$1, 248 - 1, 100 - 1)) &gt;= (OFFSET($A$1, 80 - 1, 7 - 1)), "1","0")</f>
        <v>1</v>
      </c>
      <c r="CY248">
        <f ca="1" xml:space="preserve"> IF( AND( OFFSET($A$1, 248 - 1, 101 - 1) = "1", OFFSET($A$1, 248 - 1, 102 - 1) = "1" ), 1, IF( AND( OFFSET($A$1, 248 - 1, 101 - 1) = "1", OFFSET($A$1, 248 - 1, 102 - 1) = "0" ), 2, IF( AND( OFFSET($A$1, 248 - 1, 101 - 1) = "0", OFFSET($A$1, 248 - 1, 102 - 1) = "1" ), 3, 4 ) ) )</f>
        <v>1</v>
      </c>
    </row>
    <row r="249" spans="95:103" ht="13.8" x14ac:dyDescent="0.3">
      <c r="CQ249" s="24">
        <v>0.98564185523547043</v>
      </c>
      <c r="CR249" s="24" t="str">
        <f t="shared" ref="CR249:CR258" si="21">"1"</f>
        <v>1</v>
      </c>
      <c r="CS249" t="str">
        <f ca="1">IF((OFFSET($A$1, 249 - 1, 95 - 1)) &gt;= (OFFSET($A$1, 56 - 1, 7 - 1)), "1","0")</f>
        <v>1</v>
      </c>
      <c r="CT249">
        <f ca="1" xml:space="preserve"> IF( AND( OFFSET($A$1, 249 - 1, 96 - 1) = "1", OFFSET($A$1, 249 - 1, 97 - 1) = "1" ), 1, IF( AND( OFFSET($A$1, 249 - 1, 96 - 1) = "1", OFFSET($A$1, 249 - 1, 97 - 1) = "0" ), 2, IF( AND( OFFSET($A$1, 249 - 1, 96 - 1) = "0", OFFSET($A$1, 249 - 1, 97 - 1) = "1" ), 3, 4 ) ) )</f>
        <v>1</v>
      </c>
      <c r="CV249" s="24">
        <v>0.10959573812519402</v>
      </c>
      <c r="CW249" s="24" t="str">
        <f t="shared" si="20"/>
        <v>1</v>
      </c>
      <c r="CX249" t="str">
        <f ca="1">IF((OFFSET($A$1, 249 - 1, 100 - 1)) &gt;= (OFFSET($A$1, 80 - 1, 7 - 1)), "1","0")</f>
        <v>0</v>
      </c>
      <c r="CY249">
        <f ca="1" xml:space="preserve"> IF( AND( OFFSET($A$1, 249 - 1, 101 - 1) = "1", OFFSET($A$1, 249 - 1, 102 - 1) = "1" ), 1, IF( AND( OFFSET($A$1, 249 - 1, 101 - 1) = "1", OFFSET($A$1, 249 - 1, 102 - 1) = "0" ), 2, IF( AND( OFFSET($A$1, 249 - 1, 101 - 1) = "0", OFFSET($A$1, 249 - 1, 102 - 1) = "1" ), 3, 4 ) ) )</f>
        <v>2</v>
      </c>
    </row>
    <row r="250" spans="95:103" ht="13.8" x14ac:dyDescent="0.3">
      <c r="CQ250" s="24">
        <v>0.76264737408294203</v>
      </c>
      <c r="CR250" s="24" t="str">
        <f t="shared" si="21"/>
        <v>1</v>
      </c>
      <c r="CS250" t="str">
        <f ca="1">IF((OFFSET($A$1, 250 - 1, 95 - 1)) &gt;= (OFFSET($A$1, 56 - 1, 7 - 1)), "1","0")</f>
        <v>1</v>
      </c>
      <c r="CT250">
        <f ca="1" xml:space="preserve"> IF( AND( OFFSET($A$1, 250 - 1, 96 - 1) = "1", OFFSET($A$1, 250 - 1, 97 - 1) = "1" ), 1, IF( AND( OFFSET($A$1, 250 - 1, 96 - 1) = "1", OFFSET($A$1, 250 - 1, 97 - 1) = "0" ), 2, IF( AND( OFFSET($A$1, 250 - 1, 96 - 1) = "0", OFFSET($A$1, 250 - 1, 97 - 1) = "1" ), 3, 4 ) ) )</f>
        <v>1</v>
      </c>
      <c r="CV250" s="24">
        <v>0.97759528788655237</v>
      </c>
      <c r="CW250" s="24" t="str">
        <f t="shared" si="20"/>
        <v>1</v>
      </c>
      <c r="CX250" t="str">
        <f ca="1">IF((OFFSET($A$1, 250 - 1, 100 - 1)) &gt;= (OFFSET($A$1, 80 - 1, 7 - 1)), "1","0")</f>
        <v>1</v>
      </c>
      <c r="CY250">
        <f ca="1" xml:space="preserve"> IF( AND( OFFSET($A$1, 250 - 1, 101 - 1) = "1", OFFSET($A$1, 250 - 1, 102 - 1) = "1" ), 1, IF( AND( OFFSET($A$1, 250 - 1, 101 - 1) = "1", OFFSET($A$1, 250 - 1, 102 - 1) = "0" ), 2, IF( AND( OFFSET($A$1, 250 - 1, 101 - 1) = "0", OFFSET($A$1, 250 - 1, 102 - 1) = "1" ), 3, 4 ) ) )</f>
        <v>1</v>
      </c>
    </row>
    <row r="251" spans="95:103" ht="13.8" x14ac:dyDescent="0.3">
      <c r="CQ251" s="24">
        <v>0.93014080084156192</v>
      </c>
      <c r="CR251" s="24" t="str">
        <f t="shared" si="21"/>
        <v>1</v>
      </c>
      <c r="CS251" t="str">
        <f ca="1">IF((OFFSET($A$1, 251 - 1, 95 - 1)) &gt;= (OFFSET($A$1, 56 - 1, 7 - 1)), "1","0")</f>
        <v>1</v>
      </c>
      <c r="CT251">
        <f ca="1" xml:space="preserve"> IF( AND( OFFSET($A$1, 251 - 1, 96 - 1) = "1", OFFSET($A$1, 251 - 1, 97 - 1) = "1" ), 1, IF( AND( OFFSET($A$1, 251 - 1, 96 - 1) = "1", OFFSET($A$1, 251 - 1, 97 - 1) = "0" ), 2, IF( AND( OFFSET($A$1, 251 - 1, 96 - 1) = "0", OFFSET($A$1, 251 - 1, 97 - 1) = "1" ), 3, 4 ) ) )</f>
        <v>1</v>
      </c>
      <c r="CV251" s="24">
        <v>0.90095619273035032</v>
      </c>
      <c r="CW251" s="24" t="str">
        <f t="shared" si="20"/>
        <v>1</v>
      </c>
      <c r="CX251" t="str">
        <f ca="1">IF((OFFSET($A$1, 251 - 1, 100 - 1)) &gt;= (OFFSET($A$1, 80 - 1, 7 - 1)), "1","0")</f>
        <v>1</v>
      </c>
      <c r="CY251">
        <f ca="1" xml:space="preserve"> IF( AND( OFFSET($A$1, 251 - 1, 101 - 1) = "1", OFFSET($A$1, 251 - 1, 102 - 1) = "1" ), 1, IF( AND( OFFSET($A$1, 251 - 1, 101 - 1) = "1", OFFSET($A$1, 251 - 1, 102 - 1) = "0" ), 2, IF( AND( OFFSET($A$1, 251 - 1, 101 - 1) = "0", OFFSET($A$1, 251 - 1, 102 - 1) = "1" ), 3, 4 ) ) )</f>
        <v>1</v>
      </c>
    </row>
    <row r="252" spans="95:103" ht="13.8" x14ac:dyDescent="0.3">
      <c r="CQ252" s="24">
        <v>0.98989268274655084</v>
      </c>
      <c r="CR252" s="24" t="str">
        <f t="shared" si="21"/>
        <v>1</v>
      </c>
      <c r="CS252" t="str">
        <f ca="1">IF((OFFSET($A$1, 252 - 1, 95 - 1)) &gt;= (OFFSET($A$1, 56 - 1, 7 - 1)), "1","0")</f>
        <v>1</v>
      </c>
      <c r="CT252">
        <f ca="1" xml:space="preserve"> IF( AND( OFFSET($A$1, 252 - 1, 96 - 1) = "1", OFFSET($A$1, 252 - 1, 97 - 1) = "1" ), 1, IF( AND( OFFSET($A$1, 252 - 1, 96 - 1) = "1", OFFSET($A$1, 252 - 1, 97 - 1) = "0" ), 2, IF( AND( OFFSET($A$1, 252 - 1, 96 - 1) = "0", OFFSET($A$1, 252 - 1, 97 - 1) = "1" ), 3, 4 ) ) )</f>
        <v>1</v>
      </c>
      <c r="CV252" s="24">
        <v>0.40029089543887281</v>
      </c>
      <c r="CW252" s="24" t="str">
        <f t="shared" si="20"/>
        <v>1</v>
      </c>
      <c r="CX252" t="str">
        <f ca="1">IF((OFFSET($A$1, 252 - 1, 100 - 1)) &gt;= (OFFSET($A$1, 80 - 1, 7 - 1)), "1","0")</f>
        <v>0</v>
      </c>
      <c r="CY252">
        <f ca="1" xml:space="preserve"> IF( AND( OFFSET($A$1, 252 - 1, 101 - 1) = "1", OFFSET($A$1, 252 - 1, 102 - 1) = "1" ), 1, IF( AND( OFFSET($A$1, 252 - 1, 101 - 1) = "1", OFFSET($A$1, 252 - 1, 102 - 1) = "0" ), 2, IF( AND( OFFSET($A$1, 252 - 1, 101 - 1) = "0", OFFSET($A$1, 252 - 1, 102 - 1) = "1" ), 3, 4 ) ) )</f>
        <v>2</v>
      </c>
    </row>
    <row r="253" spans="95:103" ht="13.8" x14ac:dyDescent="0.3">
      <c r="CQ253" s="24">
        <v>0.83541168401933574</v>
      </c>
      <c r="CR253" s="24" t="str">
        <f t="shared" si="21"/>
        <v>1</v>
      </c>
      <c r="CS253" t="str">
        <f ca="1">IF((OFFSET($A$1, 253 - 1, 95 - 1)) &gt;= (OFFSET($A$1, 56 - 1, 7 - 1)), "1","0")</f>
        <v>1</v>
      </c>
      <c r="CT253">
        <f ca="1" xml:space="preserve"> IF( AND( OFFSET($A$1, 253 - 1, 96 - 1) = "1", OFFSET($A$1, 253 - 1, 97 - 1) = "1" ), 1, IF( AND( OFFSET($A$1, 253 - 1, 96 - 1) = "1", OFFSET($A$1, 253 - 1, 97 - 1) = "0" ), 2, IF( AND( OFFSET($A$1, 253 - 1, 96 - 1) = "0", OFFSET($A$1, 253 - 1, 97 - 1) = "1" ), 3, 4 ) ) )</f>
        <v>1</v>
      </c>
      <c r="CV253" s="24">
        <v>0.30433237171365424</v>
      </c>
      <c r="CW253" s="24" t="str">
        <f t="shared" si="20"/>
        <v>1</v>
      </c>
      <c r="CX253" t="str">
        <f ca="1">IF((OFFSET($A$1, 253 - 1, 100 - 1)) &gt;= (OFFSET($A$1, 80 - 1, 7 - 1)), "1","0")</f>
        <v>0</v>
      </c>
      <c r="CY253">
        <f ca="1" xml:space="preserve"> IF( AND( OFFSET($A$1, 253 - 1, 101 - 1) = "1", OFFSET($A$1, 253 - 1, 102 - 1) = "1" ), 1, IF( AND( OFFSET($A$1, 253 - 1, 101 - 1) = "1", OFFSET($A$1, 253 - 1, 102 - 1) = "0" ), 2, IF( AND( OFFSET($A$1, 253 - 1, 101 - 1) = "0", OFFSET($A$1, 253 - 1, 102 - 1) = "1" ), 3, 4 ) ) )</f>
        <v>2</v>
      </c>
    </row>
    <row r="254" spans="95:103" ht="13.8" x14ac:dyDescent="0.3">
      <c r="CQ254" s="24">
        <v>0.98392892008786437</v>
      </c>
      <c r="CR254" s="24" t="str">
        <f t="shared" si="21"/>
        <v>1</v>
      </c>
      <c r="CS254" t="str">
        <f ca="1">IF((OFFSET($A$1, 254 - 1, 95 - 1)) &gt;= (OFFSET($A$1, 56 - 1, 7 - 1)), "1","0")</f>
        <v>1</v>
      </c>
      <c r="CT254">
        <f ca="1" xml:space="preserve"> IF( AND( OFFSET($A$1, 254 - 1, 96 - 1) = "1", OFFSET($A$1, 254 - 1, 97 - 1) = "1" ), 1, IF( AND( OFFSET($A$1, 254 - 1, 96 - 1) = "1", OFFSET($A$1, 254 - 1, 97 - 1) = "0" ), 2, IF( AND( OFFSET($A$1, 254 - 1, 96 - 1) = "0", OFFSET($A$1, 254 - 1, 97 - 1) = "1" ), 3, 4 ) ) )</f>
        <v>1</v>
      </c>
      <c r="CV254" s="24">
        <v>0.99698722442765397</v>
      </c>
      <c r="CW254" s="24" t="str">
        <f t="shared" si="20"/>
        <v>1</v>
      </c>
      <c r="CX254" t="str">
        <f ca="1">IF((OFFSET($A$1, 254 - 1, 100 - 1)) &gt;= (OFFSET($A$1, 80 - 1, 7 - 1)), "1","0")</f>
        <v>1</v>
      </c>
      <c r="CY254">
        <f ca="1" xml:space="preserve"> IF( AND( OFFSET($A$1, 254 - 1, 101 - 1) = "1", OFFSET($A$1, 254 - 1, 102 - 1) = "1" ), 1, IF( AND( OFFSET($A$1, 254 - 1, 101 - 1) = "1", OFFSET($A$1, 254 - 1, 102 - 1) = "0" ), 2, IF( AND( OFFSET($A$1, 254 - 1, 101 - 1) = "0", OFFSET($A$1, 254 - 1, 102 - 1) = "1" ), 3, 4 ) ) )</f>
        <v>1</v>
      </c>
    </row>
    <row r="255" spans="95:103" ht="13.8" x14ac:dyDescent="0.3">
      <c r="CQ255" s="24">
        <v>0.98390560389383142</v>
      </c>
      <c r="CR255" s="24" t="str">
        <f t="shared" si="21"/>
        <v>1</v>
      </c>
      <c r="CS255" t="str">
        <f ca="1">IF((OFFSET($A$1, 255 - 1, 95 - 1)) &gt;= (OFFSET($A$1, 56 - 1, 7 - 1)), "1","0")</f>
        <v>1</v>
      </c>
      <c r="CT255">
        <f ca="1" xml:space="preserve"> IF( AND( OFFSET($A$1, 255 - 1, 96 - 1) = "1", OFFSET($A$1, 255 - 1, 97 - 1) = "1" ), 1, IF( AND( OFFSET($A$1, 255 - 1, 96 - 1) = "1", OFFSET($A$1, 255 - 1, 97 - 1) = "0" ), 2, IF( AND( OFFSET($A$1, 255 - 1, 96 - 1) = "0", OFFSET($A$1, 255 - 1, 97 - 1) = "1" ), 3, 4 ) ) )</f>
        <v>1</v>
      </c>
      <c r="CV255" s="24">
        <v>0.99930337705681327</v>
      </c>
      <c r="CW255" s="24" t="str">
        <f t="shared" si="20"/>
        <v>1</v>
      </c>
      <c r="CX255" t="str">
        <f ca="1">IF((OFFSET($A$1, 255 - 1, 100 - 1)) &gt;= (OFFSET($A$1, 80 - 1, 7 - 1)), "1","0")</f>
        <v>1</v>
      </c>
      <c r="CY255">
        <f ca="1" xml:space="preserve"> IF( AND( OFFSET($A$1, 255 - 1, 101 - 1) = "1", OFFSET($A$1, 255 - 1, 102 - 1) = "1" ), 1, IF( AND( OFFSET($A$1, 255 - 1, 101 - 1) = "1", OFFSET($A$1, 255 - 1, 102 - 1) = "0" ), 2, IF( AND( OFFSET($A$1, 255 - 1, 101 - 1) = "0", OFFSET($A$1, 255 - 1, 102 - 1) = "1" ), 3, 4 ) ) )</f>
        <v>1</v>
      </c>
    </row>
    <row r="256" spans="95:103" ht="13.8" x14ac:dyDescent="0.3">
      <c r="CQ256" s="24">
        <v>0.97849470403056971</v>
      </c>
      <c r="CR256" s="24" t="str">
        <f t="shared" si="21"/>
        <v>1</v>
      </c>
      <c r="CS256" t="str">
        <f ca="1">IF((OFFSET($A$1, 256 - 1, 95 - 1)) &gt;= (OFFSET($A$1, 56 - 1, 7 - 1)), "1","0")</f>
        <v>1</v>
      </c>
      <c r="CT256">
        <f ca="1" xml:space="preserve"> IF( AND( OFFSET($A$1, 256 - 1, 96 - 1) = "1", OFFSET($A$1, 256 - 1, 97 - 1) = "1" ), 1, IF( AND( OFFSET($A$1, 256 - 1, 96 - 1) = "1", OFFSET($A$1, 256 - 1, 97 - 1) = "0" ), 2, IF( AND( OFFSET($A$1, 256 - 1, 96 - 1) = "0", OFFSET($A$1, 256 - 1, 97 - 1) = "1" ), 3, 4 ) ) )</f>
        <v>1</v>
      </c>
      <c r="CV256" s="24">
        <v>0.99969221160039889</v>
      </c>
      <c r="CW256" s="24" t="str">
        <f t="shared" si="20"/>
        <v>1</v>
      </c>
      <c r="CX256" t="str">
        <f ca="1">IF((OFFSET($A$1, 256 - 1, 100 - 1)) &gt;= (OFFSET($A$1, 80 - 1, 7 - 1)), "1","0")</f>
        <v>1</v>
      </c>
      <c r="CY256">
        <f ca="1" xml:space="preserve"> IF( AND( OFFSET($A$1, 256 - 1, 101 - 1) = "1", OFFSET($A$1, 256 - 1, 102 - 1) = "1" ), 1, IF( AND( OFFSET($A$1, 256 - 1, 101 - 1) = "1", OFFSET($A$1, 256 - 1, 102 - 1) = "0" ), 2, IF( AND( OFFSET($A$1, 256 - 1, 101 - 1) = "0", OFFSET($A$1, 256 - 1, 102 - 1) = "1" ), 3, 4 ) ) )</f>
        <v>1</v>
      </c>
    </row>
    <row r="257" spans="95:103" ht="13.8" x14ac:dyDescent="0.3">
      <c r="CQ257" s="24">
        <v>0.90712389964890738</v>
      </c>
      <c r="CR257" s="24" t="str">
        <f t="shared" si="21"/>
        <v>1</v>
      </c>
      <c r="CS257" t="str">
        <f ca="1">IF((OFFSET($A$1, 257 - 1, 95 - 1)) &gt;= (OFFSET($A$1, 56 - 1, 7 - 1)), "1","0")</f>
        <v>1</v>
      </c>
      <c r="CT257">
        <f ca="1" xml:space="preserve"> IF( AND( OFFSET($A$1, 257 - 1, 96 - 1) = "1", OFFSET($A$1, 257 - 1, 97 - 1) = "1" ), 1, IF( AND( OFFSET($A$1, 257 - 1, 96 - 1) = "1", OFFSET($A$1, 257 - 1, 97 - 1) = "0" ), 2, IF( AND( OFFSET($A$1, 257 - 1, 96 - 1) = "0", OFFSET($A$1, 257 - 1, 97 - 1) = "1" ), 3, 4 ) ) )</f>
        <v>1</v>
      </c>
      <c r="CV257" s="24">
        <v>0.99907067093335178</v>
      </c>
      <c r="CW257" s="24" t="str">
        <f t="shared" si="20"/>
        <v>1</v>
      </c>
      <c r="CX257" t="str">
        <f ca="1">IF((OFFSET($A$1, 257 - 1, 100 - 1)) &gt;= (OFFSET($A$1, 80 - 1, 7 - 1)), "1","0")</f>
        <v>1</v>
      </c>
      <c r="CY257">
        <f ca="1" xml:space="preserve"> IF( AND( OFFSET($A$1, 257 - 1, 101 - 1) = "1", OFFSET($A$1, 257 - 1, 102 - 1) = "1" ), 1, IF( AND( OFFSET($A$1, 257 - 1, 101 - 1) = "1", OFFSET($A$1, 257 - 1, 102 - 1) = "0" ), 2, IF( AND( OFFSET($A$1, 257 - 1, 101 - 1) = "0", OFFSET($A$1, 257 - 1, 102 - 1) = "1" ), 3, 4 ) ) )</f>
        <v>1</v>
      </c>
    </row>
    <row r="258" spans="95:103" ht="13.8" x14ac:dyDescent="0.3">
      <c r="CQ258" s="24">
        <v>0.98349400231114159</v>
      </c>
      <c r="CR258" s="24" t="str">
        <f t="shared" si="21"/>
        <v>1</v>
      </c>
      <c r="CS258" t="str">
        <f ca="1">IF((OFFSET($A$1, 258 - 1, 95 - 1)) &gt;= (OFFSET($A$1, 56 - 1, 7 - 1)), "1","0")</f>
        <v>1</v>
      </c>
      <c r="CT258">
        <f ca="1" xml:space="preserve"> IF( AND( OFFSET($A$1, 258 - 1, 96 - 1) = "1", OFFSET($A$1, 258 - 1, 97 - 1) = "1" ), 1, IF( AND( OFFSET($A$1, 258 - 1, 96 - 1) = "1", OFFSET($A$1, 258 - 1, 97 - 1) = "0" ), 2, IF( AND( OFFSET($A$1, 258 - 1, 96 - 1) = "0", OFFSET($A$1, 258 - 1, 97 - 1) = "1" ), 3, 4 ) ) )</f>
        <v>1</v>
      </c>
      <c r="CV258" s="24">
        <v>0.9999582326165688</v>
      </c>
      <c r="CW258" s="24" t="str">
        <f t="shared" si="20"/>
        <v>1</v>
      </c>
      <c r="CX258" t="str">
        <f ca="1">IF((OFFSET($A$1, 258 - 1, 100 - 1)) &gt;= (OFFSET($A$1, 80 - 1, 7 - 1)), "1","0")</f>
        <v>1</v>
      </c>
      <c r="CY258">
        <f ca="1" xml:space="preserve"> IF( AND( OFFSET($A$1, 258 - 1, 101 - 1) = "1", OFFSET($A$1, 258 - 1, 102 - 1) = "1" ), 1, IF( AND( OFFSET($A$1, 258 - 1, 101 - 1) = "1", OFFSET($A$1, 258 - 1, 102 - 1) = "0" ), 2, IF( AND( OFFSET($A$1, 258 - 1, 101 - 1) = "0", OFFSET($A$1, 258 - 1, 102 - 1) = "1" ), 3, 4 ) ) )</f>
        <v>1</v>
      </c>
    </row>
    <row r="259" spans="95:103" ht="13.8" x14ac:dyDescent="0.3">
      <c r="CQ259" s="24">
        <v>0.18820039403079622</v>
      </c>
      <c r="CR259" s="24" t="str">
        <f>"0"</f>
        <v>0</v>
      </c>
      <c r="CS259" t="str">
        <f ca="1">IF((OFFSET($A$1, 259 - 1, 95 - 1)) &gt;= (OFFSET($A$1, 56 - 1, 7 - 1)), "1","0")</f>
        <v>0</v>
      </c>
      <c r="CT259">
        <f ca="1" xml:space="preserve"> IF( AND( OFFSET($A$1, 259 - 1, 96 - 1) = "1", OFFSET($A$1, 259 - 1, 97 - 1) = "1" ), 1, IF( AND( OFFSET($A$1, 259 - 1, 96 - 1) = "1", OFFSET($A$1, 259 - 1, 97 - 1) = "0" ), 2, IF( AND( OFFSET($A$1, 259 - 1, 96 - 1) = "0", OFFSET($A$1, 259 - 1, 97 - 1) = "1" ), 3, 4 ) ) )</f>
        <v>4</v>
      </c>
      <c r="CV259" s="24">
        <v>0.10904279647927967</v>
      </c>
      <c r="CW259" s="24" t="str">
        <f>"0"</f>
        <v>0</v>
      </c>
      <c r="CX259" t="str">
        <f ca="1">IF((OFFSET($A$1, 259 - 1, 100 - 1)) &gt;= (OFFSET($A$1, 80 - 1, 7 - 1)), "1","0")</f>
        <v>0</v>
      </c>
      <c r="CY259">
        <f ca="1" xml:space="preserve"> IF( AND( OFFSET($A$1, 259 - 1, 101 - 1) = "1", OFFSET($A$1, 259 - 1, 102 - 1) = "1" ), 1, IF( AND( OFFSET($A$1, 259 - 1, 101 - 1) = "1", OFFSET($A$1, 259 - 1, 102 - 1) = "0" ), 2, IF( AND( OFFSET($A$1, 259 - 1, 101 - 1) = "0", OFFSET($A$1, 259 - 1, 102 - 1) = "1" ), 3, 4 ) ) )</f>
        <v>4</v>
      </c>
    </row>
    <row r="260" spans="95:103" ht="13.8" x14ac:dyDescent="0.3">
      <c r="CQ260" s="24">
        <v>0.95794984381010984</v>
      </c>
      <c r="CR260" s="24" t="str">
        <f>"1"</f>
        <v>1</v>
      </c>
      <c r="CS260" t="str">
        <f ca="1">IF((OFFSET($A$1, 260 - 1, 95 - 1)) &gt;= (OFFSET($A$1, 56 - 1, 7 - 1)), "1","0")</f>
        <v>1</v>
      </c>
      <c r="CT260">
        <f ca="1" xml:space="preserve"> IF( AND( OFFSET($A$1, 260 - 1, 96 - 1) = "1", OFFSET($A$1, 260 - 1, 97 - 1) = "1" ), 1, IF( AND( OFFSET($A$1, 260 - 1, 96 - 1) = "1", OFFSET($A$1, 260 - 1, 97 - 1) = "0" ), 2, IF( AND( OFFSET($A$1, 260 - 1, 96 - 1) = "0", OFFSET($A$1, 260 - 1, 97 - 1) = "1" ), 3, 4 ) ) )</f>
        <v>1</v>
      </c>
      <c r="CV260" s="24">
        <v>0.99901637788304187</v>
      </c>
      <c r="CW260" s="24" t="str">
        <f>"1"</f>
        <v>1</v>
      </c>
      <c r="CX260" t="str">
        <f ca="1">IF((OFFSET($A$1, 260 - 1, 100 - 1)) &gt;= (OFFSET($A$1, 80 - 1, 7 - 1)), "1","0")</f>
        <v>1</v>
      </c>
      <c r="CY260">
        <f ca="1" xml:space="preserve"> IF( AND( OFFSET($A$1, 260 - 1, 101 - 1) = "1", OFFSET($A$1, 260 - 1, 102 - 1) = "1" ), 1, IF( AND( OFFSET($A$1, 260 - 1, 101 - 1) = "1", OFFSET($A$1, 260 - 1, 102 - 1) = "0" ), 2, IF( AND( OFFSET($A$1, 260 - 1, 101 - 1) = "0", OFFSET($A$1, 260 - 1, 102 - 1) = "1" ), 3, 4 ) ) )</f>
        <v>1</v>
      </c>
    </row>
    <row r="261" spans="95:103" ht="13.8" x14ac:dyDescent="0.3">
      <c r="CQ261" s="24">
        <v>0.16964357451908785</v>
      </c>
      <c r="CR261" s="24" t="str">
        <f>"0"</f>
        <v>0</v>
      </c>
      <c r="CS261" t="str">
        <f ca="1">IF((OFFSET($A$1, 261 - 1, 95 - 1)) &gt;= (OFFSET($A$1, 56 - 1, 7 - 1)), "1","0")</f>
        <v>0</v>
      </c>
      <c r="CT261">
        <f ca="1" xml:space="preserve"> IF( AND( OFFSET($A$1, 261 - 1, 96 - 1) = "1", OFFSET($A$1, 261 - 1, 97 - 1) = "1" ), 1, IF( AND( OFFSET($A$1, 261 - 1, 96 - 1) = "1", OFFSET($A$1, 261 - 1, 97 - 1) = "0" ), 2, IF( AND( OFFSET($A$1, 261 - 1, 96 - 1) = "0", OFFSET($A$1, 261 - 1, 97 - 1) = "1" ), 3, 4 ) ) )</f>
        <v>4</v>
      </c>
      <c r="CV261" s="24">
        <v>0.99156867055483833</v>
      </c>
      <c r="CW261" s="24" t="str">
        <f>"0"</f>
        <v>0</v>
      </c>
      <c r="CX261" t="str">
        <f ca="1">IF((OFFSET($A$1, 261 - 1, 100 - 1)) &gt;= (OFFSET($A$1, 80 - 1, 7 - 1)), "1","0")</f>
        <v>1</v>
      </c>
      <c r="CY261">
        <f ca="1" xml:space="preserve"> IF( AND( OFFSET($A$1, 261 - 1, 101 - 1) = "1", OFFSET($A$1, 261 - 1, 102 - 1) = "1" ), 1, IF( AND( OFFSET($A$1, 261 - 1, 101 - 1) = "1", OFFSET($A$1, 261 - 1, 102 - 1) = "0" ), 2, IF( AND( OFFSET($A$1, 261 - 1, 101 - 1) = "0", OFFSET($A$1, 261 - 1, 102 - 1) = "1" ), 3, 4 ) ) )</f>
        <v>3</v>
      </c>
    </row>
    <row r="262" spans="95:103" ht="13.8" x14ac:dyDescent="0.3">
      <c r="CQ262" s="24">
        <v>0.99786023000361079</v>
      </c>
      <c r="CR262" s="24" t="str">
        <f>"1"</f>
        <v>1</v>
      </c>
      <c r="CS262" t="str">
        <f ca="1">IF((OFFSET($A$1, 262 - 1, 95 - 1)) &gt;= (OFFSET($A$1, 56 - 1, 7 - 1)), "1","0")</f>
        <v>1</v>
      </c>
      <c r="CT262">
        <f ca="1" xml:space="preserve"> IF( AND( OFFSET($A$1, 262 - 1, 96 - 1) = "1", OFFSET($A$1, 262 - 1, 97 - 1) = "1" ), 1, IF( AND( OFFSET($A$1, 262 - 1, 96 - 1) = "1", OFFSET($A$1, 262 - 1, 97 - 1) = "0" ), 2, IF( AND( OFFSET($A$1, 262 - 1, 96 - 1) = "0", OFFSET($A$1, 262 - 1, 97 - 1) = "1" ), 3, 4 ) ) )</f>
        <v>1</v>
      </c>
      <c r="CV262" s="24">
        <v>0.77296851403448019</v>
      </c>
      <c r="CW262" s="24" t="str">
        <f>"0"</f>
        <v>0</v>
      </c>
      <c r="CX262" t="str">
        <f ca="1">IF((OFFSET($A$1, 262 - 1, 100 - 1)) &gt;= (OFFSET($A$1, 80 - 1, 7 - 1)), "1","0")</f>
        <v>1</v>
      </c>
      <c r="CY262">
        <f ca="1" xml:space="preserve"> IF( AND( OFFSET($A$1, 262 - 1, 101 - 1) = "1", OFFSET($A$1, 262 - 1, 102 - 1) = "1" ), 1, IF( AND( OFFSET($A$1, 262 - 1, 101 - 1) = "1", OFFSET($A$1, 262 - 1, 102 - 1) = "0" ), 2, IF( AND( OFFSET($A$1, 262 - 1, 101 - 1) = "0", OFFSET($A$1, 262 - 1, 102 - 1) = "1" ), 3, 4 ) ) )</f>
        <v>3</v>
      </c>
    </row>
    <row r="263" spans="95:103" ht="13.8" x14ac:dyDescent="0.3">
      <c r="CQ263" s="24">
        <v>8.4658638885342016E-2</v>
      </c>
      <c r="CR263" s="24" t="str">
        <f>"0"</f>
        <v>0</v>
      </c>
      <c r="CS263" t="str">
        <f ca="1">IF((OFFSET($A$1, 263 - 1, 95 - 1)) &gt;= (OFFSET($A$1, 56 - 1, 7 - 1)), "1","0")</f>
        <v>0</v>
      </c>
      <c r="CT263">
        <f ca="1" xml:space="preserve"> IF( AND( OFFSET($A$1, 263 - 1, 96 - 1) = "1", OFFSET($A$1, 263 - 1, 97 - 1) = "1" ), 1, IF( AND( OFFSET($A$1, 263 - 1, 96 - 1) = "1", OFFSET($A$1, 263 - 1, 97 - 1) = "0" ), 2, IF( AND( OFFSET($A$1, 263 - 1, 96 - 1) = "0", OFFSET($A$1, 263 - 1, 97 - 1) = "1" ), 3, 4 ) ) )</f>
        <v>4</v>
      </c>
      <c r="CV263" s="24">
        <v>0.80340825590177634</v>
      </c>
      <c r="CW263" s="24" t="str">
        <f>"0"</f>
        <v>0</v>
      </c>
      <c r="CX263" t="str">
        <f ca="1">IF((OFFSET($A$1, 263 - 1, 100 - 1)) &gt;= (OFFSET($A$1, 80 - 1, 7 - 1)), "1","0")</f>
        <v>1</v>
      </c>
      <c r="CY263">
        <f ca="1" xml:space="preserve"> IF( AND( OFFSET($A$1, 263 - 1, 101 - 1) = "1", OFFSET($A$1, 263 - 1, 102 - 1) = "1" ), 1, IF( AND( OFFSET($A$1, 263 - 1, 101 - 1) = "1", OFFSET($A$1, 263 - 1, 102 - 1) = "0" ), 2, IF( AND( OFFSET($A$1, 263 - 1, 101 - 1) = "0", OFFSET($A$1, 263 - 1, 102 - 1) = "1" ), 3, 4 ) ) )</f>
        <v>3</v>
      </c>
    </row>
    <row r="264" spans="95:103" ht="13.8" x14ac:dyDescent="0.3">
      <c r="CQ264" s="24">
        <v>0.41619146558137204</v>
      </c>
      <c r="CR264" s="24" t="str">
        <f>"0"</f>
        <v>0</v>
      </c>
      <c r="CS264" t="str">
        <f ca="1">IF((OFFSET($A$1, 264 - 1, 95 - 1)) &gt;= (OFFSET($A$1, 56 - 1, 7 - 1)), "1","0")</f>
        <v>0</v>
      </c>
      <c r="CT264">
        <f ca="1" xml:space="preserve"> IF( AND( OFFSET($A$1, 264 - 1, 96 - 1) = "1", OFFSET($A$1, 264 - 1, 97 - 1) = "1" ), 1, IF( AND( OFFSET($A$1, 264 - 1, 96 - 1) = "1", OFFSET($A$1, 264 - 1, 97 - 1) = "0" ), 2, IF( AND( OFFSET($A$1, 264 - 1, 96 - 1) = "0", OFFSET($A$1, 264 - 1, 97 - 1) = "1" ), 3, 4 ) ) )</f>
        <v>4</v>
      </c>
      <c r="CV264" s="24">
        <v>0.29362125099317515</v>
      </c>
      <c r="CW264" s="24" t="str">
        <f>"1"</f>
        <v>1</v>
      </c>
      <c r="CX264" t="str">
        <f ca="1">IF((OFFSET($A$1, 264 - 1, 100 - 1)) &gt;= (OFFSET($A$1, 80 - 1, 7 - 1)), "1","0")</f>
        <v>0</v>
      </c>
      <c r="CY264">
        <f ca="1" xml:space="preserve"> IF( AND( OFFSET($A$1, 264 - 1, 101 - 1) = "1", OFFSET($A$1, 264 - 1, 102 - 1) = "1" ), 1, IF( AND( OFFSET($A$1, 264 - 1, 101 - 1) = "1", OFFSET($A$1, 264 - 1, 102 - 1) = "0" ), 2, IF( AND( OFFSET($A$1, 264 - 1, 101 - 1) = "0", OFFSET($A$1, 264 - 1, 102 - 1) = "1" ), 3, 4 ) ) )</f>
        <v>2</v>
      </c>
    </row>
    <row r="265" spans="95:103" ht="13.8" x14ac:dyDescent="0.3">
      <c r="CQ265" s="24">
        <v>0.97138627260061394</v>
      </c>
      <c r="CR265" s="24" t="str">
        <f>"1"</f>
        <v>1</v>
      </c>
      <c r="CS265" t="str">
        <f ca="1">IF((OFFSET($A$1, 265 - 1, 95 - 1)) &gt;= (OFFSET($A$1, 56 - 1, 7 - 1)), "1","0")</f>
        <v>1</v>
      </c>
      <c r="CT265">
        <f ca="1" xml:space="preserve"> IF( AND( OFFSET($A$1, 265 - 1, 96 - 1) = "1", OFFSET($A$1, 265 - 1, 97 - 1) = "1" ), 1, IF( AND( OFFSET($A$1, 265 - 1, 96 - 1) = "1", OFFSET($A$1, 265 - 1, 97 - 1) = "0" ), 2, IF( AND( OFFSET($A$1, 265 - 1, 96 - 1) = "0", OFFSET($A$1, 265 - 1, 97 - 1) = "1" ), 3, 4 ) ) )</f>
        <v>1</v>
      </c>
      <c r="CV265" s="24">
        <v>0.32850146690624316</v>
      </c>
      <c r="CW265" s="24" t="str">
        <f>"1"</f>
        <v>1</v>
      </c>
      <c r="CX265" t="str">
        <f ca="1">IF((OFFSET($A$1, 265 - 1, 100 - 1)) &gt;= (OFFSET($A$1, 80 - 1, 7 - 1)), "1","0")</f>
        <v>0</v>
      </c>
      <c r="CY265">
        <f ca="1" xml:space="preserve"> IF( AND( OFFSET($A$1, 265 - 1, 101 - 1) = "1", OFFSET($A$1, 265 - 1, 102 - 1) = "1" ), 1, IF( AND( OFFSET($A$1, 265 - 1, 101 - 1) = "1", OFFSET($A$1, 265 - 1, 102 - 1) = "0" ), 2, IF( AND( OFFSET($A$1, 265 - 1, 101 - 1) = "0", OFFSET($A$1, 265 - 1, 102 - 1) = "1" ), 3, 4 ) ) )</f>
        <v>2</v>
      </c>
    </row>
    <row r="266" spans="95:103" ht="13.8" x14ac:dyDescent="0.3">
      <c r="CQ266" s="24">
        <v>7.6489374527657875E-2</v>
      </c>
      <c r="CR266" s="24" t="str">
        <f>"0"</f>
        <v>0</v>
      </c>
      <c r="CS266" t="str">
        <f ca="1">IF((OFFSET($A$1, 266 - 1, 95 - 1)) &gt;= (OFFSET($A$1, 56 - 1, 7 - 1)), "1","0")</f>
        <v>0</v>
      </c>
      <c r="CT266">
        <f ca="1" xml:space="preserve"> IF( AND( OFFSET($A$1, 266 - 1, 96 - 1) = "1", OFFSET($A$1, 266 - 1, 97 - 1) = "1" ), 1, IF( AND( OFFSET($A$1, 266 - 1, 96 - 1) = "1", OFFSET($A$1, 266 - 1, 97 - 1) = "0" ), 2, IF( AND( OFFSET($A$1, 266 - 1, 96 - 1) = "0", OFFSET($A$1, 266 - 1, 97 - 1) = "1" ), 3, 4 ) ) )</f>
        <v>4</v>
      </c>
      <c r="CV266" s="24">
        <v>0.98367249116710009</v>
      </c>
      <c r="CW266" s="24" t="str">
        <f>"1"</f>
        <v>1</v>
      </c>
      <c r="CX266" t="str">
        <f ca="1">IF((OFFSET($A$1, 266 - 1, 100 - 1)) &gt;= (OFFSET($A$1, 80 - 1, 7 - 1)), "1","0")</f>
        <v>1</v>
      </c>
      <c r="CY266">
        <f ca="1" xml:space="preserve"> IF( AND( OFFSET($A$1, 266 - 1, 101 - 1) = "1", OFFSET($A$1, 266 - 1, 102 - 1) = "1" ), 1, IF( AND( OFFSET($A$1, 266 - 1, 101 - 1) = "1", OFFSET($A$1, 266 - 1, 102 - 1) = "0" ), 2, IF( AND( OFFSET($A$1, 266 - 1, 101 - 1) = "0", OFFSET($A$1, 266 - 1, 102 - 1) = "1" ), 3, 4 ) ) )</f>
        <v>1</v>
      </c>
    </row>
    <row r="267" spans="95:103" ht="13.8" x14ac:dyDescent="0.3">
      <c r="CQ267" s="24">
        <v>0.96308473095592029</v>
      </c>
      <c r="CR267" s="24" t="str">
        <f>"1"</f>
        <v>1</v>
      </c>
      <c r="CS267" t="str">
        <f ca="1">IF((OFFSET($A$1, 267 - 1, 95 - 1)) &gt;= (OFFSET($A$1, 56 - 1, 7 - 1)), "1","0")</f>
        <v>1</v>
      </c>
      <c r="CT267">
        <f ca="1" xml:space="preserve"> IF( AND( OFFSET($A$1, 267 - 1, 96 - 1) = "1", OFFSET($A$1, 267 - 1, 97 - 1) = "1" ), 1, IF( AND( OFFSET($A$1, 267 - 1, 96 - 1) = "1", OFFSET($A$1, 267 - 1, 97 - 1) = "0" ), 2, IF( AND( OFFSET($A$1, 267 - 1, 96 - 1) = "0", OFFSET($A$1, 267 - 1, 97 - 1) = "1" ), 3, 4 ) ) )</f>
        <v>1</v>
      </c>
      <c r="CV267" s="24">
        <v>0.21025998074343977</v>
      </c>
      <c r="CW267" s="24" t="str">
        <f>"0"</f>
        <v>0</v>
      </c>
      <c r="CX267" t="str">
        <f ca="1">IF((OFFSET($A$1, 267 - 1, 100 - 1)) &gt;= (OFFSET($A$1, 80 - 1, 7 - 1)), "1","0")</f>
        <v>0</v>
      </c>
      <c r="CY267">
        <f ca="1" xml:space="preserve"> IF( AND( OFFSET($A$1, 267 - 1, 101 - 1) = "1", OFFSET($A$1, 267 - 1, 102 - 1) = "1" ), 1, IF( AND( OFFSET($A$1, 267 - 1, 101 - 1) = "1", OFFSET($A$1, 267 - 1, 102 - 1) = "0" ), 2, IF( AND( OFFSET($A$1, 267 - 1, 101 - 1) = "0", OFFSET($A$1, 267 - 1, 102 - 1) = "1" ), 3, 4 ) ) )</f>
        <v>4</v>
      </c>
    </row>
    <row r="268" spans="95:103" ht="13.8" x14ac:dyDescent="0.3">
      <c r="CQ268" s="24">
        <v>0.37281441950653277</v>
      </c>
      <c r="CR268" s="24" t="str">
        <f>"0"</f>
        <v>0</v>
      </c>
      <c r="CS268" t="str">
        <f ca="1">IF((OFFSET($A$1, 268 - 1, 95 - 1)) &gt;= (OFFSET($A$1, 56 - 1, 7 - 1)), "1","0")</f>
        <v>0</v>
      </c>
      <c r="CT268">
        <f ca="1" xml:space="preserve"> IF( AND( OFFSET($A$1, 268 - 1, 96 - 1) = "1", OFFSET($A$1, 268 - 1, 97 - 1) = "1" ), 1, IF( AND( OFFSET($A$1, 268 - 1, 96 - 1) = "1", OFFSET($A$1, 268 - 1, 97 - 1) = "0" ), 2, IF( AND( OFFSET($A$1, 268 - 1, 96 - 1) = "0", OFFSET($A$1, 268 - 1, 97 - 1) = "1" ), 3, 4 ) ) )</f>
        <v>4</v>
      </c>
      <c r="CV268" s="24">
        <v>0.75330316631237892</v>
      </c>
      <c r="CW268" s="24" t="str">
        <f t="shared" ref="CW268:CW274" si="22">"1"</f>
        <v>1</v>
      </c>
      <c r="CX268" t="str">
        <f ca="1">IF((OFFSET($A$1, 268 - 1, 100 - 1)) &gt;= (OFFSET($A$1, 80 - 1, 7 - 1)), "1","0")</f>
        <v>1</v>
      </c>
      <c r="CY268">
        <f ca="1" xml:space="preserve"> IF( AND( OFFSET($A$1, 268 - 1, 101 - 1) = "1", OFFSET($A$1, 268 - 1, 102 - 1) = "1" ), 1, IF( AND( OFFSET($A$1, 268 - 1, 101 - 1) = "1", OFFSET($A$1, 268 - 1, 102 - 1) = "0" ), 2, IF( AND( OFFSET($A$1, 268 - 1, 101 - 1) = "0", OFFSET($A$1, 268 - 1, 102 - 1) = "1" ), 3, 4 ) ) )</f>
        <v>1</v>
      </c>
    </row>
    <row r="269" spans="95:103" ht="13.8" x14ac:dyDescent="0.3">
      <c r="CQ269" s="24">
        <v>0.89303479409627562</v>
      </c>
      <c r="CR269" s="24" t="str">
        <f>"1"</f>
        <v>1</v>
      </c>
      <c r="CS269" t="str">
        <f ca="1">IF((OFFSET($A$1, 269 - 1, 95 - 1)) &gt;= (OFFSET($A$1, 56 - 1, 7 - 1)), "1","0")</f>
        <v>1</v>
      </c>
      <c r="CT269">
        <f ca="1" xml:space="preserve"> IF( AND( OFFSET($A$1, 269 - 1, 96 - 1) = "1", OFFSET($A$1, 269 - 1, 97 - 1) = "1" ), 1, IF( AND( OFFSET($A$1, 269 - 1, 96 - 1) = "1", OFFSET($A$1, 269 - 1, 97 - 1) = "0" ), 2, IF( AND( OFFSET($A$1, 269 - 1, 96 - 1) = "0", OFFSET($A$1, 269 - 1, 97 - 1) = "1" ), 3, 4 ) ) )</f>
        <v>1</v>
      </c>
      <c r="CV269" s="24">
        <v>0.51135939886657678</v>
      </c>
      <c r="CW269" s="24" t="str">
        <f t="shared" si="22"/>
        <v>1</v>
      </c>
      <c r="CX269" t="str">
        <f ca="1">IF((OFFSET($A$1, 269 - 1, 100 - 1)) &gt;= (OFFSET($A$1, 80 - 1, 7 - 1)), "1","0")</f>
        <v>1</v>
      </c>
      <c r="CY269">
        <f ca="1" xml:space="preserve"> IF( AND( OFFSET($A$1, 269 - 1, 101 - 1) = "1", OFFSET($A$1, 269 - 1, 102 - 1) = "1" ), 1, IF( AND( OFFSET($A$1, 269 - 1, 101 - 1) = "1", OFFSET($A$1, 269 - 1, 102 - 1) = "0" ), 2, IF( AND( OFFSET($A$1, 269 - 1, 101 - 1) = "0", OFFSET($A$1, 269 - 1, 102 - 1) = "1" ), 3, 4 ) ) )</f>
        <v>1</v>
      </c>
    </row>
    <row r="270" spans="95:103" ht="13.8" x14ac:dyDescent="0.3">
      <c r="CQ270" s="24">
        <v>0.99620094011924198</v>
      </c>
      <c r="CR270" s="24" t="str">
        <f>"1"</f>
        <v>1</v>
      </c>
      <c r="CS270" t="str">
        <f ca="1">IF((OFFSET($A$1, 270 - 1, 95 - 1)) &gt;= (OFFSET($A$1, 56 - 1, 7 - 1)), "1","0")</f>
        <v>1</v>
      </c>
      <c r="CT270">
        <f ca="1" xml:space="preserve"> IF( AND( OFFSET($A$1, 270 - 1, 96 - 1) = "1", OFFSET($A$1, 270 - 1, 97 - 1) = "1" ), 1, IF( AND( OFFSET($A$1, 270 - 1, 96 - 1) = "1", OFFSET($A$1, 270 - 1, 97 - 1) = "0" ), 2, IF( AND( OFFSET($A$1, 270 - 1, 96 - 1) = "0", OFFSET($A$1, 270 - 1, 97 - 1) = "1" ), 3, 4 ) ) )</f>
        <v>1</v>
      </c>
      <c r="CV270" s="24">
        <v>0.99994900317103186</v>
      </c>
      <c r="CW270" s="24" t="str">
        <f t="shared" si="22"/>
        <v>1</v>
      </c>
      <c r="CX270" t="str">
        <f ca="1">IF((OFFSET($A$1, 270 - 1, 100 - 1)) &gt;= (OFFSET($A$1, 80 - 1, 7 - 1)), "1","0")</f>
        <v>1</v>
      </c>
      <c r="CY270">
        <f ca="1" xml:space="preserve"> IF( AND( OFFSET($A$1, 270 - 1, 101 - 1) = "1", OFFSET($A$1, 270 - 1, 102 - 1) = "1" ), 1, IF( AND( OFFSET($A$1, 270 - 1, 101 - 1) = "1", OFFSET($A$1, 270 - 1, 102 - 1) = "0" ), 2, IF( AND( OFFSET($A$1, 270 - 1, 101 - 1) = "0", OFFSET($A$1, 270 - 1, 102 - 1) = "1" ), 3, 4 ) ) )</f>
        <v>1</v>
      </c>
    </row>
    <row r="271" spans="95:103" ht="13.8" x14ac:dyDescent="0.3">
      <c r="CQ271" s="24">
        <v>0.15900481626353058</v>
      </c>
      <c r="CR271" s="24" t="str">
        <f>"0"</f>
        <v>0</v>
      </c>
      <c r="CS271" t="str">
        <f ca="1">IF((OFFSET($A$1, 271 - 1, 95 - 1)) &gt;= (OFFSET($A$1, 56 - 1, 7 - 1)), "1","0")</f>
        <v>0</v>
      </c>
      <c r="CT271">
        <f ca="1" xml:space="preserve"> IF( AND( OFFSET($A$1, 271 - 1, 96 - 1) = "1", OFFSET($A$1, 271 - 1, 97 - 1) = "1" ), 1, IF( AND( OFFSET($A$1, 271 - 1, 96 - 1) = "1", OFFSET($A$1, 271 - 1, 97 - 1) = "0" ), 2, IF( AND( OFFSET($A$1, 271 - 1, 96 - 1) = "0", OFFSET($A$1, 271 - 1, 97 - 1) = "1" ), 3, 4 ) ) )</f>
        <v>4</v>
      </c>
      <c r="CV271" s="24">
        <v>0.87412291780772133</v>
      </c>
      <c r="CW271" s="24" t="str">
        <f t="shared" si="22"/>
        <v>1</v>
      </c>
      <c r="CX271" t="str">
        <f ca="1">IF((OFFSET($A$1, 271 - 1, 100 - 1)) &gt;= (OFFSET($A$1, 80 - 1, 7 - 1)), "1","0")</f>
        <v>1</v>
      </c>
      <c r="CY271">
        <f ca="1" xml:space="preserve"> IF( AND( OFFSET($A$1, 271 - 1, 101 - 1) = "1", OFFSET($A$1, 271 - 1, 102 - 1) = "1" ), 1, IF( AND( OFFSET($A$1, 271 - 1, 101 - 1) = "1", OFFSET($A$1, 271 - 1, 102 - 1) = "0" ), 2, IF( AND( OFFSET($A$1, 271 - 1, 101 - 1) = "0", OFFSET($A$1, 271 - 1, 102 - 1) = "1" ), 3, 4 ) ) )</f>
        <v>1</v>
      </c>
    </row>
    <row r="272" spans="95:103" ht="13.8" x14ac:dyDescent="0.3">
      <c r="CQ272" s="24">
        <v>0.99967439947199155</v>
      </c>
      <c r="CR272" s="24" t="str">
        <f t="shared" ref="CR272:CR282" si="23">"1"</f>
        <v>1</v>
      </c>
      <c r="CS272" t="str">
        <f ca="1">IF((OFFSET($A$1, 272 - 1, 95 - 1)) &gt;= (OFFSET($A$1, 56 - 1, 7 - 1)), "1","0")</f>
        <v>1</v>
      </c>
      <c r="CT272">
        <f ca="1" xml:space="preserve"> IF( AND( OFFSET($A$1, 272 - 1, 96 - 1) = "1", OFFSET($A$1, 272 - 1, 97 - 1) = "1" ), 1, IF( AND( OFFSET($A$1, 272 - 1, 96 - 1) = "1", OFFSET($A$1, 272 - 1, 97 - 1) = "0" ), 2, IF( AND( OFFSET($A$1, 272 - 1, 96 - 1) = "0", OFFSET($A$1, 272 - 1, 97 - 1) = "1" ), 3, 4 ) ) )</f>
        <v>1</v>
      </c>
      <c r="CV272" s="24">
        <v>0.93513847100106651</v>
      </c>
      <c r="CW272" s="24" t="str">
        <f t="shared" si="22"/>
        <v>1</v>
      </c>
      <c r="CX272" t="str">
        <f ca="1">IF((OFFSET($A$1, 272 - 1, 100 - 1)) &gt;= (OFFSET($A$1, 80 - 1, 7 - 1)), "1","0")</f>
        <v>1</v>
      </c>
      <c r="CY272">
        <f ca="1" xml:space="preserve"> IF( AND( OFFSET($A$1, 272 - 1, 101 - 1) = "1", OFFSET($A$1, 272 - 1, 102 - 1) = "1" ), 1, IF( AND( OFFSET($A$1, 272 - 1, 101 - 1) = "1", OFFSET($A$1, 272 - 1, 102 - 1) = "0" ), 2, IF( AND( OFFSET($A$1, 272 - 1, 101 - 1) = "0", OFFSET($A$1, 272 - 1, 102 - 1) = "1" ), 3, 4 ) ) )</f>
        <v>1</v>
      </c>
    </row>
    <row r="273" spans="95:103" ht="13.8" x14ac:dyDescent="0.3">
      <c r="CQ273" s="24">
        <v>0.89781470143907993</v>
      </c>
      <c r="CR273" s="24" t="str">
        <f t="shared" si="23"/>
        <v>1</v>
      </c>
      <c r="CS273" t="str">
        <f ca="1">IF((OFFSET($A$1, 273 - 1, 95 - 1)) &gt;= (OFFSET($A$1, 56 - 1, 7 - 1)), "1","0")</f>
        <v>1</v>
      </c>
      <c r="CT273">
        <f ca="1" xml:space="preserve"> IF( AND( OFFSET($A$1, 273 - 1, 96 - 1) = "1", OFFSET($A$1, 273 - 1, 97 - 1) = "1" ), 1, IF( AND( OFFSET($A$1, 273 - 1, 96 - 1) = "1", OFFSET($A$1, 273 - 1, 97 - 1) = "0" ), 2, IF( AND( OFFSET($A$1, 273 - 1, 96 - 1) = "0", OFFSET($A$1, 273 - 1, 97 - 1) = "1" ), 3, 4 ) ) )</f>
        <v>1</v>
      </c>
      <c r="CV273" s="24">
        <v>0.77280849899035087</v>
      </c>
      <c r="CW273" s="24" t="str">
        <f t="shared" si="22"/>
        <v>1</v>
      </c>
      <c r="CX273" t="str">
        <f ca="1">IF((OFFSET($A$1, 273 - 1, 100 - 1)) &gt;= (OFFSET($A$1, 80 - 1, 7 - 1)), "1","0")</f>
        <v>1</v>
      </c>
      <c r="CY273">
        <f ca="1" xml:space="preserve"> IF( AND( OFFSET($A$1, 273 - 1, 101 - 1) = "1", OFFSET($A$1, 273 - 1, 102 - 1) = "1" ), 1, IF( AND( OFFSET($A$1, 273 - 1, 101 - 1) = "1", OFFSET($A$1, 273 - 1, 102 - 1) = "0" ), 2, IF( AND( OFFSET($A$1, 273 - 1, 101 - 1) = "0", OFFSET($A$1, 273 - 1, 102 - 1) = "1" ), 3, 4 ) ) )</f>
        <v>1</v>
      </c>
    </row>
    <row r="274" spans="95:103" ht="13.8" x14ac:dyDescent="0.3">
      <c r="CQ274" s="24">
        <v>0.9147986513238705</v>
      </c>
      <c r="CR274" s="24" t="str">
        <f t="shared" si="23"/>
        <v>1</v>
      </c>
      <c r="CS274" t="str">
        <f ca="1">IF((OFFSET($A$1, 274 - 1, 95 - 1)) &gt;= (OFFSET($A$1, 56 - 1, 7 - 1)), "1","0")</f>
        <v>1</v>
      </c>
      <c r="CT274">
        <f ca="1" xml:space="preserve"> IF( AND( OFFSET($A$1, 274 - 1, 96 - 1) = "1", OFFSET($A$1, 274 - 1, 97 - 1) = "1" ), 1, IF( AND( OFFSET($A$1, 274 - 1, 96 - 1) = "1", OFFSET($A$1, 274 - 1, 97 - 1) = "0" ), 2, IF( AND( OFFSET($A$1, 274 - 1, 96 - 1) = "0", OFFSET($A$1, 274 - 1, 97 - 1) = "1" ), 3, 4 ) ) )</f>
        <v>1</v>
      </c>
      <c r="CV274" s="24">
        <v>0.99568701493431255</v>
      </c>
      <c r="CW274" s="24" t="str">
        <f t="shared" si="22"/>
        <v>1</v>
      </c>
      <c r="CX274" t="str">
        <f ca="1">IF((OFFSET($A$1, 274 - 1, 100 - 1)) &gt;= (OFFSET($A$1, 80 - 1, 7 - 1)), "1","0")</f>
        <v>1</v>
      </c>
      <c r="CY274">
        <f ca="1" xml:space="preserve"> IF( AND( OFFSET($A$1, 274 - 1, 101 - 1) = "1", OFFSET($A$1, 274 - 1, 102 - 1) = "1" ), 1, IF( AND( OFFSET($A$1, 274 - 1, 101 - 1) = "1", OFFSET($A$1, 274 - 1, 102 - 1) = "0" ), 2, IF( AND( OFFSET($A$1, 274 - 1, 101 - 1) = "0", OFFSET($A$1, 274 - 1, 102 - 1) = "1" ), 3, 4 ) ) )</f>
        <v>1</v>
      </c>
    </row>
    <row r="275" spans="95:103" ht="13.8" x14ac:dyDescent="0.3">
      <c r="CQ275" s="24">
        <v>0.92121608234232844</v>
      </c>
      <c r="CR275" s="24" t="str">
        <f t="shared" si="23"/>
        <v>1</v>
      </c>
      <c r="CS275" t="str">
        <f ca="1">IF((OFFSET($A$1, 275 - 1, 95 - 1)) &gt;= (OFFSET($A$1, 56 - 1, 7 - 1)), "1","0")</f>
        <v>1</v>
      </c>
      <c r="CT275">
        <f ca="1" xml:space="preserve"> IF( AND( OFFSET($A$1, 275 - 1, 96 - 1) = "1", OFFSET($A$1, 275 - 1, 97 - 1) = "1" ), 1, IF( AND( OFFSET($A$1, 275 - 1, 96 - 1) = "1", OFFSET($A$1, 275 - 1, 97 - 1) = "0" ), 2, IF( AND( OFFSET($A$1, 275 - 1, 96 - 1) = "0", OFFSET($A$1, 275 - 1, 97 - 1) = "1" ), 3, 4 ) ) )</f>
        <v>1</v>
      </c>
      <c r="CV275" s="24">
        <v>3.2263876511942333E-2</v>
      </c>
      <c r="CW275" s="24" t="str">
        <f>"0"</f>
        <v>0</v>
      </c>
      <c r="CX275" t="str">
        <f ca="1">IF((OFFSET($A$1, 275 - 1, 100 - 1)) &gt;= (OFFSET($A$1, 80 - 1, 7 - 1)), "1","0")</f>
        <v>0</v>
      </c>
      <c r="CY275">
        <f ca="1" xml:space="preserve"> IF( AND( OFFSET($A$1, 275 - 1, 101 - 1) = "1", OFFSET($A$1, 275 - 1, 102 - 1) = "1" ), 1, IF( AND( OFFSET($A$1, 275 - 1, 101 - 1) = "1", OFFSET($A$1, 275 - 1, 102 - 1) = "0" ), 2, IF( AND( OFFSET($A$1, 275 - 1, 101 - 1) = "0", OFFSET($A$1, 275 - 1, 102 - 1) = "1" ), 3, 4 ) ) )</f>
        <v>4</v>
      </c>
    </row>
    <row r="276" spans="95:103" ht="13.8" x14ac:dyDescent="0.3">
      <c r="CQ276" s="24">
        <v>0.74497470541750321</v>
      </c>
      <c r="CR276" s="24" t="str">
        <f t="shared" si="23"/>
        <v>1</v>
      </c>
      <c r="CS276" t="str">
        <f ca="1">IF((OFFSET($A$1, 276 - 1, 95 - 1)) &gt;= (OFFSET($A$1, 56 - 1, 7 - 1)), "1","0")</f>
        <v>1</v>
      </c>
      <c r="CT276">
        <f ca="1" xml:space="preserve"> IF( AND( OFFSET($A$1, 276 - 1, 96 - 1) = "1", OFFSET($A$1, 276 - 1, 97 - 1) = "1" ), 1, IF( AND( OFFSET($A$1, 276 - 1, 96 - 1) = "1", OFFSET($A$1, 276 - 1, 97 - 1) = "0" ), 2, IF( AND( OFFSET($A$1, 276 - 1, 96 - 1) = "0", OFFSET($A$1, 276 - 1, 97 - 1) = "1" ), 3, 4 ) ) )</f>
        <v>1</v>
      </c>
      <c r="CV276" s="24">
        <v>0.99595751738465599</v>
      </c>
      <c r="CW276" s="24" t="str">
        <f>"0"</f>
        <v>0</v>
      </c>
      <c r="CX276" t="str">
        <f ca="1">IF((OFFSET($A$1, 276 - 1, 100 - 1)) &gt;= (OFFSET($A$1, 80 - 1, 7 - 1)), "1","0")</f>
        <v>1</v>
      </c>
      <c r="CY276">
        <f ca="1" xml:space="preserve"> IF( AND( OFFSET($A$1, 276 - 1, 101 - 1) = "1", OFFSET($A$1, 276 - 1, 102 - 1) = "1" ), 1, IF( AND( OFFSET($A$1, 276 - 1, 101 - 1) = "1", OFFSET($A$1, 276 - 1, 102 - 1) = "0" ), 2, IF( AND( OFFSET($A$1, 276 - 1, 101 - 1) = "0", OFFSET($A$1, 276 - 1, 102 - 1) = "1" ), 3, 4 ) ) )</f>
        <v>3</v>
      </c>
    </row>
    <row r="277" spans="95:103" ht="13.8" x14ac:dyDescent="0.3">
      <c r="CQ277" s="24">
        <v>0.97283187656649761</v>
      </c>
      <c r="CR277" s="24" t="str">
        <f t="shared" si="23"/>
        <v>1</v>
      </c>
      <c r="CS277" t="str">
        <f ca="1">IF((OFFSET($A$1, 277 - 1, 95 - 1)) &gt;= (OFFSET($A$1, 56 - 1, 7 - 1)), "1","0")</f>
        <v>1</v>
      </c>
      <c r="CT277">
        <f ca="1" xml:space="preserve"> IF( AND( OFFSET($A$1, 277 - 1, 96 - 1) = "1", OFFSET($A$1, 277 - 1, 97 - 1) = "1" ), 1, IF( AND( OFFSET($A$1, 277 - 1, 96 - 1) = "1", OFFSET($A$1, 277 - 1, 97 - 1) = "0" ), 2, IF( AND( OFFSET($A$1, 277 - 1, 96 - 1) = "0", OFFSET($A$1, 277 - 1, 97 - 1) = "1" ), 3, 4 ) ) )</f>
        <v>1</v>
      </c>
      <c r="CV277" s="24">
        <v>0.99251666880542777</v>
      </c>
      <c r="CW277" s="24" t="str">
        <f t="shared" ref="CW277:CW282" si="24">"1"</f>
        <v>1</v>
      </c>
      <c r="CX277" t="str">
        <f ca="1">IF((OFFSET($A$1, 277 - 1, 100 - 1)) &gt;= (OFFSET($A$1, 80 - 1, 7 - 1)), "1","0")</f>
        <v>1</v>
      </c>
      <c r="CY277">
        <f ca="1" xml:space="preserve"> IF( AND( OFFSET($A$1, 277 - 1, 101 - 1) = "1", OFFSET($A$1, 277 - 1, 102 - 1) = "1" ), 1, IF( AND( OFFSET($A$1, 277 - 1, 101 - 1) = "1", OFFSET($A$1, 277 - 1, 102 - 1) = "0" ), 2, IF( AND( OFFSET($A$1, 277 - 1, 101 - 1) = "0", OFFSET($A$1, 277 - 1, 102 - 1) = "1" ), 3, 4 ) ) )</f>
        <v>1</v>
      </c>
    </row>
    <row r="278" spans="95:103" ht="13.8" x14ac:dyDescent="0.3">
      <c r="CQ278" s="24">
        <v>0.97823466619730581</v>
      </c>
      <c r="CR278" s="24" t="str">
        <f t="shared" si="23"/>
        <v>1</v>
      </c>
      <c r="CS278" t="str">
        <f ca="1">IF((OFFSET($A$1, 278 - 1, 95 - 1)) &gt;= (OFFSET($A$1, 56 - 1, 7 - 1)), "1","0")</f>
        <v>1</v>
      </c>
      <c r="CT278">
        <f ca="1" xml:space="preserve"> IF( AND( OFFSET($A$1, 278 - 1, 96 - 1) = "1", OFFSET($A$1, 278 - 1, 97 - 1) = "1" ), 1, IF( AND( OFFSET($A$1, 278 - 1, 96 - 1) = "1", OFFSET($A$1, 278 - 1, 97 - 1) = "0" ), 2, IF( AND( OFFSET($A$1, 278 - 1, 96 - 1) = "0", OFFSET($A$1, 278 - 1, 97 - 1) = "1" ), 3, 4 ) ) )</f>
        <v>1</v>
      </c>
      <c r="CV278" s="24">
        <v>0.99457624897667862</v>
      </c>
      <c r="CW278" s="24" t="str">
        <f t="shared" si="24"/>
        <v>1</v>
      </c>
      <c r="CX278" t="str">
        <f ca="1">IF((OFFSET($A$1, 278 - 1, 100 - 1)) &gt;= (OFFSET($A$1, 80 - 1, 7 - 1)), "1","0")</f>
        <v>1</v>
      </c>
      <c r="CY278">
        <f ca="1" xml:space="preserve"> IF( AND( OFFSET($A$1, 278 - 1, 101 - 1) = "1", OFFSET($A$1, 278 - 1, 102 - 1) = "1" ), 1, IF( AND( OFFSET($A$1, 278 - 1, 101 - 1) = "1", OFFSET($A$1, 278 - 1, 102 - 1) = "0" ), 2, IF( AND( OFFSET($A$1, 278 - 1, 101 - 1) = "0", OFFSET($A$1, 278 - 1, 102 - 1) = "1" ), 3, 4 ) ) )</f>
        <v>1</v>
      </c>
    </row>
    <row r="279" spans="95:103" ht="13.8" x14ac:dyDescent="0.3">
      <c r="CQ279" s="24">
        <v>0.91930277513891234</v>
      </c>
      <c r="CR279" s="24" t="str">
        <f t="shared" si="23"/>
        <v>1</v>
      </c>
      <c r="CS279" t="str">
        <f ca="1">IF((OFFSET($A$1, 279 - 1, 95 - 1)) &gt;= (OFFSET($A$1, 56 - 1, 7 - 1)), "1","0")</f>
        <v>1</v>
      </c>
      <c r="CT279">
        <f ca="1" xml:space="preserve"> IF( AND( OFFSET($A$1, 279 - 1, 96 - 1) = "1", OFFSET($A$1, 279 - 1, 97 - 1) = "1" ), 1, IF( AND( OFFSET($A$1, 279 - 1, 96 - 1) = "1", OFFSET($A$1, 279 - 1, 97 - 1) = "0" ), 2, IF( AND( OFFSET($A$1, 279 - 1, 96 - 1) = "0", OFFSET($A$1, 279 - 1, 97 - 1) = "1" ), 3, 4 ) ) )</f>
        <v>1</v>
      </c>
      <c r="CV279" s="24">
        <v>0.12429592559914646</v>
      </c>
      <c r="CW279" s="24" t="str">
        <f t="shared" si="24"/>
        <v>1</v>
      </c>
      <c r="CX279" t="str">
        <f ca="1">IF((OFFSET($A$1, 279 - 1, 100 - 1)) &gt;= (OFFSET($A$1, 80 - 1, 7 - 1)), "1","0")</f>
        <v>0</v>
      </c>
      <c r="CY279">
        <f ca="1" xml:space="preserve"> IF( AND( OFFSET($A$1, 279 - 1, 101 - 1) = "1", OFFSET($A$1, 279 - 1, 102 - 1) = "1" ), 1, IF( AND( OFFSET($A$1, 279 - 1, 101 - 1) = "1", OFFSET($A$1, 279 - 1, 102 - 1) = "0" ), 2, IF( AND( OFFSET($A$1, 279 - 1, 101 - 1) = "0", OFFSET($A$1, 279 - 1, 102 - 1) = "1" ), 3, 4 ) ) )</f>
        <v>2</v>
      </c>
    </row>
    <row r="280" spans="95:103" ht="13.8" x14ac:dyDescent="0.3">
      <c r="CQ280" s="24">
        <v>0.94638004839707945</v>
      </c>
      <c r="CR280" s="24" t="str">
        <f t="shared" si="23"/>
        <v>1</v>
      </c>
      <c r="CS280" t="str">
        <f ca="1">IF((OFFSET($A$1, 280 - 1, 95 - 1)) &gt;= (OFFSET($A$1, 56 - 1, 7 - 1)), "1","0")</f>
        <v>1</v>
      </c>
      <c r="CT280">
        <f ca="1" xml:space="preserve"> IF( AND( OFFSET($A$1, 280 - 1, 96 - 1) = "1", OFFSET($A$1, 280 - 1, 97 - 1) = "1" ), 1, IF( AND( OFFSET($A$1, 280 - 1, 96 - 1) = "1", OFFSET($A$1, 280 - 1, 97 - 1) = "0" ), 2, IF( AND( OFFSET($A$1, 280 - 1, 96 - 1) = "0", OFFSET($A$1, 280 - 1, 97 - 1) = "1" ), 3, 4 ) ) )</f>
        <v>1</v>
      </c>
      <c r="CV280" s="24">
        <v>0.93460249500260717</v>
      </c>
      <c r="CW280" s="24" t="str">
        <f t="shared" si="24"/>
        <v>1</v>
      </c>
      <c r="CX280" t="str">
        <f ca="1">IF((OFFSET($A$1, 280 - 1, 100 - 1)) &gt;= (OFFSET($A$1, 80 - 1, 7 - 1)), "1","0")</f>
        <v>1</v>
      </c>
      <c r="CY280">
        <f ca="1" xml:space="preserve"> IF( AND( OFFSET($A$1, 280 - 1, 101 - 1) = "1", OFFSET($A$1, 280 - 1, 102 - 1) = "1" ), 1, IF( AND( OFFSET($A$1, 280 - 1, 101 - 1) = "1", OFFSET($A$1, 280 - 1, 102 - 1) = "0" ), 2, IF( AND( OFFSET($A$1, 280 - 1, 101 - 1) = "0", OFFSET($A$1, 280 - 1, 102 - 1) = "1" ), 3, 4 ) ) )</f>
        <v>1</v>
      </c>
    </row>
    <row r="281" spans="95:103" ht="13.8" x14ac:dyDescent="0.3">
      <c r="CQ281" s="24">
        <v>0.93703634472369712</v>
      </c>
      <c r="CR281" s="24" t="str">
        <f t="shared" si="23"/>
        <v>1</v>
      </c>
      <c r="CS281" t="str">
        <f ca="1">IF((OFFSET($A$1, 281 - 1, 95 - 1)) &gt;= (OFFSET($A$1, 56 - 1, 7 - 1)), "1","0")</f>
        <v>1</v>
      </c>
      <c r="CT281">
        <f ca="1" xml:space="preserve"> IF( AND( OFFSET($A$1, 281 - 1, 96 - 1) = "1", OFFSET($A$1, 281 - 1, 97 - 1) = "1" ), 1, IF( AND( OFFSET($A$1, 281 - 1, 96 - 1) = "1", OFFSET($A$1, 281 - 1, 97 - 1) = "0" ), 2, IF( AND( OFFSET($A$1, 281 - 1, 96 - 1) = "0", OFFSET($A$1, 281 - 1, 97 - 1) = "1" ), 3, 4 ) ) )</f>
        <v>1</v>
      </c>
      <c r="CV281" s="24">
        <v>0.99579462375806549</v>
      </c>
      <c r="CW281" s="24" t="str">
        <f t="shared" si="24"/>
        <v>1</v>
      </c>
      <c r="CX281" t="str">
        <f ca="1">IF((OFFSET($A$1, 281 - 1, 100 - 1)) &gt;= (OFFSET($A$1, 80 - 1, 7 - 1)), "1","0")</f>
        <v>1</v>
      </c>
      <c r="CY281">
        <f ca="1" xml:space="preserve"> IF( AND( OFFSET($A$1, 281 - 1, 101 - 1) = "1", OFFSET($A$1, 281 - 1, 102 - 1) = "1" ), 1, IF( AND( OFFSET($A$1, 281 - 1, 101 - 1) = "1", OFFSET($A$1, 281 - 1, 102 - 1) = "0" ), 2, IF( AND( OFFSET($A$1, 281 - 1, 101 - 1) = "0", OFFSET($A$1, 281 - 1, 102 - 1) = "1" ), 3, 4 ) ) )</f>
        <v>1</v>
      </c>
    </row>
    <row r="282" spans="95:103" ht="13.8" x14ac:dyDescent="0.3">
      <c r="CQ282" s="24">
        <v>0.99653339796307983</v>
      </c>
      <c r="CR282" s="24" t="str">
        <f t="shared" si="23"/>
        <v>1</v>
      </c>
      <c r="CS282" t="str">
        <f ca="1">IF((OFFSET($A$1, 282 - 1, 95 - 1)) &gt;= (OFFSET($A$1, 56 - 1, 7 - 1)), "1","0")</f>
        <v>1</v>
      </c>
      <c r="CT282">
        <f ca="1" xml:space="preserve"> IF( AND( OFFSET($A$1, 282 - 1, 96 - 1) = "1", OFFSET($A$1, 282 - 1, 97 - 1) = "1" ), 1, IF( AND( OFFSET($A$1, 282 - 1, 96 - 1) = "1", OFFSET($A$1, 282 - 1, 97 - 1) = "0" ), 2, IF( AND( OFFSET($A$1, 282 - 1, 96 - 1) = "0", OFFSET($A$1, 282 - 1, 97 - 1) = "1" ), 3, 4 ) ) )</f>
        <v>1</v>
      </c>
      <c r="CV282" s="24">
        <v>0.996855719833595</v>
      </c>
      <c r="CW282" s="24" t="str">
        <f t="shared" si="24"/>
        <v>1</v>
      </c>
      <c r="CX282" t="str">
        <f ca="1">IF((OFFSET($A$1, 282 - 1, 100 - 1)) &gt;= (OFFSET($A$1, 80 - 1, 7 - 1)), "1","0")</f>
        <v>1</v>
      </c>
      <c r="CY282">
        <f ca="1" xml:space="preserve"> IF( AND( OFFSET($A$1, 282 - 1, 101 - 1) = "1", OFFSET($A$1, 282 - 1, 102 - 1) = "1" ), 1, IF( AND( OFFSET($A$1, 282 - 1, 101 - 1) = "1", OFFSET($A$1, 282 - 1, 102 - 1) = "0" ), 2, IF( AND( OFFSET($A$1, 282 - 1, 101 - 1) = "0", OFFSET($A$1, 282 - 1, 102 - 1) = "1" ), 3, 4 ) ) )</f>
        <v>1</v>
      </c>
    </row>
    <row r="283" spans="95:103" ht="13.8" x14ac:dyDescent="0.3">
      <c r="CQ283" s="24">
        <v>1.563283791520256E-2</v>
      </c>
      <c r="CR283" s="24" t="str">
        <f>"0"</f>
        <v>0</v>
      </c>
      <c r="CS283" t="str">
        <f ca="1">IF((OFFSET($A$1, 283 - 1, 95 - 1)) &gt;= (OFFSET($A$1, 56 - 1, 7 - 1)), "1","0")</f>
        <v>0</v>
      </c>
      <c r="CT283">
        <f ca="1" xml:space="preserve"> IF( AND( OFFSET($A$1, 283 - 1, 96 - 1) = "1", OFFSET($A$1, 283 - 1, 97 - 1) = "1" ), 1, IF( AND( OFFSET($A$1, 283 - 1, 96 - 1) = "1", OFFSET($A$1, 283 - 1, 97 - 1) = "0" ), 2, IF( AND( OFFSET($A$1, 283 - 1, 96 - 1) = "0", OFFSET($A$1, 283 - 1, 97 - 1) = "1" ), 3, 4 ) ) )</f>
        <v>4</v>
      </c>
      <c r="CV283" s="24">
        <v>0.94310802773778124</v>
      </c>
      <c r="CW283" s="24" t="str">
        <f>"0"</f>
        <v>0</v>
      </c>
      <c r="CX283" t="str">
        <f ca="1">IF((OFFSET($A$1, 283 - 1, 100 - 1)) &gt;= (OFFSET($A$1, 80 - 1, 7 - 1)), "1","0")</f>
        <v>1</v>
      </c>
      <c r="CY283">
        <f ca="1" xml:space="preserve"> IF( AND( OFFSET($A$1, 283 - 1, 101 - 1) = "1", OFFSET($A$1, 283 - 1, 102 - 1) = "1" ), 1, IF( AND( OFFSET($A$1, 283 - 1, 101 - 1) = "1", OFFSET($A$1, 283 - 1, 102 - 1) = "0" ), 2, IF( AND( OFFSET($A$1, 283 - 1, 101 - 1) = "0", OFFSET($A$1, 283 - 1, 102 - 1) = "1" ), 3, 4 ) ) )</f>
        <v>3</v>
      </c>
    </row>
    <row r="284" spans="95:103" ht="13.8" x14ac:dyDescent="0.3">
      <c r="CQ284" s="24">
        <v>0.94192269112846461</v>
      </c>
      <c r="CR284" s="24" t="str">
        <f>"1"</f>
        <v>1</v>
      </c>
      <c r="CS284" t="str">
        <f ca="1">IF((OFFSET($A$1, 284 - 1, 95 - 1)) &gt;= (OFFSET($A$1, 56 - 1, 7 - 1)), "1","0")</f>
        <v>1</v>
      </c>
      <c r="CT284">
        <f ca="1" xml:space="preserve"> IF( AND( OFFSET($A$1, 284 - 1, 96 - 1) = "1", OFFSET($A$1, 284 - 1, 97 - 1) = "1" ), 1, IF( AND( OFFSET($A$1, 284 - 1, 96 - 1) = "1", OFFSET($A$1, 284 - 1, 97 - 1) = "0" ), 2, IF( AND( OFFSET($A$1, 284 - 1, 96 - 1) = "0", OFFSET($A$1, 284 - 1, 97 - 1) = "1" ), 3, 4 ) ) )</f>
        <v>1</v>
      </c>
      <c r="CV284" s="24">
        <v>0.2891154439912581</v>
      </c>
      <c r="CW284" s="24" t="str">
        <f>"0"</f>
        <v>0</v>
      </c>
      <c r="CX284" t="str">
        <f ca="1">IF((OFFSET($A$1, 284 - 1, 100 - 1)) &gt;= (OFFSET($A$1, 80 - 1, 7 - 1)), "1","0")</f>
        <v>0</v>
      </c>
      <c r="CY284">
        <f ca="1" xml:space="preserve"> IF( AND( OFFSET($A$1, 284 - 1, 101 - 1) = "1", OFFSET($A$1, 284 - 1, 102 - 1) = "1" ), 1, IF( AND( OFFSET($A$1, 284 - 1, 101 - 1) = "1", OFFSET($A$1, 284 - 1, 102 - 1) = "0" ), 2, IF( AND( OFFSET($A$1, 284 - 1, 101 - 1) = "0", OFFSET($A$1, 284 - 1, 102 - 1) = "1" ), 3, 4 ) ) )</f>
        <v>4</v>
      </c>
    </row>
    <row r="285" spans="95:103" ht="13.8" x14ac:dyDescent="0.3">
      <c r="CQ285" s="24">
        <v>0.31165146514291459</v>
      </c>
      <c r="CR285" s="24" t="str">
        <f>"0"</f>
        <v>0</v>
      </c>
      <c r="CS285" t="str">
        <f ca="1">IF((OFFSET($A$1, 285 - 1, 95 - 1)) &gt;= (OFFSET($A$1, 56 - 1, 7 - 1)), "1","0")</f>
        <v>0</v>
      </c>
      <c r="CT285">
        <f ca="1" xml:space="preserve"> IF( AND( OFFSET($A$1, 285 - 1, 96 - 1) = "1", OFFSET($A$1, 285 - 1, 97 - 1) = "1" ), 1, IF( AND( OFFSET($A$1, 285 - 1, 96 - 1) = "1", OFFSET($A$1, 285 - 1, 97 - 1) = "0" ), 2, IF( AND( OFFSET($A$1, 285 - 1, 96 - 1) = "0", OFFSET($A$1, 285 - 1, 97 - 1) = "1" ), 3, 4 ) ) )</f>
        <v>4</v>
      </c>
      <c r="CV285" s="24">
        <v>0.55658807564293844</v>
      </c>
      <c r="CW285" s="24" t="str">
        <f>"1"</f>
        <v>1</v>
      </c>
      <c r="CX285" t="str">
        <f ca="1">IF((OFFSET($A$1, 285 - 1, 100 - 1)) &gt;= (OFFSET($A$1, 80 - 1, 7 - 1)), "1","0")</f>
        <v>1</v>
      </c>
      <c r="CY285">
        <f ca="1" xml:space="preserve"> IF( AND( OFFSET($A$1, 285 - 1, 101 - 1) = "1", OFFSET($A$1, 285 - 1, 102 - 1) = "1" ), 1, IF( AND( OFFSET($A$1, 285 - 1, 101 - 1) = "1", OFFSET($A$1, 285 - 1, 102 - 1) = "0" ), 2, IF( AND( OFFSET($A$1, 285 - 1, 101 - 1) = "0", OFFSET($A$1, 285 - 1, 102 - 1) = "1" ), 3, 4 ) ) )</f>
        <v>1</v>
      </c>
    </row>
    <row r="286" spans="95:103" ht="13.8" x14ac:dyDescent="0.3">
      <c r="CQ286" s="24">
        <v>0.99297896627364146</v>
      </c>
      <c r="CR286" s="24" t="str">
        <f>"1"</f>
        <v>1</v>
      </c>
      <c r="CS286" t="str">
        <f ca="1">IF((OFFSET($A$1, 286 - 1, 95 - 1)) &gt;= (OFFSET($A$1, 56 - 1, 7 - 1)), "1","0")</f>
        <v>1</v>
      </c>
      <c r="CT286">
        <f ca="1" xml:space="preserve"> IF( AND( OFFSET($A$1, 286 - 1, 96 - 1) = "1", OFFSET($A$1, 286 - 1, 97 - 1) = "1" ), 1, IF( AND( OFFSET($A$1, 286 - 1, 96 - 1) = "1", OFFSET($A$1, 286 - 1, 97 - 1) = "0" ), 2, IF( AND( OFFSET($A$1, 286 - 1, 96 - 1) = "0", OFFSET($A$1, 286 - 1, 97 - 1) = "1" ), 3, 4 ) ) )</f>
        <v>1</v>
      </c>
      <c r="CV286" s="24">
        <v>0.61058774801145133</v>
      </c>
      <c r="CW286" s="24" t="str">
        <f>"1"</f>
        <v>1</v>
      </c>
      <c r="CX286" t="str">
        <f ca="1">IF((OFFSET($A$1, 286 - 1, 100 - 1)) &gt;= (OFFSET($A$1, 80 - 1, 7 - 1)), "1","0")</f>
        <v>1</v>
      </c>
      <c r="CY286">
        <f ca="1" xml:space="preserve"> IF( AND( OFFSET($A$1, 286 - 1, 101 - 1) = "1", OFFSET($A$1, 286 - 1, 102 - 1) = "1" ), 1, IF( AND( OFFSET($A$1, 286 - 1, 101 - 1) = "1", OFFSET($A$1, 286 - 1, 102 - 1) = "0" ), 2, IF( AND( OFFSET($A$1, 286 - 1, 101 - 1) = "0", OFFSET($A$1, 286 - 1, 102 - 1) = "1" ), 3, 4 ) ) )</f>
        <v>1</v>
      </c>
    </row>
    <row r="287" spans="95:103" ht="13.8" x14ac:dyDescent="0.3">
      <c r="CQ287" s="24">
        <v>0.99918692126486264</v>
      </c>
      <c r="CR287" s="24" t="str">
        <f>"0"</f>
        <v>0</v>
      </c>
      <c r="CS287" t="str">
        <f ca="1">IF((OFFSET($A$1, 287 - 1, 95 - 1)) &gt;= (OFFSET($A$1, 56 - 1, 7 - 1)), "1","0")</f>
        <v>1</v>
      </c>
      <c r="CT287">
        <f ca="1" xml:space="preserve"> IF( AND( OFFSET($A$1, 287 - 1, 96 - 1) = "1", OFFSET($A$1, 287 - 1, 97 - 1) = "1" ), 1, IF( AND( OFFSET($A$1, 287 - 1, 96 - 1) = "1", OFFSET($A$1, 287 - 1, 97 - 1) = "0" ), 2, IF( AND( OFFSET($A$1, 287 - 1, 96 - 1) = "0", OFFSET($A$1, 287 - 1, 97 - 1) = "1" ), 3, 4 ) ) )</f>
        <v>3</v>
      </c>
      <c r="CV287" s="24">
        <v>0.98793655756965171</v>
      </c>
      <c r="CW287" s="24" t="str">
        <f>"1"</f>
        <v>1</v>
      </c>
      <c r="CX287" t="str">
        <f ca="1">IF((OFFSET($A$1, 287 - 1, 100 - 1)) &gt;= (OFFSET($A$1, 80 - 1, 7 - 1)), "1","0")</f>
        <v>1</v>
      </c>
      <c r="CY287">
        <f ca="1" xml:space="preserve"> IF( AND( OFFSET($A$1, 287 - 1, 101 - 1) = "1", OFFSET($A$1, 287 - 1, 102 - 1) = "1" ), 1, IF( AND( OFFSET($A$1, 287 - 1, 101 - 1) = "1", OFFSET($A$1, 287 - 1, 102 - 1) = "0" ), 2, IF( AND( OFFSET($A$1, 287 - 1, 101 - 1) = "0", OFFSET($A$1, 287 - 1, 102 - 1) = "1" ), 3, 4 ) ) )</f>
        <v>1</v>
      </c>
    </row>
    <row r="288" spans="95:103" ht="13.8" x14ac:dyDescent="0.3">
      <c r="CQ288" s="24">
        <v>0.95529459084938417</v>
      </c>
      <c r="CR288" s="24" t="str">
        <f>"1"</f>
        <v>1</v>
      </c>
      <c r="CS288" t="str">
        <f ca="1">IF((OFFSET($A$1, 288 - 1, 95 - 1)) &gt;= (OFFSET($A$1, 56 - 1, 7 - 1)), "1","0")</f>
        <v>1</v>
      </c>
      <c r="CT288">
        <f ca="1" xml:space="preserve"> IF( AND( OFFSET($A$1, 288 - 1, 96 - 1) = "1", OFFSET($A$1, 288 - 1, 97 - 1) = "1" ), 1, IF( AND( OFFSET($A$1, 288 - 1, 96 - 1) = "1", OFFSET($A$1, 288 - 1, 97 - 1) = "0" ), 2, IF( AND( OFFSET($A$1, 288 - 1, 96 - 1) = "0", OFFSET($A$1, 288 - 1, 97 - 1) = "1" ), 3, 4 ) ) )</f>
        <v>1</v>
      </c>
      <c r="CV288" s="24">
        <v>0.99996738371605631</v>
      </c>
      <c r="CW288" s="24" t="str">
        <f>"1"</f>
        <v>1</v>
      </c>
      <c r="CX288" t="str">
        <f ca="1">IF((OFFSET($A$1, 288 - 1, 100 - 1)) &gt;= (OFFSET($A$1, 80 - 1, 7 - 1)), "1","0")</f>
        <v>1</v>
      </c>
      <c r="CY288">
        <f ca="1" xml:space="preserve"> IF( AND( OFFSET($A$1, 288 - 1, 101 - 1) = "1", OFFSET($A$1, 288 - 1, 102 - 1) = "1" ), 1, IF( AND( OFFSET($A$1, 288 - 1, 101 - 1) = "1", OFFSET($A$1, 288 - 1, 102 - 1) = "0" ), 2, IF( AND( OFFSET($A$1, 288 - 1, 101 - 1) = "0", OFFSET($A$1, 288 - 1, 102 - 1) = "1" ), 3, 4 ) ) )</f>
        <v>1</v>
      </c>
    </row>
    <row r="289" spans="95:103" ht="13.8" x14ac:dyDescent="0.3">
      <c r="CQ289" s="24">
        <v>0.38206948170532412</v>
      </c>
      <c r="CR289" s="24" t="str">
        <f>"0"</f>
        <v>0</v>
      </c>
      <c r="CS289" t="str">
        <f ca="1">IF((OFFSET($A$1, 289 - 1, 95 - 1)) &gt;= (OFFSET($A$1, 56 - 1, 7 - 1)), "1","0")</f>
        <v>0</v>
      </c>
      <c r="CT289">
        <f ca="1" xml:space="preserve"> IF( AND( OFFSET($A$1, 289 - 1, 96 - 1) = "1", OFFSET($A$1, 289 - 1, 97 - 1) = "1" ), 1, IF( AND( OFFSET($A$1, 289 - 1, 96 - 1) = "1", OFFSET($A$1, 289 - 1, 97 - 1) = "0" ), 2, IF( AND( OFFSET($A$1, 289 - 1, 96 - 1) = "0", OFFSET($A$1, 289 - 1, 97 - 1) = "1" ), 3, 4 ) ) )</f>
        <v>4</v>
      </c>
      <c r="CV289" s="24">
        <v>0.89898901741974779</v>
      </c>
      <c r="CW289" s="24" t="str">
        <f>"0"</f>
        <v>0</v>
      </c>
      <c r="CX289" t="str">
        <f ca="1">IF((OFFSET($A$1, 289 - 1, 100 - 1)) &gt;= (OFFSET($A$1, 80 - 1, 7 - 1)), "1","0")</f>
        <v>1</v>
      </c>
      <c r="CY289">
        <f ca="1" xml:space="preserve"> IF( AND( OFFSET($A$1, 289 - 1, 101 - 1) = "1", OFFSET($A$1, 289 - 1, 102 - 1) = "1" ), 1, IF( AND( OFFSET($A$1, 289 - 1, 101 - 1) = "1", OFFSET($A$1, 289 - 1, 102 - 1) = "0" ), 2, IF( AND( OFFSET($A$1, 289 - 1, 101 - 1) = "0", OFFSET($A$1, 289 - 1, 102 - 1) = "1" ), 3, 4 ) ) )</f>
        <v>3</v>
      </c>
    </row>
    <row r="290" spans="95:103" ht="13.8" x14ac:dyDescent="0.3">
      <c r="CQ290" s="24">
        <v>0.18352701109297834</v>
      </c>
      <c r="CR290" s="24" t="str">
        <f>"0"</f>
        <v>0</v>
      </c>
      <c r="CS290" t="str">
        <f ca="1">IF((OFFSET($A$1, 290 - 1, 95 - 1)) &gt;= (OFFSET($A$1, 56 - 1, 7 - 1)), "1","0")</f>
        <v>0</v>
      </c>
      <c r="CT290">
        <f ca="1" xml:space="preserve"> IF( AND( OFFSET($A$1, 290 - 1, 96 - 1) = "1", OFFSET($A$1, 290 - 1, 97 - 1) = "1" ), 1, IF( AND( OFFSET($A$1, 290 - 1, 96 - 1) = "1", OFFSET($A$1, 290 - 1, 97 - 1) = "0" ), 2, IF( AND( OFFSET($A$1, 290 - 1, 96 - 1) = "0", OFFSET($A$1, 290 - 1, 97 - 1) = "1" ), 3, 4 ) ) )</f>
        <v>4</v>
      </c>
      <c r="CV290" s="24">
        <v>0.12096527850327567</v>
      </c>
      <c r="CW290" s="24" t="str">
        <f>"0"</f>
        <v>0</v>
      </c>
      <c r="CX290" t="str">
        <f ca="1">IF((OFFSET($A$1, 290 - 1, 100 - 1)) &gt;= (OFFSET($A$1, 80 - 1, 7 - 1)), "1","0")</f>
        <v>0</v>
      </c>
      <c r="CY290">
        <f ca="1" xml:space="preserve"> IF( AND( OFFSET($A$1, 290 - 1, 101 - 1) = "1", OFFSET($A$1, 290 - 1, 102 - 1) = "1" ), 1, IF( AND( OFFSET($A$1, 290 - 1, 101 - 1) = "1", OFFSET($A$1, 290 - 1, 102 - 1) = "0" ), 2, IF( AND( OFFSET($A$1, 290 - 1, 101 - 1) = "0", OFFSET($A$1, 290 - 1, 102 - 1) = "1" ), 3, 4 ) ) )</f>
        <v>4</v>
      </c>
    </row>
    <row r="291" spans="95:103" ht="13.8" x14ac:dyDescent="0.3">
      <c r="CQ291" s="24">
        <v>0.89203350167023798</v>
      </c>
      <c r="CR291" s="24" t="str">
        <f>"1"</f>
        <v>1</v>
      </c>
      <c r="CS291" t="str">
        <f ca="1">IF((OFFSET($A$1, 291 - 1, 95 - 1)) &gt;= (OFFSET($A$1, 56 - 1, 7 - 1)), "1","0")</f>
        <v>1</v>
      </c>
      <c r="CT291">
        <f ca="1" xml:space="preserve"> IF( AND( OFFSET($A$1, 291 - 1, 96 - 1) = "1", OFFSET($A$1, 291 - 1, 97 - 1) = "1" ), 1, IF( AND( OFFSET($A$1, 291 - 1, 96 - 1) = "1", OFFSET($A$1, 291 - 1, 97 - 1) = "0" ), 2, IF( AND( OFFSET($A$1, 291 - 1, 96 - 1) = "0", OFFSET($A$1, 291 - 1, 97 - 1) = "1" ), 3, 4 ) ) )</f>
        <v>1</v>
      </c>
      <c r="CV291" s="24">
        <v>3.0384557403967935E-2</v>
      </c>
      <c r="CW291" s="24" t="str">
        <f>"1"</f>
        <v>1</v>
      </c>
      <c r="CX291" t="str">
        <f ca="1">IF((OFFSET($A$1, 291 - 1, 100 - 1)) &gt;= (OFFSET($A$1, 80 - 1, 7 - 1)), "1","0")</f>
        <v>0</v>
      </c>
      <c r="CY291">
        <f ca="1" xml:space="preserve"> IF( AND( OFFSET($A$1, 291 - 1, 101 - 1) = "1", OFFSET($A$1, 291 - 1, 102 - 1) = "1" ), 1, IF( AND( OFFSET($A$1, 291 - 1, 101 - 1) = "1", OFFSET($A$1, 291 - 1, 102 - 1) = "0" ), 2, IF( AND( OFFSET($A$1, 291 - 1, 101 - 1) = "0", OFFSET($A$1, 291 - 1, 102 - 1) = "1" ), 3, 4 ) ) )</f>
        <v>2</v>
      </c>
    </row>
    <row r="292" spans="95:103" ht="13.8" x14ac:dyDescent="0.3">
      <c r="CQ292" s="24">
        <v>0.92144809043560871</v>
      </c>
      <c r="CR292" s="24" t="str">
        <f>"1"</f>
        <v>1</v>
      </c>
      <c r="CS292" t="str">
        <f ca="1">IF((OFFSET($A$1, 292 - 1, 95 - 1)) &gt;= (OFFSET($A$1, 56 - 1, 7 - 1)), "1","0")</f>
        <v>1</v>
      </c>
      <c r="CT292">
        <f ca="1" xml:space="preserve"> IF( AND( OFFSET($A$1, 292 - 1, 96 - 1) = "1", OFFSET($A$1, 292 - 1, 97 - 1) = "1" ), 1, IF( AND( OFFSET($A$1, 292 - 1, 96 - 1) = "1", OFFSET($A$1, 292 - 1, 97 - 1) = "0" ), 2, IF( AND( OFFSET($A$1, 292 - 1, 96 - 1) = "0", OFFSET($A$1, 292 - 1, 97 - 1) = "1" ), 3, 4 ) ) )</f>
        <v>1</v>
      </c>
      <c r="CV292" s="24">
        <v>0.98752343784499352</v>
      </c>
      <c r="CW292" s="24" t="str">
        <f>"1"</f>
        <v>1</v>
      </c>
      <c r="CX292" t="str">
        <f ca="1">IF((OFFSET($A$1, 292 - 1, 100 - 1)) &gt;= (OFFSET($A$1, 80 - 1, 7 - 1)), "1","0")</f>
        <v>1</v>
      </c>
      <c r="CY292">
        <f ca="1" xml:space="preserve"> IF( AND( OFFSET($A$1, 292 - 1, 101 - 1) = "1", OFFSET($A$1, 292 - 1, 102 - 1) = "1" ), 1, IF( AND( OFFSET($A$1, 292 - 1, 101 - 1) = "1", OFFSET($A$1, 292 - 1, 102 - 1) = "0" ), 2, IF( AND( OFFSET($A$1, 292 - 1, 101 - 1) = "0", OFFSET($A$1, 292 - 1, 102 - 1) = "1" ), 3, 4 ) ) )</f>
        <v>1</v>
      </c>
    </row>
    <row r="293" spans="95:103" ht="13.8" x14ac:dyDescent="0.3">
      <c r="CQ293" s="24">
        <v>0.17679841891577894</v>
      </c>
      <c r="CR293" s="24" t="str">
        <f>"0"</f>
        <v>0</v>
      </c>
      <c r="CS293" t="str">
        <f ca="1">IF((OFFSET($A$1, 293 - 1, 95 - 1)) &gt;= (OFFSET($A$1, 56 - 1, 7 - 1)), "1","0")</f>
        <v>0</v>
      </c>
      <c r="CT293">
        <f ca="1" xml:space="preserve"> IF( AND( OFFSET($A$1, 293 - 1, 96 - 1) = "1", OFFSET($A$1, 293 - 1, 97 - 1) = "1" ), 1, IF( AND( OFFSET($A$1, 293 - 1, 96 - 1) = "1", OFFSET($A$1, 293 - 1, 97 - 1) = "0" ), 2, IF( AND( OFFSET($A$1, 293 - 1, 96 - 1) = "0", OFFSET($A$1, 293 - 1, 97 - 1) = "1" ), 3, 4 ) ) )</f>
        <v>4</v>
      </c>
      <c r="CV293" s="24">
        <v>0.39257546258459425</v>
      </c>
      <c r="CW293" s="24" t="str">
        <f>"1"</f>
        <v>1</v>
      </c>
      <c r="CX293" t="str">
        <f ca="1">IF((OFFSET($A$1, 293 - 1, 100 - 1)) &gt;= (OFFSET($A$1, 80 - 1, 7 - 1)), "1","0")</f>
        <v>0</v>
      </c>
      <c r="CY293">
        <f ca="1" xml:space="preserve"> IF( AND( OFFSET($A$1, 293 - 1, 101 - 1) = "1", OFFSET($A$1, 293 - 1, 102 - 1) = "1" ), 1, IF( AND( OFFSET($A$1, 293 - 1, 101 - 1) = "1", OFFSET($A$1, 293 - 1, 102 - 1) = "0" ), 2, IF( AND( OFFSET($A$1, 293 - 1, 101 - 1) = "0", OFFSET($A$1, 293 - 1, 102 - 1) = "1" ), 3, 4 ) ) )</f>
        <v>2</v>
      </c>
    </row>
    <row r="294" spans="95:103" ht="13.8" x14ac:dyDescent="0.3">
      <c r="CQ294" s="24">
        <v>0.99995205516503571</v>
      </c>
      <c r="CR294" s="24" t="str">
        <f>"1"</f>
        <v>1</v>
      </c>
      <c r="CS294" t="str">
        <f ca="1">IF((OFFSET($A$1, 294 - 1, 95 - 1)) &gt;= (OFFSET($A$1, 56 - 1, 7 - 1)), "1","0")</f>
        <v>1</v>
      </c>
      <c r="CT294">
        <f ca="1" xml:space="preserve"> IF( AND( OFFSET($A$1, 294 - 1, 96 - 1) = "1", OFFSET($A$1, 294 - 1, 97 - 1) = "1" ), 1, IF( AND( OFFSET($A$1, 294 - 1, 96 - 1) = "1", OFFSET($A$1, 294 - 1, 97 - 1) = "0" ), 2, IF( AND( OFFSET($A$1, 294 - 1, 96 - 1) = "0", OFFSET($A$1, 294 - 1, 97 - 1) = "1" ), 3, 4 ) ) )</f>
        <v>1</v>
      </c>
      <c r="CV294" s="24">
        <v>0.40802726813916407</v>
      </c>
      <c r="CW294" s="24" t="str">
        <f>"0"</f>
        <v>0</v>
      </c>
      <c r="CX294" t="str">
        <f ca="1">IF((OFFSET($A$1, 294 - 1, 100 - 1)) &gt;= (OFFSET($A$1, 80 - 1, 7 - 1)), "1","0")</f>
        <v>0</v>
      </c>
      <c r="CY294">
        <f ca="1" xml:space="preserve"> IF( AND( OFFSET($A$1, 294 - 1, 101 - 1) = "1", OFFSET($A$1, 294 - 1, 102 - 1) = "1" ), 1, IF( AND( OFFSET($A$1, 294 - 1, 101 - 1) = "1", OFFSET($A$1, 294 - 1, 102 - 1) = "0" ), 2, IF( AND( OFFSET($A$1, 294 - 1, 101 - 1) = "0", OFFSET($A$1, 294 - 1, 102 - 1) = "1" ), 3, 4 ) ) )</f>
        <v>4</v>
      </c>
    </row>
    <row r="295" spans="95:103" ht="13.8" x14ac:dyDescent="0.3">
      <c r="CQ295" s="24">
        <v>2.5981018228192664E-2</v>
      </c>
      <c r="CR295" s="24" t="str">
        <f>"0"</f>
        <v>0</v>
      </c>
      <c r="CS295" t="str">
        <f ca="1">IF((OFFSET($A$1, 295 - 1, 95 - 1)) &gt;= (OFFSET($A$1, 56 - 1, 7 - 1)), "1","0")</f>
        <v>0</v>
      </c>
      <c r="CT295">
        <f ca="1" xml:space="preserve"> IF( AND( OFFSET($A$1, 295 - 1, 96 - 1) = "1", OFFSET($A$1, 295 - 1, 97 - 1) = "1" ), 1, IF( AND( OFFSET($A$1, 295 - 1, 96 - 1) = "1", OFFSET($A$1, 295 - 1, 97 - 1) = "0" ), 2, IF( AND( OFFSET($A$1, 295 - 1, 96 - 1) = "0", OFFSET($A$1, 295 - 1, 97 - 1) = "1" ), 3, 4 ) ) )</f>
        <v>4</v>
      </c>
      <c r="CV295" s="24">
        <v>0.16013934305048189</v>
      </c>
      <c r="CW295" s="24" t="str">
        <f>"0"</f>
        <v>0</v>
      </c>
      <c r="CX295" t="str">
        <f ca="1">IF((OFFSET($A$1, 295 - 1, 100 - 1)) &gt;= (OFFSET($A$1, 80 - 1, 7 - 1)), "1","0")</f>
        <v>0</v>
      </c>
      <c r="CY295">
        <f ca="1" xml:space="preserve"> IF( AND( OFFSET($A$1, 295 - 1, 101 - 1) = "1", OFFSET($A$1, 295 - 1, 102 - 1) = "1" ), 1, IF( AND( OFFSET($A$1, 295 - 1, 101 - 1) = "1", OFFSET($A$1, 295 - 1, 102 - 1) = "0" ), 2, IF( AND( OFFSET($A$1, 295 - 1, 101 - 1) = "0", OFFSET($A$1, 295 - 1, 102 - 1) = "1" ), 3, 4 ) ) )</f>
        <v>4</v>
      </c>
    </row>
    <row r="296" spans="95:103" ht="13.8" x14ac:dyDescent="0.3">
      <c r="CQ296" s="24">
        <v>0.97044197512009145</v>
      </c>
      <c r="CR296" s="24" t="str">
        <f>"1"</f>
        <v>1</v>
      </c>
      <c r="CS296" t="str">
        <f ca="1">IF((OFFSET($A$1, 296 - 1, 95 - 1)) &gt;= (OFFSET($A$1, 56 - 1, 7 - 1)), "1","0")</f>
        <v>1</v>
      </c>
      <c r="CT296">
        <f ca="1" xml:space="preserve"> IF( AND( OFFSET($A$1, 296 - 1, 96 - 1) = "1", OFFSET($A$1, 296 - 1, 97 - 1) = "1" ), 1, IF( AND( OFFSET($A$1, 296 - 1, 96 - 1) = "1", OFFSET($A$1, 296 - 1, 97 - 1) = "0" ), 2, IF( AND( OFFSET($A$1, 296 - 1, 96 - 1) = "0", OFFSET($A$1, 296 - 1, 97 - 1) = "1" ), 3, 4 ) ) )</f>
        <v>1</v>
      </c>
      <c r="CV296" s="24">
        <v>0.99937814770675437</v>
      </c>
      <c r="CW296" s="24" t="str">
        <f>"1"</f>
        <v>1</v>
      </c>
      <c r="CX296" t="str">
        <f ca="1">IF((OFFSET($A$1, 296 - 1, 100 - 1)) &gt;= (OFFSET($A$1, 80 - 1, 7 - 1)), "1","0")</f>
        <v>1</v>
      </c>
      <c r="CY296">
        <f ca="1" xml:space="preserve"> IF( AND( OFFSET($A$1, 296 - 1, 101 - 1) = "1", OFFSET($A$1, 296 - 1, 102 - 1) = "1" ), 1, IF( AND( OFFSET($A$1, 296 - 1, 101 - 1) = "1", OFFSET($A$1, 296 - 1, 102 - 1) = "0" ), 2, IF( AND( OFFSET($A$1, 296 - 1, 101 - 1) = "0", OFFSET($A$1, 296 - 1, 102 - 1) = "1" ), 3, 4 ) ) )</f>
        <v>1</v>
      </c>
    </row>
    <row r="297" spans="95:103" ht="13.8" x14ac:dyDescent="0.3">
      <c r="CQ297" s="24">
        <v>0.99839509972887819</v>
      </c>
      <c r="CR297" s="24" t="str">
        <f>"1"</f>
        <v>1</v>
      </c>
      <c r="CS297" t="str">
        <f ca="1">IF((OFFSET($A$1, 297 - 1, 95 - 1)) &gt;= (OFFSET($A$1, 56 - 1, 7 - 1)), "1","0")</f>
        <v>1</v>
      </c>
      <c r="CT297">
        <f ca="1" xml:space="preserve"> IF( AND( OFFSET($A$1, 297 - 1, 96 - 1) = "1", OFFSET($A$1, 297 - 1, 97 - 1) = "1" ), 1, IF( AND( OFFSET($A$1, 297 - 1, 96 - 1) = "1", OFFSET($A$1, 297 - 1, 97 - 1) = "0" ), 2, IF( AND( OFFSET($A$1, 297 - 1, 96 - 1) = "0", OFFSET($A$1, 297 - 1, 97 - 1) = "1" ), 3, 4 ) ) )</f>
        <v>1</v>
      </c>
      <c r="CV297" s="24">
        <v>4.6572855209274115E-2</v>
      </c>
      <c r="CW297" s="24" t="str">
        <f>"0"</f>
        <v>0</v>
      </c>
      <c r="CX297" t="str">
        <f ca="1">IF((OFFSET($A$1, 297 - 1, 100 - 1)) &gt;= (OFFSET($A$1, 80 - 1, 7 - 1)), "1","0")</f>
        <v>0</v>
      </c>
      <c r="CY297">
        <f ca="1" xml:space="preserve"> IF( AND( OFFSET($A$1, 297 - 1, 101 - 1) = "1", OFFSET($A$1, 297 - 1, 102 - 1) = "1" ), 1, IF( AND( OFFSET($A$1, 297 - 1, 101 - 1) = "1", OFFSET($A$1, 297 - 1, 102 - 1) = "0" ), 2, IF( AND( OFFSET($A$1, 297 - 1, 101 - 1) = "0", OFFSET($A$1, 297 - 1, 102 - 1) = "1" ), 3, 4 ) ) )</f>
        <v>4</v>
      </c>
    </row>
    <row r="298" spans="95:103" ht="13.8" x14ac:dyDescent="0.3">
      <c r="CQ298" s="24">
        <v>0.93812181109434478</v>
      </c>
      <c r="CR298" s="24" t="str">
        <f>"1"</f>
        <v>1</v>
      </c>
      <c r="CS298" t="str">
        <f ca="1">IF((OFFSET($A$1, 298 - 1, 95 - 1)) &gt;= (OFFSET($A$1, 56 - 1, 7 - 1)), "1","0")</f>
        <v>1</v>
      </c>
      <c r="CT298">
        <f ca="1" xml:space="preserve"> IF( AND( OFFSET($A$1, 298 - 1, 96 - 1) = "1", OFFSET($A$1, 298 - 1, 97 - 1) = "1" ), 1, IF( AND( OFFSET($A$1, 298 - 1, 96 - 1) = "1", OFFSET($A$1, 298 - 1, 97 - 1) = "0" ), 2, IF( AND( OFFSET($A$1, 298 - 1, 96 - 1) = "0", OFFSET($A$1, 298 - 1, 97 - 1) = "1" ), 3, 4 ) ) )</f>
        <v>1</v>
      </c>
      <c r="CV298" s="24">
        <v>3.2408211358287094E-2</v>
      </c>
      <c r="CW298" s="24" t="str">
        <f>"0"</f>
        <v>0</v>
      </c>
      <c r="CX298" t="str">
        <f ca="1">IF((OFFSET($A$1, 298 - 1, 100 - 1)) &gt;= (OFFSET($A$1, 80 - 1, 7 - 1)), "1","0")</f>
        <v>0</v>
      </c>
      <c r="CY298">
        <f ca="1" xml:space="preserve"> IF( AND( OFFSET($A$1, 298 - 1, 101 - 1) = "1", OFFSET($A$1, 298 - 1, 102 - 1) = "1" ), 1, IF( AND( OFFSET($A$1, 298 - 1, 101 - 1) = "1", OFFSET($A$1, 298 - 1, 102 - 1) = "0" ), 2, IF( AND( OFFSET($A$1, 298 - 1, 101 - 1) = "0", OFFSET($A$1, 298 - 1, 102 - 1) = "1" ), 3, 4 ) ) )</f>
        <v>4</v>
      </c>
    </row>
    <row r="299" spans="95:103" ht="13.8" x14ac:dyDescent="0.3">
      <c r="CQ299" s="24">
        <v>0.94461464784675697</v>
      </c>
      <c r="CR299" s="24" t="str">
        <f>"1"</f>
        <v>1</v>
      </c>
      <c r="CS299" t="str">
        <f ca="1">IF((OFFSET($A$1, 299 - 1, 95 - 1)) &gt;= (OFFSET($A$1, 56 - 1, 7 - 1)), "1","0")</f>
        <v>1</v>
      </c>
      <c r="CT299">
        <f ca="1" xml:space="preserve"> IF( AND( OFFSET($A$1, 299 - 1, 96 - 1) = "1", OFFSET($A$1, 299 - 1, 97 - 1) = "1" ), 1, IF( AND( OFFSET($A$1, 299 - 1, 96 - 1) = "1", OFFSET($A$1, 299 - 1, 97 - 1) = "0" ), 2, IF( AND( OFFSET($A$1, 299 - 1, 96 - 1) = "0", OFFSET($A$1, 299 - 1, 97 - 1) = "1" ), 3, 4 ) ) )</f>
        <v>1</v>
      </c>
      <c r="CV299" s="24">
        <v>0.9824579500578059</v>
      </c>
      <c r="CW299" s="24" t="str">
        <f>"0"</f>
        <v>0</v>
      </c>
      <c r="CX299" t="str">
        <f ca="1">IF((OFFSET($A$1, 299 - 1, 100 - 1)) &gt;= (OFFSET($A$1, 80 - 1, 7 - 1)), "1","0")</f>
        <v>1</v>
      </c>
      <c r="CY299">
        <f ca="1" xml:space="preserve"> IF( AND( OFFSET($A$1, 299 - 1, 101 - 1) = "1", OFFSET($A$1, 299 - 1, 102 - 1) = "1" ), 1, IF( AND( OFFSET($A$1, 299 - 1, 101 - 1) = "1", OFFSET($A$1, 299 - 1, 102 - 1) = "0" ), 2, IF( AND( OFFSET($A$1, 299 - 1, 101 - 1) = "0", OFFSET($A$1, 299 - 1, 102 - 1) = "1" ), 3, 4 ) ) )</f>
        <v>3</v>
      </c>
    </row>
    <row r="300" spans="95:103" ht="13.8" x14ac:dyDescent="0.3">
      <c r="CQ300" s="24">
        <v>0.91736573997556337</v>
      </c>
      <c r="CR300" s="24" t="str">
        <f>"1"</f>
        <v>1</v>
      </c>
      <c r="CS300" t="str">
        <f ca="1">IF((OFFSET($A$1, 300 - 1, 95 - 1)) &gt;= (OFFSET($A$1, 56 - 1, 7 - 1)), "1","0")</f>
        <v>1</v>
      </c>
      <c r="CT300">
        <f ca="1" xml:space="preserve"> IF( AND( OFFSET($A$1, 300 - 1, 96 - 1) = "1", OFFSET($A$1, 300 - 1, 97 - 1) = "1" ), 1, IF( AND( OFFSET($A$1, 300 - 1, 96 - 1) = "1", OFFSET($A$1, 300 - 1, 97 - 1) = "0" ), 2, IF( AND( OFFSET($A$1, 300 - 1, 96 - 1) = "0", OFFSET($A$1, 300 - 1, 97 - 1) = "1" ), 3, 4 ) ) )</f>
        <v>1</v>
      </c>
      <c r="CV300" s="24">
        <v>0.93147508298282</v>
      </c>
      <c r="CW300" s="24" t="str">
        <f>"1"</f>
        <v>1</v>
      </c>
      <c r="CX300" t="str">
        <f ca="1">IF((OFFSET($A$1, 300 - 1, 100 - 1)) &gt;= (OFFSET($A$1, 80 - 1, 7 - 1)), "1","0")</f>
        <v>1</v>
      </c>
      <c r="CY300">
        <f ca="1" xml:space="preserve"> IF( AND( OFFSET($A$1, 300 - 1, 101 - 1) = "1", OFFSET($A$1, 300 - 1, 102 - 1) = "1" ), 1, IF( AND( OFFSET($A$1, 300 - 1, 101 - 1) = "1", OFFSET($A$1, 300 - 1, 102 - 1) = "0" ), 2, IF( AND( OFFSET($A$1, 300 - 1, 101 - 1) = "0", OFFSET($A$1, 300 - 1, 102 - 1) = "1" ), 3, 4 ) ) )</f>
        <v>1</v>
      </c>
    </row>
    <row r="301" spans="95:103" ht="13.8" x14ac:dyDescent="0.3">
      <c r="CQ301" s="24">
        <v>0.13086785719851227</v>
      </c>
      <c r="CR301" s="24" t="str">
        <f>"0"</f>
        <v>0</v>
      </c>
      <c r="CS301" t="str">
        <f ca="1">IF((OFFSET($A$1, 301 - 1, 95 - 1)) &gt;= (OFFSET($A$1, 56 - 1, 7 - 1)), "1","0")</f>
        <v>0</v>
      </c>
      <c r="CT301">
        <f ca="1" xml:space="preserve"> IF( AND( OFFSET($A$1, 301 - 1, 96 - 1) = "1", OFFSET($A$1, 301 - 1, 97 - 1) = "1" ), 1, IF( AND( OFFSET($A$1, 301 - 1, 96 - 1) = "1", OFFSET($A$1, 301 - 1, 97 - 1) = "0" ), 2, IF( AND( OFFSET($A$1, 301 - 1, 96 - 1) = "0", OFFSET($A$1, 301 - 1, 97 - 1) = "1" ), 3, 4 ) ) )</f>
        <v>4</v>
      </c>
      <c r="CV301" s="24">
        <v>2.0467253952850799E-2</v>
      </c>
      <c r="CW301" s="24" t="str">
        <f>"0"</f>
        <v>0</v>
      </c>
      <c r="CX301" t="str">
        <f ca="1">IF((OFFSET($A$1, 301 - 1, 100 - 1)) &gt;= (OFFSET($A$1, 80 - 1, 7 - 1)), "1","0")</f>
        <v>0</v>
      </c>
      <c r="CY301">
        <f ca="1" xml:space="preserve"> IF( AND( OFFSET($A$1, 301 - 1, 101 - 1) = "1", OFFSET($A$1, 301 - 1, 102 - 1) = "1" ), 1, IF( AND( OFFSET($A$1, 301 - 1, 101 - 1) = "1", OFFSET($A$1, 301 - 1, 102 - 1) = "0" ), 2, IF( AND( OFFSET($A$1, 301 - 1, 101 - 1) = "0", OFFSET($A$1, 301 - 1, 102 - 1) = "1" ), 3, 4 ) ) )</f>
        <v>4</v>
      </c>
    </row>
    <row r="302" spans="95:103" ht="13.8" x14ac:dyDescent="0.3">
      <c r="CQ302" s="24">
        <v>0.99525258470082312</v>
      </c>
      <c r="CR302" s="24" t="str">
        <f>"1"</f>
        <v>1</v>
      </c>
      <c r="CS302" t="str">
        <f ca="1">IF((OFFSET($A$1, 302 - 1, 95 - 1)) &gt;= (OFFSET($A$1, 56 - 1, 7 - 1)), "1","0")</f>
        <v>1</v>
      </c>
      <c r="CT302">
        <f ca="1" xml:space="preserve"> IF( AND( OFFSET($A$1, 302 - 1, 96 - 1) = "1", OFFSET($A$1, 302 - 1, 97 - 1) = "1" ), 1, IF( AND( OFFSET($A$1, 302 - 1, 96 - 1) = "1", OFFSET($A$1, 302 - 1, 97 - 1) = "0" ), 2, IF( AND( OFFSET($A$1, 302 - 1, 96 - 1) = "0", OFFSET($A$1, 302 - 1, 97 - 1) = "1" ), 3, 4 ) ) )</f>
        <v>1</v>
      </c>
      <c r="CV302" s="24">
        <v>0.86492692419054462</v>
      </c>
      <c r="CW302" s="24" t="str">
        <f>"0"</f>
        <v>0</v>
      </c>
      <c r="CX302" t="str">
        <f ca="1">IF((OFFSET($A$1, 302 - 1, 100 - 1)) &gt;= (OFFSET($A$1, 80 - 1, 7 - 1)), "1","0")</f>
        <v>1</v>
      </c>
      <c r="CY302">
        <f ca="1" xml:space="preserve"> IF( AND( OFFSET($A$1, 302 - 1, 101 - 1) = "1", OFFSET($A$1, 302 - 1, 102 - 1) = "1" ), 1, IF( AND( OFFSET($A$1, 302 - 1, 101 - 1) = "1", OFFSET($A$1, 302 - 1, 102 - 1) = "0" ), 2, IF( AND( OFFSET($A$1, 302 - 1, 101 - 1) = "0", OFFSET($A$1, 302 - 1, 102 - 1) = "1" ), 3, 4 ) ) )</f>
        <v>3</v>
      </c>
    </row>
    <row r="303" spans="95:103" ht="13.8" x14ac:dyDescent="0.3">
      <c r="CQ303" s="24">
        <v>2.2559802332848183E-2</v>
      </c>
      <c r="CR303" s="24" t="str">
        <f>"0"</f>
        <v>0</v>
      </c>
      <c r="CS303" t="str">
        <f ca="1">IF((OFFSET($A$1, 303 - 1, 95 - 1)) &gt;= (OFFSET($A$1, 56 - 1, 7 - 1)), "1","0")</f>
        <v>0</v>
      </c>
      <c r="CT303">
        <f ca="1" xml:space="preserve"> IF( AND( OFFSET($A$1, 303 - 1, 96 - 1) = "1", OFFSET($A$1, 303 - 1, 97 - 1) = "1" ), 1, IF( AND( OFFSET($A$1, 303 - 1, 96 - 1) = "1", OFFSET($A$1, 303 - 1, 97 - 1) = "0" ), 2, IF( AND( OFFSET($A$1, 303 - 1, 96 - 1) = "0", OFFSET($A$1, 303 - 1, 97 - 1) = "1" ), 3, 4 ) ) )</f>
        <v>4</v>
      </c>
      <c r="CV303" s="24">
        <v>0.11807748447874196</v>
      </c>
      <c r="CW303" s="24" t="str">
        <f>"0"</f>
        <v>0</v>
      </c>
      <c r="CX303" t="str">
        <f ca="1">IF((OFFSET($A$1, 303 - 1, 100 - 1)) &gt;= (OFFSET($A$1, 80 - 1, 7 - 1)), "1","0")</f>
        <v>0</v>
      </c>
      <c r="CY303">
        <f ca="1" xml:space="preserve"> IF( AND( OFFSET($A$1, 303 - 1, 101 - 1) = "1", OFFSET($A$1, 303 - 1, 102 - 1) = "1" ), 1, IF( AND( OFFSET($A$1, 303 - 1, 101 - 1) = "1", OFFSET($A$1, 303 - 1, 102 - 1) = "0" ), 2, IF( AND( OFFSET($A$1, 303 - 1, 101 - 1) = "0", OFFSET($A$1, 303 - 1, 102 - 1) = "1" ), 3, 4 ) ) )</f>
        <v>4</v>
      </c>
    </row>
    <row r="304" spans="95:103" ht="13.8" x14ac:dyDescent="0.3">
      <c r="CQ304" s="24">
        <v>0.99700552737840498</v>
      </c>
      <c r="CR304" s="24" t="str">
        <f>"1"</f>
        <v>1</v>
      </c>
      <c r="CS304" t="str">
        <f ca="1">IF((OFFSET($A$1, 304 - 1, 95 - 1)) &gt;= (OFFSET($A$1, 56 - 1, 7 - 1)), "1","0")</f>
        <v>1</v>
      </c>
      <c r="CT304">
        <f ca="1" xml:space="preserve"> IF( AND( OFFSET($A$1, 304 - 1, 96 - 1) = "1", OFFSET($A$1, 304 - 1, 97 - 1) = "1" ), 1, IF( AND( OFFSET($A$1, 304 - 1, 96 - 1) = "1", OFFSET($A$1, 304 - 1, 97 - 1) = "0" ), 2, IF( AND( OFFSET($A$1, 304 - 1, 96 - 1) = "0", OFFSET($A$1, 304 - 1, 97 - 1) = "1" ), 3, 4 ) ) )</f>
        <v>1</v>
      </c>
      <c r="CV304" s="24">
        <v>0.75144341914277069</v>
      </c>
      <c r="CW304" s="24" t="str">
        <f>"1"</f>
        <v>1</v>
      </c>
      <c r="CX304" t="str">
        <f ca="1">IF((OFFSET($A$1, 304 - 1, 100 - 1)) &gt;= (OFFSET($A$1, 80 - 1, 7 - 1)), "1","0")</f>
        <v>1</v>
      </c>
      <c r="CY304">
        <f ca="1" xml:space="preserve"> IF( AND( OFFSET($A$1, 304 - 1, 101 - 1) = "1", OFFSET($A$1, 304 - 1, 102 - 1) = "1" ), 1, IF( AND( OFFSET($A$1, 304 - 1, 101 - 1) = "1", OFFSET($A$1, 304 - 1, 102 - 1) = "0" ), 2, IF( AND( OFFSET($A$1, 304 - 1, 101 - 1) = "0", OFFSET($A$1, 304 - 1, 102 - 1) = "1" ), 3, 4 ) ) )</f>
        <v>1</v>
      </c>
    </row>
    <row r="305" spans="95:103" ht="13.8" x14ac:dyDescent="0.3">
      <c r="CQ305" s="24">
        <v>0.33410531886352368</v>
      </c>
      <c r="CR305" s="24" t="str">
        <f>"0"</f>
        <v>0</v>
      </c>
      <c r="CS305" t="str">
        <f ca="1">IF((OFFSET($A$1, 305 - 1, 95 - 1)) &gt;= (OFFSET($A$1, 56 - 1, 7 - 1)), "1","0")</f>
        <v>0</v>
      </c>
      <c r="CT305">
        <f ca="1" xml:space="preserve"> IF( AND( OFFSET($A$1, 305 - 1, 96 - 1) = "1", OFFSET($A$1, 305 - 1, 97 - 1) = "1" ), 1, IF( AND( OFFSET($A$1, 305 - 1, 96 - 1) = "1", OFFSET($A$1, 305 - 1, 97 - 1) = "0" ), 2, IF( AND( OFFSET($A$1, 305 - 1, 96 - 1) = "0", OFFSET($A$1, 305 - 1, 97 - 1) = "1" ), 3, 4 ) ) )</f>
        <v>4</v>
      </c>
      <c r="CV305" s="24">
        <v>0.95675828540453101</v>
      </c>
      <c r="CW305" s="24" t="str">
        <f>"1"</f>
        <v>1</v>
      </c>
      <c r="CX305" t="str">
        <f ca="1">IF((OFFSET($A$1, 305 - 1, 100 - 1)) &gt;= (OFFSET($A$1, 80 - 1, 7 - 1)), "1","0")</f>
        <v>1</v>
      </c>
      <c r="CY305">
        <f ca="1" xml:space="preserve"> IF( AND( OFFSET($A$1, 305 - 1, 101 - 1) = "1", OFFSET($A$1, 305 - 1, 102 - 1) = "1" ), 1, IF( AND( OFFSET($A$1, 305 - 1, 101 - 1) = "1", OFFSET($A$1, 305 - 1, 102 - 1) = "0" ), 2, IF( AND( OFFSET($A$1, 305 - 1, 101 - 1) = "0", OFFSET($A$1, 305 - 1, 102 - 1) = "1" ), 3, 4 ) ) )</f>
        <v>1</v>
      </c>
    </row>
    <row r="306" spans="95:103" ht="13.8" x14ac:dyDescent="0.3">
      <c r="CQ306" s="24">
        <v>0.93281211344112136</v>
      </c>
      <c r="CR306" s="24" t="str">
        <f>"1"</f>
        <v>1</v>
      </c>
      <c r="CS306" t="str">
        <f ca="1">IF((OFFSET($A$1, 306 - 1, 95 - 1)) &gt;= (OFFSET($A$1, 56 - 1, 7 - 1)), "1","0")</f>
        <v>1</v>
      </c>
      <c r="CT306">
        <f ca="1" xml:space="preserve"> IF( AND( OFFSET($A$1, 306 - 1, 96 - 1) = "1", OFFSET($A$1, 306 - 1, 97 - 1) = "1" ), 1, IF( AND( OFFSET($A$1, 306 - 1, 96 - 1) = "1", OFFSET($A$1, 306 - 1, 97 - 1) = "0" ), 2, IF( AND( OFFSET($A$1, 306 - 1, 96 - 1) = "0", OFFSET($A$1, 306 - 1, 97 - 1) = "1" ), 3, 4 ) ) )</f>
        <v>1</v>
      </c>
      <c r="CV306" s="24">
        <v>0.51844195653639491</v>
      </c>
      <c r="CW306" s="24" t="str">
        <f>"1"</f>
        <v>1</v>
      </c>
      <c r="CX306" t="str">
        <f ca="1">IF((OFFSET($A$1, 306 - 1, 100 - 1)) &gt;= (OFFSET($A$1, 80 - 1, 7 - 1)), "1","0")</f>
        <v>1</v>
      </c>
      <c r="CY306">
        <f ca="1" xml:space="preserve"> IF( AND( OFFSET($A$1, 306 - 1, 101 - 1) = "1", OFFSET($A$1, 306 - 1, 102 - 1) = "1" ), 1, IF( AND( OFFSET($A$1, 306 - 1, 101 - 1) = "1", OFFSET($A$1, 306 - 1, 102 - 1) = "0" ), 2, IF( AND( OFFSET($A$1, 306 - 1, 101 - 1) = "0", OFFSET($A$1, 306 - 1, 102 - 1) = "1" ), 3, 4 ) ) )</f>
        <v>1</v>
      </c>
    </row>
    <row r="307" spans="95:103" ht="13.8" x14ac:dyDescent="0.3">
      <c r="CQ307" s="24">
        <v>0.99859737764239531</v>
      </c>
      <c r="CR307" s="24" t="str">
        <f>"1"</f>
        <v>1</v>
      </c>
      <c r="CS307" t="str">
        <f ca="1">IF((OFFSET($A$1, 307 - 1, 95 - 1)) &gt;= (OFFSET($A$1, 56 - 1, 7 - 1)), "1","0")</f>
        <v>1</v>
      </c>
      <c r="CT307">
        <f ca="1" xml:space="preserve"> IF( AND( OFFSET($A$1, 307 - 1, 96 - 1) = "1", OFFSET($A$1, 307 - 1, 97 - 1) = "1" ), 1, IF( AND( OFFSET($A$1, 307 - 1, 96 - 1) = "1", OFFSET($A$1, 307 - 1, 97 - 1) = "0" ), 2, IF( AND( OFFSET($A$1, 307 - 1, 96 - 1) = "0", OFFSET($A$1, 307 - 1, 97 - 1) = "1" ), 3, 4 ) ) )</f>
        <v>1</v>
      </c>
      <c r="CV307" s="24">
        <v>0.19680362148699218</v>
      </c>
      <c r="CW307" s="24" t="str">
        <f>"0"</f>
        <v>0</v>
      </c>
      <c r="CX307" t="str">
        <f ca="1">IF((OFFSET($A$1, 307 - 1, 100 - 1)) &gt;= (OFFSET($A$1, 80 - 1, 7 - 1)), "1","0")</f>
        <v>0</v>
      </c>
      <c r="CY307">
        <f ca="1" xml:space="preserve"> IF( AND( OFFSET($A$1, 307 - 1, 101 - 1) = "1", OFFSET($A$1, 307 - 1, 102 - 1) = "1" ), 1, IF( AND( OFFSET($A$1, 307 - 1, 101 - 1) = "1", OFFSET($A$1, 307 - 1, 102 - 1) = "0" ), 2, IF( AND( OFFSET($A$1, 307 - 1, 101 - 1) = "0", OFFSET($A$1, 307 - 1, 102 - 1) = "1" ), 3, 4 ) ) )</f>
        <v>4</v>
      </c>
    </row>
    <row r="308" spans="95:103" ht="13.8" x14ac:dyDescent="0.3">
      <c r="CQ308" s="24">
        <v>0.28477131781099829</v>
      </c>
      <c r="CR308" s="24" t="str">
        <f>"0"</f>
        <v>0</v>
      </c>
      <c r="CS308" t="str">
        <f ca="1">IF((OFFSET($A$1, 308 - 1, 95 - 1)) &gt;= (OFFSET($A$1, 56 - 1, 7 - 1)), "1","0")</f>
        <v>0</v>
      </c>
      <c r="CT308">
        <f ca="1" xml:space="preserve"> IF( AND( OFFSET($A$1, 308 - 1, 96 - 1) = "1", OFFSET($A$1, 308 - 1, 97 - 1) = "1" ), 1, IF( AND( OFFSET($A$1, 308 - 1, 96 - 1) = "1", OFFSET($A$1, 308 - 1, 97 - 1) = "0" ), 2, IF( AND( OFFSET($A$1, 308 - 1, 96 - 1) = "0", OFFSET($A$1, 308 - 1, 97 - 1) = "1" ), 3, 4 ) ) )</f>
        <v>4</v>
      </c>
      <c r="CV308" s="24">
        <v>0.47871928491497812</v>
      </c>
      <c r="CW308" s="24" t="str">
        <f>"1"</f>
        <v>1</v>
      </c>
      <c r="CX308" t="str">
        <f ca="1">IF((OFFSET($A$1, 308 - 1, 100 - 1)) &gt;= (OFFSET($A$1, 80 - 1, 7 - 1)), "1","0")</f>
        <v>0</v>
      </c>
      <c r="CY308">
        <f ca="1" xml:space="preserve"> IF( AND( OFFSET($A$1, 308 - 1, 101 - 1) = "1", OFFSET($A$1, 308 - 1, 102 - 1) = "1" ), 1, IF( AND( OFFSET($A$1, 308 - 1, 101 - 1) = "1", OFFSET($A$1, 308 - 1, 102 - 1) = "0" ), 2, IF( AND( OFFSET($A$1, 308 - 1, 101 - 1) = "0", OFFSET($A$1, 308 - 1, 102 - 1) = "1" ), 3, 4 ) ) )</f>
        <v>2</v>
      </c>
    </row>
    <row r="309" spans="95:103" ht="13.8" x14ac:dyDescent="0.3">
      <c r="CQ309" s="24">
        <v>1.8894639778774647E-2</v>
      </c>
      <c r="CR309" s="24" t="str">
        <f>"0"</f>
        <v>0</v>
      </c>
      <c r="CS309" t="str">
        <f ca="1">IF((OFFSET($A$1, 309 - 1, 95 - 1)) &gt;= (OFFSET($A$1, 56 - 1, 7 - 1)), "1","0")</f>
        <v>0</v>
      </c>
      <c r="CT309">
        <f ca="1" xml:space="preserve"> IF( AND( OFFSET($A$1, 309 - 1, 96 - 1) = "1", OFFSET($A$1, 309 - 1, 97 - 1) = "1" ), 1, IF( AND( OFFSET($A$1, 309 - 1, 96 - 1) = "1", OFFSET($A$1, 309 - 1, 97 - 1) = "0" ), 2, IF( AND( OFFSET($A$1, 309 - 1, 96 - 1) = "0", OFFSET($A$1, 309 - 1, 97 - 1) = "1" ), 3, 4 ) ) )</f>
        <v>4</v>
      </c>
      <c r="CV309" s="24">
        <v>2.7900953270445228E-3</v>
      </c>
      <c r="CW309" s="24" t="str">
        <f>"0"</f>
        <v>0</v>
      </c>
      <c r="CX309" t="str">
        <f ca="1">IF((OFFSET($A$1, 309 - 1, 100 - 1)) &gt;= (OFFSET($A$1, 80 - 1, 7 - 1)), "1","0")</f>
        <v>0</v>
      </c>
      <c r="CY309">
        <f ca="1" xml:space="preserve"> IF( AND( OFFSET($A$1, 309 - 1, 101 - 1) = "1", OFFSET($A$1, 309 - 1, 102 - 1) = "1" ), 1, IF( AND( OFFSET($A$1, 309 - 1, 101 - 1) = "1", OFFSET($A$1, 309 - 1, 102 - 1) = "0" ), 2, IF( AND( OFFSET($A$1, 309 - 1, 101 - 1) = "0", OFFSET($A$1, 309 - 1, 102 - 1) = "1" ), 3, 4 ) ) )</f>
        <v>4</v>
      </c>
    </row>
    <row r="310" spans="95:103" ht="13.8" x14ac:dyDescent="0.3">
      <c r="CQ310" s="24">
        <v>0.20526138377699649</v>
      </c>
      <c r="CR310" s="24" t="str">
        <f>"0"</f>
        <v>0</v>
      </c>
      <c r="CS310" t="str">
        <f ca="1">IF((OFFSET($A$1, 310 - 1, 95 - 1)) &gt;= (OFFSET($A$1, 56 - 1, 7 - 1)), "1","0")</f>
        <v>0</v>
      </c>
      <c r="CT310">
        <f ca="1" xml:space="preserve"> IF( AND( OFFSET($A$1, 310 - 1, 96 - 1) = "1", OFFSET($A$1, 310 - 1, 97 - 1) = "1" ), 1, IF( AND( OFFSET($A$1, 310 - 1, 96 - 1) = "1", OFFSET($A$1, 310 - 1, 97 - 1) = "0" ), 2, IF( AND( OFFSET($A$1, 310 - 1, 96 - 1) = "0", OFFSET($A$1, 310 - 1, 97 - 1) = "1" ), 3, 4 ) ) )</f>
        <v>4</v>
      </c>
      <c r="CV310" s="24">
        <v>0.49754688736817004</v>
      </c>
      <c r="CW310" s="24" t="str">
        <f>"0"</f>
        <v>0</v>
      </c>
      <c r="CX310" t="str">
        <f ca="1">IF((OFFSET($A$1, 310 - 1, 100 - 1)) &gt;= (OFFSET($A$1, 80 - 1, 7 - 1)), "1","0")</f>
        <v>0</v>
      </c>
      <c r="CY310">
        <f ca="1" xml:space="preserve"> IF( AND( OFFSET($A$1, 310 - 1, 101 - 1) = "1", OFFSET($A$1, 310 - 1, 102 - 1) = "1" ), 1, IF( AND( OFFSET($A$1, 310 - 1, 101 - 1) = "1", OFFSET($A$1, 310 - 1, 102 - 1) = "0" ), 2, IF( AND( OFFSET($A$1, 310 - 1, 101 - 1) = "0", OFFSET($A$1, 310 - 1, 102 - 1) = "1" ), 3, 4 ) ) )</f>
        <v>4</v>
      </c>
    </row>
    <row r="311" spans="95:103" ht="13.8" x14ac:dyDescent="0.3">
      <c r="CQ311" s="24">
        <v>0.98966834308802432</v>
      </c>
      <c r="CR311" s="24" t="str">
        <f>"1"</f>
        <v>1</v>
      </c>
      <c r="CS311" t="str">
        <f ca="1">IF((OFFSET($A$1, 311 - 1, 95 - 1)) &gt;= (OFFSET($A$1, 56 - 1, 7 - 1)), "1","0")</f>
        <v>1</v>
      </c>
      <c r="CT311">
        <f ca="1" xml:space="preserve"> IF( AND( OFFSET($A$1, 311 - 1, 96 - 1) = "1", OFFSET($A$1, 311 - 1, 97 - 1) = "1" ), 1, IF( AND( OFFSET($A$1, 311 - 1, 96 - 1) = "1", OFFSET($A$1, 311 - 1, 97 - 1) = "0" ), 2, IF( AND( OFFSET($A$1, 311 - 1, 96 - 1) = "0", OFFSET($A$1, 311 - 1, 97 - 1) = "1" ), 3, 4 ) ) )</f>
        <v>1</v>
      </c>
      <c r="CV311" s="24">
        <v>0.95087986038599237</v>
      </c>
      <c r="CW311" s="24" t="str">
        <f t="shared" ref="CW311:CW318" si="25">"1"</f>
        <v>1</v>
      </c>
      <c r="CX311" t="str">
        <f ca="1">IF((OFFSET($A$1, 311 - 1, 100 - 1)) &gt;= (OFFSET($A$1, 80 - 1, 7 - 1)), "1","0")</f>
        <v>1</v>
      </c>
      <c r="CY311">
        <f ca="1" xml:space="preserve"> IF( AND( OFFSET($A$1, 311 - 1, 101 - 1) = "1", OFFSET($A$1, 311 - 1, 102 - 1) = "1" ), 1, IF( AND( OFFSET($A$1, 311 - 1, 101 - 1) = "1", OFFSET($A$1, 311 - 1, 102 - 1) = "0" ), 2, IF( AND( OFFSET($A$1, 311 - 1, 101 - 1) = "0", OFFSET($A$1, 311 - 1, 102 - 1) = "1" ), 3, 4 ) ) )</f>
        <v>1</v>
      </c>
    </row>
    <row r="312" spans="95:103" ht="13.8" x14ac:dyDescent="0.3">
      <c r="CQ312" s="24">
        <v>0.9993094483453403</v>
      </c>
      <c r="CR312" s="24" t="str">
        <f>"1"</f>
        <v>1</v>
      </c>
      <c r="CS312" t="str">
        <f ca="1">IF((OFFSET($A$1, 312 - 1, 95 - 1)) &gt;= (OFFSET($A$1, 56 - 1, 7 - 1)), "1","0")</f>
        <v>1</v>
      </c>
      <c r="CT312">
        <f ca="1" xml:space="preserve"> IF( AND( OFFSET($A$1, 312 - 1, 96 - 1) = "1", OFFSET($A$1, 312 - 1, 97 - 1) = "1" ), 1, IF( AND( OFFSET($A$1, 312 - 1, 96 - 1) = "1", OFFSET($A$1, 312 - 1, 97 - 1) = "0" ), 2, IF( AND( OFFSET($A$1, 312 - 1, 96 - 1) = "0", OFFSET($A$1, 312 - 1, 97 - 1) = "1" ), 3, 4 ) ) )</f>
        <v>1</v>
      </c>
      <c r="CV312" s="24">
        <v>0.99832187260004512</v>
      </c>
      <c r="CW312" s="24" t="str">
        <f t="shared" si="25"/>
        <v>1</v>
      </c>
      <c r="CX312" t="str">
        <f ca="1">IF((OFFSET($A$1, 312 - 1, 100 - 1)) &gt;= (OFFSET($A$1, 80 - 1, 7 - 1)), "1","0")</f>
        <v>1</v>
      </c>
      <c r="CY312">
        <f ca="1" xml:space="preserve"> IF( AND( OFFSET($A$1, 312 - 1, 101 - 1) = "1", OFFSET($A$1, 312 - 1, 102 - 1) = "1" ), 1, IF( AND( OFFSET($A$1, 312 - 1, 101 - 1) = "1", OFFSET($A$1, 312 - 1, 102 - 1) = "0" ), 2, IF( AND( OFFSET($A$1, 312 - 1, 101 - 1) = "0", OFFSET($A$1, 312 - 1, 102 - 1) = "1" ), 3, 4 ) ) )</f>
        <v>1</v>
      </c>
    </row>
    <row r="313" spans="95:103" ht="13.8" x14ac:dyDescent="0.3">
      <c r="CQ313" s="24">
        <v>0.9688414795551088</v>
      </c>
      <c r="CR313" s="24" t="str">
        <f>"1"</f>
        <v>1</v>
      </c>
      <c r="CS313" t="str">
        <f ca="1">IF((OFFSET($A$1, 313 - 1, 95 - 1)) &gt;= (OFFSET($A$1, 56 - 1, 7 - 1)), "1","0")</f>
        <v>1</v>
      </c>
      <c r="CT313">
        <f ca="1" xml:space="preserve"> IF( AND( OFFSET($A$1, 313 - 1, 96 - 1) = "1", OFFSET($A$1, 313 - 1, 97 - 1) = "1" ), 1, IF( AND( OFFSET($A$1, 313 - 1, 96 - 1) = "1", OFFSET($A$1, 313 - 1, 97 - 1) = "0" ), 2, IF( AND( OFFSET($A$1, 313 - 1, 96 - 1) = "0", OFFSET($A$1, 313 - 1, 97 - 1) = "1" ), 3, 4 ) ) )</f>
        <v>1</v>
      </c>
      <c r="CV313" s="24">
        <v>0.57977357755357817</v>
      </c>
      <c r="CW313" s="24" t="str">
        <f t="shared" si="25"/>
        <v>1</v>
      </c>
      <c r="CX313" t="str">
        <f ca="1">IF((OFFSET($A$1, 313 - 1, 100 - 1)) &gt;= (OFFSET($A$1, 80 - 1, 7 - 1)), "1","0")</f>
        <v>1</v>
      </c>
      <c r="CY313">
        <f ca="1" xml:space="preserve"> IF( AND( OFFSET($A$1, 313 - 1, 101 - 1) = "1", OFFSET($A$1, 313 - 1, 102 - 1) = "1" ), 1, IF( AND( OFFSET($A$1, 313 - 1, 101 - 1) = "1", OFFSET($A$1, 313 - 1, 102 - 1) = "0" ), 2, IF( AND( OFFSET($A$1, 313 - 1, 101 - 1) = "0", OFFSET($A$1, 313 - 1, 102 - 1) = "1" ), 3, 4 ) ) )</f>
        <v>1</v>
      </c>
    </row>
    <row r="314" spans="95:103" ht="13.8" x14ac:dyDescent="0.3">
      <c r="CQ314" s="24">
        <v>0.99667725827733389</v>
      </c>
      <c r="CR314" s="24" t="str">
        <f>"1"</f>
        <v>1</v>
      </c>
      <c r="CS314" t="str">
        <f ca="1">IF((OFFSET($A$1, 314 - 1, 95 - 1)) &gt;= (OFFSET($A$1, 56 - 1, 7 - 1)), "1","0")</f>
        <v>1</v>
      </c>
      <c r="CT314">
        <f ca="1" xml:space="preserve"> IF( AND( OFFSET($A$1, 314 - 1, 96 - 1) = "1", OFFSET($A$1, 314 - 1, 97 - 1) = "1" ), 1, IF( AND( OFFSET($A$1, 314 - 1, 96 - 1) = "1", OFFSET($A$1, 314 - 1, 97 - 1) = "0" ), 2, IF( AND( OFFSET($A$1, 314 - 1, 96 - 1) = "0", OFFSET($A$1, 314 - 1, 97 - 1) = "1" ), 3, 4 ) ) )</f>
        <v>1</v>
      </c>
      <c r="CV314" s="24">
        <v>0.97577609644619934</v>
      </c>
      <c r="CW314" s="24" t="str">
        <f t="shared" si="25"/>
        <v>1</v>
      </c>
      <c r="CX314" t="str">
        <f ca="1">IF((OFFSET($A$1, 314 - 1, 100 - 1)) &gt;= (OFFSET($A$1, 80 - 1, 7 - 1)), "1","0")</f>
        <v>1</v>
      </c>
      <c r="CY314">
        <f ca="1" xml:space="preserve"> IF( AND( OFFSET($A$1, 314 - 1, 101 - 1) = "1", OFFSET($A$1, 314 - 1, 102 - 1) = "1" ), 1, IF( AND( OFFSET($A$1, 314 - 1, 101 - 1) = "1", OFFSET($A$1, 314 - 1, 102 - 1) = "0" ), 2, IF( AND( OFFSET($A$1, 314 - 1, 101 - 1) = "0", OFFSET($A$1, 314 - 1, 102 - 1) = "1" ), 3, 4 ) ) )</f>
        <v>1</v>
      </c>
    </row>
    <row r="315" spans="95:103" ht="13.8" x14ac:dyDescent="0.3">
      <c r="CQ315" s="24">
        <v>0.94021224517751023</v>
      </c>
      <c r="CR315" s="24" t="str">
        <f>"1"</f>
        <v>1</v>
      </c>
      <c r="CS315" t="str">
        <f ca="1">IF((OFFSET($A$1, 315 - 1, 95 - 1)) &gt;= (OFFSET($A$1, 56 - 1, 7 - 1)), "1","0")</f>
        <v>1</v>
      </c>
      <c r="CT315">
        <f ca="1" xml:space="preserve"> IF( AND( OFFSET($A$1, 315 - 1, 96 - 1) = "1", OFFSET($A$1, 315 - 1, 97 - 1) = "1" ), 1, IF( AND( OFFSET($A$1, 315 - 1, 96 - 1) = "1", OFFSET($A$1, 315 - 1, 97 - 1) = "0" ), 2, IF( AND( OFFSET($A$1, 315 - 1, 96 - 1) = "0", OFFSET($A$1, 315 - 1, 97 - 1) = "1" ), 3, 4 ) ) )</f>
        <v>1</v>
      </c>
      <c r="CV315" s="24">
        <v>0.98644206371322041</v>
      </c>
      <c r="CW315" s="24" t="str">
        <f t="shared" si="25"/>
        <v>1</v>
      </c>
      <c r="CX315" t="str">
        <f ca="1">IF((OFFSET($A$1, 315 - 1, 100 - 1)) &gt;= (OFFSET($A$1, 80 - 1, 7 - 1)), "1","0")</f>
        <v>1</v>
      </c>
      <c r="CY315">
        <f ca="1" xml:space="preserve"> IF( AND( OFFSET($A$1, 315 - 1, 101 - 1) = "1", OFFSET($A$1, 315 - 1, 102 - 1) = "1" ), 1, IF( AND( OFFSET($A$1, 315 - 1, 101 - 1) = "1", OFFSET($A$1, 315 - 1, 102 - 1) = "0" ), 2, IF( AND( OFFSET($A$1, 315 - 1, 101 - 1) = "0", OFFSET($A$1, 315 - 1, 102 - 1) = "1" ), 3, 4 ) ) )</f>
        <v>1</v>
      </c>
    </row>
    <row r="316" spans="95:103" ht="13.8" x14ac:dyDescent="0.3">
      <c r="CQ316" s="24">
        <v>0.11552374668660796</v>
      </c>
      <c r="CR316" s="24" t="str">
        <f>"0"</f>
        <v>0</v>
      </c>
      <c r="CS316" t="str">
        <f ca="1">IF((OFFSET($A$1, 316 - 1, 95 - 1)) &gt;= (OFFSET($A$1, 56 - 1, 7 - 1)), "1","0")</f>
        <v>0</v>
      </c>
      <c r="CT316">
        <f ca="1" xml:space="preserve"> IF( AND( OFFSET($A$1, 316 - 1, 96 - 1) = "1", OFFSET($A$1, 316 - 1, 97 - 1) = "1" ), 1, IF( AND( OFFSET($A$1, 316 - 1, 96 - 1) = "1", OFFSET($A$1, 316 - 1, 97 - 1) = "0" ), 2, IF( AND( OFFSET($A$1, 316 - 1, 96 - 1) = "0", OFFSET($A$1, 316 - 1, 97 - 1) = "1" ), 3, 4 ) ) )</f>
        <v>4</v>
      </c>
      <c r="CV316" s="24">
        <v>0.9976173173630305</v>
      </c>
      <c r="CW316" s="24" t="str">
        <f t="shared" si="25"/>
        <v>1</v>
      </c>
      <c r="CX316" t="str">
        <f ca="1">IF((OFFSET($A$1, 316 - 1, 100 - 1)) &gt;= (OFFSET($A$1, 80 - 1, 7 - 1)), "1","0")</f>
        <v>1</v>
      </c>
      <c r="CY316">
        <f ca="1" xml:space="preserve"> IF( AND( OFFSET($A$1, 316 - 1, 101 - 1) = "1", OFFSET($A$1, 316 - 1, 102 - 1) = "1" ), 1, IF( AND( OFFSET($A$1, 316 - 1, 101 - 1) = "1", OFFSET($A$1, 316 - 1, 102 - 1) = "0" ), 2, IF( AND( OFFSET($A$1, 316 - 1, 101 - 1) = "0", OFFSET($A$1, 316 - 1, 102 - 1) = "1" ), 3, 4 ) ) )</f>
        <v>1</v>
      </c>
    </row>
    <row r="317" spans="95:103" ht="13.8" x14ac:dyDescent="0.3">
      <c r="CQ317" s="24">
        <v>0.97637272331049174</v>
      </c>
      <c r="CR317" s="24" t="str">
        <f>"1"</f>
        <v>1</v>
      </c>
      <c r="CS317" t="str">
        <f ca="1">IF((OFFSET($A$1, 317 - 1, 95 - 1)) &gt;= (OFFSET($A$1, 56 - 1, 7 - 1)), "1","0")</f>
        <v>1</v>
      </c>
      <c r="CT317">
        <f ca="1" xml:space="preserve"> IF( AND( OFFSET($A$1, 317 - 1, 96 - 1) = "1", OFFSET($A$1, 317 - 1, 97 - 1) = "1" ), 1, IF( AND( OFFSET($A$1, 317 - 1, 96 - 1) = "1", OFFSET($A$1, 317 - 1, 97 - 1) = "0" ), 2, IF( AND( OFFSET($A$1, 317 - 1, 96 - 1) = "0", OFFSET($A$1, 317 - 1, 97 - 1) = "1" ), 3, 4 ) ) )</f>
        <v>1</v>
      </c>
      <c r="CV317" s="24">
        <v>0.90627611698459931</v>
      </c>
      <c r="CW317" s="24" t="str">
        <f t="shared" si="25"/>
        <v>1</v>
      </c>
      <c r="CX317" t="str">
        <f ca="1">IF((OFFSET($A$1, 317 - 1, 100 - 1)) &gt;= (OFFSET($A$1, 80 - 1, 7 - 1)), "1","0")</f>
        <v>1</v>
      </c>
      <c r="CY317">
        <f ca="1" xml:space="preserve"> IF( AND( OFFSET($A$1, 317 - 1, 101 - 1) = "1", OFFSET($A$1, 317 - 1, 102 - 1) = "1" ), 1, IF( AND( OFFSET($A$1, 317 - 1, 101 - 1) = "1", OFFSET($A$1, 317 - 1, 102 - 1) = "0" ), 2, IF( AND( OFFSET($A$1, 317 - 1, 101 - 1) = "0", OFFSET($A$1, 317 - 1, 102 - 1) = "1" ), 3, 4 ) ) )</f>
        <v>1</v>
      </c>
    </row>
    <row r="318" spans="95:103" ht="13.8" x14ac:dyDescent="0.3">
      <c r="CQ318" s="24">
        <v>0.99934674495246034</v>
      </c>
      <c r="CR318" s="24" t="str">
        <f>"1"</f>
        <v>1</v>
      </c>
      <c r="CS318" t="str">
        <f ca="1">IF((OFFSET($A$1, 318 - 1, 95 - 1)) &gt;= (OFFSET($A$1, 56 - 1, 7 - 1)), "1","0")</f>
        <v>1</v>
      </c>
      <c r="CT318">
        <f ca="1" xml:space="preserve"> IF( AND( OFFSET($A$1, 318 - 1, 96 - 1) = "1", OFFSET($A$1, 318 - 1, 97 - 1) = "1" ), 1, IF( AND( OFFSET($A$1, 318 - 1, 96 - 1) = "1", OFFSET($A$1, 318 - 1, 97 - 1) = "0" ), 2, IF( AND( OFFSET($A$1, 318 - 1, 96 - 1) = "0", OFFSET($A$1, 318 - 1, 97 - 1) = "1" ), 3, 4 ) ) )</f>
        <v>1</v>
      </c>
      <c r="CV318" s="24">
        <v>0.96110947697982541</v>
      </c>
      <c r="CW318" s="24" t="str">
        <f t="shared" si="25"/>
        <v>1</v>
      </c>
      <c r="CX318" t="str">
        <f ca="1">IF((OFFSET($A$1, 318 - 1, 100 - 1)) &gt;= (OFFSET($A$1, 80 - 1, 7 - 1)), "1","0")</f>
        <v>1</v>
      </c>
      <c r="CY318">
        <f ca="1" xml:space="preserve"> IF( AND( OFFSET($A$1, 318 - 1, 101 - 1) = "1", OFFSET($A$1, 318 - 1, 102 - 1) = "1" ), 1, IF( AND( OFFSET($A$1, 318 - 1, 101 - 1) = "1", OFFSET($A$1, 318 - 1, 102 - 1) = "0" ), 2, IF( AND( OFFSET($A$1, 318 - 1, 101 - 1) = "0", OFFSET($A$1, 318 - 1, 102 - 1) = "1" ), 3, 4 ) ) )</f>
        <v>1</v>
      </c>
    </row>
    <row r="319" spans="95:103" ht="13.8" x14ac:dyDescent="0.3">
      <c r="CQ319" s="24">
        <v>0.26642201117523917</v>
      </c>
      <c r="CR319" s="24" t="str">
        <f>"0"</f>
        <v>0</v>
      </c>
      <c r="CS319" t="str">
        <f ca="1">IF((OFFSET($A$1, 319 - 1, 95 - 1)) &gt;= (OFFSET($A$1, 56 - 1, 7 - 1)), "1","0")</f>
        <v>0</v>
      </c>
      <c r="CT319">
        <f ca="1" xml:space="preserve"> IF( AND( OFFSET($A$1, 319 - 1, 96 - 1) = "1", OFFSET($A$1, 319 - 1, 97 - 1) = "1" ), 1, IF( AND( OFFSET($A$1, 319 - 1, 96 - 1) = "1", OFFSET($A$1, 319 - 1, 97 - 1) = "0" ), 2, IF( AND( OFFSET($A$1, 319 - 1, 96 - 1) = "0", OFFSET($A$1, 319 - 1, 97 - 1) = "1" ), 3, 4 ) ) )</f>
        <v>4</v>
      </c>
      <c r="CV319" s="24">
        <v>0.99920354411343448</v>
      </c>
      <c r="CW319" s="24" t="str">
        <f>"0"</f>
        <v>0</v>
      </c>
      <c r="CX319" t="str">
        <f ca="1">IF((OFFSET($A$1, 319 - 1, 100 - 1)) &gt;= (OFFSET($A$1, 80 - 1, 7 - 1)), "1","0")</f>
        <v>1</v>
      </c>
      <c r="CY319">
        <f ca="1" xml:space="preserve"> IF( AND( OFFSET($A$1, 319 - 1, 101 - 1) = "1", OFFSET($A$1, 319 - 1, 102 - 1) = "1" ), 1, IF( AND( OFFSET($A$1, 319 - 1, 101 - 1) = "1", OFFSET($A$1, 319 - 1, 102 - 1) = "0" ), 2, IF( AND( OFFSET($A$1, 319 - 1, 101 - 1) = "0", OFFSET($A$1, 319 - 1, 102 - 1) = "1" ), 3, 4 ) ) )</f>
        <v>3</v>
      </c>
    </row>
    <row r="320" spans="95:103" ht="13.8" x14ac:dyDescent="0.3">
      <c r="CQ320" s="24">
        <v>0.99924876951972674</v>
      </c>
      <c r="CR320" s="24" t="str">
        <f>"1"</f>
        <v>1</v>
      </c>
      <c r="CS320" t="str">
        <f ca="1">IF((OFFSET($A$1, 320 - 1, 95 - 1)) &gt;= (OFFSET($A$1, 56 - 1, 7 - 1)), "1","0")</f>
        <v>1</v>
      </c>
      <c r="CT320">
        <f ca="1" xml:space="preserve"> IF( AND( OFFSET($A$1, 320 - 1, 96 - 1) = "1", OFFSET($A$1, 320 - 1, 97 - 1) = "1" ), 1, IF( AND( OFFSET($A$1, 320 - 1, 96 - 1) = "1", OFFSET($A$1, 320 - 1, 97 - 1) = "0" ), 2, IF( AND( OFFSET($A$1, 320 - 1, 96 - 1) = "0", OFFSET($A$1, 320 - 1, 97 - 1) = "1" ), 3, 4 ) ) )</f>
        <v>1</v>
      </c>
      <c r="CV320" s="24">
        <v>0.95078073672803554</v>
      </c>
      <c r="CW320" s="24" t="str">
        <f>"1"</f>
        <v>1</v>
      </c>
      <c r="CX320" t="str">
        <f ca="1">IF((OFFSET($A$1, 320 - 1, 100 - 1)) &gt;= (OFFSET($A$1, 80 - 1, 7 - 1)), "1","0")</f>
        <v>1</v>
      </c>
      <c r="CY320">
        <f ca="1" xml:space="preserve"> IF( AND( OFFSET($A$1, 320 - 1, 101 - 1) = "1", OFFSET($A$1, 320 - 1, 102 - 1) = "1" ), 1, IF( AND( OFFSET($A$1, 320 - 1, 101 - 1) = "1", OFFSET($A$1, 320 - 1, 102 - 1) = "0" ), 2, IF( AND( OFFSET($A$1, 320 - 1, 101 - 1) = "0", OFFSET($A$1, 320 - 1, 102 - 1) = "1" ), 3, 4 ) ) )</f>
        <v>1</v>
      </c>
    </row>
    <row r="321" spans="95:103" ht="13.8" x14ac:dyDescent="0.3">
      <c r="CQ321" s="24">
        <v>0.88965302095655197</v>
      </c>
      <c r="CR321" s="24" t="str">
        <f>"1"</f>
        <v>1</v>
      </c>
      <c r="CS321" t="str">
        <f ca="1">IF((OFFSET($A$1, 321 - 1, 95 - 1)) &gt;= (OFFSET($A$1, 56 - 1, 7 - 1)), "1","0")</f>
        <v>1</v>
      </c>
      <c r="CT321">
        <f ca="1" xml:space="preserve"> IF( AND( OFFSET($A$1, 321 - 1, 96 - 1) = "1", OFFSET($A$1, 321 - 1, 97 - 1) = "1" ), 1, IF( AND( OFFSET($A$1, 321 - 1, 96 - 1) = "1", OFFSET($A$1, 321 - 1, 97 - 1) = "0" ), 2, IF( AND( OFFSET($A$1, 321 - 1, 96 - 1) = "0", OFFSET($A$1, 321 - 1, 97 - 1) = "1" ), 3, 4 ) ) )</f>
        <v>1</v>
      </c>
      <c r="CV321" s="24">
        <v>0.84400653342614351</v>
      </c>
      <c r="CW321" s="24" t="str">
        <f>"1"</f>
        <v>1</v>
      </c>
      <c r="CX321" t="str">
        <f ca="1">IF((OFFSET($A$1, 321 - 1, 100 - 1)) &gt;= (OFFSET($A$1, 80 - 1, 7 - 1)), "1","0")</f>
        <v>1</v>
      </c>
      <c r="CY321">
        <f ca="1" xml:space="preserve"> IF( AND( OFFSET($A$1, 321 - 1, 101 - 1) = "1", OFFSET($A$1, 321 - 1, 102 - 1) = "1" ), 1, IF( AND( OFFSET($A$1, 321 - 1, 101 - 1) = "1", OFFSET($A$1, 321 - 1, 102 - 1) = "0" ), 2, IF( AND( OFFSET($A$1, 321 - 1, 101 - 1) = "0", OFFSET($A$1, 321 - 1, 102 - 1) = "1" ), 3, 4 ) ) )</f>
        <v>1</v>
      </c>
    </row>
    <row r="322" spans="95:103" ht="13.8" x14ac:dyDescent="0.3">
      <c r="CQ322" s="24">
        <v>6.8473823287883762E-2</v>
      </c>
      <c r="CR322" s="24" t="str">
        <f>"0"</f>
        <v>0</v>
      </c>
      <c r="CS322" t="str">
        <f ca="1">IF((OFFSET($A$1, 322 - 1, 95 - 1)) &gt;= (OFFSET($A$1, 56 - 1, 7 - 1)), "1","0")</f>
        <v>0</v>
      </c>
      <c r="CT322">
        <f ca="1" xml:space="preserve"> IF( AND( OFFSET($A$1, 322 - 1, 96 - 1) = "1", OFFSET($A$1, 322 - 1, 97 - 1) = "1" ), 1, IF( AND( OFFSET($A$1, 322 - 1, 96 - 1) = "1", OFFSET($A$1, 322 - 1, 97 - 1) = "0" ), 2, IF( AND( OFFSET($A$1, 322 - 1, 96 - 1) = "0", OFFSET($A$1, 322 - 1, 97 - 1) = "1" ), 3, 4 ) ) )</f>
        <v>4</v>
      </c>
      <c r="CV322" s="24">
        <v>0.22274845273732685</v>
      </c>
      <c r="CW322" s="24" t="str">
        <f>"0"</f>
        <v>0</v>
      </c>
      <c r="CX322" t="str">
        <f ca="1">IF((OFFSET($A$1, 322 - 1, 100 - 1)) &gt;= (OFFSET($A$1, 80 - 1, 7 - 1)), "1","0")</f>
        <v>0</v>
      </c>
      <c r="CY322">
        <f ca="1" xml:space="preserve"> IF( AND( OFFSET($A$1, 322 - 1, 101 - 1) = "1", OFFSET($A$1, 322 - 1, 102 - 1) = "1" ), 1, IF( AND( OFFSET($A$1, 322 - 1, 101 - 1) = "1", OFFSET($A$1, 322 - 1, 102 - 1) = "0" ), 2, IF( AND( OFFSET($A$1, 322 - 1, 101 - 1) = "0", OFFSET($A$1, 322 - 1, 102 - 1) = "1" ), 3, 4 ) ) )</f>
        <v>4</v>
      </c>
    </row>
    <row r="323" spans="95:103" ht="13.8" x14ac:dyDescent="0.3">
      <c r="CQ323" s="24">
        <v>0.9826477781262436</v>
      </c>
      <c r="CR323" s="24" t="str">
        <f>"1"</f>
        <v>1</v>
      </c>
      <c r="CS323" t="str">
        <f ca="1">IF((OFFSET($A$1, 323 - 1, 95 - 1)) &gt;= (OFFSET($A$1, 56 - 1, 7 - 1)), "1","0")</f>
        <v>1</v>
      </c>
      <c r="CT323">
        <f ca="1" xml:space="preserve"> IF( AND( OFFSET($A$1, 323 - 1, 96 - 1) = "1", OFFSET($A$1, 323 - 1, 97 - 1) = "1" ), 1, IF( AND( OFFSET($A$1, 323 - 1, 96 - 1) = "1", OFFSET($A$1, 323 - 1, 97 - 1) = "0" ), 2, IF( AND( OFFSET($A$1, 323 - 1, 96 - 1) = "0", OFFSET($A$1, 323 - 1, 97 - 1) = "1" ), 3, 4 ) ) )</f>
        <v>1</v>
      </c>
      <c r="CV323" s="24">
        <v>4.4110077040215252E-2</v>
      </c>
      <c r="CW323" s="24" t="str">
        <f>"0"</f>
        <v>0</v>
      </c>
      <c r="CX323" t="str">
        <f ca="1">IF((OFFSET($A$1, 323 - 1, 100 - 1)) &gt;= (OFFSET($A$1, 80 - 1, 7 - 1)), "1","0")</f>
        <v>0</v>
      </c>
      <c r="CY323">
        <f ca="1" xml:space="preserve"> IF( AND( OFFSET($A$1, 323 - 1, 101 - 1) = "1", OFFSET($A$1, 323 - 1, 102 - 1) = "1" ), 1, IF( AND( OFFSET($A$1, 323 - 1, 101 - 1) = "1", OFFSET($A$1, 323 - 1, 102 - 1) = "0" ), 2, IF( AND( OFFSET($A$1, 323 - 1, 101 - 1) = "0", OFFSET($A$1, 323 - 1, 102 - 1) = "1" ), 3, 4 ) ) )</f>
        <v>4</v>
      </c>
    </row>
    <row r="324" spans="95:103" ht="13.8" x14ac:dyDescent="0.3">
      <c r="CQ324" s="24">
        <v>0.99680409071873155</v>
      </c>
      <c r="CR324" s="24" t="str">
        <f>"1"</f>
        <v>1</v>
      </c>
      <c r="CS324" t="str">
        <f ca="1">IF((OFFSET($A$1, 324 - 1, 95 - 1)) &gt;= (OFFSET($A$1, 56 - 1, 7 - 1)), "1","0")</f>
        <v>1</v>
      </c>
      <c r="CT324">
        <f ca="1" xml:space="preserve"> IF( AND( OFFSET($A$1, 324 - 1, 96 - 1) = "1", OFFSET($A$1, 324 - 1, 97 - 1) = "1" ), 1, IF( AND( OFFSET($A$1, 324 - 1, 96 - 1) = "1", OFFSET($A$1, 324 - 1, 97 - 1) = "0" ), 2, IF( AND( OFFSET($A$1, 324 - 1, 96 - 1) = "0", OFFSET($A$1, 324 - 1, 97 - 1) = "1" ), 3, 4 ) ) )</f>
        <v>1</v>
      </c>
      <c r="CV324" s="24">
        <v>0.67483578270611289</v>
      </c>
      <c r="CW324" s="24" t="str">
        <f>"1"</f>
        <v>1</v>
      </c>
      <c r="CX324" t="str">
        <f ca="1">IF((OFFSET($A$1, 324 - 1, 100 - 1)) &gt;= (OFFSET($A$1, 80 - 1, 7 - 1)), "1","0")</f>
        <v>1</v>
      </c>
      <c r="CY324">
        <f ca="1" xml:space="preserve"> IF( AND( OFFSET($A$1, 324 - 1, 101 - 1) = "1", OFFSET($A$1, 324 - 1, 102 - 1) = "1" ), 1, IF( AND( OFFSET($A$1, 324 - 1, 101 - 1) = "1", OFFSET($A$1, 324 - 1, 102 - 1) = "0" ), 2, IF( AND( OFFSET($A$1, 324 - 1, 101 - 1) = "0", OFFSET($A$1, 324 - 1, 102 - 1) = "1" ), 3, 4 ) ) )</f>
        <v>1</v>
      </c>
    </row>
    <row r="325" spans="95:103" ht="13.8" x14ac:dyDescent="0.3">
      <c r="CQ325" s="24">
        <v>0.29591382912140834</v>
      </c>
      <c r="CR325" s="24" t="str">
        <f>"0"</f>
        <v>0</v>
      </c>
      <c r="CS325" t="str">
        <f ca="1">IF((OFFSET($A$1, 325 - 1, 95 - 1)) &gt;= (OFFSET($A$1, 56 - 1, 7 - 1)), "1","0")</f>
        <v>0</v>
      </c>
      <c r="CT325">
        <f ca="1" xml:space="preserve"> IF( AND( OFFSET($A$1, 325 - 1, 96 - 1) = "1", OFFSET($A$1, 325 - 1, 97 - 1) = "1" ), 1, IF( AND( OFFSET($A$1, 325 - 1, 96 - 1) = "1", OFFSET($A$1, 325 - 1, 97 - 1) = "0" ), 2, IF( AND( OFFSET($A$1, 325 - 1, 96 - 1) = "0", OFFSET($A$1, 325 - 1, 97 - 1) = "1" ), 3, 4 ) ) )</f>
        <v>4</v>
      </c>
      <c r="CV325" s="24">
        <v>0.9969736703904174</v>
      </c>
      <c r="CW325" s="24" t="str">
        <f>"1"</f>
        <v>1</v>
      </c>
      <c r="CX325" t="str">
        <f ca="1">IF((OFFSET($A$1, 325 - 1, 100 - 1)) &gt;= (OFFSET($A$1, 80 - 1, 7 - 1)), "1","0")</f>
        <v>1</v>
      </c>
      <c r="CY325">
        <f ca="1" xml:space="preserve"> IF( AND( OFFSET($A$1, 325 - 1, 101 - 1) = "1", OFFSET($A$1, 325 - 1, 102 - 1) = "1" ), 1, IF( AND( OFFSET($A$1, 325 - 1, 101 - 1) = "1", OFFSET($A$1, 325 - 1, 102 - 1) = "0" ), 2, IF( AND( OFFSET($A$1, 325 - 1, 101 - 1) = "0", OFFSET($A$1, 325 - 1, 102 - 1) = "1" ), 3, 4 ) ) )</f>
        <v>1</v>
      </c>
    </row>
    <row r="326" spans="95:103" ht="13.8" x14ac:dyDescent="0.3">
      <c r="CQ326" s="24">
        <v>0.13513804261471607</v>
      </c>
      <c r="CR326" s="24" t="str">
        <f>"0"</f>
        <v>0</v>
      </c>
      <c r="CS326" t="str">
        <f ca="1">IF((OFFSET($A$1, 326 - 1, 95 - 1)) &gt;= (OFFSET($A$1, 56 - 1, 7 - 1)), "1","0")</f>
        <v>0</v>
      </c>
      <c r="CT326">
        <f ca="1" xml:space="preserve"> IF( AND( OFFSET($A$1, 326 - 1, 96 - 1) = "1", OFFSET($A$1, 326 - 1, 97 - 1) = "1" ), 1, IF( AND( OFFSET($A$1, 326 - 1, 96 - 1) = "1", OFFSET($A$1, 326 - 1, 97 - 1) = "0" ), 2, IF( AND( OFFSET($A$1, 326 - 1, 96 - 1) = "0", OFFSET($A$1, 326 - 1, 97 - 1) = "1" ), 3, 4 ) ) )</f>
        <v>4</v>
      </c>
      <c r="CV326" s="24">
        <v>0.99989882563770871</v>
      </c>
      <c r="CW326" s="24" t="str">
        <f>"1"</f>
        <v>1</v>
      </c>
      <c r="CX326" t="str">
        <f ca="1">IF((OFFSET($A$1, 326 - 1, 100 - 1)) &gt;= (OFFSET($A$1, 80 - 1, 7 - 1)), "1","0")</f>
        <v>1</v>
      </c>
      <c r="CY326">
        <f ca="1" xml:space="preserve"> IF( AND( OFFSET($A$1, 326 - 1, 101 - 1) = "1", OFFSET($A$1, 326 - 1, 102 - 1) = "1" ), 1, IF( AND( OFFSET($A$1, 326 - 1, 101 - 1) = "1", OFFSET($A$1, 326 - 1, 102 - 1) = "0" ), 2, IF( AND( OFFSET($A$1, 326 - 1, 101 - 1) = "0", OFFSET($A$1, 326 - 1, 102 - 1) = "1" ), 3, 4 ) ) )</f>
        <v>1</v>
      </c>
    </row>
    <row r="327" spans="95:103" ht="13.8" x14ac:dyDescent="0.3">
      <c r="CQ327" s="24">
        <v>0.88140131869720384</v>
      </c>
      <c r="CR327" s="24" t="str">
        <f>"1"</f>
        <v>1</v>
      </c>
      <c r="CS327" t="str">
        <f ca="1">IF((OFFSET($A$1, 327 - 1, 95 - 1)) &gt;= (OFFSET($A$1, 56 - 1, 7 - 1)), "1","0")</f>
        <v>1</v>
      </c>
      <c r="CT327">
        <f ca="1" xml:space="preserve"> IF( AND( OFFSET($A$1, 327 - 1, 96 - 1) = "1", OFFSET($A$1, 327 - 1, 97 - 1) = "1" ), 1, IF( AND( OFFSET($A$1, 327 - 1, 96 - 1) = "1", OFFSET($A$1, 327 - 1, 97 - 1) = "0" ), 2, IF( AND( OFFSET($A$1, 327 - 1, 96 - 1) = "0", OFFSET($A$1, 327 - 1, 97 - 1) = "1" ), 3, 4 ) ) )</f>
        <v>1</v>
      </c>
      <c r="CV327" s="24">
        <v>0.99981170673789321</v>
      </c>
      <c r="CW327" s="24" t="str">
        <f>"0"</f>
        <v>0</v>
      </c>
      <c r="CX327" t="str">
        <f ca="1">IF((OFFSET($A$1, 327 - 1, 100 - 1)) &gt;= (OFFSET($A$1, 80 - 1, 7 - 1)), "1","0")</f>
        <v>1</v>
      </c>
      <c r="CY327">
        <f ca="1" xml:space="preserve"> IF( AND( OFFSET($A$1, 327 - 1, 101 - 1) = "1", OFFSET($A$1, 327 - 1, 102 - 1) = "1" ), 1, IF( AND( OFFSET($A$1, 327 - 1, 101 - 1) = "1", OFFSET($A$1, 327 - 1, 102 - 1) = "0" ), 2, IF( AND( OFFSET($A$1, 327 - 1, 101 - 1) = "0", OFFSET($A$1, 327 - 1, 102 - 1) = "1" ), 3, 4 ) ) )</f>
        <v>3</v>
      </c>
    </row>
    <row r="328" spans="95:103" ht="13.8" x14ac:dyDescent="0.3">
      <c r="CQ328" s="24">
        <v>0.19634356789632212</v>
      </c>
      <c r="CR328" s="24" t="str">
        <f>"0"</f>
        <v>0</v>
      </c>
      <c r="CS328" t="str">
        <f ca="1">IF((OFFSET($A$1, 328 - 1, 95 - 1)) &gt;= (OFFSET($A$1, 56 - 1, 7 - 1)), "1","0")</f>
        <v>0</v>
      </c>
      <c r="CT328">
        <f ca="1" xml:space="preserve"> IF( AND( OFFSET($A$1, 328 - 1, 96 - 1) = "1", OFFSET($A$1, 328 - 1, 97 - 1) = "1" ), 1, IF( AND( OFFSET($A$1, 328 - 1, 96 - 1) = "1", OFFSET($A$1, 328 - 1, 97 - 1) = "0" ), 2, IF( AND( OFFSET($A$1, 328 - 1, 96 - 1) = "0", OFFSET($A$1, 328 - 1, 97 - 1) = "1" ), 3, 4 ) ) )</f>
        <v>4</v>
      </c>
      <c r="CV328" s="24">
        <v>0.22400227936264833</v>
      </c>
      <c r="CW328" s="24" t="str">
        <f>"0"</f>
        <v>0</v>
      </c>
      <c r="CX328" t="str">
        <f ca="1">IF((OFFSET($A$1, 328 - 1, 100 - 1)) &gt;= (OFFSET($A$1, 80 - 1, 7 - 1)), "1","0")</f>
        <v>0</v>
      </c>
      <c r="CY328">
        <f ca="1" xml:space="preserve"> IF( AND( OFFSET($A$1, 328 - 1, 101 - 1) = "1", OFFSET($A$1, 328 - 1, 102 - 1) = "1" ), 1, IF( AND( OFFSET($A$1, 328 - 1, 101 - 1) = "1", OFFSET($A$1, 328 - 1, 102 - 1) = "0" ), 2, IF( AND( OFFSET($A$1, 328 - 1, 101 - 1) = "0", OFFSET($A$1, 328 - 1, 102 - 1) = "1" ), 3, 4 ) ) )</f>
        <v>4</v>
      </c>
    </row>
    <row r="329" spans="95:103" ht="13.8" x14ac:dyDescent="0.3">
      <c r="CQ329" s="24">
        <v>0.99945986955893851</v>
      </c>
      <c r="CR329" s="24" t="str">
        <f>"1"</f>
        <v>1</v>
      </c>
      <c r="CS329" t="str">
        <f ca="1">IF((OFFSET($A$1, 329 - 1, 95 - 1)) &gt;= (OFFSET($A$1, 56 - 1, 7 - 1)), "1","0")</f>
        <v>1</v>
      </c>
      <c r="CT329">
        <f ca="1" xml:space="preserve"> IF( AND( OFFSET($A$1, 329 - 1, 96 - 1) = "1", OFFSET($A$1, 329 - 1, 97 - 1) = "1" ), 1, IF( AND( OFFSET($A$1, 329 - 1, 96 - 1) = "1", OFFSET($A$1, 329 - 1, 97 - 1) = "0" ), 2, IF( AND( OFFSET($A$1, 329 - 1, 96 - 1) = "0", OFFSET($A$1, 329 - 1, 97 - 1) = "1" ), 3, 4 ) ) )</f>
        <v>1</v>
      </c>
      <c r="CV329" s="24">
        <v>0.99806494069280993</v>
      </c>
      <c r="CW329" s="24" t="str">
        <f>"1"</f>
        <v>1</v>
      </c>
      <c r="CX329" t="str">
        <f ca="1">IF((OFFSET($A$1, 329 - 1, 100 - 1)) &gt;= (OFFSET($A$1, 80 - 1, 7 - 1)), "1","0")</f>
        <v>1</v>
      </c>
      <c r="CY329">
        <f ca="1" xml:space="preserve"> IF( AND( OFFSET($A$1, 329 - 1, 101 - 1) = "1", OFFSET($A$1, 329 - 1, 102 - 1) = "1" ), 1, IF( AND( OFFSET($A$1, 329 - 1, 101 - 1) = "1", OFFSET($A$1, 329 - 1, 102 - 1) = "0" ), 2, IF( AND( OFFSET($A$1, 329 - 1, 101 - 1) = "0", OFFSET($A$1, 329 - 1, 102 - 1) = "1" ), 3, 4 ) ) )</f>
        <v>1</v>
      </c>
    </row>
    <row r="330" spans="95:103" ht="13.8" x14ac:dyDescent="0.3">
      <c r="CQ330" s="24">
        <v>0.99599994907911893</v>
      </c>
      <c r="CR330" s="24" t="str">
        <f>"1"</f>
        <v>1</v>
      </c>
      <c r="CS330" t="str">
        <f ca="1">IF((OFFSET($A$1, 330 - 1, 95 - 1)) &gt;= (OFFSET($A$1, 56 - 1, 7 - 1)), "1","0")</f>
        <v>1</v>
      </c>
      <c r="CT330">
        <f ca="1" xml:space="preserve"> IF( AND( OFFSET($A$1, 330 - 1, 96 - 1) = "1", OFFSET($A$1, 330 - 1, 97 - 1) = "1" ), 1, IF( AND( OFFSET($A$1, 330 - 1, 96 - 1) = "1", OFFSET($A$1, 330 - 1, 97 - 1) = "0" ), 2, IF( AND( OFFSET($A$1, 330 - 1, 96 - 1) = "0", OFFSET($A$1, 330 - 1, 97 - 1) = "1" ), 3, 4 ) ) )</f>
        <v>1</v>
      </c>
      <c r="CV330" s="24">
        <v>0.99838444753753819</v>
      </c>
      <c r="CW330" s="24" t="str">
        <f>"1"</f>
        <v>1</v>
      </c>
      <c r="CX330" t="str">
        <f ca="1">IF((OFFSET($A$1, 330 - 1, 100 - 1)) &gt;= (OFFSET($A$1, 80 - 1, 7 - 1)), "1","0")</f>
        <v>1</v>
      </c>
      <c r="CY330">
        <f ca="1" xml:space="preserve"> IF( AND( OFFSET($A$1, 330 - 1, 101 - 1) = "1", OFFSET($A$1, 330 - 1, 102 - 1) = "1" ), 1, IF( AND( OFFSET($A$1, 330 - 1, 101 - 1) = "1", OFFSET($A$1, 330 - 1, 102 - 1) = "0" ), 2, IF( AND( OFFSET($A$1, 330 - 1, 101 - 1) = "0", OFFSET($A$1, 330 - 1, 102 - 1) = "1" ), 3, 4 ) ) )</f>
        <v>1</v>
      </c>
    </row>
    <row r="331" spans="95:103" ht="13.8" x14ac:dyDescent="0.3">
      <c r="CQ331" s="24">
        <v>0.22684612278672966</v>
      </c>
      <c r="CR331" s="24" t="str">
        <f>"0"</f>
        <v>0</v>
      </c>
      <c r="CS331" t="str">
        <f ca="1">IF((OFFSET($A$1, 331 - 1, 95 - 1)) &gt;= (OFFSET($A$1, 56 - 1, 7 - 1)), "1","0")</f>
        <v>0</v>
      </c>
      <c r="CT331">
        <f ca="1" xml:space="preserve"> IF( AND( OFFSET($A$1, 331 - 1, 96 - 1) = "1", OFFSET($A$1, 331 - 1, 97 - 1) = "1" ), 1, IF( AND( OFFSET($A$1, 331 - 1, 96 - 1) = "1", OFFSET($A$1, 331 - 1, 97 - 1) = "0" ), 2, IF( AND( OFFSET($A$1, 331 - 1, 96 - 1) = "0", OFFSET($A$1, 331 - 1, 97 - 1) = "1" ), 3, 4 ) ) )</f>
        <v>4</v>
      </c>
      <c r="CV331" s="24">
        <v>0.47811497838928835</v>
      </c>
      <c r="CW331" s="24" t="str">
        <f>"0"</f>
        <v>0</v>
      </c>
      <c r="CX331" t="str">
        <f ca="1">IF((OFFSET($A$1, 331 - 1, 100 - 1)) &gt;= (OFFSET($A$1, 80 - 1, 7 - 1)), "1","0")</f>
        <v>0</v>
      </c>
      <c r="CY331">
        <f ca="1" xml:space="preserve"> IF( AND( OFFSET($A$1, 331 - 1, 101 - 1) = "1", OFFSET($A$1, 331 - 1, 102 - 1) = "1" ), 1, IF( AND( OFFSET($A$1, 331 - 1, 101 - 1) = "1", OFFSET($A$1, 331 - 1, 102 - 1) = "0" ), 2, IF( AND( OFFSET($A$1, 331 - 1, 101 - 1) = "0", OFFSET($A$1, 331 - 1, 102 - 1) = "1" ), 3, 4 ) ) )</f>
        <v>4</v>
      </c>
    </row>
    <row r="332" spans="95:103" ht="13.8" x14ac:dyDescent="0.3">
      <c r="CQ332" s="24">
        <v>0.95754527898471509</v>
      </c>
      <c r="CR332" s="24" t="str">
        <f>"1"</f>
        <v>1</v>
      </c>
      <c r="CS332" t="str">
        <f ca="1">IF((OFFSET($A$1, 332 - 1, 95 - 1)) &gt;= (OFFSET($A$1, 56 - 1, 7 - 1)), "1","0")</f>
        <v>1</v>
      </c>
      <c r="CT332">
        <f ca="1" xml:space="preserve"> IF( AND( OFFSET($A$1, 332 - 1, 96 - 1) = "1", OFFSET($A$1, 332 - 1, 97 - 1) = "1" ), 1, IF( AND( OFFSET($A$1, 332 - 1, 96 - 1) = "1", OFFSET($A$1, 332 - 1, 97 - 1) = "0" ), 2, IF( AND( OFFSET($A$1, 332 - 1, 96 - 1) = "0", OFFSET($A$1, 332 - 1, 97 - 1) = "1" ), 3, 4 ) ) )</f>
        <v>1</v>
      </c>
      <c r="CV332" s="24">
        <v>0.44317430183907081</v>
      </c>
      <c r="CW332" s="24" t="str">
        <f>"1"</f>
        <v>1</v>
      </c>
      <c r="CX332" t="str">
        <f ca="1">IF((OFFSET($A$1, 332 - 1, 100 - 1)) &gt;= (OFFSET($A$1, 80 - 1, 7 - 1)), "1","0")</f>
        <v>0</v>
      </c>
      <c r="CY332">
        <f ca="1" xml:space="preserve"> IF( AND( OFFSET($A$1, 332 - 1, 101 - 1) = "1", OFFSET($A$1, 332 - 1, 102 - 1) = "1" ), 1, IF( AND( OFFSET($A$1, 332 - 1, 101 - 1) = "1", OFFSET($A$1, 332 - 1, 102 - 1) = "0" ), 2, IF( AND( OFFSET($A$1, 332 - 1, 101 - 1) = "0", OFFSET($A$1, 332 - 1, 102 - 1) = "1" ), 3, 4 ) ) )</f>
        <v>2</v>
      </c>
    </row>
    <row r="333" spans="95:103" ht="13.8" x14ac:dyDescent="0.3">
      <c r="CQ333" s="24">
        <v>7.4730252534183597E-2</v>
      </c>
      <c r="CR333" s="24" t="str">
        <f>"0"</f>
        <v>0</v>
      </c>
      <c r="CS333" t="str">
        <f ca="1">IF((OFFSET($A$1, 333 - 1, 95 - 1)) &gt;= (OFFSET($A$1, 56 - 1, 7 - 1)), "1","0")</f>
        <v>0</v>
      </c>
      <c r="CT333">
        <f ca="1" xml:space="preserve"> IF( AND( OFFSET($A$1, 333 - 1, 96 - 1) = "1", OFFSET($A$1, 333 - 1, 97 - 1) = "1" ), 1, IF( AND( OFFSET($A$1, 333 - 1, 96 - 1) = "1", OFFSET($A$1, 333 - 1, 97 - 1) = "0" ), 2, IF( AND( OFFSET($A$1, 333 - 1, 96 - 1) = "0", OFFSET($A$1, 333 - 1, 97 - 1) = "1" ), 3, 4 ) ) )</f>
        <v>4</v>
      </c>
      <c r="CV333" s="24">
        <v>2.4852832692063907E-3</v>
      </c>
      <c r="CW333" s="24" t="str">
        <f>"1"</f>
        <v>1</v>
      </c>
      <c r="CX333" t="str">
        <f ca="1">IF((OFFSET($A$1, 333 - 1, 100 - 1)) &gt;= (OFFSET($A$1, 80 - 1, 7 - 1)), "1","0")</f>
        <v>0</v>
      </c>
      <c r="CY333">
        <f ca="1" xml:space="preserve"> IF( AND( OFFSET($A$1, 333 - 1, 101 - 1) = "1", OFFSET($A$1, 333 - 1, 102 - 1) = "1" ), 1, IF( AND( OFFSET($A$1, 333 - 1, 101 - 1) = "1", OFFSET($A$1, 333 - 1, 102 - 1) = "0" ), 2, IF( AND( OFFSET($A$1, 333 - 1, 101 - 1) = "0", OFFSET($A$1, 333 - 1, 102 - 1) = "1" ), 3, 4 ) ) )</f>
        <v>2</v>
      </c>
    </row>
    <row r="334" spans="95:103" ht="13.8" x14ac:dyDescent="0.3">
      <c r="CQ334" s="24">
        <v>0.9707036314966847</v>
      </c>
      <c r="CR334" s="24" t="str">
        <f>"1"</f>
        <v>1</v>
      </c>
      <c r="CS334" t="str">
        <f ca="1">IF((OFFSET($A$1, 334 - 1, 95 - 1)) &gt;= (OFFSET($A$1, 56 - 1, 7 - 1)), "1","0")</f>
        <v>1</v>
      </c>
      <c r="CT334">
        <f ca="1" xml:space="preserve"> IF( AND( OFFSET($A$1, 334 - 1, 96 - 1) = "1", OFFSET($A$1, 334 - 1, 97 - 1) = "1" ), 1, IF( AND( OFFSET($A$1, 334 - 1, 96 - 1) = "1", OFFSET($A$1, 334 - 1, 97 - 1) = "0" ), 2, IF( AND( OFFSET($A$1, 334 - 1, 96 - 1) = "0", OFFSET($A$1, 334 - 1, 97 - 1) = "1" ), 3, 4 ) ) )</f>
        <v>1</v>
      </c>
      <c r="CV334" s="24">
        <v>0.95227475217260582</v>
      </c>
      <c r="CW334" s="24" t="str">
        <f>"1"</f>
        <v>1</v>
      </c>
      <c r="CX334" t="str">
        <f ca="1">IF((OFFSET($A$1, 334 - 1, 100 - 1)) &gt;= (OFFSET($A$1, 80 - 1, 7 - 1)), "1","0")</f>
        <v>1</v>
      </c>
      <c r="CY334">
        <f ca="1" xml:space="preserve"> IF( AND( OFFSET($A$1, 334 - 1, 101 - 1) = "1", OFFSET($A$1, 334 - 1, 102 - 1) = "1" ), 1, IF( AND( OFFSET($A$1, 334 - 1, 101 - 1) = "1", OFFSET($A$1, 334 - 1, 102 - 1) = "0" ), 2, IF( AND( OFFSET($A$1, 334 - 1, 101 - 1) = "0", OFFSET($A$1, 334 - 1, 102 - 1) = "1" ), 3, 4 ) ) )</f>
        <v>1</v>
      </c>
    </row>
    <row r="335" spans="95:103" ht="13.8" x14ac:dyDescent="0.3">
      <c r="CQ335" s="24">
        <v>0.37268192266394534</v>
      </c>
      <c r="CR335" s="24" t="str">
        <f>"0"</f>
        <v>0</v>
      </c>
      <c r="CS335" t="str">
        <f ca="1">IF((OFFSET($A$1, 335 - 1, 95 - 1)) &gt;= (OFFSET($A$1, 56 - 1, 7 - 1)), "1","0")</f>
        <v>0</v>
      </c>
      <c r="CT335">
        <f ca="1" xml:space="preserve"> IF( AND( OFFSET($A$1, 335 - 1, 96 - 1) = "1", OFFSET($A$1, 335 - 1, 97 - 1) = "1" ), 1, IF( AND( OFFSET($A$1, 335 - 1, 96 - 1) = "1", OFFSET($A$1, 335 - 1, 97 - 1) = "0" ), 2, IF( AND( OFFSET($A$1, 335 - 1, 96 - 1) = "0", OFFSET($A$1, 335 - 1, 97 - 1) = "1" ), 3, 4 ) ) )</f>
        <v>4</v>
      </c>
      <c r="CV335" s="24">
        <v>0.99889770716327786</v>
      </c>
      <c r="CW335" s="24" t="str">
        <f>"1"</f>
        <v>1</v>
      </c>
      <c r="CX335" t="str">
        <f ca="1">IF((OFFSET($A$1, 335 - 1, 100 - 1)) &gt;= (OFFSET($A$1, 80 - 1, 7 - 1)), "1","0")</f>
        <v>1</v>
      </c>
      <c r="CY335">
        <f ca="1" xml:space="preserve"> IF( AND( OFFSET($A$1, 335 - 1, 101 - 1) = "1", OFFSET($A$1, 335 - 1, 102 - 1) = "1" ), 1, IF( AND( OFFSET($A$1, 335 - 1, 101 - 1) = "1", OFFSET($A$1, 335 - 1, 102 - 1) = "0" ), 2, IF( AND( OFFSET($A$1, 335 - 1, 101 - 1) = "0", OFFSET($A$1, 335 - 1, 102 - 1) = "1" ), 3, 4 ) ) )</f>
        <v>1</v>
      </c>
    </row>
    <row r="336" spans="95:103" ht="13.8" x14ac:dyDescent="0.3">
      <c r="CQ336" s="24">
        <v>0.89949414867550936</v>
      </c>
      <c r="CR336" s="24" t="str">
        <f>"1"</f>
        <v>1</v>
      </c>
      <c r="CS336" t="str">
        <f ca="1">IF((OFFSET($A$1, 336 - 1, 95 - 1)) &gt;= (OFFSET($A$1, 56 - 1, 7 - 1)), "1","0")</f>
        <v>1</v>
      </c>
      <c r="CT336">
        <f ca="1" xml:space="preserve"> IF( AND( OFFSET($A$1, 336 - 1, 96 - 1) = "1", OFFSET($A$1, 336 - 1, 97 - 1) = "1" ), 1, IF( AND( OFFSET($A$1, 336 - 1, 96 - 1) = "1", OFFSET($A$1, 336 - 1, 97 - 1) = "0" ), 2, IF( AND( OFFSET($A$1, 336 - 1, 96 - 1) = "0", OFFSET($A$1, 336 - 1, 97 - 1) = "1" ), 3, 4 ) ) )</f>
        <v>1</v>
      </c>
      <c r="CV336" s="24">
        <v>0.44207410938777031</v>
      </c>
      <c r="CW336" s="24" t="str">
        <f>"0"</f>
        <v>0</v>
      </c>
      <c r="CX336" t="str">
        <f ca="1">IF((OFFSET($A$1, 336 - 1, 100 - 1)) &gt;= (OFFSET($A$1, 80 - 1, 7 - 1)), "1","0")</f>
        <v>0</v>
      </c>
      <c r="CY336">
        <f ca="1" xml:space="preserve"> IF( AND( OFFSET($A$1, 336 - 1, 101 - 1) = "1", OFFSET($A$1, 336 - 1, 102 - 1) = "1" ), 1, IF( AND( OFFSET($A$1, 336 - 1, 101 - 1) = "1", OFFSET($A$1, 336 - 1, 102 - 1) = "0" ), 2, IF( AND( OFFSET($A$1, 336 - 1, 101 - 1) = "0", OFFSET($A$1, 336 - 1, 102 - 1) = "1" ), 3, 4 ) ) )</f>
        <v>4</v>
      </c>
    </row>
    <row r="337" spans="95:103" ht="13.8" x14ac:dyDescent="0.3">
      <c r="CQ337" s="24">
        <v>0.92789495435592673</v>
      </c>
      <c r="CR337" s="24" t="str">
        <f>"1"</f>
        <v>1</v>
      </c>
      <c r="CS337" t="str">
        <f ca="1">IF((OFFSET($A$1, 337 - 1, 95 - 1)) &gt;= (OFFSET($A$1, 56 - 1, 7 - 1)), "1","0")</f>
        <v>1</v>
      </c>
      <c r="CT337">
        <f ca="1" xml:space="preserve"> IF( AND( OFFSET($A$1, 337 - 1, 96 - 1) = "1", OFFSET($A$1, 337 - 1, 97 - 1) = "1" ), 1, IF( AND( OFFSET($A$1, 337 - 1, 96 - 1) = "1", OFFSET($A$1, 337 - 1, 97 - 1) = "0" ), 2, IF( AND( OFFSET($A$1, 337 - 1, 96 - 1) = "0", OFFSET($A$1, 337 - 1, 97 - 1) = "1" ), 3, 4 ) ) )</f>
        <v>1</v>
      </c>
      <c r="CV337" s="24">
        <v>1.5375022230341694E-2</v>
      </c>
      <c r="CW337" s="24" t="str">
        <f>"0"</f>
        <v>0</v>
      </c>
      <c r="CX337" t="str">
        <f ca="1">IF((OFFSET($A$1, 337 - 1, 100 - 1)) &gt;= (OFFSET($A$1, 80 - 1, 7 - 1)), "1","0")</f>
        <v>0</v>
      </c>
      <c r="CY337">
        <f ca="1" xml:space="preserve"> IF( AND( OFFSET($A$1, 337 - 1, 101 - 1) = "1", OFFSET($A$1, 337 - 1, 102 - 1) = "1" ), 1, IF( AND( OFFSET($A$1, 337 - 1, 101 - 1) = "1", OFFSET($A$1, 337 - 1, 102 - 1) = "0" ), 2, IF( AND( OFFSET($A$1, 337 - 1, 101 - 1) = "0", OFFSET($A$1, 337 - 1, 102 - 1) = "1" ), 3, 4 ) ) )</f>
        <v>4</v>
      </c>
    </row>
    <row r="338" spans="95:103" ht="13.8" x14ac:dyDescent="0.3">
      <c r="CQ338" s="24">
        <v>0.95469364464280371</v>
      </c>
      <c r="CR338" s="24" t="str">
        <f>"1"</f>
        <v>1</v>
      </c>
      <c r="CS338" t="str">
        <f ca="1">IF((OFFSET($A$1, 338 - 1, 95 - 1)) &gt;= (OFFSET($A$1, 56 - 1, 7 - 1)), "1","0")</f>
        <v>1</v>
      </c>
      <c r="CT338">
        <f ca="1" xml:space="preserve"> IF( AND( OFFSET($A$1, 338 - 1, 96 - 1) = "1", OFFSET($A$1, 338 - 1, 97 - 1) = "1" ), 1, IF( AND( OFFSET($A$1, 338 - 1, 96 - 1) = "1", OFFSET($A$1, 338 - 1, 97 - 1) = "0" ), 2, IF( AND( OFFSET($A$1, 338 - 1, 96 - 1) = "0", OFFSET($A$1, 338 - 1, 97 - 1) = "1" ), 3, 4 ) ) )</f>
        <v>1</v>
      </c>
      <c r="CV338" s="24">
        <v>0.4205599884943752</v>
      </c>
      <c r="CW338" s="24" t="str">
        <f>"0"</f>
        <v>0</v>
      </c>
      <c r="CX338" t="str">
        <f ca="1">IF((OFFSET($A$1, 338 - 1, 100 - 1)) &gt;= (OFFSET($A$1, 80 - 1, 7 - 1)), "1","0")</f>
        <v>0</v>
      </c>
      <c r="CY338">
        <f ca="1" xml:space="preserve"> IF( AND( OFFSET($A$1, 338 - 1, 101 - 1) = "1", OFFSET($A$1, 338 - 1, 102 - 1) = "1" ), 1, IF( AND( OFFSET($A$1, 338 - 1, 101 - 1) = "1", OFFSET($A$1, 338 - 1, 102 - 1) = "0" ), 2, IF( AND( OFFSET($A$1, 338 - 1, 101 - 1) = "0", OFFSET($A$1, 338 - 1, 102 - 1) = "1" ), 3, 4 ) ) )</f>
        <v>4</v>
      </c>
    </row>
    <row r="339" spans="95:103" ht="13.8" x14ac:dyDescent="0.3">
      <c r="CQ339" s="24">
        <v>0.91129416325411627</v>
      </c>
      <c r="CR339" s="24" t="str">
        <f>"1"</f>
        <v>1</v>
      </c>
      <c r="CS339" t="str">
        <f ca="1">IF((OFFSET($A$1, 339 - 1, 95 - 1)) &gt;= (OFFSET($A$1, 56 - 1, 7 - 1)), "1","0")</f>
        <v>1</v>
      </c>
      <c r="CT339">
        <f ca="1" xml:space="preserve"> IF( AND( OFFSET($A$1, 339 - 1, 96 - 1) = "1", OFFSET($A$1, 339 - 1, 97 - 1) = "1" ), 1, IF( AND( OFFSET($A$1, 339 - 1, 96 - 1) = "1", OFFSET($A$1, 339 - 1, 97 - 1) = "0" ), 2, IF( AND( OFFSET($A$1, 339 - 1, 96 - 1) = "0", OFFSET($A$1, 339 - 1, 97 - 1) = "1" ), 3, 4 ) ) )</f>
        <v>1</v>
      </c>
      <c r="CV339" s="24">
        <v>0.9808021895697987</v>
      </c>
      <c r="CW339" s="24" t="str">
        <f>"1"</f>
        <v>1</v>
      </c>
      <c r="CX339" t="str">
        <f ca="1">IF((OFFSET($A$1, 339 - 1, 100 - 1)) &gt;= (OFFSET($A$1, 80 - 1, 7 - 1)), "1","0")</f>
        <v>1</v>
      </c>
      <c r="CY339">
        <f ca="1" xml:space="preserve"> IF( AND( OFFSET($A$1, 339 - 1, 101 - 1) = "1", OFFSET($A$1, 339 - 1, 102 - 1) = "1" ), 1, IF( AND( OFFSET($A$1, 339 - 1, 101 - 1) = "1", OFFSET($A$1, 339 - 1, 102 - 1) = "0" ), 2, IF( AND( OFFSET($A$1, 339 - 1, 101 - 1) = "0", OFFSET($A$1, 339 - 1, 102 - 1) = "1" ), 3, 4 ) ) )</f>
        <v>1</v>
      </c>
    </row>
    <row r="340" spans="95:103" ht="13.8" x14ac:dyDescent="0.3">
      <c r="CQ340" s="24">
        <v>5.4261448683909731E-2</v>
      </c>
      <c r="CR340" s="24" t="str">
        <f>"0"</f>
        <v>0</v>
      </c>
      <c r="CS340" t="str">
        <f ca="1">IF((OFFSET($A$1, 340 - 1, 95 - 1)) &gt;= (OFFSET($A$1, 56 - 1, 7 - 1)), "1","0")</f>
        <v>0</v>
      </c>
      <c r="CT340">
        <f ca="1" xml:space="preserve"> IF( AND( OFFSET($A$1, 340 - 1, 96 - 1) = "1", OFFSET($A$1, 340 - 1, 97 - 1) = "1" ), 1, IF( AND( OFFSET($A$1, 340 - 1, 96 - 1) = "1", OFFSET($A$1, 340 - 1, 97 - 1) = "0" ), 2, IF( AND( OFFSET($A$1, 340 - 1, 96 - 1) = "0", OFFSET($A$1, 340 - 1, 97 - 1) = "1" ), 3, 4 ) ) )</f>
        <v>4</v>
      </c>
      <c r="CV340" s="24">
        <v>0.99987240393451893</v>
      </c>
      <c r="CW340" s="24" t="str">
        <f>"1"</f>
        <v>1</v>
      </c>
      <c r="CX340" t="str">
        <f ca="1">IF((OFFSET($A$1, 340 - 1, 100 - 1)) &gt;= (OFFSET($A$1, 80 - 1, 7 - 1)), "1","0")</f>
        <v>1</v>
      </c>
      <c r="CY340">
        <f ca="1" xml:space="preserve"> IF( AND( OFFSET($A$1, 340 - 1, 101 - 1) = "1", OFFSET($A$1, 340 - 1, 102 - 1) = "1" ), 1, IF( AND( OFFSET($A$1, 340 - 1, 101 - 1) = "1", OFFSET($A$1, 340 - 1, 102 - 1) = "0" ), 2, IF( AND( OFFSET($A$1, 340 - 1, 101 - 1) = "0", OFFSET($A$1, 340 - 1, 102 - 1) = "1" ), 3, 4 ) ) )</f>
        <v>1</v>
      </c>
    </row>
    <row r="341" spans="95:103" ht="13.8" x14ac:dyDescent="0.3">
      <c r="CQ341" s="24">
        <v>0.9968193208713565</v>
      </c>
      <c r="CR341" s="24" t="str">
        <f>"1"</f>
        <v>1</v>
      </c>
      <c r="CS341" t="str">
        <f ca="1">IF((OFFSET($A$1, 341 - 1, 95 - 1)) &gt;= (OFFSET($A$1, 56 - 1, 7 - 1)), "1","0")</f>
        <v>1</v>
      </c>
      <c r="CT341">
        <f ca="1" xml:space="preserve"> IF( AND( OFFSET($A$1, 341 - 1, 96 - 1) = "1", OFFSET($A$1, 341 - 1, 97 - 1) = "1" ), 1, IF( AND( OFFSET($A$1, 341 - 1, 96 - 1) = "1", OFFSET($A$1, 341 - 1, 97 - 1) = "0" ), 2, IF( AND( OFFSET($A$1, 341 - 1, 96 - 1) = "0", OFFSET($A$1, 341 - 1, 97 - 1) = "1" ), 3, 4 ) ) )</f>
        <v>1</v>
      </c>
      <c r="CV341" s="24">
        <v>0.47822149236750178</v>
      </c>
      <c r="CW341" s="24" t="str">
        <f>"0"</f>
        <v>0</v>
      </c>
      <c r="CX341" t="str">
        <f ca="1">IF((OFFSET($A$1, 341 - 1, 100 - 1)) &gt;= (OFFSET($A$1, 80 - 1, 7 - 1)), "1","0")</f>
        <v>0</v>
      </c>
      <c r="CY341">
        <f ca="1" xml:space="preserve"> IF( AND( OFFSET($A$1, 341 - 1, 101 - 1) = "1", OFFSET($A$1, 341 - 1, 102 - 1) = "1" ), 1, IF( AND( OFFSET($A$1, 341 - 1, 101 - 1) = "1", OFFSET($A$1, 341 - 1, 102 - 1) = "0" ), 2, IF( AND( OFFSET($A$1, 341 - 1, 101 - 1) = "0", OFFSET($A$1, 341 - 1, 102 - 1) = "1" ), 3, 4 ) ) )</f>
        <v>4</v>
      </c>
    </row>
    <row r="342" spans="95:103" ht="13.8" x14ac:dyDescent="0.3">
      <c r="CQ342" s="24">
        <v>6.0351410735250841E-2</v>
      </c>
      <c r="CR342" s="24" t="str">
        <f>"0"</f>
        <v>0</v>
      </c>
      <c r="CS342" t="str">
        <f ca="1">IF((OFFSET($A$1, 342 - 1, 95 - 1)) &gt;= (OFFSET($A$1, 56 - 1, 7 - 1)), "1","0")</f>
        <v>0</v>
      </c>
      <c r="CT342">
        <f ca="1" xml:space="preserve"> IF( AND( OFFSET($A$1, 342 - 1, 96 - 1) = "1", OFFSET($A$1, 342 - 1, 97 - 1) = "1" ), 1, IF( AND( OFFSET($A$1, 342 - 1, 96 - 1) = "1", OFFSET($A$1, 342 - 1, 97 - 1) = "0" ), 2, IF( AND( OFFSET($A$1, 342 - 1, 96 - 1) = "0", OFFSET($A$1, 342 - 1, 97 - 1) = "1" ), 3, 4 ) ) )</f>
        <v>4</v>
      </c>
      <c r="CV342" s="24">
        <v>0.99649263678698408</v>
      </c>
      <c r="CW342" s="24" t="str">
        <f>"1"</f>
        <v>1</v>
      </c>
      <c r="CX342" t="str">
        <f ca="1">IF((OFFSET($A$1, 342 - 1, 100 - 1)) &gt;= (OFFSET($A$1, 80 - 1, 7 - 1)), "1","0")</f>
        <v>1</v>
      </c>
      <c r="CY342">
        <f ca="1" xml:space="preserve"> IF( AND( OFFSET($A$1, 342 - 1, 101 - 1) = "1", OFFSET($A$1, 342 - 1, 102 - 1) = "1" ), 1, IF( AND( OFFSET($A$1, 342 - 1, 101 - 1) = "1", OFFSET($A$1, 342 - 1, 102 - 1) = "0" ), 2, IF( AND( OFFSET($A$1, 342 - 1, 101 - 1) = "0", OFFSET($A$1, 342 - 1, 102 - 1) = "1" ), 3, 4 ) ) )</f>
        <v>1</v>
      </c>
    </row>
    <row r="343" spans="95:103" ht="13.8" x14ac:dyDescent="0.3">
      <c r="CQ343" s="24">
        <v>0.99538481853259664</v>
      </c>
      <c r="CR343" s="24" t="str">
        <f>"1"</f>
        <v>1</v>
      </c>
      <c r="CS343" t="str">
        <f ca="1">IF((OFFSET($A$1, 343 - 1, 95 - 1)) &gt;= (OFFSET($A$1, 56 - 1, 7 - 1)), "1","0")</f>
        <v>1</v>
      </c>
      <c r="CT343">
        <f ca="1" xml:space="preserve"> IF( AND( OFFSET($A$1, 343 - 1, 96 - 1) = "1", OFFSET($A$1, 343 - 1, 97 - 1) = "1" ), 1, IF( AND( OFFSET($A$1, 343 - 1, 96 - 1) = "1", OFFSET($A$1, 343 - 1, 97 - 1) = "0" ), 2, IF( AND( OFFSET($A$1, 343 - 1, 96 - 1) = "0", OFFSET($A$1, 343 - 1, 97 - 1) = "1" ), 3, 4 ) ) )</f>
        <v>1</v>
      </c>
      <c r="CV343" s="24">
        <v>7.0589125850121753E-2</v>
      </c>
      <c r="CW343" s="24" t="str">
        <f>"0"</f>
        <v>0</v>
      </c>
      <c r="CX343" t="str">
        <f ca="1">IF((OFFSET($A$1, 343 - 1, 100 - 1)) &gt;= (OFFSET($A$1, 80 - 1, 7 - 1)), "1","0")</f>
        <v>0</v>
      </c>
      <c r="CY343">
        <f ca="1" xml:space="preserve"> IF( AND( OFFSET($A$1, 343 - 1, 101 - 1) = "1", OFFSET($A$1, 343 - 1, 102 - 1) = "1" ), 1, IF( AND( OFFSET($A$1, 343 - 1, 101 - 1) = "1", OFFSET($A$1, 343 - 1, 102 - 1) = "0" ), 2, IF( AND( OFFSET($A$1, 343 - 1, 101 - 1) = "0", OFFSET($A$1, 343 - 1, 102 - 1) = "1" ), 3, 4 ) ) )</f>
        <v>4</v>
      </c>
    </row>
    <row r="344" spans="95:103" ht="13.8" x14ac:dyDescent="0.3">
      <c r="CQ344" s="24">
        <v>0.9983048805391973</v>
      </c>
      <c r="CR344" s="24" t="str">
        <f>"1"</f>
        <v>1</v>
      </c>
      <c r="CS344" t="str">
        <f ca="1">IF((OFFSET($A$1, 344 - 1, 95 - 1)) &gt;= (OFFSET($A$1, 56 - 1, 7 - 1)), "1","0")</f>
        <v>1</v>
      </c>
      <c r="CT344">
        <f ca="1" xml:space="preserve"> IF( AND( OFFSET($A$1, 344 - 1, 96 - 1) = "1", OFFSET($A$1, 344 - 1, 97 - 1) = "1" ), 1, IF( AND( OFFSET($A$1, 344 - 1, 96 - 1) = "1", OFFSET($A$1, 344 - 1, 97 - 1) = "0" ), 2, IF( AND( OFFSET($A$1, 344 - 1, 96 - 1) = "0", OFFSET($A$1, 344 - 1, 97 - 1) = "1" ), 3, 4 ) ) )</f>
        <v>1</v>
      </c>
      <c r="CV344" s="24">
        <v>0.95982544396342095</v>
      </c>
      <c r="CW344" s="24" t="str">
        <f>"1"</f>
        <v>1</v>
      </c>
      <c r="CX344" t="str">
        <f ca="1">IF((OFFSET($A$1, 344 - 1, 100 - 1)) &gt;= (OFFSET($A$1, 80 - 1, 7 - 1)), "1","0")</f>
        <v>1</v>
      </c>
      <c r="CY344">
        <f ca="1" xml:space="preserve"> IF( AND( OFFSET($A$1, 344 - 1, 101 - 1) = "1", OFFSET($A$1, 344 - 1, 102 - 1) = "1" ), 1, IF( AND( OFFSET($A$1, 344 - 1, 101 - 1) = "1", OFFSET($A$1, 344 - 1, 102 - 1) = "0" ), 2, IF( AND( OFFSET($A$1, 344 - 1, 101 - 1) = "0", OFFSET($A$1, 344 - 1, 102 - 1) = "1" ), 3, 4 ) ) )</f>
        <v>1</v>
      </c>
    </row>
    <row r="345" spans="95:103" ht="13.8" x14ac:dyDescent="0.3">
      <c r="CQ345" s="24">
        <v>0.15983406604333575</v>
      </c>
      <c r="CR345" s="24" t="str">
        <f>"0"</f>
        <v>0</v>
      </c>
      <c r="CS345" t="str">
        <f ca="1">IF((OFFSET($A$1, 345 - 1, 95 - 1)) &gt;= (OFFSET($A$1, 56 - 1, 7 - 1)), "1","0")</f>
        <v>0</v>
      </c>
      <c r="CT345">
        <f ca="1" xml:space="preserve"> IF( AND( OFFSET($A$1, 345 - 1, 96 - 1) = "1", OFFSET($A$1, 345 - 1, 97 - 1) = "1" ), 1, IF( AND( OFFSET($A$1, 345 - 1, 96 - 1) = "1", OFFSET($A$1, 345 - 1, 97 - 1) = "0" ), 2, IF( AND( OFFSET($A$1, 345 - 1, 96 - 1) = "0", OFFSET($A$1, 345 - 1, 97 - 1) = "1" ), 3, 4 ) ) )</f>
        <v>4</v>
      </c>
      <c r="CV345" s="24">
        <v>0.99906498307352942</v>
      </c>
      <c r="CW345" s="24" t="str">
        <f>"1"</f>
        <v>1</v>
      </c>
      <c r="CX345" t="str">
        <f ca="1">IF((OFFSET($A$1, 345 - 1, 100 - 1)) &gt;= (OFFSET($A$1, 80 - 1, 7 - 1)), "1","0")</f>
        <v>1</v>
      </c>
      <c r="CY345">
        <f ca="1" xml:space="preserve"> IF( AND( OFFSET($A$1, 345 - 1, 101 - 1) = "1", OFFSET($A$1, 345 - 1, 102 - 1) = "1" ), 1, IF( AND( OFFSET($A$1, 345 - 1, 101 - 1) = "1", OFFSET($A$1, 345 - 1, 102 - 1) = "0" ), 2, IF( AND( OFFSET($A$1, 345 - 1, 101 - 1) = "0", OFFSET($A$1, 345 - 1, 102 - 1) = "1" ), 3, 4 ) ) )</f>
        <v>1</v>
      </c>
    </row>
    <row r="346" spans="95:103" ht="13.8" x14ac:dyDescent="0.3">
      <c r="CQ346" s="24">
        <v>0.96864144780060557</v>
      </c>
      <c r="CR346" s="24" t="str">
        <f>"1"</f>
        <v>1</v>
      </c>
      <c r="CS346" t="str">
        <f ca="1">IF((OFFSET($A$1, 346 - 1, 95 - 1)) &gt;= (OFFSET($A$1, 56 - 1, 7 - 1)), "1","0")</f>
        <v>1</v>
      </c>
      <c r="CT346">
        <f ca="1" xml:space="preserve"> IF( AND( OFFSET($A$1, 346 - 1, 96 - 1) = "1", OFFSET($A$1, 346 - 1, 97 - 1) = "1" ), 1, IF( AND( OFFSET($A$1, 346 - 1, 96 - 1) = "1", OFFSET($A$1, 346 - 1, 97 - 1) = "0" ), 2, IF( AND( OFFSET($A$1, 346 - 1, 96 - 1) = "0", OFFSET($A$1, 346 - 1, 97 - 1) = "1" ), 3, 4 ) ) )</f>
        <v>1</v>
      </c>
      <c r="CV346" s="24">
        <v>0.69983792974122927</v>
      </c>
      <c r="CW346" s="24" t="str">
        <f>"1"</f>
        <v>1</v>
      </c>
      <c r="CX346" t="str">
        <f ca="1">IF((OFFSET($A$1, 346 - 1, 100 - 1)) &gt;= (OFFSET($A$1, 80 - 1, 7 - 1)), "1","0")</f>
        <v>1</v>
      </c>
      <c r="CY346">
        <f ca="1" xml:space="preserve"> IF( AND( OFFSET($A$1, 346 - 1, 101 - 1) = "1", OFFSET($A$1, 346 - 1, 102 - 1) = "1" ), 1, IF( AND( OFFSET($A$1, 346 - 1, 101 - 1) = "1", OFFSET($A$1, 346 - 1, 102 - 1) = "0" ), 2, IF( AND( OFFSET($A$1, 346 - 1, 101 - 1) = "0", OFFSET($A$1, 346 - 1, 102 - 1) = "1" ), 3, 4 ) ) )</f>
        <v>1</v>
      </c>
    </row>
    <row r="347" spans="95:103" ht="13.8" x14ac:dyDescent="0.3">
      <c r="CQ347" s="24">
        <v>0.99976142296803117</v>
      </c>
      <c r="CR347" s="24" t="str">
        <f>"1"</f>
        <v>1</v>
      </c>
      <c r="CS347" t="str">
        <f ca="1">IF((OFFSET($A$1, 347 - 1, 95 - 1)) &gt;= (OFFSET($A$1, 56 - 1, 7 - 1)), "1","0")</f>
        <v>1</v>
      </c>
      <c r="CT347">
        <f ca="1" xml:space="preserve"> IF( AND( OFFSET($A$1, 347 - 1, 96 - 1) = "1", OFFSET($A$1, 347 - 1, 97 - 1) = "1" ), 1, IF( AND( OFFSET($A$1, 347 - 1, 96 - 1) = "1", OFFSET($A$1, 347 - 1, 97 - 1) = "0" ), 2, IF( AND( OFFSET($A$1, 347 - 1, 96 - 1) = "0", OFFSET($A$1, 347 - 1, 97 - 1) = "1" ), 3, 4 ) ) )</f>
        <v>1</v>
      </c>
      <c r="CV347" s="24">
        <v>0.98381507746927432</v>
      </c>
      <c r="CW347" s="24" t="str">
        <f>"1"</f>
        <v>1</v>
      </c>
      <c r="CX347" t="str">
        <f ca="1">IF((OFFSET($A$1, 347 - 1, 100 - 1)) &gt;= (OFFSET($A$1, 80 - 1, 7 - 1)), "1","0")</f>
        <v>1</v>
      </c>
      <c r="CY347">
        <f ca="1" xml:space="preserve"> IF( AND( OFFSET($A$1, 347 - 1, 101 - 1) = "1", OFFSET($A$1, 347 - 1, 102 - 1) = "1" ), 1, IF( AND( OFFSET($A$1, 347 - 1, 101 - 1) = "1", OFFSET($A$1, 347 - 1, 102 - 1) = "0" ), 2, IF( AND( OFFSET($A$1, 347 - 1, 101 - 1) = "0", OFFSET($A$1, 347 - 1, 102 - 1) = "1" ), 3, 4 ) ) )</f>
        <v>1</v>
      </c>
    </row>
    <row r="348" spans="95:103" ht="13.8" x14ac:dyDescent="0.3">
      <c r="CQ348" s="24">
        <v>0.24510869315184378</v>
      </c>
      <c r="CR348" s="24" t="str">
        <f>"0"</f>
        <v>0</v>
      </c>
      <c r="CS348" t="str">
        <f ca="1">IF((OFFSET($A$1, 348 - 1, 95 - 1)) &gt;= (OFFSET($A$1, 56 - 1, 7 - 1)), "1","0")</f>
        <v>0</v>
      </c>
      <c r="CT348">
        <f ca="1" xml:space="preserve"> IF( AND( OFFSET($A$1, 348 - 1, 96 - 1) = "1", OFFSET($A$1, 348 - 1, 97 - 1) = "1" ), 1, IF( AND( OFFSET($A$1, 348 - 1, 96 - 1) = "1", OFFSET($A$1, 348 - 1, 97 - 1) = "0" ), 2, IF( AND( OFFSET($A$1, 348 - 1, 96 - 1) = "0", OFFSET($A$1, 348 - 1, 97 - 1) = "1" ), 3, 4 ) ) )</f>
        <v>4</v>
      </c>
      <c r="CV348" s="24">
        <v>0.53573984680909426</v>
      </c>
      <c r="CW348" s="24" t="str">
        <f>"0"</f>
        <v>0</v>
      </c>
      <c r="CX348" t="str">
        <f ca="1">IF((OFFSET($A$1, 348 - 1, 100 - 1)) &gt;= (OFFSET($A$1, 80 - 1, 7 - 1)), "1","0")</f>
        <v>1</v>
      </c>
      <c r="CY348">
        <f ca="1" xml:space="preserve"> IF( AND( OFFSET($A$1, 348 - 1, 101 - 1) = "1", OFFSET($A$1, 348 - 1, 102 - 1) = "1" ), 1, IF( AND( OFFSET($A$1, 348 - 1, 101 - 1) = "1", OFFSET($A$1, 348 - 1, 102 - 1) = "0" ), 2, IF( AND( OFFSET($A$1, 348 - 1, 101 - 1) = "0", OFFSET($A$1, 348 - 1, 102 - 1) = "1" ), 3, 4 ) ) )</f>
        <v>3</v>
      </c>
    </row>
    <row r="349" spans="95:103" ht="13.8" x14ac:dyDescent="0.3">
      <c r="CQ349" s="24">
        <v>0.87200309389432906</v>
      </c>
      <c r="CR349" s="24" t="str">
        <f t="shared" ref="CR349:CR358" si="26">"1"</f>
        <v>1</v>
      </c>
      <c r="CS349" t="str">
        <f ca="1">IF((OFFSET($A$1, 349 - 1, 95 - 1)) &gt;= (OFFSET($A$1, 56 - 1, 7 - 1)), "1","0")</f>
        <v>1</v>
      </c>
      <c r="CT349">
        <f ca="1" xml:space="preserve"> IF( AND( OFFSET($A$1, 349 - 1, 96 - 1) = "1", OFFSET($A$1, 349 - 1, 97 - 1) = "1" ), 1, IF( AND( OFFSET($A$1, 349 - 1, 96 - 1) = "1", OFFSET($A$1, 349 - 1, 97 - 1) = "0" ), 2, IF( AND( OFFSET($A$1, 349 - 1, 96 - 1) = "0", OFFSET($A$1, 349 - 1, 97 - 1) = "1" ), 3, 4 ) ) )</f>
        <v>1</v>
      </c>
      <c r="CV349" s="24">
        <v>0.99984970298175313</v>
      </c>
      <c r="CW349" s="24" t="str">
        <f t="shared" ref="CW349:CW355" si="27">"1"</f>
        <v>1</v>
      </c>
      <c r="CX349" t="str">
        <f ca="1">IF((OFFSET($A$1, 349 - 1, 100 - 1)) &gt;= (OFFSET($A$1, 80 - 1, 7 - 1)), "1","0")</f>
        <v>1</v>
      </c>
      <c r="CY349">
        <f ca="1" xml:space="preserve"> IF( AND( OFFSET($A$1, 349 - 1, 101 - 1) = "1", OFFSET($A$1, 349 - 1, 102 - 1) = "1" ), 1, IF( AND( OFFSET($A$1, 349 - 1, 101 - 1) = "1", OFFSET($A$1, 349 - 1, 102 - 1) = "0" ), 2, IF( AND( OFFSET($A$1, 349 - 1, 101 - 1) = "0", OFFSET($A$1, 349 - 1, 102 - 1) = "1" ), 3, 4 ) ) )</f>
        <v>1</v>
      </c>
    </row>
    <row r="350" spans="95:103" ht="13.8" x14ac:dyDescent="0.3">
      <c r="CQ350" s="24">
        <v>0.91658423073091699</v>
      </c>
      <c r="CR350" s="24" t="str">
        <f t="shared" si="26"/>
        <v>1</v>
      </c>
      <c r="CS350" t="str">
        <f ca="1">IF((OFFSET($A$1, 350 - 1, 95 - 1)) &gt;= (OFFSET($A$1, 56 - 1, 7 - 1)), "1","0")</f>
        <v>1</v>
      </c>
      <c r="CT350">
        <f ca="1" xml:space="preserve"> IF( AND( OFFSET($A$1, 350 - 1, 96 - 1) = "1", OFFSET($A$1, 350 - 1, 97 - 1) = "1" ), 1, IF( AND( OFFSET($A$1, 350 - 1, 96 - 1) = "1", OFFSET($A$1, 350 - 1, 97 - 1) = "0" ), 2, IF( AND( OFFSET($A$1, 350 - 1, 96 - 1) = "0", OFFSET($A$1, 350 - 1, 97 - 1) = "1" ), 3, 4 ) ) )</f>
        <v>1</v>
      </c>
      <c r="CV350" s="24">
        <v>0.87312347489396758</v>
      </c>
      <c r="CW350" s="24" t="str">
        <f t="shared" si="27"/>
        <v>1</v>
      </c>
      <c r="CX350" t="str">
        <f ca="1">IF((OFFSET($A$1, 350 - 1, 100 - 1)) &gt;= (OFFSET($A$1, 80 - 1, 7 - 1)), "1","0")</f>
        <v>1</v>
      </c>
      <c r="CY350">
        <f ca="1" xml:space="preserve"> IF( AND( OFFSET($A$1, 350 - 1, 101 - 1) = "1", OFFSET($A$1, 350 - 1, 102 - 1) = "1" ), 1, IF( AND( OFFSET($A$1, 350 - 1, 101 - 1) = "1", OFFSET($A$1, 350 - 1, 102 - 1) = "0" ), 2, IF( AND( OFFSET($A$1, 350 - 1, 101 - 1) = "0", OFFSET($A$1, 350 - 1, 102 - 1) = "1" ), 3, 4 ) ) )</f>
        <v>1</v>
      </c>
    </row>
    <row r="351" spans="95:103" ht="13.8" x14ac:dyDescent="0.3">
      <c r="CQ351" s="24">
        <v>0.92750310209813358</v>
      </c>
      <c r="CR351" s="24" t="str">
        <f t="shared" si="26"/>
        <v>1</v>
      </c>
      <c r="CS351" t="str">
        <f ca="1">IF((OFFSET($A$1, 351 - 1, 95 - 1)) &gt;= (OFFSET($A$1, 56 - 1, 7 - 1)), "1","0")</f>
        <v>1</v>
      </c>
      <c r="CT351">
        <f ca="1" xml:space="preserve"> IF( AND( OFFSET($A$1, 351 - 1, 96 - 1) = "1", OFFSET($A$1, 351 - 1, 97 - 1) = "1" ), 1, IF( AND( OFFSET($A$1, 351 - 1, 96 - 1) = "1", OFFSET($A$1, 351 - 1, 97 - 1) = "0" ), 2, IF( AND( OFFSET($A$1, 351 - 1, 96 - 1) = "0", OFFSET($A$1, 351 - 1, 97 - 1) = "1" ), 3, 4 ) ) )</f>
        <v>1</v>
      </c>
      <c r="CV351" s="24">
        <v>0.97441210706101433</v>
      </c>
      <c r="CW351" s="24" t="str">
        <f t="shared" si="27"/>
        <v>1</v>
      </c>
      <c r="CX351" t="str">
        <f ca="1">IF((OFFSET($A$1, 351 - 1, 100 - 1)) &gt;= (OFFSET($A$1, 80 - 1, 7 - 1)), "1","0")</f>
        <v>1</v>
      </c>
      <c r="CY351">
        <f ca="1" xml:space="preserve"> IF( AND( OFFSET($A$1, 351 - 1, 101 - 1) = "1", OFFSET($A$1, 351 - 1, 102 - 1) = "1" ), 1, IF( AND( OFFSET($A$1, 351 - 1, 101 - 1) = "1", OFFSET($A$1, 351 - 1, 102 - 1) = "0" ), 2, IF( AND( OFFSET($A$1, 351 - 1, 101 - 1) = "0", OFFSET($A$1, 351 - 1, 102 - 1) = "1" ), 3, 4 ) ) )</f>
        <v>1</v>
      </c>
    </row>
    <row r="352" spans="95:103" ht="13.8" x14ac:dyDescent="0.3">
      <c r="CQ352" s="24">
        <v>0.96712011832738931</v>
      </c>
      <c r="CR352" s="24" t="str">
        <f t="shared" si="26"/>
        <v>1</v>
      </c>
      <c r="CS352" t="str">
        <f ca="1">IF((OFFSET($A$1, 352 - 1, 95 - 1)) &gt;= (OFFSET($A$1, 56 - 1, 7 - 1)), "1","0")</f>
        <v>1</v>
      </c>
      <c r="CT352">
        <f ca="1" xml:space="preserve"> IF( AND( OFFSET($A$1, 352 - 1, 96 - 1) = "1", OFFSET($A$1, 352 - 1, 97 - 1) = "1" ), 1, IF( AND( OFFSET($A$1, 352 - 1, 96 - 1) = "1", OFFSET($A$1, 352 - 1, 97 - 1) = "0" ), 2, IF( AND( OFFSET($A$1, 352 - 1, 96 - 1) = "0", OFFSET($A$1, 352 - 1, 97 - 1) = "1" ), 3, 4 ) ) )</f>
        <v>1</v>
      </c>
      <c r="CV352" s="24">
        <v>0.99653566084899536</v>
      </c>
      <c r="CW352" s="24" t="str">
        <f t="shared" si="27"/>
        <v>1</v>
      </c>
      <c r="CX352" t="str">
        <f ca="1">IF((OFFSET($A$1, 352 - 1, 100 - 1)) &gt;= (OFFSET($A$1, 80 - 1, 7 - 1)), "1","0")</f>
        <v>1</v>
      </c>
      <c r="CY352">
        <f ca="1" xml:space="preserve"> IF( AND( OFFSET($A$1, 352 - 1, 101 - 1) = "1", OFFSET($A$1, 352 - 1, 102 - 1) = "1" ), 1, IF( AND( OFFSET($A$1, 352 - 1, 101 - 1) = "1", OFFSET($A$1, 352 - 1, 102 - 1) = "0" ), 2, IF( AND( OFFSET($A$1, 352 - 1, 101 - 1) = "0", OFFSET($A$1, 352 - 1, 102 - 1) = "1" ), 3, 4 ) ) )</f>
        <v>1</v>
      </c>
    </row>
    <row r="353" spans="95:103" ht="13.8" x14ac:dyDescent="0.3">
      <c r="CQ353" s="24">
        <v>0.82448867305221729</v>
      </c>
      <c r="CR353" s="24" t="str">
        <f t="shared" si="26"/>
        <v>1</v>
      </c>
      <c r="CS353" t="str">
        <f ca="1">IF((OFFSET($A$1, 353 - 1, 95 - 1)) &gt;= (OFFSET($A$1, 56 - 1, 7 - 1)), "1","0")</f>
        <v>1</v>
      </c>
      <c r="CT353">
        <f ca="1" xml:space="preserve"> IF( AND( OFFSET($A$1, 353 - 1, 96 - 1) = "1", OFFSET($A$1, 353 - 1, 97 - 1) = "1" ), 1, IF( AND( OFFSET($A$1, 353 - 1, 96 - 1) = "1", OFFSET($A$1, 353 - 1, 97 - 1) = "0" ), 2, IF( AND( OFFSET($A$1, 353 - 1, 96 - 1) = "0", OFFSET($A$1, 353 - 1, 97 - 1) = "1" ), 3, 4 ) ) )</f>
        <v>1</v>
      </c>
      <c r="CV353" s="24">
        <v>0.65039877378716671</v>
      </c>
      <c r="CW353" s="24" t="str">
        <f t="shared" si="27"/>
        <v>1</v>
      </c>
      <c r="CX353" t="str">
        <f ca="1">IF((OFFSET($A$1, 353 - 1, 100 - 1)) &gt;= (OFFSET($A$1, 80 - 1, 7 - 1)), "1","0")</f>
        <v>1</v>
      </c>
      <c r="CY353">
        <f ca="1" xml:space="preserve"> IF( AND( OFFSET($A$1, 353 - 1, 101 - 1) = "1", OFFSET($A$1, 353 - 1, 102 - 1) = "1" ), 1, IF( AND( OFFSET($A$1, 353 - 1, 101 - 1) = "1", OFFSET($A$1, 353 - 1, 102 - 1) = "0" ), 2, IF( AND( OFFSET($A$1, 353 - 1, 101 - 1) = "0", OFFSET($A$1, 353 - 1, 102 - 1) = "1" ), 3, 4 ) ) )</f>
        <v>1</v>
      </c>
    </row>
    <row r="354" spans="95:103" ht="13.8" x14ac:dyDescent="0.3">
      <c r="CQ354" s="24">
        <v>0.94280717106565137</v>
      </c>
      <c r="CR354" s="24" t="str">
        <f t="shared" si="26"/>
        <v>1</v>
      </c>
      <c r="CS354" t="str">
        <f ca="1">IF((OFFSET($A$1, 354 - 1, 95 - 1)) &gt;= (OFFSET($A$1, 56 - 1, 7 - 1)), "1","0")</f>
        <v>1</v>
      </c>
      <c r="CT354">
        <f ca="1" xml:space="preserve"> IF( AND( OFFSET($A$1, 354 - 1, 96 - 1) = "1", OFFSET($A$1, 354 - 1, 97 - 1) = "1" ), 1, IF( AND( OFFSET($A$1, 354 - 1, 96 - 1) = "1", OFFSET($A$1, 354 - 1, 97 - 1) = "0" ), 2, IF( AND( OFFSET($A$1, 354 - 1, 96 - 1) = "0", OFFSET($A$1, 354 - 1, 97 - 1) = "1" ), 3, 4 ) ) )</f>
        <v>1</v>
      </c>
      <c r="CV354" s="24">
        <v>0.9317440815471898</v>
      </c>
      <c r="CW354" s="24" t="str">
        <f t="shared" si="27"/>
        <v>1</v>
      </c>
      <c r="CX354" t="str">
        <f ca="1">IF((OFFSET($A$1, 354 - 1, 100 - 1)) &gt;= (OFFSET($A$1, 80 - 1, 7 - 1)), "1","0")</f>
        <v>1</v>
      </c>
      <c r="CY354">
        <f ca="1" xml:space="preserve"> IF( AND( OFFSET($A$1, 354 - 1, 101 - 1) = "1", OFFSET($A$1, 354 - 1, 102 - 1) = "1" ), 1, IF( AND( OFFSET($A$1, 354 - 1, 101 - 1) = "1", OFFSET($A$1, 354 - 1, 102 - 1) = "0" ), 2, IF( AND( OFFSET($A$1, 354 - 1, 101 - 1) = "0", OFFSET($A$1, 354 - 1, 102 - 1) = "1" ), 3, 4 ) ) )</f>
        <v>1</v>
      </c>
    </row>
    <row r="355" spans="95:103" ht="13.8" x14ac:dyDescent="0.3">
      <c r="CQ355" s="24">
        <v>0.9984703577962134</v>
      </c>
      <c r="CR355" s="24" t="str">
        <f t="shared" si="26"/>
        <v>1</v>
      </c>
      <c r="CS355" t="str">
        <f ca="1">IF((OFFSET($A$1, 355 - 1, 95 - 1)) &gt;= (OFFSET($A$1, 56 - 1, 7 - 1)), "1","0")</f>
        <v>1</v>
      </c>
      <c r="CT355">
        <f ca="1" xml:space="preserve"> IF( AND( OFFSET($A$1, 355 - 1, 96 - 1) = "1", OFFSET($A$1, 355 - 1, 97 - 1) = "1" ), 1, IF( AND( OFFSET($A$1, 355 - 1, 96 - 1) = "1", OFFSET($A$1, 355 - 1, 97 - 1) = "0" ), 2, IF( AND( OFFSET($A$1, 355 - 1, 96 - 1) = "0", OFFSET($A$1, 355 - 1, 97 - 1) = "1" ), 3, 4 ) ) )</f>
        <v>1</v>
      </c>
      <c r="CV355" s="24">
        <v>0.98542560714942684</v>
      </c>
      <c r="CW355" s="24" t="str">
        <f t="shared" si="27"/>
        <v>1</v>
      </c>
      <c r="CX355" t="str">
        <f ca="1">IF((OFFSET($A$1, 355 - 1, 100 - 1)) &gt;= (OFFSET($A$1, 80 - 1, 7 - 1)), "1","0")</f>
        <v>1</v>
      </c>
      <c r="CY355">
        <f ca="1" xml:space="preserve"> IF( AND( OFFSET($A$1, 355 - 1, 101 - 1) = "1", OFFSET($A$1, 355 - 1, 102 - 1) = "1" ), 1, IF( AND( OFFSET($A$1, 355 - 1, 101 - 1) = "1", OFFSET($A$1, 355 - 1, 102 - 1) = "0" ), 2, IF( AND( OFFSET($A$1, 355 - 1, 101 - 1) = "0", OFFSET($A$1, 355 - 1, 102 - 1) = "1" ), 3, 4 ) ) )</f>
        <v>1</v>
      </c>
    </row>
    <row r="356" spans="95:103" ht="13.8" x14ac:dyDescent="0.3">
      <c r="CQ356" s="24">
        <v>0.95976785660661468</v>
      </c>
      <c r="CR356" s="24" t="str">
        <f t="shared" si="26"/>
        <v>1</v>
      </c>
      <c r="CS356" t="str">
        <f ca="1">IF((OFFSET($A$1, 356 - 1, 95 - 1)) &gt;= (OFFSET($A$1, 56 - 1, 7 - 1)), "1","0")</f>
        <v>1</v>
      </c>
      <c r="CT356">
        <f ca="1" xml:space="preserve"> IF( AND( OFFSET($A$1, 356 - 1, 96 - 1) = "1", OFFSET($A$1, 356 - 1, 97 - 1) = "1" ), 1, IF( AND( OFFSET($A$1, 356 - 1, 96 - 1) = "1", OFFSET($A$1, 356 - 1, 97 - 1) = "0" ), 2, IF( AND( OFFSET($A$1, 356 - 1, 96 - 1) = "0", OFFSET($A$1, 356 - 1, 97 - 1) = "1" ), 3, 4 ) ) )</f>
        <v>1</v>
      </c>
      <c r="CV356" s="24">
        <v>0.94899728615346202</v>
      </c>
      <c r="CW356" s="24" t="str">
        <f>"0"</f>
        <v>0</v>
      </c>
      <c r="CX356" t="str">
        <f ca="1">IF((OFFSET($A$1, 356 - 1, 100 - 1)) &gt;= (OFFSET($A$1, 80 - 1, 7 - 1)), "1","0")</f>
        <v>1</v>
      </c>
      <c r="CY356">
        <f ca="1" xml:space="preserve"> IF( AND( OFFSET($A$1, 356 - 1, 101 - 1) = "1", OFFSET($A$1, 356 - 1, 102 - 1) = "1" ), 1, IF( AND( OFFSET($A$1, 356 - 1, 101 - 1) = "1", OFFSET($A$1, 356 - 1, 102 - 1) = "0" ), 2, IF( AND( OFFSET($A$1, 356 - 1, 101 - 1) = "0", OFFSET($A$1, 356 - 1, 102 - 1) = "1" ), 3, 4 ) ) )</f>
        <v>3</v>
      </c>
    </row>
    <row r="357" spans="95:103" ht="13.8" x14ac:dyDescent="0.3">
      <c r="CQ357" s="24">
        <v>0.9523768050685899</v>
      </c>
      <c r="CR357" s="24" t="str">
        <f t="shared" si="26"/>
        <v>1</v>
      </c>
      <c r="CS357" t="str">
        <f ca="1">IF((OFFSET($A$1, 357 - 1, 95 - 1)) &gt;= (OFFSET($A$1, 56 - 1, 7 - 1)), "1","0")</f>
        <v>1</v>
      </c>
      <c r="CT357">
        <f ca="1" xml:space="preserve"> IF( AND( OFFSET($A$1, 357 - 1, 96 - 1) = "1", OFFSET($A$1, 357 - 1, 97 - 1) = "1" ), 1, IF( AND( OFFSET($A$1, 357 - 1, 96 - 1) = "1", OFFSET($A$1, 357 - 1, 97 - 1) = "0" ), 2, IF( AND( OFFSET($A$1, 357 - 1, 96 - 1) = "0", OFFSET($A$1, 357 - 1, 97 - 1) = "1" ), 3, 4 ) ) )</f>
        <v>1</v>
      </c>
      <c r="CV357" s="24">
        <v>0.62441643354979981</v>
      </c>
      <c r="CW357" s="24" t="str">
        <f t="shared" ref="CW357:CW363" si="28">"1"</f>
        <v>1</v>
      </c>
      <c r="CX357" t="str">
        <f ca="1">IF((OFFSET($A$1, 357 - 1, 100 - 1)) &gt;= (OFFSET($A$1, 80 - 1, 7 - 1)), "1","0")</f>
        <v>1</v>
      </c>
      <c r="CY357">
        <f ca="1" xml:space="preserve"> IF( AND( OFFSET($A$1, 357 - 1, 101 - 1) = "1", OFFSET($A$1, 357 - 1, 102 - 1) = "1" ), 1, IF( AND( OFFSET($A$1, 357 - 1, 101 - 1) = "1", OFFSET($A$1, 357 - 1, 102 - 1) = "0" ), 2, IF( AND( OFFSET($A$1, 357 - 1, 101 - 1) = "0", OFFSET($A$1, 357 - 1, 102 - 1) = "1" ), 3, 4 ) ) )</f>
        <v>1</v>
      </c>
    </row>
    <row r="358" spans="95:103" ht="13.8" x14ac:dyDescent="0.3">
      <c r="CQ358" s="24">
        <v>0.96511885077020898</v>
      </c>
      <c r="CR358" s="24" t="str">
        <f t="shared" si="26"/>
        <v>1</v>
      </c>
      <c r="CS358" t="str">
        <f ca="1">IF((OFFSET($A$1, 358 - 1, 95 - 1)) &gt;= (OFFSET($A$1, 56 - 1, 7 - 1)), "1","0")</f>
        <v>1</v>
      </c>
      <c r="CT358">
        <f ca="1" xml:space="preserve"> IF( AND( OFFSET($A$1, 358 - 1, 96 - 1) = "1", OFFSET($A$1, 358 - 1, 97 - 1) = "1" ), 1, IF( AND( OFFSET($A$1, 358 - 1, 96 - 1) = "1", OFFSET($A$1, 358 - 1, 97 - 1) = "0" ), 2, IF( AND( OFFSET($A$1, 358 - 1, 96 - 1) = "0", OFFSET($A$1, 358 - 1, 97 - 1) = "1" ), 3, 4 ) ) )</f>
        <v>1</v>
      </c>
      <c r="CV358" s="24">
        <v>0.99949867121575586</v>
      </c>
      <c r="CW358" s="24" t="str">
        <f t="shared" si="28"/>
        <v>1</v>
      </c>
      <c r="CX358" t="str">
        <f ca="1">IF((OFFSET($A$1, 358 - 1, 100 - 1)) &gt;= (OFFSET($A$1, 80 - 1, 7 - 1)), "1","0")</f>
        <v>1</v>
      </c>
      <c r="CY358">
        <f ca="1" xml:space="preserve"> IF( AND( OFFSET($A$1, 358 - 1, 101 - 1) = "1", OFFSET($A$1, 358 - 1, 102 - 1) = "1" ), 1, IF( AND( OFFSET($A$1, 358 - 1, 101 - 1) = "1", OFFSET($A$1, 358 - 1, 102 - 1) = "0" ), 2, IF( AND( OFFSET($A$1, 358 - 1, 101 - 1) = "0", OFFSET($A$1, 358 - 1, 102 - 1) = "1" ), 3, 4 ) ) )</f>
        <v>1</v>
      </c>
    </row>
    <row r="359" spans="95:103" ht="13.8" x14ac:dyDescent="0.3">
      <c r="CQ359" s="24">
        <v>5.6166262248788179E-2</v>
      </c>
      <c r="CR359" s="24" t="str">
        <f>"0"</f>
        <v>0</v>
      </c>
      <c r="CS359" t="str">
        <f ca="1">IF((OFFSET($A$1, 359 - 1, 95 - 1)) &gt;= (OFFSET($A$1, 56 - 1, 7 - 1)), "1","0")</f>
        <v>0</v>
      </c>
      <c r="CT359">
        <f ca="1" xml:space="preserve"> IF( AND( OFFSET($A$1, 359 - 1, 96 - 1) = "1", OFFSET($A$1, 359 - 1, 97 - 1) = "1" ), 1, IF( AND( OFFSET($A$1, 359 - 1, 96 - 1) = "1", OFFSET($A$1, 359 - 1, 97 - 1) = "0" ), 2, IF( AND( OFFSET($A$1, 359 - 1, 96 - 1) = "0", OFFSET($A$1, 359 - 1, 97 - 1) = "1" ), 3, 4 ) ) )</f>
        <v>4</v>
      </c>
      <c r="CV359" s="24">
        <v>0.30038239624285651</v>
      </c>
      <c r="CW359" s="24" t="str">
        <f t="shared" si="28"/>
        <v>1</v>
      </c>
      <c r="CX359" t="str">
        <f ca="1">IF((OFFSET($A$1, 359 - 1, 100 - 1)) &gt;= (OFFSET($A$1, 80 - 1, 7 - 1)), "1","0")</f>
        <v>0</v>
      </c>
      <c r="CY359">
        <f ca="1" xml:space="preserve"> IF( AND( OFFSET($A$1, 359 - 1, 101 - 1) = "1", OFFSET($A$1, 359 - 1, 102 - 1) = "1" ), 1, IF( AND( OFFSET($A$1, 359 - 1, 101 - 1) = "1", OFFSET($A$1, 359 - 1, 102 - 1) = "0" ), 2, IF( AND( OFFSET($A$1, 359 - 1, 101 - 1) = "0", OFFSET($A$1, 359 - 1, 102 - 1) = "1" ), 3, 4 ) ) )</f>
        <v>2</v>
      </c>
    </row>
    <row r="360" spans="95:103" ht="13.8" x14ac:dyDescent="0.3">
      <c r="CQ360" s="24">
        <v>0.22517400008538191</v>
      </c>
      <c r="CR360" s="24" t="str">
        <f>"0"</f>
        <v>0</v>
      </c>
      <c r="CS360" t="str">
        <f ca="1">IF((OFFSET($A$1, 360 - 1, 95 - 1)) &gt;= (OFFSET($A$1, 56 - 1, 7 - 1)), "1","0")</f>
        <v>0</v>
      </c>
      <c r="CT360">
        <f ca="1" xml:space="preserve"> IF( AND( OFFSET($A$1, 360 - 1, 96 - 1) = "1", OFFSET($A$1, 360 - 1, 97 - 1) = "1" ), 1, IF( AND( OFFSET($A$1, 360 - 1, 96 - 1) = "1", OFFSET($A$1, 360 - 1, 97 - 1) = "0" ), 2, IF( AND( OFFSET($A$1, 360 - 1, 96 - 1) = "0", OFFSET($A$1, 360 - 1, 97 - 1) = "1" ), 3, 4 ) ) )</f>
        <v>4</v>
      </c>
      <c r="CV360" s="24">
        <v>0.99581434437488703</v>
      </c>
      <c r="CW360" s="24" t="str">
        <f t="shared" si="28"/>
        <v>1</v>
      </c>
      <c r="CX360" t="str">
        <f ca="1">IF((OFFSET($A$1, 360 - 1, 100 - 1)) &gt;= (OFFSET($A$1, 80 - 1, 7 - 1)), "1","0")</f>
        <v>1</v>
      </c>
      <c r="CY360">
        <f ca="1" xml:space="preserve"> IF( AND( OFFSET($A$1, 360 - 1, 101 - 1) = "1", OFFSET($A$1, 360 - 1, 102 - 1) = "1" ), 1, IF( AND( OFFSET($A$1, 360 - 1, 101 - 1) = "1", OFFSET($A$1, 360 - 1, 102 - 1) = "0" ), 2, IF( AND( OFFSET($A$1, 360 - 1, 101 - 1) = "0", OFFSET($A$1, 360 - 1, 102 - 1) = "1" ), 3, 4 ) ) )</f>
        <v>1</v>
      </c>
    </row>
    <row r="361" spans="95:103" ht="13.8" x14ac:dyDescent="0.3">
      <c r="CQ361" s="24">
        <v>0.99986704732875842</v>
      </c>
      <c r="CR361" s="24" t="str">
        <f>"1"</f>
        <v>1</v>
      </c>
      <c r="CS361" t="str">
        <f ca="1">IF((OFFSET($A$1, 361 - 1, 95 - 1)) &gt;= (OFFSET($A$1, 56 - 1, 7 - 1)), "1","0")</f>
        <v>1</v>
      </c>
      <c r="CT361">
        <f ca="1" xml:space="preserve"> IF( AND( OFFSET($A$1, 361 - 1, 96 - 1) = "1", OFFSET($A$1, 361 - 1, 97 - 1) = "1" ), 1, IF( AND( OFFSET($A$1, 361 - 1, 96 - 1) = "1", OFFSET($A$1, 361 - 1, 97 - 1) = "0" ), 2, IF( AND( OFFSET($A$1, 361 - 1, 96 - 1) = "0", OFFSET($A$1, 361 - 1, 97 - 1) = "1" ), 3, 4 ) ) )</f>
        <v>1</v>
      </c>
      <c r="CV361" s="24">
        <v>0.98823640677679836</v>
      </c>
      <c r="CW361" s="24" t="str">
        <f t="shared" si="28"/>
        <v>1</v>
      </c>
      <c r="CX361" t="str">
        <f ca="1">IF((OFFSET($A$1, 361 - 1, 100 - 1)) &gt;= (OFFSET($A$1, 80 - 1, 7 - 1)), "1","0")</f>
        <v>1</v>
      </c>
      <c r="CY361">
        <f ca="1" xml:space="preserve"> IF( AND( OFFSET($A$1, 361 - 1, 101 - 1) = "1", OFFSET($A$1, 361 - 1, 102 - 1) = "1" ), 1, IF( AND( OFFSET($A$1, 361 - 1, 101 - 1) = "1", OFFSET($A$1, 361 - 1, 102 - 1) = "0" ), 2, IF( AND( OFFSET($A$1, 361 - 1, 101 - 1) = "0", OFFSET($A$1, 361 - 1, 102 - 1) = "1" ), 3, 4 ) ) )</f>
        <v>1</v>
      </c>
    </row>
    <row r="362" spans="95:103" ht="13.8" x14ac:dyDescent="0.3">
      <c r="CQ362" s="24">
        <v>0.99985392064400136</v>
      </c>
      <c r="CR362" s="24" t="str">
        <f>"1"</f>
        <v>1</v>
      </c>
      <c r="CS362" t="str">
        <f ca="1">IF((OFFSET($A$1, 362 - 1, 95 - 1)) &gt;= (OFFSET($A$1, 56 - 1, 7 - 1)), "1","0")</f>
        <v>1</v>
      </c>
      <c r="CT362">
        <f ca="1" xml:space="preserve"> IF( AND( OFFSET($A$1, 362 - 1, 96 - 1) = "1", OFFSET($A$1, 362 - 1, 97 - 1) = "1" ), 1, IF( AND( OFFSET($A$1, 362 - 1, 96 - 1) = "1", OFFSET($A$1, 362 - 1, 97 - 1) = "0" ), 2, IF( AND( OFFSET($A$1, 362 - 1, 96 - 1) = "0", OFFSET($A$1, 362 - 1, 97 - 1) = "1" ), 3, 4 ) ) )</f>
        <v>1</v>
      </c>
      <c r="CV362" s="24">
        <v>0.98480630212863507</v>
      </c>
      <c r="CW362" s="24" t="str">
        <f t="shared" si="28"/>
        <v>1</v>
      </c>
      <c r="CX362" t="str">
        <f ca="1">IF((OFFSET($A$1, 362 - 1, 100 - 1)) &gt;= (OFFSET($A$1, 80 - 1, 7 - 1)), "1","0")</f>
        <v>1</v>
      </c>
      <c r="CY362">
        <f ca="1" xml:space="preserve"> IF( AND( OFFSET($A$1, 362 - 1, 101 - 1) = "1", OFFSET($A$1, 362 - 1, 102 - 1) = "1" ), 1, IF( AND( OFFSET($A$1, 362 - 1, 101 - 1) = "1", OFFSET($A$1, 362 - 1, 102 - 1) = "0" ), 2, IF( AND( OFFSET($A$1, 362 - 1, 101 - 1) = "0", OFFSET($A$1, 362 - 1, 102 - 1) = "1" ), 3, 4 ) ) )</f>
        <v>1</v>
      </c>
    </row>
    <row r="363" spans="95:103" ht="13.8" x14ac:dyDescent="0.3">
      <c r="CQ363" s="24">
        <v>0.94856461111607482</v>
      </c>
      <c r="CR363" s="24" t="str">
        <f>"1"</f>
        <v>1</v>
      </c>
      <c r="CS363" t="str">
        <f ca="1">IF((OFFSET($A$1, 363 - 1, 95 - 1)) &gt;= (OFFSET($A$1, 56 - 1, 7 - 1)), "1","0")</f>
        <v>1</v>
      </c>
      <c r="CT363">
        <f ca="1" xml:space="preserve"> IF( AND( OFFSET($A$1, 363 - 1, 96 - 1) = "1", OFFSET($A$1, 363 - 1, 97 - 1) = "1" ), 1, IF( AND( OFFSET($A$1, 363 - 1, 96 - 1) = "1", OFFSET($A$1, 363 - 1, 97 - 1) = "0" ), 2, IF( AND( OFFSET($A$1, 363 - 1, 96 - 1) = "0", OFFSET($A$1, 363 - 1, 97 - 1) = "1" ), 3, 4 ) ) )</f>
        <v>1</v>
      </c>
      <c r="CV363" s="24">
        <v>0.70969982468700976</v>
      </c>
      <c r="CW363" s="24" t="str">
        <f t="shared" si="28"/>
        <v>1</v>
      </c>
      <c r="CX363" t="str">
        <f ca="1">IF((OFFSET($A$1, 363 - 1, 100 - 1)) &gt;= (OFFSET($A$1, 80 - 1, 7 - 1)), "1","0")</f>
        <v>1</v>
      </c>
      <c r="CY363">
        <f ca="1" xml:space="preserve"> IF( AND( OFFSET($A$1, 363 - 1, 101 - 1) = "1", OFFSET($A$1, 363 - 1, 102 - 1) = "1" ), 1, IF( AND( OFFSET($A$1, 363 - 1, 101 - 1) = "1", OFFSET($A$1, 363 - 1, 102 - 1) = "0" ), 2, IF( AND( OFFSET($A$1, 363 - 1, 101 - 1) = "0", OFFSET($A$1, 363 - 1, 102 - 1) = "1" ), 3, 4 ) ) )</f>
        <v>1</v>
      </c>
    </row>
    <row r="364" spans="95:103" ht="13.8" x14ac:dyDescent="0.3">
      <c r="CQ364" s="24">
        <v>8.270412304904623E-2</v>
      </c>
      <c r="CR364" s="24" t="str">
        <f>"0"</f>
        <v>0</v>
      </c>
      <c r="CS364" t="str">
        <f ca="1">IF((OFFSET($A$1, 364 - 1, 95 - 1)) &gt;= (OFFSET($A$1, 56 - 1, 7 - 1)), "1","0")</f>
        <v>0</v>
      </c>
      <c r="CT364">
        <f ca="1" xml:space="preserve"> IF( AND( OFFSET($A$1, 364 - 1, 96 - 1) = "1", OFFSET($A$1, 364 - 1, 97 - 1) = "1" ), 1, IF( AND( OFFSET($A$1, 364 - 1, 96 - 1) = "1", OFFSET($A$1, 364 - 1, 97 - 1) = "0" ), 2, IF( AND( OFFSET($A$1, 364 - 1, 96 - 1) = "0", OFFSET($A$1, 364 - 1, 97 - 1) = "1" ), 3, 4 ) ) )</f>
        <v>4</v>
      </c>
      <c r="CV364" s="24">
        <v>0.20396801110147272</v>
      </c>
      <c r="CW364" s="24" t="str">
        <f>"0"</f>
        <v>0</v>
      </c>
      <c r="CX364" t="str">
        <f ca="1">IF((OFFSET($A$1, 364 - 1, 100 - 1)) &gt;= (OFFSET($A$1, 80 - 1, 7 - 1)), "1","0")</f>
        <v>0</v>
      </c>
      <c r="CY364">
        <f ca="1" xml:space="preserve"> IF( AND( OFFSET($A$1, 364 - 1, 101 - 1) = "1", OFFSET($A$1, 364 - 1, 102 - 1) = "1" ), 1, IF( AND( OFFSET($A$1, 364 - 1, 101 - 1) = "1", OFFSET($A$1, 364 - 1, 102 - 1) = "0" ), 2, IF( AND( OFFSET($A$1, 364 - 1, 101 - 1) = "0", OFFSET($A$1, 364 - 1, 102 - 1) = "1" ), 3, 4 ) ) )</f>
        <v>4</v>
      </c>
    </row>
    <row r="365" spans="95:103" ht="13.8" x14ac:dyDescent="0.3">
      <c r="CQ365" s="24">
        <v>0.99505395924387241</v>
      </c>
      <c r="CR365" s="24" t="str">
        <f>"1"</f>
        <v>1</v>
      </c>
      <c r="CS365" t="str">
        <f ca="1">IF((OFFSET($A$1, 365 - 1, 95 - 1)) &gt;= (OFFSET($A$1, 56 - 1, 7 - 1)), "1","0")</f>
        <v>1</v>
      </c>
      <c r="CT365">
        <f ca="1" xml:space="preserve"> IF( AND( OFFSET($A$1, 365 - 1, 96 - 1) = "1", OFFSET($A$1, 365 - 1, 97 - 1) = "1" ), 1, IF( AND( OFFSET($A$1, 365 - 1, 96 - 1) = "1", OFFSET($A$1, 365 - 1, 97 - 1) = "0" ), 2, IF( AND( OFFSET($A$1, 365 - 1, 96 - 1) = "0", OFFSET($A$1, 365 - 1, 97 - 1) = "1" ), 3, 4 ) ) )</f>
        <v>1</v>
      </c>
      <c r="CV365" s="24">
        <v>0.62048970089737521</v>
      </c>
      <c r="CW365" s="24" t="str">
        <f t="shared" ref="CW365:CW371" si="29">"1"</f>
        <v>1</v>
      </c>
      <c r="CX365" t="str">
        <f ca="1">IF((OFFSET($A$1, 365 - 1, 100 - 1)) &gt;= (OFFSET($A$1, 80 - 1, 7 - 1)), "1","0")</f>
        <v>1</v>
      </c>
      <c r="CY365">
        <f ca="1" xml:space="preserve"> IF( AND( OFFSET($A$1, 365 - 1, 101 - 1) = "1", OFFSET($A$1, 365 - 1, 102 - 1) = "1" ), 1, IF( AND( OFFSET($A$1, 365 - 1, 101 - 1) = "1", OFFSET($A$1, 365 - 1, 102 - 1) = "0" ), 2, IF( AND( OFFSET($A$1, 365 - 1, 101 - 1) = "0", OFFSET($A$1, 365 - 1, 102 - 1) = "1" ), 3, 4 ) ) )</f>
        <v>1</v>
      </c>
    </row>
    <row r="366" spans="95:103" ht="13.8" x14ac:dyDescent="0.3">
      <c r="CQ366" s="24">
        <v>0.16356636374817055</v>
      </c>
      <c r="CR366" s="24" t="str">
        <f>"0"</f>
        <v>0</v>
      </c>
      <c r="CS366" t="str">
        <f ca="1">IF((OFFSET($A$1, 366 - 1, 95 - 1)) &gt;= (OFFSET($A$1, 56 - 1, 7 - 1)), "1","0")</f>
        <v>0</v>
      </c>
      <c r="CT366">
        <f ca="1" xml:space="preserve"> IF( AND( OFFSET($A$1, 366 - 1, 96 - 1) = "1", OFFSET($A$1, 366 - 1, 97 - 1) = "1" ), 1, IF( AND( OFFSET($A$1, 366 - 1, 96 - 1) = "1", OFFSET($A$1, 366 - 1, 97 - 1) = "0" ), 2, IF( AND( OFFSET($A$1, 366 - 1, 96 - 1) = "0", OFFSET($A$1, 366 - 1, 97 - 1) = "1" ), 3, 4 ) ) )</f>
        <v>4</v>
      </c>
      <c r="CV366" s="24">
        <v>0.68054138320331259</v>
      </c>
      <c r="CW366" s="24" t="str">
        <f t="shared" si="29"/>
        <v>1</v>
      </c>
      <c r="CX366" t="str">
        <f ca="1">IF((OFFSET($A$1, 366 - 1, 100 - 1)) &gt;= (OFFSET($A$1, 80 - 1, 7 - 1)), "1","0")</f>
        <v>1</v>
      </c>
      <c r="CY366">
        <f ca="1" xml:space="preserve"> IF( AND( OFFSET($A$1, 366 - 1, 101 - 1) = "1", OFFSET($A$1, 366 - 1, 102 - 1) = "1" ), 1, IF( AND( OFFSET($A$1, 366 - 1, 101 - 1) = "1", OFFSET($A$1, 366 - 1, 102 - 1) = "0" ), 2, IF( AND( OFFSET($A$1, 366 - 1, 101 - 1) = "0", OFFSET($A$1, 366 - 1, 102 - 1) = "1" ), 3, 4 ) ) )</f>
        <v>1</v>
      </c>
    </row>
    <row r="367" spans="95:103" ht="13.8" x14ac:dyDescent="0.3">
      <c r="CQ367" s="24">
        <v>0.13831134942497694</v>
      </c>
      <c r="CR367" s="24" t="str">
        <f>"0"</f>
        <v>0</v>
      </c>
      <c r="CS367" t="str">
        <f ca="1">IF((OFFSET($A$1, 367 - 1, 95 - 1)) &gt;= (OFFSET($A$1, 56 - 1, 7 - 1)), "1","0")</f>
        <v>0</v>
      </c>
      <c r="CT367">
        <f ca="1" xml:space="preserve"> IF( AND( OFFSET($A$1, 367 - 1, 96 - 1) = "1", OFFSET($A$1, 367 - 1, 97 - 1) = "1" ), 1, IF( AND( OFFSET($A$1, 367 - 1, 96 - 1) = "1", OFFSET($A$1, 367 - 1, 97 - 1) = "0" ), 2, IF( AND( OFFSET($A$1, 367 - 1, 96 - 1) = "0", OFFSET($A$1, 367 - 1, 97 - 1) = "1" ), 3, 4 ) ) )</f>
        <v>4</v>
      </c>
      <c r="CV367" s="24">
        <v>0.87979719003457513</v>
      </c>
      <c r="CW367" s="24" t="str">
        <f t="shared" si="29"/>
        <v>1</v>
      </c>
      <c r="CX367" t="str">
        <f ca="1">IF((OFFSET($A$1, 367 - 1, 100 - 1)) &gt;= (OFFSET($A$1, 80 - 1, 7 - 1)), "1","0")</f>
        <v>1</v>
      </c>
      <c r="CY367">
        <f ca="1" xml:space="preserve"> IF( AND( OFFSET($A$1, 367 - 1, 101 - 1) = "1", OFFSET($A$1, 367 - 1, 102 - 1) = "1" ), 1, IF( AND( OFFSET($A$1, 367 - 1, 101 - 1) = "1", OFFSET($A$1, 367 - 1, 102 - 1) = "0" ), 2, IF( AND( OFFSET($A$1, 367 - 1, 101 - 1) = "0", OFFSET($A$1, 367 - 1, 102 - 1) = "1" ), 3, 4 ) ) )</f>
        <v>1</v>
      </c>
    </row>
    <row r="368" spans="95:103" ht="13.8" x14ac:dyDescent="0.3">
      <c r="CQ368" s="24">
        <v>0.18346018844526274</v>
      </c>
      <c r="CR368" s="24" t="str">
        <f>"0"</f>
        <v>0</v>
      </c>
      <c r="CS368" t="str">
        <f ca="1">IF((OFFSET($A$1, 368 - 1, 95 - 1)) &gt;= (OFFSET($A$1, 56 - 1, 7 - 1)), "1","0")</f>
        <v>0</v>
      </c>
      <c r="CT368">
        <f ca="1" xml:space="preserve"> IF( AND( OFFSET($A$1, 368 - 1, 96 - 1) = "1", OFFSET($A$1, 368 - 1, 97 - 1) = "1" ), 1, IF( AND( OFFSET($A$1, 368 - 1, 96 - 1) = "1", OFFSET($A$1, 368 - 1, 97 - 1) = "0" ), 2, IF( AND( OFFSET($A$1, 368 - 1, 96 - 1) = "0", OFFSET($A$1, 368 - 1, 97 - 1) = "1" ), 3, 4 ) ) )</f>
        <v>4</v>
      </c>
      <c r="CV368" s="24">
        <v>0.99819077115509935</v>
      </c>
      <c r="CW368" s="24" t="str">
        <f t="shared" si="29"/>
        <v>1</v>
      </c>
      <c r="CX368" t="str">
        <f ca="1">IF((OFFSET($A$1, 368 - 1, 100 - 1)) &gt;= (OFFSET($A$1, 80 - 1, 7 - 1)), "1","0")</f>
        <v>1</v>
      </c>
      <c r="CY368">
        <f ca="1" xml:space="preserve"> IF( AND( OFFSET($A$1, 368 - 1, 101 - 1) = "1", OFFSET($A$1, 368 - 1, 102 - 1) = "1" ), 1, IF( AND( OFFSET($A$1, 368 - 1, 101 - 1) = "1", OFFSET($A$1, 368 - 1, 102 - 1) = "0" ), 2, IF( AND( OFFSET($A$1, 368 - 1, 101 - 1) = "0", OFFSET($A$1, 368 - 1, 102 - 1) = "1" ), 3, 4 ) ) )</f>
        <v>1</v>
      </c>
    </row>
    <row r="369" spans="95:103" ht="13.8" x14ac:dyDescent="0.3">
      <c r="CQ369" s="24">
        <v>0.92390549518466569</v>
      </c>
      <c r="CR369" s="24" t="str">
        <f t="shared" ref="CR369:CR376" si="30">"1"</f>
        <v>1</v>
      </c>
      <c r="CS369" t="str">
        <f ca="1">IF((OFFSET($A$1, 369 - 1, 95 - 1)) &gt;= (OFFSET($A$1, 56 - 1, 7 - 1)), "1","0")</f>
        <v>1</v>
      </c>
      <c r="CT369">
        <f ca="1" xml:space="preserve"> IF( AND( OFFSET($A$1, 369 - 1, 96 - 1) = "1", OFFSET($A$1, 369 - 1, 97 - 1) = "1" ), 1, IF( AND( OFFSET($A$1, 369 - 1, 96 - 1) = "1", OFFSET($A$1, 369 - 1, 97 - 1) = "0" ), 2, IF( AND( OFFSET($A$1, 369 - 1, 96 - 1) = "0", OFFSET($A$1, 369 - 1, 97 - 1) = "1" ), 3, 4 ) ) )</f>
        <v>1</v>
      </c>
      <c r="CV369" s="24">
        <v>0.9988092745345537</v>
      </c>
      <c r="CW369" s="24" t="str">
        <f t="shared" si="29"/>
        <v>1</v>
      </c>
      <c r="CX369" t="str">
        <f ca="1">IF((OFFSET($A$1, 369 - 1, 100 - 1)) &gt;= (OFFSET($A$1, 80 - 1, 7 - 1)), "1","0")</f>
        <v>1</v>
      </c>
      <c r="CY369">
        <f ca="1" xml:space="preserve"> IF( AND( OFFSET($A$1, 369 - 1, 101 - 1) = "1", OFFSET($A$1, 369 - 1, 102 - 1) = "1" ), 1, IF( AND( OFFSET($A$1, 369 - 1, 101 - 1) = "1", OFFSET($A$1, 369 - 1, 102 - 1) = "0" ), 2, IF( AND( OFFSET($A$1, 369 - 1, 101 - 1) = "0", OFFSET($A$1, 369 - 1, 102 - 1) = "1" ), 3, 4 ) ) )</f>
        <v>1</v>
      </c>
    </row>
    <row r="370" spans="95:103" ht="13.8" x14ac:dyDescent="0.3">
      <c r="CQ370" s="24">
        <v>0.85220600441177763</v>
      </c>
      <c r="CR370" s="24" t="str">
        <f t="shared" si="30"/>
        <v>1</v>
      </c>
      <c r="CS370" t="str">
        <f ca="1">IF((OFFSET($A$1, 370 - 1, 95 - 1)) &gt;= (OFFSET($A$1, 56 - 1, 7 - 1)), "1","0")</f>
        <v>1</v>
      </c>
      <c r="CT370">
        <f ca="1" xml:space="preserve"> IF( AND( OFFSET($A$1, 370 - 1, 96 - 1) = "1", OFFSET($A$1, 370 - 1, 97 - 1) = "1" ), 1, IF( AND( OFFSET($A$1, 370 - 1, 96 - 1) = "1", OFFSET($A$1, 370 - 1, 97 - 1) = "0" ), 2, IF( AND( OFFSET($A$1, 370 - 1, 96 - 1) = "0", OFFSET($A$1, 370 - 1, 97 - 1) = "1" ), 3, 4 ) ) )</f>
        <v>1</v>
      </c>
      <c r="CV370" s="24">
        <v>0.97584532000612112</v>
      </c>
      <c r="CW370" s="24" t="str">
        <f t="shared" si="29"/>
        <v>1</v>
      </c>
      <c r="CX370" t="str">
        <f ca="1">IF((OFFSET($A$1, 370 - 1, 100 - 1)) &gt;= (OFFSET($A$1, 80 - 1, 7 - 1)), "1","0")</f>
        <v>1</v>
      </c>
      <c r="CY370">
        <f ca="1" xml:space="preserve"> IF( AND( OFFSET($A$1, 370 - 1, 101 - 1) = "1", OFFSET($A$1, 370 - 1, 102 - 1) = "1" ), 1, IF( AND( OFFSET($A$1, 370 - 1, 101 - 1) = "1", OFFSET($A$1, 370 - 1, 102 - 1) = "0" ), 2, IF( AND( OFFSET($A$1, 370 - 1, 101 - 1) = "0", OFFSET($A$1, 370 - 1, 102 - 1) = "1" ), 3, 4 ) ) )</f>
        <v>1</v>
      </c>
    </row>
    <row r="371" spans="95:103" ht="13.8" x14ac:dyDescent="0.3">
      <c r="CQ371" s="24">
        <v>0.93089433428003976</v>
      </c>
      <c r="CR371" s="24" t="str">
        <f t="shared" si="30"/>
        <v>1</v>
      </c>
      <c r="CS371" t="str">
        <f ca="1">IF((OFFSET($A$1, 371 - 1, 95 - 1)) &gt;= (OFFSET($A$1, 56 - 1, 7 - 1)), "1","0")</f>
        <v>1</v>
      </c>
      <c r="CT371">
        <f ca="1" xml:space="preserve"> IF( AND( OFFSET($A$1, 371 - 1, 96 - 1) = "1", OFFSET($A$1, 371 - 1, 97 - 1) = "1" ), 1, IF( AND( OFFSET($A$1, 371 - 1, 96 - 1) = "1", OFFSET($A$1, 371 - 1, 97 - 1) = "0" ), 2, IF( AND( OFFSET($A$1, 371 - 1, 96 - 1) = "0", OFFSET($A$1, 371 - 1, 97 - 1) = "1" ), 3, 4 ) ) )</f>
        <v>1</v>
      </c>
      <c r="CV371" s="24">
        <v>0.78289765616480078</v>
      </c>
      <c r="CW371" s="24" t="str">
        <f t="shared" si="29"/>
        <v>1</v>
      </c>
      <c r="CX371" t="str">
        <f ca="1">IF((OFFSET($A$1, 371 - 1, 100 - 1)) &gt;= (OFFSET($A$1, 80 - 1, 7 - 1)), "1","0")</f>
        <v>1</v>
      </c>
      <c r="CY371">
        <f ca="1" xml:space="preserve"> IF( AND( OFFSET($A$1, 371 - 1, 101 - 1) = "1", OFFSET($A$1, 371 - 1, 102 - 1) = "1" ), 1, IF( AND( OFFSET($A$1, 371 - 1, 101 - 1) = "1", OFFSET($A$1, 371 - 1, 102 - 1) = "0" ), 2, IF( AND( OFFSET($A$1, 371 - 1, 101 - 1) = "0", OFFSET($A$1, 371 - 1, 102 - 1) = "1" ), 3, 4 ) ) )</f>
        <v>1</v>
      </c>
    </row>
    <row r="372" spans="95:103" ht="13.8" x14ac:dyDescent="0.3">
      <c r="CQ372" s="24">
        <v>0.99953516310941048</v>
      </c>
      <c r="CR372" s="24" t="str">
        <f t="shared" si="30"/>
        <v>1</v>
      </c>
      <c r="CS372" t="str">
        <f ca="1">IF((OFFSET($A$1, 372 - 1, 95 - 1)) &gt;= (OFFSET($A$1, 56 - 1, 7 - 1)), "1","0")</f>
        <v>1</v>
      </c>
      <c r="CT372">
        <f ca="1" xml:space="preserve"> IF( AND( OFFSET($A$1, 372 - 1, 96 - 1) = "1", OFFSET($A$1, 372 - 1, 97 - 1) = "1" ), 1, IF( AND( OFFSET($A$1, 372 - 1, 96 - 1) = "1", OFFSET($A$1, 372 - 1, 97 - 1) = "0" ), 2, IF( AND( OFFSET($A$1, 372 - 1, 96 - 1) = "0", OFFSET($A$1, 372 - 1, 97 - 1) = "1" ), 3, 4 ) ) )</f>
        <v>1</v>
      </c>
      <c r="CV372" s="24">
        <v>0.70402215901283938</v>
      </c>
      <c r="CW372" s="24" t="str">
        <f>"0"</f>
        <v>0</v>
      </c>
      <c r="CX372" t="str">
        <f ca="1">IF((OFFSET($A$1, 372 - 1, 100 - 1)) &gt;= (OFFSET($A$1, 80 - 1, 7 - 1)), "1","0")</f>
        <v>1</v>
      </c>
      <c r="CY372">
        <f ca="1" xml:space="preserve"> IF( AND( OFFSET($A$1, 372 - 1, 101 - 1) = "1", OFFSET($A$1, 372 - 1, 102 - 1) = "1" ), 1, IF( AND( OFFSET($A$1, 372 - 1, 101 - 1) = "1", OFFSET($A$1, 372 - 1, 102 - 1) = "0" ), 2, IF( AND( OFFSET($A$1, 372 - 1, 101 - 1) = "0", OFFSET($A$1, 372 - 1, 102 - 1) = "1" ), 3, 4 ) ) )</f>
        <v>3</v>
      </c>
    </row>
    <row r="373" spans="95:103" ht="13.8" x14ac:dyDescent="0.3">
      <c r="CQ373" s="24">
        <v>0.93489673302420251</v>
      </c>
      <c r="CR373" s="24" t="str">
        <f t="shared" si="30"/>
        <v>1</v>
      </c>
      <c r="CS373" t="str">
        <f ca="1">IF((OFFSET($A$1, 373 - 1, 95 - 1)) &gt;= (OFFSET($A$1, 56 - 1, 7 - 1)), "1","0")</f>
        <v>1</v>
      </c>
      <c r="CT373">
        <f ca="1" xml:space="preserve"> IF( AND( OFFSET($A$1, 373 - 1, 96 - 1) = "1", OFFSET($A$1, 373 - 1, 97 - 1) = "1" ), 1, IF( AND( OFFSET($A$1, 373 - 1, 96 - 1) = "1", OFFSET($A$1, 373 - 1, 97 - 1) = "0" ), 2, IF( AND( OFFSET($A$1, 373 - 1, 96 - 1) = "0", OFFSET($A$1, 373 - 1, 97 - 1) = "1" ), 3, 4 ) ) )</f>
        <v>1</v>
      </c>
      <c r="CV373" s="24">
        <v>0.95523206934053528</v>
      </c>
      <c r="CW373" s="24" t="str">
        <f>"0"</f>
        <v>0</v>
      </c>
      <c r="CX373" t="str">
        <f ca="1">IF((OFFSET($A$1, 373 - 1, 100 - 1)) &gt;= (OFFSET($A$1, 80 - 1, 7 - 1)), "1","0")</f>
        <v>1</v>
      </c>
      <c r="CY373">
        <f ca="1" xml:space="preserve"> IF( AND( OFFSET($A$1, 373 - 1, 101 - 1) = "1", OFFSET($A$1, 373 - 1, 102 - 1) = "1" ), 1, IF( AND( OFFSET($A$1, 373 - 1, 101 - 1) = "1", OFFSET($A$1, 373 - 1, 102 - 1) = "0" ), 2, IF( AND( OFFSET($A$1, 373 - 1, 101 - 1) = "0", OFFSET($A$1, 373 - 1, 102 - 1) = "1" ), 3, 4 ) ) )</f>
        <v>3</v>
      </c>
    </row>
    <row r="374" spans="95:103" ht="13.8" x14ac:dyDescent="0.3">
      <c r="CQ374" s="24">
        <v>0.93461091070731106</v>
      </c>
      <c r="CR374" s="24" t="str">
        <f t="shared" si="30"/>
        <v>1</v>
      </c>
      <c r="CS374" t="str">
        <f ca="1">IF((OFFSET($A$1, 374 - 1, 95 - 1)) &gt;= (OFFSET($A$1, 56 - 1, 7 - 1)), "1","0")</f>
        <v>1</v>
      </c>
      <c r="CT374">
        <f ca="1" xml:space="preserve"> IF( AND( OFFSET($A$1, 374 - 1, 96 - 1) = "1", OFFSET($A$1, 374 - 1, 97 - 1) = "1" ), 1, IF( AND( OFFSET($A$1, 374 - 1, 96 - 1) = "1", OFFSET($A$1, 374 - 1, 97 - 1) = "0" ), 2, IF( AND( OFFSET($A$1, 374 - 1, 96 - 1) = "0", OFFSET($A$1, 374 - 1, 97 - 1) = "1" ), 3, 4 ) ) )</f>
        <v>1</v>
      </c>
      <c r="CV374" s="24">
        <v>3.7110634673333098E-3</v>
      </c>
      <c r="CW374" s="24" t="str">
        <f>"0"</f>
        <v>0</v>
      </c>
      <c r="CX374" t="str">
        <f ca="1">IF((OFFSET($A$1, 374 - 1, 100 - 1)) &gt;= (OFFSET($A$1, 80 - 1, 7 - 1)), "1","0")</f>
        <v>0</v>
      </c>
      <c r="CY374">
        <f ca="1" xml:space="preserve"> IF( AND( OFFSET($A$1, 374 - 1, 101 - 1) = "1", OFFSET($A$1, 374 - 1, 102 - 1) = "1" ), 1, IF( AND( OFFSET($A$1, 374 - 1, 101 - 1) = "1", OFFSET($A$1, 374 - 1, 102 - 1) = "0" ), 2, IF( AND( OFFSET($A$1, 374 - 1, 101 - 1) = "0", OFFSET($A$1, 374 - 1, 102 - 1) = "1" ), 3, 4 ) ) )</f>
        <v>4</v>
      </c>
    </row>
    <row r="375" spans="95:103" ht="13.8" x14ac:dyDescent="0.3">
      <c r="CQ375" s="24">
        <v>0.99908573908602316</v>
      </c>
      <c r="CR375" s="24" t="str">
        <f t="shared" si="30"/>
        <v>1</v>
      </c>
      <c r="CS375" t="str">
        <f ca="1">IF((OFFSET($A$1, 375 - 1, 95 - 1)) &gt;= (OFFSET($A$1, 56 - 1, 7 - 1)), "1","0")</f>
        <v>1</v>
      </c>
      <c r="CT375">
        <f ca="1" xml:space="preserve"> IF( AND( OFFSET($A$1, 375 - 1, 96 - 1) = "1", OFFSET($A$1, 375 - 1, 97 - 1) = "1" ), 1, IF( AND( OFFSET($A$1, 375 - 1, 96 - 1) = "1", OFFSET($A$1, 375 - 1, 97 - 1) = "0" ), 2, IF( AND( OFFSET($A$1, 375 - 1, 96 - 1) = "0", OFFSET($A$1, 375 - 1, 97 - 1) = "1" ), 3, 4 ) ) )</f>
        <v>1</v>
      </c>
      <c r="CV375" s="24">
        <v>0.99601577447734135</v>
      </c>
      <c r="CW375" s="24" t="str">
        <f>"1"</f>
        <v>1</v>
      </c>
      <c r="CX375" t="str">
        <f ca="1">IF((OFFSET($A$1, 375 - 1, 100 - 1)) &gt;= (OFFSET($A$1, 80 - 1, 7 - 1)), "1","0")</f>
        <v>1</v>
      </c>
      <c r="CY375">
        <f ca="1" xml:space="preserve"> IF( AND( OFFSET($A$1, 375 - 1, 101 - 1) = "1", OFFSET($A$1, 375 - 1, 102 - 1) = "1" ), 1, IF( AND( OFFSET($A$1, 375 - 1, 101 - 1) = "1", OFFSET($A$1, 375 - 1, 102 - 1) = "0" ), 2, IF( AND( OFFSET($A$1, 375 - 1, 101 - 1) = "0", OFFSET($A$1, 375 - 1, 102 - 1) = "1" ), 3, 4 ) ) )</f>
        <v>1</v>
      </c>
    </row>
    <row r="376" spans="95:103" ht="13.8" x14ac:dyDescent="0.3">
      <c r="CQ376" s="24">
        <v>0.9806402224376205</v>
      </c>
      <c r="CR376" s="24" t="str">
        <f t="shared" si="30"/>
        <v>1</v>
      </c>
      <c r="CS376" t="str">
        <f ca="1">IF((OFFSET($A$1, 376 - 1, 95 - 1)) &gt;= (OFFSET($A$1, 56 - 1, 7 - 1)), "1","0")</f>
        <v>1</v>
      </c>
      <c r="CT376">
        <f ca="1" xml:space="preserve"> IF( AND( OFFSET($A$1, 376 - 1, 96 - 1) = "1", OFFSET($A$1, 376 - 1, 97 - 1) = "1" ), 1, IF( AND( OFFSET($A$1, 376 - 1, 96 - 1) = "1", OFFSET($A$1, 376 - 1, 97 - 1) = "0" ), 2, IF( AND( OFFSET($A$1, 376 - 1, 96 - 1) = "0", OFFSET($A$1, 376 - 1, 97 - 1) = "1" ), 3, 4 ) ) )</f>
        <v>1</v>
      </c>
      <c r="CV376" s="24">
        <v>0.56860417782787276</v>
      </c>
      <c r="CW376" s="24" t="str">
        <f>"0"</f>
        <v>0</v>
      </c>
      <c r="CX376" t="str">
        <f ca="1">IF((OFFSET($A$1, 376 - 1, 100 - 1)) &gt;= (OFFSET($A$1, 80 - 1, 7 - 1)), "1","0")</f>
        <v>1</v>
      </c>
      <c r="CY376">
        <f ca="1" xml:space="preserve"> IF( AND( OFFSET($A$1, 376 - 1, 101 - 1) = "1", OFFSET($A$1, 376 - 1, 102 - 1) = "1" ), 1, IF( AND( OFFSET($A$1, 376 - 1, 101 - 1) = "1", OFFSET($A$1, 376 - 1, 102 - 1) = "0" ), 2, IF( AND( OFFSET($A$1, 376 - 1, 101 - 1) = "0", OFFSET($A$1, 376 - 1, 102 - 1) = "1" ), 3, 4 ) ) )</f>
        <v>3</v>
      </c>
    </row>
    <row r="377" spans="95:103" ht="13.8" x14ac:dyDescent="0.3">
      <c r="CQ377" s="24">
        <v>4.0991566142014801E-3</v>
      </c>
      <c r="CR377" s="24" t="str">
        <f>"0"</f>
        <v>0</v>
      </c>
      <c r="CS377" t="str">
        <f ca="1">IF((OFFSET($A$1, 377 - 1, 95 - 1)) &gt;= (OFFSET($A$1, 56 - 1, 7 - 1)), "1","0")</f>
        <v>0</v>
      </c>
      <c r="CT377">
        <f ca="1" xml:space="preserve"> IF( AND( OFFSET($A$1, 377 - 1, 96 - 1) = "1", OFFSET($A$1, 377 - 1, 97 - 1) = "1" ), 1, IF( AND( OFFSET($A$1, 377 - 1, 96 - 1) = "1", OFFSET($A$1, 377 - 1, 97 - 1) = "0" ), 2, IF( AND( OFFSET($A$1, 377 - 1, 96 - 1) = "0", OFFSET($A$1, 377 - 1, 97 - 1) = "1" ), 3, 4 ) ) )</f>
        <v>4</v>
      </c>
      <c r="CV377" s="24">
        <v>0.99844554039273303</v>
      </c>
      <c r="CW377" s="24" t="str">
        <f t="shared" ref="CW377:CW387" si="31">"1"</f>
        <v>1</v>
      </c>
      <c r="CX377" t="str">
        <f ca="1">IF((OFFSET($A$1, 377 - 1, 100 - 1)) &gt;= (OFFSET($A$1, 80 - 1, 7 - 1)), "1","0")</f>
        <v>1</v>
      </c>
      <c r="CY377">
        <f ca="1" xml:space="preserve"> IF( AND( OFFSET($A$1, 377 - 1, 101 - 1) = "1", OFFSET($A$1, 377 - 1, 102 - 1) = "1" ), 1, IF( AND( OFFSET($A$1, 377 - 1, 101 - 1) = "1", OFFSET($A$1, 377 - 1, 102 - 1) = "0" ), 2, IF( AND( OFFSET($A$1, 377 - 1, 101 - 1) = "0", OFFSET($A$1, 377 - 1, 102 - 1) = "1" ), 3, 4 ) ) )</f>
        <v>1</v>
      </c>
    </row>
    <row r="378" spans="95:103" ht="13.8" x14ac:dyDescent="0.3">
      <c r="CQ378" s="24">
        <v>0.93095721855826086</v>
      </c>
      <c r="CR378" s="24" t="str">
        <f>"1"</f>
        <v>1</v>
      </c>
      <c r="CS378" t="str">
        <f ca="1">IF((OFFSET($A$1, 378 - 1, 95 - 1)) &gt;= (OFFSET($A$1, 56 - 1, 7 - 1)), "1","0")</f>
        <v>1</v>
      </c>
      <c r="CT378">
        <f ca="1" xml:space="preserve"> IF( AND( OFFSET($A$1, 378 - 1, 96 - 1) = "1", OFFSET($A$1, 378 - 1, 97 - 1) = "1" ), 1, IF( AND( OFFSET($A$1, 378 - 1, 96 - 1) = "1", OFFSET($A$1, 378 - 1, 97 - 1) = "0" ), 2, IF( AND( OFFSET($A$1, 378 - 1, 96 - 1) = "0", OFFSET($A$1, 378 - 1, 97 - 1) = "1" ), 3, 4 ) ) )</f>
        <v>1</v>
      </c>
      <c r="CV378" s="24">
        <v>0.13417650633216063</v>
      </c>
      <c r="CW378" s="24" t="str">
        <f t="shared" si="31"/>
        <v>1</v>
      </c>
      <c r="CX378" t="str">
        <f ca="1">IF((OFFSET($A$1, 378 - 1, 100 - 1)) &gt;= (OFFSET($A$1, 80 - 1, 7 - 1)), "1","0")</f>
        <v>0</v>
      </c>
      <c r="CY378">
        <f ca="1" xml:space="preserve"> IF( AND( OFFSET($A$1, 378 - 1, 101 - 1) = "1", OFFSET($A$1, 378 - 1, 102 - 1) = "1" ), 1, IF( AND( OFFSET($A$1, 378 - 1, 101 - 1) = "1", OFFSET($A$1, 378 - 1, 102 - 1) = "0" ), 2, IF( AND( OFFSET($A$1, 378 - 1, 101 - 1) = "0", OFFSET($A$1, 378 - 1, 102 - 1) = "1" ), 3, 4 ) ) )</f>
        <v>2</v>
      </c>
    </row>
    <row r="379" spans="95:103" ht="13.8" x14ac:dyDescent="0.3">
      <c r="CQ379" s="24">
        <v>0.99748286018266696</v>
      </c>
      <c r="CR379" s="24" t="str">
        <f>"0"</f>
        <v>0</v>
      </c>
      <c r="CS379" t="str">
        <f ca="1">IF((OFFSET($A$1, 379 - 1, 95 - 1)) &gt;= (OFFSET($A$1, 56 - 1, 7 - 1)), "1","0")</f>
        <v>1</v>
      </c>
      <c r="CT379">
        <f ca="1" xml:space="preserve"> IF( AND( OFFSET($A$1, 379 - 1, 96 - 1) = "1", OFFSET($A$1, 379 - 1, 97 - 1) = "1" ), 1, IF( AND( OFFSET($A$1, 379 - 1, 96 - 1) = "1", OFFSET($A$1, 379 - 1, 97 - 1) = "0" ), 2, IF( AND( OFFSET($A$1, 379 - 1, 96 - 1) = "0", OFFSET($A$1, 379 - 1, 97 - 1) = "1" ), 3, 4 ) ) )</f>
        <v>3</v>
      </c>
      <c r="CV379" s="24">
        <v>0.97397953392412651</v>
      </c>
      <c r="CW379" s="24" t="str">
        <f t="shared" si="31"/>
        <v>1</v>
      </c>
      <c r="CX379" t="str">
        <f ca="1">IF((OFFSET($A$1, 379 - 1, 100 - 1)) &gt;= (OFFSET($A$1, 80 - 1, 7 - 1)), "1","0")</f>
        <v>1</v>
      </c>
      <c r="CY379">
        <f ca="1" xml:space="preserve"> IF( AND( OFFSET($A$1, 379 - 1, 101 - 1) = "1", OFFSET($A$1, 379 - 1, 102 - 1) = "1" ), 1, IF( AND( OFFSET($A$1, 379 - 1, 101 - 1) = "1", OFFSET($A$1, 379 - 1, 102 - 1) = "0" ), 2, IF( AND( OFFSET($A$1, 379 - 1, 101 - 1) = "0", OFFSET($A$1, 379 - 1, 102 - 1) = "1" ), 3, 4 ) ) )</f>
        <v>1</v>
      </c>
    </row>
    <row r="380" spans="95:103" ht="13.8" x14ac:dyDescent="0.3">
      <c r="CQ380" s="24">
        <v>0.27379896013428884</v>
      </c>
      <c r="CR380" s="24" t="str">
        <f>"0"</f>
        <v>0</v>
      </c>
      <c r="CS380" t="str">
        <f ca="1">IF((OFFSET($A$1, 380 - 1, 95 - 1)) &gt;= (OFFSET($A$1, 56 - 1, 7 - 1)), "1","0")</f>
        <v>0</v>
      </c>
      <c r="CT380">
        <f ca="1" xml:space="preserve"> IF( AND( OFFSET($A$1, 380 - 1, 96 - 1) = "1", OFFSET($A$1, 380 - 1, 97 - 1) = "1" ), 1, IF( AND( OFFSET($A$1, 380 - 1, 96 - 1) = "1", OFFSET($A$1, 380 - 1, 97 - 1) = "0" ), 2, IF( AND( OFFSET($A$1, 380 - 1, 96 - 1) = "0", OFFSET($A$1, 380 - 1, 97 - 1) = "1" ), 3, 4 ) ) )</f>
        <v>4</v>
      </c>
      <c r="CV380" s="24">
        <v>0.12605095433996366</v>
      </c>
      <c r="CW380" s="24" t="str">
        <f t="shared" si="31"/>
        <v>1</v>
      </c>
      <c r="CX380" t="str">
        <f ca="1">IF((OFFSET($A$1, 380 - 1, 100 - 1)) &gt;= (OFFSET($A$1, 80 - 1, 7 - 1)), "1","0")</f>
        <v>0</v>
      </c>
      <c r="CY380">
        <f ca="1" xml:space="preserve"> IF( AND( OFFSET($A$1, 380 - 1, 101 - 1) = "1", OFFSET($A$1, 380 - 1, 102 - 1) = "1" ), 1, IF( AND( OFFSET($A$1, 380 - 1, 101 - 1) = "1", OFFSET($A$1, 380 - 1, 102 - 1) = "0" ), 2, IF( AND( OFFSET($A$1, 380 - 1, 101 - 1) = "0", OFFSET($A$1, 380 - 1, 102 - 1) = "1" ), 3, 4 ) ) )</f>
        <v>2</v>
      </c>
    </row>
    <row r="381" spans="95:103" ht="13.8" x14ac:dyDescent="0.3">
      <c r="CQ381" s="24">
        <v>0.17332155879529762</v>
      </c>
      <c r="CR381" s="24" t="str">
        <f>"0"</f>
        <v>0</v>
      </c>
      <c r="CS381" t="str">
        <f ca="1">IF((OFFSET($A$1, 381 - 1, 95 - 1)) &gt;= (OFFSET($A$1, 56 - 1, 7 - 1)), "1","0")</f>
        <v>0</v>
      </c>
      <c r="CT381">
        <f ca="1" xml:space="preserve"> IF( AND( OFFSET($A$1, 381 - 1, 96 - 1) = "1", OFFSET($A$1, 381 - 1, 97 - 1) = "1" ), 1, IF( AND( OFFSET($A$1, 381 - 1, 96 - 1) = "1", OFFSET($A$1, 381 - 1, 97 - 1) = "0" ), 2, IF( AND( OFFSET($A$1, 381 - 1, 96 - 1) = "0", OFFSET($A$1, 381 - 1, 97 - 1) = "1" ), 3, 4 ) ) )</f>
        <v>4</v>
      </c>
      <c r="CV381" s="24">
        <v>0.99724933537474492</v>
      </c>
      <c r="CW381" s="24" t="str">
        <f t="shared" si="31"/>
        <v>1</v>
      </c>
      <c r="CX381" t="str">
        <f ca="1">IF((OFFSET($A$1, 381 - 1, 100 - 1)) &gt;= (OFFSET($A$1, 80 - 1, 7 - 1)), "1","0")</f>
        <v>1</v>
      </c>
      <c r="CY381">
        <f ca="1" xml:space="preserve"> IF( AND( OFFSET($A$1, 381 - 1, 101 - 1) = "1", OFFSET($A$1, 381 - 1, 102 - 1) = "1" ), 1, IF( AND( OFFSET($A$1, 381 - 1, 101 - 1) = "1", OFFSET($A$1, 381 - 1, 102 - 1) = "0" ), 2, IF( AND( OFFSET($A$1, 381 - 1, 101 - 1) = "0", OFFSET($A$1, 381 - 1, 102 - 1) = "1" ), 3, 4 ) ) )</f>
        <v>1</v>
      </c>
    </row>
    <row r="382" spans="95:103" ht="13.8" x14ac:dyDescent="0.3">
      <c r="CQ382" s="24">
        <v>0.99811432843687176</v>
      </c>
      <c r="CR382" s="24" t="str">
        <f>"1"</f>
        <v>1</v>
      </c>
      <c r="CS382" t="str">
        <f ca="1">IF((OFFSET($A$1, 382 - 1, 95 - 1)) &gt;= (OFFSET($A$1, 56 - 1, 7 - 1)), "1","0")</f>
        <v>1</v>
      </c>
      <c r="CT382">
        <f ca="1" xml:space="preserve"> IF( AND( OFFSET($A$1, 382 - 1, 96 - 1) = "1", OFFSET($A$1, 382 - 1, 97 - 1) = "1" ), 1, IF( AND( OFFSET($A$1, 382 - 1, 96 - 1) = "1", OFFSET($A$1, 382 - 1, 97 - 1) = "0" ), 2, IF( AND( OFFSET($A$1, 382 - 1, 96 - 1) = "0", OFFSET($A$1, 382 - 1, 97 - 1) = "1" ), 3, 4 ) ) )</f>
        <v>1</v>
      </c>
      <c r="CV382" s="24">
        <v>0.83028124195848063</v>
      </c>
      <c r="CW382" s="24" t="str">
        <f t="shared" si="31"/>
        <v>1</v>
      </c>
      <c r="CX382" t="str">
        <f ca="1">IF((OFFSET($A$1, 382 - 1, 100 - 1)) &gt;= (OFFSET($A$1, 80 - 1, 7 - 1)), "1","0")</f>
        <v>1</v>
      </c>
      <c r="CY382">
        <f ca="1" xml:space="preserve"> IF( AND( OFFSET($A$1, 382 - 1, 101 - 1) = "1", OFFSET($A$1, 382 - 1, 102 - 1) = "1" ), 1, IF( AND( OFFSET($A$1, 382 - 1, 101 - 1) = "1", OFFSET($A$1, 382 - 1, 102 - 1) = "0" ), 2, IF( AND( OFFSET($A$1, 382 - 1, 101 - 1) = "0", OFFSET($A$1, 382 - 1, 102 - 1) = "1" ), 3, 4 ) ) )</f>
        <v>1</v>
      </c>
    </row>
    <row r="383" spans="95:103" ht="13.8" x14ac:dyDescent="0.3">
      <c r="CQ383" s="24">
        <v>0.1301332052391854</v>
      </c>
      <c r="CR383" s="24" t="str">
        <f>"0"</f>
        <v>0</v>
      </c>
      <c r="CS383" t="str">
        <f ca="1">IF((OFFSET($A$1, 383 - 1, 95 - 1)) &gt;= (OFFSET($A$1, 56 - 1, 7 - 1)), "1","0")</f>
        <v>0</v>
      </c>
      <c r="CT383">
        <f ca="1" xml:space="preserve"> IF( AND( OFFSET($A$1, 383 - 1, 96 - 1) = "1", OFFSET($A$1, 383 - 1, 97 - 1) = "1" ), 1, IF( AND( OFFSET($A$1, 383 - 1, 96 - 1) = "1", OFFSET($A$1, 383 - 1, 97 - 1) = "0" ), 2, IF( AND( OFFSET($A$1, 383 - 1, 96 - 1) = "0", OFFSET($A$1, 383 - 1, 97 - 1) = "1" ), 3, 4 ) ) )</f>
        <v>4</v>
      </c>
      <c r="CV383" s="24">
        <v>0.9972498867632168</v>
      </c>
      <c r="CW383" s="24" t="str">
        <f t="shared" si="31"/>
        <v>1</v>
      </c>
      <c r="CX383" t="str">
        <f ca="1">IF((OFFSET($A$1, 383 - 1, 100 - 1)) &gt;= (OFFSET($A$1, 80 - 1, 7 - 1)), "1","0")</f>
        <v>1</v>
      </c>
      <c r="CY383">
        <f ca="1" xml:space="preserve"> IF( AND( OFFSET($A$1, 383 - 1, 101 - 1) = "1", OFFSET($A$1, 383 - 1, 102 - 1) = "1" ), 1, IF( AND( OFFSET($A$1, 383 - 1, 101 - 1) = "1", OFFSET($A$1, 383 - 1, 102 - 1) = "0" ), 2, IF( AND( OFFSET($A$1, 383 - 1, 101 - 1) = "0", OFFSET($A$1, 383 - 1, 102 - 1) = "1" ), 3, 4 ) ) )</f>
        <v>1</v>
      </c>
    </row>
    <row r="384" spans="95:103" ht="13.8" x14ac:dyDescent="0.3">
      <c r="CQ384" s="24">
        <v>0.99995638191161318</v>
      </c>
      <c r="CR384" s="24" t="str">
        <f>"1"</f>
        <v>1</v>
      </c>
      <c r="CS384" t="str">
        <f ca="1">IF((OFFSET($A$1, 384 - 1, 95 - 1)) &gt;= (OFFSET($A$1, 56 - 1, 7 - 1)), "1","0")</f>
        <v>1</v>
      </c>
      <c r="CT384">
        <f ca="1" xml:space="preserve"> IF( AND( OFFSET($A$1, 384 - 1, 96 - 1) = "1", OFFSET($A$1, 384 - 1, 97 - 1) = "1" ), 1, IF( AND( OFFSET($A$1, 384 - 1, 96 - 1) = "1", OFFSET($A$1, 384 - 1, 97 - 1) = "0" ), 2, IF( AND( OFFSET($A$1, 384 - 1, 96 - 1) = "0", OFFSET($A$1, 384 - 1, 97 - 1) = "1" ), 3, 4 ) ) )</f>
        <v>1</v>
      </c>
      <c r="CV384" s="24">
        <v>0.98686982293235437</v>
      </c>
      <c r="CW384" s="24" t="str">
        <f t="shared" si="31"/>
        <v>1</v>
      </c>
      <c r="CX384" t="str">
        <f ca="1">IF((OFFSET($A$1, 384 - 1, 100 - 1)) &gt;= (OFFSET($A$1, 80 - 1, 7 - 1)), "1","0")</f>
        <v>1</v>
      </c>
      <c r="CY384">
        <f ca="1" xml:space="preserve"> IF( AND( OFFSET($A$1, 384 - 1, 101 - 1) = "1", OFFSET($A$1, 384 - 1, 102 - 1) = "1" ), 1, IF( AND( OFFSET($A$1, 384 - 1, 101 - 1) = "1", OFFSET($A$1, 384 - 1, 102 - 1) = "0" ), 2, IF( AND( OFFSET($A$1, 384 - 1, 101 - 1) = "0", OFFSET($A$1, 384 - 1, 102 - 1) = "1" ), 3, 4 ) ) )</f>
        <v>1</v>
      </c>
    </row>
    <row r="385" spans="95:103" ht="13.8" x14ac:dyDescent="0.3">
      <c r="CQ385" s="24">
        <v>0.91191941540742294</v>
      </c>
      <c r="CR385" s="24" t="str">
        <f>"1"</f>
        <v>1</v>
      </c>
      <c r="CS385" t="str">
        <f ca="1">IF((OFFSET($A$1, 385 - 1, 95 - 1)) &gt;= (OFFSET($A$1, 56 - 1, 7 - 1)), "1","0")</f>
        <v>1</v>
      </c>
      <c r="CT385">
        <f ca="1" xml:space="preserve"> IF( AND( OFFSET($A$1, 385 - 1, 96 - 1) = "1", OFFSET($A$1, 385 - 1, 97 - 1) = "1" ), 1, IF( AND( OFFSET($A$1, 385 - 1, 96 - 1) = "1", OFFSET($A$1, 385 - 1, 97 - 1) = "0" ), 2, IF( AND( OFFSET($A$1, 385 - 1, 96 - 1) = "0", OFFSET($A$1, 385 - 1, 97 - 1) = "1" ), 3, 4 ) ) )</f>
        <v>1</v>
      </c>
      <c r="CV385" s="24">
        <v>0.9745156168482616</v>
      </c>
      <c r="CW385" s="24" t="str">
        <f t="shared" si="31"/>
        <v>1</v>
      </c>
      <c r="CX385" t="str">
        <f ca="1">IF((OFFSET($A$1, 385 - 1, 100 - 1)) &gt;= (OFFSET($A$1, 80 - 1, 7 - 1)), "1","0")</f>
        <v>1</v>
      </c>
      <c r="CY385">
        <f ca="1" xml:space="preserve"> IF( AND( OFFSET($A$1, 385 - 1, 101 - 1) = "1", OFFSET($A$1, 385 - 1, 102 - 1) = "1" ), 1, IF( AND( OFFSET($A$1, 385 - 1, 101 - 1) = "1", OFFSET($A$1, 385 - 1, 102 - 1) = "0" ), 2, IF( AND( OFFSET($A$1, 385 - 1, 101 - 1) = "0", OFFSET($A$1, 385 - 1, 102 - 1) = "1" ), 3, 4 ) ) )</f>
        <v>1</v>
      </c>
    </row>
    <row r="386" spans="95:103" ht="13.8" x14ac:dyDescent="0.3">
      <c r="CQ386" s="24">
        <v>7.5682777829968661E-3</v>
      </c>
      <c r="CR386" s="24" t="str">
        <f>"0"</f>
        <v>0</v>
      </c>
      <c r="CS386" t="str">
        <f ca="1">IF((OFFSET($A$1, 386 - 1, 95 - 1)) &gt;= (OFFSET($A$1, 56 - 1, 7 - 1)), "1","0")</f>
        <v>0</v>
      </c>
      <c r="CT386">
        <f ca="1" xml:space="preserve"> IF( AND( OFFSET($A$1, 386 - 1, 96 - 1) = "1", OFFSET($A$1, 386 - 1, 97 - 1) = "1" ), 1, IF( AND( OFFSET($A$1, 386 - 1, 96 - 1) = "1", OFFSET($A$1, 386 - 1, 97 - 1) = "0" ), 2, IF( AND( OFFSET($A$1, 386 - 1, 96 - 1) = "0", OFFSET($A$1, 386 - 1, 97 - 1) = "1" ), 3, 4 ) ) )</f>
        <v>4</v>
      </c>
      <c r="CV386" s="24">
        <v>0.67461537902419777</v>
      </c>
      <c r="CW386" s="24" t="str">
        <f t="shared" si="31"/>
        <v>1</v>
      </c>
      <c r="CX386" t="str">
        <f ca="1">IF((OFFSET($A$1, 386 - 1, 100 - 1)) &gt;= (OFFSET($A$1, 80 - 1, 7 - 1)), "1","0")</f>
        <v>1</v>
      </c>
      <c r="CY386">
        <f ca="1" xml:space="preserve"> IF( AND( OFFSET($A$1, 386 - 1, 101 - 1) = "1", OFFSET($A$1, 386 - 1, 102 - 1) = "1" ), 1, IF( AND( OFFSET($A$1, 386 - 1, 101 - 1) = "1", OFFSET($A$1, 386 - 1, 102 - 1) = "0" ), 2, IF( AND( OFFSET($A$1, 386 - 1, 101 - 1) = "0", OFFSET($A$1, 386 - 1, 102 - 1) = "1" ), 3, 4 ) ) )</f>
        <v>1</v>
      </c>
    </row>
    <row r="387" spans="95:103" ht="13.8" x14ac:dyDescent="0.3">
      <c r="CQ387" s="24">
        <v>0.98326830134854482</v>
      </c>
      <c r="CR387" s="24" t="str">
        <f t="shared" ref="CR387:CR392" si="32">"1"</f>
        <v>1</v>
      </c>
      <c r="CS387" t="str">
        <f ca="1">IF((OFFSET($A$1, 387 - 1, 95 - 1)) &gt;= (OFFSET($A$1, 56 - 1, 7 - 1)), "1","0")</f>
        <v>1</v>
      </c>
      <c r="CT387">
        <f ca="1" xml:space="preserve"> IF( AND( OFFSET($A$1, 387 - 1, 96 - 1) = "1", OFFSET($A$1, 387 - 1, 97 - 1) = "1" ), 1, IF( AND( OFFSET($A$1, 387 - 1, 96 - 1) = "1", OFFSET($A$1, 387 - 1, 97 - 1) = "0" ), 2, IF( AND( OFFSET($A$1, 387 - 1, 96 - 1) = "0", OFFSET($A$1, 387 - 1, 97 - 1) = "1" ), 3, 4 ) ) )</f>
        <v>1</v>
      </c>
      <c r="CV387" s="24">
        <v>0.99971893809842338</v>
      </c>
      <c r="CW387" s="24" t="str">
        <f t="shared" si="31"/>
        <v>1</v>
      </c>
      <c r="CX387" t="str">
        <f ca="1">IF((OFFSET($A$1, 387 - 1, 100 - 1)) &gt;= (OFFSET($A$1, 80 - 1, 7 - 1)), "1","0")</f>
        <v>1</v>
      </c>
      <c r="CY387">
        <f ca="1" xml:space="preserve"> IF( AND( OFFSET($A$1, 387 - 1, 101 - 1) = "1", OFFSET($A$1, 387 - 1, 102 - 1) = "1" ), 1, IF( AND( OFFSET($A$1, 387 - 1, 101 - 1) = "1", OFFSET($A$1, 387 - 1, 102 - 1) = "0" ), 2, IF( AND( OFFSET($A$1, 387 - 1, 101 - 1) = "0", OFFSET($A$1, 387 - 1, 102 - 1) = "1" ), 3, 4 ) ) )</f>
        <v>1</v>
      </c>
    </row>
    <row r="388" spans="95:103" ht="13.8" x14ac:dyDescent="0.3">
      <c r="CQ388" s="24">
        <v>0.99272992693832995</v>
      </c>
      <c r="CR388" s="24" t="str">
        <f t="shared" si="32"/>
        <v>1</v>
      </c>
      <c r="CS388" t="str">
        <f ca="1">IF((OFFSET($A$1, 388 - 1, 95 - 1)) &gt;= (OFFSET($A$1, 56 - 1, 7 - 1)), "1","0")</f>
        <v>1</v>
      </c>
      <c r="CT388">
        <f ca="1" xml:space="preserve"> IF( AND( OFFSET($A$1, 388 - 1, 96 - 1) = "1", OFFSET($A$1, 388 - 1, 97 - 1) = "1" ), 1, IF( AND( OFFSET($A$1, 388 - 1, 96 - 1) = "1", OFFSET($A$1, 388 - 1, 97 - 1) = "0" ), 2, IF( AND( OFFSET($A$1, 388 - 1, 96 - 1) = "0", OFFSET($A$1, 388 - 1, 97 - 1) = "1" ), 3, 4 ) ) )</f>
        <v>1</v>
      </c>
      <c r="CV388" s="24">
        <v>7.7777791280119565E-2</v>
      </c>
      <c r="CW388" s="24" t="str">
        <f>"0"</f>
        <v>0</v>
      </c>
      <c r="CX388" t="str">
        <f ca="1">IF((OFFSET($A$1, 388 - 1, 100 - 1)) &gt;= (OFFSET($A$1, 80 - 1, 7 - 1)), "1","0")</f>
        <v>0</v>
      </c>
      <c r="CY388">
        <f ca="1" xml:space="preserve"> IF( AND( OFFSET($A$1, 388 - 1, 101 - 1) = "1", OFFSET($A$1, 388 - 1, 102 - 1) = "1" ), 1, IF( AND( OFFSET($A$1, 388 - 1, 101 - 1) = "1", OFFSET($A$1, 388 - 1, 102 - 1) = "0" ), 2, IF( AND( OFFSET($A$1, 388 - 1, 101 - 1) = "0", OFFSET($A$1, 388 - 1, 102 - 1) = "1" ), 3, 4 ) ) )</f>
        <v>4</v>
      </c>
    </row>
    <row r="389" spans="95:103" ht="13.8" x14ac:dyDescent="0.3">
      <c r="CQ389" s="24">
        <v>0.95853701817857395</v>
      </c>
      <c r="CR389" s="24" t="str">
        <f t="shared" si="32"/>
        <v>1</v>
      </c>
      <c r="CS389" t="str">
        <f ca="1">IF((OFFSET($A$1, 389 - 1, 95 - 1)) &gt;= (OFFSET($A$1, 56 - 1, 7 - 1)), "1","0")</f>
        <v>1</v>
      </c>
      <c r="CT389">
        <f ca="1" xml:space="preserve"> IF( AND( OFFSET($A$1, 389 - 1, 96 - 1) = "1", OFFSET($A$1, 389 - 1, 97 - 1) = "1" ), 1, IF( AND( OFFSET($A$1, 389 - 1, 96 - 1) = "1", OFFSET($A$1, 389 - 1, 97 - 1) = "0" ), 2, IF( AND( OFFSET($A$1, 389 - 1, 96 - 1) = "0", OFFSET($A$1, 389 - 1, 97 - 1) = "1" ), 3, 4 ) ) )</f>
        <v>1</v>
      </c>
      <c r="CV389" s="24">
        <v>0.99999442609085631</v>
      </c>
      <c r="CW389" s="24" t="str">
        <f>"1"</f>
        <v>1</v>
      </c>
      <c r="CX389" t="str">
        <f ca="1">IF((OFFSET($A$1, 389 - 1, 100 - 1)) &gt;= (OFFSET($A$1, 80 - 1, 7 - 1)), "1","0")</f>
        <v>1</v>
      </c>
      <c r="CY389">
        <f ca="1" xml:space="preserve"> IF( AND( OFFSET($A$1, 389 - 1, 101 - 1) = "1", OFFSET($A$1, 389 - 1, 102 - 1) = "1" ), 1, IF( AND( OFFSET($A$1, 389 - 1, 101 - 1) = "1", OFFSET($A$1, 389 - 1, 102 - 1) = "0" ), 2, IF( AND( OFFSET($A$1, 389 - 1, 101 - 1) = "0", OFFSET($A$1, 389 - 1, 102 - 1) = "1" ), 3, 4 ) ) )</f>
        <v>1</v>
      </c>
    </row>
    <row r="390" spans="95:103" ht="13.8" x14ac:dyDescent="0.3">
      <c r="CQ390" s="24">
        <v>0.94119545437992869</v>
      </c>
      <c r="CR390" s="24" t="str">
        <f t="shared" si="32"/>
        <v>1</v>
      </c>
      <c r="CS390" t="str">
        <f ca="1">IF((OFFSET($A$1, 390 - 1, 95 - 1)) &gt;= (OFFSET($A$1, 56 - 1, 7 - 1)), "1","0")</f>
        <v>1</v>
      </c>
      <c r="CT390">
        <f ca="1" xml:space="preserve"> IF( AND( OFFSET($A$1, 390 - 1, 96 - 1) = "1", OFFSET($A$1, 390 - 1, 97 - 1) = "1" ), 1, IF( AND( OFFSET($A$1, 390 - 1, 96 - 1) = "1", OFFSET($A$1, 390 - 1, 97 - 1) = "0" ), 2, IF( AND( OFFSET($A$1, 390 - 1, 96 - 1) = "0", OFFSET($A$1, 390 - 1, 97 - 1) = "1" ), 3, 4 ) ) )</f>
        <v>1</v>
      </c>
      <c r="CV390" s="24">
        <v>2.6077755992801519E-2</v>
      </c>
      <c r="CW390" s="24" t="str">
        <f>"0"</f>
        <v>0</v>
      </c>
      <c r="CX390" t="str">
        <f ca="1">IF((OFFSET($A$1, 390 - 1, 100 - 1)) &gt;= (OFFSET($A$1, 80 - 1, 7 - 1)), "1","0")</f>
        <v>0</v>
      </c>
      <c r="CY390">
        <f ca="1" xml:space="preserve"> IF( AND( OFFSET($A$1, 390 - 1, 101 - 1) = "1", OFFSET($A$1, 390 - 1, 102 - 1) = "1" ), 1, IF( AND( OFFSET($A$1, 390 - 1, 101 - 1) = "1", OFFSET($A$1, 390 - 1, 102 - 1) = "0" ), 2, IF( AND( OFFSET($A$1, 390 - 1, 101 - 1) = "0", OFFSET($A$1, 390 - 1, 102 - 1) = "1" ), 3, 4 ) ) )</f>
        <v>4</v>
      </c>
    </row>
    <row r="391" spans="95:103" ht="13.8" x14ac:dyDescent="0.3">
      <c r="CQ391" s="24">
        <v>0.99998287161848076</v>
      </c>
      <c r="CR391" s="24" t="str">
        <f t="shared" si="32"/>
        <v>1</v>
      </c>
      <c r="CS391" t="str">
        <f ca="1">IF((OFFSET($A$1, 391 - 1, 95 - 1)) &gt;= (OFFSET($A$1, 56 - 1, 7 - 1)), "1","0")</f>
        <v>1</v>
      </c>
      <c r="CT391">
        <f ca="1" xml:space="preserve"> IF( AND( OFFSET($A$1, 391 - 1, 96 - 1) = "1", OFFSET($A$1, 391 - 1, 97 - 1) = "1" ), 1, IF( AND( OFFSET($A$1, 391 - 1, 96 - 1) = "1", OFFSET($A$1, 391 - 1, 97 - 1) = "0" ), 2, IF( AND( OFFSET($A$1, 391 - 1, 96 - 1) = "0", OFFSET($A$1, 391 - 1, 97 - 1) = "1" ), 3, 4 ) ) )</f>
        <v>1</v>
      </c>
      <c r="CV391" s="24">
        <v>0.67989290170609529</v>
      </c>
      <c r="CW391" s="24" t="str">
        <f>"1"</f>
        <v>1</v>
      </c>
      <c r="CX391" t="str">
        <f ca="1">IF((OFFSET($A$1, 391 - 1, 100 - 1)) &gt;= (OFFSET($A$1, 80 - 1, 7 - 1)), "1","0")</f>
        <v>1</v>
      </c>
      <c r="CY391">
        <f ca="1" xml:space="preserve"> IF( AND( OFFSET($A$1, 391 - 1, 101 - 1) = "1", OFFSET($A$1, 391 - 1, 102 - 1) = "1" ), 1, IF( AND( OFFSET($A$1, 391 - 1, 101 - 1) = "1", OFFSET($A$1, 391 - 1, 102 - 1) = "0" ), 2, IF( AND( OFFSET($A$1, 391 - 1, 101 - 1) = "0", OFFSET($A$1, 391 - 1, 102 - 1) = "1" ), 3, 4 ) ) )</f>
        <v>1</v>
      </c>
    </row>
    <row r="392" spans="95:103" ht="13.8" x14ac:dyDescent="0.3">
      <c r="CQ392" s="24">
        <v>0.99969721012229129</v>
      </c>
      <c r="CR392" s="24" t="str">
        <f t="shared" si="32"/>
        <v>1</v>
      </c>
      <c r="CS392" t="str">
        <f ca="1">IF((OFFSET($A$1, 392 - 1, 95 - 1)) &gt;= (OFFSET($A$1, 56 - 1, 7 - 1)), "1","0")</f>
        <v>1</v>
      </c>
      <c r="CT392">
        <f ca="1" xml:space="preserve"> IF( AND( OFFSET($A$1, 392 - 1, 96 - 1) = "1", OFFSET($A$1, 392 - 1, 97 - 1) = "1" ), 1, IF( AND( OFFSET($A$1, 392 - 1, 96 - 1) = "1", OFFSET($A$1, 392 - 1, 97 - 1) = "0" ), 2, IF( AND( OFFSET($A$1, 392 - 1, 96 - 1) = "0", OFFSET($A$1, 392 - 1, 97 - 1) = "1" ), 3, 4 ) ) )</f>
        <v>1</v>
      </c>
      <c r="CV392" s="24">
        <v>0.99991858970569192</v>
      </c>
      <c r="CW392" s="24" t="str">
        <f>"1"</f>
        <v>1</v>
      </c>
      <c r="CX392" t="str">
        <f ca="1">IF((OFFSET($A$1, 392 - 1, 100 - 1)) &gt;= (OFFSET($A$1, 80 - 1, 7 - 1)), "1","0")</f>
        <v>1</v>
      </c>
      <c r="CY392">
        <f ca="1" xml:space="preserve"> IF( AND( OFFSET($A$1, 392 - 1, 101 - 1) = "1", OFFSET($A$1, 392 - 1, 102 - 1) = "1" ), 1, IF( AND( OFFSET($A$1, 392 - 1, 101 - 1) = "1", OFFSET($A$1, 392 - 1, 102 - 1) = "0" ), 2, IF( AND( OFFSET($A$1, 392 - 1, 101 - 1) = "0", OFFSET($A$1, 392 - 1, 102 - 1) = "1" ), 3, 4 ) ) )</f>
        <v>1</v>
      </c>
    </row>
    <row r="393" spans="95:103" ht="13.8" x14ac:dyDescent="0.3">
      <c r="CQ393" s="24">
        <v>1.9124088800700006E-3</v>
      </c>
      <c r="CR393" s="24" t="str">
        <f>"0"</f>
        <v>0</v>
      </c>
      <c r="CS393" t="str">
        <f ca="1">IF((OFFSET($A$1, 393 - 1, 95 - 1)) &gt;= (OFFSET($A$1, 56 - 1, 7 - 1)), "1","0")</f>
        <v>0</v>
      </c>
      <c r="CT393">
        <f ca="1" xml:space="preserve"> IF( AND( OFFSET($A$1, 393 - 1, 96 - 1) = "1", OFFSET($A$1, 393 - 1, 97 - 1) = "1" ), 1, IF( AND( OFFSET($A$1, 393 - 1, 96 - 1) = "1", OFFSET($A$1, 393 - 1, 97 - 1) = "0" ), 2, IF( AND( OFFSET($A$1, 393 - 1, 96 - 1) = "0", OFFSET($A$1, 393 - 1, 97 - 1) = "1" ), 3, 4 ) ) )</f>
        <v>4</v>
      </c>
      <c r="CV393" s="24">
        <v>0.99691443011699632</v>
      </c>
      <c r="CW393" s="24" t="str">
        <f>"0"</f>
        <v>0</v>
      </c>
      <c r="CX393" t="str">
        <f ca="1">IF((OFFSET($A$1, 393 - 1, 100 - 1)) &gt;= (OFFSET($A$1, 80 - 1, 7 - 1)), "1","0")</f>
        <v>1</v>
      </c>
      <c r="CY393">
        <f ca="1" xml:space="preserve"> IF( AND( OFFSET($A$1, 393 - 1, 101 - 1) = "1", OFFSET($A$1, 393 - 1, 102 - 1) = "1" ), 1, IF( AND( OFFSET($A$1, 393 - 1, 101 - 1) = "1", OFFSET($A$1, 393 - 1, 102 - 1) = "0" ), 2, IF( AND( OFFSET($A$1, 393 - 1, 101 - 1) = "0", OFFSET($A$1, 393 - 1, 102 - 1) = "1" ), 3, 4 ) ) )</f>
        <v>3</v>
      </c>
    </row>
    <row r="394" spans="95:103" ht="13.8" x14ac:dyDescent="0.3">
      <c r="CQ394" s="24">
        <v>0.99981494936423365</v>
      </c>
      <c r="CR394" s="24" t="str">
        <f>"1"</f>
        <v>1</v>
      </c>
      <c r="CS394" t="str">
        <f ca="1">IF((OFFSET($A$1, 394 - 1, 95 - 1)) &gt;= (OFFSET($A$1, 56 - 1, 7 - 1)), "1","0")</f>
        <v>1</v>
      </c>
      <c r="CT394">
        <f ca="1" xml:space="preserve"> IF( AND( OFFSET($A$1, 394 - 1, 96 - 1) = "1", OFFSET($A$1, 394 - 1, 97 - 1) = "1" ), 1, IF( AND( OFFSET($A$1, 394 - 1, 96 - 1) = "1", OFFSET($A$1, 394 - 1, 97 - 1) = "0" ), 2, IF( AND( OFFSET($A$1, 394 - 1, 96 - 1) = "0", OFFSET($A$1, 394 - 1, 97 - 1) = "1" ), 3, 4 ) ) )</f>
        <v>1</v>
      </c>
      <c r="CV394" s="24">
        <v>0.2020493518550372</v>
      </c>
      <c r="CW394" s="24" t="str">
        <f>"1"</f>
        <v>1</v>
      </c>
      <c r="CX394" t="str">
        <f ca="1">IF((OFFSET($A$1, 394 - 1, 100 - 1)) &gt;= (OFFSET($A$1, 80 - 1, 7 - 1)), "1","0")</f>
        <v>0</v>
      </c>
      <c r="CY394">
        <f ca="1" xml:space="preserve"> IF( AND( OFFSET($A$1, 394 - 1, 101 - 1) = "1", OFFSET($A$1, 394 - 1, 102 - 1) = "1" ), 1, IF( AND( OFFSET($A$1, 394 - 1, 101 - 1) = "1", OFFSET($A$1, 394 - 1, 102 - 1) = "0" ), 2, IF( AND( OFFSET($A$1, 394 - 1, 101 - 1) = "0", OFFSET($A$1, 394 - 1, 102 - 1) = "1" ), 3, 4 ) ) )</f>
        <v>2</v>
      </c>
    </row>
    <row r="395" spans="95:103" ht="13.8" x14ac:dyDescent="0.3">
      <c r="CQ395" s="24">
        <v>0.93965631970685759</v>
      </c>
      <c r="CR395" s="24" t="str">
        <f>"1"</f>
        <v>1</v>
      </c>
      <c r="CS395" t="str">
        <f ca="1">IF((OFFSET($A$1, 395 - 1, 95 - 1)) &gt;= (OFFSET($A$1, 56 - 1, 7 - 1)), "1","0")</f>
        <v>1</v>
      </c>
      <c r="CT395">
        <f ca="1" xml:space="preserve"> IF( AND( OFFSET($A$1, 395 - 1, 96 - 1) = "1", OFFSET($A$1, 395 - 1, 97 - 1) = "1" ), 1, IF( AND( OFFSET($A$1, 395 - 1, 96 - 1) = "1", OFFSET($A$1, 395 - 1, 97 - 1) = "0" ), 2, IF( AND( OFFSET($A$1, 395 - 1, 96 - 1) = "0", OFFSET($A$1, 395 - 1, 97 - 1) = "1" ), 3, 4 ) ) )</f>
        <v>1</v>
      </c>
      <c r="CV395" s="24">
        <v>0.28089177615100441</v>
      </c>
      <c r="CW395" s="24" t="str">
        <f>"0"</f>
        <v>0</v>
      </c>
      <c r="CX395" t="str">
        <f ca="1">IF((OFFSET($A$1, 395 - 1, 100 - 1)) &gt;= (OFFSET($A$1, 80 - 1, 7 - 1)), "1","0")</f>
        <v>0</v>
      </c>
      <c r="CY395">
        <f ca="1" xml:space="preserve"> IF( AND( OFFSET($A$1, 395 - 1, 101 - 1) = "1", OFFSET($A$1, 395 - 1, 102 - 1) = "1" ), 1, IF( AND( OFFSET($A$1, 395 - 1, 101 - 1) = "1", OFFSET($A$1, 395 - 1, 102 - 1) = "0" ), 2, IF( AND( OFFSET($A$1, 395 - 1, 101 - 1) = "0", OFFSET($A$1, 395 - 1, 102 - 1) = "1" ), 3, 4 ) ) )</f>
        <v>4</v>
      </c>
    </row>
    <row r="396" spans="95:103" ht="13.8" x14ac:dyDescent="0.3">
      <c r="CQ396" s="24">
        <v>0.99108190902011717</v>
      </c>
      <c r="CR396" s="24" t="str">
        <f>"0"</f>
        <v>0</v>
      </c>
      <c r="CS396" t="str">
        <f ca="1">IF((OFFSET($A$1, 396 - 1, 95 - 1)) &gt;= (OFFSET($A$1, 56 - 1, 7 - 1)), "1","0")</f>
        <v>1</v>
      </c>
      <c r="CT396">
        <f ca="1" xml:space="preserve"> IF( AND( OFFSET($A$1, 396 - 1, 96 - 1) = "1", OFFSET($A$1, 396 - 1, 97 - 1) = "1" ), 1, IF( AND( OFFSET($A$1, 396 - 1, 96 - 1) = "1", OFFSET($A$1, 396 - 1, 97 - 1) = "0" ), 2, IF( AND( OFFSET($A$1, 396 - 1, 96 - 1) = "0", OFFSET($A$1, 396 - 1, 97 - 1) = "1" ), 3, 4 ) ) )</f>
        <v>3</v>
      </c>
      <c r="CV396" s="24">
        <v>0.99745659634547701</v>
      </c>
      <c r="CW396" s="24" t="str">
        <f>"1"</f>
        <v>1</v>
      </c>
      <c r="CX396" t="str">
        <f ca="1">IF((OFFSET($A$1, 396 - 1, 100 - 1)) &gt;= (OFFSET($A$1, 80 - 1, 7 - 1)), "1","0")</f>
        <v>1</v>
      </c>
      <c r="CY396">
        <f ca="1" xml:space="preserve"> IF( AND( OFFSET($A$1, 396 - 1, 101 - 1) = "1", OFFSET($A$1, 396 - 1, 102 - 1) = "1" ), 1, IF( AND( OFFSET($A$1, 396 - 1, 101 - 1) = "1", OFFSET($A$1, 396 - 1, 102 - 1) = "0" ), 2, IF( AND( OFFSET($A$1, 396 - 1, 101 - 1) = "0", OFFSET($A$1, 396 - 1, 102 - 1) = "1" ), 3, 4 ) ) )</f>
        <v>1</v>
      </c>
    </row>
    <row r="397" spans="95:103" ht="13.8" x14ac:dyDescent="0.3">
      <c r="CQ397" s="24">
        <v>0.92228628211210983</v>
      </c>
      <c r="CR397" s="24" t="str">
        <f>"1"</f>
        <v>1</v>
      </c>
      <c r="CS397" t="str">
        <f ca="1">IF((OFFSET($A$1, 397 - 1, 95 - 1)) &gt;= (OFFSET($A$1, 56 - 1, 7 - 1)), "1","0")</f>
        <v>1</v>
      </c>
      <c r="CT397">
        <f ca="1" xml:space="preserve"> IF( AND( OFFSET($A$1, 397 - 1, 96 - 1) = "1", OFFSET($A$1, 397 - 1, 97 - 1) = "1" ), 1, IF( AND( OFFSET($A$1, 397 - 1, 96 - 1) = "1", OFFSET($A$1, 397 - 1, 97 - 1) = "0" ), 2, IF( AND( OFFSET($A$1, 397 - 1, 96 - 1) = "0", OFFSET($A$1, 397 - 1, 97 - 1) = "1" ), 3, 4 ) ) )</f>
        <v>1</v>
      </c>
      <c r="CV397" s="24">
        <v>0.90555302976686292</v>
      </c>
      <c r="CW397" s="24" t="str">
        <f>"1"</f>
        <v>1</v>
      </c>
      <c r="CX397" t="str">
        <f ca="1">IF((OFFSET($A$1, 397 - 1, 100 - 1)) &gt;= (OFFSET($A$1, 80 - 1, 7 - 1)), "1","0")</f>
        <v>1</v>
      </c>
      <c r="CY397">
        <f ca="1" xml:space="preserve"> IF( AND( OFFSET($A$1, 397 - 1, 101 - 1) = "1", OFFSET($A$1, 397 - 1, 102 - 1) = "1" ), 1, IF( AND( OFFSET($A$1, 397 - 1, 101 - 1) = "1", OFFSET($A$1, 397 - 1, 102 - 1) = "0" ), 2, IF( AND( OFFSET($A$1, 397 - 1, 101 - 1) = "0", OFFSET($A$1, 397 - 1, 102 - 1) = "1" ), 3, 4 ) ) )</f>
        <v>1</v>
      </c>
    </row>
    <row r="398" spans="95:103" ht="13.8" x14ac:dyDescent="0.3">
      <c r="CQ398" s="24">
        <v>6.6513020480007498E-2</v>
      </c>
      <c r="CR398" s="24" t="str">
        <f>"0"</f>
        <v>0</v>
      </c>
      <c r="CS398" t="str">
        <f ca="1">IF((OFFSET($A$1, 398 - 1, 95 - 1)) &gt;= (OFFSET($A$1, 56 - 1, 7 - 1)), "1","0")</f>
        <v>0</v>
      </c>
      <c r="CT398">
        <f ca="1" xml:space="preserve"> IF( AND( OFFSET($A$1, 398 - 1, 96 - 1) = "1", OFFSET($A$1, 398 - 1, 97 - 1) = "1" ), 1, IF( AND( OFFSET($A$1, 398 - 1, 96 - 1) = "1", OFFSET($A$1, 398 - 1, 97 - 1) = "0" ), 2, IF( AND( OFFSET($A$1, 398 - 1, 96 - 1) = "0", OFFSET($A$1, 398 - 1, 97 - 1) = "1" ), 3, 4 ) ) )</f>
        <v>4</v>
      </c>
      <c r="CV398" s="24">
        <v>0.99978215561690942</v>
      </c>
      <c r="CW398" s="24" t="str">
        <f>"1"</f>
        <v>1</v>
      </c>
      <c r="CX398" t="str">
        <f ca="1">IF((OFFSET($A$1, 398 - 1, 100 - 1)) &gt;= (OFFSET($A$1, 80 - 1, 7 - 1)), "1","0")</f>
        <v>1</v>
      </c>
      <c r="CY398">
        <f ca="1" xml:space="preserve"> IF( AND( OFFSET($A$1, 398 - 1, 101 - 1) = "1", OFFSET($A$1, 398 - 1, 102 - 1) = "1" ), 1, IF( AND( OFFSET($A$1, 398 - 1, 101 - 1) = "1", OFFSET($A$1, 398 - 1, 102 - 1) = "0" ), 2, IF( AND( OFFSET($A$1, 398 - 1, 101 - 1) = "0", OFFSET($A$1, 398 - 1, 102 - 1) = "1" ), 3, 4 ) ) )</f>
        <v>1</v>
      </c>
    </row>
    <row r="399" spans="95:103" ht="13.8" x14ac:dyDescent="0.3">
      <c r="CQ399" s="24">
        <v>0.3644788035158204</v>
      </c>
      <c r="CR399" s="24" t="str">
        <f>"0"</f>
        <v>0</v>
      </c>
      <c r="CS399" t="str">
        <f ca="1">IF((OFFSET($A$1, 399 - 1, 95 - 1)) &gt;= (OFFSET($A$1, 56 - 1, 7 - 1)), "1","0")</f>
        <v>0</v>
      </c>
      <c r="CT399">
        <f ca="1" xml:space="preserve"> IF( AND( OFFSET($A$1, 399 - 1, 96 - 1) = "1", OFFSET($A$1, 399 - 1, 97 - 1) = "1" ), 1, IF( AND( OFFSET($A$1, 399 - 1, 96 - 1) = "1", OFFSET($A$1, 399 - 1, 97 - 1) = "0" ), 2, IF( AND( OFFSET($A$1, 399 - 1, 96 - 1) = "0", OFFSET($A$1, 399 - 1, 97 - 1) = "1" ), 3, 4 ) ) )</f>
        <v>4</v>
      </c>
      <c r="CV399" s="24">
        <v>0.98436014691471141</v>
      </c>
      <c r="CW399" s="24" t="str">
        <f>"0"</f>
        <v>0</v>
      </c>
      <c r="CX399" t="str">
        <f ca="1">IF((OFFSET($A$1, 399 - 1, 100 - 1)) &gt;= (OFFSET($A$1, 80 - 1, 7 - 1)), "1","0")</f>
        <v>1</v>
      </c>
      <c r="CY399">
        <f ca="1" xml:space="preserve"> IF( AND( OFFSET($A$1, 399 - 1, 101 - 1) = "1", OFFSET($A$1, 399 - 1, 102 - 1) = "1" ), 1, IF( AND( OFFSET($A$1, 399 - 1, 101 - 1) = "1", OFFSET($A$1, 399 - 1, 102 - 1) = "0" ), 2, IF( AND( OFFSET($A$1, 399 - 1, 101 - 1) = "0", OFFSET($A$1, 399 - 1, 102 - 1) = "1" ), 3, 4 ) ) )</f>
        <v>3</v>
      </c>
    </row>
    <row r="400" spans="95:103" ht="13.8" x14ac:dyDescent="0.3">
      <c r="CQ400" s="24">
        <v>4.4901595230150949E-2</v>
      </c>
      <c r="CR400" s="24" t="str">
        <f>"0"</f>
        <v>0</v>
      </c>
      <c r="CS400" t="str">
        <f ca="1">IF((OFFSET($A$1, 400 - 1, 95 - 1)) &gt;= (OFFSET($A$1, 56 - 1, 7 - 1)), "1","0")</f>
        <v>0</v>
      </c>
      <c r="CT400">
        <f ca="1" xml:space="preserve"> IF( AND( OFFSET($A$1, 400 - 1, 96 - 1) = "1", OFFSET($A$1, 400 - 1, 97 - 1) = "1" ), 1, IF( AND( OFFSET($A$1, 400 - 1, 96 - 1) = "1", OFFSET($A$1, 400 - 1, 97 - 1) = "0" ), 2, IF( AND( OFFSET($A$1, 400 - 1, 96 - 1) = "0", OFFSET($A$1, 400 - 1, 97 - 1) = "1" ), 3, 4 ) ) )</f>
        <v>4</v>
      </c>
      <c r="CV400" s="24">
        <v>0.23883678926411125</v>
      </c>
      <c r="CW400" s="24" t="str">
        <f>"1"</f>
        <v>1</v>
      </c>
      <c r="CX400" t="str">
        <f ca="1">IF((OFFSET($A$1, 400 - 1, 100 - 1)) &gt;= (OFFSET($A$1, 80 - 1, 7 - 1)), "1","0")</f>
        <v>0</v>
      </c>
      <c r="CY400">
        <f ca="1" xml:space="preserve"> IF( AND( OFFSET($A$1, 400 - 1, 101 - 1) = "1", OFFSET($A$1, 400 - 1, 102 - 1) = "1" ), 1, IF( AND( OFFSET($A$1, 400 - 1, 101 - 1) = "1", OFFSET($A$1, 400 - 1, 102 - 1) = "0" ), 2, IF( AND( OFFSET($A$1, 400 - 1, 101 - 1) = "0", OFFSET($A$1, 400 - 1, 102 - 1) = "1" ), 3, 4 ) ) )</f>
        <v>2</v>
      </c>
    </row>
    <row r="401" spans="95:98" ht="13.8" x14ac:dyDescent="0.3">
      <c r="CQ401" s="24">
        <v>0.87011888710340823</v>
      </c>
      <c r="CR401" s="24" t="str">
        <f>"1"</f>
        <v>1</v>
      </c>
      <c r="CS401" t="str">
        <f ca="1">IF((OFFSET($A$1, 401 - 1, 95 - 1)) &gt;= (OFFSET($A$1, 56 - 1, 7 - 1)), "1","0")</f>
        <v>1</v>
      </c>
      <c r="CT401">
        <f ca="1" xml:space="preserve"> IF( AND( OFFSET($A$1, 401 - 1, 96 - 1) = "1", OFFSET($A$1, 401 - 1, 97 - 1) = "1" ), 1, IF( AND( OFFSET($A$1, 401 - 1, 96 - 1) = "1", OFFSET($A$1, 401 - 1, 97 - 1) = "0" ), 2, IF( AND( OFFSET($A$1, 401 - 1, 96 - 1) = "0", OFFSET($A$1, 401 - 1, 97 - 1) = "1" ), 3, 4 ) ) )</f>
        <v>1</v>
      </c>
    </row>
    <row r="402" spans="95:98" ht="13.8" x14ac:dyDescent="0.3">
      <c r="CQ402" s="24">
        <v>0.99923998945714487</v>
      </c>
      <c r="CR402" s="24" t="str">
        <f>"1"</f>
        <v>1</v>
      </c>
      <c r="CS402" t="str">
        <f ca="1">IF((OFFSET($A$1, 402 - 1, 95 - 1)) &gt;= (OFFSET($A$1, 56 - 1, 7 - 1)), "1","0")</f>
        <v>1</v>
      </c>
      <c r="CT402">
        <f ca="1" xml:space="preserve"> IF( AND( OFFSET($A$1, 402 - 1, 96 - 1) = "1", OFFSET($A$1, 402 - 1, 97 - 1) = "1" ), 1, IF( AND( OFFSET($A$1, 402 - 1, 96 - 1) = "1", OFFSET($A$1, 402 - 1, 97 - 1) = "0" ), 2, IF( AND( OFFSET($A$1, 402 - 1, 96 - 1) = "0", OFFSET($A$1, 402 - 1, 97 - 1) = "1" ), 3, 4 ) ) )</f>
        <v>1</v>
      </c>
    </row>
    <row r="403" spans="95:98" ht="13.8" x14ac:dyDescent="0.3">
      <c r="CQ403" s="24">
        <v>0.99975708944748443</v>
      </c>
      <c r="CR403" s="24" t="str">
        <f>"1"</f>
        <v>1</v>
      </c>
      <c r="CS403" t="str">
        <f ca="1">IF((OFFSET($A$1, 403 - 1, 95 - 1)) &gt;= (OFFSET($A$1, 56 - 1, 7 - 1)), "1","0")</f>
        <v>1</v>
      </c>
      <c r="CT403">
        <f ca="1" xml:space="preserve"> IF( AND( OFFSET($A$1, 403 - 1, 96 - 1) = "1", OFFSET($A$1, 403 - 1, 97 - 1) = "1" ), 1, IF( AND( OFFSET($A$1, 403 - 1, 96 - 1) = "1", OFFSET($A$1, 403 - 1, 97 - 1) = "0" ), 2, IF( AND( OFFSET($A$1, 403 - 1, 96 - 1) = "0", OFFSET($A$1, 403 - 1, 97 - 1) = "1" ), 3, 4 ) ) )</f>
        <v>1</v>
      </c>
    </row>
    <row r="404" spans="95:98" ht="13.8" x14ac:dyDescent="0.3">
      <c r="CQ404" s="24">
        <v>0.14938880381348155</v>
      </c>
      <c r="CR404" s="24" t="str">
        <f>"1"</f>
        <v>1</v>
      </c>
      <c r="CS404" t="str">
        <f ca="1">IF((OFFSET($A$1, 404 - 1, 95 - 1)) &gt;= (OFFSET($A$1, 56 - 1, 7 - 1)), "1","0")</f>
        <v>0</v>
      </c>
      <c r="CT404">
        <f ca="1" xml:space="preserve"> IF( AND( OFFSET($A$1, 404 - 1, 96 - 1) = "1", OFFSET($A$1, 404 - 1, 97 - 1) = "1" ), 1, IF( AND( OFFSET($A$1, 404 - 1, 96 - 1) = "1", OFFSET($A$1, 404 - 1, 97 - 1) = "0" ), 2, IF( AND( OFFSET($A$1, 404 - 1, 96 - 1) = "0", OFFSET($A$1, 404 - 1, 97 - 1) = "1" ), 3, 4 ) ) )</f>
        <v>2</v>
      </c>
    </row>
    <row r="405" spans="95:98" ht="13.8" x14ac:dyDescent="0.3">
      <c r="CQ405" s="24">
        <v>0.27767329055260609</v>
      </c>
      <c r="CR405" s="24" t="str">
        <f>"0"</f>
        <v>0</v>
      </c>
      <c r="CS405" t="str">
        <f ca="1">IF((OFFSET($A$1, 405 - 1, 95 - 1)) &gt;= (OFFSET($A$1, 56 - 1, 7 - 1)), "1","0")</f>
        <v>0</v>
      </c>
      <c r="CT405">
        <f ca="1" xml:space="preserve"> IF( AND( OFFSET($A$1, 405 - 1, 96 - 1) = "1", OFFSET($A$1, 405 - 1, 97 - 1) = "1" ), 1, IF( AND( OFFSET($A$1, 405 - 1, 96 - 1) = "1", OFFSET($A$1, 405 - 1, 97 - 1) = "0" ), 2, IF( AND( OFFSET($A$1, 405 - 1, 96 - 1) = "0", OFFSET($A$1, 405 - 1, 97 - 1) = "1" ), 3, 4 ) ) )</f>
        <v>4</v>
      </c>
    </row>
    <row r="406" spans="95:98" ht="13.8" x14ac:dyDescent="0.3">
      <c r="CQ406" s="24">
        <v>0.97262469118390038</v>
      </c>
      <c r="CR406" s="24" t="str">
        <f>"1"</f>
        <v>1</v>
      </c>
      <c r="CS406" t="str">
        <f ca="1">IF((OFFSET($A$1, 406 - 1, 95 - 1)) &gt;= (OFFSET($A$1, 56 - 1, 7 - 1)), "1","0")</f>
        <v>1</v>
      </c>
      <c r="CT406">
        <f ca="1" xml:space="preserve"> IF( AND( OFFSET($A$1, 406 - 1, 96 - 1) = "1", OFFSET($A$1, 406 - 1, 97 - 1) = "1" ), 1, IF( AND( OFFSET($A$1, 406 - 1, 96 - 1) = "1", OFFSET($A$1, 406 - 1, 97 - 1) = "0" ), 2, IF( AND( OFFSET($A$1, 406 - 1, 96 - 1) = "0", OFFSET($A$1, 406 - 1, 97 - 1) = "1" ), 3, 4 ) ) )</f>
        <v>1</v>
      </c>
    </row>
    <row r="407" spans="95:98" ht="13.8" x14ac:dyDescent="0.3">
      <c r="CQ407" s="24">
        <v>0.21392179201747213</v>
      </c>
      <c r="CR407" s="24" t="str">
        <f>"0"</f>
        <v>0</v>
      </c>
      <c r="CS407" t="str">
        <f ca="1">IF((OFFSET($A$1, 407 - 1, 95 - 1)) &gt;= (OFFSET($A$1, 56 - 1, 7 - 1)), "1","0")</f>
        <v>0</v>
      </c>
      <c r="CT407">
        <f ca="1" xml:space="preserve"> IF( AND( OFFSET($A$1, 407 - 1, 96 - 1) = "1", OFFSET($A$1, 407 - 1, 97 - 1) = "1" ), 1, IF( AND( OFFSET($A$1, 407 - 1, 96 - 1) = "1", OFFSET($A$1, 407 - 1, 97 - 1) = "0" ), 2, IF( AND( OFFSET($A$1, 407 - 1, 96 - 1) = "0", OFFSET($A$1, 407 - 1, 97 - 1) = "1" ), 3, 4 ) ) )</f>
        <v>4</v>
      </c>
    </row>
    <row r="408" spans="95:98" ht="13.8" x14ac:dyDescent="0.3">
      <c r="CQ408" s="24">
        <v>0.16039079304082721</v>
      </c>
      <c r="CR408" s="24" t="str">
        <f>"0"</f>
        <v>0</v>
      </c>
      <c r="CS408" t="str">
        <f ca="1">IF((OFFSET($A$1, 408 - 1, 95 - 1)) &gt;= (OFFSET($A$1, 56 - 1, 7 - 1)), "1","0")</f>
        <v>0</v>
      </c>
      <c r="CT408">
        <f ca="1" xml:space="preserve"> IF( AND( OFFSET($A$1, 408 - 1, 96 - 1) = "1", OFFSET($A$1, 408 - 1, 97 - 1) = "1" ), 1, IF( AND( OFFSET($A$1, 408 - 1, 96 - 1) = "1", OFFSET($A$1, 408 - 1, 97 - 1) = "0" ), 2, IF( AND( OFFSET($A$1, 408 - 1, 96 - 1) = "0", OFFSET($A$1, 408 - 1, 97 - 1) = "1" ), 3, 4 ) ) )</f>
        <v>4</v>
      </c>
    </row>
    <row r="409" spans="95:98" ht="13.8" x14ac:dyDescent="0.3">
      <c r="CQ409" s="24">
        <v>0.99086181606126933</v>
      </c>
      <c r="CR409" s="24" t="str">
        <f>"1"</f>
        <v>1</v>
      </c>
      <c r="CS409" t="str">
        <f ca="1">IF((OFFSET($A$1, 409 - 1, 95 - 1)) &gt;= (OFFSET($A$1, 56 - 1, 7 - 1)), "1","0")</f>
        <v>1</v>
      </c>
      <c r="CT409">
        <f ca="1" xml:space="preserve"> IF( AND( OFFSET($A$1, 409 - 1, 96 - 1) = "1", OFFSET($A$1, 409 - 1, 97 - 1) = "1" ), 1, IF( AND( OFFSET($A$1, 409 - 1, 96 - 1) = "1", OFFSET($A$1, 409 - 1, 97 - 1) = "0" ), 2, IF( AND( OFFSET($A$1, 409 - 1, 96 - 1) = "0", OFFSET($A$1, 409 - 1, 97 - 1) = "1" ), 3, 4 ) ) )</f>
        <v>1</v>
      </c>
    </row>
    <row r="410" spans="95:98" ht="13.8" x14ac:dyDescent="0.3">
      <c r="CQ410" s="24">
        <v>0.39292410161198138</v>
      </c>
      <c r="CR410" s="24" t="str">
        <f>"0"</f>
        <v>0</v>
      </c>
      <c r="CS410" t="str">
        <f ca="1">IF((OFFSET($A$1, 410 - 1, 95 - 1)) &gt;= (OFFSET($A$1, 56 - 1, 7 - 1)), "1","0")</f>
        <v>0</v>
      </c>
      <c r="CT410">
        <f ca="1" xml:space="preserve"> IF( AND( OFFSET($A$1, 410 - 1, 96 - 1) = "1", OFFSET($A$1, 410 - 1, 97 - 1) = "1" ), 1, IF( AND( OFFSET($A$1, 410 - 1, 96 - 1) = "1", OFFSET($A$1, 410 - 1, 97 - 1) = "0" ), 2, IF( AND( OFFSET($A$1, 410 - 1, 96 - 1) = "0", OFFSET($A$1, 410 - 1, 97 - 1) = "1" ), 3, 4 ) ) )</f>
        <v>4</v>
      </c>
    </row>
    <row r="411" spans="95:98" ht="13.8" x14ac:dyDescent="0.3">
      <c r="CQ411" s="24">
        <v>0.94369505951334653</v>
      </c>
      <c r="CR411" s="24" t="str">
        <f>"1"</f>
        <v>1</v>
      </c>
      <c r="CS411" t="str">
        <f ca="1">IF((OFFSET($A$1, 411 - 1, 95 - 1)) &gt;= (OFFSET($A$1, 56 - 1, 7 - 1)), "1","0")</f>
        <v>1</v>
      </c>
      <c r="CT411">
        <f ca="1" xml:space="preserve"> IF( AND( OFFSET($A$1, 411 - 1, 96 - 1) = "1", OFFSET($A$1, 411 - 1, 97 - 1) = "1" ), 1, IF( AND( OFFSET($A$1, 411 - 1, 96 - 1) = "1", OFFSET($A$1, 411 - 1, 97 - 1) = "0" ), 2, IF( AND( OFFSET($A$1, 411 - 1, 96 - 1) = "0", OFFSET($A$1, 411 - 1, 97 - 1) = "1" ), 3, 4 ) ) )</f>
        <v>1</v>
      </c>
    </row>
    <row r="412" spans="95:98" ht="13.8" x14ac:dyDescent="0.3">
      <c r="CQ412" s="24">
        <v>0.97328205275044699</v>
      </c>
      <c r="CR412" s="24" t="str">
        <f>"1"</f>
        <v>1</v>
      </c>
      <c r="CS412" t="str">
        <f ca="1">IF((OFFSET($A$1, 412 - 1, 95 - 1)) &gt;= (OFFSET($A$1, 56 - 1, 7 - 1)), "1","0")</f>
        <v>1</v>
      </c>
      <c r="CT412">
        <f ca="1" xml:space="preserve"> IF( AND( OFFSET($A$1, 412 - 1, 96 - 1) = "1", OFFSET($A$1, 412 - 1, 97 - 1) = "1" ), 1, IF( AND( OFFSET($A$1, 412 - 1, 96 - 1) = "1", OFFSET($A$1, 412 - 1, 97 - 1) = "0" ), 2, IF( AND( OFFSET($A$1, 412 - 1, 96 - 1) = "0", OFFSET($A$1, 412 - 1, 97 - 1) = "1" ), 3, 4 ) ) )</f>
        <v>1</v>
      </c>
    </row>
    <row r="413" spans="95:98" ht="13.8" x14ac:dyDescent="0.3">
      <c r="CQ413" s="24">
        <v>0.10141640632056327</v>
      </c>
      <c r="CR413" s="24" t="str">
        <f>"0"</f>
        <v>0</v>
      </c>
      <c r="CS413" t="str">
        <f ca="1">IF((OFFSET($A$1, 413 - 1, 95 - 1)) &gt;= (OFFSET($A$1, 56 - 1, 7 - 1)), "1","0")</f>
        <v>0</v>
      </c>
      <c r="CT413">
        <f ca="1" xml:space="preserve"> IF( AND( OFFSET($A$1, 413 - 1, 96 - 1) = "1", OFFSET($A$1, 413 - 1, 97 - 1) = "1" ), 1, IF( AND( OFFSET($A$1, 413 - 1, 96 - 1) = "1", OFFSET($A$1, 413 - 1, 97 - 1) = "0" ), 2, IF( AND( OFFSET($A$1, 413 - 1, 96 - 1) = "0", OFFSET($A$1, 413 - 1, 97 - 1) = "1" ), 3, 4 ) ) )</f>
        <v>4</v>
      </c>
    </row>
    <row r="414" spans="95:98" ht="13.8" x14ac:dyDescent="0.3">
      <c r="CQ414" s="24">
        <v>0.96771525722421536</v>
      </c>
      <c r="CR414" s="24" t="str">
        <f>"1"</f>
        <v>1</v>
      </c>
      <c r="CS414" t="str">
        <f ca="1">IF((OFFSET($A$1, 414 - 1, 95 - 1)) &gt;= (OFFSET($A$1, 56 - 1, 7 - 1)), "1","0")</f>
        <v>1</v>
      </c>
      <c r="CT414">
        <f ca="1" xml:space="preserve"> IF( AND( OFFSET($A$1, 414 - 1, 96 - 1) = "1", OFFSET($A$1, 414 - 1, 97 - 1) = "1" ), 1, IF( AND( OFFSET($A$1, 414 - 1, 96 - 1) = "1", OFFSET($A$1, 414 - 1, 97 - 1) = "0" ), 2, IF( AND( OFFSET($A$1, 414 - 1, 96 - 1) = "0", OFFSET($A$1, 414 - 1, 97 - 1) = "1" ), 3, 4 ) ) )</f>
        <v>1</v>
      </c>
    </row>
    <row r="415" spans="95:98" ht="13.8" x14ac:dyDescent="0.3">
      <c r="CQ415" s="24">
        <v>0.2084081710959228</v>
      </c>
      <c r="CR415" s="24" t="str">
        <f>"0"</f>
        <v>0</v>
      </c>
      <c r="CS415" t="str">
        <f ca="1">IF((OFFSET($A$1, 415 - 1, 95 - 1)) &gt;= (OFFSET($A$1, 56 - 1, 7 - 1)), "1","0")</f>
        <v>0</v>
      </c>
      <c r="CT415">
        <f ca="1" xml:space="preserve"> IF( AND( OFFSET($A$1, 415 - 1, 96 - 1) = "1", OFFSET($A$1, 415 - 1, 97 - 1) = "1" ), 1, IF( AND( OFFSET($A$1, 415 - 1, 96 - 1) = "1", OFFSET($A$1, 415 - 1, 97 - 1) = "0" ), 2, IF( AND( OFFSET($A$1, 415 - 1, 96 - 1) = "0", OFFSET($A$1, 415 - 1, 97 - 1) = "1" ), 3, 4 ) ) )</f>
        <v>4</v>
      </c>
    </row>
    <row r="416" spans="95:98" ht="13.8" x14ac:dyDescent="0.3">
      <c r="CQ416" s="24">
        <v>0.97487482076584897</v>
      </c>
      <c r="CR416" s="24" t="str">
        <f>"1"</f>
        <v>1</v>
      </c>
      <c r="CS416" t="str">
        <f ca="1">IF((OFFSET($A$1, 416 - 1, 95 - 1)) &gt;= (OFFSET($A$1, 56 - 1, 7 - 1)), "1","0")</f>
        <v>1</v>
      </c>
      <c r="CT416">
        <f ca="1" xml:space="preserve"> IF( AND( OFFSET($A$1, 416 - 1, 96 - 1) = "1", OFFSET($A$1, 416 - 1, 97 - 1) = "1" ), 1, IF( AND( OFFSET($A$1, 416 - 1, 96 - 1) = "1", OFFSET($A$1, 416 - 1, 97 - 1) = "0" ), 2, IF( AND( OFFSET($A$1, 416 - 1, 96 - 1) = "0", OFFSET($A$1, 416 - 1, 97 - 1) = "1" ), 3, 4 ) ) )</f>
        <v>1</v>
      </c>
    </row>
    <row r="417" spans="95:98" ht="13.8" x14ac:dyDescent="0.3">
      <c r="CQ417" s="24">
        <v>0.99527172503536077</v>
      </c>
      <c r="CR417" s="24" t="str">
        <f>"1"</f>
        <v>1</v>
      </c>
      <c r="CS417" t="str">
        <f ca="1">IF((OFFSET($A$1, 417 - 1, 95 - 1)) &gt;= (OFFSET($A$1, 56 - 1, 7 - 1)), "1","0")</f>
        <v>1</v>
      </c>
      <c r="CT417">
        <f ca="1" xml:space="preserve"> IF( AND( OFFSET($A$1, 417 - 1, 96 - 1) = "1", OFFSET($A$1, 417 - 1, 97 - 1) = "1" ), 1, IF( AND( OFFSET($A$1, 417 - 1, 96 - 1) = "1", OFFSET($A$1, 417 - 1, 97 - 1) = "0" ), 2, IF( AND( OFFSET($A$1, 417 - 1, 96 - 1) = "0", OFFSET($A$1, 417 - 1, 97 - 1) = "1" ), 3, 4 ) ) )</f>
        <v>1</v>
      </c>
    </row>
    <row r="418" spans="95:98" ht="13.8" x14ac:dyDescent="0.3">
      <c r="CQ418" s="24">
        <v>0.89570845149246303</v>
      </c>
      <c r="CR418" s="24" t="str">
        <f>"1"</f>
        <v>1</v>
      </c>
      <c r="CS418" t="str">
        <f ca="1">IF((OFFSET($A$1, 418 - 1, 95 - 1)) &gt;= (OFFSET($A$1, 56 - 1, 7 - 1)), "1","0")</f>
        <v>1</v>
      </c>
      <c r="CT418">
        <f ca="1" xml:space="preserve"> IF( AND( OFFSET($A$1, 418 - 1, 96 - 1) = "1", OFFSET($A$1, 418 - 1, 97 - 1) = "1" ), 1, IF( AND( OFFSET($A$1, 418 - 1, 96 - 1) = "1", OFFSET($A$1, 418 - 1, 97 - 1) = "0" ), 2, IF( AND( OFFSET($A$1, 418 - 1, 96 - 1) = "0", OFFSET($A$1, 418 - 1, 97 - 1) = "1" ), 3, 4 ) ) )</f>
        <v>1</v>
      </c>
    </row>
    <row r="419" spans="95:98" ht="13.8" x14ac:dyDescent="0.3">
      <c r="CQ419" s="24">
        <v>0.99286158001921709</v>
      </c>
      <c r="CR419" s="24" t="str">
        <f>"1"</f>
        <v>1</v>
      </c>
      <c r="CS419" t="str">
        <f ca="1">IF((OFFSET($A$1, 419 - 1, 95 - 1)) &gt;= (OFFSET($A$1, 56 - 1, 7 - 1)), "1","0")</f>
        <v>1</v>
      </c>
      <c r="CT419">
        <f ca="1" xml:space="preserve"> IF( AND( OFFSET($A$1, 419 - 1, 96 - 1) = "1", OFFSET($A$1, 419 - 1, 97 - 1) = "1" ), 1, IF( AND( OFFSET($A$1, 419 - 1, 96 - 1) = "1", OFFSET($A$1, 419 - 1, 97 - 1) = "0" ), 2, IF( AND( OFFSET($A$1, 419 - 1, 96 - 1) = "0", OFFSET($A$1, 419 - 1, 97 - 1) = "1" ), 3, 4 ) ) )</f>
        <v>1</v>
      </c>
    </row>
    <row r="420" spans="95:98" ht="13.8" x14ac:dyDescent="0.3">
      <c r="CQ420" s="24">
        <v>0.21168185570100922</v>
      </c>
      <c r="CR420" s="24" t="str">
        <f>"0"</f>
        <v>0</v>
      </c>
      <c r="CS420" t="str">
        <f ca="1">IF((OFFSET($A$1, 420 - 1, 95 - 1)) &gt;= (OFFSET($A$1, 56 - 1, 7 - 1)), "1","0")</f>
        <v>0</v>
      </c>
      <c r="CT420">
        <f ca="1" xml:space="preserve"> IF( AND( OFFSET($A$1, 420 - 1, 96 - 1) = "1", OFFSET($A$1, 420 - 1, 97 - 1) = "1" ), 1, IF( AND( OFFSET($A$1, 420 - 1, 96 - 1) = "1", OFFSET($A$1, 420 - 1, 97 - 1) = "0" ), 2, IF( AND( OFFSET($A$1, 420 - 1, 96 - 1) = "0", OFFSET($A$1, 420 - 1, 97 - 1) = "1" ), 3, 4 ) ) )</f>
        <v>4</v>
      </c>
    </row>
    <row r="421" spans="95:98" ht="13.8" x14ac:dyDescent="0.3">
      <c r="CQ421" s="24">
        <v>2.767757899998741E-2</v>
      </c>
      <c r="CR421" s="24" t="str">
        <f>"0"</f>
        <v>0</v>
      </c>
      <c r="CS421" t="str">
        <f ca="1">IF((OFFSET($A$1, 421 - 1, 95 - 1)) &gt;= (OFFSET($A$1, 56 - 1, 7 - 1)), "1","0")</f>
        <v>0</v>
      </c>
      <c r="CT421">
        <f ca="1" xml:space="preserve"> IF( AND( OFFSET($A$1, 421 - 1, 96 - 1) = "1", OFFSET($A$1, 421 - 1, 97 - 1) = "1" ), 1, IF( AND( OFFSET($A$1, 421 - 1, 96 - 1) = "1", OFFSET($A$1, 421 - 1, 97 - 1) = "0" ), 2, IF( AND( OFFSET($A$1, 421 - 1, 96 - 1) = "0", OFFSET($A$1, 421 - 1, 97 - 1) = "1" ), 3, 4 ) ) )</f>
        <v>4</v>
      </c>
    </row>
    <row r="422" spans="95:98" ht="13.8" x14ac:dyDescent="0.3">
      <c r="CQ422" s="24">
        <v>0.91188005522501425</v>
      </c>
      <c r="CR422" s="24" t="str">
        <f>"1"</f>
        <v>1</v>
      </c>
      <c r="CS422" t="str">
        <f ca="1">IF((OFFSET($A$1, 422 - 1, 95 - 1)) &gt;= (OFFSET($A$1, 56 - 1, 7 - 1)), "1","0")</f>
        <v>1</v>
      </c>
      <c r="CT422">
        <f ca="1" xml:space="preserve"> IF( AND( OFFSET($A$1, 422 - 1, 96 - 1) = "1", OFFSET($A$1, 422 - 1, 97 - 1) = "1" ), 1, IF( AND( OFFSET($A$1, 422 - 1, 96 - 1) = "1", OFFSET($A$1, 422 - 1, 97 - 1) = "0" ), 2, IF( AND( OFFSET($A$1, 422 - 1, 96 - 1) = "0", OFFSET($A$1, 422 - 1, 97 - 1) = "1" ), 3, 4 ) ) )</f>
        <v>1</v>
      </c>
    </row>
    <row r="423" spans="95:98" ht="13.8" x14ac:dyDescent="0.3">
      <c r="CQ423" s="24">
        <v>0.99537393516812955</v>
      </c>
      <c r="CR423" s="24" t="str">
        <f>"1"</f>
        <v>1</v>
      </c>
      <c r="CS423" t="str">
        <f ca="1">IF((OFFSET($A$1, 423 - 1, 95 - 1)) &gt;= (OFFSET($A$1, 56 - 1, 7 - 1)), "1","0")</f>
        <v>1</v>
      </c>
      <c r="CT423">
        <f ca="1" xml:space="preserve"> IF( AND( OFFSET($A$1, 423 - 1, 96 - 1) = "1", OFFSET($A$1, 423 - 1, 97 - 1) = "1" ), 1, IF( AND( OFFSET($A$1, 423 - 1, 96 - 1) = "1", OFFSET($A$1, 423 - 1, 97 - 1) = "0" ), 2, IF( AND( OFFSET($A$1, 423 - 1, 96 - 1) = "0", OFFSET($A$1, 423 - 1, 97 - 1) = "1" ), 3, 4 ) ) )</f>
        <v>1</v>
      </c>
    </row>
    <row r="424" spans="95:98" ht="13.8" x14ac:dyDescent="0.3">
      <c r="CQ424" s="24">
        <v>1.3578921464136818E-2</v>
      </c>
      <c r="CR424" s="24" t="str">
        <f>"0"</f>
        <v>0</v>
      </c>
      <c r="CS424" t="str">
        <f ca="1">IF((OFFSET($A$1, 424 - 1, 95 - 1)) &gt;= (OFFSET($A$1, 56 - 1, 7 - 1)), "1","0")</f>
        <v>0</v>
      </c>
      <c r="CT424">
        <f ca="1" xml:space="preserve"> IF( AND( OFFSET($A$1, 424 - 1, 96 - 1) = "1", OFFSET($A$1, 424 - 1, 97 - 1) = "1" ), 1, IF( AND( OFFSET($A$1, 424 - 1, 96 - 1) = "1", OFFSET($A$1, 424 - 1, 97 - 1) = "0" ), 2, IF( AND( OFFSET($A$1, 424 - 1, 96 - 1) = "0", OFFSET($A$1, 424 - 1, 97 - 1) = "1" ), 3, 4 ) ) )</f>
        <v>4</v>
      </c>
    </row>
    <row r="425" spans="95:98" ht="13.8" x14ac:dyDescent="0.3">
      <c r="CQ425" s="24">
        <v>0.99971926146299195</v>
      </c>
      <c r="CR425" s="24" t="str">
        <f>"1"</f>
        <v>1</v>
      </c>
      <c r="CS425" t="str">
        <f ca="1">IF((OFFSET($A$1, 425 - 1, 95 - 1)) &gt;= (OFFSET($A$1, 56 - 1, 7 - 1)), "1","0")</f>
        <v>1</v>
      </c>
      <c r="CT425">
        <f ca="1" xml:space="preserve"> IF( AND( OFFSET($A$1, 425 - 1, 96 - 1) = "1", OFFSET($A$1, 425 - 1, 97 - 1) = "1" ), 1, IF( AND( OFFSET($A$1, 425 - 1, 96 - 1) = "1", OFFSET($A$1, 425 - 1, 97 - 1) = "0" ), 2, IF( AND( OFFSET($A$1, 425 - 1, 96 - 1) = "0", OFFSET($A$1, 425 - 1, 97 - 1) = "1" ), 3, 4 ) ) )</f>
        <v>1</v>
      </c>
    </row>
    <row r="426" spans="95:98" ht="13.8" x14ac:dyDescent="0.3">
      <c r="CQ426" s="24">
        <v>0.99947952344221436</v>
      </c>
      <c r="CR426" s="24" t="str">
        <f>"1"</f>
        <v>1</v>
      </c>
      <c r="CS426" t="str">
        <f ca="1">IF((OFFSET($A$1, 426 - 1, 95 - 1)) &gt;= (OFFSET($A$1, 56 - 1, 7 - 1)), "1","0")</f>
        <v>1</v>
      </c>
      <c r="CT426">
        <f ca="1" xml:space="preserve"> IF( AND( OFFSET($A$1, 426 - 1, 96 - 1) = "1", OFFSET($A$1, 426 - 1, 97 - 1) = "1" ), 1, IF( AND( OFFSET($A$1, 426 - 1, 96 - 1) = "1", OFFSET($A$1, 426 - 1, 97 - 1) = "0" ), 2, IF( AND( OFFSET($A$1, 426 - 1, 96 - 1) = "0", OFFSET($A$1, 426 - 1, 97 - 1) = "1" ), 3, 4 ) ) )</f>
        <v>1</v>
      </c>
    </row>
    <row r="427" spans="95:98" ht="13.8" x14ac:dyDescent="0.3">
      <c r="CQ427" s="24">
        <v>0.30669680114833286</v>
      </c>
      <c r="CR427" s="24" t="str">
        <f>"0"</f>
        <v>0</v>
      </c>
      <c r="CS427" t="str">
        <f ca="1">IF((OFFSET($A$1, 427 - 1, 95 - 1)) &gt;= (OFFSET($A$1, 56 - 1, 7 - 1)), "1","0")</f>
        <v>0</v>
      </c>
      <c r="CT427">
        <f ca="1" xml:space="preserve"> IF( AND( OFFSET($A$1, 427 - 1, 96 - 1) = "1", OFFSET($A$1, 427 - 1, 97 - 1) = "1" ), 1, IF( AND( OFFSET($A$1, 427 - 1, 96 - 1) = "1", OFFSET($A$1, 427 - 1, 97 - 1) = "0" ), 2, IF( AND( OFFSET($A$1, 427 - 1, 96 - 1) = "0", OFFSET($A$1, 427 - 1, 97 - 1) = "1" ), 3, 4 ) ) )</f>
        <v>4</v>
      </c>
    </row>
    <row r="428" spans="95:98" ht="13.8" x14ac:dyDescent="0.3">
      <c r="CQ428" s="24">
        <v>0.96726654177867677</v>
      </c>
      <c r="CR428" s="24" t="str">
        <f t="shared" ref="CR428:CR444" si="33">"1"</f>
        <v>1</v>
      </c>
      <c r="CS428" t="str">
        <f ca="1">IF((OFFSET($A$1, 428 - 1, 95 - 1)) &gt;= (OFFSET($A$1, 56 - 1, 7 - 1)), "1","0")</f>
        <v>1</v>
      </c>
      <c r="CT428">
        <f ca="1" xml:space="preserve"> IF( AND( OFFSET($A$1, 428 - 1, 96 - 1) = "1", OFFSET($A$1, 428 - 1, 97 - 1) = "1" ), 1, IF( AND( OFFSET($A$1, 428 - 1, 96 - 1) = "1", OFFSET($A$1, 428 - 1, 97 - 1) = "0" ), 2, IF( AND( OFFSET($A$1, 428 - 1, 96 - 1) = "0", OFFSET($A$1, 428 - 1, 97 - 1) = "1" ), 3, 4 ) ) )</f>
        <v>1</v>
      </c>
    </row>
    <row r="429" spans="95:98" ht="13.8" x14ac:dyDescent="0.3">
      <c r="CQ429" s="24">
        <v>0.90356666274742747</v>
      </c>
      <c r="CR429" s="24" t="str">
        <f t="shared" si="33"/>
        <v>1</v>
      </c>
      <c r="CS429" t="str">
        <f ca="1">IF((OFFSET($A$1, 429 - 1, 95 - 1)) &gt;= (OFFSET($A$1, 56 - 1, 7 - 1)), "1","0")</f>
        <v>1</v>
      </c>
      <c r="CT429">
        <f ca="1" xml:space="preserve"> IF( AND( OFFSET($A$1, 429 - 1, 96 - 1) = "1", OFFSET($A$1, 429 - 1, 97 - 1) = "1" ), 1, IF( AND( OFFSET($A$1, 429 - 1, 96 - 1) = "1", OFFSET($A$1, 429 - 1, 97 - 1) = "0" ), 2, IF( AND( OFFSET($A$1, 429 - 1, 96 - 1) = "0", OFFSET($A$1, 429 - 1, 97 - 1) = "1" ), 3, 4 ) ) )</f>
        <v>1</v>
      </c>
    </row>
    <row r="430" spans="95:98" ht="13.8" x14ac:dyDescent="0.3">
      <c r="CQ430" s="24">
        <v>0.99272316063634425</v>
      </c>
      <c r="CR430" s="24" t="str">
        <f t="shared" si="33"/>
        <v>1</v>
      </c>
      <c r="CS430" t="str">
        <f ca="1">IF((OFFSET($A$1, 430 - 1, 95 - 1)) &gt;= (OFFSET($A$1, 56 - 1, 7 - 1)), "1","0")</f>
        <v>1</v>
      </c>
      <c r="CT430">
        <f ca="1" xml:space="preserve"> IF( AND( OFFSET($A$1, 430 - 1, 96 - 1) = "1", OFFSET($A$1, 430 - 1, 97 - 1) = "1" ), 1, IF( AND( OFFSET($A$1, 430 - 1, 96 - 1) = "1", OFFSET($A$1, 430 - 1, 97 - 1) = "0" ), 2, IF( AND( OFFSET($A$1, 430 - 1, 96 - 1) = "0", OFFSET($A$1, 430 - 1, 97 - 1) = "1" ), 3, 4 ) ) )</f>
        <v>1</v>
      </c>
    </row>
    <row r="431" spans="95:98" ht="13.8" x14ac:dyDescent="0.3">
      <c r="CQ431" s="24">
        <v>0.94537545446758009</v>
      </c>
      <c r="CR431" s="24" t="str">
        <f t="shared" si="33"/>
        <v>1</v>
      </c>
      <c r="CS431" t="str">
        <f ca="1">IF((OFFSET($A$1, 431 - 1, 95 - 1)) &gt;= (OFFSET($A$1, 56 - 1, 7 - 1)), "1","0")</f>
        <v>1</v>
      </c>
      <c r="CT431">
        <f ca="1" xml:space="preserve"> IF( AND( OFFSET($A$1, 431 - 1, 96 - 1) = "1", OFFSET($A$1, 431 - 1, 97 - 1) = "1" ), 1, IF( AND( OFFSET($A$1, 431 - 1, 96 - 1) = "1", OFFSET($A$1, 431 - 1, 97 - 1) = "0" ), 2, IF( AND( OFFSET($A$1, 431 - 1, 96 - 1) = "0", OFFSET($A$1, 431 - 1, 97 - 1) = "1" ), 3, 4 ) ) )</f>
        <v>1</v>
      </c>
    </row>
    <row r="432" spans="95:98" ht="13.8" x14ac:dyDescent="0.3">
      <c r="CQ432" s="24">
        <v>0.99622163498584027</v>
      </c>
      <c r="CR432" s="24" t="str">
        <f t="shared" si="33"/>
        <v>1</v>
      </c>
      <c r="CS432" t="str">
        <f ca="1">IF((OFFSET($A$1, 432 - 1, 95 - 1)) &gt;= (OFFSET($A$1, 56 - 1, 7 - 1)), "1","0")</f>
        <v>1</v>
      </c>
      <c r="CT432">
        <f ca="1" xml:space="preserve"> IF( AND( OFFSET($A$1, 432 - 1, 96 - 1) = "1", OFFSET($A$1, 432 - 1, 97 - 1) = "1" ), 1, IF( AND( OFFSET($A$1, 432 - 1, 96 - 1) = "1", OFFSET($A$1, 432 - 1, 97 - 1) = "0" ), 2, IF( AND( OFFSET($A$1, 432 - 1, 96 - 1) = "0", OFFSET($A$1, 432 - 1, 97 - 1) = "1" ), 3, 4 ) ) )</f>
        <v>1</v>
      </c>
    </row>
    <row r="433" spans="95:98" ht="13.8" x14ac:dyDescent="0.3">
      <c r="CQ433" s="24">
        <v>0.99987459973087778</v>
      </c>
      <c r="CR433" s="24" t="str">
        <f t="shared" si="33"/>
        <v>1</v>
      </c>
      <c r="CS433" t="str">
        <f ca="1">IF((OFFSET($A$1, 433 - 1, 95 - 1)) &gt;= (OFFSET($A$1, 56 - 1, 7 - 1)), "1","0")</f>
        <v>1</v>
      </c>
      <c r="CT433">
        <f ca="1" xml:space="preserve"> IF( AND( OFFSET($A$1, 433 - 1, 96 - 1) = "1", OFFSET($A$1, 433 - 1, 97 - 1) = "1" ), 1, IF( AND( OFFSET($A$1, 433 - 1, 96 - 1) = "1", OFFSET($A$1, 433 - 1, 97 - 1) = "0" ), 2, IF( AND( OFFSET($A$1, 433 - 1, 96 - 1) = "0", OFFSET($A$1, 433 - 1, 97 - 1) = "1" ), 3, 4 ) ) )</f>
        <v>1</v>
      </c>
    </row>
    <row r="434" spans="95:98" ht="13.8" x14ac:dyDescent="0.3">
      <c r="CQ434" s="24">
        <v>0.99469466633033221</v>
      </c>
      <c r="CR434" s="24" t="str">
        <f t="shared" si="33"/>
        <v>1</v>
      </c>
      <c r="CS434" t="str">
        <f ca="1">IF((OFFSET($A$1, 434 - 1, 95 - 1)) &gt;= (OFFSET($A$1, 56 - 1, 7 - 1)), "1","0")</f>
        <v>1</v>
      </c>
      <c r="CT434">
        <f ca="1" xml:space="preserve"> IF( AND( OFFSET($A$1, 434 - 1, 96 - 1) = "1", OFFSET($A$1, 434 - 1, 97 - 1) = "1" ), 1, IF( AND( OFFSET($A$1, 434 - 1, 96 - 1) = "1", OFFSET($A$1, 434 - 1, 97 - 1) = "0" ), 2, IF( AND( OFFSET($A$1, 434 - 1, 96 - 1) = "0", OFFSET($A$1, 434 - 1, 97 - 1) = "1" ), 3, 4 ) ) )</f>
        <v>1</v>
      </c>
    </row>
    <row r="435" spans="95:98" ht="13.8" x14ac:dyDescent="0.3">
      <c r="CQ435" s="24">
        <v>0.99620093458058279</v>
      </c>
      <c r="CR435" s="24" t="str">
        <f t="shared" si="33"/>
        <v>1</v>
      </c>
      <c r="CS435" t="str">
        <f ca="1">IF((OFFSET($A$1, 435 - 1, 95 - 1)) &gt;= (OFFSET($A$1, 56 - 1, 7 - 1)), "1","0")</f>
        <v>1</v>
      </c>
      <c r="CT435">
        <f ca="1" xml:space="preserve"> IF( AND( OFFSET($A$1, 435 - 1, 96 - 1) = "1", OFFSET($A$1, 435 - 1, 97 - 1) = "1" ), 1, IF( AND( OFFSET($A$1, 435 - 1, 96 - 1) = "1", OFFSET($A$1, 435 - 1, 97 - 1) = "0" ), 2, IF( AND( OFFSET($A$1, 435 - 1, 96 - 1) = "0", OFFSET($A$1, 435 - 1, 97 - 1) = "1" ), 3, 4 ) ) )</f>
        <v>1</v>
      </c>
    </row>
    <row r="436" spans="95:98" ht="13.8" x14ac:dyDescent="0.3">
      <c r="CQ436" s="24">
        <v>0.99988860368707522</v>
      </c>
      <c r="CR436" s="24" t="str">
        <f t="shared" si="33"/>
        <v>1</v>
      </c>
      <c r="CS436" t="str">
        <f ca="1">IF((OFFSET($A$1, 436 - 1, 95 - 1)) &gt;= (OFFSET($A$1, 56 - 1, 7 - 1)), "1","0")</f>
        <v>1</v>
      </c>
      <c r="CT436">
        <f ca="1" xml:space="preserve"> IF( AND( OFFSET($A$1, 436 - 1, 96 - 1) = "1", OFFSET($A$1, 436 - 1, 97 - 1) = "1" ), 1, IF( AND( OFFSET($A$1, 436 - 1, 96 - 1) = "1", OFFSET($A$1, 436 - 1, 97 - 1) = "0" ), 2, IF( AND( OFFSET($A$1, 436 - 1, 96 - 1) = "0", OFFSET($A$1, 436 - 1, 97 - 1) = "1" ), 3, 4 ) ) )</f>
        <v>1</v>
      </c>
    </row>
    <row r="437" spans="95:98" ht="13.8" x14ac:dyDescent="0.3">
      <c r="CQ437" s="24">
        <v>0.88917563971964997</v>
      </c>
      <c r="CR437" s="24" t="str">
        <f t="shared" si="33"/>
        <v>1</v>
      </c>
      <c r="CS437" t="str">
        <f ca="1">IF((OFFSET($A$1, 437 - 1, 95 - 1)) &gt;= (OFFSET($A$1, 56 - 1, 7 - 1)), "1","0")</f>
        <v>1</v>
      </c>
      <c r="CT437">
        <f ca="1" xml:space="preserve"> IF( AND( OFFSET($A$1, 437 - 1, 96 - 1) = "1", OFFSET($A$1, 437 - 1, 97 - 1) = "1" ), 1, IF( AND( OFFSET($A$1, 437 - 1, 96 - 1) = "1", OFFSET($A$1, 437 - 1, 97 - 1) = "0" ), 2, IF( AND( OFFSET($A$1, 437 - 1, 96 - 1) = "0", OFFSET($A$1, 437 - 1, 97 - 1) = "1" ), 3, 4 ) ) )</f>
        <v>1</v>
      </c>
    </row>
    <row r="438" spans="95:98" ht="13.8" x14ac:dyDescent="0.3">
      <c r="CQ438" s="24">
        <v>0.98228176182657256</v>
      </c>
      <c r="CR438" s="24" t="str">
        <f t="shared" si="33"/>
        <v>1</v>
      </c>
      <c r="CS438" t="str">
        <f ca="1">IF((OFFSET($A$1, 438 - 1, 95 - 1)) &gt;= (OFFSET($A$1, 56 - 1, 7 - 1)), "1","0")</f>
        <v>1</v>
      </c>
      <c r="CT438">
        <f ca="1" xml:space="preserve"> IF( AND( OFFSET($A$1, 438 - 1, 96 - 1) = "1", OFFSET($A$1, 438 - 1, 97 - 1) = "1" ), 1, IF( AND( OFFSET($A$1, 438 - 1, 96 - 1) = "1", OFFSET($A$1, 438 - 1, 97 - 1) = "0" ), 2, IF( AND( OFFSET($A$1, 438 - 1, 96 - 1) = "0", OFFSET($A$1, 438 - 1, 97 - 1) = "1" ), 3, 4 ) ) )</f>
        <v>1</v>
      </c>
    </row>
    <row r="439" spans="95:98" ht="13.8" x14ac:dyDescent="0.3">
      <c r="CQ439" s="24">
        <v>0.99699280615235575</v>
      </c>
      <c r="CR439" s="24" t="str">
        <f t="shared" si="33"/>
        <v>1</v>
      </c>
      <c r="CS439" t="str">
        <f ca="1">IF((OFFSET($A$1, 439 - 1, 95 - 1)) &gt;= (OFFSET($A$1, 56 - 1, 7 - 1)), "1","0")</f>
        <v>1</v>
      </c>
      <c r="CT439">
        <f ca="1" xml:space="preserve"> IF( AND( OFFSET($A$1, 439 - 1, 96 - 1) = "1", OFFSET($A$1, 439 - 1, 97 - 1) = "1" ), 1, IF( AND( OFFSET($A$1, 439 - 1, 96 - 1) = "1", OFFSET($A$1, 439 - 1, 97 - 1) = "0" ), 2, IF( AND( OFFSET($A$1, 439 - 1, 96 - 1) = "0", OFFSET($A$1, 439 - 1, 97 - 1) = "1" ), 3, 4 ) ) )</f>
        <v>1</v>
      </c>
    </row>
    <row r="440" spans="95:98" ht="13.8" x14ac:dyDescent="0.3">
      <c r="CQ440" s="24">
        <v>0.97018225578386663</v>
      </c>
      <c r="CR440" s="24" t="str">
        <f t="shared" si="33"/>
        <v>1</v>
      </c>
      <c r="CS440" t="str">
        <f ca="1">IF((OFFSET($A$1, 440 - 1, 95 - 1)) &gt;= (OFFSET($A$1, 56 - 1, 7 - 1)), "1","0")</f>
        <v>1</v>
      </c>
      <c r="CT440">
        <f ca="1" xml:space="preserve"> IF( AND( OFFSET($A$1, 440 - 1, 96 - 1) = "1", OFFSET($A$1, 440 - 1, 97 - 1) = "1" ), 1, IF( AND( OFFSET($A$1, 440 - 1, 96 - 1) = "1", OFFSET($A$1, 440 - 1, 97 - 1) = "0" ), 2, IF( AND( OFFSET($A$1, 440 - 1, 96 - 1) = "0", OFFSET($A$1, 440 - 1, 97 - 1) = "1" ), 3, 4 ) ) )</f>
        <v>1</v>
      </c>
    </row>
    <row r="441" spans="95:98" ht="13.8" x14ac:dyDescent="0.3">
      <c r="CQ441" s="24">
        <v>0.96546704255563587</v>
      </c>
      <c r="CR441" s="24" t="str">
        <f t="shared" si="33"/>
        <v>1</v>
      </c>
      <c r="CS441" t="str">
        <f ca="1">IF((OFFSET($A$1, 441 - 1, 95 - 1)) &gt;= (OFFSET($A$1, 56 - 1, 7 - 1)), "1","0")</f>
        <v>1</v>
      </c>
      <c r="CT441">
        <f ca="1" xml:space="preserve"> IF( AND( OFFSET($A$1, 441 - 1, 96 - 1) = "1", OFFSET($A$1, 441 - 1, 97 - 1) = "1" ), 1, IF( AND( OFFSET($A$1, 441 - 1, 96 - 1) = "1", OFFSET($A$1, 441 - 1, 97 - 1) = "0" ), 2, IF( AND( OFFSET($A$1, 441 - 1, 96 - 1) = "0", OFFSET($A$1, 441 - 1, 97 - 1) = "1" ), 3, 4 ) ) )</f>
        <v>1</v>
      </c>
    </row>
    <row r="442" spans="95:98" ht="13.8" x14ac:dyDescent="0.3">
      <c r="CQ442" s="24">
        <v>0.9999716440897306</v>
      </c>
      <c r="CR442" s="24" t="str">
        <f t="shared" si="33"/>
        <v>1</v>
      </c>
      <c r="CS442" t="str">
        <f ca="1">IF((OFFSET($A$1, 442 - 1, 95 - 1)) &gt;= (OFFSET($A$1, 56 - 1, 7 - 1)), "1","0")</f>
        <v>1</v>
      </c>
      <c r="CT442">
        <f ca="1" xml:space="preserve"> IF( AND( OFFSET($A$1, 442 - 1, 96 - 1) = "1", OFFSET($A$1, 442 - 1, 97 - 1) = "1" ), 1, IF( AND( OFFSET($A$1, 442 - 1, 96 - 1) = "1", OFFSET($A$1, 442 - 1, 97 - 1) = "0" ), 2, IF( AND( OFFSET($A$1, 442 - 1, 96 - 1) = "0", OFFSET($A$1, 442 - 1, 97 - 1) = "1" ), 3, 4 ) ) )</f>
        <v>1</v>
      </c>
    </row>
    <row r="443" spans="95:98" ht="13.8" x14ac:dyDescent="0.3">
      <c r="CQ443" s="24">
        <v>0.97100915661175913</v>
      </c>
      <c r="CR443" s="24" t="str">
        <f t="shared" si="33"/>
        <v>1</v>
      </c>
      <c r="CS443" t="str">
        <f ca="1">IF((OFFSET($A$1, 443 - 1, 95 - 1)) &gt;= (OFFSET($A$1, 56 - 1, 7 - 1)), "1","0")</f>
        <v>1</v>
      </c>
      <c r="CT443">
        <f ca="1" xml:space="preserve"> IF( AND( OFFSET($A$1, 443 - 1, 96 - 1) = "1", OFFSET($A$1, 443 - 1, 97 - 1) = "1" ), 1, IF( AND( OFFSET($A$1, 443 - 1, 96 - 1) = "1", OFFSET($A$1, 443 - 1, 97 - 1) = "0" ), 2, IF( AND( OFFSET($A$1, 443 - 1, 96 - 1) = "0", OFFSET($A$1, 443 - 1, 97 - 1) = "1" ), 3, 4 ) ) )</f>
        <v>1</v>
      </c>
    </row>
    <row r="444" spans="95:98" ht="13.8" x14ac:dyDescent="0.3">
      <c r="CQ444" s="24">
        <v>0.79423628470739072</v>
      </c>
      <c r="CR444" s="24" t="str">
        <f t="shared" si="33"/>
        <v>1</v>
      </c>
      <c r="CS444" t="str">
        <f ca="1">IF((OFFSET($A$1, 444 - 1, 95 - 1)) &gt;= (OFFSET($A$1, 56 - 1, 7 - 1)), "1","0")</f>
        <v>1</v>
      </c>
      <c r="CT444">
        <f ca="1" xml:space="preserve"> IF( AND( OFFSET($A$1, 444 - 1, 96 - 1) = "1", OFFSET($A$1, 444 - 1, 97 - 1) = "1" ), 1, IF( AND( OFFSET($A$1, 444 - 1, 96 - 1) = "1", OFFSET($A$1, 444 - 1, 97 - 1) = "0" ), 2, IF( AND( OFFSET($A$1, 444 - 1, 96 - 1) = "0", OFFSET($A$1, 444 - 1, 97 - 1) = "1" ), 3, 4 ) ) )</f>
        <v>1</v>
      </c>
    </row>
    <row r="445" spans="95:98" ht="13.8" x14ac:dyDescent="0.3">
      <c r="CQ445" s="24">
        <v>0.15991910092352435</v>
      </c>
      <c r="CR445" s="24" t="str">
        <f>"0"</f>
        <v>0</v>
      </c>
      <c r="CS445" t="str">
        <f ca="1">IF((OFFSET($A$1, 445 - 1, 95 - 1)) &gt;= (OFFSET($A$1, 56 - 1, 7 - 1)), "1","0")</f>
        <v>0</v>
      </c>
      <c r="CT445">
        <f ca="1" xml:space="preserve"> IF( AND( OFFSET($A$1, 445 - 1, 96 - 1) = "1", OFFSET($A$1, 445 - 1, 97 - 1) = "1" ), 1, IF( AND( OFFSET($A$1, 445 - 1, 96 - 1) = "1", OFFSET($A$1, 445 - 1, 97 - 1) = "0" ), 2, IF( AND( OFFSET($A$1, 445 - 1, 96 - 1) = "0", OFFSET($A$1, 445 - 1, 97 - 1) = "1" ), 3, 4 ) ) )</f>
        <v>4</v>
      </c>
    </row>
    <row r="446" spans="95:98" ht="13.8" x14ac:dyDescent="0.3">
      <c r="CQ446" s="24">
        <v>0.94468532877298295</v>
      </c>
      <c r="CR446" s="24" t="str">
        <f>"1"</f>
        <v>1</v>
      </c>
      <c r="CS446" t="str">
        <f ca="1">IF((OFFSET($A$1, 446 - 1, 95 - 1)) &gt;= (OFFSET($A$1, 56 - 1, 7 - 1)), "1","0")</f>
        <v>1</v>
      </c>
      <c r="CT446">
        <f ca="1" xml:space="preserve"> IF( AND( OFFSET($A$1, 446 - 1, 96 - 1) = "1", OFFSET($A$1, 446 - 1, 97 - 1) = "1" ), 1, IF( AND( OFFSET($A$1, 446 - 1, 96 - 1) = "1", OFFSET($A$1, 446 - 1, 97 - 1) = "0" ), 2, IF( AND( OFFSET($A$1, 446 - 1, 96 - 1) = "0", OFFSET($A$1, 446 - 1, 97 - 1) = "1" ), 3, 4 ) ) )</f>
        <v>1</v>
      </c>
    </row>
    <row r="447" spans="95:98" ht="13.8" x14ac:dyDescent="0.3">
      <c r="CQ447" s="24">
        <v>0.95233035523355714</v>
      </c>
      <c r="CR447" s="24" t="str">
        <f>"1"</f>
        <v>1</v>
      </c>
      <c r="CS447" t="str">
        <f ca="1">IF((OFFSET($A$1, 447 - 1, 95 - 1)) &gt;= (OFFSET($A$1, 56 - 1, 7 - 1)), "1","0")</f>
        <v>1</v>
      </c>
      <c r="CT447">
        <f ca="1" xml:space="preserve"> IF( AND( OFFSET($A$1, 447 - 1, 96 - 1) = "1", OFFSET($A$1, 447 - 1, 97 - 1) = "1" ), 1, IF( AND( OFFSET($A$1, 447 - 1, 96 - 1) = "1", OFFSET($A$1, 447 - 1, 97 - 1) = "0" ), 2, IF( AND( OFFSET($A$1, 447 - 1, 96 - 1) = "0", OFFSET($A$1, 447 - 1, 97 - 1) = "1" ), 3, 4 ) ) )</f>
        <v>1</v>
      </c>
    </row>
    <row r="448" spans="95:98" ht="13.8" x14ac:dyDescent="0.3">
      <c r="CQ448" s="24">
        <v>0.97640333144590541</v>
      </c>
      <c r="CR448" s="24" t="str">
        <f>"1"</f>
        <v>1</v>
      </c>
      <c r="CS448" t="str">
        <f ca="1">IF((OFFSET($A$1, 448 - 1, 95 - 1)) &gt;= (OFFSET($A$1, 56 - 1, 7 - 1)), "1","0")</f>
        <v>1</v>
      </c>
      <c r="CT448">
        <f ca="1" xml:space="preserve"> IF( AND( OFFSET($A$1, 448 - 1, 96 - 1) = "1", OFFSET($A$1, 448 - 1, 97 - 1) = "1" ), 1, IF( AND( OFFSET($A$1, 448 - 1, 96 - 1) = "1", OFFSET($A$1, 448 - 1, 97 - 1) = "0" ), 2, IF( AND( OFFSET($A$1, 448 - 1, 96 - 1) = "0", OFFSET($A$1, 448 - 1, 97 - 1) = "1" ), 3, 4 ) ) )</f>
        <v>1</v>
      </c>
    </row>
    <row r="449" spans="95:98" ht="13.8" x14ac:dyDescent="0.3">
      <c r="CQ449" s="24">
        <v>0.96274645635626033</v>
      </c>
      <c r="CR449" s="24" t="str">
        <f>"1"</f>
        <v>1</v>
      </c>
      <c r="CS449" t="str">
        <f ca="1">IF((OFFSET($A$1, 449 - 1, 95 - 1)) &gt;= (OFFSET($A$1, 56 - 1, 7 - 1)), "1","0")</f>
        <v>1</v>
      </c>
      <c r="CT449">
        <f ca="1" xml:space="preserve"> IF( AND( OFFSET($A$1, 449 - 1, 96 - 1) = "1", OFFSET($A$1, 449 - 1, 97 - 1) = "1" ), 1, IF( AND( OFFSET($A$1, 449 - 1, 96 - 1) = "1", OFFSET($A$1, 449 - 1, 97 - 1) = "0" ), 2, IF( AND( OFFSET($A$1, 449 - 1, 96 - 1) = "0", OFFSET($A$1, 449 - 1, 97 - 1) = "1" ), 3, 4 ) ) )</f>
        <v>1</v>
      </c>
    </row>
    <row r="450" spans="95:98" ht="13.8" x14ac:dyDescent="0.3">
      <c r="CQ450" s="24">
        <v>0.14124508923059373</v>
      </c>
      <c r="CR450" s="24" t="str">
        <f>"0"</f>
        <v>0</v>
      </c>
      <c r="CS450" t="str">
        <f ca="1">IF((OFFSET($A$1, 450 - 1, 95 - 1)) &gt;= (OFFSET($A$1, 56 - 1, 7 - 1)), "1","0")</f>
        <v>0</v>
      </c>
      <c r="CT450">
        <f ca="1" xml:space="preserve"> IF( AND( OFFSET($A$1, 450 - 1, 96 - 1) = "1", OFFSET($A$1, 450 - 1, 97 - 1) = "1" ), 1, IF( AND( OFFSET($A$1, 450 - 1, 96 - 1) = "1", OFFSET($A$1, 450 - 1, 97 - 1) = "0" ), 2, IF( AND( OFFSET($A$1, 450 - 1, 96 - 1) = "0", OFFSET($A$1, 450 - 1, 97 - 1) = "1" ), 3, 4 ) ) )</f>
        <v>4</v>
      </c>
    </row>
    <row r="451" spans="95:98" ht="13.8" x14ac:dyDescent="0.3">
      <c r="CQ451" s="24">
        <v>0.14812539200725328</v>
      </c>
      <c r="CR451" s="24" t="str">
        <f>"0"</f>
        <v>0</v>
      </c>
      <c r="CS451" t="str">
        <f ca="1">IF((OFFSET($A$1, 451 - 1, 95 - 1)) &gt;= (OFFSET($A$1, 56 - 1, 7 - 1)), "1","0")</f>
        <v>0</v>
      </c>
      <c r="CT451">
        <f ca="1" xml:space="preserve"> IF( AND( OFFSET($A$1, 451 - 1, 96 - 1) = "1", OFFSET($A$1, 451 - 1, 97 - 1) = "1" ), 1, IF( AND( OFFSET($A$1, 451 - 1, 96 - 1) = "1", OFFSET($A$1, 451 - 1, 97 - 1) = "0" ), 2, IF( AND( OFFSET($A$1, 451 - 1, 96 - 1) = "0", OFFSET($A$1, 451 - 1, 97 - 1) = "1" ), 3, 4 ) ) )</f>
        <v>4</v>
      </c>
    </row>
    <row r="452" spans="95:98" ht="13.8" x14ac:dyDescent="0.3">
      <c r="CQ452" s="24">
        <v>0.99292880864509703</v>
      </c>
      <c r="CR452" s="24" t="str">
        <f>"1"</f>
        <v>1</v>
      </c>
      <c r="CS452" t="str">
        <f ca="1">IF((OFFSET($A$1, 452 - 1, 95 - 1)) &gt;= (OFFSET($A$1, 56 - 1, 7 - 1)), "1","0")</f>
        <v>1</v>
      </c>
      <c r="CT452">
        <f ca="1" xml:space="preserve"> IF( AND( OFFSET($A$1, 452 - 1, 96 - 1) = "1", OFFSET($A$1, 452 - 1, 97 - 1) = "1" ), 1, IF( AND( OFFSET($A$1, 452 - 1, 96 - 1) = "1", OFFSET($A$1, 452 - 1, 97 - 1) = "0" ), 2, IF( AND( OFFSET($A$1, 452 - 1, 96 - 1) = "0", OFFSET($A$1, 452 - 1, 97 - 1) = "1" ), 3, 4 ) ) )</f>
        <v>1</v>
      </c>
    </row>
    <row r="453" spans="95:98" ht="13.8" x14ac:dyDescent="0.3">
      <c r="CQ453" s="24">
        <v>0.11944032803351678</v>
      </c>
      <c r="CR453" s="24" t="str">
        <f>"0"</f>
        <v>0</v>
      </c>
      <c r="CS453" t="str">
        <f ca="1">IF((OFFSET($A$1, 453 - 1, 95 - 1)) &gt;= (OFFSET($A$1, 56 - 1, 7 - 1)), "1","0")</f>
        <v>0</v>
      </c>
      <c r="CT453">
        <f ca="1" xml:space="preserve"> IF( AND( OFFSET($A$1, 453 - 1, 96 - 1) = "1", OFFSET($A$1, 453 - 1, 97 - 1) = "1" ), 1, IF( AND( OFFSET($A$1, 453 - 1, 96 - 1) = "1", OFFSET($A$1, 453 - 1, 97 - 1) = "0" ), 2, IF( AND( OFFSET($A$1, 453 - 1, 96 - 1) = "0", OFFSET($A$1, 453 - 1, 97 - 1) = "1" ), 3, 4 ) ) )</f>
        <v>4</v>
      </c>
    </row>
    <row r="454" spans="95:98" ht="13.8" x14ac:dyDescent="0.3">
      <c r="CQ454" s="24">
        <v>0.19146574188819115</v>
      </c>
      <c r="CR454" s="24" t="str">
        <f>"0"</f>
        <v>0</v>
      </c>
      <c r="CS454" t="str">
        <f ca="1">IF((OFFSET($A$1, 454 - 1, 95 - 1)) &gt;= (OFFSET($A$1, 56 - 1, 7 - 1)), "1","0")</f>
        <v>0</v>
      </c>
      <c r="CT454">
        <f ca="1" xml:space="preserve"> IF( AND( OFFSET($A$1, 454 - 1, 96 - 1) = "1", OFFSET($A$1, 454 - 1, 97 - 1) = "1" ), 1, IF( AND( OFFSET($A$1, 454 - 1, 96 - 1) = "1", OFFSET($A$1, 454 - 1, 97 - 1) = "0" ), 2, IF( AND( OFFSET($A$1, 454 - 1, 96 - 1) = "0", OFFSET($A$1, 454 - 1, 97 - 1) = "1" ), 3, 4 ) ) )</f>
        <v>4</v>
      </c>
    </row>
    <row r="455" spans="95:98" ht="13.8" x14ac:dyDescent="0.3">
      <c r="CQ455" s="24">
        <v>0.30733767658392075</v>
      </c>
      <c r="CR455" s="24" t="str">
        <f>"0"</f>
        <v>0</v>
      </c>
      <c r="CS455" t="str">
        <f ca="1">IF((OFFSET($A$1, 455 - 1, 95 - 1)) &gt;= (OFFSET($A$1, 56 - 1, 7 - 1)), "1","0")</f>
        <v>0</v>
      </c>
      <c r="CT455">
        <f ca="1" xml:space="preserve"> IF( AND( OFFSET($A$1, 455 - 1, 96 - 1) = "1", OFFSET($A$1, 455 - 1, 97 - 1) = "1" ), 1, IF( AND( OFFSET($A$1, 455 - 1, 96 - 1) = "1", OFFSET($A$1, 455 - 1, 97 - 1) = "0" ), 2, IF( AND( OFFSET($A$1, 455 - 1, 96 - 1) = "0", OFFSET($A$1, 455 - 1, 97 - 1) = "1" ), 3, 4 ) ) )</f>
        <v>4</v>
      </c>
    </row>
    <row r="456" spans="95:98" ht="13.8" x14ac:dyDescent="0.3">
      <c r="CQ456" s="24">
        <v>0.94842324972907033</v>
      </c>
      <c r="CR456" s="24" t="str">
        <f>"1"</f>
        <v>1</v>
      </c>
      <c r="CS456" t="str">
        <f ca="1">IF((OFFSET($A$1, 456 - 1, 95 - 1)) &gt;= (OFFSET($A$1, 56 - 1, 7 - 1)), "1","0")</f>
        <v>1</v>
      </c>
      <c r="CT456">
        <f ca="1" xml:space="preserve"> IF( AND( OFFSET($A$1, 456 - 1, 96 - 1) = "1", OFFSET($A$1, 456 - 1, 97 - 1) = "1" ), 1, IF( AND( OFFSET($A$1, 456 - 1, 96 - 1) = "1", OFFSET($A$1, 456 - 1, 97 - 1) = "0" ), 2, IF( AND( OFFSET($A$1, 456 - 1, 96 - 1) = "0", OFFSET($A$1, 456 - 1, 97 - 1) = "1" ), 3, 4 ) ) )</f>
        <v>1</v>
      </c>
    </row>
    <row r="457" spans="95:98" ht="13.8" x14ac:dyDescent="0.3">
      <c r="CQ457" s="24">
        <v>0.40916427257344407</v>
      </c>
      <c r="CR457" s="24" t="str">
        <f>"0"</f>
        <v>0</v>
      </c>
      <c r="CS457" t="str">
        <f ca="1">IF((OFFSET($A$1, 457 - 1, 95 - 1)) &gt;= (OFFSET($A$1, 56 - 1, 7 - 1)), "1","0")</f>
        <v>0</v>
      </c>
      <c r="CT457">
        <f ca="1" xml:space="preserve"> IF( AND( OFFSET($A$1, 457 - 1, 96 - 1) = "1", OFFSET($A$1, 457 - 1, 97 - 1) = "1" ), 1, IF( AND( OFFSET($A$1, 457 - 1, 96 - 1) = "1", OFFSET($A$1, 457 - 1, 97 - 1) = "0" ), 2, IF( AND( OFFSET($A$1, 457 - 1, 96 - 1) = "0", OFFSET($A$1, 457 - 1, 97 - 1) = "1" ), 3, 4 ) ) )</f>
        <v>4</v>
      </c>
    </row>
    <row r="458" spans="95:98" ht="13.8" x14ac:dyDescent="0.3">
      <c r="CQ458" s="24">
        <v>3.2717926507128668E-3</v>
      </c>
      <c r="CR458" s="24" t="str">
        <f>"0"</f>
        <v>0</v>
      </c>
      <c r="CS458" t="str">
        <f ca="1">IF((OFFSET($A$1, 458 - 1, 95 - 1)) &gt;= (OFFSET($A$1, 56 - 1, 7 - 1)), "1","0")</f>
        <v>0</v>
      </c>
      <c r="CT458">
        <f ca="1" xml:space="preserve"> IF( AND( OFFSET($A$1, 458 - 1, 96 - 1) = "1", OFFSET($A$1, 458 - 1, 97 - 1) = "1" ), 1, IF( AND( OFFSET($A$1, 458 - 1, 96 - 1) = "1", OFFSET($A$1, 458 - 1, 97 - 1) = "0" ), 2, IF( AND( OFFSET($A$1, 458 - 1, 96 - 1) = "0", OFFSET($A$1, 458 - 1, 97 - 1) = "1" ), 3, 4 ) ) )</f>
        <v>4</v>
      </c>
    </row>
    <row r="459" spans="95:98" ht="13.8" x14ac:dyDescent="0.3">
      <c r="CQ459" s="24">
        <v>0.99985395748001804</v>
      </c>
      <c r="CR459" s="24" t="str">
        <f>"1"</f>
        <v>1</v>
      </c>
      <c r="CS459" t="str">
        <f ca="1">IF((OFFSET($A$1, 459 - 1, 95 - 1)) &gt;= (OFFSET($A$1, 56 - 1, 7 - 1)), "1","0")</f>
        <v>1</v>
      </c>
      <c r="CT459">
        <f ca="1" xml:space="preserve"> IF( AND( OFFSET($A$1, 459 - 1, 96 - 1) = "1", OFFSET($A$1, 459 - 1, 97 - 1) = "1" ), 1, IF( AND( OFFSET($A$1, 459 - 1, 96 - 1) = "1", OFFSET($A$1, 459 - 1, 97 - 1) = "0" ), 2, IF( AND( OFFSET($A$1, 459 - 1, 96 - 1) = "0", OFFSET($A$1, 459 - 1, 97 - 1) = "1" ), 3, 4 ) ) )</f>
        <v>1</v>
      </c>
    </row>
    <row r="460" spans="95:98" ht="13.8" x14ac:dyDescent="0.3">
      <c r="CQ460" s="24">
        <v>0.99494033362987833</v>
      </c>
      <c r="CR460" s="24" t="str">
        <f>"1"</f>
        <v>1</v>
      </c>
      <c r="CS460" t="str">
        <f ca="1">IF((OFFSET($A$1, 460 - 1, 95 - 1)) &gt;= (OFFSET($A$1, 56 - 1, 7 - 1)), "1","0")</f>
        <v>1</v>
      </c>
      <c r="CT460">
        <f ca="1" xml:space="preserve"> IF( AND( OFFSET($A$1, 460 - 1, 96 - 1) = "1", OFFSET($A$1, 460 - 1, 97 - 1) = "1" ), 1, IF( AND( OFFSET($A$1, 460 - 1, 96 - 1) = "1", OFFSET($A$1, 460 - 1, 97 - 1) = "0" ), 2, IF( AND( OFFSET($A$1, 460 - 1, 96 - 1) = "0", OFFSET($A$1, 460 - 1, 97 - 1) = "1" ), 3, 4 ) ) )</f>
        <v>1</v>
      </c>
    </row>
    <row r="461" spans="95:98" ht="13.8" x14ac:dyDescent="0.3">
      <c r="CQ461" s="24">
        <v>0.99992604999931989</v>
      </c>
      <c r="CR461" s="24" t="str">
        <f>"1"</f>
        <v>1</v>
      </c>
      <c r="CS461" t="str">
        <f ca="1">IF((OFFSET($A$1, 461 - 1, 95 - 1)) &gt;= (OFFSET($A$1, 56 - 1, 7 - 1)), "1","0")</f>
        <v>1</v>
      </c>
      <c r="CT461">
        <f ca="1" xml:space="preserve"> IF( AND( OFFSET($A$1, 461 - 1, 96 - 1) = "1", OFFSET($A$1, 461 - 1, 97 - 1) = "1" ), 1, IF( AND( OFFSET($A$1, 461 - 1, 96 - 1) = "1", OFFSET($A$1, 461 - 1, 97 - 1) = "0" ), 2, IF( AND( OFFSET($A$1, 461 - 1, 96 - 1) = "0", OFFSET($A$1, 461 - 1, 97 - 1) = "1" ), 3, 4 ) ) )</f>
        <v>1</v>
      </c>
    </row>
    <row r="462" spans="95:98" ht="13.8" x14ac:dyDescent="0.3">
      <c r="CQ462" s="24">
        <v>0.94718106325416174</v>
      </c>
      <c r="CR462" s="24" t="str">
        <f>"1"</f>
        <v>1</v>
      </c>
      <c r="CS462" t="str">
        <f ca="1">IF((OFFSET($A$1, 462 - 1, 95 - 1)) &gt;= (OFFSET($A$1, 56 - 1, 7 - 1)), "1","0")</f>
        <v>1</v>
      </c>
      <c r="CT462">
        <f ca="1" xml:space="preserve"> IF( AND( OFFSET($A$1, 462 - 1, 96 - 1) = "1", OFFSET($A$1, 462 - 1, 97 - 1) = "1" ), 1, IF( AND( OFFSET($A$1, 462 - 1, 96 - 1) = "1", OFFSET($A$1, 462 - 1, 97 - 1) = "0" ), 2, IF( AND( OFFSET($A$1, 462 - 1, 96 - 1) = "0", OFFSET($A$1, 462 - 1, 97 - 1) = "1" ), 3, 4 ) ) )</f>
        <v>1</v>
      </c>
    </row>
    <row r="463" spans="95:98" ht="13.8" x14ac:dyDescent="0.3">
      <c r="CQ463" s="24">
        <v>0.11884766884162495</v>
      </c>
      <c r="CR463" s="24" t="str">
        <f>"0"</f>
        <v>0</v>
      </c>
      <c r="CS463" t="str">
        <f ca="1">IF((OFFSET($A$1, 463 - 1, 95 - 1)) &gt;= (OFFSET($A$1, 56 - 1, 7 - 1)), "1","0")</f>
        <v>0</v>
      </c>
      <c r="CT463">
        <f ca="1" xml:space="preserve"> IF( AND( OFFSET($A$1, 463 - 1, 96 - 1) = "1", OFFSET($A$1, 463 - 1, 97 - 1) = "1" ), 1, IF( AND( OFFSET($A$1, 463 - 1, 96 - 1) = "1", OFFSET($A$1, 463 - 1, 97 - 1) = "0" ), 2, IF( AND( OFFSET($A$1, 463 - 1, 96 - 1) = "0", OFFSET($A$1, 463 - 1, 97 - 1) = "1" ), 3, 4 ) ) )</f>
        <v>4</v>
      </c>
    </row>
    <row r="464" spans="95:98" ht="13.8" x14ac:dyDescent="0.3">
      <c r="CQ464" s="24">
        <v>0.28529659704388316</v>
      </c>
      <c r="CR464" s="24" t="str">
        <f>"0"</f>
        <v>0</v>
      </c>
      <c r="CS464" t="str">
        <f ca="1">IF((OFFSET($A$1, 464 - 1, 95 - 1)) &gt;= (OFFSET($A$1, 56 - 1, 7 - 1)), "1","0")</f>
        <v>0</v>
      </c>
      <c r="CT464">
        <f ca="1" xml:space="preserve"> IF( AND( OFFSET($A$1, 464 - 1, 96 - 1) = "1", OFFSET($A$1, 464 - 1, 97 - 1) = "1" ), 1, IF( AND( OFFSET($A$1, 464 - 1, 96 - 1) = "1", OFFSET($A$1, 464 - 1, 97 - 1) = "0" ), 2, IF( AND( OFFSET($A$1, 464 - 1, 96 - 1) = "0", OFFSET($A$1, 464 - 1, 97 - 1) = "1" ), 3, 4 ) ) )</f>
        <v>4</v>
      </c>
    </row>
    <row r="465" spans="95:98" ht="13.8" x14ac:dyDescent="0.3">
      <c r="CQ465" s="24">
        <v>0.93317973915064112</v>
      </c>
      <c r="CR465" s="24" t="str">
        <f>"1"</f>
        <v>1</v>
      </c>
      <c r="CS465" t="str">
        <f ca="1">IF((OFFSET($A$1, 465 - 1, 95 - 1)) &gt;= (OFFSET($A$1, 56 - 1, 7 - 1)), "1","0")</f>
        <v>1</v>
      </c>
      <c r="CT465">
        <f ca="1" xml:space="preserve"> IF( AND( OFFSET($A$1, 465 - 1, 96 - 1) = "1", OFFSET($A$1, 465 - 1, 97 - 1) = "1" ), 1, IF( AND( OFFSET($A$1, 465 - 1, 96 - 1) = "1", OFFSET($A$1, 465 - 1, 97 - 1) = "0" ), 2, IF( AND( OFFSET($A$1, 465 - 1, 96 - 1) = "0", OFFSET($A$1, 465 - 1, 97 - 1) = "1" ), 3, 4 ) ) )</f>
        <v>1</v>
      </c>
    </row>
    <row r="466" spans="95:98" ht="13.8" x14ac:dyDescent="0.3">
      <c r="CQ466" s="24">
        <v>0.13319608857019188</v>
      </c>
      <c r="CR466" s="24" t="str">
        <f>"0"</f>
        <v>0</v>
      </c>
      <c r="CS466" t="str">
        <f ca="1">IF((OFFSET($A$1, 466 - 1, 95 - 1)) &gt;= (OFFSET($A$1, 56 - 1, 7 - 1)), "1","0")</f>
        <v>0</v>
      </c>
      <c r="CT466">
        <f ca="1" xml:space="preserve"> IF( AND( OFFSET($A$1, 466 - 1, 96 - 1) = "1", OFFSET($A$1, 466 - 1, 97 - 1) = "1" ), 1, IF( AND( OFFSET($A$1, 466 - 1, 96 - 1) = "1", OFFSET($A$1, 466 - 1, 97 - 1) = "0" ), 2, IF( AND( OFFSET($A$1, 466 - 1, 96 - 1) = "0", OFFSET($A$1, 466 - 1, 97 - 1) = "1" ), 3, 4 ) ) )</f>
        <v>4</v>
      </c>
    </row>
    <row r="467" spans="95:98" ht="13.8" x14ac:dyDescent="0.3">
      <c r="CQ467" s="24">
        <v>0.96156946742678517</v>
      </c>
      <c r="CR467" s="24" t="str">
        <f>"1"</f>
        <v>1</v>
      </c>
      <c r="CS467" t="str">
        <f ca="1">IF((OFFSET($A$1, 467 - 1, 95 - 1)) &gt;= (OFFSET($A$1, 56 - 1, 7 - 1)), "1","0")</f>
        <v>1</v>
      </c>
      <c r="CT467">
        <f ca="1" xml:space="preserve"> IF( AND( OFFSET($A$1, 467 - 1, 96 - 1) = "1", OFFSET($A$1, 467 - 1, 97 - 1) = "1" ), 1, IF( AND( OFFSET($A$1, 467 - 1, 96 - 1) = "1", OFFSET($A$1, 467 - 1, 97 - 1) = "0" ), 2, IF( AND( OFFSET($A$1, 467 - 1, 96 - 1) = "0", OFFSET($A$1, 467 - 1, 97 - 1) = "1" ), 3, 4 ) ) )</f>
        <v>1</v>
      </c>
    </row>
    <row r="468" spans="95:98" ht="13.8" x14ac:dyDescent="0.3">
      <c r="CQ468" s="24">
        <v>0.91946461775979216</v>
      </c>
      <c r="CR468" s="24" t="str">
        <f>"1"</f>
        <v>1</v>
      </c>
      <c r="CS468" t="str">
        <f ca="1">IF((OFFSET($A$1, 468 - 1, 95 - 1)) &gt;= (OFFSET($A$1, 56 - 1, 7 - 1)), "1","0")</f>
        <v>1</v>
      </c>
      <c r="CT468">
        <f ca="1" xml:space="preserve"> IF( AND( OFFSET($A$1, 468 - 1, 96 - 1) = "1", OFFSET($A$1, 468 - 1, 97 - 1) = "1" ), 1, IF( AND( OFFSET($A$1, 468 - 1, 96 - 1) = "1", OFFSET($A$1, 468 - 1, 97 - 1) = "0" ), 2, IF( AND( OFFSET($A$1, 468 - 1, 96 - 1) = "0", OFFSET($A$1, 468 - 1, 97 - 1) = "1" ), 3, 4 ) ) )</f>
        <v>1</v>
      </c>
    </row>
    <row r="469" spans="95:98" ht="13.8" x14ac:dyDescent="0.3">
      <c r="CQ469" s="24">
        <v>3.7321069238384796E-2</v>
      </c>
      <c r="CR469" s="24" t="str">
        <f>"0"</f>
        <v>0</v>
      </c>
      <c r="CS469" t="str">
        <f ca="1">IF((OFFSET($A$1, 469 - 1, 95 - 1)) &gt;= (OFFSET($A$1, 56 - 1, 7 - 1)), "1","0")</f>
        <v>0</v>
      </c>
      <c r="CT469">
        <f ca="1" xml:space="preserve"> IF( AND( OFFSET($A$1, 469 - 1, 96 - 1) = "1", OFFSET($A$1, 469 - 1, 97 - 1) = "1" ), 1, IF( AND( OFFSET($A$1, 469 - 1, 96 - 1) = "1", OFFSET($A$1, 469 - 1, 97 - 1) = "0" ), 2, IF( AND( OFFSET($A$1, 469 - 1, 96 - 1) = "0", OFFSET($A$1, 469 - 1, 97 - 1) = "1" ), 3, 4 ) ) )</f>
        <v>4</v>
      </c>
    </row>
    <row r="470" spans="95:98" ht="13.8" x14ac:dyDescent="0.3">
      <c r="CQ470" s="24">
        <v>0.49979946248881563</v>
      </c>
      <c r="CR470" s="24" t="str">
        <f>"0"</f>
        <v>0</v>
      </c>
      <c r="CS470" t="str">
        <f ca="1">IF((OFFSET($A$1, 470 - 1, 95 - 1)) &gt;= (OFFSET($A$1, 56 - 1, 7 - 1)), "1","0")</f>
        <v>0</v>
      </c>
      <c r="CT470">
        <f ca="1" xml:space="preserve"> IF( AND( OFFSET($A$1, 470 - 1, 96 - 1) = "1", OFFSET($A$1, 470 - 1, 97 - 1) = "1" ), 1, IF( AND( OFFSET($A$1, 470 - 1, 96 - 1) = "1", OFFSET($A$1, 470 - 1, 97 - 1) = "0" ), 2, IF( AND( OFFSET($A$1, 470 - 1, 96 - 1) = "0", OFFSET($A$1, 470 - 1, 97 - 1) = "1" ), 3, 4 ) ) )</f>
        <v>4</v>
      </c>
    </row>
    <row r="471" spans="95:98" ht="13.8" x14ac:dyDescent="0.3">
      <c r="CQ471" s="24">
        <v>0.99979658901972657</v>
      </c>
      <c r="CR471" s="24" t="str">
        <f>"0"</f>
        <v>0</v>
      </c>
      <c r="CS471" t="str">
        <f ca="1">IF((OFFSET($A$1, 471 - 1, 95 - 1)) &gt;= (OFFSET($A$1, 56 - 1, 7 - 1)), "1","0")</f>
        <v>1</v>
      </c>
      <c r="CT471">
        <f ca="1" xml:space="preserve"> IF( AND( OFFSET($A$1, 471 - 1, 96 - 1) = "1", OFFSET($A$1, 471 - 1, 97 - 1) = "1" ), 1, IF( AND( OFFSET($A$1, 471 - 1, 96 - 1) = "1", OFFSET($A$1, 471 - 1, 97 - 1) = "0" ), 2, IF( AND( OFFSET($A$1, 471 - 1, 96 - 1) = "0", OFFSET($A$1, 471 - 1, 97 - 1) = "1" ), 3, 4 ) ) )</f>
        <v>3</v>
      </c>
    </row>
    <row r="472" spans="95:98" ht="13.8" x14ac:dyDescent="0.3">
      <c r="CQ472" s="24">
        <v>0.94460671522167183</v>
      </c>
      <c r="CR472" s="24" t="str">
        <f>"1"</f>
        <v>1</v>
      </c>
      <c r="CS472" t="str">
        <f ca="1">IF((OFFSET($A$1, 472 - 1, 95 - 1)) &gt;= (OFFSET($A$1, 56 - 1, 7 - 1)), "1","0")</f>
        <v>1</v>
      </c>
      <c r="CT472">
        <f ca="1" xml:space="preserve"> IF( AND( OFFSET($A$1, 472 - 1, 96 - 1) = "1", OFFSET($A$1, 472 - 1, 97 - 1) = "1" ), 1, IF( AND( OFFSET($A$1, 472 - 1, 96 - 1) = "1", OFFSET($A$1, 472 - 1, 97 - 1) = "0" ), 2, IF( AND( OFFSET($A$1, 472 - 1, 96 - 1) = "0", OFFSET($A$1, 472 - 1, 97 - 1) = "1" ), 3, 4 ) ) )</f>
        <v>1</v>
      </c>
    </row>
    <row r="473" spans="95:98" ht="13.8" x14ac:dyDescent="0.3">
      <c r="CQ473" s="24">
        <v>0.20070583861482683</v>
      </c>
      <c r="CR473" s="24" t="str">
        <f>"0"</f>
        <v>0</v>
      </c>
      <c r="CS473" t="str">
        <f ca="1">IF((OFFSET($A$1, 473 - 1, 95 - 1)) &gt;= (OFFSET($A$1, 56 - 1, 7 - 1)), "1","0")</f>
        <v>0</v>
      </c>
      <c r="CT473">
        <f ca="1" xml:space="preserve"> IF( AND( OFFSET($A$1, 473 - 1, 96 - 1) = "1", OFFSET($A$1, 473 - 1, 97 - 1) = "1" ), 1, IF( AND( OFFSET($A$1, 473 - 1, 96 - 1) = "1", OFFSET($A$1, 473 - 1, 97 - 1) = "0" ), 2, IF( AND( OFFSET($A$1, 473 - 1, 96 - 1) = "0", OFFSET($A$1, 473 - 1, 97 - 1) = "1" ), 3, 4 ) ) )</f>
        <v>4</v>
      </c>
    </row>
    <row r="474" spans="95:98" ht="13.8" x14ac:dyDescent="0.3">
      <c r="CQ474" s="24">
        <v>0.14389527120134726</v>
      </c>
      <c r="CR474" s="24" t="str">
        <f>"0"</f>
        <v>0</v>
      </c>
      <c r="CS474" t="str">
        <f ca="1">IF((OFFSET($A$1, 474 - 1, 95 - 1)) &gt;= (OFFSET($A$1, 56 - 1, 7 - 1)), "1","0")</f>
        <v>0</v>
      </c>
      <c r="CT474">
        <f ca="1" xml:space="preserve"> IF( AND( OFFSET($A$1, 474 - 1, 96 - 1) = "1", OFFSET($A$1, 474 - 1, 97 - 1) = "1" ), 1, IF( AND( OFFSET($A$1, 474 - 1, 96 - 1) = "1", OFFSET($A$1, 474 - 1, 97 - 1) = "0" ), 2, IF( AND( OFFSET($A$1, 474 - 1, 96 - 1) = "0", OFFSET($A$1, 474 - 1, 97 - 1) = "1" ), 3, 4 ) ) )</f>
        <v>4</v>
      </c>
    </row>
    <row r="475" spans="95:98" ht="13.8" x14ac:dyDescent="0.3">
      <c r="CQ475" s="24">
        <v>0.97900614417723431</v>
      </c>
      <c r="CR475" s="24" t="str">
        <f>"1"</f>
        <v>1</v>
      </c>
      <c r="CS475" t="str">
        <f ca="1">IF((OFFSET($A$1, 475 - 1, 95 - 1)) &gt;= (OFFSET($A$1, 56 - 1, 7 - 1)), "1","0")</f>
        <v>1</v>
      </c>
      <c r="CT475">
        <f ca="1" xml:space="preserve"> IF( AND( OFFSET($A$1, 475 - 1, 96 - 1) = "1", OFFSET($A$1, 475 - 1, 97 - 1) = "1" ), 1, IF( AND( OFFSET($A$1, 475 - 1, 96 - 1) = "1", OFFSET($A$1, 475 - 1, 97 - 1) = "0" ), 2, IF( AND( OFFSET($A$1, 475 - 1, 96 - 1) = "0", OFFSET($A$1, 475 - 1, 97 - 1) = "1" ), 3, 4 ) ) )</f>
        <v>1</v>
      </c>
    </row>
    <row r="476" spans="95:98" ht="13.8" x14ac:dyDescent="0.3">
      <c r="CQ476" s="24">
        <v>0.98651708492188217</v>
      </c>
      <c r="CR476" s="24" t="str">
        <f>"1"</f>
        <v>1</v>
      </c>
      <c r="CS476" t="str">
        <f ca="1">IF((OFFSET($A$1, 476 - 1, 95 - 1)) &gt;= (OFFSET($A$1, 56 - 1, 7 - 1)), "1","0")</f>
        <v>1</v>
      </c>
      <c r="CT476">
        <f ca="1" xml:space="preserve"> IF( AND( OFFSET($A$1, 476 - 1, 96 - 1) = "1", OFFSET($A$1, 476 - 1, 97 - 1) = "1" ), 1, IF( AND( OFFSET($A$1, 476 - 1, 96 - 1) = "1", OFFSET($A$1, 476 - 1, 97 - 1) = "0" ), 2, IF( AND( OFFSET($A$1, 476 - 1, 96 - 1) = "0", OFFSET($A$1, 476 - 1, 97 - 1) = "1" ), 3, 4 ) ) )</f>
        <v>1</v>
      </c>
    </row>
    <row r="477" spans="95:98" ht="13.8" x14ac:dyDescent="0.3">
      <c r="CQ477" s="24">
        <v>0.41486073349199482</v>
      </c>
      <c r="CR477" s="24" t="str">
        <f>"0"</f>
        <v>0</v>
      </c>
      <c r="CS477" t="str">
        <f ca="1">IF((OFFSET($A$1, 477 - 1, 95 - 1)) &gt;= (OFFSET($A$1, 56 - 1, 7 - 1)), "1","0")</f>
        <v>0</v>
      </c>
      <c r="CT477">
        <f ca="1" xml:space="preserve"> IF( AND( OFFSET($A$1, 477 - 1, 96 - 1) = "1", OFFSET($A$1, 477 - 1, 97 - 1) = "1" ), 1, IF( AND( OFFSET($A$1, 477 - 1, 96 - 1) = "1", OFFSET($A$1, 477 - 1, 97 - 1) = "0" ), 2, IF( AND( OFFSET($A$1, 477 - 1, 96 - 1) = "0", OFFSET($A$1, 477 - 1, 97 - 1) = "1" ), 3, 4 ) ) )</f>
        <v>4</v>
      </c>
    </row>
    <row r="478" spans="95:98" ht="13.8" x14ac:dyDescent="0.3">
      <c r="CQ478" s="24">
        <v>0.99989824224329027</v>
      </c>
      <c r="CR478" s="24" t="str">
        <f>"1"</f>
        <v>1</v>
      </c>
      <c r="CS478" t="str">
        <f ca="1">IF((OFFSET($A$1, 478 - 1, 95 - 1)) &gt;= (OFFSET($A$1, 56 - 1, 7 - 1)), "1","0")</f>
        <v>1</v>
      </c>
      <c r="CT478">
        <f ca="1" xml:space="preserve"> IF( AND( OFFSET($A$1, 478 - 1, 96 - 1) = "1", OFFSET($A$1, 478 - 1, 97 - 1) = "1" ), 1, IF( AND( OFFSET($A$1, 478 - 1, 96 - 1) = "1", OFFSET($A$1, 478 - 1, 97 - 1) = "0" ), 2, IF( AND( OFFSET($A$1, 478 - 1, 96 - 1) = "0", OFFSET($A$1, 478 - 1, 97 - 1) = "1" ), 3, 4 ) ) )</f>
        <v>1</v>
      </c>
    </row>
    <row r="479" spans="95:98" ht="13.8" x14ac:dyDescent="0.3">
      <c r="CQ479" s="24">
        <v>0.92391165621348015</v>
      </c>
      <c r="CR479" s="24" t="str">
        <f>"1"</f>
        <v>1</v>
      </c>
      <c r="CS479" t="str">
        <f ca="1">IF((OFFSET($A$1, 479 - 1, 95 - 1)) &gt;= (OFFSET($A$1, 56 - 1, 7 - 1)), "1","0")</f>
        <v>1</v>
      </c>
      <c r="CT479">
        <f ca="1" xml:space="preserve"> IF( AND( OFFSET($A$1, 479 - 1, 96 - 1) = "1", OFFSET($A$1, 479 - 1, 97 - 1) = "1" ), 1, IF( AND( OFFSET($A$1, 479 - 1, 96 - 1) = "1", OFFSET($A$1, 479 - 1, 97 - 1) = "0" ), 2, IF( AND( OFFSET($A$1, 479 - 1, 96 - 1) = "0", OFFSET($A$1, 479 - 1, 97 - 1) = "1" ), 3, 4 ) ) )</f>
        <v>1</v>
      </c>
    </row>
    <row r="480" spans="95:98" ht="13.8" x14ac:dyDescent="0.3">
      <c r="CQ480" s="24">
        <v>0.18532646932713556</v>
      </c>
      <c r="CR480" s="24" t="str">
        <f>"0"</f>
        <v>0</v>
      </c>
      <c r="CS480" t="str">
        <f ca="1">IF((OFFSET($A$1, 480 - 1, 95 - 1)) &gt;= (OFFSET($A$1, 56 - 1, 7 - 1)), "1","0")</f>
        <v>0</v>
      </c>
      <c r="CT480">
        <f ca="1" xml:space="preserve"> IF( AND( OFFSET($A$1, 480 - 1, 96 - 1) = "1", OFFSET($A$1, 480 - 1, 97 - 1) = "1" ), 1, IF( AND( OFFSET($A$1, 480 - 1, 96 - 1) = "1", OFFSET($A$1, 480 - 1, 97 - 1) = "0" ), 2, IF( AND( OFFSET($A$1, 480 - 1, 96 - 1) = "0", OFFSET($A$1, 480 - 1, 97 - 1) = "1" ), 3, 4 ) ) )</f>
        <v>4</v>
      </c>
    </row>
    <row r="481" spans="95:98" ht="13.8" x14ac:dyDescent="0.3">
      <c r="CQ481" s="24">
        <v>0.94039097046980635</v>
      </c>
      <c r="CR481" s="24" t="str">
        <f>"1"</f>
        <v>1</v>
      </c>
      <c r="CS481" t="str">
        <f ca="1">IF((OFFSET($A$1, 481 - 1, 95 - 1)) &gt;= (OFFSET($A$1, 56 - 1, 7 - 1)), "1","0")</f>
        <v>1</v>
      </c>
      <c r="CT481">
        <f ca="1" xml:space="preserve"> IF( AND( OFFSET($A$1, 481 - 1, 96 - 1) = "1", OFFSET($A$1, 481 - 1, 97 - 1) = "1" ), 1, IF( AND( OFFSET($A$1, 481 - 1, 96 - 1) = "1", OFFSET($A$1, 481 - 1, 97 - 1) = "0" ), 2, IF( AND( OFFSET($A$1, 481 - 1, 96 - 1) = "0", OFFSET($A$1, 481 - 1, 97 - 1) = "1" ), 3, 4 ) ) )</f>
        <v>1</v>
      </c>
    </row>
    <row r="482" spans="95:98" ht="13.8" x14ac:dyDescent="0.3">
      <c r="CQ482" s="24">
        <v>0.99923855372814452</v>
      </c>
      <c r="CR482" s="24" t="str">
        <f>"1"</f>
        <v>1</v>
      </c>
      <c r="CS482" t="str">
        <f ca="1">IF((OFFSET($A$1, 482 - 1, 95 - 1)) &gt;= (OFFSET($A$1, 56 - 1, 7 - 1)), "1","0")</f>
        <v>1</v>
      </c>
      <c r="CT482">
        <f ca="1" xml:space="preserve"> IF( AND( OFFSET($A$1, 482 - 1, 96 - 1) = "1", OFFSET($A$1, 482 - 1, 97 - 1) = "1" ), 1, IF( AND( OFFSET($A$1, 482 - 1, 96 - 1) = "1", OFFSET($A$1, 482 - 1, 97 - 1) = "0" ), 2, IF( AND( OFFSET($A$1, 482 - 1, 96 - 1) = "0", OFFSET($A$1, 482 - 1, 97 - 1) = "1" ), 3, 4 ) ) )</f>
        <v>1</v>
      </c>
    </row>
    <row r="483" spans="95:98" ht="13.8" x14ac:dyDescent="0.3">
      <c r="CQ483" s="24">
        <v>0.99438871168265641</v>
      </c>
      <c r="CR483" s="24" t="str">
        <f>"1"</f>
        <v>1</v>
      </c>
      <c r="CS483" t="str">
        <f ca="1">IF((OFFSET($A$1, 483 - 1, 95 - 1)) &gt;= (OFFSET($A$1, 56 - 1, 7 - 1)), "1","0")</f>
        <v>1</v>
      </c>
      <c r="CT483">
        <f ca="1" xml:space="preserve"> IF( AND( OFFSET($A$1, 483 - 1, 96 - 1) = "1", OFFSET($A$1, 483 - 1, 97 - 1) = "1" ), 1, IF( AND( OFFSET($A$1, 483 - 1, 96 - 1) = "1", OFFSET($A$1, 483 - 1, 97 - 1) = "0" ), 2, IF( AND( OFFSET($A$1, 483 - 1, 96 - 1) = "0", OFFSET($A$1, 483 - 1, 97 - 1) = "1" ), 3, 4 ) ) )</f>
        <v>1</v>
      </c>
    </row>
    <row r="484" spans="95:98" ht="13.8" x14ac:dyDescent="0.3">
      <c r="CQ484" s="24">
        <v>0.9871742909486465</v>
      </c>
      <c r="CR484" s="24" t="str">
        <f>"1"</f>
        <v>1</v>
      </c>
      <c r="CS484" t="str">
        <f ca="1">IF((OFFSET($A$1, 484 - 1, 95 - 1)) &gt;= (OFFSET($A$1, 56 - 1, 7 - 1)), "1","0")</f>
        <v>1</v>
      </c>
      <c r="CT484">
        <f ca="1" xml:space="preserve"> IF( AND( OFFSET($A$1, 484 - 1, 96 - 1) = "1", OFFSET($A$1, 484 - 1, 97 - 1) = "1" ), 1, IF( AND( OFFSET($A$1, 484 - 1, 96 - 1) = "1", OFFSET($A$1, 484 - 1, 97 - 1) = "0" ), 2, IF( AND( OFFSET($A$1, 484 - 1, 96 - 1) = "0", OFFSET($A$1, 484 - 1, 97 - 1) = "1" ), 3, 4 ) ) )</f>
        <v>1</v>
      </c>
    </row>
    <row r="485" spans="95:98" ht="13.8" x14ac:dyDescent="0.3">
      <c r="CQ485" s="24">
        <v>1.7292781351411057E-3</v>
      </c>
      <c r="CR485" s="24" t="str">
        <f>"0"</f>
        <v>0</v>
      </c>
      <c r="CS485" t="str">
        <f ca="1">IF((OFFSET($A$1, 485 - 1, 95 - 1)) &gt;= (OFFSET($A$1, 56 - 1, 7 - 1)), "1","0")</f>
        <v>0</v>
      </c>
      <c r="CT485">
        <f ca="1" xml:space="preserve"> IF( AND( OFFSET($A$1, 485 - 1, 96 - 1) = "1", OFFSET($A$1, 485 - 1, 97 - 1) = "1" ), 1, IF( AND( OFFSET($A$1, 485 - 1, 96 - 1) = "1", OFFSET($A$1, 485 - 1, 97 - 1) = "0" ), 2, IF( AND( OFFSET($A$1, 485 - 1, 96 - 1) = "0", OFFSET($A$1, 485 - 1, 97 - 1) = "1" ), 3, 4 ) ) )</f>
        <v>4</v>
      </c>
    </row>
    <row r="486" spans="95:98" ht="13.8" x14ac:dyDescent="0.3">
      <c r="CQ486" s="24">
        <v>0.98362377850776217</v>
      </c>
      <c r="CR486" s="24" t="str">
        <f>"1"</f>
        <v>1</v>
      </c>
      <c r="CS486" t="str">
        <f ca="1">IF((OFFSET($A$1, 486 - 1, 95 - 1)) &gt;= (OFFSET($A$1, 56 - 1, 7 - 1)), "1","0")</f>
        <v>1</v>
      </c>
      <c r="CT486">
        <f ca="1" xml:space="preserve"> IF( AND( OFFSET($A$1, 486 - 1, 96 - 1) = "1", OFFSET($A$1, 486 - 1, 97 - 1) = "1" ), 1, IF( AND( OFFSET($A$1, 486 - 1, 96 - 1) = "1", OFFSET($A$1, 486 - 1, 97 - 1) = "0" ), 2, IF( AND( OFFSET($A$1, 486 - 1, 96 - 1) = "0", OFFSET($A$1, 486 - 1, 97 - 1) = "1" ), 3, 4 ) ) )</f>
        <v>1</v>
      </c>
    </row>
    <row r="487" spans="95:98" ht="13.8" x14ac:dyDescent="0.3">
      <c r="CQ487" s="24">
        <v>0.94675916428787588</v>
      </c>
      <c r="CR487" s="24" t="str">
        <f>"1"</f>
        <v>1</v>
      </c>
      <c r="CS487" t="str">
        <f ca="1">IF((OFFSET($A$1, 487 - 1, 95 - 1)) &gt;= (OFFSET($A$1, 56 - 1, 7 - 1)), "1","0")</f>
        <v>1</v>
      </c>
      <c r="CT487">
        <f ca="1" xml:space="preserve"> IF( AND( OFFSET($A$1, 487 - 1, 96 - 1) = "1", OFFSET($A$1, 487 - 1, 97 - 1) = "1" ), 1, IF( AND( OFFSET($A$1, 487 - 1, 96 - 1) = "1", OFFSET($A$1, 487 - 1, 97 - 1) = "0" ), 2, IF( AND( OFFSET($A$1, 487 - 1, 96 - 1) = "0", OFFSET($A$1, 487 - 1, 97 - 1) = "1" ), 3, 4 ) ) )</f>
        <v>1</v>
      </c>
    </row>
    <row r="488" spans="95:98" ht="13.8" x14ac:dyDescent="0.3">
      <c r="CQ488" s="24">
        <v>3.3921358297714345E-2</v>
      </c>
      <c r="CR488" s="24" t="str">
        <f>"0"</f>
        <v>0</v>
      </c>
      <c r="CS488" t="str">
        <f ca="1">IF((OFFSET($A$1, 488 - 1, 95 - 1)) &gt;= (OFFSET($A$1, 56 - 1, 7 - 1)), "1","0")</f>
        <v>0</v>
      </c>
      <c r="CT488">
        <f ca="1" xml:space="preserve"> IF( AND( OFFSET($A$1, 488 - 1, 96 - 1) = "1", OFFSET($A$1, 488 - 1, 97 - 1) = "1" ), 1, IF( AND( OFFSET($A$1, 488 - 1, 96 - 1) = "1", OFFSET($A$1, 488 - 1, 97 - 1) = "0" ), 2, IF( AND( OFFSET($A$1, 488 - 1, 96 - 1) = "0", OFFSET($A$1, 488 - 1, 97 - 1) = "1" ), 3, 4 ) ) )</f>
        <v>4</v>
      </c>
    </row>
    <row r="489" spans="95:98" ht="13.8" x14ac:dyDescent="0.3">
      <c r="CQ489" s="24">
        <v>0.97062015933447487</v>
      </c>
      <c r="CR489" s="24" t="str">
        <f>"1"</f>
        <v>1</v>
      </c>
      <c r="CS489" t="str">
        <f ca="1">IF((OFFSET($A$1, 489 - 1, 95 - 1)) &gt;= (OFFSET($A$1, 56 - 1, 7 - 1)), "1","0")</f>
        <v>1</v>
      </c>
      <c r="CT489">
        <f ca="1" xml:space="preserve"> IF( AND( OFFSET($A$1, 489 - 1, 96 - 1) = "1", OFFSET($A$1, 489 - 1, 97 - 1) = "1" ), 1, IF( AND( OFFSET($A$1, 489 - 1, 96 - 1) = "1", OFFSET($A$1, 489 - 1, 97 - 1) = "0" ), 2, IF( AND( OFFSET($A$1, 489 - 1, 96 - 1) = "0", OFFSET($A$1, 489 - 1, 97 - 1) = "1" ), 3, 4 ) ) )</f>
        <v>1</v>
      </c>
    </row>
    <row r="490" spans="95:98" ht="13.8" x14ac:dyDescent="0.3">
      <c r="CQ490" s="24">
        <v>0.26804001558382329</v>
      </c>
      <c r="CR490" s="24" t="str">
        <f>"0"</f>
        <v>0</v>
      </c>
      <c r="CS490" t="str">
        <f ca="1">IF((OFFSET($A$1, 490 - 1, 95 - 1)) &gt;= (OFFSET($A$1, 56 - 1, 7 - 1)), "1","0")</f>
        <v>0</v>
      </c>
      <c r="CT490">
        <f ca="1" xml:space="preserve"> IF( AND( OFFSET($A$1, 490 - 1, 96 - 1) = "1", OFFSET($A$1, 490 - 1, 97 - 1) = "1" ), 1, IF( AND( OFFSET($A$1, 490 - 1, 96 - 1) = "1", OFFSET($A$1, 490 - 1, 97 - 1) = "0" ), 2, IF( AND( OFFSET($A$1, 490 - 1, 96 - 1) = "0", OFFSET($A$1, 490 - 1, 97 - 1) = "1" ), 3, 4 ) ) )</f>
        <v>4</v>
      </c>
    </row>
    <row r="491" spans="95:98" ht="13.8" x14ac:dyDescent="0.3">
      <c r="CQ491" s="24">
        <v>0.99263168264623569</v>
      </c>
      <c r="CR491" s="24" t="str">
        <f t="shared" ref="CR491:CR502" si="34">"1"</f>
        <v>1</v>
      </c>
      <c r="CS491" t="str">
        <f ca="1">IF((OFFSET($A$1, 491 - 1, 95 - 1)) &gt;= (OFFSET($A$1, 56 - 1, 7 - 1)), "1","0")</f>
        <v>1</v>
      </c>
      <c r="CT491">
        <f ca="1" xml:space="preserve"> IF( AND( OFFSET($A$1, 491 - 1, 96 - 1) = "1", OFFSET($A$1, 491 - 1, 97 - 1) = "1" ), 1, IF( AND( OFFSET($A$1, 491 - 1, 96 - 1) = "1", OFFSET($A$1, 491 - 1, 97 - 1) = "0" ), 2, IF( AND( OFFSET($A$1, 491 - 1, 96 - 1) = "0", OFFSET($A$1, 491 - 1, 97 - 1) = "1" ), 3, 4 ) ) )</f>
        <v>1</v>
      </c>
    </row>
    <row r="492" spans="95:98" ht="13.8" x14ac:dyDescent="0.3">
      <c r="CQ492" s="24">
        <v>0.89293751794344167</v>
      </c>
      <c r="CR492" s="24" t="str">
        <f t="shared" si="34"/>
        <v>1</v>
      </c>
      <c r="CS492" t="str">
        <f ca="1">IF((OFFSET($A$1, 492 - 1, 95 - 1)) &gt;= (OFFSET($A$1, 56 - 1, 7 - 1)), "1","0")</f>
        <v>1</v>
      </c>
      <c r="CT492">
        <f ca="1" xml:space="preserve"> IF( AND( OFFSET($A$1, 492 - 1, 96 - 1) = "1", OFFSET($A$1, 492 - 1, 97 - 1) = "1" ), 1, IF( AND( OFFSET($A$1, 492 - 1, 96 - 1) = "1", OFFSET($A$1, 492 - 1, 97 - 1) = "0" ), 2, IF( AND( OFFSET($A$1, 492 - 1, 96 - 1) = "0", OFFSET($A$1, 492 - 1, 97 - 1) = "1" ), 3, 4 ) ) )</f>
        <v>1</v>
      </c>
    </row>
    <row r="493" spans="95:98" ht="13.8" x14ac:dyDescent="0.3">
      <c r="CQ493" s="24">
        <v>0.95215476329842508</v>
      </c>
      <c r="CR493" s="24" t="str">
        <f t="shared" si="34"/>
        <v>1</v>
      </c>
      <c r="CS493" t="str">
        <f ca="1">IF((OFFSET($A$1, 493 - 1, 95 - 1)) &gt;= (OFFSET($A$1, 56 - 1, 7 - 1)), "1","0")</f>
        <v>1</v>
      </c>
      <c r="CT493">
        <f ca="1" xml:space="preserve"> IF( AND( OFFSET($A$1, 493 - 1, 96 - 1) = "1", OFFSET($A$1, 493 - 1, 97 - 1) = "1" ), 1, IF( AND( OFFSET($A$1, 493 - 1, 96 - 1) = "1", OFFSET($A$1, 493 - 1, 97 - 1) = "0" ), 2, IF( AND( OFFSET($A$1, 493 - 1, 96 - 1) = "0", OFFSET($A$1, 493 - 1, 97 - 1) = "1" ), 3, 4 ) ) )</f>
        <v>1</v>
      </c>
    </row>
    <row r="494" spans="95:98" ht="13.8" x14ac:dyDescent="0.3">
      <c r="CQ494" s="24">
        <v>0.95020023271118326</v>
      </c>
      <c r="CR494" s="24" t="str">
        <f t="shared" si="34"/>
        <v>1</v>
      </c>
      <c r="CS494" t="str">
        <f ca="1">IF((OFFSET($A$1, 494 - 1, 95 - 1)) &gt;= (OFFSET($A$1, 56 - 1, 7 - 1)), "1","0")</f>
        <v>1</v>
      </c>
      <c r="CT494">
        <f ca="1" xml:space="preserve"> IF( AND( OFFSET($A$1, 494 - 1, 96 - 1) = "1", OFFSET($A$1, 494 - 1, 97 - 1) = "1" ), 1, IF( AND( OFFSET($A$1, 494 - 1, 96 - 1) = "1", OFFSET($A$1, 494 - 1, 97 - 1) = "0" ), 2, IF( AND( OFFSET($A$1, 494 - 1, 96 - 1) = "0", OFFSET($A$1, 494 - 1, 97 - 1) = "1" ), 3, 4 ) ) )</f>
        <v>1</v>
      </c>
    </row>
    <row r="495" spans="95:98" ht="13.8" x14ac:dyDescent="0.3">
      <c r="CQ495" s="24">
        <v>0.90893244067945667</v>
      </c>
      <c r="CR495" s="24" t="str">
        <f t="shared" si="34"/>
        <v>1</v>
      </c>
      <c r="CS495" t="str">
        <f ca="1">IF((OFFSET($A$1, 495 - 1, 95 - 1)) &gt;= (OFFSET($A$1, 56 - 1, 7 - 1)), "1","0")</f>
        <v>1</v>
      </c>
      <c r="CT495">
        <f ca="1" xml:space="preserve"> IF( AND( OFFSET($A$1, 495 - 1, 96 - 1) = "1", OFFSET($A$1, 495 - 1, 97 - 1) = "1" ), 1, IF( AND( OFFSET($A$1, 495 - 1, 96 - 1) = "1", OFFSET($A$1, 495 - 1, 97 - 1) = "0" ), 2, IF( AND( OFFSET($A$1, 495 - 1, 96 - 1) = "0", OFFSET($A$1, 495 - 1, 97 - 1) = "1" ), 3, 4 ) ) )</f>
        <v>1</v>
      </c>
    </row>
    <row r="496" spans="95:98" ht="13.8" x14ac:dyDescent="0.3">
      <c r="CQ496" s="24">
        <v>0.96802553898172006</v>
      </c>
      <c r="CR496" s="24" t="str">
        <f t="shared" si="34"/>
        <v>1</v>
      </c>
      <c r="CS496" t="str">
        <f ca="1">IF((OFFSET($A$1, 496 - 1, 95 - 1)) &gt;= (OFFSET($A$1, 56 - 1, 7 - 1)), "1","0")</f>
        <v>1</v>
      </c>
      <c r="CT496">
        <f ca="1" xml:space="preserve"> IF( AND( OFFSET($A$1, 496 - 1, 96 - 1) = "1", OFFSET($A$1, 496 - 1, 97 - 1) = "1" ), 1, IF( AND( OFFSET($A$1, 496 - 1, 96 - 1) = "1", OFFSET($A$1, 496 - 1, 97 - 1) = "0" ), 2, IF( AND( OFFSET($A$1, 496 - 1, 96 - 1) = "0", OFFSET($A$1, 496 - 1, 97 - 1) = "1" ), 3, 4 ) ) )</f>
        <v>1</v>
      </c>
    </row>
    <row r="497" spans="95:98" ht="13.8" x14ac:dyDescent="0.3">
      <c r="CQ497" s="24">
        <v>0.94680542756838815</v>
      </c>
      <c r="CR497" s="24" t="str">
        <f t="shared" si="34"/>
        <v>1</v>
      </c>
      <c r="CS497" t="str">
        <f ca="1">IF((OFFSET($A$1, 497 - 1, 95 - 1)) &gt;= (OFFSET($A$1, 56 - 1, 7 - 1)), "1","0")</f>
        <v>1</v>
      </c>
      <c r="CT497">
        <f ca="1" xml:space="preserve"> IF( AND( OFFSET($A$1, 497 - 1, 96 - 1) = "1", OFFSET($A$1, 497 - 1, 97 - 1) = "1" ), 1, IF( AND( OFFSET($A$1, 497 - 1, 96 - 1) = "1", OFFSET($A$1, 497 - 1, 97 - 1) = "0" ), 2, IF( AND( OFFSET($A$1, 497 - 1, 96 - 1) = "0", OFFSET($A$1, 497 - 1, 97 - 1) = "1" ), 3, 4 ) ) )</f>
        <v>1</v>
      </c>
    </row>
    <row r="498" spans="95:98" ht="13.8" x14ac:dyDescent="0.3">
      <c r="CQ498" s="24">
        <v>0.94407499716168597</v>
      </c>
      <c r="CR498" s="24" t="str">
        <f t="shared" si="34"/>
        <v>1</v>
      </c>
      <c r="CS498" t="str">
        <f ca="1">IF((OFFSET($A$1, 498 - 1, 95 - 1)) &gt;= (OFFSET($A$1, 56 - 1, 7 - 1)), "1","0")</f>
        <v>1</v>
      </c>
      <c r="CT498">
        <f ca="1" xml:space="preserve"> IF( AND( OFFSET($A$1, 498 - 1, 96 - 1) = "1", OFFSET($A$1, 498 - 1, 97 - 1) = "1" ), 1, IF( AND( OFFSET($A$1, 498 - 1, 96 - 1) = "1", OFFSET($A$1, 498 - 1, 97 - 1) = "0" ), 2, IF( AND( OFFSET($A$1, 498 - 1, 96 - 1) = "0", OFFSET($A$1, 498 - 1, 97 - 1) = "1" ), 3, 4 ) ) )</f>
        <v>1</v>
      </c>
    </row>
    <row r="499" spans="95:98" ht="13.8" x14ac:dyDescent="0.3">
      <c r="CQ499" s="24">
        <v>0.88464432347315203</v>
      </c>
      <c r="CR499" s="24" t="str">
        <f t="shared" si="34"/>
        <v>1</v>
      </c>
      <c r="CS499" t="str">
        <f ca="1">IF((OFFSET($A$1, 499 - 1, 95 - 1)) &gt;= (OFFSET($A$1, 56 - 1, 7 - 1)), "1","0")</f>
        <v>1</v>
      </c>
      <c r="CT499">
        <f ca="1" xml:space="preserve"> IF( AND( OFFSET($A$1, 499 - 1, 96 - 1) = "1", OFFSET($A$1, 499 - 1, 97 - 1) = "1" ), 1, IF( AND( OFFSET($A$1, 499 - 1, 96 - 1) = "1", OFFSET($A$1, 499 - 1, 97 - 1) = "0" ), 2, IF( AND( OFFSET($A$1, 499 - 1, 96 - 1) = "0", OFFSET($A$1, 499 - 1, 97 - 1) = "1" ), 3, 4 ) ) )</f>
        <v>1</v>
      </c>
    </row>
    <row r="500" spans="95:98" ht="13.8" x14ac:dyDescent="0.3">
      <c r="CQ500" s="24">
        <v>0.99350935183987132</v>
      </c>
      <c r="CR500" s="24" t="str">
        <f t="shared" si="34"/>
        <v>1</v>
      </c>
      <c r="CS500" t="str">
        <f ca="1">IF((OFFSET($A$1, 500 - 1, 95 - 1)) &gt;= (OFFSET($A$1, 56 - 1, 7 - 1)), "1","0")</f>
        <v>1</v>
      </c>
      <c r="CT500">
        <f ca="1" xml:space="preserve"> IF( AND( OFFSET($A$1, 500 - 1, 96 - 1) = "1", OFFSET($A$1, 500 - 1, 97 - 1) = "1" ), 1, IF( AND( OFFSET($A$1, 500 - 1, 96 - 1) = "1", OFFSET($A$1, 500 - 1, 97 - 1) = "0" ), 2, IF( AND( OFFSET($A$1, 500 - 1, 96 - 1) = "0", OFFSET($A$1, 500 - 1, 97 - 1) = "1" ), 3, 4 ) ) )</f>
        <v>1</v>
      </c>
    </row>
    <row r="501" spans="95:98" ht="13.8" x14ac:dyDescent="0.3">
      <c r="CQ501" s="24">
        <v>0.99625585260420835</v>
      </c>
      <c r="CR501" s="24" t="str">
        <f t="shared" si="34"/>
        <v>1</v>
      </c>
      <c r="CS501" t="str">
        <f ca="1">IF((OFFSET($A$1, 501 - 1, 95 - 1)) &gt;= (OFFSET($A$1, 56 - 1, 7 - 1)), "1","0")</f>
        <v>1</v>
      </c>
      <c r="CT501">
        <f ca="1" xml:space="preserve"> IF( AND( OFFSET($A$1, 501 - 1, 96 - 1) = "1", OFFSET($A$1, 501 - 1, 97 - 1) = "1" ), 1, IF( AND( OFFSET($A$1, 501 - 1, 96 - 1) = "1", OFFSET($A$1, 501 - 1, 97 - 1) = "0" ), 2, IF( AND( OFFSET($A$1, 501 - 1, 96 - 1) = "0", OFFSET($A$1, 501 - 1, 97 - 1) = "1" ), 3, 4 ) ) )</f>
        <v>1</v>
      </c>
    </row>
    <row r="502" spans="95:98" ht="13.8" x14ac:dyDescent="0.3">
      <c r="CQ502" s="24">
        <v>0.94943848695465349</v>
      </c>
      <c r="CR502" s="24" t="str">
        <f t="shared" si="34"/>
        <v>1</v>
      </c>
      <c r="CS502" t="str">
        <f ca="1">IF((OFFSET($A$1, 502 - 1, 95 - 1)) &gt;= (OFFSET($A$1, 56 - 1, 7 - 1)), "1","0")</f>
        <v>1</v>
      </c>
      <c r="CT502">
        <f ca="1" xml:space="preserve"> IF( AND( OFFSET($A$1, 502 - 1, 96 - 1) = "1", OFFSET($A$1, 502 - 1, 97 - 1) = "1" ), 1, IF( AND( OFFSET($A$1, 502 - 1, 96 - 1) = "1", OFFSET($A$1, 502 - 1, 97 - 1) = "0" ), 2, IF( AND( OFFSET($A$1, 502 - 1, 96 - 1) = "0", OFFSET($A$1, 502 - 1, 97 - 1) = "1" ), 3, 4 ) ) )</f>
        <v>1</v>
      </c>
    </row>
    <row r="503" spans="95:98" ht="13.8" x14ac:dyDescent="0.3">
      <c r="CQ503" s="24">
        <v>0.99978341559015582</v>
      </c>
      <c r="CR503" s="24" t="str">
        <f>"0"</f>
        <v>0</v>
      </c>
      <c r="CS503" t="str">
        <f ca="1">IF((OFFSET($A$1, 503 - 1, 95 - 1)) &gt;= (OFFSET($A$1, 56 - 1, 7 - 1)), "1","0")</f>
        <v>1</v>
      </c>
      <c r="CT503">
        <f ca="1" xml:space="preserve"> IF( AND( OFFSET($A$1, 503 - 1, 96 - 1) = "1", OFFSET($A$1, 503 - 1, 97 - 1) = "1" ), 1, IF( AND( OFFSET($A$1, 503 - 1, 96 - 1) = "1", OFFSET($A$1, 503 - 1, 97 - 1) = "0" ), 2, IF( AND( OFFSET($A$1, 503 - 1, 96 - 1) = "0", OFFSET($A$1, 503 - 1, 97 - 1) = "1" ), 3, 4 ) ) )</f>
        <v>3</v>
      </c>
    </row>
    <row r="504" spans="95:98" ht="13.8" x14ac:dyDescent="0.3">
      <c r="CQ504" s="24">
        <v>0.96431393343472005</v>
      </c>
      <c r="CR504" s="24" t="str">
        <f>"1"</f>
        <v>1</v>
      </c>
      <c r="CS504" t="str">
        <f ca="1">IF((OFFSET($A$1, 504 - 1, 95 - 1)) &gt;= (OFFSET($A$1, 56 - 1, 7 - 1)), "1","0")</f>
        <v>1</v>
      </c>
      <c r="CT504">
        <f ca="1" xml:space="preserve"> IF( AND( OFFSET($A$1, 504 - 1, 96 - 1) = "1", OFFSET($A$1, 504 - 1, 97 - 1) = "1" ), 1, IF( AND( OFFSET($A$1, 504 - 1, 96 - 1) = "1", OFFSET($A$1, 504 - 1, 97 - 1) = "0" ), 2, IF( AND( OFFSET($A$1, 504 - 1, 96 - 1) = "0", OFFSET($A$1, 504 - 1, 97 - 1) = "1" ), 3, 4 ) ) )</f>
        <v>1</v>
      </c>
    </row>
    <row r="505" spans="95:98" ht="13.8" x14ac:dyDescent="0.3">
      <c r="CQ505" s="24">
        <v>0.99963595019086726</v>
      </c>
      <c r="CR505" s="24" t="str">
        <f>"1"</f>
        <v>1</v>
      </c>
      <c r="CS505" t="str">
        <f ca="1">IF((OFFSET($A$1, 505 - 1, 95 - 1)) &gt;= (OFFSET($A$1, 56 - 1, 7 - 1)), "1","0")</f>
        <v>1</v>
      </c>
      <c r="CT505">
        <f ca="1" xml:space="preserve"> IF( AND( OFFSET($A$1, 505 - 1, 96 - 1) = "1", OFFSET($A$1, 505 - 1, 97 - 1) = "1" ), 1, IF( AND( OFFSET($A$1, 505 - 1, 96 - 1) = "1", OFFSET($A$1, 505 - 1, 97 - 1) = "0" ), 2, IF( AND( OFFSET($A$1, 505 - 1, 96 - 1) = "0", OFFSET($A$1, 505 - 1, 97 - 1) = "1" ), 3, 4 ) ) )</f>
        <v>1</v>
      </c>
    </row>
    <row r="506" spans="95:98" ht="13.8" x14ac:dyDescent="0.3">
      <c r="CQ506" s="24">
        <v>0.99874156436118289</v>
      </c>
      <c r="CR506" s="24" t="str">
        <f>"1"</f>
        <v>1</v>
      </c>
      <c r="CS506" t="str">
        <f ca="1">IF((OFFSET($A$1, 506 - 1, 95 - 1)) &gt;= (OFFSET($A$1, 56 - 1, 7 - 1)), "1","0")</f>
        <v>1</v>
      </c>
      <c r="CT506">
        <f ca="1" xml:space="preserve"> IF( AND( OFFSET($A$1, 506 - 1, 96 - 1) = "1", OFFSET($A$1, 506 - 1, 97 - 1) = "1" ), 1, IF( AND( OFFSET($A$1, 506 - 1, 96 - 1) = "1", OFFSET($A$1, 506 - 1, 97 - 1) = "0" ), 2, IF( AND( OFFSET($A$1, 506 - 1, 96 - 1) = "0", OFFSET($A$1, 506 - 1, 97 - 1) = "1" ), 3, 4 ) ) )</f>
        <v>1</v>
      </c>
    </row>
    <row r="507" spans="95:98" ht="13.8" x14ac:dyDescent="0.3">
      <c r="CQ507" s="24">
        <v>1.6761254626529085E-3</v>
      </c>
      <c r="CR507" s="24" t="str">
        <f>"0"</f>
        <v>0</v>
      </c>
      <c r="CS507" t="str">
        <f ca="1">IF((OFFSET($A$1, 507 - 1, 95 - 1)) &gt;= (OFFSET($A$1, 56 - 1, 7 - 1)), "1","0")</f>
        <v>0</v>
      </c>
      <c r="CT507">
        <f ca="1" xml:space="preserve"> IF( AND( OFFSET($A$1, 507 - 1, 96 - 1) = "1", OFFSET($A$1, 507 - 1, 97 - 1) = "1" ), 1, IF( AND( OFFSET($A$1, 507 - 1, 96 - 1) = "1", OFFSET($A$1, 507 - 1, 97 - 1) = "0" ), 2, IF( AND( OFFSET($A$1, 507 - 1, 96 - 1) = "0", OFFSET($A$1, 507 - 1, 97 - 1) = "1" ), 3, 4 ) ) )</f>
        <v>4</v>
      </c>
    </row>
    <row r="508" spans="95:98" ht="13.8" x14ac:dyDescent="0.3">
      <c r="CQ508" s="24">
        <v>0.22568409449636398</v>
      </c>
      <c r="CR508" s="24" t="str">
        <f>"0"</f>
        <v>0</v>
      </c>
      <c r="CS508" t="str">
        <f ca="1">IF((OFFSET($A$1, 508 - 1, 95 - 1)) &gt;= (OFFSET($A$1, 56 - 1, 7 - 1)), "1","0")</f>
        <v>0</v>
      </c>
      <c r="CT508">
        <f ca="1" xml:space="preserve"> IF( AND( OFFSET($A$1, 508 - 1, 96 - 1) = "1", OFFSET($A$1, 508 - 1, 97 - 1) = "1" ), 1, IF( AND( OFFSET($A$1, 508 - 1, 96 - 1) = "1", OFFSET($A$1, 508 - 1, 97 - 1) = "0" ), 2, IF( AND( OFFSET($A$1, 508 - 1, 96 - 1) = "0", OFFSET($A$1, 508 - 1, 97 - 1) = "1" ), 3, 4 ) ) )</f>
        <v>4</v>
      </c>
    </row>
    <row r="509" spans="95:98" ht="13.8" x14ac:dyDescent="0.3">
      <c r="CQ509" s="24">
        <v>4.2727605093905129E-2</v>
      </c>
      <c r="CR509" s="24" t="str">
        <f>"0"</f>
        <v>0</v>
      </c>
      <c r="CS509" t="str">
        <f ca="1">IF((OFFSET($A$1, 509 - 1, 95 - 1)) &gt;= (OFFSET($A$1, 56 - 1, 7 - 1)), "1","0")</f>
        <v>0</v>
      </c>
      <c r="CT509">
        <f ca="1" xml:space="preserve"> IF( AND( OFFSET($A$1, 509 - 1, 96 - 1) = "1", OFFSET($A$1, 509 - 1, 97 - 1) = "1" ), 1, IF( AND( OFFSET($A$1, 509 - 1, 96 - 1) = "1", OFFSET($A$1, 509 - 1, 97 - 1) = "0" ), 2, IF( AND( OFFSET($A$1, 509 - 1, 96 - 1) = "0", OFFSET($A$1, 509 - 1, 97 - 1) = "1" ), 3, 4 ) ) )</f>
        <v>4</v>
      </c>
    </row>
    <row r="510" spans="95:98" ht="13.8" x14ac:dyDescent="0.3">
      <c r="CQ510" s="24">
        <v>0.9758612477716222</v>
      </c>
      <c r="CR510" s="24" t="str">
        <f>"1"</f>
        <v>1</v>
      </c>
      <c r="CS510" t="str">
        <f ca="1">IF((OFFSET($A$1, 510 - 1, 95 - 1)) &gt;= (OFFSET($A$1, 56 - 1, 7 - 1)), "1","0")</f>
        <v>1</v>
      </c>
      <c r="CT510">
        <f ca="1" xml:space="preserve"> IF( AND( OFFSET($A$1, 510 - 1, 96 - 1) = "1", OFFSET($A$1, 510 - 1, 97 - 1) = "1" ), 1, IF( AND( OFFSET($A$1, 510 - 1, 96 - 1) = "1", OFFSET($A$1, 510 - 1, 97 - 1) = "0" ), 2, IF( AND( OFFSET($A$1, 510 - 1, 96 - 1) = "0", OFFSET($A$1, 510 - 1, 97 - 1) = "1" ), 3, 4 ) ) )</f>
        <v>1</v>
      </c>
    </row>
    <row r="511" spans="95:98" ht="13.8" x14ac:dyDescent="0.3">
      <c r="CQ511" s="24">
        <v>0.81223760518511401</v>
      </c>
      <c r="CR511" s="24" t="str">
        <f>"1"</f>
        <v>1</v>
      </c>
      <c r="CS511" t="str">
        <f ca="1">IF((OFFSET($A$1, 511 - 1, 95 - 1)) &gt;= (OFFSET($A$1, 56 - 1, 7 - 1)), "1","0")</f>
        <v>1</v>
      </c>
      <c r="CT511">
        <f ca="1" xml:space="preserve"> IF( AND( OFFSET($A$1, 511 - 1, 96 - 1) = "1", OFFSET($A$1, 511 - 1, 97 - 1) = "1" ), 1, IF( AND( OFFSET($A$1, 511 - 1, 96 - 1) = "1", OFFSET($A$1, 511 - 1, 97 - 1) = "0" ), 2, IF( AND( OFFSET($A$1, 511 - 1, 96 - 1) = "0", OFFSET($A$1, 511 - 1, 97 - 1) = "1" ), 3, 4 ) ) )</f>
        <v>1</v>
      </c>
    </row>
    <row r="512" spans="95:98" ht="13.8" x14ac:dyDescent="0.3">
      <c r="CQ512" s="24">
        <v>0.99361717159697871</v>
      </c>
      <c r="CR512" s="24" t="str">
        <f>"1"</f>
        <v>1</v>
      </c>
      <c r="CS512" t="str">
        <f ca="1">IF((OFFSET($A$1, 512 - 1, 95 - 1)) &gt;= (OFFSET($A$1, 56 - 1, 7 - 1)), "1","0")</f>
        <v>1</v>
      </c>
      <c r="CT512">
        <f ca="1" xml:space="preserve"> IF( AND( OFFSET($A$1, 512 - 1, 96 - 1) = "1", OFFSET($A$1, 512 - 1, 97 - 1) = "1" ), 1, IF( AND( OFFSET($A$1, 512 - 1, 96 - 1) = "1", OFFSET($A$1, 512 - 1, 97 - 1) = "0" ), 2, IF( AND( OFFSET($A$1, 512 - 1, 96 - 1) = "0", OFFSET($A$1, 512 - 1, 97 - 1) = "1" ), 3, 4 ) ) )</f>
        <v>1</v>
      </c>
    </row>
    <row r="513" spans="95:98" ht="13.8" x14ac:dyDescent="0.3">
      <c r="CQ513" s="24">
        <v>0.14416340398903987</v>
      </c>
      <c r="CR513" s="24" t="str">
        <f>"0"</f>
        <v>0</v>
      </c>
      <c r="CS513" t="str">
        <f ca="1">IF((OFFSET($A$1, 513 - 1, 95 - 1)) &gt;= (OFFSET($A$1, 56 - 1, 7 - 1)), "1","0")</f>
        <v>0</v>
      </c>
      <c r="CT513">
        <f ca="1" xml:space="preserve"> IF( AND( OFFSET($A$1, 513 - 1, 96 - 1) = "1", OFFSET($A$1, 513 - 1, 97 - 1) = "1" ), 1, IF( AND( OFFSET($A$1, 513 - 1, 96 - 1) = "1", OFFSET($A$1, 513 - 1, 97 - 1) = "0" ), 2, IF( AND( OFFSET($A$1, 513 - 1, 96 - 1) = "0", OFFSET($A$1, 513 - 1, 97 - 1) = "1" ), 3, 4 ) ) )</f>
        <v>4</v>
      </c>
    </row>
    <row r="514" spans="95:98" ht="13.8" x14ac:dyDescent="0.3">
      <c r="CQ514" s="24">
        <v>0.86652053002665907</v>
      </c>
      <c r="CR514" s="24" t="str">
        <f>"1"</f>
        <v>1</v>
      </c>
      <c r="CS514" t="str">
        <f ca="1">IF((OFFSET($A$1, 514 - 1, 95 - 1)) &gt;= (OFFSET($A$1, 56 - 1, 7 - 1)), "1","0")</f>
        <v>1</v>
      </c>
      <c r="CT514">
        <f ca="1" xml:space="preserve"> IF( AND( OFFSET($A$1, 514 - 1, 96 - 1) = "1", OFFSET($A$1, 514 - 1, 97 - 1) = "1" ), 1, IF( AND( OFFSET($A$1, 514 - 1, 96 - 1) = "1", OFFSET($A$1, 514 - 1, 97 - 1) = "0" ), 2, IF( AND( OFFSET($A$1, 514 - 1, 96 - 1) = "0", OFFSET($A$1, 514 - 1, 97 - 1) = "1" ), 3, 4 ) ) )</f>
        <v>1</v>
      </c>
    </row>
    <row r="515" spans="95:98" ht="13.8" x14ac:dyDescent="0.3">
      <c r="CQ515" s="24">
        <v>0.9451407834316915</v>
      </c>
      <c r="CR515" s="24" t="str">
        <f>"1"</f>
        <v>1</v>
      </c>
      <c r="CS515" t="str">
        <f ca="1">IF((OFFSET($A$1, 515 - 1, 95 - 1)) &gt;= (OFFSET($A$1, 56 - 1, 7 - 1)), "1","0")</f>
        <v>1</v>
      </c>
      <c r="CT515">
        <f ca="1" xml:space="preserve"> IF( AND( OFFSET($A$1, 515 - 1, 96 - 1) = "1", OFFSET($A$1, 515 - 1, 97 - 1) = "1" ), 1, IF( AND( OFFSET($A$1, 515 - 1, 96 - 1) = "1", OFFSET($A$1, 515 - 1, 97 - 1) = "0" ), 2, IF( AND( OFFSET($A$1, 515 - 1, 96 - 1) = "0", OFFSET($A$1, 515 - 1, 97 - 1) = "1" ), 3, 4 ) ) )</f>
        <v>1</v>
      </c>
    </row>
    <row r="516" spans="95:98" ht="13.8" x14ac:dyDescent="0.3">
      <c r="CQ516" s="24">
        <v>0.99990710215855128</v>
      </c>
      <c r="CR516" s="24" t="str">
        <f>"1"</f>
        <v>1</v>
      </c>
      <c r="CS516" t="str">
        <f ca="1">IF((OFFSET($A$1, 516 - 1, 95 - 1)) &gt;= (OFFSET($A$1, 56 - 1, 7 - 1)), "1","0")</f>
        <v>1</v>
      </c>
      <c r="CT516">
        <f ca="1" xml:space="preserve"> IF( AND( OFFSET($A$1, 516 - 1, 96 - 1) = "1", OFFSET($A$1, 516 - 1, 97 - 1) = "1" ), 1, IF( AND( OFFSET($A$1, 516 - 1, 96 - 1) = "1", OFFSET($A$1, 516 - 1, 97 - 1) = "0" ), 2, IF( AND( OFFSET($A$1, 516 - 1, 96 - 1) = "0", OFFSET($A$1, 516 - 1, 97 - 1) = "1" ), 3, 4 ) ) )</f>
        <v>1</v>
      </c>
    </row>
    <row r="517" spans="95:98" ht="13.8" x14ac:dyDescent="0.3">
      <c r="CQ517" s="24">
        <v>0.98178845296544126</v>
      </c>
      <c r="CR517" s="24" t="str">
        <f>"1"</f>
        <v>1</v>
      </c>
      <c r="CS517" t="str">
        <f ca="1">IF((OFFSET($A$1, 517 - 1, 95 - 1)) &gt;= (OFFSET($A$1, 56 - 1, 7 - 1)), "1","0")</f>
        <v>1</v>
      </c>
      <c r="CT517">
        <f ca="1" xml:space="preserve"> IF( AND( OFFSET($A$1, 517 - 1, 96 - 1) = "1", OFFSET($A$1, 517 - 1, 97 - 1) = "1" ), 1, IF( AND( OFFSET($A$1, 517 - 1, 96 - 1) = "1", OFFSET($A$1, 517 - 1, 97 - 1) = "0" ), 2, IF( AND( OFFSET($A$1, 517 - 1, 96 - 1) = "0", OFFSET($A$1, 517 - 1, 97 - 1) = "1" ), 3, 4 ) ) )</f>
        <v>1</v>
      </c>
    </row>
    <row r="518" spans="95:98" ht="13.8" x14ac:dyDescent="0.3">
      <c r="CQ518" s="24">
        <v>0.99996200948494784</v>
      </c>
      <c r="CR518" s="24" t="str">
        <f>"1"</f>
        <v>1</v>
      </c>
      <c r="CS518" t="str">
        <f ca="1">IF((OFFSET($A$1, 518 - 1, 95 - 1)) &gt;= (OFFSET($A$1, 56 - 1, 7 - 1)), "1","0")</f>
        <v>1</v>
      </c>
      <c r="CT518">
        <f ca="1" xml:space="preserve"> IF( AND( OFFSET($A$1, 518 - 1, 96 - 1) = "1", OFFSET($A$1, 518 - 1, 97 - 1) = "1" ), 1, IF( AND( OFFSET($A$1, 518 - 1, 96 - 1) = "1", OFFSET($A$1, 518 - 1, 97 - 1) = "0" ), 2, IF( AND( OFFSET($A$1, 518 - 1, 96 - 1) = "0", OFFSET($A$1, 518 - 1, 97 - 1) = "1" ), 3, 4 ) ) )</f>
        <v>1</v>
      </c>
    </row>
    <row r="519" spans="95:98" ht="13.8" x14ac:dyDescent="0.3">
      <c r="CQ519" s="24">
        <v>0.27050179323761459</v>
      </c>
      <c r="CR519" s="24" t="str">
        <f>"0"</f>
        <v>0</v>
      </c>
      <c r="CS519" t="str">
        <f ca="1">IF((OFFSET($A$1, 519 - 1, 95 - 1)) &gt;= (OFFSET($A$1, 56 - 1, 7 - 1)), "1","0")</f>
        <v>0</v>
      </c>
      <c r="CT519">
        <f ca="1" xml:space="preserve"> IF( AND( OFFSET($A$1, 519 - 1, 96 - 1) = "1", OFFSET($A$1, 519 - 1, 97 - 1) = "1" ), 1, IF( AND( OFFSET($A$1, 519 - 1, 96 - 1) = "1", OFFSET($A$1, 519 - 1, 97 - 1) = "0" ), 2, IF( AND( OFFSET($A$1, 519 - 1, 96 - 1) = "0", OFFSET($A$1, 519 - 1, 97 - 1) = "1" ), 3, 4 ) ) )</f>
        <v>4</v>
      </c>
    </row>
    <row r="520" spans="95:98" ht="13.8" x14ac:dyDescent="0.3">
      <c r="CQ520" s="24">
        <v>0.22400704462715929</v>
      </c>
      <c r="CR520" s="24" t="str">
        <f>"0"</f>
        <v>0</v>
      </c>
      <c r="CS520" t="str">
        <f ca="1">IF((OFFSET($A$1, 520 - 1, 95 - 1)) &gt;= (OFFSET($A$1, 56 - 1, 7 - 1)), "1","0")</f>
        <v>0</v>
      </c>
      <c r="CT520">
        <f ca="1" xml:space="preserve"> IF( AND( OFFSET($A$1, 520 - 1, 96 - 1) = "1", OFFSET($A$1, 520 - 1, 97 - 1) = "1" ), 1, IF( AND( OFFSET($A$1, 520 - 1, 96 - 1) = "1", OFFSET($A$1, 520 - 1, 97 - 1) = "0" ), 2, IF( AND( OFFSET($A$1, 520 - 1, 96 - 1) = "0", OFFSET($A$1, 520 - 1, 97 - 1) = "1" ), 3, 4 ) ) )</f>
        <v>4</v>
      </c>
    </row>
    <row r="521" spans="95:98" ht="13.8" x14ac:dyDescent="0.3">
      <c r="CQ521" s="24">
        <v>0.999281197123014</v>
      </c>
      <c r="CR521" s="24" t="str">
        <f>"1"</f>
        <v>1</v>
      </c>
      <c r="CS521" t="str">
        <f ca="1">IF((OFFSET($A$1, 521 - 1, 95 - 1)) &gt;= (OFFSET($A$1, 56 - 1, 7 - 1)), "1","0")</f>
        <v>1</v>
      </c>
      <c r="CT521">
        <f ca="1" xml:space="preserve"> IF( AND( OFFSET($A$1, 521 - 1, 96 - 1) = "1", OFFSET($A$1, 521 - 1, 97 - 1) = "1" ), 1, IF( AND( OFFSET($A$1, 521 - 1, 96 - 1) = "1", OFFSET($A$1, 521 - 1, 97 - 1) = "0" ), 2, IF( AND( OFFSET($A$1, 521 - 1, 96 - 1) = "0", OFFSET($A$1, 521 - 1, 97 - 1) = "1" ), 3, 4 ) ) )</f>
        <v>1</v>
      </c>
    </row>
    <row r="522" spans="95:98" ht="13.8" x14ac:dyDescent="0.3">
      <c r="CQ522" s="24">
        <v>0.96186301424223675</v>
      </c>
      <c r="CR522" s="24" t="str">
        <f>"1"</f>
        <v>1</v>
      </c>
      <c r="CS522" t="str">
        <f ca="1">IF((OFFSET($A$1, 522 - 1, 95 - 1)) &gt;= (OFFSET($A$1, 56 - 1, 7 - 1)), "1","0")</f>
        <v>1</v>
      </c>
      <c r="CT522">
        <f ca="1" xml:space="preserve"> IF( AND( OFFSET($A$1, 522 - 1, 96 - 1) = "1", OFFSET($A$1, 522 - 1, 97 - 1) = "1" ), 1, IF( AND( OFFSET($A$1, 522 - 1, 96 - 1) = "1", OFFSET($A$1, 522 - 1, 97 - 1) = "0" ), 2, IF( AND( OFFSET($A$1, 522 - 1, 96 - 1) = "0", OFFSET($A$1, 522 - 1, 97 - 1) = "1" ), 3, 4 ) ) )</f>
        <v>1</v>
      </c>
    </row>
    <row r="523" spans="95:98" ht="13.8" x14ac:dyDescent="0.3">
      <c r="CQ523" s="24">
        <v>0.94561748136315249</v>
      </c>
      <c r="CR523" s="24" t="str">
        <f>"1"</f>
        <v>1</v>
      </c>
      <c r="CS523" t="str">
        <f ca="1">IF((OFFSET($A$1, 523 - 1, 95 - 1)) &gt;= (OFFSET($A$1, 56 - 1, 7 - 1)), "1","0")</f>
        <v>1</v>
      </c>
      <c r="CT523">
        <f ca="1" xml:space="preserve"> IF( AND( OFFSET($A$1, 523 - 1, 96 - 1) = "1", OFFSET($A$1, 523 - 1, 97 - 1) = "1" ), 1, IF( AND( OFFSET($A$1, 523 - 1, 96 - 1) = "1", OFFSET($A$1, 523 - 1, 97 - 1) = "0" ), 2, IF( AND( OFFSET($A$1, 523 - 1, 96 - 1) = "0", OFFSET($A$1, 523 - 1, 97 - 1) = "1" ), 3, 4 ) ) )</f>
        <v>1</v>
      </c>
    </row>
    <row r="524" spans="95:98" ht="13.8" x14ac:dyDescent="0.3">
      <c r="CQ524" s="24">
        <v>5.2844368999528928E-2</v>
      </c>
      <c r="CR524" s="24" t="str">
        <f>"0"</f>
        <v>0</v>
      </c>
      <c r="CS524" t="str">
        <f ca="1">IF((OFFSET($A$1, 524 - 1, 95 - 1)) &gt;= (OFFSET($A$1, 56 - 1, 7 - 1)), "1","0")</f>
        <v>0</v>
      </c>
      <c r="CT524">
        <f ca="1" xml:space="preserve"> IF( AND( OFFSET($A$1, 524 - 1, 96 - 1) = "1", OFFSET($A$1, 524 - 1, 97 - 1) = "1" ), 1, IF( AND( OFFSET($A$1, 524 - 1, 96 - 1) = "1", OFFSET($A$1, 524 - 1, 97 - 1) = "0" ), 2, IF( AND( OFFSET($A$1, 524 - 1, 96 - 1) = "0", OFFSET($A$1, 524 - 1, 97 - 1) = "1" ), 3, 4 ) ) )</f>
        <v>4</v>
      </c>
    </row>
    <row r="525" spans="95:98" ht="13.8" x14ac:dyDescent="0.3">
      <c r="CQ525" s="24">
        <v>0.12126765713057068</v>
      </c>
      <c r="CR525" s="24" t="str">
        <f>"0"</f>
        <v>0</v>
      </c>
      <c r="CS525" t="str">
        <f ca="1">IF((OFFSET($A$1, 525 - 1, 95 - 1)) &gt;= (OFFSET($A$1, 56 - 1, 7 - 1)), "1","0")</f>
        <v>0</v>
      </c>
      <c r="CT525">
        <f ca="1" xml:space="preserve"> IF( AND( OFFSET($A$1, 525 - 1, 96 - 1) = "1", OFFSET($A$1, 525 - 1, 97 - 1) = "1" ), 1, IF( AND( OFFSET($A$1, 525 - 1, 96 - 1) = "1", OFFSET($A$1, 525 - 1, 97 - 1) = "0" ), 2, IF( AND( OFFSET($A$1, 525 - 1, 96 - 1) = "0", OFFSET($A$1, 525 - 1, 97 - 1) = "1" ), 3, 4 ) ) )</f>
        <v>4</v>
      </c>
    </row>
    <row r="526" spans="95:98" ht="13.8" x14ac:dyDescent="0.3">
      <c r="CQ526" s="24">
        <v>0.91556509626213223</v>
      </c>
      <c r="CR526" s="24" t="str">
        <f>"1"</f>
        <v>1</v>
      </c>
      <c r="CS526" t="str">
        <f ca="1">IF((OFFSET($A$1, 526 - 1, 95 - 1)) &gt;= (OFFSET($A$1, 56 - 1, 7 - 1)), "1","0")</f>
        <v>1</v>
      </c>
      <c r="CT526">
        <f ca="1" xml:space="preserve"> IF( AND( OFFSET($A$1, 526 - 1, 96 - 1) = "1", OFFSET($A$1, 526 - 1, 97 - 1) = "1" ), 1, IF( AND( OFFSET($A$1, 526 - 1, 96 - 1) = "1", OFFSET($A$1, 526 - 1, 97 - 1) = "0" ), 2, IF( AND( OFFSET($A$1, 526 - 1, 96 - 1) = "0", OFFSET($A$1, 526 - 1, 97 - 1) = "1" ), 3, 4 ) ) )</f>
        <v>1</v>
      </c>
    </row>
    <row r="527" spans="95:98" ht="13.8" x14ac:dyDescent="0.3">
      <c r="CQ527" s="24">
        <v>0.9912554397498291</v>
      </c>
      <c r="CR527" s="24" t="str">
        <f>"1"</f>
        <v>1</v>
      </c>
      <c r="CS527" t="str">
        <f ca="1">IF((OFFSET($A$1, 527 - 1, 95 - 1)) &gt;= (OFFSET($A$1, 56 - 1, 7 - 1)), "1","0")</f>
        <v>1</v>
      </c>
      <c r="CT527">
        <f ca="1" xml:space="preserve"> IF( AND( OFFSET($A$1, 527 - 1, 96 - 1) = "1", OFFSET($A$1, 527 - 1, 97 - 1) = "1" ), 1, IF( AND( OFFSET($A$1, 527 - 1, 96 - 1) = "1", OFFSET($A$1, 527 - 1, 97 - 1) = "0" ), 2, IF( AND( OFFSET($A$1, 527 - 1, 96 - 1) = "0", OFFSET($A$1, 527 - 1, 97 - 1) = "1" ), 3, 4 ) ) )</f>
        <v>1</v>
      </c>
    </row>
    <row r="528" spans="95:98" ht="13.8" x14ac:dyDescent="0.3">
      <c r="CQ528" s="24">
        <v>0.93954567289998869</v>
      </c>
      <c r="CR528" s="24" t="str">
        <f>"1"</f>
        <v>1</v>
      </c>
      <c r="CS528" t="str">
        <f ca="1">IF((OFFSET($A$1, 528 - 1, 95 - 1)) &gt;= (OFFSET($A$1, 56 - 1, 7 - 1)), "1","0")</f>
        <v>1</v>
      </c>
      <c r="CT528">
        <f ca="1" xml:space="preserve"> IF( AND( OFFSET($A$1, 528 - 1, 96 - 1) = "1", OFFSET($A$1, 528 - 1, 97 - 1) = "1" ), 1, IF( AND( OFFSET($A$1, 528 - 1, 96 - 1) = "1", OFFSET($A$1, 528 - 1, 97 - 1) = "0" ), 2, IF( AND( OFFSET($A$1, 528 - 1, 96 - 1) = "0", OFFSET($A$1, 528 - 1, 97 - 1) = "1" ), 3, 4 ) ) )</f>
        <v>1</v>
      </c>
    </row>
    <row r="529" spans="95:98" ht="13.8" x14ac:dyDescent="0.3">
      <c r="CQ529" s="24">
        <v>8.3155781095237635E-2</v>
      </c>
      <c r="CR529" s="24" t="str">
        <f>"0"</f>
        <v>0</v>
      </c>
      <c r="CS529" t="str">
        <f ca="1">IF((OFFSET($A$1, 529 - 1, 95 - 1)) &gt;= (OFFSET($A$1, 56 - 1, 7 - 1)), "1","0")</f>
        <v>0</v>
      </c>
      <c r="CT529">
        <f ca="1" xml:space="preserve"> IF( AND( OFFSET($A$1, 529 - 1, 96 - 1) = "1", OFFSET($A$1, 529 - 1, 97 - 1) = "1" ), 1, IF( AND( OFFSET($A$1, 529 - 1, 96 - 1) = "1", OFFSET($A$1, 529 - 1, 97 - 1) = "0" ), 2, IF( AND( OFFSET($A$1, 529 - 1, 96 - 1) = "0", OFFSET($A$1, 529 - 1, 97 - 1) = "1" ), 3, 4 ) ) )</f>
        <v>4</v>
      </c>
    </row>
    <row r="530" spans="95:98" ht="13.8" x14ac:dyDescent="0.3">
      <c r="CQ530" s="24">
        <v>2.7754004468148626E-2</v>
      </c>
      <c r="CR530" s="24" t="str">
        <f>"0"</f>
        <v>0</v>
      </c>
      <c r="CS530" t="str">
        <f ca="1">IF((OFFSET($A$1, 530 - 1, 95 - 1)) &gt;= (OFFSET($A$1, 56 - 1, 7 - 1)), "1","0")</f>
        <v>0</v>
      </c>
      <c r="CT530">
        <f ca="1" xml:space="preserve"> IF( AND( OFFSET($A$1, 530 - 1, 96 - 1) = "1", OFFSET($A$1, 530 - 1, 97 - 1) = "1" ), 1, IF( AND( OFFSET($A$1, 530 - 1, 96 - 1) = "1", OFFSET($A$1, 530 - 1, 97 - 1) = "0" ), 2, IF( AND( OFFSET($A$1, 530 - 1, 96 - 1) = "0", OFFSET($A$1, 530 - 1, 97 - 1) = "1" ), 3, 4 ) ) )</f>
        <v>4</v>
      </c>
    </row>
    <row r="531" spans="95:98" ht="13.8" x14ac:dyDescent="0.3">
      <c r="CQ531" s="24">
        <v>0.97646101610188585</v>
      </c>
      <c r="CR531" s="24" t="str">
        <f t="shared" ref="CR531:CR539" si="35">"1"</f>
        <v>1</v>
      </c>
      <c r="CS531" t="str">
        <f ca="1">IF((OFFSET($A$1, 531 - 1, 95 - 1)) &gt;= (OFFSET($A$1, 56 - 1, 7 - 1)), "1","0")</f>
        <v>1</v>
      </c>
      <c r="CT531">
        <f ca="1" xml:space="preserve"> IF( AND( OFFSET($A$1, 531 - 1, 96 - 1) = "1", OFFSET($A$1, 531 - 1, 97 - 1) = "1" ), 1, IF( AND( OFFSET($A$1, 531 - 1, 96 - 1) = "1", OFFSET($A$1, 531 - 1, 97 - 1) = "0" ), 2, IF( AND( OFFSET($A$1, 531 - 1, 96 - 1) = "0", OFFSET($A$1, 531 - 1, 97 - 1) = "1" ), 3, 4 ) ) )</f>
        <v>1</v>
      </c>
    </row>
    <row r="532" spans="95:98" ht="13.8" x14ac:dyDescent="0.3">
      <c r="CQ532" s="24">
        <v>0.94670806392567564</v>
      </c>
      <c r="CR532" s="24" t="str">
        <f t="shared" si="35"/>
        <v>1</v>
      </c>
      <c r="CS532" t="str">
        <f ca="1">IF((OFFSET($A$1, 532 - 1, 95 - 1)) &gt;= (OFFSET($A$1, 56 - 1, 7 - 1)), "1","0")</f>
        <v>1</v>
      </c>
      <c r="CT532">
        <f ca="1" xml:space="preserve"> IF( AND( OFFSET($A$1, 532 - 1, 96 - 1) = "1", OFFSET($A$1, 532 - 1, 97 - 1) = "1" ), 1, IF( AND( OFFSET($A$1, 532 - 1, 96 - 1) = "1", OFFSET($A$1, 532 - 1, 97 - 1) = "0" ), 2, IF( AND( OFFSET($A$1, 532 - 1, 96 - 1) = "0", OFFSET($A$1, 532 - 1, 97 - 1) = "1" ), 3, 4 ) ) )</f>
        <v>1</v>
      </c>
    </row>
    <row r="533" spans="95:98" ht="13.8" x14ac:dyDescent="0.3">
      <c r="CQ533" s="24">
        <v>0.96125248479958714</v>
      </c>
      <c r="CR533" s="24" t="str">
        <f t="shared" si="35"/>
        <v>1</v>
      </c>
      <c r="CS533" t="str">
        <f ca="1">IF((OFFSET($A$1, 533 - 1, 95 - 1)) &gt;= (OFFSET($A$1, 56 - 1, 7 - 1)), "1","0")</f>
        <v>1</v>
      </c>
      <c r="CT533">
        <f ca="1" xml:space="preserve"> IF( AND( OFFSET($A$1, 533 - 1, 96 - 1) = "1", OFFSET($A$1, 533 - 1, 97 - 1) = "1" ), 1, IF( AND( OFFSET($A$1, 533 - 1, 96 - 1) = "1", OFFSET($A$1, 533 - 1, 97 - 1) = "0" ), 2, IF( AND( OFFSET($A$1, 533 - 1, 96 - 1) = "0", OFFSET($A$1, 533 - 1, 97 - 1) = "1" ), 3, 4 ) ) )</f>
        <v>1</v>
      </c>
    </row>
    <row r="534" spans="95:98" ht="13.8" x14ac:dyDescent="0.3">
      <c r="CQ534" s="24">
        <v>0.92043801910854051</v>
      </c>
      <c r="CR534" s="24" t="str">
        <f t="shared" si="35"/>
        <v>1</v>
      </c>
      <c r="CS534" t="str">
        <f ca="1">IF((OFFSET($A$1, 534 - 1, 95 - 1)) &gt;= (OFFSET($A$1, 56 - 1, 7 - 1)), "1","0")</f>
        <v>1</v>
      </c>
      <c r="CT534">
        <f ca="1" xml:space="preserve"> IF( AND( OFFSET($A$1, 534 - 1, 96 - 1) = "1", OFFSET($A$1, 534 - 1, 97 - 1) = "1" ), 1, IF( AND( OFFSET($A$1, 534 - 1, 96 - 1) = "1", OFFSET($A$1, 534 - 1, 97 - 1) = "0" ), 2, IF( AND( OFFSET($A$1, 534 - 1, 96 - 1) = "0", OFFSET($A$1, 534 - 1, 97 - 1) = "1" ), 3, 4 ) ) )</f>
        <v>1</v>
      </c>
    </row>
    <row r="535" spans="95:98" ht="13.8" x14ac:dyDescent="0.3">
      <c r="CQ535" s="24">
        <v>0.96749150435275666</v>
      </c>
      <c r="CR535" s="24" t="str">
        <f t="shared" si="35"/>
        <v>1</v>
      </c>
      <c r="CS535" t="str">
        <f ca="1">IF((OFFSET($A$1, 535 - 1, 95 - 1)) &gt;= (OFFSET($A$1, 56 - 1, 7 - 1)), "1","0")</f>
        <v>1</v>
      </c>
      <c r="CT535">
        <f ca="1" xml:space="preserve"> IF( AND( OFFSET($A$1, 535 - 1, 96 - 1) = "1", OFFSET($A$1, 535 - 1, 97 - 1) = "1" ), 1, IF( AND( OFFSET($A$1, 535 - 1, 96 - 1) = "1", OFFSET($A$1, 535 - 1, 97 - 1) = "0" ), 2, IF( AND( OFFSET($A$1, 535 - 1, 96 - 1) = "0", OFFSET($A$1, 535 - 1, 97 - 1) = "1" ), 3, 4 ) ) )</f>
        <v>1</v>
      </c>
    </row>
    <row r="536" spans="95:98" ht="13.8" x14ac:dyDescent="0.3">
      <c r="CQ536" s="24">
        <v>0.91042521520286213</v>
      </c>
      <c r="CR536" s="24" t="str">
        <f t="shared" si="35"/>
        <v>1</v>
      </c>
      <c r="CS536" t="str">
        <f ca="1">IF((OFFSET($A$1, 536 - 1, 95 - 1)) &gt;= (OFFSET($A$1, 56 - 1, 7 - 1)), "1","0")</f>
        <v>1</v>
      </c>
      <c r="CT536">
        <f ca="1" xml:space="preserve"> IF( AND( OFFSET($A$1, 536 - 1, 96 - 1) = "1", OFFSET($A$1, 536 - 1, 97 - 1) = "1" ), 1, IF( AND( OFFSET($A$1, 536 - 1, 96 - 1) = "1", OFFSET($A$1, 536 - 1, 97 - 1) = "0" ), 2, IF( AND( OFFSET($A$1, 536 - 1, 96 - 1) = "0", OFFSET($A$1, 536 - 1, 97 - 1) = "1" ), 3, 4 ) ) )</f>
        <v>1</v>
      </c>
    </row>
    <row r="537" spans="95:98" ht="13.8" x14ac:dyDescent="0.3">
      <c r="CQ537" s="24">
        <v>0.99959586204258966</v>
      </c>
      <c r="CR537" s="24" t="str">
        <f t="shared" si="35"/>
        <v>1</v>
      </c>
      <c r="CS537" t="str">
        <f ca="1">IF((OFFSET($A$1, 537 - 1, 95 - 1)) &gt;= (OFFSET($A$1, 56 - 1, 7 - 1)), "1","0")</f>
        <v>1</v>
      </c>
      <c r="CT537">
        <f ca="1" xml:space="preserve"> IF( AND( OFFSET($A$1, 537 - 1, 96 - 1) = "1", OFFSET($A$1, 537 - 1, 97 - 1) = "1" ), 1, IF( AND( OFFSET($A$1, 537 - 1, 96 - 1) = "1", OFFSET($A$1, 537 - 1, 97 - 1) = "0" ), 2, IF( AND( OFFSET($A$1, 537 - 1, 96 - 1) = "0", OFFSET($A$1, 537 - 1, 97 - 1) = "1" ), 3, 4 ) ) )</f>
        <v>1</v>
      </c>
    </row>
    <row r="538" spans="95:98" ht="13.8" x14ac:dyDescent="0.3">
      <c r="CQ538" s="24">
        <v>0.99833969942412903</v>
      </c>
      <c r="CR538" s="24" t="str">
        <f t="shared" si="35"/>
        <v>1</v>
      </c>
      <c r="CS538" t="str">
        <f ca="1">IF((OFFSET($A$1, 538 - 1, 95 - 1)) &gt;= (OFFSET($A$1, 56 - 1, 7 - 1)), "1","0")</f>
        <v>1</v>
      </c>
      <c r="CT538">
        <f ca="1" xml:space="preserve"> IF( AND( OFFSET($A$1, 538 - 1, 96 - 1) = "1", OFFSET($A$1, 538 - 1, 97 - 1) = "1" ), 1, IF( AND( OFFSET($A$1, 538 - 1, 96 - 1) = "1", OFFSET($A$1, 538 - 1, 97 - 1) = "0" ), 2, IF( AND( OFFSET($A$1, 538 - 1, 96 - 1) = "0", OFFSET($A$1, 538 - 1, 97 - 1) = "1" ), 3, 4 ) ) )</f>
        <v>1</v>
      </c>
    </row>
    <row r="539" spans="95:98" ht="13.8" x14ac:dyDescent="0.3">
      <c r="CQ539" s="24">
        <v>0.9299915237165346</v>
      </c>
      <c r="CR539" s="24" t="str">
        <f t="shared" si="35"/>
        <v>1</v>
      </c>
      <c r="CS539" t="str">
        <f ca="1">IF((OFFSET($A$1, 539 - 1, 95 - 1)) &gt;= (OFFSET($A$1, 56 - 1, 7 - 1)), "1","0")</f>
        <v>1</v>
      </c>
      <c r="CT539">
        <f ca="1" xml:space="preserve"> IF( AND( OFFSET($A$1, 539 - 1, 96 - 1) = "1", OFFSET($A$1, 539 - 1, 97 - 1) = "1" ), 1, IF( AND( OFFSET($A$1, 539 - 1, 96 - 1) = "1", OFFSET($A$1, 539 - 1, 97 - 1) = "0" ), 2, IF( AND( OFFSET($A$1, 539 - 1, 96 - 1) = "0", OFFSET($A$1, 539 - 1, 97 - 1) = "1" ), 3, 4 ) ) )</f>
        <v>1</v>
      </c>
    </row>
    <row r="540" spans="95:98" ht="13.8" x14ac:dyDescent="0.3">
      <c r="CQ540" s="24">
        <v>3.854694067783547E-2</v>
      </c>
      <c r="CR540" s="24" t="str">
        <f>"0"</f>
        <v>0</v>
      </c>
      <c r="CS540" t="str">
        <f ca="1">IF((OFFSET($A$1, 540 - 1, 95 - 1)) &gt;= (OFFSET($A$1, 56 - 1, 7 - 1)), "1","0")</f>
        <v>0</v>
      </c>
      <c r="CT540">
        <f ca="1" xml:space="preserve"> IF( AND( OFFSET($A$1, 540 - 1, 96 - 1) = "1", OFFSET($A$1, 540 - 1, 97 - 1) = "1" ), 1, IF( AND( OFFSET($A$1, 540 - 1, 96 - 1) = "1", OFFSET($A$1, 540 - 1, 97 - 1) = "0" ), 2, IF( AND( OFFSET($A$1, 540 - 1, 96 - 1) = "0", OFFSET($A$1, 540 - 1, 97 - 1) = "1" ), 3, 4 ) ) )</f>
        <v>4</v>
      </c>
    </row>
    <row r="541" spans="95:98" ht="13.8" x14ac:dyDescent="0.3">
      <c r="CQ541" s="24">
        <v>0.79502315957786251</v>
      </c>
      <c r="CR541" s="24" t="str">
        <f>"1"</f>
        <v>1</v>
      </c>
      <c r="CS541" t="str">
        <f ca="1">IF((OFFSET($A$1, 541 - 1, 95 - 1)) &gt;= (OFFSET($A$1, 56 - 1, 7 - 1)), "1","0")</f>
        <v>1</v>
      </c>
      <c r="CT541">
        <f ca="1" xml:space="preserve"> IF( AND( OFFSET($A$1, 541 - 1, 96 - 1) = "1", OFFSET($A$1, 541 - 1, 97 - 1) = "1" ), 1, IF( AND( OFFSET($A$1, 541 - 1, 96 - 1) = "1", OFFSET($A$1, 541 - 1, 97 - 1) = "0" ), 2, IF( AND( OFFSET($A$1, 541 - 1, 96 - 1) = "0", OFFSET($A$1, 541 - 1, 97 - 1) = "1" ), 3, 4 ) ) )</f>
        <v>1</v>
      </c>
    </row>
    <row r="542" spans="95:98" ht="13.8" x14ac:dyDescent="0.3">
      <c r="CQ542" s="24">
        <v>0.96685194943544706</v>
      </c>
      <c r="CR542" s="24" t="str">
        <f>"1"</f>
        <v>1</v>
      </c>
      <c r="CS542" t="str">
        <f ca="1">IF((OFFSET($A$1, 542 - 1, 95 - 1)) &gt;= (OFFSET($A$1, 56 - 1, 7 - 1)), "1","0")</f>
        <v>1</v>
      </c>
      <c r="CT542">
        <f ca="1" xml:space="preserve"> IF( AND( OFFSET($A$1, 542 - 1, 96 - 1) = "1", OFFSET($A$1, 542 - 1, 97 - 1) = "1" ), 1, IF( AND( OFFSET($A$1, 542 - 1, 96 - 1) = "1", OFFSET($A$1, 542 - 1, 97 - 1) = "0" ), 2, IF( AND( OFFSET($A$1, 542 - 1, 96 - 1) = "0", OFFSET($A$1, 542 - 1, 97 - 1) = "1" ), 3, 4 ) ) )</f>
        <v>1</v>
      </c>
    </row>
    <row r="543" spans="95:98" ht="13.8" x14ac:dyDescent="0.3">
      <c r="CQ543" s="24">
        <v>0.99964563231827896</v>
      </c>
      <c r="CR543" s="24" t="str">
        <f>"1"</f>
        <v>1</v>
      </c>
      <c r="CS543" t="str">
        <f ca="1">IF((OFFSET($A$1, 543 - 1, 95 - 1)) &gt;= (OFFSET($A$1, 56 - 1, 7 - 1)), "1","0")</f>
        <v>1</v>
      </c>
      <c r="CT543">
        <f ca="1" xml:space="preserve"> IF( AND( OFFSET($A$1, 543 - 1, 96 - 1) = "1", OFFSET($A$1, 543 - 1, 97 - 1) = "1" ), 1, IF( AND( OFFSET($A$1, 543 - 1, 96 - 1) = "1", OFFSET($A$1, 543 - 1, 97 - 1) = "0" ), 2, IF( AND( OFFSET($A$1, 543 - 1, 96 - 1) = "0", OFFSET($A$1, 543 - 1, 97 - 1) = "1" ), 3, 4 ) ) )</f>
        <v>1</v>
      </c>
    </row>
    <row r="544" spans="95:98" ht="13.8" x14ac:dyDescent="0.3">
      <c r="CQ544" s="24">
        <v>0.95146189061079167</v>
      </c>
      <c r="CR544" s="24" t="str">
        <f>"1"</f>
        <v>1</v>
      </c>
      <c r="CS544" t="str">
        <f ca="1">IF((OFFSET($A$1, 544 - 1, 95 - 1)) &gt;= (OFFSET($A$1, 56 - 1, 7 - 1)), "1","0")</f>
        <v>1</v>
      </c>
      <c r="CT544">
        <f ca="1" xml:space="preserve"> IF( AND( OFFSET($A$1, 544 - 1, 96 - 1) = "1", OFFSET($A$1, 544 - 1, 97 - 1) = "1" ), 1, IF( AND( OFFSET($A$1, 544 - 1, 96 - 1) = "1", OFFSET($A$1, 544 - 1, 97 - 1) = "0" ), 2, IF( AND( OFFSET($A$1, 544 - 1, 96 - 1) = "0", OFFSET($A$1, 544 - 1, 97 - 1) = "1" ), 3, 4 ) ) )</f>
        <v>1</v>
      </c>
    </row>
    <row r="545" spans="95:98" ht="13.8" x14ac:dyDescent="0.3">
      <c r="CQ545" s="24">
        <v>2.9648104845532816E-3</v>
      </c>
      <c r="CR545" s="24" t="str">
        <f>"0"</f>
        <v>0</v>
      </c>
      <c r="CS545" t="str">
        <f ca="1">IF((OFFSET($A$1, 545 - 1, 95 - 1)) &gt;= (OFFSET($A$1, 56 - 1, 7 - 1)), "1","0")</f>
        <v>0</v>
      </c>
      <c r="CT545">
        <f ca="1" xml:space="preserve"> IF( AND( OFFSET($A$1, 545 - 1, 96 - 1) = "1", OFFSET($A$1, 545 - 1, 97 - 1) = "1" ), 1, IF( AND( OFFSET($A$1, 545 - 1, 96 - 1) = "1", OFFSET($A$1, 545 - 1, 97 - 1) = "0" ), 2, IF( AND( OFFSET($A$1, 545 - 1, 96 - 1) = "0", OFFSET($A$1, 545 - 1, 97 - 1) = "1" ), 3, 4 ) ) )</f>
        <v>4</v>
      </c>
    </row>
    <row r="546" spans="95:98" ht="13.8" x14ac:dyDescent="0.3">
      <c r="CQ546" s="24">
        <v>0.88098568758645135</v>
      </c>
      <c r="CR546" s="24" t="str">
        <f t="shared" ref="CR546:CR553" si="36">"1"</f>
        <v>1</v>
      </c>
      <c r="CS546" t="str">
        <f ca="1">IF((OFFSET($A$1, 546 - 1, 95 - 1)) &gt;= (OFFSET($A$1, 56 - 1, 7 - 1)), "1","0")</f>
        <v>1</v>
      </c>
      <c r="CT546">
        <f ca="1" xml:space="preserve"> IF( AND( OFFSET($A$1, 546 - 1, 96 - 1) = "1", OFFSET($A$1, 546 - 1, 97 - 1) = "1" ), 1, IF( AND( OFFSET($A$1, 546 - 1, 96 - 1) = "1", OFFSET($A$1, 546 - 1, 97 - 1) = "0" ), 2, IF( AND( OFFSET($A$1, 546 - 1, 96 - 1) = "0", OFFSET($A$1, 546 - 1, 97 - 1) = "1" ), 3, 4 ) ) )</f>
        <v>1</v>
      </c>
    </row>
    <row r="547" spans="95:98" ht="13.8" x14ac:dyDescent="0.3">
      <c r="CQ547" s="24">
        <v>0.99865208544716255</v>
      </c>
      <c r="CR547" s="24" t="str">
        <f t="shared" si="36"/>
        <v>1</v>
      </c>
      <c r="CS547" t="str">
        <f ca="1">IF((OFFSET($A$1, 547 - 1, 95 - 1)) &gt;= (OFFSET($A$1, 56 - 1, 7 - 1)), "1","0")</f>
        <v>1</v>
      </c>
      <c r="CT547">
        <f ca="1" xml:space="preserve"> IF( AND( OFFSET($A$1, 547 - 1, 96 - 1) = "1", OFFSET($A$1, 547 - 1, 97 - 1) = "1" ), 1, IF( AND( OFFSET($A$1, 547 - 1, 96 - 1) = "1", OFFSET($A$1, 547 - 1, 97 - 1) = "0" ), 2, IF( AND( OFFSET($A$1, 547 - 1, 96 - 1) = "0", OFFSET($A$1, 547 - 1, 97 - 1) = "1" ), 3, 4 ) ) )</f>
        <v>1</v>
      </c>
    </row>
    <row r="548" spans="95:98" ht="13.8" x14ac:dyDescent="0.3">
      <c r="CQ548" s="24">
        <v>0.92101791530185562</v>
      </c>
      <c r="CR548" s="24" t="str">
        <f t="shared" si="36"/>
        <v>1</v>
      </c>
      <c r="CS548" t="str">
        <f ca="1">IF((OFFSET($A$1, 548 - 1, 95 - 1)) &gt;= (OFFSET($A$1, 56 - 1, 7 - 1)), "1","0")</f>
        <v>1</v>
      </c>
      <c r="CT548">
        <f ca="1" xml:space="preserve"> IF( AND( OFFSET($A$1, 548 - 1, 96 - 1) = "1", OFFSET($A$1, 548 - 1, 97 - 1) = "1" ), 1, IF( AND( OFFSET($A$1, 548 - 1, 96 - 1) = "1", OFFSET($A$1, 548 - 1, 97 - 1) = "0" ), 2, IF( AND( OFFSET($A$1, 548 - 1, 96 - 1) = "0", OFFSET($A$1, 548 - 1, 97 - 1) = "1" ), 3, 4 ) ) )</f>
        <v>1</v>
      </c>
    </row>
    <row r="549" spans="95:98" ht="13.8" x14ac:dyDescent="0.3">
      <c r="CQ549" s="24">
        <v>0.98775300186528714</v>
      </c>
      <c r="CR549" s="24" t="str">
        <f t="shared" si="36"/>
        <v>1</v>
      </c>
      <c r="CS549" t="str">
        <f ca="1">IF((OFFSET($A$1, 549 - 1, 95 - 1)) &gt;= (OFFSET($A$1, 56 - 1, 7 - 1)), "1","0")</f>
        <v>1</v>
      </c>
      <c r="CT549">
        <f ca="1" xml:space="preserve"> IF( AND( OFFSET($A$1, 549 - 1, 96 - 1) = "1", OFFSET($A$1, 549 - 1, 97 - 1) = "1" ), 1, IF( AND( OFFSET($A$1, 549 - 1, 96 - 1) = "1", OFFSET($A$1, 549 - 1, 97 - 1) = "0" ), 2, IF( AND( OFFSET($A$1, 549 - 1, 96 - 1) = "0", OFFSET($A$1, 549 - 1, 97 - 1) = "1" ), 3, 4 ) ) )</f>
        <v>1</v>
      </c>
    </row>
    <row r="550" spans="95:98" ht="13.8" x14ac:dyDescent="0.3">
      <c r="CQ550" s="24">
        <v>0.99533494139845335</v>
      </c>
      <c r="CR550" s="24" t="str">
        <f t="shared" si="36"/>
        <v>1</v>
      </c>
      <c r="CS550" t="str">
        <f ca="1">IF((OFFSET($A$1, 550 - 1, 95 - 1)) &gt;= (OFFSET($A$1, 56 - 1, 7 - 1)), "1","0")</f>
        <v>1</v>
      </c>
      <c r="CT550">
        <f ca="1" xml:space="preserve"> IF( AND( OFFSET($A$1, 550 - 1, 96 - 1) = "1", OFFSET($A$1, 550 - 1, 97 - 1) = "1" ), 1, IF( AND( OFFSET($A$1, 550 - 1, 96 - 1) = "1", OFFSET($A$1, 550 - 1, 97 - 1) = "0" ), 2, IF( AND( OFFSET($A$1, 550 - 1, 96 - 1) = "0", OFFSET($A$1, 550 - 1, 97 - 1) = "1" ), 3, 4 ) ) )</f>
        <v>1</v>
      </c>
    </row>
    <row r="551" spans="95:98" ht="13.8" x14ac:dyDescent="0.3">
      <c r="CQ551" s="24">
        <v>0.96396383589747814</v>
      </c>
      <c r="CR551" s="24" t="str">
        <f t="shared" si="36"/>
        <v>1</v>
      </c>
      <c r="CS551" t="str">
        <f ca="1">IF((OFFSET($A$1, 551 - 1, 95 - 1)) &gt;= (OFFSET($A$1, 56 - 1, 7 - 1)), "1","0")</f>
        <v>1</v>
      </c>
      <c r="CT551">
        <f ca="1" xml:space="preserve"> IF( AND( OFFSET($A$1, 551 - 1, 96 - 1) = "1", OFFSET($A$1, 551 - 1, 97 - 1) = "1" ), 1, IF( AND( OFFSET($A$1, 551 - 1, 96 - 1) = "1", OFFSET($A$1, 551 - 1, 97 - 1) = "0" ), 2, IF( AND( OFFSET($A$1, 551 - 1, 96 - 1) = "0", OFFSET($A$1, 551 - 1, 97 - 1) = "1" ), 3, 4 ) ) )</f>
        <v>1</v>
      </c>
    </row>
    <row r="552" spans="95:98" ht="13.8" x14ac:dyDescent="0.3">
      <c r="CQ552" s="24">
        <v>0.90256589306951929</v>
      </c>
      <c r="CR552" s="24" t="str">
        <f t="shared" si="36"/>
        <v>1</v>
      </c>
      <c r="CS552" t="str">
        <f ca="1">IF((OFFSET($A$1, 552 - 1, 95 - 1)) &gt;= (OFFSET($A$1, 56 - 1, 7 - 1)), "1","0")</f>
        <v>1</v>
      </c>
      <c r="CT552">
        <f ca="1" xml:space="preserve"> IF( AND( OFFSET($A$1, 552 - 1, 96 - 1) = "1", OFFSET($A$1, 552 - 1, 97 - 1) = "1" ), 1, IF( AND( OFFSET($A$1, 552 - 1, 96 - 1) = "1", OFFSET($A$1, 552 - 1, 97 - 1) = "0" ), 2, IF( AND( OFFSET($A$1, 552 - 1, 96 - 1) = "0", OFFSET($A$1, 552 - 1, 97 - 1) = "1" ), 3, 4 ) ) )</f>
        <v>1</v>
      </c>
    </row>
    <row r="553" spans="95:98" ht="13.8" x14ac:dyDescent="0.3">
      <c r="CQ553" s="24">
        <v>0.60933838788972827</v>
      </c>
      <c r="CR553" s="24" t="str">
        <f t="shared" si="36"/>
        <v>1</v>
      </c>
      <c r="CS553" t="str">
        <f ca="1">IF((OFFSET($A$1, 553 - 1, 95 - 1)) &gt;= (OFFSET($A$1, 56 - 1, 7 - 1)), "1","0")</f>
        <v>1</v>
      </c>
      <c r="CT553">
        <f ca="1" xml:space="preserve"> IF( AND( OFFSET($A$1, 553 - 1, 96 - 1) = "1", OFFSET($A$1, 553 - 1, 97 - 1) = "1" ), 1, IF( AND( OFFSET($A$1, 553 - 1, 96 - 1) = "1", OFFSET($A$1, 553 - 1, 97 - 1) = "0" ), 2, IF( AND( OFFSET($A$1, 553 - 1, 96 - 1) = "0", OFFSET($A$1, 553 - 1, 97 - 1) = "1" ), 3, 4 ) ) )</f>
        <v>1</v>
      </c>
    </row>
    <row r="554" spans="95:98" ht="13.8" x14ac:dyDescent="0.3">
      <c r="CQ554" s="24">
        <v>0.12745444513129681</v>
      </c>
      <c r="CR554" s="24" t="str">
        <f>"0"</f>
        <v>0</v>
      </c>
      <c r="CS554" t="str">
        <f ca="1">IF((OFFSET($A$1, 554 - 1, 95 - 1)) &gt;= (OFFSET($A$1, 56 - 1, 7 - 1)), "1","0")</f>
        <v>0</v>
      </c>
      <c r="CT554">
        <f ca="1" xml:space="preserve"> IF( AND( OFFSET($A$1, 554 - 1, 96 - 1) = "1", OFFSET($A$1, 554 - 1, 97 - 1) = "1" ), 1, IF( AND( OFFSET($A$1, 554 - 1, 96 - 1) = "1", OFFSET($A$1, 554 - 1, 97 - 1) = "0" ), 2, IF( AND( OFFSET($A$1, 554 - 1, 96 - 1) = "0", OFFSET($A$1, 554 - 1, 97 - 1) = "1" ), 3, 4 ) ) )</f>
        <v>4</v>
      </c>
    </row>
    <row r="555" spans="95:98" ht="13.8" x14ac:dyDescent="0.3">
      <c r="CQ555" s="24">
        <v>7.3037592127778023E-2</v>
      </c>
      <c r="CR555" s="24" t="str">
        <f>"0"</f>
        <v>0</v>
      </c>
      <c r="CS555" t="str">
        <f ca="1">IF((OFFSET($A$1, 555 - 1, 95 - 1)) &gt;= (OFFSET($A$1, 56 - 1, 7 - 1)), "1","0")</f>
        <v>0</v>
      </c>
      <c r="CT555">
        <f ca="1" xml:space="preserve"> IF( AND( OFFSET($A$1, 555 - 1, 96 - 1) = "1", OFFSET($A$1, 555 - 1, 97 - 1) = "1" ), 1, IF( AND( OFFSET($A$1, 555 - 1, 96 - 1) = "1", OFFSET($A$1, 555 - 1, 97 - 1) = "0" ), 2, IF( AND( OFFSET($A$1, 555 - 1, 96 - 1) = "0", OFFSET($A$1, 555 - 1, 97 - 1) = "1" ), 3, 4 ) ) )</f>
        <v>4</v>
      </c>
    </row>
    <row r="556" spans="95:98" ht="13.8" x14ac:dyDescent="0.3">
      <c r="CQ556" s="24">
        <v>0.99929695839984189</v>
      </c>
      <c r="CR556" s="24" t="str">
        <f>"1"</f>
        <v>1</v>
      </c>
      <c r="CS556" t="str">
        <f ca="1">IF((OFFSET($A$1, 556 - 1, 95 - 1)) &gt;= (OFFSET($A$1, 56 - 1, 7 - 1)), "1","0")</f>
        <v>1</v>
      </c>
      <c r="CT556">
        <f ca="1" xml:space="preserve"> IF( AND( OFFSET($A$1, 556 - 1, 96 - 1) = "1", OFFSET($A$1, 556 - 1, 97 - 1) = "1" ), 1, IF( AND( OFFSET($A$1, 556 - 1, 96 - 1) = "1", OFFSET($A$1, 556 - 1, 97 - 1) = "0" ), 2, IF( AND( OFFSET($A$1, 556 - 1, 96 - 1) = "0", OFFSET($A$1, 556 - 1, 97 - 1) = "1" ), 3, 4 ) ) )</f>
        <v>1</v>
      </c>
    </row>
    <row r="557" spans="95:98" ht="13.8" x14ac:dyDescent="0.3">
      <c r="CQ557" s="24">
        <v>3.9248268720517954E-2</v>
      </c>
      <c r="CR557" s="24" t="str">
        <f>"0"</f>
        <v>0</v>
      </c>
      <c r="CS557" t="str">
        <f ca="1">IF((OFFSET($A$1, 557 - 1, 95 - 1)) &gt;= (OFFSET($A$1, 56 - 1, 7 - 1)), "1","0")</f>
        <v>0</v>
      </c>
      <c r="CT557">
        <f ca="1" xml:space="preserve"> IF( AND( OFFSET($A$1, 557 - 1, 96 - 1) = "1", OFFSET($A$1, 557 - 1, 97 - 1) = "1" ), 1, IF( AND( OFFSET($A$1, 557 - 1, 96 - 1) = "1", OFFSET($A$1, 557 - 1, 97 - 1) = "0" ), 2, IF( AND( OFFSET($A$1, 557 - 1, 96 - 1) = "0", OFFSET($A$1, 557 - 1, 97 - 1) = "1" ), 3, 4 ) ) )</f>
        <v>4</v>
      </c>
    </row>
    <row r="558" spans="95:98" ht="13.8" x14ac:dyDescent="0.3">
      <c r="CQ558" s="24">
        <v>0.97746222689945839</v>
      </c>
      <c r="CR558" s="24" t="str">
        <f>"1"</f>
        <v>1</v>
      </c>
      <c r="CS558" t="str">
        <f ca="1">IF((OFFSET($A$1, 558 - 1, 95 - 1)) &gt;= (OFFSET($A$1, 56 - 1, 7 - 1)), "1","0")</f>
        <v>1</v>
      </c>
      <c r="CT558">
        <f ca="1" xml:space="preserve"> IF( AND( OFFSET($A$1, 558 - 1, 96 - 1) = "1", OFFSET($A$1, 558 - 1, 97 - 1) = "1" ), 1, IF( AND( OFFSET($A$1, 558 - 1, 96 - 1) = "1", OFFSET($A$1, 558 - 1, 97 - 1) = "0" ), 2, IF( AND( OFFSET($A$1, 558 - 1, 96 - 1) = "0", OFFSET($A$1, 558 - 1, 97 - 1) = "1" ), 3, 4 ) ) )</f>
        <v>1</v>
      </c>
    </row>
    <row r="559" spans="95:98" ht="13.8" x14ac:dyDescent="0.3">
      <c r="CQ559" s="24">
        <v>0.99079211936441158</v>
      </c>
      <c r="CR559" s="24" t="str">
        <f>"1"</f>
        <v>1</v>
      </c>
      <c r="CS559" t="str">
        <f ca="1">IF((OFFSET($A$1, 559 - 1, 95 - 1)) &gt;= (OFFSET($A$1, 56 - 1, 7 - 1)), "1","0")</f>
        <v>1</v>
      </c>
      <c r="CT559">
        <f ca="1" xml:space="preserve"> IF( AND( OFFSET($A$1, 559 - 1, 96 - 1) = "1", OFFSET($A$1, 559 - 1, 97 - 1) = "1" ), 1, IF( AND( OFFSET($A$1, 559 - 1, 96 - 1) = "1", OFFSET($A$1, 559 - 1, 97 - 1) = "0" ), 2, IF( AND( OFFSET($A$1, 559 - 1, 96 - 1) = "0", OFFSET($A$1, 559 - 1, 97 - 1) = "1" ), 3, 4 ) ) )</f>
        <v>1</v>
      </c>
    </row>
    <row r="560" spans="95:98" ht="13.8" x14ac:dyDescent="0.3">
      <c r="CQ560" s="24">
        <v>0.97369133348474923</v>
      </c>
      <c r="CR560" s="24" t="str">
        <f>"1"</f>
        <v>1</v>
      </c>
      <c r="CS560" t="str">
        <f ca="1">IF((OFFSET($A$1, 560 - 1, 95 - 1)) &gt;= (OFFSET($A$1, 56 - 1, 7 - 1)), "1","0")</f>
        <v>1</v>
      </c>
      <c r="CT560">
        <f ca="1" xml:space="preserve"> IF( AND( OFFSET($A$1, 560 - 1, 96 - 1) = "1", OFFSET($A$1, 560 - 1, 97 - 1) = "1" ), 1, IF( AND( OFFSET($A$1, 560 - 1, 96 - 1) = "1", OFFSET($A$1, 560 - 1, 97 - 1) = "0" ), 2, IF( AND( OFFSET($A$1, 560 - 1, 96 - 1) = "0", OFFSET($A$1, 560 - 1, 97 - 1) = "1" ), 3, 4 ) ) )</f>
        <v>1</v>
      </c>
    </row>
    <row r="561" spans="95:98" ht="13.8" x14ac:dyDescent="0.3">
      <c r="CQ561" s="24">
        <v>0.18117067858991426</v>
      </c>
      <c r="CR561" s="24" t="str">
        <f>"0"</f>
        <v>0</v>
      </c>
      <c r="CS561" t="str">
        <f ca="1">IF((OFFSET($A$1, 561 - 1, 95 - 1)) &gt;= (OFFSET($A$1, 56 - 1, 7 - 1)), "1","0")</f>
        <v>0</v>
      </c>
      <c r="CT561">
        <f ca="1" xml:space="preserve"> IF( AND( OFFSET($A$1, 561 - 1, 96 - 1) = "1", OFFSET($A$1, 561 - 1, 97 - 1) = "1" ), 1, IF( AND( OFFSET($A$1, 561 - 1, 96 - 1) = "1", OFFSET($A$1, 561 - 1, 97 - 1) = "0" ), 2, IF( AND( OFFSET($A$1, 561 - 1, 96 - 1) = "0", OFFSET($A$1, 561 - 1, 97 - 1) = "1" ), 3, 4 ) ) )</f>
        <v>4</v>
      </c>
    </row>
    <row r="562" spans="95:98" ht="13.8" x14ac:dyDescent="0.3">
      <c r="CQ562" s="24">
        <v>0.99994051600992773</v>
      </c>
      <c r="CR562" s="24" t="str">
        <f>"1"</f>
        <v>1</v>
      </c>
      <c r="CS562" t="str">
        <f ca="1">IF((OFFSET($A$1, 562 - 1, 95 - 1)) &gt;= (OFFSET($A$1, 56 - 1, 7 - 1)), "1","0")</f>
        <v>1</v>
      </c>
      <c r="CT562">
        <f ca="1" xml:space="preserve"> IF( AND( OFFSET($A$1, 562 - 1, 96 - 1) = "1", OFFSET($A$1, 562 - 1, 97 - 1) = "1" ), 1, IF( AND( OFFSET($A$1, 562 - 1, 96 - 1) = "1", OFFSET($A$1, 562 - 1, 97 - 1) = "0" ), 2, IF( AND( OFFSET($A$1, 562 - 1, 96 - 1) = "0", OFFSET($A$1, 562 - 1, 97 - 1) = "1" ), 3, 4 ) ) )</f>
        <v>1</v>
      </c>
    </row>
    <row r="563" spans="95:98" ht="13.8" x14ac:dyDescent="0.3">
      <c r="CQ563" s="24">
        <v>0.90467840564459445</v>
      </c>
      <c r="CR563" s="24" t="str">
        <f>"1"</f>
        <v>1</v>
      </c>
      <c r="CS563" t="str">
        <f ca="1">IF((OFFSET($A$1, 563 - 1, 95 - 1)) &gt;= (OFFSET($A$1, 56 - 1, 7 - 1)), "1","0")</f>
        <v>1</v>
      </c>
      <c r="CT563">
        <f ca="1" xml:space="preserve"> IF( AND( OFFSET($A$1, 563 - 1, 96 - 1) = "1", OFFSET($A$1, 563 - 1, 97 - 1) = "1" ), 1, IF( AND( OFFSET($A$1, 563 - 1, 96 - 1) = "1", OFFSET($A$1, 563 - 1, 97 - 1) = "0" ), 2, IF( AND( OFFSET($A$1, 563 - 1, 96 - 1) = "0", OFFSET($A$1, 563 - 1, 97 - 1) = "1" ), 3, 4 ) ) )</f>
        <v>1</v>
      </c>
    </row>
    <row r="564" spans="95:98" ht="13.8" x14ac:dyDescent="0.3">
      <c r="CQ564" s="24">
        <v>0.99216994435441619</v>
      </c>
      <c r="CR564" s="24" t="str">
        <f>"1"</f>
        <v>1</v>
      </c>
      <c r="CS564" t="str">
        <f ca="1">IF((OFFSET($A$1, 564 - 1, 95 - 1)) &gt;= (OFFSET($A$1, 56 - 1, 7 - 1)), "1","0")</f>
        <v>1</v>
      </c>
      <c r="CT564">
        <f ca="1" xml:space="preserve"> IF( AND( OFFSET($A$1, 564 - 1, 96 - 1) = "1", OFFSET($A$1, 564 - 1, 97 - 1) = "1" ), 1, IF( AND( OFFSET($A$1, 564 - 1, 96 - 1) = "1", OFFSET($A$1, 564 - 1, 97 - 1) = "0" ), 2, IF( AND( OFFSET($A$1, 564 - 1, 96 - 1) = "0", OFFSET($A$1, 564 - 1, 97 - 1) = "1" ), 3, 4 ) ) )</f>
        <v>1</v>
      </c>
    </row>
    <row r="565" spans="95:98" ht="13.8" x14ac:dyDescent="0.3">
      <c r="CQ565" s="24">
        <v>0.18987198343533623</v>
      </c>
      <c r="CR565" s="24" t="str">
        <f>"0"</f>
        <v>0</v>
      </c>
      <c r="CS565" t="str">
        <f ca="1">IF((OFFSET($A$1, 565 - 1, 95 - 1)) &gt;= (OFFSET($A$1, 56 - 1, 7 - 1)), "1","0")</f>
        <v>0</v>
      </c>
      <c r="CT565">
        <f ca="1" xml:space="preserve"> IF( AND( OFFSET($A$1, 565 - 1, 96 - 1) = "1", OFFSET($A$1, 565 - 1, 97 - 1) = "1" ), 1, IF( AND( OFFSET($A$1, 565 - 1, 96 - 1) = "1", OFFSET($A$1, 565 - 1, 97 - 1) = "0" ), 2, IF( AND( OFFSET($A$1, 565 - 1, 96 - 1) = "0", OFFSET($A$1, 565 - 1, 97 - 1) = "1" ), 3, 4 ) ) )</f>
        <v>4</v>
      </c>
    </row>
    <row r="566" spans="95:98" ht="13.8" x14ac:dyDescent="0.3">
      <c r="CQ566" s="24">
        <v>0.94227495116193405</v>
      </c>
      <c r="CR566" s="24" t="str">
        <f>"1"</f>
        <v>1</v>
      </c>
      <c r="CS566" t="str">
        <f ca="1">IF((OFFSET($A$1, 566 - 1, 95 - 1)) &gt;= (OFFSET($A$1, 56 - 1, 7 - 1)), "1","0")</f>
        <v>1</v>
      </c>
      <c r="CT566">
        <f ca="1" xml:space="preserve"> IF( AND( OFFSET($A$1, 566 - 1, 96 - 1) = "1", OFFSET($A$1, 566 - 1, 97 - 1) = "1" ), 1, IF( AND( OFFSET($A$1, 566 - 1, 96 - 1) = "1", OFFSET($A$1, 566 - 1, 97 - 1) = "0" ), 2, IF( AND( OFFSET($A$1, 566 - 1, 96 - 1) = "0", OFFSET($A$1, 566 - 1, 97 - 1) = "1" ), 3, 4 ) ) )</f>
        <v>1</v>
      </c>
    </row>
    <row r="567" spans="95:98" ht="13.8" x14ac:dyDescent="0.3">
      <c r="CQ567" s="24">
        <v>0.90696674528497756</v>
      </c>
      <c r="CR567" s="24" t="str">
        <f>"1"</f>
        <v>1</v>
      </c>
      <c r="CS567" t="str">
        <f ca="1">IF((OFFSET($A$1, 567 - 1, 95 - 1)) &gt;= (OFFSET($A$1, 56 - 1, 7 - 1)), "1","0")</f>
        <v>1</v>
      </c>
      <c r="CT567">
        <f ca="1" xml:space="preserve"> IF( AND( OFFSET($A$1, 567 - 1, 96 - 1) = "1", OFFSET($A$1, 567 - 1, 97 - 1) = "1" ), 1, IF( AND( OFFSET($A$1, 567 - 1, 96 - 1) = "1", OFFSET($A$1, 567 - 1, 97 - 1) = "0" ), 2, IF( AND( OFFSET($A$1, 567 - 1, 96 - 1) = "0", OFFSET($A$1, 567 - 1, 97 - 1) = "1" ), 3, 4 ) ) )</f>
        <v>1</v>
      </c>
    </row>
    <row r="568" spans="95:98" ht="13.8" x14ac:dyDescent="0.3">
      <c r="CQ568" s="24">
        <v>5.9370980519670033E-2</v>
      </c>
      <c r="CR568" s="24" t="str">
        <f>"0"</f>
        <v>0</v>
      </c>
      <c r="CS568" t="str">
        <f ca="1">IF((OFFSET($A$1, 568 - 1, 95 - 1)) &gt;= (OFFSET($A$1, 56 - 1, 7 - 1)), "1","0")</f>
        <v>0</v>
      </c>
      <c r="CT568">
        <f ca="1" xml:space="preserve"> IF( AND( OFFSET($A$1, 568 - 1, 96 - 1) = "1", OFFSET($A$1, 568 - 1, 97 - 1) = "1" ), 1, IF( AND( OFFSET($A$1, 568 - 1, 96 - 1) = "1", OFFSET($A$1, 568 - 1, 97 - 1) = "0" ), 2, IF( AND( OFFSET($A$1, 568 - 1, 96 - 1) = "0", OFFSET($A$1, 568 - 1, 97 - 1) = "1" ), 3, 4 ) ) )</f>
        <v>4</v>
      </c>
    </row>
    <row r="569" spans="95:98" ht="13.8" x14ac:dyDescent="0.3">
      <c r="CQ569" s="24">
        <v>0.88452846059220802</v>
      </c>
      <c r="CR569" s="24" t="str">
        <f>"1"</f>
        <v>1</v>
      </c>
      <c r="CS569" t="str">
        <f ca="1">IF((OFFSET($A$1, 569 - 1, 95 - 1)) &gt;= (OFFSET($A$1, 56 - 1, 7 - 1)), "1","0")</f>
        <v>1</v>
      </c>
      <c r="CT569">
        <f ca="1" xml:space="preserve"> IF( AND( OFFSET($A$1, 569 - 1, 96 - 1) = "1", OFFSET($A$1, 569 - 1, 97 - 1) = "1" ), 1, IF( AND( OFFSET($A$1, 569 - 1, 96 - 1) = "1", OFFSET($A$1, 569 - 1, 97 - 1) = "0" ), 2, IF( AND( OFFSET($A$1, 569 - 1, 96 - 1) = "0", OFFSET($A$1, 569 - 1, 97 - 1) = "1" ), 3, 4 ) ) )</f>
        <v>1</v>
      </c>
    </row>
    <row r="570" spans="95:98" ht="13.8" x14ac:dyDescent="0.3">
      <c r="CQ570" s="24">
        <v>0.99352569092118004</v>
      </c>
      <c r="CR570" s="24" t="str">
        <f>"1"</f>
        <v>1</v>
      </c>
      <c r="CS570" t="str">
        <f ca="1">IF((OFFSET($A$1, 570 - 1, 95 - 1)) &gt;= (OFFSET($A$1, 56 - 1, 7 - 1)), "1","0")</f>
        <v>1</v>
      </c>
      <c r="CT570">
        <f ca="1" xml:space="preserve"> IF( AND( OFFSET($A$1, 570 - 1, 96 - 1) = "1", OFFSET($A$1, 570 - 1, 97 - 1) = "1" ), 1, IF( AND( OFFSET($A$1, 570 - 1, 96 - 1) = "1", OFFSET($A$1, 570 - 1, 97 - 1) = "0" ), 2, IF( AND( OFFSET($A$1, 570 - 1, 96 - 1) = "0", OFFSET($A$1, 570 - 1, 97 - 1) = "1" ), 3, 4 ) ) )</f>
        <v>1</v>
      </c>
    </row>
    <row r="571" spans="95:98" ht="13.8" x14ac:dyDescent="0.3">
      <c r="CQ571" s="24">
        <v>0.12995215037005264</v>
      </c>
      <c r="CR571" s="24" t="str">
        <f>"0"</f>
        <v>0</v>
      </c>
      <c r="CS571" t="str">
        <f ca="1">IF((OFFSET($A$1, 571 - 1, 95 - 1)) &gt;= (OFFSET($A$1, 56 - 1, 7 - 1)), "1","0")</f>
        <v>0</v>
      </c>
      <c r="CT571">
        <f ca="1" xml:space="preserve"> IF( AND( OFFSET($A$1, 571 - 1, 96 - 1) = "1", OFFSET($A$1, 571 - 1, 97 - 1) = "1" ), 1, IF( AND( OFFSET($A$1, 571 - 1, 96 - 1) = "1", OFFSET($A$1, 571 - 1, 97 - 1) = "0" ), 2, IF( AND( OFFSET($A$1, 571 - 1, 96 - 1) = "0", OFFSET($A$1, 571 - 1, 97 - 1) = "1" ), 3, 4 ) ) )</f>
        <v>4</v>
      </c>
    </row>
    <row r="572" spans="95:98" ht="13.8" x14ac:dyDescent="0.3">
      <c r="CQ572" s="24">
        <v>0.99897963435789616</v>
      </c>
      <c r="CR572" s="24" t="str">
        <f>"1"</f>
        <v>1</v>
      </c>
      <c r="CS572" t="str">
        <f ca="1">IF((OFFSET($A$1, 572 - 1, 95 - 1)) &gt;= (OFFSET($A$1, 56 - 1, 7 - 1)), "1","0")</f>
        <v>1</v>
      </c>
      <c r="CT572">
        <f ca="1" xml:space="preserve"> IF( AND( OFFSET($A$1, 572 - 1, 96 - 1) = "1", OFFSET($A$1, 572 - 1, 97 - 1) = "1" ), 1, IF( AND( OFFSET($A$1, 572 - 1, 96 - 1) = "1", OFFSET($A$1, 572 - 1, 97 - 1) = "0" ), 2, IF( AND( OFFSET($A$1, 572 - 1, 96 - 1) = "0", OFFSET($A$1, 572 - 1, 97 - 1) = "1" ), 3, 4 ) ) )</f>
        <v>1</v>
      </c>
    </row>
    <row r="573" spans="95:98" ht="13.8" x14ac:dyDescent="0.3">
      <c r="CQ573" s="24">
        <v>0.12651928512236699</v>
      </c>
      <c r="CR573" s="24" t="str">
        <f>"0"</f>
        <v>0</v>
      </c>
      <c r="CS573" t="str">
        <f ca="1">IF((OFFSET($A$1, 573 - 1, 95 - 1)) &gt;= (OFFSET($A$1, 56 - 1, 7 - 1)), "1","0")</f>
        <v>0</v>
      </c>
      <c r="CT573">
        <f ca="1" xml:space="preserve"> IF( AND( OFFSET($A$1, 573 - 1, 96 - 1) = "1", OFFSET($A$1, 573 - 1, 97 - 1) = "1" ), 1, IF( AND( OFFSET($A$1, 573 - 1, 96 - 1) = "1", OFFSET($A$1, 573 - 1, 97 - 1) = "0" ), 2, IF( AND( OFFSET($A$1, 573 - 1, 96 - 1) = "0", OFFSET($A$1, 573 - 1, 97 - 1) = "1" ), 3, 4 ) ) )</f>
        <v>4</v>
      </c>
    </row>
    <row r="574" spans="95:98" ht="13.8" x14ac:dyDescent="0.3">
      <c r="CQ574" s="24">
        <v>0.85483406423810415</v>
      </c>
      <c r="CR574" s="24" t="str">
        <f>"1"</f>
        <v>1</v>
      </c>
      <c r="CS574" t="str">
        <f ca="1">IF((OFFSET($A$1, 574 - 1, 95 - 1)) &gt;= (OFFSET($A$1, 56 - 1, 7 - 1)), "1","0")</f>
        <v>1</v>
      </c>
      <c r="CT574">
        <f ca="1" xml:space="preserve"> IF( AND( OFFSET($A$1, 574 - 1, 96 - 1) = "1", OFFSET($A$1, 574 - 1, 97 - 1) = "1" ), 1, IF( AND( OFFSET($A$1, 574 - 1, 96 - 1) = "1", OFFSET($A$1, 574 - 1, 97 - 1) = "0" ), 2, IF( AND( OFFSET($A$1, 574 - 1, 96 - 1) = "0", OFFSET($A$1, 574 - 1, 97 - 1) = "1" ), 3, 4 ) ) )</f>
        <v>1</v>
      </c>
    </row>
    <row r="575" spans="95:98" ht="13.8" x14ac:dyDescent="0.3">
      <c r="CQ575" s="24">
        <v>0.90665140977794811</v>
      </c>
      <c r="CR575" s="24" t="str">
        <f>"1"</f>
        <v>1</v>
      </c>
      <c r="CS575" t="str">
        <f ca="1">IF((OFFSET($A$1, 575 - 1, 95 - 1)) &gt;= (OFFSET($A$1, 56 - 1, 7 - 1)), "1","0")</f>
        <v>1</v>
      </c>
      <c r="CT575">
        <f ca="1" xml:space="preserve"> IF( AND( OFFSET($A$1, 575 - 1, 96 - 1) = "1", OFFSET($A$1, 575 - 1, 97 - 1) = "1" ), 1, IF( AND( OFFSET($A$1, 575 - 1, 96 - 1) = "1", OFFSET($A$1, 575 - 1, 97 - 1) = "0" ), 2, IF( AND( OFFSET($A$1, 575 - 1, 96 - 1) = "0", OFFSET($A$1, 575 - 1, 97 - 1) = "1" ), 3, 4 ) ) )</f>
        <v>1</v>
      </c>
    </row>
    <row r="576" spans="95:98" ht="13.8" x14ac:dyDescent="0.3">
      <c r="CQ576" s="24">
        <v>0.99554173104733601</v>
      </c>
      <c r="CR576" s="24" t="str">
        <f>"1"</f>
        <v>1</v>
      </c>
      <c r="CS576" t="str">
        <f ca="1">IF((OFFSET($A$1, 576 - 1, 95 - 1)) &gt;= (OFFSET($A$1, 56 - 1, 7 - 1)), "1","0")</f>
        <v>1</v>
      </c>
      <c r="CT576">
        <f ca="1" xml:space="preserve"> IF( AND( OFFSET($A$1, 576 - 1, 96 - 1) = "1", OFFSET($A$1, 576 - 1, 97 - 1) = "1" ), 1, IF( AND( OFFSET($A$1, 576 - 1, 96 - 1) = "1", OFFSET($A$1, 576 - 1, 97 - 1) = "0" ), 2, IF( AND( OFFSET($A$1, 576 - 1, 96 - 1) = "0", OFFSET($A$1, 576 - 1, 97 - 1) = "1" ), 3, 4 ) ) )</f>
        <v>1</v>
      </c>
    </row>
    <row r="577" spans="95:98" ht="13.8" x14ac:dyDescent="0.3">
      <c r="CQ577" s="24">
        <v>0.89222626707725472</v>
      </c>
      <c r="CR577" s="24" t="str">
        <f>"1"</f>
        <v>1</v>
      </c>
      <c r="CS577" t="str">
        <f ca="1">IF((OFFSET($A$1, 577 - 1, 95 - 1)) &gt;= (OFFSET($A$1, 56 - 1, 7 - 1)), "1","0")</f>
        <v>1</v>
      </c>
      <c r="CT577">
        <f ca="1" xml:space="preserve"> IF( AND( OFFSET($A$1, 577 - 1, 96 - 1) = "1", OFFSET($A$1, 577 - 1, 97 - 1) = "1" ), 1, IF( AND( OFFSET($A$1, 577 - 1, 96 - 1) = "1", OFFSET($A$1, 577 - 1, 97 - 1) = "0" ), 2, IF( AND( OFFSET($A$1, 577 - 1, 96 - 1) = "0", OFFSET($A$1, 577 - 1, 97 - 1) = "1" ), 3, 4 ) ) )</f>
        <v>1</v>
      </c>
    </row>
    <row r="578" spans="95:98" ht="13.8" x14ac:dyDescent="0.3">
      <c r="CQ578" s="24">
        <v>0.15012222485719223</v>
      </c>
      <c r="CR578" s="24" t="str">
        <f>"0"</f>
        <v>0</v>
      </c>
      <c r="CS578" t="str">
        <f ca="1">IF((OFFSET($A$1, 578 - 1, 95 - 1)) &gt;= (OFFSET($A$1, 56 - 1, 7 - 1)), "1","0")</f>
        <v>0</v>
      </c>
      <c r="CT578">
        <f ca="1" xml:space="preserve"> IF( AND( OFFSET($A$1, 578 - 1, 96 - 1) = "1", OFFSET($A$1, 578 - 1, 97 - 1) = "1" ), 1, IF( AND( OFFSET($A$1, 578 - 1, 96 - 1) = "1", OFFSET($A$1, 578 - 1, 97 - 1) = "0" ), 2, IF( AND( OFFSET($A$1, 578 - 1, 96 - 1) = "0", OFFSET($A$1, 578 - 1, 97 - 1) = "1" ), 3, 4 ) ) )</f>
        <v>4</v>
      </c>
    </row>
    <row r="579" spans="95:98" ht="13.8" x14ac:dyDescent="0.3">
      <c r="CQ579" s="24">
        <v>6.0908657554416802E-2</v>
      </c>
      <c r="CR579" s="24" t="str">
        <f>"0"</f>
        <v>0</v>
      </c>
      <c r="CS579" t="str">
        <f ca="1">IF((OFFSET($A$1, 579 - 1, 95 - 1)) &gt;= (OFFSET($A$1, 56 - 1, 7 - 1)), "1","0")</f>
        <v>0</v>
      </c>
      <c r="CT579">
        <f ca="1" xml:space="preserve"> IF( AND( OFFSET($A$1, 579 - 1, 96 - 1) = "1", OFFSET($A$1, 579 - 1, 97 - 1) = "1" ), 1, IF( AND( OFFSET($A$1, 579 - 1, 96 - 1) = "1", OFFSET($A$1, 579 - 1, 97 - 1) = "0" ), 2, IF( AND( OFFSET($A$1, 579 - 1, 96 - 1) = "0", OFFSET($A$1, 579 - 1, 97 - 1) = "1" ), 3, 4 ) ) )</f>
        <v>4</v>
      </c>
    </row>
    <row r="580" spans="95:98" ht="13.8" x14ac:dyDescent="0.3">
      <c r="CQ580" s="24">
        <v>0.87306560469681849</v>
      </c>
      <c r="CR580" s="24" t="str">
        <f t="shared" ref="CR580:CR587" si="37">"1"</f>
        <v>1</v>
      </c>
      <c r="CS580" t="str">
        <f ca="1">IF((OFFSET($A$1, 580 - 1, 95 - 1)) &gt;= (OFFSET($A$1, 56 - 1, 7 - 1)), "1","0")</f>
        <v>1</v>
      </c>
      <c r="CT580">
        <f ca="1" xml:space="preserve"> IF( AND( OFFSET($A$1, 580 - 1, 96 - 1) = "1", OFFSET($A$1, 580 - 1, 97 - 1) = "1" ), 1, IF( AND( OFFSET($A$1, 580 - 1, 96 - 1) = "1", OFFSET($A$1, 580 - 1, 97 - 1) = "0" ), 2, IF( AND( OFFSET($A$1, 580 - 1, 96 - 1) = "0", OFFSET($A$1, 580 - 1, 97 - 1) = "1" ), 3, 4 ) ) )</f>
        <v>1</v>
      </c>
    </row>
    <row r="581" spans="95:98" ht="13.8" x14ac:dyDescent="0.3">
      <c r="CQ581" s="24">
        <v>0.92388536195491366</v>
      </c>
      <c r="CR581" s="24" t="str">
        <f t="shared" si="37"/>
        <v>1</v>
      </c>
      <c r="CS581" t="str">
        <f ca="1">IF((OFFSET($A$1, 581 - 1, 95 - 1)) &gt;= (OFFSET($A$1, 56 - 1, 7 - 1)), "1","0")</f>
        <v>1</v>
      </c>
      <c r="CT581">
        <f ca="1" xml:space="preserve"> IF( AND( OFFSET($A$1, 581 - 1, 96 - 1) = "1", OFFSET($A$1, 581 - 1, 97 - 1) = "1" ), 1, IF( AND( OFFSET($A$1, 581 - 1, 96 - 1) = "1", OFFSET($A$1, 581 - 1, 97 - 1) = "0" ), 2, IF( AND( OFFSET($A$1, 581 - 1, 96 - 1) = "0", OFFSET($A$1, 581 - 1, 97 - 1) = "1" ), 3, 4 ) ) )</f>
        <v>1</v>
      </c>
    </row>
    <row r="582" spans="95:98" ht="13.8" x14ac:dyDescent="0.3">
      <c r="CQ582" s="24">
        <v>0.91312660546424951</v>
      </c>
      <c r="CR582" s="24" t="str">
        <f t="shared" si="37"/>
        <v>1</v>
      </c>
      <c r="CS582" t="str">
        <f ca="1">IF((OFFSET($A$1, 582 - 1, 95 - 1)) &gt;= (OFFSET($A$1, 56 - 1, 7 - 1)), "1","0")</f>
        <v>1</v>
      </c>
      <c r="CT582">
        <f ca="1" xml:space="preserve"> IF( AND( OFFSET($A$1, 582 - 1, 96 - 1) = "1", OFFSET($A$1, 582 - 1, 97 - 1) = "1" ), 1, IF( AND( OFFSET($A$1, 582 - 1, 96 - 1) = "1", OFFSET($A$1, 582 - 1, 97 - 1) = "0" ), 2, IF( AND( OFFSET($A$1, 582 - 1, 96 - 1) = "0", OFFSET($A$1, 582 - 1, 97 - 1) = "1" ), 3, 4 ) ) )</f>
        <v>1</v>
      </c>
    </row>
    <row r="583" spans="95:98" ht="13.8" x14ac:dyDescent="0.3">
      <c r="CQ583" s="24">
        <v>0.86926680715870797</v>
      </c>
      <c r="CR583" s="24" t="str">
        <f t="shared" si="37"/>
        <v>1</v>
      </c>
      <c r="CS583" t="str">
        <f ca="1">IF((OFFSET($A$1, 583 - 1, 95 - 1)) &gt;= (OFFSET($A$1, 56 - 1, 7 - 1)), "1","0")</f>
        <v>1</v>
      </c>
      <c r="CT583">
        <f ca="1" xml:space="preserve"> IF( AND( OFFSET($A$1, 583 - 1, 96 - 1) = "1", OFFSET($A$1, 583 - 1, 97 - 1) = "1" ), 1, IF( AND( OFFSET($A$1, 583 - 1, 96 - 1) = "1", OFFSET($A$1, 583 - 1, 97 - 1) = "0" ), 2, IF( AND( OFFSET($A$1, 583 - 1, 96 - 1) = "0", OFFSET($A$1, 583 - 1, 97 - 1) = "1" ), 3, 4 ) ) )</f>
        <v>1</v>
      </c>
    </row>
    <row r="584" spans="95:98" ht="13.8" x14ac:dyDescent="0.3">
      <c r="CQ584" s="24">
        <v>0.70627849789927555</v>
      </c>
      <c r="CR584" s="24" t="str">
        <f t="shared" si="37"/>
        <v>1</v>
      </c>
      <c r="CS584" t="str">
        <f ca="1">IF((OFFSET($A$1, 584 - 1, 95 - 1)) &gt;= (OFFSET($A$1, 56 - 1, 7 - 1)), "1","0")</f>
        <v>1</v>
      </c>
      <c r="CT584">
        <f ca="1" xml:space="preserve"> IF( AND( OFFSET($A$1, 584 - 1, 96 - 1) = "1", OFFSET($A$1, 584 - 1, 97 - 1) = "1" ), 1, IF( AND( OFFSET($A$1, 584 - 1, 96 - 1) = "1", OFFSET($A$1, 584 - 1, 97 - 1) = "0" ), 2, IF( AND( OFFSET($A$1, 584 - 1, 96 - 1) = "0", OFFSET($A$1, 584 - 1, 97 - 1) = "1" ), 3, 4 ) ) )</f>
        <v>1</v>
      </c>
    </row>
    <row r="585" spans="95:98" ht="13.8" x14ac:dyDescent="0.3">
      <c r="CQ585" s="24">
        <v>0.99305339996884623</v>
      </c>
      <c r="CR585" s="24" t="str">
        <f t="shared" si="37"/>
        <v>1</v>
      </c>
      <c r="CS585" t="str">
        <f ca="1">IF((OFFSET($A$1, 585 - 1, 95 - 1)) &gt;= (OFFSET($A$1, 56 - 1, 7 - 1)), "1","0")</f>
        <v>1</v>
      </c>
      <c r="CT585">
        <f ca="1" xml:space="preserve"> IF( AND( OFFSET($A$1, 585 - 1, 96 - 1) = "1", OFFSET($A$1, 585 - 1, 97 - 1) = "1" ), 1, IF( AND( OFFSET($A$1, 585 - 1, 96 - 1) = "1", OFFSET($A$1, 585 - 1, 97 - 1) = "0" ), 2, IF( AND( OFFSET($A$1, 585 - 1, 96 - 1) = "0", OFFSET($A$1, 585 - 1, 97 - 1) = "1" ), 3, 4 ) ) )</f>
        <v>1</v>
      </c>
    </row>
    <row r="586" spans="95:98" ht="13.8" x14ac:dyDescent="0.3">
      <c r="CQ586" s="24">
        <v>0.98857565161843619</v>
      </c>
      <c r="CR586" s="24" t="str">
        <f t="shared" si="37"/>
        <v>1</v>
      </c>
      <c r="CS586" t="str">
        <f ca="1">IF((OFFSET($A$1, 586 - 1, 95 - 1)) &gt;= (OFFSET($A$1, 56 - 1, 7 - 1)), "1","0")</f>
        <v>1</v>
      </c>
      <c r="CT586">
        <f ca="1" xml:space="preserve"> IF( AND( OFFSET($A$1, 586 - 1, 96 - 1) = "1", OFFSET($A$1, 586 - 1, 97 - 1) = "1" ), 1, IF( AND( OFFSET($A$1, 586 - 1, 96 - 1) = "1", OFFSET($A$1, 586 - 1, 97 - 1) = "0" ), 2, IF( AND( OFFSET($A$1, 586 - 1, 96 - 1) = "0", OFFSET($A$1, 586 - 1, 97 - 1) = "1" ), 3, 4 ) ) )</f>
        <v>1</v>
      </c>
    </row>
    <row r="587" spans="95:98" ht="13.8" x14ac:dyDescent="0.3">
      <c r="CQ587" s="24">
        <v>0.99391693540006354</v>
      </c>
      <c r="CR587" s="24" t="str">
        <f t="shared" si="37"/>
        <v>1</v>
      </c>
      <c r="CS587" t="str">
        <f ca="1">IF((OFFSET($A$1, 587 - 1, 95 - 1)) &gt;= (OFFSET($A$1, 56 - 1, 7 - 1)), "1","0")</f>
        <v>1</v>
      </c>
      <c r="CT587">
        <f ca="1" xml:space="preserve"> IF( AND( OFFSET($A$1, 587 - 1, 96 - 1) = "1", OFFSET($A$1, 587 - 1, 97 - 1) = "1" ), 1, IF( AND( OFFSET($A$1, 587 - 1, 96 - 1) = "1", OFFSET($A$1, 587 - 1, 97 - 1) = "0" ), 2, IF( AND( OFFSET($A$1, 587 - 1, 96 - 1) = "0", OFFSET($A$1, 587 - 1, 97 - 1) = "1" ), 3, 4 ) ) )</f>
        <v>1</v>
      </c>
    </row>
    <row r="588" spans="95:98" ht="13.8" x14ac:dyDescent="0.3">
      <c r="CQ588" s="24">
        <v>9.5717532270431824E-2</v>
      </c>
      <c r="CR588" s="24" t="str">
        <f>"0"</f>
        <v>0</v>
      </c>
      <c r="CS588" t="str">
        <f ca="1">IF((OFFSET($A$1, 588 - 1, 95 - 1)) &gt;= (OFFSET($A$1, 56 - 1, 7 - 1)), "1","0")</f>
        <v>0</v>
      </c>
      <c r="CT588">
        <f ca="1" xml:space="preserve"> IF( AND( OFFSET($A$1, 588 - 1, 96 - 1) = "1", OFFSET($A$1, 588 - 1, 97 - 1) = "1" ), 1, IF( AND( OFFSET($A$1, 588 - 1, 96 - 1) = "1", OFFSET($A$1, 588 - 1, 97 - 1) = "0" ), 2, IF( AND( OFFSET($A$1, 588 - 1, 96 - 1) = "0", OFFSET($A$1, 588 - 1, 97 - 1) = "1" ), 3, 4 ) ) )</f>
        <v>4</v>
      </c>
    </row>
    <row r="589" spans="95:98" ht="13.8" x14ac:dyDescent="0.3">
      <c r="CQ589" s="24">
        <v>3.3320757852941509E-2</v>
      </c>
      <c r="CR589" s="24" t="str">
        <f>"0"</f>
        <v>0</v>
      </c>
      <c r="CS589" t="str">
        <f ca="1">IF((OFFSET($A$1, 589 - 1, 95 - 1)) &gt;= (OFFSET($A$1, 56 - 1, 7 - 1)), "1","0")</f>
        <v>0</v>
      </c>
      <c r="CT589">
        <f ca="1" xml:space="preserve"> IF( AND( OFFSET($A$1, 589 - 1, 96 - 1) = "1", OFFSET($A$1, 589 - 1, 97 - 1) = "1" ), 1, IF( AND( OFFSET($A$1, 589 - 1, 96 - 1) = "1", OFFSET($A$1, 589 - 1, 97 - 1) = "0" ), 2, IF( AND( OFFSET($A$1, 589 - 1, 96 - 1) = "0", OFFSET($A$1, 589 - 1, 97 - 1) = "1" ), 3, 4 ) ) )</f>
        <v>4</v>
      </c>
    </row>
    <row r="590" spans="95:98" ht="13.8" x14ac:dyDescent="0.3">
      <c r="CQ590" s="24">
        <v>0.9986179761737507</v>
      </c>
      <c r="CR590" s="24" t="str">
        <f>"1"</f>
        <v>1</v>
      </c>
      <c r="CS590" t="str">
        <f ca="1">IF((OFFSET($A$1, 590 - 1, 95 - 1)) &gt;= (OFFSET($A$1, 56 - 1, 7 - 1)), "1","0")</f>
        <v>1</v>
      </c>
      <c r="CT590">
        <f ca="1" xml:space="preserve"> IF( AND( OFFSET($A$1, 590 - 1, 96 - 1) = "1", OFFSET($A$1, 590 - 1, 97 - 1) = "1" ), 1, IF( AND( OFFSET($A$1, 590 - 1, 96 - 1) = "1", OFFSET($A$1, 590 - 1, 97 - 1) = "0" ), 2, IF( AND( OFFSET($A$1, 590 - 1, 96 - 1) = "0", OFFSET($A$1, 590 - 1, 97 - 1) = "1" ), 3, 4 ) ) )</f>
        <v>1</v>
      </c>
    </row>
    <row r="591" spans="95:98" ht="13.8" x14ac:dyDescent="0.3">
      <c r="CQ591" s="24">
        <v>0.99996922946341937</v>
      </c>
      <c r="CR591" s="24" t="str">
        <f>"1"</f>
        <v>1</v>
      </c>
      <c r="CS591" t="str">
        <f ca="1">IF((OFFSET($A$1, 591 - 1, 95 - 1)) &gt;= (OFFSET($A$1, 56 - 1, 7 - 1)), "1","0")</f>
        <v>1</v>
      </c>
      <c r="CT591">
        <f ca="1" xml:space="preserve"> IF( AND( OFFSET($A$1, 591 - 1, 96 - 1) = "1", OFFSET($A$1, 591 - 1, 97 - 1) = "1" ), 1, IF( AND( OFFSET($A$1, 591 - 1, 96 - 1) = "1", OFFSET($A$1, 591 - 1, 97 - 1) = "0" ), 2, IF( AND( OFFSET($A$1, 591 - 1, 96 - 1) = "0", OFFSET($A$1, 591 - 1, 97 - 1) = "1" ), 3, 4 ) ) )</f>
        <v>1</v>
      </c>
    </row>
    <row r="592" spans="95:98" ht="13.8" x14ac:dyDescent="0.3">
      <c r="CQ592" s="24">
        <v>8.1942003355375728E-2</v>
      </c>
      <c r="CR592" s="24" t="str">
        <f>"0"</f>
        <v>0</v>
      </c>
      <c r="CS592" t="str">
        <f ca="1">IF((OFFSET($A$1, 592 - 1, 95 - 1)) &gt;= (OFFSET($A$1, 56 - 1, 7 - 1)), "1","0")</f>
        <v>0</v>
      </c>
      <c r="CT592">
        <f ca="1" xml:space="preserve"> IF( AND( OFFSET($A$1, 592 - 1, 96 - 1) = "1", OFFSET($A$1, 592 - 1, 97 - 1) = "1" ), 1, IF( AND( OFFSET($A$1, 592 - 1, 96 - 1) = "1", OFFSET($A$1, 592 - 1, 97 - 1) = "0" ), 2, IF( AND( OFFSET($A$1, 592 - 1, 96 - 1) = "0", OFFSET($A$1, 592 - 1, 97 - 1) = "1" ), 3, 4 ) ) )</f>
        <v>4</v>
      </c>
    </row>
    <row r="593" spans="95:98" ht="13.8" x14ac:dyDescent="0.3">
      <c r="CQ593" s="24">
        <v>0.17417416611119116</v>
      </c>
      <c r="CR593" s="24" t="str">
        <f>"0"</f>
        <v>0</v>
      </c>
      <c r="CS593" t="str">
        <f ca="1">IF((OFFSET($A$1, 593 - 1, 95 - 1)) &gt;= (OFFSET($A$1, 56 - 1, 7 - 1)), "1","0")</f>
        <v>0</v>
      </c>
      <c r="CT593">
        <f ca="1" xml:space="preserve"> IF( AND( OFFSET($A$1, 593 - 1, 96 - 1) = "1", OFFSET($A$1, 593 - 1, 97 - 1) = "1" ), 1, IF( AND( OFFSET($A$1, 593 - 1, 96 - 1) = "1", OFFSET($A$1, 593 - 1, 97 - 1) = "0" ), 2, IF( AND( OFFSET($A$1, 593 - 1, 96 - 1) = "0", OFFSET($A$1, 593 - 1, 97 - 1) = "1" ), 3, 4 ) ) )</f>
        <v>4</v>
      </c>
    </row>
    <row r="594" spans="95:98" ht="13.8" x14ac:dyDescent="0.3">
      <c r="CQ594" s="24">
        <v>0.98487636577729332</v>
      </c>
      <c r="CR594" s="24" t="str">
        <f>"1"</f>
        <v>1</v>
      </c>
      <c r="CS594" t="str">
        <f ca="1">IF((OFFSET($A$1, 594 - 1, 95 - 1)) &gt;= (OFFSET($A$1, 56 - 1, 7 - 1)), "1","0")</f>
        <v>1</v>
      </c>
      <c r="CT594">
        <f ca="1" xml:space="preserve"> IF( AND( OFFSET($A$1, 594 - 1, 96 - 1) = "1", OFFSET($A$1, 594 - 1, 97 - 1) = "1" ), 1, IF( AND( OFFSET($A$1, 594 - 1, 96 - 1) = "1", OFFSET($A$1, 594 - 1, 97 - 1) = "0" ), 2, IF( AND( OFFSET($A$1, 594 - 1, 96 - 1) = "0", OFFSET($A$1, 594 - 1, 97 - 1) = "1" ), 3, 4 ) ) )</f>
        <v>1</v>
      </c>
    </row>
    <row r="595" spans="95:98" ht="13.8" x14ac:dyDescent="0.3">
      <c r="CQ595" s="24">
        <v>0.18710841668134062</v>
      </c>
      <c r="CR595" s="24" t="str">
        <f>"0"</f>
        <v>0</v>
      </c>
      <c r="CS595" t="str">
        <f ca="1">IF((OFFSET($A$1, 595 - 1, 95 - 1)) &gt;= (OFFSET($A$1, 56 - 1, 7 - 1)), "1","0")</f>
        <v>0</v>
      </c>
      <c r="CT595">
        <f ca="1" xml:space="preserve"> IF( AND( OFFSET($A$1, 595 - 1, 96 - 1) = "1", OFFSET($A$1, 595 - 1, 97 - 1) = "1" ), 1, IF( AND( OFFSET($A$1, 595 - 1, 96 - 1) = "1", OFFSET($A$1, 595 - 1, 97 - 1) = "0" ), 2, IF( AND( OFFSET($A$1, 595 - 1, 96 - 1) = "0", OFFSET($A$1, 595 - 1, 97 - 1) = "1" ), 3, 4 ) ) )</f>
        <v>4</v>
      </c>
    </row>
    <row r="596" spans="95:98" ht="13.8" x14ac:dyDescent="0.3">
      <c r="CQ596" s="24">
        <v>0.99708096952969105</v>
      </c>
      <c r="CR596" s="24" t="str">
        <f>"1"</f>
        <v>1</v>
      </c>
      <c r="CS596" t="str">
        <f ca="1">IF((OFFSET($A$1, 596 - 1, 95 - 1)) &gt;= (OFFSET($A$1, 56 - 1, 7 - 1)), "1","0")</f>
        <v>1</v>
      </c>
      <c r="CT596">
        <f ca="1" xml:space="preserve"> IF( AND( OFFSET($A$1, 596 - 1, 96 - 1) = "1", OFFSET($A$1, 596 - 1, 97 - 1) = "1" ), 1, IF( AND( OFFSET($A$1, 596 - 1, 96 - 1) = "1", OFFSET($A$1, 596 - 1, 97 - 1) = "0" ), 2, IF( AND( OFFSET($A$1, 596 - 1, 96 - 1) = "0", OFFSET($A$1, 596 - 1, 97 - 1) = "1" ), 3, 4 ) ) )</f>
        <v>1</v>
      </c>
    </row>
    <row r="597" spans="95:98" ht="13.8" x14ac:dyDescent="0.3">
      <c r="CQ597" s="24">
        <v>0.86971098718565365</v>
      </c>
      <c r="CR597" s="24" t="str">
        <f>"1"</f>
        <v>1</v>
      </c>
      <c r="CS597" t="str">
        <f ca="1">IF((OFFSET($A$1, 597 - 1, 95 - 1)) &gt;= (OFFSET($A$1, 56 - 1, 7 - 1)), "1","0")</f>
        <v>1</v>
      </c>
      <c r="CT597">
        <f ca="1" xml:space="preserve"> IF( AND( OFFSET($A$1, 597 - 1, 96 - 1) = "1", OFFSET($A$1, 597 - 1, 97 - 1) = "1" ), 1, IF( AND( OFFSET($A$1, 597 - 1, 96 - 1) = "1", OFFSET($A$1, 597 - 1, 97 - 1) = "0" ), 2, IF( AND( OFFSET($A$1, 597 - 1, 96 - 1) = "0", OFFSET($A$1, 597 - 1, 97 - 1) = "1" ), 3, 4 ) ) )</f>
        <v>1</v>
      </c>
    </row>
    <row r="598" spans="95:98" ht="13.8" x14ac:dyDescent="0.3">
      <c r="CQ598" s="24">
        <v>3.2341991000780015E-2</v>
      </c>
      <c r="CR598" s="24" t="str">
        <f>"0"</f>
        <v>0</v>
      </c>
      <c r="CS598" t="str">
        <f ca="1">IF((OFFSET($A$1, 598 - 1, 95 - 1)) &gt;= (OFFSET($A$1, 56 - 1, 7 - 1)), "1","0")</f>
        <v>0</v>
      </c>
      <c r="CT598">
        <f ca="1" xml:space="preserve"> IF( AND( OFFSET($A$1, 598 - 1, 96 - 1) = "1", OFFSET($A$1, 598 - 1, 97 - 1) = "1" ), 1, IF( AND( OFFSET($A$1, 598 - 1, 96 - 1) = "1", OFFSET($A$1, 598 - 1, 97 - 1) = "0" ), 2, IF( AND( OFFSET($A$1, 598 - 1, 96 - 1) = "0", OFFSET($A$1, 598 - 1, 97 - 1) = "1" ), 3, 4 ) ) )</f>
        <v>4</v>
      </c>
    </row>
    <row r="599" spans="95:98" ht="13.8" x14ac:dyDescent="0.3">
      <c r="CQ599" s="24">
        <v>0.90973163706966065</v>
      </c>
      <c r="CR599" s="24" t="str">
        <f>"1"</f>
        <v>1</v>
      </c>
      <c r="CS599" t="str">
        <f ca="1">IF((OFFSET($A$1, 599 - 1, 95 - 1)) &gt;= (OFFSET($A$1, 56 - 1, 7 - 1)), "1","0")</f>
        <v>1</v>
      </c>
      <c r="CT599">
        <f ca="1" xml:space="preserve"> IF( AND( OFFSET($A$1, 599 - 1, 96 - 1) = "1", OFFSET($A$1, 599 - 1, 97 - 1) = "1" ), 1, IF( AND( OFFSET($A$1, 599 - 1, 96 - 1) = "1", OFFSET($A$1, 599 - 1, 97 - 1) = "0" ), 2, IF( AND( OFFSET($A$1, 599 - 1, 96 - 1) = "0", OFFSET($A$1, 599 - 1, 97 - 1) = "1" ), 3, 4 ) ) )</f>
        <v>1</v>
      </c>
    </row>
    <row r="600" spans="95:98" ht="13.8" x14ac:dyDescent="0.3">
      <c r="CQ600" s="24">
        <v>0.96567750257578444</v>
      </c>
      <c r="CR600" s="24" t="str">
        <f>"0"</f>
        <v>0</v>
      </c>
      <c r="CS600" t="str">
        <f ca="1">IF((OFFSET($A$1, 600 - 1, 95 - 1)) &gt;= (OFFSET($A$1, 56 - 1, 7 - 1)), "1","0")</f>
        <v>1</v>
      </c>
      <c r="CT600">
        <f ca="1" xml:space="preserve"> IF( AND( OFFSET($A$1, 600 - 1, 96 - 1) = "1", OFFSET($A$1, 600 - 1, 97 - 1) = "1" ), 1, IF( AND( OFFSET($A$1, 600 - 1, 96 - 1) = "1", OFFSET($A$1, 600 - 1, 97 - 1) = "0" ), 2, IF( AND( OFFSET($A$1, 600 - 1, 96 - 1) = "0", OFFSET($A$1, 600 - 1, 97 - 1) = "1" ), 3, 4 ) ) )</f>
        <v>3</v>
      </c>
    </row>
  </sheetData>
  <mergeCells count="84">
    <mergeCell ref="N3:Q3"/>
    <mergeCell ref="B5:C5"/>
    <mergeCell ref="D5:E5"/>
    <mergeCell ref="F5:G5"/>
    <mergeCell ref="H5:I5"/>
    <mergeCell ref="J5:K5"/>
    <mergeCell ref="B3:K3"/>
    <mergeCell ref="C98:D98"/>
    <mergeCell ref="C99:D99"/>
    <mergeCell ref="D104:AW104"/>
    <mergeCell ref="D121:Q121"/>
    <mergeCell ref="B4:C4"/>
    <mergeCell ref="D4:E4"/>
    <mergeCell ref="F4:G4"/>
    <mergeCell ref="H4:I4"/>
    <mergeCell ref="J4:K4"/>
    <mergeCell ref="C88:F88"/>
    <mergeCell ref="C94:E94"/>
    <mergeCell ref="C95:D95"/>
    <mergeCell ref="C96:D96"/>
    <mergeCell ref="C97:D97"/>
    <mergeCell ref="C75:D75"/>
    <mergeCell ref="C80:F80"/>
    <mergeCell ref="H80:M80"/>
    <mergeCell ref="C82:E82"/>
    <mergeCell ref="D83:E83"/>
    <mergeCell ref="C70:E70"/>
    <mergeCell ref="C71:D71"/>
    <mergeCell ref="C72:D72"/>
    <mergeCell ref="C73:D73"/>
    <mergeCell ref="C74:D74"/>
    <mergeCell ref="C56:F56"/>
    <mergeCell ref="H56:M56"/>
    <mergeCell ref="C58:E58"/>
    <mergeCell ref="D59:E59"/>
    <mergeCell ref="C64:F64"/>
    <mergeCell ref="C39:G39"/>
    <mergeCell ref="C40:G40"/>
    <mergeCell ref="C41:G41"/>
    <mergeCell ref="C42:G42"/>
    <mergeCell ref="C47:G47"/>
    <mergeCell ref="G33:J33"/>
    <mergeCell ref="G34:J34"/>
    <mergeCell ref="G35:J35"/>
    <mergeCell ref="G36:J36"/>
    <mergeCell ref="C38:G38"/>
    <mergeCell ref="C35:F35"/>
    <mergeCell ref="C36:F36"/>
    <mergeCell ref="C33:F33"/>
    <mergeCell ref="C34:F34"/>
    <mergeCell ref="C32:F32"/>
    <mergeCell ref="G24:J24"/>
    <mergeCell ref="G25:J25"/>
    <mergeCell ref="G26:J26"/>
    <mergeCell ref="G27:J27"/>
    <mergeCell ref="G28:J28"/>
    <mergeCell ref="G29:J29"/>
    <mergeCell ref="G32:J32"/>
    <mergeCell ref="C28:F28"/>
    <mergeCell ref="G30:J30"/>
    <mergeCell ref="G31:J31"/>
    <mergeCell ref="C29:F29"/>
    <mergeCell ref="C30:F30"/>
    <mergeCell ref="C31:F31"/>
    <mergeCell ref="C23:J23"/>
    <mergeCell ref="C24:F24"/>
    <mergeCell ref="C25:F25"/>
    <mergeCell ref="C26:F26"/>
    <mergeCell ref="C27:F27"/>
    <mergeCell ref="C18:AW18"/>
    <mergeCell ref="C19:D19"/>
    <mergeCell ref="C20:D20"/>
    <mergeCell ref="C21:D21"/>
    <mergeCell ref="E19:AW19"/>
    <mergeCell ref="E21:AW21"/>
    <mergeCell ref="C12:K12"/>
    <mergeCell ref="C13:F13"/>
    <mergeCell ref="C14:F14"/>
    <mergeCell ref="C15:F15"/>
    <mergeCell ref="C16:F16"/>
    <mergeCell ref="G13:K13"/>
    <mergeCell ref="G14:K14"/>
    <mergeCell ref="G15:K15"/>
    <mergeCell ref="G16:K16"/>
  </mergeCells>
  <hyperlinks>
    <hyperlink ref="B4" location="'NNC_Output'!$B$10:$B$10" display="Inputs"/>
    <hyperlink ref="D4" location="'NNC_Output'!$B$45:$B$45" display="Prior Class Prob."/>
    <hyperlink ref="F4" location="'NNC_Output'!$B$54:$B$54" display="Train. Score - Summary"/>
    <hyperlink ref="H4" location="'NNC_Output'!$B$78:$B$78" display="Valid. Score - Summary"/>
    <hyperlink ref="J4" location="'NNC_Output'!$B$102:$B$102" display="Weights"/>
    <hyperlink ref="B5" location="'NNC_TrainLog'!$B$10:$B$10" display="Training Log"/>
    <hyperlink ref="D5" location="'NNC_TrainingLiftChart'!$B$10:$B$10" display="Training Lift Chart"/>
    <hyperlink ref="F5" location="'NNC_ValidationLiftChart'!$B$10:$B$10" display="Validation Lift Chart"/>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42"/>
  <sheetViews>
    <sheetView showGridLines="0" topLeftCell="A10" zoomScale="90" zoomScaleNormal="90" workbookViewId="0">
      <selection activeCell="D86" sqref="D86:E87"/>
    </sheetView>
  </sheetViews>
  <sheetFormatPr defaultRowHeight="13.2" x14ac:dyDescent="0.25"/>
  <cols>
    <col min="14" max="14" width="13.5546875" bestFit="1" customWidth="1"/>
  </cols>
  <sheetData>
    <row r="1" spans="2:17" ht="18" x14ac:dyDescent="0.35">
      <c r="B1" s="23" t="s">
        <v>691</v>
      </c>
      <c r="N1" t="s">
        <v>735</v>
      </c>
    </row>
    <row r="3" spans="2:17" ht="15.6" x14ac:dyDescent="0.3">
      <c r="B3" s="59" t="s">
        <v>136</v>
      </c>
      <c r="C3" s="60"/>
      <c r="D3" s="60"/>
      <c r="E3" s="60"/>
      <c r="F3" s="60"/>
      <c r="G3" s="60"/>
      <c r="H3" s="60"/>
      <c r="I3" s="60"/>
      <c r="J3" s="60"/>
      <c r="K3" s="61"/>
      <c r="N3" s="59" t="s">
        <v>137</v>
      </c>
      <c r="O3" s="60"/>
      <c r="P3" s="60"/>
      <c r="Q3" s="61"/>
    </row>
    <row r="4" spans="2:17" ht="13.8" x14ac:dyDescent="0.3">
      <c r="B4" s="65" t="s">
        <v>141</v>
      </c>
      <c r="C4" s="66"/>
      <c r="D4" s="65" t="s">
        <v>683</v>
      </c>
      <c r="E4" s="66"/>
      <c r="F4" s="65" t="s">
        <v>684</v>
      </c>
      <c r="G4" s="66"/>
      <c r="H4" s="65" t="s">
        <v>685</v>
      </c>
      <c r="I4" s="66"/>
      <c r="J4" s="65" t="s">
        <v>686</v>
      </c>
      <c r="K4" s="66"/>
      <c r="N4" s="26" t="s">
        <v>182</v>
      </c>
      <c r="O4" s="26" t="s">
        <v>183</v>
      </c>
      <c r="P4" s="26" t="s">
        <v>139</v>
      </c>
      <c r="Q4" s="26" t="s">
        <v>140</v>
      </c>
    </row>
    <row r="5" spans="2:17" ht="13.8" x14ac:dyDescent="0.3">
      <c r="B5" s="65" t="s">
        <v>687</v>
      </c>
      <c r="C5" s="66"/>
      <c r="D5" s="65" t="s">
        <v>688</v>
      </c>
      <c r="E5" s="66"/>
      <c r="F5" s="65" t="s">
        <v>689</v>
      </c>
      <c r="G5" s="66"/>
      <c r="H5" s="67"/>
      <c r="I5" s="66"/>
      <c r="J5" s="67"/>
      <c r="K5" s="66"/>
      <c r="N5" s="24">
        <v>47</v>
      </c>
      <c r="O5" s="24">
        <v>224</v>
      </c>
      <c r="P5" s="24">
        <v>109</v>
      </c>
      <c r="Q5" s="24">
        <v>380</v>
      </c>
    </row>
    <row r="10" spans="2:17" ht="13.8" x14ac:dyDescent="0.3">
      <c r="B10" s="21" t="s">
        <v>687</v>
      </c>
    </row>
    <row r="12" spans="2:17" ht="13.8" x14ac:dyDescent="0.3">
      <c r="C12" s="26" t="s">
        <v>692</v>
      </c>
      <c r="D12" s="26" t="s">
        <v>693</v>
      </c>
      <c r="E12" s="26" t="s">
        <v>694</v>
      </c>
    </row>
    <row r="13" spans="2:17" ht="13.8" x14ac:dyDescent="0.3">
      <c r="C13" s="24">
        <v>1</v>
      </c>
      <c r="D13" s="24">
        <v>109.833011489428</v>
      </c>
      <c r="E13" s="24">
        <v>28.666666666666668</v>
      </c>
    </row>
    <row r="14" spans="2:17" ht="13.8" x14ac:dyDescent="0.3">
      <c r="C14" s="24">
        <v>2</v>
      </c>
      <c r="D14" s="24">
        <v>93.33669640013899</v>
      </c>
      <c r="E14" s="24">
        <v>25</v>
      </c>
    </row>
    <row r="15" spans="2:17" ht="13.8" x14ac:dyDescent="0.3">
      <c r="C15" s="24">
        <v>3</v>
      </c>
      <c r="D15" s="24">
        <v>88.534655181073035</v>
      </c>
      <c r="E15" s="24">
        <v>22.666666666666668</v>
      </c>
    </row>
    <row r="16" spans="2:17" ht="13.8" x14ac:dyDescent="0.3">
      <c r="C16" s="24">
        <v>4</v>
      </c>
      <c r="D16" s="24">
        <v>85.113398084196845</v>
      </c>
      <c r="E16" s="24">
        <v>21.666666666666668</v>
      </c>
    </row>
    <row r="17" spans="3:5" ht="13.8" x14ac:dyDescent="0.3">
      <c r="C17" s="24">
        <v>5</v>
      </c>
      <c r="D17" s="24">
        <v>81.857105393463797</v>
      </c>
      <c r="E17" s="24">
        <v>20.166666666666668</v>
      </c>
    </row>
    <row r="18" spans="3:5" ht="13.8" x14ac:dyDescent="0.3">
      <c r="C18" s="24">
        <v>6</v>
      </c>
      <c r="D18" s="24">
        <v>78.658960367535371</v>
      </c>
      <c r="E18" s="24">
        <v>19.666666666666668</v>
      </c>
    </row>
    <row r="19" spans="3:5" ht="13.8" x14ac:dyDescent="0.3">
      <c r="C19" s="24">
        <v>7</v>
      </c>
      <c r="D19" s="24">
        <v>75.096917963502023</v>
      </c>
      <c r="E19" s="24">
        <v>18.333333333333332</v>
      </c>
    </row>
    <row r="20" spans="3:5" ht="13.8" x14ac:dyDescent="0.3">
      <c r="C20" s="24">
        <v>8</v>
      </c>
      <c r="D20" s="24">
        <v>71.320508188890869</v>
      </c>
      <c r="E20" s="24">
        <v>17.333333333333332</v>
      </c>
    </row>
    <row r="21" spans="3:5" ht="13.8" x14ac:dyDescent="0.3">
      <c r="C21" s="24">
        <v>9</v>
      </c>
      <c r="D21" s="24">
        <v>67.716202877903186</v>
      </c>
      <c r="E21" s="24">
        <v>16</v>
      </c>
    </row>
    <row r="22" spans="3:5" ht="13.8" x14ac:dyDescent="0.3">
      <c r="C22" s="24">
        <v>10</v>
      </c>
      <c r="D22" s="24">
        <v>64.286886241306618</v>
      </c>
      <c r="E22" s="24">
        <v>13.5</v>
      </c>
    </row>
    <row r="23" spans="3:5" ht="13.8" x14ac:dyDescent="0.3">
      <c r="C23" s="24">
        <v>11</v>
      </c>
      <c r="D23" s="24">
        <v>61.048237169857977</v>
      </c>
      <c r="E23" s="24">
        <v>12.333333333333334</v>
      </c>
    </row>
    <row r="24" spans="3:5" ht="13.8" x14ac:dyDescent="0.3">
      <c r="C24" s="24">
        <v>12</v>
      </c>
      <c r="D24" s="24">
        <v>58.013592780662961</v>
      </c>
      <c r="E24" s="24">
        <v>12</v>
      </c>
    </row>
    <row r="25" spans="3:5" ht="13.8" x14ac:dyDescent="0.3">
      <c r="C25" s="24">
        <v>13</v>
      </c>
      <c r="D25" s="24">
        <v>54.988857560348762</v>
      </c>
      <c r="E25" s="24">
        <v>11.166666666666666</v>
      </c>
    </row>
    <row r="26" spans="3:5" ht="13.8" x14ac:dyDescent="0.3">
      <c r="C26" s="24">
        <v>14</v>
      </c>
      <c r="D26" s="24">
        <v>52.068799936830494</v>
      </c>
      <c r="E26" s="24">
        <v>10.166666666666666</v>
      </c>
    </row>
    <row r="27" spans="3:5" ht="13.8" x14ac:dyDescent="0.3">
      <c r="C27" s="24">
        <v>15</v>
      </c>
      <c r="D27" s="24">
        <v>49.093237207808116</v>
      </c>
      <c r="E27" s="24">
        <v>9.8333333333333339</v>
      </c>
    </row>
    <row r="28" spans="3:5" ht="13.8" x14ac:dyDescent="0.3">
      <c r="C28" s="24">
        <v>16</v>
      </c>
      <c r="D28" s="24">
        <v>46.330612058017437</v>
      </c>
      <c r="E28" s="24">
        <v>8.8333333333333339</v>
      </c>
    </row>
    <row r="29" spans="3:5" ht="13.8" x14ac:dyDescent="0.3">
      <c r="C29" s="24">
        <v>17</v>
      </c>
      <c r="D29" s="24">
        <v>43.535364806276121</v>
      </c>
      <c r="E29" s="24">
        <v>7.833333333333333</v>
      </c>
    </row>
    <row r="30" spans="3:5" ht="13.8" x14ac:dyDescent="0.3">
      <c r="C30" s="24">
        <v>18</v>
      </c>
      <c r="D30" s="24">
        <v>40.982291267750469</v>
      </c>
      <c r="E30" s="24">
        <v>6.666666666666667</v>
      </c>
    </row>
    <row r="31" spans="3:5" ht="13.8" x14ac:dyDescent="0.3">
      <c r="C31" s="24">
        <v>19</v>
      </c>
      <c r="D31" s="24">
        <v>38.481900358174705</v>
      </c>
      <c r="E31" s="24">
        <v>6.5</v>
      </c>
    </row>
    <row r="32" spans="3:5" ht="13.8" x14ac:dyDescent="0.3">
      <c r="C32" s="24">
        <v>20</v>
      </c>
      <c r="D32" s="24">
        <v>36.055478633498367</v>
      </c>
      <c r="E32" s="24">
        <v>6.166666666666667</v>
      </c>
    </row>
    <row r="33" spans="3:5" ht="13.8" x14ac:dyDescent="0.3">
      <c r="C33" s="24">
        <v>21</v>
      </c>
      <c r="D33" s="24">
        <v>33.624309656511024</v>
      </c>
      <c r="E33" s="24">
        <v>5.666666666666667</v>
      </c>
    </row>
    <row r="34" spans="3:5" ht="13.8" x14ac:dyDescent="0.3">
      <c r="C34" s="24">
        <v>22</v>
      </c>
      <c r="D34" s="24">
        <v>31.298367514369179</v>
      </c>
      <c r="E34" s="24">
        <v>5</v>
      </c>
    </row>
    <row r="35" spans="3:5" ht="13.8" x14ac:dyDescent="0.3">
      <c r="C35" s="24">
        <v>23</v>
      </c>
      <c r="D35" s="24">
        <v>29.11012199257673</v>
      </c>
      <c r="E35" s="24">
        <v>4</v>
      </c>
    </row>
    <row r="36" spans="3:5" ht="13.8" x14ac:dyDescent="0.3">
      <c r="C36" s="24">
        <v>24</v>
      </c>
      <c r="D36" s="24">
        <v>27.217598929132251</v>
      </c>
      <c r="E36" s="24">
        <v>3.5</v>
      </c>
    </row>
    <row r="37" spans="3:5" ht="13.8" x14ac:dyDescent="0.3">
      <c r="C37" s="24">
        <v>25</v>
      </c>
      <c r="D37" s="24">
        <v>25.55115167436518</v>
      </c>
      <c r="E37" s="24">
        <v>3.3333333333333335</v>
      </c>
    </row>
    <row r="38" spans="3:5" ht="13.8" x14ac:dyDescent="0.3">
      <c r="C38" s="24">
        <v>26</v>
      </c>
      <c r="D38" s="24">
        <v>23.887509614451304</v>
      </c>
      <c r="E38" s="24">
        <v>2.8333333333333335</v>
      </c>
    </row>
    <row r="39" spans="3:5" ht="13.8" x14ac:dyDescent="0.3">
      <c r="C39" s="24">
        <v>27</v>
      </c>
      <c r="D39" s="24">
        <v>22.544733463938837</v>
      </c>
      <c r="E39" s="24">
        <v>2.6666666666666665</v>
      </c>
    </row>
    <row r="40" spans="3:5" ht="13.8" x14ac:dyDescent="0.3">
      <c r="C40" s="24">
        <v>28</v>
      </c>
      <c r="D40" s="24">
        <v>21.289523140373372</v>
      </c>
      <c r="E40" s="24">
        <v>2.6666666666666665</v>
      </c>
    </row>
    <row r="41" spans="3:5" ht="13.8" x14ac:dyDescent="0.3">
      <c r="C41" s="24">
        <v>29</v>
      </c>
      <c r="D41" s="24">
        <v>20.296193509196492</v>
      </c>
      <c r="E41" s="24">
        <v>2.5</v>
      </c>
    </row>
    <row r="42" spans="3:5" ht="13.8" x14ac:dyDescent="0.3">
      <c r="C42" s="24">
        <v>30</v>
      </c>
      <c r="D42" s="24">
        <v>19.266549347372589</v>
      </c>
      <c r="E42" s="24">
        <v>2.5</v>
      </c>
    </row>
  </sheetData>
  <mergeCells count="12">
    <mergeCell ref="B3:K3"/>
    <mergeCell ref="N3:Q3"/>
    <mergeCell ref="B4:C4"/>
    <mergeCell ref="D4:E4"/>
    <mergeCell ref="F4:G4"/>
    <mergeCell ref="H4:I4"/>
    <mergeCell ref="J4:K4"/>
    <mergeCell ref="B5:C5"/>
    <mergeCell ref="D5:E5"/>
    <mergeCell ref="F5:G5"/>
    <mergeCell ref="H5:I5"/>
    <mergeCell ref="J5:K5"/>
  </mergeCells>
  <hyperlinks>
    <hyperlink ref="B4" location="'NNC_Output'!$B$10:$B$10" display="Inputs"/>
    <hyperlink ref="D4" location="'NNC_Output'!$B$45:$B$45" display="Prior Class Prob."/>
    <hyperlink ref="F4" location="'NNC_Output'!$B$54:$B$54" display="Train. Score - Summary"/>
    <hyperlink ref="H4" location="'NNC_Output'!$B$78:$B$78" display="Valid. Score - Summary"/>
    <hyperlink ref="J4" location="'NNC_Output'!$B$102:$B$102" display="Weights"/>
    <hyperlink ref="B5" location="'NNC_TrainLog'!$B$10:$B$10" display="Training Log"/>
    <hyperlink ref="D5" location="'NNC_TrainingLiftChart'!$B$10:$B$10" display="Training Lift Chart"/>
    <hyperlink ref="F5" location="'NNC_ValidationLiftChart'!$B$10:$B$10" display="Validation Lift Chart"/>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603"/>
  <sheetViews>
    <sheetView showGridLines="0" workbookViewId="0"/>
  </sheetViews>
  <sheetFormatPr defaultRowHeight="13.2" x14ac:dyDescent="0.25"/>
  <cols>
    <col min="14" max="14" width="13.5546875" bestFit="1" customWidth="1"/>
    <col min="52" max="52" width="8.33203125" customWidth="1"/>
    <col min="53" max="53" width="17.44140625" bestFit="1" customWidth="1"/>
    <col min="54" max="54" width="14.6640625" bestFit="1" customWidth="1"/>
    <col min="55" max="55" width="48" bestFit="1" customWidth="1"/>
    <col min="56" max="56" width="30.33203125" bestFit="1" customWidth="1"/>
    <col min="57" max="57" width="6.6640625" customWidth="1"/>
    <col min="58" max="58" width="22.6640625" bestFit="1" customWidth="1"/>
    <col min="78" max="80" width="12" bestFit="1" customWidth="1"/>
  </cols>
  <sheetData>
    <row r="1" spans="2:80" ht="18" x14ac:dyDescent="0.35">
      <c r="B1" s="23" t="s">
        <v>690</v>
      </c>
      <c r="N1" t="s">
        <v>734</v>
      </c>
      <c r="BZ1" s="26" t="s">
        <v>675</v>
      </c>
      <c r="CA1" s="26" t="s">
        <v>676</v>
      </c>
      <c r="CB1" s="26" t="s">
        <v>677</v>
      </c>
    </row>
    <row r="2" spans="2:80" x14ac:dyDescent="0.25">
      <c r="BZ2">
        <v>0</v>
      </c>
      <c r="CA2">
        <v>0</v>
      </c>
      <c r="CB2">
        <v>0</v>
      </c>
    </row>
    <row r="3" spans="2:80" ht="15.6" x14ac:dyDescent="0.3">
      <c r="B3" s="59" t="s">
        <v>136</v>
      </c>
      <c r="C3" s="60"/>
      <c r="D3" s="60"/>
      <c r="E3" s="60"/>
      <c r="F3" s="60"/>
      <c r="G3" s="60"/>
      <c r="H3" s="60"/>
      <c r="I3" s="60"/>
      <c r="J3" s="60"/>
      <c r="K3" s="61"/>
      <c r="N3" s="59" t="s">
        <v>137</v>
      </c>
      <c r="O3" s="60"/>
      <c r="P3" s="60"/>
      <c r="Q3" s="61"/>
      <c r="AZ3" s="26" t="s">
        <v>668</v>
      </c>
      <c r="BA3" s="26" t="s">
        <v>669</v>
      </c>
      <c r="BB3" s="26" t="s">
        <v>670</v>
      </c>
      <c r="BC3" s="26" t="s">
        <v>671</v>
      </c>
      <c r="BD3" s="26" t="s">
        <v>672</v>
      </c>
      <c r="BE3" s="26" t="s">
        <v>673</v>
      </c>
      <c r="BF3" s="26" t="s">
        <v>674</v>
      </c>
      <c r="BZ3">
        <v>0</v>
      </c>
      <c r="CA3">
        <v>2.331002331002331E-3</v>
      </c>
      <c r="CB3">
        <v>0</v>
      </c>
    </row>
    <row r="4" spans="2:80" ht="13.8" x14ac:dyDescent="0.3">
      <c r="B4" s="65" t="s">
        <v>141</v>
      </c>
      <c r="C4" s="66"/>
      <c r="D4" s="65" t="s">
        <v>683</v>
      </c>
      <c r="E4" s="66"/>
      <c r="F4" s="65" t="s">
        <v>684</v>
      </c>
      <c r="G4" s="66"/>
      <c r="H4" s="65" t="s">
        <v>685</v>
      </c>
      <c r="I4" s="66"/>
      <c r="J4" s="65" t="s">
        <v>686</v>
      </c>
      <c r="K4" s="66"/>
      <c r="N4" s="26" t="s">
        <v>182</v>
      </c>
      <c r="O4" s="26" t="s">
        <v>183</v>
      </c>
      <c r="P4" s="26" t="s">
        <v>139</v>
      </c>
      <c r="Q4" s="26" t="s">
        <v>140</v>
      </c>
      <c r="AZ4" s="32">
        <v>1</v>
      </c>
      <c r="BA4" s="32">
        <v>0.9999970180603982</v>
      </c>
      <c r="BB4" s="32">
        <v>1</v>
      </c>
      <c r="BC4" s="32">
        <v>1</v>
      </c>
      <c r="BD4" s="32">
        <v>0.71499999999999997</v>
      </c>
      <c r="BE4">
        <v>1</v>
      </c>
      <c r="BF4">
        <v>1.3519813519813519</v>
      </c>
      <c r="BZ4">
        <v>0</v>
      </c>
      <c r="CA4">
        <v>4.662004662004662E-3</v>
      </c>
      <c r="CB4">
        <v>0</v>
      </c>
    </row>
    <row r="5" spans="2:80" ht="13.8" x14ac:dyDescent="0.3">
      <c r="B5" s="65" t="s">
        <v>687</v>
      </c>
      <c r="C5" s="66"/>
      <c r="D5" s="65" t="s">
        <v>688</v>
      </c>
      <c r="E5" s="66"/>
      <c r="F5" s="65" t="s">
        <v>689</v>
      </c>
      <c r="G5" s="66"/>
      <c r="H5" s="67"/>
      <c r="I5" s="66"/>
      <c r="J5" s="67"/>
      <c r="K5" s="66"/>
      <c r="N5" s="24">
        <v>47</v>
      </c>
      <c r="O5" s="24">
        <v>224</v>
      </c>
      <c r="P5" s="24">
        <v>109</v>
      </c>
      <c r="Q5" s="24">
        <v>380</v>
      </c>
      <c r="AZ5" s="32">
        <v>2</v>
      </c>
      <c r="BA5" s="32">
        <v>0.99999109447287227</v>
      </c>
      <c r="BB5" s="32">
        <v>1</v>
      </c>
      <c r="BC5" s="32">
        <v>2</v>
      </c>
      <c r="BD5" s="32">
        <v>1.43</v>
      </c>
      <c r="BE5">
        <v>2</v>
      </c>
      <c r="BF5">
        <v>1.3286713286713288</v>
      </c>
      <c r="BZ5">
        <v>0</v>
      </c>
      <c r="CA5">
        <v>6.993006993006993E-3</v>
      </c>
      <c r="CB5">
        <v>0</v>
      </c>
    </row>
    <row r="6" spans="2:80" x14ac:dyDescent="0.25">
      <c r="AZ6" s="32">
        <v>3</v>
      </c>
      <c r="BA6" s="32">
        <v>0.99998876693783922</v>
      </c>
      <c r="BB6" s="32">
        <v>1</v>
      </c>
      <c r="BC6" s="32">
        <v>3</v>
      </c>
      <c r="BD6" s="32">
        <v>2.145</v>
      </c>
      <c r="BE6">
        <v>3</v>
      </c>
      <c r="BF6">
        <v>1.3519813519813519</v>
      </c>
      <c r="BZ6">
        <v>0</v>
      </c>
      <c r="CA6">
        <v>9.324009324009324E-3</v>
      </c>
      <c r="CB6">
        <v>0</v>
      </c>
    </row>
    <row r="7" spans="2:80" x14ac:dyDescent="0.25">
      <c r="AZ7" s="32">
        <v>4</v>
      </c>
      <c r="BA7" s="32">
        <v>0.99998287161848076</v>
      </c>
      <c r="BB7" s="32">
        <v>1</v>
      </c>
      <c r="BC7" s="32">
        <v>4</v>
      </c>
      <c r="BD7" s="32">
        <v>2.86</v>
      </c>
      <c r="BE7">
        <v>4</v>
      </c>
      <c r="BF7">
        <v>1.3752913752913754</v>
      </c>
      <c r="BZ7">
        <v>0</v>
      </c>
      <c r="CA7">
        <v>1.1655011655011656E-2</v>
      </c>
      <c r="CB7">
        <v>0</v>
      </c>
    </row>
    <row r="8" spans="2:80" x14ac:dyDescent="0.25">
      <c r="AZ8" s="32">
        <v>5</v>
      </c>
      <c r="BA8" s="32">
        <v>0.99997752441965138</v>
      </c>
      <c r="BB8" s="32">
        <v>1</v>
      </c>
      <c r="BC8" s="32">
        <v>5</v>
      </c>
      <c r="BD8" s="32">
        <v>3.5749999999999997</v>
      </c>
      <c r="BE8">
        <v>5</v>
      </c>
      <c r="BF8">
        <v>1.3752913752913754</v>
      </c>
      <c r="BZ8">
        <v>0</v>
      </c>
      <c r="CA8">
        <v>1.3986013986013986E-2</v>
      </c>
      <c r="CB8">
        <v>0</v>
      </c>
    </row>
    <row r="9" spans="2:80" x14ac:dyDescent="0.25">
      <c r="AZ9" s="32">
        <v>6</v>
      </c>
      <c r="BA9" s="32">
        <v>0.9999716440897306</v>
      </c>
      <c r="BB9" s="32">
        <v>1</v>
      </c>
      <c r="BC9" s="32">
        <v>6</v>
      </c>
      <c r="BD9" s="32">
        <v>4.29</v>
      </c>
      <c r="BE9">
        <v>6</v>
      </c>
      <c r="BF9">
        <v>1.3986013986013985</v>
      </c>
      <c r="BZ9">
        <v>0</v>
      </c>
      <c r="CA9">
        <v>1.6317016317016316E-2</v>
      </c>
      <c r="CB9">
        <v>0</v>
      </c>
    </row>
    <row r="10" spans="2:80" x14ac:dyDescent="0.25">
      <c r="AZ10" s="32">
        <v>7</v>
      </c>
      <c r="BA10" s="32">
        <v>0.99996922946341937</v>
      </c>
      <c r="BB10" s="32">
        <v>1</v>
      </c>
      <c r="BC10" s="32">
        <v>7</v>
      </c>
      <c r="BD10" s="32">
        <v>5.0049999999999999</v>
      </c>
      <c r="BE10">
        <v>7</v>
      </c>
      <c r="BF10">
        <v>1.3986013986013985</v>
      </c>
      <c r="BZ10">
        <v>0</v>
      </c>
      <c r="CA10">
        <v>1.8648018648018648E-2</v>
      </c>
      <c r="CB10">
        <v>0</v>
      </c>
    </row>
    <row r="11" spans="2:80" x14ac:dyDescent="0.25">
      <c r="AZ11" s="32">
        <v>8</v>
      </c>
      <c r="BA11" s="32">
        <v>0.99996820809244868</v>
      </c>
      <c r="BB11" s="32">
        <v>1</v>
      </c>
      <c r="BC11" s="32">
        <v>8</v>
      </c>
      <c r="BD11" s="32">
        <v>5.72</v>
      </c>
      <c r="BE11">
        <v>8</v>
      </c>
      <c r="BF11">
        <v>0.37296037296037299</v>
      </c>
      <c r="BZ11">
        <v>0</v>
      </c>
      <c r="CA11">
        <v>2.097902097902098E-2</v>
      </c>
      <c r="CB11">
        <v>0</v>
      </c>
    </row>
    <row r="12" spans="2:80" x14ac:dyDescent="0.25">
      <c r="AZ12" s="32">
        <v>9</v>
      </c>
      <c r="BA12" s="32">
        <v>0.99996200948494784</v>
      </c>
      <c r="BB12" s="32">
        <v>1</v>
      </c>
      <c r="BC12" s="32">
        <v>9</v>
      </c>
      <c r="BD12" s="32">
        <v>6.4349999999999996</v>
      </c>
      <c r="BE12">
        <v>9</v>
      </c>
      <c r="BF12">
        <v>2.3310023310023312E-2</v>
      </c>
      <c r="BZ12">
        <v>0</v>
      </c>
      <c r="CA12">
        <v>2.3310023310023312E-2</v>
      </c>
      <c r="CB12">
        <v>0</v>
      </c>
    </row>
    <row r="13" spans="2:80" x14ac:dyDescent="0.25">
      <c r="AZ13" s="32">
        <v>10</v>
      </c>
      <c r="BA13" s="32">
        <v>0.99995638191161318</v>
      </c>
      <c r="BB13" s="32">
        <v>1</v>
      </c>
      <c r="BC13" s="32">
        <v>10</v>
      </c>
      <c r="BD13" s="32">
        <v>7.1499999999999995</v>
      </c>
      <c r="BE13">
        <v>10</v>
      </c>
      <c r="BF13">
        <v>2.3310023310023312E-2</v>
      </c>
      <c r="BZ13">
        <v>0</v>
      </c>
      <c r="CA13">
        <v>2.564102564102564E-2</v>
      </c>
      <c r="CB13">
        <v>0</v>
      </c>
    </row>
    <row r="14" spans="2:80" x14ac:dyDescent="0.25">
      <c r="AZ14" s="32">
        <v>11</v>
      </c>
      <c r="BA14" s="32">
        <v>0.99995406500214212</v>
      </c>
      <c r="BB14" s="32">
        <v>1</v>
      </c>
      <c r="BC14" s="32">
        <v>11</v>
      </c>
      <c r="BD14" s="32">
        <v>7.8649999999999993</v>
      </c>
      <c r="BZ14">
        <v>0</v>
      </c>
      <c r="CA14">
        <v>2.7972027972027972E-2</v>
      </c>
      <c r="CB14">
        <v>0</v>
      </c>
    </row>
    <row r="15" spans="2:80" x14ac:dyDescent="0.25">
      <c r="AZ15" s="32">
        <v>12</v>
      </c>
      <c r="BA15" s="32">
        <v>0.99995205516503571</v>
      </c>
      <c r="BB15" s="32">
        <v>1</v>
      </c>
      <c r="BC15" s="32">
        <v>12</v>
      </c>
      <c r="BD15" s="32">
        <v>8.58</v>
      </c>
      <c r="BZ15">
        <v>0</v>
      </c>
      <c r="CA15">
        <v>3.0303030303030304E-2</v>
      </c>
      <c r="CB15">
        <v>0</v>
      </c>
    </row>
    <row r="16" spans="2:80" x14ac:dyDescent="0.25">
      <c r="AZ16" s="32">
        <v>13</v>
      </c>
      <c r="BA16" s="32">
        <v>0.99994051600992773</v>
      </c>
      <c r="BB16" s="32">
        <v>1</v>
      </c>
      <c r="BC16" s="32">
        <v>13</v>
      </c>
      <c r="BD16" s="32">
        <v>9.2949999999999999</v>
      </c>
      <c r="BZ16">
        <v>0</v>
      </c>
      <c r="CA16">
        <v>3.2634032634032632E-2</v>
      </c>
      <c r="CB16">
        <v>0</v>
      </c>
    </row>
    <row r="17" spans="52:80" x14ac:dyDescent="0.25">
      <c r="AZ17" s="32">
        <v>14</v>
      </c>
      <c r="BA17" s="32">
        <v>0.99993177256588051</v>
      </c>
      <c r="BB17" s="32">
        <v>1</v>
      </c>
      <c r="BC17" s="32">
        <v>14</v>
      </c>
      <c r="BD17" s="32">
        <v>10.01</v>
      </c>
      <c r="BZ17">
        <v>0</v>
      </c>
      <c r="CA17">
        <v>3.4965034965034968E-2</v>
      </c>
      <c r="CB17">
        <v>0</v>
      </c>
    </row>
    <row r="18" spans="52:80" x14ac:dyDescent="0.25">
      <c r="AZ18" s="32">
        <v>15</v>
      </c>
      <c r="BA18" s="32">
        <v>0.99992604999931989</v>
      </c>
      <c r="BB18" s="32">
        <v>1</v>
      </c>
      <c r="BC18" s="32">
        <v>15</v>
      </c>
      <c r="BD18" s="32">
        <v>10.725</v>
      </c>
      <c r="BZ18">
        <v>0</v>
      </c>
      <c r="CA18">
        <v>3.7296037296037296E-2</v>
      </c>
      <c r="CB18">
        <v>0</v>
      </c>
    </row>
    <row r="19" spans="52:80" x14ac:dyDescent="0.25">
      <c r="AZ19" s="32">
        <v>16</v>
      </c>
      <c r="BA19" s="32">
        <v>0.99990710215855128</v>
      </c>
      <c r="BB19" s="32">
        <v>1</v>
      </c>
      <c r="BC19" s="32">
        <v>16</v>
      </c>
      <c r="BD19" s="32">
        <v>11.44</v>
      </c>
      <c r="BZ19">
        <v>0</v>
      </c>
      <c r="CA19">
        <v>3.9627039627039624E-2</v>
      </c>
      <c r="CB19">
        <v>0</v>
      </c>
    </row>
    <row r="20" spans="52:80" x14ac:dyDescent="0.25">
      <c r="AZ20" s="32">
        <v>17</v>
      </c>
      <c r="BA20" s="32">
        <v>0.99989837339408083</v>
      </c>
      <c r="BB20" s="32">
        <v>1</v>
      </c>
      <c r="BC20" s="32">
        <v>17</v>
      </c>
      <c r="BD20" s="32">
        <v>12.154999999999999</v>
      </c>
      <c r="BZ20">
        <v>0</v>
      </c>
      <c r="CA20">
        <v>4.195804195804196E-2</v>
      </c>
      <c r="CB20">
        <v>0</v>
      </c>
    </row>
    <row r="21" spans="52:80" x14ac:dyDescent="0.25">
      <c r="AZ21" s="32">
        <v>18</v>
      </c>
      <c r="BA21" s="32">
        <v>0.99989824224329027</v>
      </c>
      <c r="BB21" s="32">
        <v>1</v>
      </c>
      <c r="BC21" s="32">
        <v>18</v>
      </c>
      <c r="BD21" s="32">
        <v>12.87</v>
      </c>
      <c r="BZ21">
        <v>0</v>
      </c>
      <c r="CA21">
        <v>4.4289044289044288E-2</v>
      </c>
      <c r="CB21">
        <v>0</v>
      </c>
    </row>
    <row r="22" spans="52:80" x14ac:dyDescent="0.25">
      <c r="AZ22" s="32">
        <v>19</v>
      </c>
      <c r="BA22" s="32">
        <v>0.99988860368707522</v>
      </c>
      <c r="BB22" s="32">
        <v>1</v>
      </c>
      <c r="BC22" s="32">
        <v>19</v>
      </c>
      <c r="BD22" s="32">
        <v>13.584999999999999</v>
      </c>
      <c r="BZ22">
        <v>0</v>
      </c>
      <c r="CA22">
        <v>4.6620046620046623E-2</v>
      </c>
      <c r="CB22">
        <v>0</v>
      </c>
    </row>
    <row r="23" spans="52:80" x14ac:dyDescent="0.25">
      <c r="AZ23" s="32">
        <v>20</v>
      </c>
      <c r="BA23" s="32">
        <v>0.99987902283234864</v>
      </c>
      <c r="BB23" s="32">
        <v>1</v>
      </c>
      <c r="BC23" s="32">
        <v>20</v>
      </c>
      <c r="BD23" s="32">
        <v>14.299999999999999</v>
      </c>
      <c r="BZ23">
        <v>0</v>
      </c>
      <c r="CA23">
        <v>4.8951048951048952E-2</v>
      </c>
      <c r="CB23">
        <v>0</v>
      </c>
    </row>
    <row r="24" spans="52:80" x14ac:dyDescent="0.25">
      <c r="AZ24" s="32">
        <v>21</v>
      </c>
      <c r="BA24" s="32">
        <v>0.99987459973087778</v>
      </c>
      <c r="BB24" s="32">
        <v>1</v>
      </c>
      <c r="BC24" s="32">
        <v>21</v>
      </c>
      <c r="BD24" s="32">
        <v>15.014999999999999</v>
      </c>
      <c r="BZ24">
        <v>0</v>
      </c>
      <c r="CA24">
        <v>5.128205128205128E-2</v>
      </c>
      <c r="CB24">
        <v>0</v>
      </c>
    </row>
    <row r="25" spans="52:80" x14ac:dyDescent="0.25">
      <c r="AZ25" s="32">
        <v>22</v>
      </c>
      <c r="BA25" s="32">
        <v>0.99987019899573559</v>
      </c>
      <c r="BB25" s="32">
        <v>1</v>
      </c>
      <c r="BC25" s="32">
        <v>22</v>
      </c>
      <c r="BD25" s="32">
        <v>15.729999999999999</v>
      </c>
      <c r="BZ25">
        <v>0</v>
      </c>
      <c r="CA25">
        <v>5.3613053613053616E-2</v>
      </c>
      <c r="CB25">
        <v>0</v>
      </c>
    </row>
    <row r="26" spans="52:80" x14ac:dyDescent="0.25">
      <c r="AZ26" s="32">
        <v>23</v>
      </c>
      <c r="BA26" s="32">
        <v>0.99986704732875842</v>
      </c>
      <c r="BB26" s="32">
        <v>1</v>
      </c>
      <c r="BC26" s="32">
        <v>23</v>
      </c>
      <c r="BD26" s="32">
        <v>16.445</v>
      </c>
      <c r="BZ26">
        <v>0</v>
      </c>
      <c r="CA26">
        <v>5.5944055944055944E-2</v>
      </c>
      <c r="CB26">
        <v>0</v>
      </c>
    </row>
    <row r="27" spans="52:80" x14ac:dyDescent="0.25">
      <c r="AZ27" s="32">
        <v>24</v>
      </c>
      <c r="BA27" s="32">
        <v>0.99986381784753664</v>
      </c>
      <c r="BB27" s="32">
        <v>1</v>
      </c>
      <c r="BC27" s="32">
        <v>24</v>
      </c>
      <c r="BD27" s="32">
        <v>17.16</v>
      </c>
      <c r="BZ27">
        <v>0</v>
      </c>
      <c r="CA27">
        <v>5.8275058275058272E-2</v>
      </c>
      <c r="CB27">
        <v>0</v>
      </c>
    </row>
    <row r="28" spans="52:80" x14ac:dyDescent="0.25">
      <c r="AZ28" s="32">
        <v>25</v>
      </c>
      <c r="BA28" s="32">
        <v>0.99986072101854184</v>
      </c>
      <c r="BB28" s="32">
        <v>1</v>
      </c>
      <c r="BC28" s="32">
        <v>25</v>
      </c>
      <c r="BD28" s="32">
        <v>17.875</v>
      </c>
      <c r="BZ28">
        <v>0</v>
      </c>
      <c r="CA28">
        <v>6.0606060606060608E-2</v>
      </c>
      <c r="CB28">
        <v>0</v>
      </c>
    </row>
    <row r="29" spans="52:80" x14ac:dyDescent="0.25">
      <c r="AZ29" s="32">
        <v>26</v>
      </c>
      <c r="BA29" s="32">
        <v>0.99985395748001804</v>
      </c>
      <c r="BB29" s="32">
        <v>1</v>
      </c>
      <c r="BC29" s="32">
        <v>26</v>
      </c>
      <c r="BD29" s="32">
        <v>18.59</v>
      </c>
      <c r="BZ29">
        <v>0</v>
      </c>
      <c r="CA29">
        <v>6.2937062937062943E-2</v>
      </c>
      <c r="CB29">
        <v>0</v>
      </c>
    </row>
    <row r="30" spans="52:80" x14ac:dyDescent="0.25">
      <c r="AZ30" s="32">
        <v>27</v>
      </c>
      <c r="BA30" s="32">
        <v>0.99985392064400136</v>
      </c>
      <c r="BB30" s="32">
        <v>1</v>
      </c>
      <c r="BC30" s="32">
        <v>27</v>
      </c>
      <c r="BD30" s="32">
        <v>19.305</v>
      </c>
      <c r="BZ30">
        <v>0</v>
      </c>
      <c r="CA30">
        <v>6.5268065268065265E-2</v>
      </c>
      <c r="CB30">
        <v>0</v>
      </c>
    </row>
    <row r="31" spans="52:80" x14ac:dyDescent="0.25">
      <c r="AZ31" s="32">
        <v>28</v>
      </c>
      <c r="BA31" s="32">
        <v>0.99983453546689782</v>
      </c>
      <c r="BB31" s="32">
        <v>1</v>
      </c>
      <c r="BC31" s="32">
        <v>28</v>
      </c>
      <c r="BD31" s="32">
        <v>20.02</v>
      </c>
      <c r="BZ31">
        <v>0</v>
      </c>
      <c r="CA31">
        <v>6.75990675990676E-2</v>
      </c>
      <c r="CB31">
        <v>0</v>
      </c>
    </row>
    <row r="32" spans="52:80" x14ac:dyDescent="0.25">
      <c r="AZ32" s="32">
        <v>29</v>
      </c>
      <c r="BA32" s="32">
        <v>0.99981494936423365</v>
      </c>
      <c r="BB32" s="32">
        <v>1</v>
      </c>
      <c r="BC32" s="32">
        <v>29</v>
      </c>
      <c r="BD32" s="32">
        <v>20.734999999999999</v>
      </c>
      <c r="BZ32">
        <v>0</v>
      </c>
      <c r="CA32">
        <v>6.9930069930069935E-2</v>
      </c>
      <c r="CB32">
        <v>0</v>
      </c>
    </row>
    <row r="33" spans="9:80" x14ac:dyDescent="0.25">
      <c r="AZ33" s="32">
        <v>30</v>
      </c>
      <c r="BA33" s="32">
        <v>0.99979964238194874</v>
      </c>
      <c r="BB33" s="32">
        <v>1</v>
      </c>
      <c r="BC33" s="32">
        <v>30</v>
      </c>
      <c r="BD33" s="32">
        <v>21.45</v>
      </c>
      <c r="BZ33">
        <v>5.8479532163742687E-3</v>
      </c>
      <c r="CA33">
        <v>6.9930069930069935E-2</v>
      </c>
      <c r="CB33">
        <v>5.8479532163742687E-3</v>
      </c>
    </row>
    <row r="34" spans="9:80" x14ac:dyDescent="0.25">
      <c r="AZ34" s="32">
        <v>31</v>
      </c>
      <c r="BA34" s="32">
        <v>0.99979658901972657</v>
      </c>
      <c r="BB34" s="32">
        <v>0</v>
      </c>
      <c r="BC34" s="32">
        <v>30</v>
      </c>
      <c r="BD34" s="32">
        <v>22.164999999999999</v>
      </c>
      <c r="BZ34">
        <v>5.8479532163742687E-3</v>
      </c>
      <c r="CA34">
        <v>7.2261072261072257E-2</v>
      </c>
      <c r="CB34">
        <v>5.8479532163742687E-3</v>
      </c>
    </row>
    <row r="35" spans="9:80" x14ac:dyDescent="0.25">
      <c r="AZ35" s="32">
        <v>32</v>
      </c>
      <c r="BA35" s="32">
        <v>0.99979202952950075</v>
      </c>
      <c r="BB35" s="32">
        <v>1</v>
      </c>
      <c r="BC35" s="32">
        <v>31</v>
      </c>
      <c r="BD35" s="32">
        <v>22.88</v>
      </c>
      <c r="BZ35">
        <v>1.1695906432748537E-2</v>
      </c>
      <c r="CA35">
        <v>7.2261072261072257E-2</v>
      </c>
      <c r="CB35">
        <v>1.1695906432748537E-2</v>
      </c>
    </row>
    <row r="36" spans="9:80" x14ac:dyDescent="0.25">
      <c r="AZ36" s="32">
        <v>33</v>
      </c>
      <c r="BA36" s="32">
        <v>0.99978341559015582</v>
      </c>
      <c r="BB36" s="32">
        <v>0</v>
      </c>
      <c r="BC36" s="32">
        <v>31</v>
      </c>
      <c r="BD36" s="32">
        <v>23.594999999999999</v>
      </c>
      <c r="BZ36">
        <v>1.1695906432748537E-2</v>
      </c>
      <c r="CA36">
        <v>7.4592074592074592E-2</v>
      </c>
      <c r="CB36">
        <v>1.1695906432748537E-2</v>
      </c>
    </row>
    <row r="37" spans="9:80" x14ac:dyDescent="0.25">
      <c r="AZ37" s="32">
        <v>34</v>
      </c>
      <c r="BA37" s="32">
        <v>0.99976142296803117</v>
      </c>
      <c r="BB37" s="32">
        <v>1</v>
      </c>
      <c r="BC37" s="32">
        <v>32</v>
      </c>
      <c r="BD37" s="32">
        <v>24.31</v>
      </c>
      <c r="BZ37">
        <v>1.1695906432748537E-2</v>
      </c>
      <c r="CA37">
        <v>7.6923076923076927E-2</v>
      </c>
      <c r="CB37">
        <v>1.1695906432748537E-2</v>
      </c>
    </row>
    <row r="38" spans="9:80" ht="13.8" x14ac:dyDescent="0.3">
      <c r="I38" s="26" t="s">
        <v>678</v>
      </c>
      <c r="J38" s="26" t="s">
        <v>679</v>
      </c>
      <c r="K38" s="26" t="s">
        <v>680</v>
      </c>
      <c r="L38" s="26" t="s">
        <v>681</v>
      </c>
      <c r="M38" s="26" t="s">
        <v>682</v>
      </c>
      <c r="AZ38" s="32">
        <v>35</v>
      </c>
      <c r="BA38" s="32">
        <v>0.99976050744246214</v>
      </c>
      <c r="BB38" s="32">
        <v>1</v>
      </c>
      <c r="BC38" s="32">
        <v>33</v>
      </c>
      <c r="BD38" s="32">
        <v>25.024999999999999</v>
      </c>
      <c r="BZ38">
        <v>1.1695906432748537E-2</v>
      </c>
      <c r="CA38">
        <v>7.9254079254079249E-2</v>
      </c>
      <c r="CB38">
        <v>1.1695906432748537E-2</v>
      </c>
    </row>
    <row r="39" spans="9:80" ht="13.8" x14ac:dyDescent="0.3">
      <c r="I39" s="25">
        <v>1</v>
      </c>
      <c r="J39" s="24">
        <v>0.96666666666666667</v>
      </c>
      <c r="K39" s="24">
        <v>0.18102033471939247</v>
      </c>
      <c r="L39" s="24">
        <v>0</v>
      </c>
      <c r="M39" s="24">
        <v>1</v>
      </c>
      <c r="AZ39" s="32">
        <v>36</v>
      </c>
      <c r="BA39" s="32">
        <v>0.99975708944748443</v>
      </c>
      <c r="BB39" s="32">
        <v>1</v>
      </c>
      <c r="BC39" s="32">
        <v>34</v>
      </c>
      <c r="BD39" s="32">
        <v>25.74</v>
      </c>
      <c r="BZ39">
        <v>1.1695906432748537E-2</v>
      </c>
      <c r="CA39">
        <v>8.1585081585081584E-2</v>
      </c>
      <c r="CB39">
        <v>1.1695906432748537E-2</v>
      </c>
    </row>
    <row r="40" spans="9:80" ht="13.8" x14ac:dyDescent="0.3">
      <c r="I40" s="25">
        <v>2</v>
      </c>
      <c r="J40" s="24">
        <v>0.95</v>
      </c>
      <c r="K40" s="24">
        <v>0.21978417765108274</v>
      </c>
      <c r="L40" s="24">
        <v>0</v>
      </c>
      <c r="M40" s="24">
        <v>1</v>
      </c>
      <c r="AZ40" s="32">
        <v>37</v>
      </c>
      <c r="BA40" s="32">
        <v>0.99971926146299195</v>
      </c>
      <c r="BB40" s="32">
        <v>1</v>
      </c>
      <c r="BC40" s="32">
        <v>35</v>
      </c>
      <c r="BD40" s="32">
        <v>26.454999999999998</v>
      </c>
      <c r="BZ40">
        <v>1.1695906432748537E-2</v>
      </c>
      <c r="CA40">
        <v>8.3916083916083919E-2</v>
      </c>
      <c r="CB40">
        <v>1.1695906432748537E-2</v>
      </c>
    </row>
    <row r="41" spans="9:80" ht="13.8" x14ac:dyDescent="0.3">
      <c r="I41" s="25">
        <v>3</v>
      </c>
      <c r="J41" s="24">
        <v>0.96666666666666667</v>
      </c>
      <c r="K41" s="24">
        <v>0.18102033471939238</v>
      </c>
      <c r="L41" s="24">
        <v>0</v>
      </c>
      <c r="M41" s="24">
        <v>1</v>
      </c>
      <c r="AZ41" s="32">
        <v>38</v>
      </c>
      <c r="BA41" s="32">
        <v>0.99969721012229129</v>
      </c>
      <c r="BB41" s="32">
        <v>1</v>
      </c>
      <c r="BC41" s="32">
        <v>36</v>
      </c>
      <c r="BD41" s="32">
        <v>27.169999999999998</v>
      </c>
      <c r="BZ41">
        <v>1.1695906432748537E-2</v>
      </c>
      <c r="CA41">
        <v>8.6247086247086241E-2</v>
      </c>
      <c r="CB41">
        <v>1.1695906432748537E-2</v>
      </c>
    </row>
    <row r="42" spans="9:80" ht="13.8" x14ac:dyDescent="0.3">
      <c r="I42" s="25">
        <v>4</v>
      </c>
      <c r="J42" s="24">
        <v>0.98333333333333328</v>
      </c>
      <c r="K42" s="24">
        <v>0.1290994448735806</v>
      </c>
      <c r="L42" s="24">
        <v>0</v>
      </c>
      <c r="M42" s="24">
        <v>1</v>
      </c>
      <c r="AZ42" s="32">
        <v>39</v>
      </c>
      <c r="BA42" s="32">
        <v>0.99967439947199155</v>
      </c>
      <c r="BB42" s="32">
        <v>1</v>
      </c>
      <c r="BC42" s="32">
        <v>37</v>
      </c>
      <c r="BD42" s="32">
        <v>27.884999999999998</v>
      </c>
      <c r="BZ42">
        <v>1.1695906432748537E-2</v>
      </c>
      <c r="CA42">
        <v>8.8578088578088576E-2</v>
      </c>
      <c r="CB42">
        <v>1.1695906432748537E-2</v>
      </c>
    </row>
    <row r="43" spans="9:80" ht="13.8" x14ac:dyDescent="0.3">
      <c r="I43" s="25">
        <v>5</v>
      </c>
      <c r="J43" s="24">
        <v>0.98333333333333328</v>
      </c>
      <c r="K43" s="24">
        <v>0.12909944487358072</v>
      </c>
      <c r="L43" s="24">
        <v>0</v>
      </c>
      <c r="M43" s="24">
        <v>1</v>
      </c>
      <c r="AZ43" s="32">
        <v>40</v>
      </c>
      <c r="BA43" s="32">
        <v>0.99964563231827896</v>
      </c>
      <c r="BB43" s="32">
        <v>1</v>
      </c>
      <c r="BC43" s="32">
        <v>38</v>
      </c>
      <c r="BD43" s="32">
        <v>28.599999999999998</v>
      </c>
      <c r="BZ43">
        <v>1.1695906432748537E-2</v>
      </c>
      <c r="CA43">
        <v>9.0909090909090912E-2</v>
      </c>
      <c r="CB43">
        <v>1.1695906432748537E-2</v>
      </c>
    </row>
    <row r="44" spans="9:80" ht="13.8" x14ac:dyDescent="0.3">
      <c r="I44" s="25">
        <v>6</v>
      </c>
      <c r="J44" s="24">
        <v>1</v>
      </c>
      <c r="K44" s="24">
        <v>0</v>
      </c>
      <c r="L44" s="24">
        <v>1</v>
      </c>
      <c r="M44" s="24">
        <v>1</v>
      </c>
      <c r="AZ44" s="32">
        <v>41</v>
      </c>
      <c r="BA44" s="32">
        <v>0.99963595019086726</v>
      </c>
      <c r="BB44" s="32">
        <v>1</v>
      </c>
      <c r="BC44" s="32">
        <v>39</v>
      </c>
      <c r="BD44" s="32">
        <v>29.314999999999998</v>
      </c>
      <c r="BZ44">
        <v>1.1695906432748537E-2</v>
      </c>
      <c r="CA44">
        <v>9.3240093240093247E-2</v>
      </c>
      <c r="CB44">
        <v>1.1695906432748537E-2</v>
      </c>
    </row>
    <row r="45" spans="9:80" ht="13.8" x14ac:dyDescent="0.3">
      <c r="I45" s="25">
        <v>7</v>
      </c>
      <c r="J45" s="24">
        <v>1</v>
      </c>
      <c r="K45" s="24">
        <v>0</v>
      </c>
      <c r="L45" s="24">
        <v>1</v>
      </c>
      <c r="M45" s="24">
        <v>1</v>
      </c>
      <c r="AZ45" s="32">
        <v>42</v>
      </c>
      <c r="BA45" s="32">
        <v>0.99959586204258966</v>
      </c>
      <c r="BB45" s="32">
        <v>1</v>
      </c>
      <c r="BC45" s="32">
        <v>40</v>
      </c>
      <c r="BD45" s="32">
        <v>30.029999999999998</v>
      </c>
      <c r="BZ45">
        <v>1.1695906432748537E-2</v>
      </c>
      <c r="CA45">
        <v>9.5571095571095568E-2</v>
      </c>
      <c r="CB45">
        <v>1.1695906432748537E-2</v>
      </c>
    </row>
    <row r="46" spans="9:80" ht="13.8" x14ac:dyDescent="0.3">
      <c r="I46" s="25">
        <v>8</v>
      </c>
      <c r="J46" s="24">
        <v>0.26666666666666666</v>
      </c>
      <c r="K46" s="24">
        <v>0.44594849085648397</v>
      </c>
      <c r="L46" s="24">
        <v>0</v>
      </c>
      <c r="M46" s="24">
        <v>1</v>
      </c>
      <c r="AZ46" s="32">
        <v>43</v>
      </c>
      <c r="BA46" s="32">
        <v>0.99958959018752314</v>
      </c>
      <c r="BB46" s="32">
        <v>1</v>
      </c>
      <c r="BC46" s="32">
        <v>41</v>
      </c>
      <c r="BD46" s="32">
        <v>30.744999999999997</v>
      </c>
      <c r="BZ46">
        <v>1.1695906432748537E-2</v>
      </c>
      <c r="CA46">
        <v>9.7902097902097904E-2</v>
      </c>
      <c r="CB46">
        <v>1.1695906432748537E-2</v>
      </c>
    </row>
    <row r="47" spans="9:80" ht="13.8" x14ac:dyDescent="0.3">
      <c r="I47" s="25">
        <v>9</v>
      </c>
      <c r="J47" s="24">
        <v>1.6666666666666666E-2</v>
      </c>
      <c r="K47" s="24">
        <v>0.12909944487358066</v>
      </c>
      <c r="L47" s="24">
        <v>0</v>
      </c>
      <c r="M47" s="24">
        <v>1</v>
      </c>
      <c r="AZ47" s="32">
        <v>44</v>
      </c>
      <c r="BA47" s="32">
        <v>0.99957396404010423</v>
      </c>
      <c r="BB47" s="32">
        <v>1</v>
      </c>
      <c r="BC47" s="32">
        <v>42</v>
      </c>
      <c r="BD47" s="32">
        <v>31.459999999999997</v>
      </c>
      <c r="BZ47">
        <v>1.1695906432748537E-2</v>
      </c>
      <c r="CA47">
        <v>0.10023310023310024</v>
      </c>
      <c r="CB47">
        <v>1.1695906432748537E-2</v>
      </c>
    </row>
    <row r="48" spans="9:80" ht="13.8" x14ac:dyDescent="0.3">
      <c r="I48" s="25">
        <v>10</v>
      </c>
      <c r="J48" s="24">
        <v>1.6666666666666666E-2</v>
      </c>
      <c r="K48" s="24">
        <v>0.12909944487358066</v>
      </c>
      <c r="L48" s="24">
        <v>0</v>
      </c>
      <c r="M48" s="24">
        <v>1</v>
      </c>
      <c r="AZ48" s="32">
        <v>45</v>
      </c>
      <c r="BA48" s="32">
        <v>0.99955952036055984</v>
      </c>
      <c r="BB48" s="32">
        <v>1</v>
      </c>
      <c r="BC48" s="32">
        <v>43</v>
      </c>
      <c r="BD48" s="32">
        <v>32.174999999999997</v>
      </c>
      <c r="BZ48">
        <v>1.1695906432748537E-2</v>
      </c>
      <c r="CA48">
        <v>0.10256410256410256</v>
      </c>
      <c r="CB48">
        <v>1.1695906432748537E-2</v>
      </c>
    </row>
    <row r="49" spans="52:80" x14ac:dyDescent="0.25">
      <c r="AZ49" s="32">
        <v>46</v>
      </c>
      <c r="BA49" s="32">
        <v>0.99954808271238238</v>
      </c>
      <c r="BB49" s="32">
        <v>1</v>
      </c>
      <c r="BC49" s="32">
        <v>44</v>
      </c>
      <c r="BD49" s="32">
        <v>32.89</v>
      </c>
      <c r="BZ49">
        <v>1.1695906432748537E-2</v>
      </c>
      <c r="CA49">
        <v>0.1048951048951049</v>
      </c>
      <c r="CB49">
        <v>1.1695906432748537E-2</v>
      </c>
    </row>
    <row r="50" spans="52:80" x14ac:dyDescent="0.25">
      <c r="AZ50" s="32">
        <v>47</v>
      </c>
      <c r="BA50" s="32">
        <v>0.99953516310941048</v>
      </c>
      <c r="BB50" s="32">
        <v>1</v>
      </c>
      <c r="BC50" s="32">
        <v>45</v>
      </c>
      <c r="BD50" s="32">
        <v>33.604999999999997</v>
      </c>
      <c r="BZ50">
        <v>1.1695906432748537E-2</v>
      </c>
      <c r="CA50">
        <v>0.10722610722610723</v>
      </c>
      <c r="CB50">
        <v>1.1695906432748537E-2</v>
      </c>
    </row>
    <row r="51" spans="52:80" x14ac:dyDescent="0.25">
      <c r="AZ51" s="32">
        <v>48</v>
      </c>
      <c r="BA51" s="32">
        <v>0.99950926166934062</v>
      </c>
      <c r="BB51" s="32">
        <v>1</v>
      </c>
      <c r="BC51" s="32">
        <v>46</v>
      </c>
      <c r="BD51" s="32">
        <v>34.32</v>
      </c>
      <c r="BZ51">
        <v>1.1695906432748537E-2</v>
      </c>
      <c r="CA51">
        <v>0.10955710955710955</v>
      </c>
      <c r="CB51">
        <v>1.1695906432748537E-2</v>
      </c>
    </row>
    <row r="52" spans="52:80" x14ac:dyDescent="0.25">
      <c r="AZ52" s="32">
        <v>49</v>
      </c>
      <c r="BA52" s="32">
        <v>0.99950820268300555</v>
      </c>
      <c r="BB52" s="32">
        <v>1</v>
      </c>
      <c r="BC52" s="32">
        <v>47</v>
      </c>
      <c r="BD52" s="32">
        <v>35.034999999999997</v>
      </c>
      <c r="BZ52">
        <v>1.1695906432748537E-2</v>
      </c>
      <c r="CA52">
        <v>0.11188811188811189</v>
      </c>
      <c r="CB52">
        <v>1.1695906432748537E-2</v>
      </c>
    </row>
    <row r="53" spans="52:80" x14ac:dyDescent="0.25">
      <c r="AZ53" s="32">
        <v>50</v>
      </c>
      <c r="BA53" s="32">
        <v>0.99950445057112458</v>
      </c>
      <c r="BB53" s="32">
        <v>1</v>
      </c>
      <c r="BC53" s="32">
        <v>48</v>
      </c>
      <c r="BD53" s="32">
        <v>35.75</v>
      </c>
      <c r="BZ53">
        <v>1.1695906432748537E-2</v>
      </c>
      <c r="CA53">
        <v>0.11421911421911422</v>
      </c>
      <c r="CB53">
        <v>1.1695906432748537E-2</v>
      </c>
    </row>
    <row r="54" spans="52:80" x14ac:dyDescent="0.25">
      <c r="AZ54" s="32">
        <v>51</v>
      </c>
      <c r="BA54" s="32">
        <v>0.99947952344221436</v>
      </c>
      <c r="BB54" s="32">
        <v>1</v>
      </c>
      <c r="BC54" s="32">
        <v>49</v>
      </c>
      <c r="BD54" s="32">
        <v>36.464999999999996</v>
      </c>
      <c r="BZ54">
        <v>1.1695906432748537E-2</v>
      </c>
      <c r="CA54">
        <v>0.11655011655011654</v>
      </c>
      <c r="CB54">
        <v>1.1695906432748537E-2</v>
      </c>
    </row>
    <row r="55" spans="52:80" x14ac:dyDescent="0.25">
      <c r="AZ55" s="32">
        <v>52</v>
      </c>
      <c r="BA55" s="32">
        <v>0.99947786366138569</v>
      </c>
      <c r="BB55" s="32">
        <v>1</v>
      </c>
      <c r="BC55" s="32">
        <v>50</v>
      </c>
      <c r="BD55" s="32">
        <v>37.18</v>
      </c>
      <c r="BZ55">
        <v>1.1695906432748537E-2</v>
      </c>
      <c r="CA55">
        <v>0.11888111888111888</v>
      </c>
      <c r="CB55">
        <v>1.1695906432748537E-2</v>
      </c>
    </row>
    <row r="56" spans="52:80" x14ac:dyDescent="0.25">
      <c r="AZ56" s="32">
        <v>53</v>
      </c>
      <c r="BA56" s="32">
        <v>0.99945986955893851</v>
      </c>
      <c r="BB56" s="32">
        <v>1</v>
      </c>
      <c r="BC56" s="32">
        <v>51</v>
      </c>
      <c r="BD56" s="32">
        <v>37.894999999999996</v>
      </c>
      <c r="BZ56">
        <v>1.1695906432748537E-2</v>
      </c>
      <c r="CA56">
        <v>0.12121212121212122</v>
      </c>
      <c r="CB56">
        <v>1.1695906432748537E-2</v>
      </c>
    </row>
    <row r="57" spans="52:80" x14ac:dyDescent="0.25">
      <c r="AZ57" s="32">
        <v>54</v>
      </c>
      <c r="BA57" s="32">
        <v>0.99934674495246034</v>
      </c>
      <c r="BB57" s="32">
        <v>1</v>
      </c>
      <c r="BC57" s="32">
        <v>52</v>
      </c>
      <c r="BD57" s="32">
        <v>38.61</v>
      </c>
      <c r="BZ57">
        <v>1.1695906432748537E-2</v>
      </c>
      <c r="CA57">
        <v>0.12354312354312354</v>
      </c>
      <c r="CB57">
        <v>1.1695906432748537E-2</v>
      </c>
    </row>
    <row r="58" spans="52:80" x14ac:dyDescent="0.25">
      <c r="AZ58" s="32">
        <v>55</v>
      </c>
      <c r="BA58" s="32">
        <v>0.9993094483453403</v>
      </c>
      <c r="BB58" s="32">
        <v>1</v>
      </c>
      <c r="BC58" s="32">
        <v>53</v>
      </c>
      <c r="BD58" s="32">
        <v>39.324999999999996</v>
      </c>
      <c r="BZ58">
        <v>1.1695906432748537E-2</v>
      </c>
      <c r="CA58">
        <v>0.12587412587412589</v>
      </c>
      <c r="CB58">
        <v>1.1695906432748537E-2</v>
      </c>
    </row>
    <row r="59" spans="52:80" x14ac:dyDescent="0.25">
      <c r="AZ59" s="32">
        <v>56</v>
      </c>
      <c r="BA59" s="32">
        <v>0.99930353090711055</v>
      </c>
      <c r="BB59" s="32">
        <v>1</v>
      </c>
      <c r="BC59" s="32">
        <v>54</v>
      </c>
      <c r="BD59" s="32">
        <v>40.04</v>
      </c>
      <c r="BZ59">
        <v>1.1695906432748537E-2</v>
      </c>
      <c r="CA59">
        <v>0.12820512820512819</v>
      </c>
      <c r="CB59">
        <v>1.1695906432748537E-2</v>
      </c>
    </row>
    <row r="60" spans="52:80" x14ac:dyDescent="0.25">
      <c r="AZ60" s="32">
        <v>57</v>
      </c>
      <c r="BA60" s="32">
        <v>0.99929695839984189</v>
      </c>
      <c r="BB60" s="32">
        <v>1</v>
      </c>
      <c r="BC60" s="32">
        <v>55</v>
      </c>
      <c r="BD60" s="32">
        <v>40.754999999999995</v>
      </c>
      <c r="BZ60">
        <v>1.1695906432748537E-2</v>
      </c>
      <c r="CA60">
        <v>0.13053613053613053</v>
      </c>
      <c r="CB60">
        <v>1.1695906432748537E-2</v>
      </c>
    </row>
    <row r="61" spans="52:80" x14ac:dyDescent="0.25">
      <c r="AZ61" s="32">
        <v>58</v>
      </c>
      <c r="BA61" s="32">
        <v>0.999281197123014</v>
      </c>
      <c r="BB61" s="32">
        <v>1</v>
      </c>
      <c r="BC61" s="32">
        <v>56</v>
      </c>
      <c r="BD61" s="32">
        <v>41.47</v>
      </c>
      <c r="BZ61">
        <v>1.1695906432748537E-2</v>
      </c>
      <c r="CA61">
        <v>0.13286713286713286</v>
      </c>
      <c r="CB61">
        <v>1.1695906432748537E-2</v>
      </c>
    </row>
    <row r="62" spans="52:80" x14ac:dyDescent="0.25">
      <c r="AZ62" s="32">
        <v>59</v>
      </c>
      <c r="BA62" s="32">
        <v>0.99924876951972674</v>
      </c>
      <c r="BB62" s="32">
        <v>1</v>
      </c>
      <c r="BC62" s="32">
        <v>57</v>
      </c>
      <c r="BD62" s="32">
        <v>42.184999999999995</v>
      </c>
      <c r="BZ62">
        <v>1.1695906432748537E-2</v>
      </c>
      <c r="CA62">
        <v>0.1351981351981352</v>
      </c>
      <c r="CB62">
        <v>1.1695906432748537E-2</v>
      </c>
    </row>
    <row r="63" spans="52:80" x14ac:dyDescent="0.25">
      <c r="AZ63" s="32">
        <v>60</v>
      </c>
      <c r="BA63" s="32">
        <v>0.99923998945714487</v>
      </c>
      <c r="BB63" s="32">
        <v>1</v>
      </c>
      <c r="BC63" s="32">
        <v>58</v>
      </c>
      <c r="BD63" s="32">
        <v>42.9</v>
      </c>
      <c r="BZ63">
        <v>1.1695906432748537E-2</v>
      </c>
      <c r="CA63">
        <v>0.13752913752913754</v>
      </c>
      <c r="CB63">
        <v>1.1695906432748537E-2</v>
      </c>
    </row>
    <row r="64" spans="52:80" x14ac:dyDescent="0.25">
      <c r="AZ64" s="33">
        <v>61</v>
      </c>
      <c r="BA64" s="33">
        <v>0.99923855372814452</v>
      </c>
      <c r="BB64" s="33">
        <v>1</v>
      </c>
      <c r="BC64" s="33">
        <v>59</v>
      </c>
      <c r="BD64" s="33">
        <v>43.614999999999995</v>
      </c>
      <c r="BZ64">
        <v>1.1695906432748537E-2</v>
      </c>
      <c r="CA64">
        <v>0.13986013986013987</v>
      </c>
      <c r="CB64">
        <v>1.1695906432748537E-2</v>
      </c>
    </row>
    <row r="65" spans="52:80" x14ac:dyDescent="0.25">
      <c r="AZ65" s="33">
        <v>62</v>
      </c>
      <c r="BA65" s="33">
        <v>0.99923606381832175</v>
      </c>
      <c r="BB65" s="33">
        <v>1</v>
      </c>
      <c r="BC65" s="33">
        <v>60</v>
      </c>
      <c r="BD65" s="33">
        <v>44.33</v>
      </c>
      <c r="BZ65">
        <v>1.7543859649122806E-2</v>
      </c>
      <c r="CA65">
        <v>0.13986013986013987</v>
      </c>
      <c r="CB65">
        <v>1.7543859649122806E-2</v>
      </c>
    </row>
    <row r="66" spans="52:80" x14ac:dyDescent="0.25">
      <c r="AZ66" s="33">
        <v>63</v>
      </c>
      <c r="BA66" s="33">
        <v>0.99918692126486264</v>
      </c>
      <c r="BB66" s="33">
        <v>0</v>
      </c>
      <c r="BC66" s="33">
        <v>60</v>
      </c>
      <c r="BD66" s="33">
        <v>45.044999999999995</v>
      </c>
      <c r="BZ66">
        <v>1.7543859649122806E-2</v>
      </c>
      <c r="CA66">
        <v>0.14219114219114218</v>
      </c>
      <c r="CB66">
        <v>1.7543859649122806E-2</v>
      </c>
    </row>
    <row r="67" spans="52:80" x14ac:dyDescent="0.25">
      <c r="AZ67" s="33">
        <v>64</v>
      </c>
      <c r="BA67" s="33">
        <v>0.99917498728928733</v>
      </c>
      <c r="BB67" s="33">
        <v>1</v>
      </c>
      <c r="BC67" s="33">
        <v>61</v>
      </c>
      <c r="BD67" s="33">
        <v>45.76</v>
      </c>
      <c r="BZ67">
        <v>1.7543859649122806E-2</v>
      </c>
      <c r="CA67">
        <v>0.14452214452214451</v>
      </c>
      <c r="CB67">
        <v>1.7543859649122806E-2</v>
      </c>
    </row>
    <row r="68" spans="52:80" x14ac:dyDescent="0.25">
      <c r="AZ68" s="33">
        <v>65</v>
      </c>
      <c r="BA68" s="33">
        <v>0.9991418844131611</v>
      </c>
      <c r="BB68" s="33">
        <v>1</v>
      </c>
      <c r="BC68" s="33">
        <v>62</v>
      </c>
      <c r="BD68" s="33">
        <v>46.475000000000001</v>
      </c>
      <c r="BZ68">
        <v>1.7543859649122806E-2</v>
      </c>
      <c r="CA68">
        <v>0.14685314685314685</v>
      </c>
      <c r="CB68">
        <v>1.7543859649122806E-2</v>
      </c>
    </row>
    <row r="69" spans="52:80" x14ac:dyDescent="0.25">
      <c r="AZ69" s="33">
        <v>66</v>
      </c>
      <c r="BA69" s="33">
        <v>0.99908573908602316</v>
      </c>
      <c r="BB69" s="33">
        <v>1</v>
      </c>
      <c r="BC69" s="33">
        <v>63</v>
      </c>
      <c r="BD69" s="33">
        <v>47.19</v>
      </c>
      <c r="BZ69">
        <v>1.7543859649122806E-2</v>
      </c>
      <c r="CA69">
        <v>0.14918414918414918</v>
      </c>
      <c r="CB69">
        <v>1.7543859649122806E-2</v>
      </c>
    </row>
    <row r="70" spans="52:80" x14ac:dyDescent="0.25">
      <c r="AZ70" s="33">
        <v>67</v>
      </c>
      <c r="BA70" s="33">
        <v>0.99904333805030576</v>
      </c>
      <c r="BB70" s="33">
        <v>1</v>
      </c>
      <c r="BC70" s="33">
        <v>64</v>
      </c>
      <c r="BD70" s="33">
        <v>47.905000000000001</v>
      </c>
      <c r="BZ70">
        <v>1.7543859649122806E-2</v>
      </c>
      <c r="CA70">
        <v>0.15151515151515152</v>
      </c>
      <c r="CB70">
        <v>1.7543859649122806E-2</v>
      </c>
    </row>
    <row r="71" spans="52:80" x14ac:dyDescent="0.25">
      <c r="AZ71" s="33">
        <v>68</v>
      </c>
      <c r="BA71" s="33">
        <v>0.99902808281113187</v>
      </c>
      <c r="BB71" s="33">
        <v>1</v>
      </c>
      <c r="BC71" s="33">
        <v>65</v>
      </c>
      <c r="BD71" s="33">
        <v>48.62</v>
      </c>
      <c r="BZ71">
        <v>1.7543859649122806E-2</v>
      </c>
      <c r="CA71">
        <v>0.15384615384615385</v>
      </c>
      <c r="CB71">
        <v>1.7543859649122806E-2</v>
      </c>
    </row>
    <row r="72" spans="52:80" x14ac:dyDescent="0.25">
      <c r="AZ72" s="33">
        <v>69</v>
      </c>
      <c r="BA72" s="33">
        <v>0.99900745040675321</v>
      </c>
      <c r="BB72" s="33">
        <v>1</v>
      </c>
      <c r="BC72" s="33">
        <v>66</v>
      </c>
      <c r="BD72" s="33">
        <v>49.335000000000001</v>
      </c>
      <c r="BZ72">
        <v>1.7543859649122806E-2</v>
      </c>
      <c r="CA72">
        <v>0.15617715617715619</v>
      </c>
      <c r="CB72">
        <v>1.7543859649122806E-2</v>
      </c>
    </row>
    <row r="73" spans="52:80" x14ac:dyDescent="0.25">
      <c r="AZ73" s="33">
        <v>70</v>
      </c>
      <c r="BA73" s="33">
        <v>0.99899082605812761</v>
      </c>
      <c r="BB73" s="33">
        <v>1</v>
      </c>
      <c r="BC73" s="33">
        <v>67</v>
      </c>
      <c r="BD73" s="33">
        <v>50.05</v>
      </c>
      <c r="BZ73">
        <v>1.7543859649122806E-2</v>
      </c>
      <c r="CA73">
        <v>0.1585081585081585</v>
      </c>
      <c r="CB73">
        <v>1.7543859649122806E-2</v>
      </c>
    </row>
    <row r="74" spans="52:80" x14ac:dyDescent="0.25">
      <c r="AZ74" s="33">
        <v>71</v>
      </c>
      <c r="BA74" s="33">
        <v>0.99897963435789616</v>
      </c>
      <c r="BB74" s="33">
        <v>1</v>
      </c>
      <c r="BC74" s="33">
        <v>68</v>
      </c>
      <c r="BD74" s="33">
        <v>50.765000000000001</v>
      </c>
      <c r="BZ74">
        <v>1.7543859649122806E-2</v>
      </c>
      <c r="CA74">
        <v>0.16083916083916083</v>
      </c>
      <c r="CB74">
        <v>1.7543859649122806E-2</v>
      </c>
    </row>
    <row r="75" spans="52:80" x14ac:dyDescent="0.25">
      <c r="AZ75" s="33">
        <v>72</v>
      </c>
      <c r="BA75" s="33">
        <v>0.99897785045160792</v>
      </c>
      <c r="BB75" s="33">
        <v>1</v>
      </c>
      <c r="BC75" s="33">
        <v>69</v>
      </c>
      <c r="BD75" s="33">
        <v>51.48</v>
      </c>
      <c r="BZ75">
        <v>1.7543859649122806E-2</v>
      </c>
      <c r="CA75">
        <v>0.16317016317016317</v>
      </c>
      <c r="CB75">
        <v>1.7543859649122806E-2</v>
      </c>
    </row>
    <row r="76" spans="52:80" x14ac:dyDescent="0.25">
      <c r="AZ76" s="33">
        <v>73</v>
      </c>
      <c r="BA76" s="33">
        <v>0.9989716096179454</v>
      </c>
      <c r="BB76" s="33">
        <v>1</v>
      </c>
      <c r="BC76" s="33">
        <v>70</v>
      </c>
      <c r="BD76" s="33">
        <v>52.195</v>
      </c>
      <c r="BZ76">
        <v>1.7543859649122806E-2</v>
      </c>
      <c r="CA76">
        <v>0.1655011655011655</v>
      </c>
      <c r="CB76">
        <v>1.7543859649122806E-2</v>
      </c>
    </row>
    <row r="77" spans="52:80" x14ac:dyDescent="0.25">
      <c r="AZ77" s="33">
        <v>74</v>
      </c>
      <c r="BA77" s="33">
        <v>0.99874156436118289</v>
      </c>
      <c r="BB77" s="33">
        <v>1</v>
      </c>
      <c r="BC77" s="33">
        <v>71</v>
      </c>
      <c r="BD77" s="33">
        <v>52.91</v>
      </c>
      <c r="BZ77">
        <v>1.7543859649122806E-2</v>
      </c>
      <c r="CA77">
        <v>0.16783216783216784</v>
      </c>
      <c r="CB77">
        <v>1.7543859649122806E-2</v>
      </c>
    </row>
    <row r="78" spans="52:80" x14ac:dyDescent="0.25">
      <c r="AZ78" s="33">
        <v>75</v>
      </c>
      <c r="BA78" s="33">
        <v>0.99872264940119693</v>
      </c>
      <c r="BB78" s="33">
        <v>1</v>
      </c>
      <c r="BC78" s="33">
        <v>72</v>
      </c>
      <c r="BD78" s="33">
        <v>53.625</v>
      </c>
      <c r="BZ78">
        <v>1.7543859649122806E-2</v>
      </c>
      <c r="CA78">
        <v>0.17016317016317017</v>
      </c>
      <c r="CB78">
        <v>1.7543859649122806E-2</v>
      </c>
    </row>
    <row r="79" spans="52:80" x14ac:dyDescent="0.25">
      <c r="AZ79" s="33">
        <v>76</v>
      </c>
      <c r="BA79" s="33">
        <v>0.99869832395485092</v>
      </c>
      <c r="BB79" s="33">
        <v>1</v>
      </c>
      <c r="BC79" s="33">
        <v>73</v>
      </c>
      <c r="BD79" s="33">
        <v>54.339999999999996</v>
      </c>
      <c r="BZ79">
        <v>1.7543859649122806E-2</v>
      </c>
      <c r="CA79">
        <v>0.17249417249417248</v>
      </c>
      <c r="CB79">
        <v>1.7543859649122806E-2</v>
      </c>
    </row>
    <row r="80" spans="52:80" x14ac:dyDescent="0.25">
      <c r="AZ80" s="33">
        <v>77</v>
      </c>
      <c r="BA80" s="33">
        <v>0.99866011210956063</v>
      </c>
      <c r="BB80" s="33">
        <v>1</v>
      </c>
      <c r="BC80" s="33">
        <v>74</v>
      </c>
      <c r="BD80" s="33">
        <v>55.055</v>
      </c>
      <c r="BZ80">
        <v>1.7543859649122806E-2</v>
      </c>
      <c r="CA80">
        <v>0.17482517482517482</v>
      </c>
      <c r="CB80">
        <v>1.7543859649122806E-2</v>
      </c>
    </row>
    <row r="81" spans="52:80" x14ac:dyDescent="0.25">
      <c r="AZ81" s="33">
        <v>78</v>
      </c>
      <c r="BA81" s="33">
        <v>0.99865208544716255</v>
      </c>
      <c r="BB81" s="33">
        <v>1</v>
      </c>
      <c r="BC81" s="33">
        <v>75</v>
      </c>
      <c r="BD81" s="33">
        <v>55.769999999999996</v>
      </c>
      <c r="BZ81">
        <v>1.7543859649122806E-2</v>
      </c>
      <c r="CA81">
        <v>0.17715617715617715</v>
      </c>
      <c r="CB81">
        <v>1.7543859649122806E-2</v>
      </c>
    </row>
    <row r="82" spans="52:80" x14ac:dyDescent="0.25">
      <c r="AZ82" s="33">
        <v>79</v>
      </c>
      <c r="BA82" s="33">
        <v>0.9986179761737507</v>
      </c>
      <c r="BB82" s="33">
        <v>1</v>
      </c>
      <c r="BC82" s="33">
        <v>76</v>
      </c>
      <c r="BD82" s="33">
        <v>56.484999999999999</v>
      </c>
      <c r="BZ82">
        <v>1.7543859649122806E-2</v>
      </c>
      <c r="CA82">
        <v>0.17948717948717949</v>
      </c>
      <c r="CB82">
        <v>1.7543859649122806E-2</v>
      </c>
    </row>
    <row r="83" spans="52:80" x14ac:dyDescent="0.25">
      <c r="AZ83" s="33">
        <v>80</v>
      </c>
      <c r="BA83" s="33">
        <v>0.99859737764239531</v>
      </c>
      <c r="BB83" s="33">
        <v>1</v>
      </c>
      <c r="BC83" s="33">
        <v>77</v>
      </c>
      <c r="BD83" s="33">
        <v>57.199999999999996</v>
      </c>
      <c r="BZ83">
        <v>1.7543859649122806E-2</v>
      </c>
      <c r="CA83">
        <v>0.18181818181818182</v>
      </c>
      <c r="CB83">
        <v>1.7543859649122806E-2</v>
      </c>
    </row>
    <row r="84" spans="52:80" x14ac:dyDescent="0.25">
      <c r="AZ84" s="33">
        <v>81</v>
      </c>
      <c r="BA84" s="33">
        <v>0.99859545421361517</v>
      </c>
      <c r="BB84" s="33">
        <v>1</v>
      </c>
      <c r="BC84" s="33">
        <v>78</v>
      </c>
      <c r="BD84" s="33">
        <v>57.914999999999999</v>
      </c>
      <c r="BZ84">
        <v>1.7543859649122806E-2</v>
      </c>
      <c r="CA84">
        <v>0.18414918414918416</v>
      </c>
      <c r="CB84">
        <v>1.7543859649122806E-2</v>
      </c>
    </row>
    <row r="85" spans="52:80" x14ac:dyDescent="0.25">
      <c r="AZ85" s="33">
        <v>82</v>
      </c>
      <c r="BA85" s="33">
        <v>0.99854562292462978</v>
      </c>
      <c r="BB85" s="33">
        <v>1</v>
      </c>
      <c r="BC85" s="33">
        <v>79</v>
      </c>
      <c r="BD85" s="33">
        <v>58.629999999999995</v>
      </c>
      <c r="BZ85">
        <v>2.3391812865497075E-2</v>
      </c>
      <c r="CA85">
        <v>0.18414918414918416</v>
      </c>
      <c r="CB85">
        <v>2.3391812865497075E-2</v>
      </c>
    </row>
    <row r="86" spans="52:80" x14ac:dyDescent="0.25">
      <c r="AZ86" s="33">
        <v>83</v>
      </c>
      <c r="BA86" s="33">
        <v>0.99852297414474356</v>
      </c>
      <c r="BB86" s="33">
        <v>0</v>
      </c>
      <c r="BC86" s="33">
        <v>79</v>
      </c>
      <c r="BD86" s="33">
        <v>59.344999999999999</v>
      </c>
      <c r="BZ86">
        <v>2.3391812865497075E-2</v>
      </c>
      <c r="CA86">
        <v>0.18648018648018649</v>
      </c>
      <c r="CB86">
        <v>2.3391812865497075E-2</v>
      </c>
    </row>
    <row r="87" spans="52:80" x14ac:dyDescent="0.25">
      <c r="AZ87" s="33">
        <v>84</v>
      </c>
      <c r="BA87" s="33">
        <v>0.99847846125322448</v>
      </c>
      <c r="BB87" s="33">
        <v>1</v>
      </c>
      <c r="BC87" s="33">
        <v>80</v>
      </c>
      <c r="BD87" s="33">
        <v>60.059999999999995</v>
      </c>
      <c r="BZ87">
        <v>2.3391812865497075E-2</v>
      </c>
      <c r="CA87">
        <v>0.1888111888111888</v>
      </c>
      <c r="CB87">
        <v>2.3391812865497075E-2</v>
      </c>
    </row>
    <row r="88" spans="52:80" x14ac:dyDescent="0.25">
      <c r="AZ88" s="33">
        <v>85</v>
      </c>
      <c r="BA88" s="33">
        <v>0.9984703577962134</v>
      </c>
      <c r="BB88" s="33">
        <v>1</v>
      </c>
      <c r="BC88" s="33">
        <v>81</v>
      </c>
      <c r="BD88" s="33">
        <v>60.774999999999999</v>
      </c>
      <c r="BZ88">
        <v>2.3391812865497075E-2</v>
      </c>
      <c r="CA88">
        <v>0.19114219114219114</v>
      </c>
      <c r="CB88">
        <v>2.3391812865497075E-2</v>
      </c>
    </row>
    <row r="89" spans="52:80" x14ac:dyDescent="0.25">
      <c r="AZ89" s="33">
        <v>86</v>
      </c>
      <c r="BA89" s="33">
        <v>0.9984225876702556</v>
      </c>
      <c r="BB89" s="33">
        <v>1</v>
      </c>
      <c r="BC89" s="33">
        <v>82</v>
      </c>
      <c r="BD89" s="33">
        <v>61.489999999999995</v>
      </c>
      <c r="BZ89">
        <v>2.3391812865497075E-2</v>
      </c>
      <c r="CA89">
        <v>0.19347319347319347</v>
      </c>
      <c r="CB89">
        <v>2.3391812865497075E-2</v>
      </c>
    </row>
    <row r="90" spans="52:80" x14ac:dyDescent="0.25">
      <c r="AZ90" s="33">
        <v>87</v>
      </c>
      <c r="BA90" s="33">
        <v>0.99839509972887819</v>
      </c>
      <c r="BB90" s="33">
        <v>1</v>
      </c>
      <c r="BC90" s="33">
        <v>83</v>
      </c>
      <c r="BD90" s="33">
        <v>62.204999999999998</v>
      </c>
      <c r="BZ90">
        <v>2.3391812865497075E-2</v>
      </c>
      <c r="CA90">
        <v>0.19580419580419581</v>
      </c>
      <c r="CB90">
        <v>2.3391812865497075E-2</v>
      </c>
    </row>
    <row r="91" spans="52:80" x14ac:dyDescent="0.25">
      <c r="AZ91" s="33">
        <v>88</v>
      </c>
      <c r="BA91" s="33">
        <v>0.99833969942412903</v>
      </c>
      <c r="BB91" s="33">
        <v>1</v>
      </c>
      <c r="BC91" s="33">
        <v>84</v>
      </c>
      <c r="BD91" s="33">
        <v>62.919999999999995</v>
      </c>
      <c r="BZ91">
        <v>2.3391812865497075E-2</v>
      </c>
      <c r="CA91">
        <v>0.19813519813519814</v>
      </c>
      <c r="CB91">
        <v>2.3391812865497075E-2</v>
      </c>
    </row>
    <row r="92" spans="52:80" x14ac:dyDescent="0.25">
      <c r="AZ92" s="33">
        <v>89</v>
      </c>
      <c r="BA92" s="33">
        <v>0.9983048805391973</v>
      </c>
      <c r="BB92" s="33">
        <v>1</v>
      </c>
      <c r="BC92" s="33">
        <v>85</v>
      </c>
      <c r="BD92" s="33">
        <v>63.634999999999998</v>
      </c>
      <c r="BZ92">
        <v>2.3391812865497075E-2</v>
      </c>
      <c r="CA92">
        <v>0.20046620046620048</v>
      </c>
      <c r="CB92">
        <v>2.3391812865497075E-2</v>
      </c>
    </row>
    <row r="93" spans="52:80" x14ac:dyDescent="0.25">
      <c r="AZ93" s="33">
        <v>90</v>
      </c>
      <c r="BA93" s="33">
        <v>0.99830099841687636</v>
      </c>
      <c r="BB93" s="33">
        <v>1</v>
      </c>
      <c r="BC93" s="33">
        <v>86</v>
      </c>
      <c r="BD93" s="33">
        <v>64.349999999999994</v>
      </c>
      <c r="BZ93">
        <v>2.3391812865497075E-2</v>
      </c>
      <c r="CA93">
        <v>0.20279720279720279</v>
      </c>
      <c r="CB93">
        <v>2.3391812865497075E-2</v>
      </c>
    </row>
    <row r="94" spans="52:80" x14ac:dyDescent="0.25">
      <c r="AZ94" s="33">
        <v>91</v>
      </c>
      <c r="BA94" s="33">
        <v>0.99820488876908142</v>
      </c>
      <c r="BB94" s="33">
        <v>1</v>
      </c>
      <c r="BC94" s="33">
        <v>87</v>
      </c>
      <c r="BD94" s="33">
        <v>65.064999999999998</v>
      </c>
      <c r="BZ94">
        <v>2.3391812865497075E-2</v>
      </c>
      <c r="CA94">
        <v>0.20512820512820512</v>
      </c>
      <c r="CB94">
        <v>2.3391812865497075E-2</v>
      </c>
    </row>
    <row r="95" spans="52:80" x14ac:dyDescent="0.25">
      <c r="AZ95" s="33">
        <v>92</v>
      </c>
      <c r="BA95" s="33">
        <v>0.99811432843687176</v>
      </c>
      <c r="BB95" s="33">
        <v>1</v>
      </c>
      <c r="BC95" s="33">
        <v>88</v>
      </c>
      <c r="BD95" s="33">
        <v>65.78</v>
      </c>
      <c r="BZ95">
        <v>2.3391812865497075E-2</v>
      </c>
      <c r="CA95">
        <v>0.20745920745920746</v>
      </c>
      <c r="CB95">
        <v>2.3391812865497075E-2</v>
      </c>
    </row>
    <row r="96" spans="52:80" x14ac:dyDescent="0.25">
      <c r="AZ96" s="33">
        <v>93</v>
      </c>
      <c r="BA96" s="33">
        <v>0.99810279165598903</v>
      </c>
      <c r="BB96" s="33">
        <v>1</v>
      </c>
      <c r="BC96" s="33">
        <v>89</v>
      </c>
      <c r="BD96" s="33">
        <v>66.49499999999999</v>
      </c>
      <c r="BZ96">
        <v>2.3391812865497075E-2</v>
      </c>
      <c r="CA96">
        <v>0.20979020979020979</v>
      </c>
      <c r="CB96">
        <v>2.3391812865497075E-2</v>
      </c>
    </row>
    <row r="97" spans="52:80" x14ac:dyDescent="0.25">
      <c r="AZ97" s="33">
        <v>94</v>
      </c>
      <c r="BA97" s="33">
        <v>0.99796780599678947</v>
      </c>
      <c r="BB97" s="33">
        <v>1</v>
      </c>
      <c r="BC97" s="33">
        <v>90</v>
      </c>
      <c r="BD97" s="33">
        <v>67.209999999999994</v>
      </c>
      <c r="BZ97">
        <v>2.3391812865497075E-2</v>
      </c>
      <c r="CA97">
        <v>0.21212121212121213</v>
      </c>
      <c r="CB97">
        <v>2.3391812865497075E-2</v>
      </c>
    </row>
    <row r="98" spans="52:80" x14ac:dyDescent="0.25">
      <c r="AZ98" s="33">
        <v>95</v>
      </c>
      <c r="BA98" s="33">
        <v>0.99786680768206615</v>
      </c>
      <c r="BB98" s="33">
        <v>1</v>
      </c>
      <c r="BC98" s="33">
        <v>91</v>
      </c>
      <c r="BD98" s="33">
        <v>67.924999999999997</v>
      </c>
      <c r="BZ98">
        <v>2.3391812865497075E-2</v>
      </c>
      <c r="CA98">
        <v>0.21445221445221446</v>
      </c>
      <c r="CB98">
        <v>2.3391812865497075E-2</v>
      </c>
    </row>
    <row r="99" spans="52:80" x14ac:dyDescent="0.25">
      <c r="AZ99" s="33">
        <v>96</v>
      </c>
      <c r="BA99" s="33">
        <v>0.99786023000361079</v>
      </c>
      <c r="BB99" s="33">
        <v>1</v>
      </c>
      <c r="BC99" s="33">
        <v>92</v>
      </c>
      <c r="BD99" s="33">
        <v>68.64</v>
      </c>
      <c r="BZ99">
        <v>2.3391812865497075E-2</v>
      </c>
      <c r="CA99">
        <v>0.21678321678321677</v>
      </c>
      <c r="CB99">
        <v>2.3391812865497075E-2</v>
      </c>
    </row>
    <row r="100" spans="52:80" x14ac:dyDescent="0.25">
      <c r="AZ100" s="33">
        <v>97</v>
      </c>
      <c r="BA100" s="33">
        <v>0.99770435028812465</v>
      </c>
      <c r="BB100" s="33">
        <v>1</v>
      </c>
      <c r="BC100" s="33">
        <v>93</v>
      </c>
      <c r="BD100" s="33">
        <v>69.355000000000004</v>
      </c>
      <c r="BZ100">
        <v>2.3391812865497075E-2</v>
      </c>
      <c r="CA100">
        <v>0.21911421911421911</v>
      </c>
      <c r="CB100">
        <v>2.3391812865497075E-2</v>
      </c>
    </row>
    <row r="101" spans="52:80" x14ac:dyDescent="0.25">
      <c r="AZ101" s="33">
        <v>98</v>
      </c>
      <c r="BA101" s="33">
        <v>0.99764944499400687</v>
      </c>
      <c r="BB101" s="33">
        <v>1</v>
      </c>
      <c r="BC101" s="33">
        <v>94</v>
      </c>
      <c r="BD101" s="33">
        <v>70.069999999999993</v>
      </c>
      <c r="BZ101">
        <v>2.3391812865497075E-2</v>
      </c>
      <c r="CA101">
        <v>0.22144522144522144</v>
      </c>
      <c r="CB101">
        <v>2.3391812865497075E-2</v>
      </c>
    </row>
    <row r="102" spans="52:80" x14ac:dyDescent="0.25">
      <c r="AZ102" s="33">
        <v>99</v>
      </c>
      <c r="BA102" s="33">
        <v>0.99751658260326936</v>
      </c>
      <c r="BB102" s="33">
        <v>1</v>
      </c>
      <c r="BC102" s="33">
        <v>95</v>
      </c>
      <c r="BD102" s="33">
        <v>70.784999999999997</v>
      </c>
      <c r="BZ102">
        <v>2.9239766081871343E-2</v>
      </c>
      <c r="CA102">
        <v>0.22144522144522144</v>
      </c>
      <c r="CB102">
        <v>2.9239766081871343E-2</v>
      </c>
    </row>
    <row r="103" spans="52:80" x14ac:dyDescent="0.25">
      <c r="AZ103" s="33">
        <v>100</v>
      </c>
      <c r="BA103" s="33">
        <v>0.99748286018266696</v>
      </c>
      <c r="BB103" s="33">
        <v>0</v>
      </c>
      <c r="BC103" s="33">
        <v>95</v>
      </c>
      <c r="BD103" s="33">
        <v>71.5</v>
      </c>
      <c r="BZ103">
        <v>2.9239766081871343E-2</v>
      </c>
      <c r="CA103">
        <v>0.22377622377622378</v>
      </c>
      <c r="CB103">
        <v>2.9239766081871343E-2</v>
      </c>
    </row>
    <row r="104" spans="52:80" x14ac:dyDescent="0.25">
      <c r="AZ104" s="33">
        <v>101</v>
      </c>
      <c r="BA104" s="33">
        <v>0.99748248893975788</v>
      </c>
      <c r="BB104" s="33">
        <v>1</v>
      </c>
      <c r="BC104" s="33">
        <v>96</v>
      </c>
      <c r="BD104" s="33">
        <v>72.215000000000003</v>
      </c>
      <c r="BZ104">
        <v>2.9239766081871343E-2</v>
      </c>
      <c r="CA104">
        <v>0.22610722610722611</v>
      </c>
      <c r="CB104">
        <v>2.9239766081871343E-2</v>
      </c>
    </row>
    <row r="105" spans="52:80" x14ac:dyDescent="0.25">
      <c r="AZ105" s="33">
        <v>102</v>
      </c>
      <c r="BA105" s="33">
        <v>0.99708096952969105</v>
      </c>
      <c r="BB105" s="33">
        <v>1</v>
      </c>
      <c r="BC105" s="33">
        <v>97</v>
      </c>
      <c r="BD105" s="33">
        <v>72.929999999999993</v>
      </c>
      <c r="BZ105">
        <v>2.9239766081871343E-2</v>
      </c>
      <c r="CA105">
        <v>0.22843822843822845</v>
      </c>
      <c r="CB105">
        <v>2.9239766081871343E-2</v>
      </c>
    </row>
    <row r="106" spans="52:80" x14ac:dyDescent="0.25">
      <c r="AZ106" s="33">
        <v>103</v>
      </c>
      <c r="BA106" s="33">
        <v>0.99703685101545769</v>
      </c>
      <c r="BB106" s="33">
        <v>1</v>
      </c>
      <c r="BC106" s="33">
        <v>98</v>
      </c>
      <c r="BD106" s="33">
        <v>73.644999999999996</v>
      </c>
      <c r="BZ106">
        <v>2.9239766081871343E-2</v>
      </c>
      <c r="CA106">
        <v>0.23076923076923078</v>
      </c>
      <c r="CB106">
        <v>2.9239766081871343E-2</v>
      </c>
    </row>
    <row r="107" spans="52:80" x14ac:dyDescent="0.25">
      <c r="AZ107" s="33">
        <v>104</v>
      </c>
      <c r="BA107" s="33">
        <v>0.99700552737840498</v>
      </c>
      <c r="BB107" s="33">
        <v>1</v>
      </c>
      <c r="BC107" s="33">
        <v>99</v>
      </c>
      <c r="BD107" s="33">
        <v>74.36</v>
      </c>
      <c r="BZ107">
        <v>2.9239766081871343E-2</v>
      </c>
      <c r="CA107">
        <v>0.23310023310023309</v>
      </c>
      <c r="CB107">
        <v>2.9239766081871343E-2</v>
      </c>
    </row>
    <row r="108" spans="52:80" x14ac:dyDescent="0.25">
      <c r="AZ108" s="33">
        <v>105</v>
      </c>
      <c r="BA108" s="33">
        <v>0.99699280615235575</v>
      </c>
      <c r="BB108" s="33">
        <v>1</v>
      </c>
      <c r="BC108" s="33">
        <v>100</v>
      </c>
      <c r="BD108" s="33">
        <v>75.075000000000003</v>
      </c>
      <c r="BZ108">
        <v>2.9239766081871343E-2</v>
      </c>
      <c r="CA108">
        <v>0.23543123543123542</v>
      </c>
      <c r="CB108">
        <v>2.9239766081871343E-2</v>
      </c>
    </row>
    <row r="109" spans="52:80" x14ac:dyDescent="0.25">
      <c r="AZ109" s="33">
        <v>106</v>
      </c>
      <c r="BA109" s="33">
        <v>0.99692924236132074</v>
      </c>
      <c r="BB109" s="33">
        <v>1</v>
      </c>
      <c r="BC109" s="33">
        <v>101</v>
      </c>
      <c r="BD109" s="33">
        <v>75.789999999999992</v>
      </c>
      <c r="BZ109">
        <v>2.9239766081871343E-2</v>
      </c>
      <c r="CA109">
        <v>0.23776223776223776</v>
      </c>
      <c r="CB109">
        <v>2.9239766081871343E-2</v>
      </c>
    </row>
    <row r="110" spans="52:80" x14ac:dyDescent="0.25">
      <c r="AZ110" s="33">
        <v>107</v>
      </c>
      <c r="BA110" s="33">
        <v>0.9968193208713565</v>
      </c>
      <c r="BB110" s="33">
        <v>1</v>
      </c>
      <c r="BC110" s="33">
        <v>102</v>
      </c>
      <c r="BD110" s="33">
        <v>76.504999999999995</v>
      </c>
      <c r="BZ110">
        <v>2.9239766081871343E-2</v>
      </c>
      <c r="CA110">
        <v>0.2400932400932401</v>
      </c>
      <c r="CB110">
        <v>2.9239766081871343E-2</v>
      </c>
    </row>
    <row r="111" spans="52:80" x14ac:dyDescent="0.25">
      <c r="AZ111" s="33">
        <v>108</v>
      </c>
      <c r="BA111" s="33">
        <v>0.99680409071873155</v>
      </c>
      <c r="BB111" s="33">
        <v>1</v>
      </c>
      <c r="BC111" s="33">
        <v>103</v>
      </c>
      <c r="BD111" s="33">
        <v>77.22</v>
      </c>
      <c r="BZ111">
        <v>2.9239766081871343E-2</v>
      </c>
      <c r="CA111">
        <v>0.24242424242424243</v>
      </c>
      <c r="CB111">
        <v>2.9239766081871343E-2</v>
      </c>
    </row>
    <row r="112" spans="52:80" x14ac:dyDescent="0.25">
      <c r="AZ112" s="33">
        <v>109</v>
      </c>
      <c r="BA112" s="33">
        <v>0.99667725827733389</v>
      </c>
      <c r="BB112" s="33">
        <v>1</v>
      </c>
      <c r="BC112" s="33">
        <v>104</v>
      </c>
      <c r="BD112" s="33">
        <v>77.935000000000002</v>
      </c>
      <c r="BZ112">
        <v>2.9239766081871343E-2</v>
      </c>
      <c r="CA112">
        <v>0.24475524475524477</v>
      </c>
      <c r="CB112">
        <v>2.9239766081871343E-2</v>
      </c>
    </row>
    <row r="113" spans="52:80" x14ac:dyDescent="0.25">
      <c r="AZ113" s="33">
        <v>110</v>
      </c>
      <c r="BA113" s="33">
        <v>0.99662140216128103</v>
      </c>
      <c r="BB113" s="33">
        <v>1</v>
      </c>
      <c r="BC113" s="33">
        <v>105</v>
      </c>
      <c r="BD113" s="33">
        <v>78.649999999999991</v>
      </c>
      <c r="BZ113">
        <v>2.9239766081871343E-2</v>
      </c>
      <c r="CA113">
        <v>0.24708624708624707</v>
      </c>
      <c r="CB113">
        <v>2.9239766081871343E-2</v>
      </c>
    </row>
    <row r="114" spans="52:80" x14ac:dyDescent="0.25">
      <c r="AZ114" s="33">
        <v>111</v>
      </c>
      <c r="BA114" s="33">
        <v>0.99653339796307983</v>
      </c>
      <c r="BB114" s="33">
        <v>1</v>
      </c>
      <c r="BC114" s="33">
        <v>106</v>
      </c>
      <c r="BD114" s="33">
        <v>79.364999999999995</v>
      </c>
      <c r="BZ114">
        <v>2.9239766081871343E-2</v>
      </c>
      <c r="CA114">
        <v>0.24941724941724941</v>
      </c>
      <c r="CB114">
        <v>2.9239766081871343E-2</v>
      </c>
    </row>
    <row r="115" spans="52:80" x14ac:dyDescent="0.25">
      <c r="AZ115" s="33">
        <v>112</v>
      </c>
      <c r="BA115" s="33">
        <v>0.99647422357189119</v>
      </c>
      <c r="BB115" s="33">
        <v>1</v>
      </c>
      <c r="BC115" s="33">
        <v>107</v>
      </c>
      <c r="BD115" s="33">
        <v>80.08</v>
      </c>
      <c r="BZ115">
        <v>2.9239766081871343E-2</v>
      </c>
      <c r="CA115">
        <v>0.25174825174825177</v>
      </c>
      <c r="CB115">
        <v>2.9239766081871343E-2</v>
      </c>
    </row>
    <row r="116" spans="52:80" x14ac:dyDescent="0.25">
      <c r="AZ116" s="33">
        <v>113</v>
      </c>
      <c r="BA116" s="33">
        <v>0.99625585260420835</v>
      </c>
      <c r="BB116" s="33">
        <v>1</v>
      </c>
      <c r="BC116" s="33">
        <v>108</v>
      </c>
      <c r="BD116" s="33">
        <v>80.795000000000002</v>
      </c>
      <c r="BZ116">
        <v>2.9239766081871343E-2</v>
      </c>
      <c r="CA116">
        <v>0.25407925407925408</v>
      </c>
      <c r="CB116">
        <v>2.9239766081871343E-2</v>
      </c>
    </row>
    <row r="117" spans="52:80" x14ac:dyDescent="0.25">
      <c r="AZ117" s="33">
        <v>114</v>
      </c>
      <c r="BA117" s="33">
        <v>0.99622163498584027</v>
      </c>
      <c r="BB117" s="33">
        <v>1</v>
      </c>
      <c r="BC117" s="33">
        <v>109</v>
      </c>
      <c r="BD117" s="33">
        <v>81.509999999999991</v>
      </c>
      <c r="BZ117">
        <v>2.9239766081871343E-2</v>
      </c>
      <c r="CA117">
        <v>0.25641025641025639</v>
      </c>
      <c r="CB117">
        <v>2.9239766081871343E-2</v>
      </c>
    </row>
    <row r="118" spans="52:80" x14ac:dyDescent="0.25">
      <c r="AZ118" s="33">
        <v>115</v>
      </c>
      <c r="BA118" s="33">
        <v>0.99621524311347309</v>
      </c>
      <c r="BB118" s="33">
        <v>1</v>
      </c>
      <c r="BC118" s="33">
        <v>110</v>
      </c>
      <c r="BD118" s="33">
        <v>82.224999999999994</v>
      </c>
      <c r="BZ118">
        <v>2.9239766081871343E-2</v>
      </c>
      <c r="CA118">
        <v>0.25874125874125875</v>
      </c>
      <c r="CB118">
        <v>2.9239766081871343E-2</v>
      </c>
    </row>
    <row r="119" spans="52:80" x14ac:dyDescent="0.25">
      <c r="AZ119" s="33">
        <v>116</v>
      </c>
      <c r="BA119" s="33">
        <v>0.99620094011924198</v>
      </c>
      <c r="BB119" s="33">
        <v>1</v>
      </c>
      <c r="BC119" s="33">
        <v>111</v>
      </c>
      <c r="BD119" s="33">
        <v>82.94</v>
      </c>
      <c r="BZ119">
        <v>2.9239766081871343E-2</v>
      </c>
      <c r="CA119">
        <v>0.26107226107226106</v>
      </c>
      <c r="CB119">
        <v>2.9239766081871343E-2</v>
      </c>
    </row>
    <row r="120" spans="52:80" x14ac:dyDescent="0.25">
      <c r="AZ120" s="33">
        <v>117</v>
      </c>
      <c r="BA120" s="33">
        <v>0.99620093458058279</v>
      </c>
      <c r="BB120" s="33">
        <v>1</v>
      </c>
      <c r="BC120" s="33">
        <v>112</v>
      </c>
      <c r="BD120" s="33">
        <v>83.655000000000001</v>
      </c>
      <c r="BZ120">
        <v>2.9239766081871343E-2</v>
      </c>
      <c r="CA120">
        <v>0.26340326340326342</v>
      </c>
      <c r="CB120">
        <v>2.9239766081871343E-2</v>
      </c>
    </row>
    <row r="121" spans="52:80" x14ac:dyDescent="0.25">
      <c r="AZ121" s="33">
        <v>118</v>
      </c>
      <c r="BA121" s="33">
        <v>0.9960770874667213</v>
      </c>
      <c r="BB121" s="33">
        <v>1</v>
      </c>
      <c r="BC121" s="33">
        <v>113</v>
      </c>
      <c r="BD121" s="33">
        <v>84.36999999999999</v>
      </c>
      <c r="BZ121">
        <v>2.9239766081871343E-2</v>
      </c>
      <c r="CA121">
        <v>0.26573426573426573</v>
      </c>
      <c r="CB121">
        <v>2.9239766081871343E-2</v>
      </c>
    </row>
    <row r="122" spans="52:80" x14ac:dyDescent="0.25">
      <c r="AZ122" s="33">
        <v>119</v>
      </c>
      <c r="BA122" s="33">
        <v>0.99606058751547066</v>
      </c>
      <c r="BB122" s="33">
        <v>1</v>
      </c>
      <c r="BC122" s="33">
        <v>114</v>
      </c>
      <c r="BD122" s="33">
        <v>85.084999999999994</v>
      </c>
      <c r="BZ122">
        <v>2.9239766081871343E-2</v>
      </c>
      <c r="CA122">
        <v>0.26806526806526809</v>
      </c>
      <c r="CB122">
        <v>2.9239766081871343E-2</v>
      </c>
    </row>
    <row r="123" spans="52:80" x14ac:dyDescent="0.25">
      <c r="AZ123" s="33">
        <v>120</v>
      </c>
      <c r="BA123" s="33">
        <v>0.99599994907911893</v>
      </c>
      <c r="BB123" s="33">
        <v>1</v>
      </c>
      <c r="BC123" s="33">
        <v>115</v>
      </c>
      <c r="BD123" s="33">
        <v>85.8</v>
      </c>
      <c r="BZ123">
        <v>3.5087719298245612E-2</v>
      </c>
      <c r="CA123">
        <v>0.26806526806526809</v>
      </c>
      <c r="CB123">
        <v>3.5087719298245612E-2</v>
      </c>
    </row>
    <row r="124" spans="52:80" x14ac:dyDescent="0.25">
      <c r="AZ124" s="32">
        <v>121</v>
      </c>
      <c r="BA124" s="32">
        <v>0.99599089082211911</v>
      </c>
      <c r="BB124" s="32">
        <v>0</v>
      </c>
      <c r="BC124" s="32">
        <v>115</v>
      </c>
      <c r="BD124" s="32">
        <v>86.515000000000001</v>
      </c>
      <c r="BZ124">
        <v>3.5087719298245612E-2</v>
      </c>
      <c r="CA124">
        <v>0.2703962703962704</v>
      </c>
      <c r="CB124">
        <v>3.5087719298245612E-2</v>
      </c>
    </row>
    <row r="125" spans="52:80" x14ac:dyDescent="0.25">
      <c r="AZ125" s="32">
        <v>122</v>
      </c>
      <c r="BA125" s="32">
        <v>0.99576275491185628</v>
      </c>
      <c r="BB125" s="32">
        <v>1</v>
      </c>
      <c r="BC125" s="32">
        <v>116</v>
      </c>
      <c r="BD125" s="32">
        <v>87.22999999999999</v>
      </c>
      <c r="BZ125">
        <v>3.5087719298245612E-2</v>
      </c>
      <c r="CA125">
        <v>0.27272727272727271</v>
      </c>
      <c r="CB125">
        <v>3.5087719298245612E-2</v>
      </c>
    </row>
    <row r="126" spans="52:80" x14ac:dyDescent="0.25">
      <c r="AZ126" s="32">
        <v>123</v>
      </c>
      <c r="BA126" s="32">
        <v>0.99572702653786971</v>
      </c>
      <c r="BB126" s="32">
        <v>1</v>
      </c>
      <c r="BC126" s="32">
        <v>117</v>
      </c>
      <c r="BD126" s="32">
        <v>87.944999999999993</v>
      </c>
      <c r="BZ126">
        <v>3.5087719298245612E-2</v>
      </c>
      <c r="CA126">
        <v>0.27505827505827507</v>
      </c>
      <c r="CB126">
        <v>3.5087719298245612E-2</v>
      </c>
    </row>
    <row r="127" spans="52:80" x14ac:dyDescent="0.25">
      <c r="AZ127" s="32">
        <v>124</v>
      </c>
      <c r="BA127" s="32">
        <v>0.99554173104733601</v>
      </c>
      <c r="BB127" s="32">
        <v>1</v>
      </c>
      <c r="BC127" s="32">
        <v>118</v>
      </c>
      <c r="BD127" s="32">
        <v>88.66</v>
      </c>
      <c r="BZ127">
        <v>3.5087719298245612E-2</v>
      </c>
      <c r="CA127">
        <v>0.27738927738927738</v>
      </c>
      <c r="CB127">
        <v>3.5087719298245612E-2</v>
      </c>
    </row>
    <row r="128" spans="52:80" x14ac:dyDescent="0.25">
      <c r="AZ128" s="32">
        <v>125</v>
      </c>
      <c r="BA128" s="32">
        <v>0.99538869487725168</v>
      </c>
      <c r="BB128" s="32">
        <v>1</v>
      </c>
      <c r="BC128" s="32">
        <v>119</v>
      </c>
      <c r="BD128" s="32">
        <v>89.375</v>
      </c>
      <c r="BZ128">
        <v>3.5087719298245612E-2</v>
      </c>
      <c r="CA128">
        <v>0.27972027972027974</v>
      </c>
      <c r="CB128">
        <v>3.5087719298245612E-2</v>
      </c>
    </row>
    <row r="129" spans="52:80" x14ac:dyDescent="0.25">
      <c r="AZ129" s="32">
        <v>126</v>
      </c>
      <c r="BA129" s="32">
        <v>0.99538481853259664</v>
      </c>
      <c r="BB129" s="32">
        <v>1</v>
      </c>
      <c r="BC129" s="32">
        <v>120</v>
      </c>
      <c r="BD129" s="32">
        <v>90.089999999999989</v>
      </c>
      <c r="BZ129">
        <v>3.5087719298245612E-2</v>
      </c>
      <c r="CA129">
        <v>0.28205128205128205</v>
      </c>
      <c r="CB129">
        <v>3.5087719298245612E-2</v>
      </c>
    </row>
    <row r="130" spans="52:80" x14ac:dyDescent="0.25">
      <c r="AZ130" s="32">
        <v>127</v>
      </c>
      <c r="BA130" s="32">
        <v>0.99537393516812955</v>
      </c>
      <c r="BB130" s="32">
        <v>1</v>
      </c>
      <c r="BC130" s="32">
        <v>121</v>
      </c>
      <c r="BD130" s="32">
        <v>90.804999999999993</v>
      </c>
      <c r="BZ130">
        <v>3.5087719298245612E-2</v>
      </c>
      <c r="CA130">
        <v>0.28438228438228436</v>
      </c>
      <c r="CB130">
        <v>3.5087719298245612E-2</v>
      </c>
    </row>
    <row r="131" spans="52:80" x14ac:dyDescent="0.25">
      <c r="AZ131" s="32">
        <v>128</v>
      </c>
      <c r="BA131" s="32">
        <v>0.99533494139845335</v>
      </c>
      <c r="BB131" s="32">
        <v>1</v>
      </c>
      <c r="BC131" s="32">
        <v>122</v>
      </c>
      <c r="BD131" s="32">
        <v>91.52</v>
      </c>
      <c r="BZ131">
        <v>3.5087719298245612E-2</v>
      </c>
      <c r="CA131">
        <v>0.28671328671328672</v>
      </c>
      <c r="CB131">
        <v>3.5087719298245612E-2</v>
      </c>
    </row>
    <row r="132" spans="52:80" x14ac:dyDescent="0.25">
      <c r="AZ132" s="32">
        <v>129</v>
      </c>
      <c r="BA132" s="32">
        <v>0.99527666061694664</v>
      </c>
      <c r="BB132" s="32">
        <v>1</v>
      </c>
      <c r="BC132" s="32">
        <v>123</v>
      </c>
      <c r="BD132" s="32">
        <v>92.234999999999999</v>
      </c>
      <c r="BZ132">
        <v>3.5087719298245612E-2</v>
      </c>
      <c r="CA132">
        <v>0.28904428904428903</v>
      </c>
      <c r="CB132">
        <v>3.5087719298245612E-2</v>
      </c>
    </row>
    <row r="133" spans="52:80" x14ac:dyDescent="0.25">
      <c r="AZ133" s="32">
        <v>130</v>
      </c>
      <c r="BA133" s="32">
        <v>0.99527172503536077</v>
      </c>
      <c r="BB133" s="32">
        <v>1</v>
      </c>
      <c r="BC133" s="32">
        <v>124</v>
      </c>
      <c r="BD133" s="32">
        <v>92.95</v>
      </c>
      <c r="BZ133">
        <v>3.5087719298245612E-2</v>
      </c>
      <c r="CA133">
        <v>0.29137529137529139</v>
      </c>
      <c r="CB133">
        <v>3.5087719298245612E-2</v>
      </c>
    </row>
    <row r="134" spans="52:80" x14ac:dyDescent="0.25">
      <c r="AZ134" s="32">
        <v>131</v>
      </c>
      <c r="BA134" s="32">
        <v>0.99525258470082312</v>
      </c>
      <c r="BB134" s="32">
        <v>1</v>
      </c>
      <c r="BC134" s="32">
        <v>125</v>
      </c>
      <c r="BD134" s="32">
        <v>93.664999999999992</v>
      </c>
      <c r="BZ134">
        <v>3.5087719298245612E-2</v>
      </c>
      <c r="CA134">
        <v>0.2937062937062937</v>
      </c>
      <c r="CB134">
        <v>3.5087719298245612E-2</v>
      </c>
    </row>
    <row r="135" spans="52:80" x14ac:dyDescent="0.25">
      <c r="AZ135" s="32">
        <v>132</v>
      </c>
      <c r="BA135" s="32">
        <v>0.99519694035527528</v>
      </c>
      <c r="BB135" s="32">
        <v>1</v>
      </c>
      <c r="BC135" s="32">
        <v>126</v>
      </c>
      <c r="BD135" s="32">
        <v>94.38</v>
      </c>
      <c r="BZ135">
        <v>3.5087719298245612E-2</v>
      </c>
      <c r="CA135">
        <v>0.29603729603729606</v>
      </c>
      <c r="CB135">
        <v>3.5087719298245612E-2</v>
      </c>
    </row>
    <row r="136" spans="52:80" x14ac:dyDescent="0.25">
      <c r="AZ136" s="32">
        <v>133</v>
      </c>
      <c r="BA136" s="32">
        <v>0.99505395924387241</v>
      </c>
      <c r="BB136" s="32">
        <v>1</v>
      </c>
      <c r="BC136" s="32">
        <v>127</v>
      </c>
      <c r="BD136" s="32">
        <v>95.094999999999999</v>
      </c>
      <c r="BZ136">
        <v>3.5087719298245612E-2</v>
      </c>
      <c r="CA136">
        <v>0.29836829836829837</v>
      </c>
      <c r="CB136">
        <v>3.5087719298245612E-2</v>
      </c>
    </row>
    <row r="137" spans="52:80" x14ac:dyDescent="0.25">
      <c r="AZ137" s="32">
        <v>134</v>
      </c>
      <c r="BA137" s="32">
        <v>0.99502271829354128</v>
      </c>
      <c r="BB137" s="32">
        <v>1</v>
      </c>
      <c r="BC137" s="32">
        <v>128</v>
      </c>
      <c r="BD137" s="32">
        <v>95.81</v>
      </c>
      <c r="BZ137">
        <v>3.5087719298245612E-2</v>
      </c>
      <c r="CA137">
        <v>0.30069930069930068</v>
      </c>
      <c r="CB137">
        <v>3.5087719298245612E-2</v>
      </c>
    </row>
    <row r="138" spans="52:80" x14ac:dyDescent="0.25">
      <c r="AZ138" s="32">
        <v>135</v>
      </c>
      <c r="BA138" s="32">
        <v>0.99494033362987833</v>
      </c>
      <c r="BB138" s="32">
        <v>1</v>
      </c>
      <c r="BC138" s="32">
        <v>129</v>
      </c>
      <c r="BD138" s="32">
        <v>96.524999999999991</v>
      </c>
      <c r="BZ138">
        <v>3.5087719298245612E-2</v>
      </c>
      <c r="CA138">
        <v>0.30303030303030304</v>
      </c>
      <c r="CB138">
        <v>3.5087719298245612E-2</v>
      </c>
    </row>
    <row r="139" spans="52:80" x14ac:dyDescent="0.25">
      <c r="AZ139" s="32">
        <v>136</v>
      </c>
      <c r="BA139" s="32">
        <v>0.99469466633033221</v>
      </c>
      <c r="BB139" s="32">
        <v>1</v>
      </c>
      <c r="BC139" s="32">
        <v>130</v>
      </c>
      <c r="BD139" s="32">
        <v>97.24</v>
      </c>
      <c r="BZ139">
        <v>3.5087719298245612E-2</v>
      </c>
      <c r="CA139">
        <v>0.30536130536130535</v>
      </c>
      <c r="CB139">
        <v>3.5087719298245612E-2</v>
      </c>
    </row>
    <row r="140" spans="52:80" x14ac:dyDescent="0.25">
      <c r="AZ140" s="32">
        <v>137</v>
      </c>
      <c r="BA140" s="32">
        <v>0.99446333094753059</v>
      </c>
      <c r="BB140" s="32">
        <v>1</v>
      </c>
      <c r="BC140" s="32">
        <v>131</v>
      </c>
      <c r="BD140" s="32">
        <v>97.954999999999998</v>
      </c>
      <c r="BZ140">
        <v>3.5087719298245612E-2</v>
      </c>
      <c r="CA140">
        <v>0.30769230769230771</v>
      </c>
      <c r="CB140">
        <v>3.5087719298245612E-2</v>
      </c>
    </row>
    <row r="141" spans="52:80" x14ac:dyDescent="0.25">
      <c r="AZ141" s="32">
        <v>138</v>
      </c>
      <c r="BA141" s="32">
        <v>0.99438871168265641</v>
      </c>
      <c r="BB141" s="32">
        <v>1</v>
      </c>
      <c r="BC141" s="32">
        <v>132</v>
      </c>
      <c r="BD141" s="32">
        <v>98.67</v>
      </c>
      <c r="BZ141">
        <v>3.5087719298245612E-2</v>
      </c>
      <c r="CA141">
        <v>0.31002331002331002</v>
      </c>
      <c r="CB141">
        <v>3.5087719298245612E-2</v>
      </c>
    </row>
    <row r="142" spans="52:80" x14ac:dyDescent="0.25">
      <c r="AZ142" s="32">
        <v>139</v>
      </c>
      <c r="BA142" s="32">
        <v>0.9943304794426564</v>
      </c>
      <c r="BB142" s="32">
        <v>1</v>
      </c>
      <c r="BC142" s="32">
        <v>133</v>
      </c>
      <c r="BD142" s="32">
        <v>99.384999999999991</v>
      </c>
      <c r="BZ142">
        <v>3.5087719298245612E-2</v>
      </c>
      <c r="CA142">
        <v>0.31235431235431238</v>
      </c>
      <c r="CB142">
        <v>3.5087719298245612E-2</v>
      </c>
    </row>
    <row r="143" spans="52:80" x14ac:dyDescent="0.25">
      <c r="AZ143" s="32">
        <v>140</v>
      </c>
      <c r="BA143" s="32">
        <v>0.99396064712768861</v>
      </c>
      <c r="BB143" s="32">
        <v>1</v>
      </c>
      <c r="BC143" s="32">
        <v>134</v>
      </c>
      <c r="BD143" s="32">
        <v>100.1</v>
      </c>
      <c r="BZ143">
        <v>3.5087719298245612E-2</v>
      </c>
      <c r="CA143">
        <v>0.31468531468531469</v>
      </c>
      <c r="CB143">
        <v>3.5087719298245612E-2</v>
      </c>
    </row>
    <row r="144" spans="52:80" x14ac:dyDescent="0.25">
      <c r="AZ144" s="32">
        <v>141</v>
      </c>
      <c r="BA144" s="32">
        <v>0.99391693540006354</v>
      </c>
      <c r="BB144" s="32">
        <v>1</v>
      </c>
      <c r="BC144" s="32">
        <v>135</v>
      </c>
      <c r="BD144" s="32">
        <v>100.815</v>
      </c>
      <c r="BZ144">
        <v>3.5087719298245612E-2</v>
      </c>
      <c r="CA144">
        <v>0.317016317016317</v>
      </c>
      <c r="CB144">
        <v>3.5087719298245612E-2</v>
      </c>
    </row>
    <row r="145" spans="52:80" x14ac:dyDescent="0.25">
      <c r="AZ145" s="32">
        <v>142</v>
      </c>
      <c r="BA145" s="32">
        <v>0.9936621049665425</v>
      </c>
      <c r="BB145" s="32">
        <v>1</v>
      </c>
      <c r="BC145" s="32">
        <v>136</v>
      </c>
      <c r="BD145" s="32">
        <v>101.53</v>
      </c>
      <c r="BZ145">
        <v>3.5087719298245612E-2</v>
      </c>
      <c r="CA145">
        <v>0.31934731934731936</v>
      </c>
      <c r="CB145">
        <v>3.5087719298245612E-2</v>
      </c>
    </row>
    <row r="146" spans="52:80" x14ac:dyDescent="0.25">
      <c r="AZ146" s="32">
        <v>143</v>
      </c>
      <c r="BA146" s="32">
        <v>0.99361717159697871</v>
      </c>
      <c r="BB146" s="32">
        <v>1</v>
      </c>
      <c r="BC146" s="32">
        <v>137</v>
      </c>
      <c r="BD146" s="32">
        <v>102.24499999999999</v>
      </c>
      <c r="BZ146">
        <v>3.5087719298245612E-2</v>
      </c>
      <c r="CA146">
        <v>0.32167832167832167</v>
      </c>
      <c r="CB146">
        <v>3.5087719298245612E-2</v>
      </c>
    </row>
    <row r="147" spans="52:80" x14ac:dyDescent="0.25">
      <c r="AZ147" s="32">
        <v>144</v>
      </c>
      <c r="BA147" s="32">
        <v>0.99360785496440351</v>
      </c>
      <c r="BB147" s="32">
        <v>1</v>
      </c>
      <c r="BC147" s="32">
        <v>138</v>
      </c>
      <c r="BD147" s="32">
        <v>102.96</v>
      </c>
      <c r="BZ147">
        <v>3.5087719298245612E-2</v>
      </c>
      <c r="CA147">
        <v>0.32400932400932403</v>
      </c>
      <c r="CB147">
        <v>3.5087719298245612E-2</v>
      </c>
    </row>
    <row r="148" spans="52:80" x14ac:dyDescent="0.25">
      <c r="AZ148" s="32">
        <v>145</v>
      </c>
      <c r="BA148" s="32">
        <v>0.9935796028899766</v>
      </c>
      <c r="BB148" s="32">
        <v>1</v>
      </c>
      <c r="BC148" s="32">
        <v>139</v>
      </c>
      <c r="BD148" s="32">
        <v>103.675</v>
      </c>
      <c r="BZ148">
        <v>3.5087719298245612E-2</v>
      </c>
      <c r="CA148">
        <v>0.32634032634032634</v>
      </c>
      <c r="CB148">
        <v>3.5087719298245612E-2</v>
      </c>
    </row>
    <row r="149" spans="52:80" x14ac:dyDescent="0.25">
      <c r="AZ149" s="32">
        <v>146</v>
      </c>
      <c r="BA149" s="32">
        <v>0.99352569092118004</v>
      </c>
      <c r="BB149" s="32">
        <v>1</v>
      </c>
      <c r="BC149" s="32">
        <v>140</v>
      </c>
      <c r="BD149" s="32">
        <v>104.39</v>
      </c>
      <c r="BZ149">
        <v>3.5087719298245612E-2</v>
      </c>
      <c r="CA149">
        <v>0.32867132867132864</v>
      </c>
      <c r="CB149">
        <v>3.5087719298245612E-2</v>
      </c>
    </row>
    <row r="150" spans="52:80" x14ac:dyDescent="0.25">
      <c r="AZ150" s="32">
        <v>147</v>
      </c>
      <c r="BA150" s="32">
        <v>0.99350935183987132</v>
      </c>
      <c r="BB150" s="32">
        <v>1</v>
      </c>
      <c r="BC150" s="32">
        <v>141</v>
      </c>
      <c r="BD150" s="32">
        <v>105.10499999999999</v>
      </c>
      <c r="BZ150">
        <v>3.5087719298245612E-2</v>
      </c>
      <c r="CA150">
        <v>0.33100233100233101</v>
      </c>
      <c r="CB150">
        <v>3.5087719298245612E-2</v>
      </c>
    </row>
    <row r="151" spans="52:80" x14ac:dyDescent="0.25">
      <c r="AZ151" s="32">
        <v>148</v>
      </c>
      <c r="BA151" s="32">
        <v>0.99336641654914615</v>
      </c>
      <c r="BB151" s="32">
        <v>1</v>
      </c>
      <c r="BC151" s="32">
        <v>142</v>
      </c>
      <c r="BD151" s="32">
        <v>105.82</v>
      </c>
      <c r="BZ151">
        <v>3.5087719298245612E-2</v>
      </c>
      <c r="CA151">
        <v>0.33333333333333331</v>
      </c>
      <c r="CB151">
        <v>3.5087719298245612E-2</v>
      </c>
    </row>
    <row r="152" spans="52:80" x14ac:dyDescent="0.25">
      <c r="AZ152" s="32">
        <v>149</v>
      </c>
      <c r="BA152" s="32">
        <v>0.99305339996884623</v>
      </c>
      <c r="BB152" s="32">
        <v>1</v>
      </c>
      <c r="BC152" s="32">
        <v>143</v>
      </c>
      <c r="BD152" s="32">
        <v>106.535</v>
      </c>
      <c r="BZ152">
        <v>3.5087719298245612E-2</v>
      </c>
      <c r="CA152">
        <v>0.33566433566433568</v>
      </c>
      <c r="CB152">
        <v>3.5087719298245612E-2</v>
      </c>
    </row>
    <row r="153" spans="52:80" x14ac:dyDescent="0.25">
      <c r="AZ153" s="32">
        <v>150</v>
      </c>
      <c r="BA153" s="32">
        <v>0.99297896627364146</v>
      </c>
      <c r="BB153" s="32">
        <v>1</v>
      </c>
      <c r="BC153" s="32">
        <v>144</v>
      </c>
      <c r="BD153" s="32">
        <v>107.25</v>
      </c>
      <c r="BZ153">
        <v>3.5087719298245612E-2</v>
      </c>
      <c r="CA153">
        <v>0.33799533799533799</v>
      </c>
      <c r="CB153">
        <v>3.5087719298245612E-2</v>
      </c>
    </row>
    <row r="154" spans="52:80" x14ac:dyDescent="0.25">
      <c r="AZ154" s="32">
        <v>151</v>
      </c>
      <c r="BA154" s="32">
        <v>0.99292898355595038</v>
      </c>
      <c r="BB154" s="32">
        <v>1</v>
      </c>
      <c r="BC154" s="32">
        <v>145</v>
      </c>
      <c r="BD154" s="32">
        <v>107.96499999999999</v>
      </c>
      <c r="BZ154">
        <v>3.5087719298245612E-2</v>
      </c>
      <c r="CA154">
        <v>0.34032634032634035</v>
      </c>
      <c r="CB154">
        <v>3.5087719298245612E-2</v>
      </c>
    </row>
    <row r="155" spans="52:80" x14ac:dyDescent="0.25">
      <c r="AZ155" s="32">
        <v>152</v>
      </c>
      <c r="BA155" s="32">
        <v>0.99292880864509703</v>
      </c>
      <c r="BB155" s="32">
        <v>1</v>
      </c>
      <c r="BC155" s="32">
        <v>146</v>
      </c>
      <c r="BD155" s="32">
        <v>108.67999999999999</v>
      </c>
      <c r="BZ155">
        <v>3.5087719298245612E-2</v>
      </c>
      <c r="CA155">
        <v>0.34265734265734266</v>
      </c>
      <c r="CB155">
        <v>3.5087719298245612E-2</v>
      </c>
    </row>
    <row r="156" spans="52:80" x14ac:dyDescent="0.25">
      <c r="AZ156" s="32">
        <v>153</v>
      </c>
      <c r="BA156" s="32">
        <v>0.99286158001921709</v>
      </c>
      <c r="BB156" s="32">
        <v>1</v>
      </c>
      <c r="BC156" s="32">
        <v>147</v>
      </c>
      <c r="BD156" s="32">
        <v>109.395</v>
      </c>
      <c r="BZ156">
        <v>3.5087719298245612E-2</v>
      </c>
      <c r="CA156">
        <v>0.34498834498834496</v>
      </c>
      <c r="CB156">
        <v>3.5087719298245612E-2</v>
      </c>
    </row>
    <row r="157" spans="52:80" x14ac:dyDescent="0.25">
      <c r="AZ157" s="32">
        <v>154</v>
      </c>
      <c r="BA157" s="32">
        <v>0.99277835685768745</v>
      </c>
      <c r="BB157" s="32">
        <v>1</v>
      </c>
      <c r="BC157" s="32">
        <v>148</v>
      </c>
      <c r="BD157" s="32">
        <v>110.11</v>
      </c>
      <c r="BZ157">
        <v>3.5087719298245612E-2</v>
      </c>
      <c r="CA157">
        <v>0.34731934731934733</v>
      </c>
      <c r="CB157">
        <v>3.5087719298245612E-2</v>
      </c>
    </row>
    <row r="158" spans="52:80" x14ac:dyDescent="0.25">
      <c r="AZ158" s="32">
        <v>155</v>
      </c>
      <c r="BA158" s="32">
        <v>0.99277695734447258</v>
      </c>
      <c r="BB158" s="32">
        <v>1</v>
      </c>
      <c r="BC158" s="32">
        <v>149</v>
      </c>
      <c r="BD158" s="32">
        <v>110.82499999999999</v>
      </c>
      <c r="BZ158">
        <v>3.5087719298245612E-2</v>
      </c>
      <c r="CA158">
        <v>0.34965034965034963</v>
      </c>
      <c r="CB158">
        <v>3.5087719298245612E-2</v>
      </c>
    </row>
    <row r="159" spans="52:80" x14ac:dyDescent="0.25">
      <c r="AZ159" s="32">
        <v>156</v>
      </c>
      <c r="BA159" s="32">
        <v>0.99272992693832995</v>
      </c>
      <c r="BB159" s="32">
        <v>1</v>
      </c>
      <c r="BC159" s="32">
        <v>150</v>
      </c>
      <c r="BD159" s="32">
        <v>111.53999999999999</v>
      </c>
      <c r="BZ159">
        <v>3.5087719298245612E-2</v>
      </c>
      <c r="CA159">
        <v>0.351981351981352</v>
      </c>
      <c r="CB159">
        <v>3.5087719298245612E-2</v>
      </c>
    </row>
    <row r="160" spans="52:80" x14ac:dyDescent="0.25">
      <c r="AZ160" s="32">
        <v>157</v>
      </c>
      <c r="BA160" s="32">
        <v>0.99272805309727108</v>
      </c>
      <c r="BB160" s="32">
        <v>1</v>
      </c>
      <c r="BC160" s="32">
        <v>151</v>
      </c>
      <c r="BD160" s="32">
        <v>112.255</v>
      </c>
      <c r="BZ160">
        <v>3.5087719298245612E-2</v>
      </c>
      <c r="CA160">
        <v>0.35431235431235431</v>
      </c>
      <c r="CB160">
        <v>3.5087719298245612E-2</v>
      </c>
    </row>
    <row r="161" spans="52:80" x14ac:dyDescent="0.25">
      <c r="AZ161" s="32">
        <v>158</v>
      </c>
      <c r="BA161" s="32">
        <v>0.99272316063634425</v>
      </c>
      <c r="BB161" s="32">
        <v>1</v>
      </c>
      <c r="BC161" s="32">
        <v>152</v>
      </c>
      <c r="BD161" s="32">
        <v>112.97</v>
      </c>
      <c r="BZ161">
        <v>3.5087719298245612E-2</v>
      </c>
      <c r="CA161">
        <v>0.35664335664335667</v>
      </c>
      <c r="CB161">
        <v>3.5087719298245612E-2</v>
      </c>
    </row>
    <row r="162" spans="52:80" x14ac:dyDescent="0.25">
      <c r="AZ162" s="32">
        <v>159</v>
      </c>
      <c r="BA162" s="32">
        <v>0.99269048842654095</v>
      </c>
      <c r="BB162" s="32">
        <v>1</v>
      </c>
      <c r="BC162" s="32">
        <v>153</v>
      </c>
      <c r="BD162" s="32">
        <v>113.68499999999999</v>
      </c>
      <c r="BZ162">
        <v>3.5087719298245612E-2</v>
      </c>
      <c r="CA162">
        <v>0.35897435897435898</v>
      </c>
      <c r="CB162">
        <v>3.5087719298245612E-2</v>
      </c>
    </row>
    <row r="163" spans="52:80" x14ac:dyDescent="0.25">
      <c r="AZ163" s="32">
        <v>160</v>
      </c>
      <c r="BA163" s="32">
        <v>0.99263168264623569</v>
      </c>
      <c r="BB163" s="32">
        <v>1</v>
      </c>
      <c r="BC163" s="32">
        <v>154</v>
      </c>
      <c r="BD163" s="32">
        <v>114.39999999999999</v>
      </c>
      <c r="BZ163">
        <v>3.5087719298245612E-2</v>
      </c>
      <c r="CA163">
        <v>0.36130536130536128</v>
      </c>
      <c r="CB163">
        <v>3.5087719298245612E-2</v>
      </c>
    </row>
    <row r="164" spans="52:80" x14ac:dyDescent="0.25">
      <c r="AZ164" s="32">
        <v>161</v>
      </c>
      <c r="BA164" s="32">
        <v>0.99242282938835524</v>
      </c>
      <c r="BB164" s="32">
        <v>1</v>
      </c>
      <c r="BC164" s="32">
        <v>155</v>
      </c>
      <c r="BD164" s="32">
        <v>115.11499999999999</v>
      </c>
      <c r="BZ164">
        <v>3.5087719298245612E-2</v>
      </c>
      <c r="CA164">
        <v>0.36363636363636365</v>
      </c>
      <c r="CB164">
        <v>3.5087719298245612E-2</v>
      </c>
    </row>
    <row r="165" spans="52:80" x14ac:dyDescent="0.25">
      <c r="AZ165" s="32">
        <v>162</v>
      </c>
      <c r="BA165" s="32">
        <v>0.99216994435441619</v>
      </c>
      <c r="BB165" s="32">
        <v>1</v>
      </c>
      <c r="BC165" s="32">
        <v>156</v>
      </c>
      <c r="BD165" s="32">
        <v>115.83</v>
      </c>
      <c r="BZ165">
        <v>3.5087719298245612E-2</v>
      </c>
      <c r="CA165">
        <v>0.36596736596736595</v>
      </c>
      <c r="CB165">
        <v>3.5087719298245612E-2</v>
      </c>
    </row>
    <row r="166" spans="52:80" x14ac:dyDescent="0.25">
      <c r="AZ166" s="32">
        <v>163</v>
      </c>
      <c r="BA166" s="32">
        <v>0.99211377032565584</v>
      </c>
      <c r="BB166" s="32">
        <v>1</v>
      </c>
      <c r="BC166" s="32">
        <v>157</v>
      </c>
      <c r="BD166" s="32">
        <v>116.545</v>
      </c>
      <c r="BZ166">
        <v>3.5087719298245612E-2</v>
      </c>
      <c r="CA166">
        <v>0.36829836829836832</v>
      </c>
      <c r="CB166">
        <v>3.5087719298245612E-2</v>
      </c>
    </row>
    <row r="167" spans="52:80" x14ac:dyDescent="0.25">
      <c r="AZ167" s="32">
        <v>164</v>
      </c>
      <c r="BA167" s="32">
        <v>0.99201562481766103</v>
      </c>
      <c r="BB167" s="32">
        <v>1</v>
      </c>
      <c r="BC167" s="32">
        <v>158</v>
      </c>
      <c r="BD167" s="32">
        <v>117.25999999999999</v>
      </c>
      <c r="BZ167">
        <v>3.5087719298245612E-2</v>
      </c>
      <c r="CA167">
        <v>0.37062937062937062</v>
      </c>
      <c r="CB167">
        <v>3.5087719298245612E-2</v>
      </c>
    </row>
    <row r="168" spans="52:80" x14ac:dyDescent="0.25">
      <c r="AZ168" s="32">
        <v>165</v>
      </c>
      <c r="BA168" s="32">
        <v>0.9912554397498291</v>
      </c>
      <c r="BB168" s="32">
        <v>1</v>
      </c>
      <c r="BC168" s="32">
        <v>159</v>
      </c>
      <c r="BD168" s="32">
        <v>117.97499999999999</v>
      </c>
      <c r="BZ168">
        <v>4.0935672514619881E-2</v>
      </c>
      <c r="CA168">
        <v>0.37062937062937062</v>
      </c>
      <c r="CB168">
        <v>4.0935672514619881E-2</v>
      </c>
    </row>
    <row r="169" spans="52:80" x14ac:dyDescent="0.25">
      <c r="AZ169" s="32">
        <v>166</v>
      </c>
      <c r="BA169" s="32">
        <v>0.99108190902011717</v>
      </c>
      <c r="BB169" s="32">
        <v>0</v>
      </c>
      <c r="BC169" s="32">
        <v>159</v>
      </c>
      <c r="BD169" s="32">
        <v>118.69</v>
      </c>
      <c r="BZ169">
        <v>4.0935672514619881E-2</v>
      </c>
      <c r="CA169">
        <v>0.37296037296037299</v>
      </c>
      <c r="CB169">
        <v>4.0935672514619881E-2</v>
      </c>
    </row>
    <row r="170" spans="52:80" x14ac:dyDescent="0.25">
      <c r="AZ170" s="32">
        <v>167</v>
      </c>
      <c r="BA170" s="32">
        <v>0.99106063473002448</v>
      </c>
      <c r="BB170" s="32">
        <v>1</v>
      </c>
      <c r="BC170" s="32">
        <v>160</v>
      </c>
      <c r="BD170" s="32">
        <v>119.405</v>
      </c>
      <c r="BZ170">
        <v>4.0935672514619881E-2</v>
      </c>
      <c r="CA170">
        <v>0.3752913752913753</v>
      </c>
      <c r="CB170">
        <v>4.0935672514619881E-2</v>
      </c>
    </row>
    <row r="171" spans="52:80" x14ac:dyDescent="0.25">
      <c r="AZ171" s="32">
        <v>168</v>
      </c>
      <c r="BA171" s="32">
        <v>0.99086181606126933</v>
      </c>
      <c r="BB171" s="32">
        <v>1</v>
      </c>
      <c r="BC171" s="32">
        <v>161</v>
      </c>
      <c r="BD171" s="32">
        <v>120.11999999999999</v>
      </c>
      <c r="BZ171">
        <v>4.0935672514619881E-2</v>
      </c>
      <c r="CA171">
        <v>0.3776223776223776</v>
      </c>
      <c r="CB171">
        <v>4.0935672514619881E-2</v>
      </c>
    </row>
    <row r="172" spans="52:80" x14ac:dyDescent="0.25">
      <c r="AZ172" s="32">
        <v>169</v>
      </c>
      <c r="BA172" s="32">
        <v>0.99079211936441158</v>
      </c>
      <c r="BB172" s="32">
        <v>1</v>
      </c>
      <c r="BC172" s="32">
        <v>162</v>
      </c>
      <c r="BD172" s="32">
        <v>120.83499999999999</v>
      </c>
      <c r="BZ172">
        <v>4.0935672514619881E-2</v>
      </c>
      <c r="CA172">
        <v>0.37995337995337997</v>
      </c>
      <c r="CB172">
        <v>4.0935672514619881E-2</v>
      </c>
    </row>
    <row r="173" spans="52:80" x14ac:dyDescent="0.25">
      <c r="AZ173" s="32">
        <v>170</v>
      </c>
      <c r="BA173" s="32">
        <v>0.99078915377125842</v>
      </c>
      <c r="BB173" s="32">
        <v>1</v>
      </c>
      <c r="BC173" s="32">
        <v>163</v>
      </c>
      <c r="BD173" s="32">
        <v>121.55</v>
      </c>
      <c r="BZ173">
        <v>4.0935672514619881E-2</v>
      </c>
      <c r="CA173">
        <v>0.38228438228438227</v>
      </c>
      <c r="CB173">
        <v>4.0935672514619881E-2</v>
      </c>
    </row>
    <row r="174" spans="52:80" x14ac:dyDescent="0.25">
      <c r="AZ174" s="32">
        <v>171</v>
      </c>
      <c r="BA174" s="32">
        <v>0.98989268274655084</v>
      </c>
      <c r="BB174" s="32">
        <v>1</v>
      </c>
      <c r="BC174" s="32">
        <v>164</v>
      </c>
      <c r="BD174" s="32">
        <v>122.265</v>
      </c>
      <c r="BZ174">
        <v>4.0935672514619881E-2</v>
      </c>
      <c r="CA174">
        <v>0.38461538461538464</v>
      </c>
      <c r="CB174">
        <v>4.0935672514619881E-2</v>
      </c>
    </row>
    <row r="175" spans="52:80" x14ac:dyDescent="0.25">
      <c r="AZ175" s="32">
        <v>172</v>
      </c>
      <c r="BA175" s="32">
        <v>0.98966834308802432</v>
      </c>
      <c r="BB175" s="32">
        <v>1</v>
      </c>
      <c r="BC175" s="32">
        <v>165</v>
      </c>
      <c r="BD175" s="32">
        <v>122.97999999999999</v>
      </c>
      <c r="BZ175">
        <v>4.0935672514619881E-2</v>
      </c>
      <c r="CA175">
        <v>0.38694638694638694</v>
      </c>
      <c r="CB175">
        <v>4.0935672514619881E-2</v>
      </c>
    </row>
    <row r="176" spans="52:80" x14ac:dyDescent="0.25">
      <c r="AZ176" s="32">
        <v>173</v>
      </c>
      <c r="BA176" s="32">
        <v>0.98946339157845553</v>
      </c>
      <c r="BB176" s="32">
        <v>1</v>
      </c>
      <c r="BC176" s="32">
        <v>166</v>
      </c>
      <c r="BD176" s="32">
        <v>123.69499999999999</v>
      </c>
      <c r="BZ176">
        <v>4.0935672514619881E-2</v>
      </c>
      <c r="CA176">
        <v>0.38927738927738925</v>
      </c>
      <c r="CB176">
        <v>4.0935672514619881E-2</v>
      </c>
    </row>
    <row r="177" spans="52:80" x14ac:dyDescent="0.25">
      <c r="AZ177" s="32">
        <v>174</v>
      </c>
      <c r="BA177" s="32">
        <v>0.9892337287535391</v>
      </c>
      <c r="BB177" s="32">
        <v>1</v>
      </c>
      <c r="BC177" s="32">
        <v>167</v>
      </c>
      <c r="BD177" s="32">
        <v>124.41</v>
      </c>
      <c r="BZ177">
        <v>4.0935672514619881E-2</v>
      </c>
      <c r="CA177">
        <v>0.39160839160839161</v>
      </c>
      <c r="CB177">
        <v>4.0935672514619881E-2</v>
      </c>
    </row>
    <row r="178" spans="52:80" x14ac:dyDescent="0.25">
      <c r="AZ178" s="32">
        <v>175</v>
      </c>
      <c r="BA178" s="32">
        <v>0.98907333171242795</v>
      </c>
      <c r="BB178" s="32">
        <v>1</v>
      </c>
      <c r="BC178" s="32">
        <v>168</v>
      </c>
      <c r="BD178" s="32">
        <v>125.125</v>
      </c>
      <c r="BZ178">
        <v>4.0935672514619881E-2</v>
      </c>
      <c r="CA178">
        <v>0.39393939393939392</v>
      </c>
      <c r="CB178">
        <v>4.0935672514619881E-2</v>
      </c>
    </row>
    <row r="179" spans="52:80" x14ac:dyDescent="0.25">
      <c r="AZ179" s="32">
        <v>176</v>
      </c>
      <c r="BA179" s="32">
        <v>0.98879251155870596</v>
      </c>
      <c r="BB179" s="32">
        <v>1</v>
      </c>
      <c r="BC179" s="32">
        <v>169</v>
      </c>
      <c r="BD179" s="32">
        <v>125.83999999999999</v>
      </c>
      <c r="BZ179">
        <v>4.0935672514619881E-2</v>
      </c>
      <c r="CA179">
        <v>0.39627039627039629</v>
      </c>
      <c r="CB179">
        <v>4.0935672514619881E-2</v>
      </c>
    </row>
    <row r="180" spans="52:80" x14ac:dyDescent="0.25">
      <c r="AZ180" s="32">
        <v>177</v>
      </c>
      <c r="BA180" s="32">
        <v>0.98857565161843619</v>
      </c>
      <c r="BB180" s="32">
        <v>1</v>
      </c>
      <c r="BC180" s="32">
        <v>170</v>
      </c>
      <c r="BD180" s="32">
        <v>126.55499999999999</v>
      </c>
      <c r="BZ180">
        <v>4.0935672514619881E-2</v>
      </c>
      <c r="CA180">
        <v>0.39860139860139859</v>
      </c>
      <c r="CB180">
        <v>4.0935672514619881E-2</v>
      </c>
    </row>
    <row r="181" spans="52:80" x14ac:dyDescent="0.25">
      <c r="AZ181" s="32">
        <v>178</v>
      </c>
      <c r="BA181" s="32">
        <v>0.98789768560260605</v>
      </c>
      <c r="BB181" s="32">
        <v>1</v>
      </c>
      <c r="BC181" s="32">
        <v>171</v>
      </c>
      <c r="BD181" s="32">
        <v>127.27</v>
      </c>
      <c r="BZ181">
        <v>4.0935672514619881E-2</v>
      </c>
      <c r="CA181">
        <v>0.40093240093240096</v>
      </c>
      <c r="CB181">
        <v>4.0935672514619881E-2</v>
      </c>
    </row>
    <row r="182" spans="52:80" x14ac:dyDescent="0.25">
      <c r="AZ182" s="32">
        <v>179</v>
      </c>
      <c r="BA182" s="32">
        <v>0.9877553806531445</v>
      </c>
      <c r="BB182" s="32">
        <v>1</v>
      </c>
      <c r="BC182" s="32">
        <v>172</v>
      </c>
      <c r="BD182" s="32">
        <v>127.985</v>
      </c>
      <c r="BZ182">
        <v>4.0935672514619881E-2</v>
      </c>
      <c r="CA182">
        <v>0.40326340326340326</v>
      </c>
      <c r="CB182">
        <v>4.0935672514619881E-2</v>
      </c>
    </row>
    <row r="183" spans="52:80" x14ac:dyDescent="0.25">
      <c r="AZ183" s="32">
        <v>180</v>
      </c>
      <c r="BA183" s="32">
        <v>0.98775300186528714</v>
      </c>
      <c r="BB183" s="32">
        <v>1</v>
      </c>
      <c r="BC183" s="32">
        <v>173</v>
      </c>
      <c r="BD183" s="32">
        <v>128.69999999999999</v>
      </c>
      <c r="BZ183">
        <v>4.0935672514619881E-2</v>
      </c>
      <c r="CA183">
        <v>0.40559440559440557</v>
      </c>
      <c r="CB183">
        <v>4.0935672514619881E-2</v>
      </c>
    </row>
    <row r="184" spans="52:80" x14ac:dyDescent="0.25">
      <c r="AZ184" s="33">
        <v>181</v>
      </c>
      <c r="BA184" s="33">
        <v>0.9871742909486465</v>
      </c>
      <c r="BB184" s="33">
        <v>1</v>
      </c>
      <c r="BC184" s="33">
        <v>174</v>
      </c>
      <c r="BD184" s="33">
        <v>129.41499999999999</v>
      </c>
      <c r="BZ184">
        <v>4.0935672514619881E-2</v>
      </c>
      <c r="CA184">
        <v>0.40792540792540793</v>
      </c>
      <c r="CB184">
        <v>4.0935672514619881E-2</v>
      </c>
    </row>
    <row r="185" spans="52:80" x14ac:dyDescent="0.25">
      <c r="AZ185" s="33">
        <v>182</v>
      </c>
      <c r="BA185" s="33">
        <v>0.98651708492188217</v>
      </c>
      <c r="BB185" s="33">
        <v>1</v>
      </c>
      <c r="BC185" s="33">
        <v>175</v>
      </c>
      <c r="BD185" s="33">
        <v>130.13</v>
      </c>
      <c r="BZ185">
        <v>4.0935672514619881E-2</v>
      </c>
      <c r="CA185">
        <v>0.41025641025641024</v>
      </c>
      <c r="CB185">
        <v>4.0935672514619881E-2</v>
      </c>
    </row>
    <row r="186" spans="52:80" x14ac:dyDescent="0.25">
      <c r="AZ186" s="33">
        <v>183</v>
      </c>
      <c r="BA186" s="33">
        <v>0.98643344700407576</v>
      </c>
      <c r="BB186" s="33">
        <v>1</v>
      </c>
      <c r="BC186" s="33">
        <v>176</v>
      </c>
      <c r="BD186" s="33">
        <v>130.845</v>
      </c>
      <c r="BZ186">
        <v>4.0935672514619881E-2</v>
      </c>
      <c r="CA186">
        <v>0.41258741258741261</v>
      </c>
      <c r="CB186">
        <v>4.0935672514619881E-2</v>
      </c>
    </row>
    <row r="187" spans="52:80" x14ac:dyDescent="0.25">
      <c r="AZ187" s="33">
        <v>184</v>
      </c>
      <c r="BA187" s="33">
        <v>0.9863403443059916</v>
      </c>
      <c r="BB187" s="33">
        <v>1</v>
      </c>
      <c r="BC187" s="33">
        <v>177</v>
      </c>
      <c r="BD187" s="33">
        <v>131.56</v>
      </c>
      <c r="BZ187">
        <v>4.0935672514619881E-2</v>
      </c>
      <c r="CA187">
        <v>0.41491841491841491</v>
      </c>
      <c r="CB187">
        <v>4.0935672514619881E-2</v>
      </c>
    </row>
    <row r="188" spans="52:80" x14ac:dyDescent="0.25">
      <c r="AZ188" s="33">
        <v>185</v>
      </c>
      <c r="BA188" s="33">
        <v>0.98621749874427556</v>
      </c>
      <c r="BB188" s="33">
        <v>1</v>
      </c>
      <c r="BC188" s="33">
        <v>178</v>
      </c>
      <c r="BD188" s="33">
        <v>132.27500000000001</v>
      </c>
      <c r="BZ188">
        <v>4.0935672514619881E-2</v>
      </c>
      <c r="CA188">
        <v>0.41724941724941728</v>
      </c>
      <c r="CB188">
        <v>4.0935672514619881E-2</v>
      </c>
    </row>
    <row r="189" spans="52:80" x14ac:dyDescent="0.25">
      <c r="AZ189" s="33">
        <v>186</v>
      </c>
      <c r="BA189" s="33">
        <v>0.98582973278080344</v>
      </c>
      <c r="BB189" s="33">
        <v>1</v>
      </c>
      <c r="BC189" s="33">
        <v>179</v>
      </c>
      <c r="BD189" s="33">
        <v>132.98999999999998</v>
      </c>
      <c r="BZ189">
        <v>4.0935672514619881E-2</v>
      </c>
      <c r="CA189">
        <v>0.41958041958041958</v>
      </c>
      <c r="CB189">
        <v>4.0935672514619881E-2</v>
      </c>
    </row>
    <row r="190" spans="52:80" x14ac:dyDescent="0.25">
      <c r="AZ190" s="33">
        <v>187</v>
      </c>
      <c r="BA190" s="33">
        <v>0.98564185523547043</v>
      </c>
      <c r="BB190" s="33">
        <v>1</v>
      </c>
      <c r="BC190" s="33">
        <v>180</v>
      </c>
      <c r="BD190" s="33">
        <v>133.70499999999998</v>
      </c>
      <c r="BZ190">
        <v>4.0935672514619881E-2</v>
      </c>
      <c r="CA190">
        <v>0.42191142191142189</v>
      </c>
      <c r="CB190">
        <v>4.0935672514619881E-2</v>
      </c>
    </row>
    <row r="191" spans="52:80" x14ac:dyDescent="0.25">
      <c r="AZ191" s="33">
        <v>188</v>
      </c>
      <c r="BA191" s="33">
        <v>0.98487636577729332</v>
      </c>
      <c r="BB191" s="33">
        <v>1</v>
      </c>
      <c r="BC191" s="33">
        <v>181</v>
      </c>
      <c r="BD191" s="33">
        <v>134.41999999999999</v>
      </c>
      <c r="BZ191">
        <v>4.0935672514619881E-2</v>
      </c>
      <c r="CA191">
        <v>0.42424242424242425</v>
      </c>
      <c r="CB191">
        <v>4.0935672514619881E-2</v>
      </c>
    </row>
    <row r="192" spans="52:80" x14ac:dyDescent="0.25">
      <c r="AZ192" s="33">
        <v>189</v>
      </c>
      <c r="BA192" s="33">
        <v>0.98392892008786437</v>
      </c>
      <c r="BB192" s="33">
        <v>1</v>
      </c>
      <c r="BC192" s="33">
        <v>182</v>
      </c>
      <c r="BD192" s="33">
        <v>135.13499999999999</v>
      </c>
      <c r="BZ192">
        <v>4.0935672514619881E-2</v>
      </c>
      <c r="CA192">
        <v>0.42657342657342656</v>
      </c>
      <c r="CB192">
        <v>4.0935672514619881E-2</v>
      </c>
    </row>
    <row r="193" spans="52:80" x14ac:dyDescent="0.25">
      <c r="AZ193" s="33">
        <v>190</v>
      </c>
      <c r="BA193" s="33">
        <v>0.98390560389383142</v>
      </c>
      <c r="BB193" s="33">
        <v>1</v>
      </c>
      <c r="BC193" s="33">
        <v>183</v>
      </c>
      <c r="BD193" s="33">
        <v>135.85</v>
      </c>
      <c r="BZ193">
        <v>4.0935672514619881E-2</v>
      </c>
      <c r="CA193">
        <v>0.42890442890442892</v>
      </c>
      <c r="CB193">
        <v>4.0935672514619881E-2</v>
      </c>
    </row>
    <row r="194" spans="52:80" x14ac:dyDescent="0.25">
      <c r="AZ194" s="33">
        <v>191</v>
      </c>
      <c r="BA194" s="33">
        <v>0.98370698349139751</v>
      </c>
      <c r="BB194" s="33">
        <v>1</v>
      </c>
      <c r="BC194" s="33">
        <v>184</v>
      </c>
      <c r="BD194" s="33">
        <v>136.565</v>
      </c>
      <c r="BZ194">
        <v>4.0935672514619881E-2</v>
      </c>
      <c r="CA194">
        <v>0.43123543123543123</v>
      </c>
      <c r="CB194">
        <v>4.0935672514619881E-2</v>
      </c>
    </row>
    <row r="195" spans="52:80" x14ac:dyDescent="0.25">
      <c r="AZ195" s="33">
        <v>192</v>
      </c>
      <c r="BA195" s="33">
        <v>0.98362377850776217</v>
      </c>
      <c r="BB195" s="33">
        <v>1</v>
      </c>
      <c r="BC195" s="33">
        <v>185</v>
      </c>
      <c r="BD195" s="33">
        <v>137.28</v>
      </c>
      <c r="BZ195">
        <v>4.0935672514619881E-2</v>
      </c>
      <c r="CA195">
        <v>0.43356643356643354</v>
      </c>
      <c r="CB195">
        <v>4.0935672514619881E-2</v>
      </c>
    </row>
    <row r="196" spans="52:80" x14ac:dyDescent="0.25">
      <c r="AZ196" s="33">
        <v>193</v>
      </c>
      <c r="BA196" s="33">
        <v>0.98349400231114159</v>
      </c>
      <c r="BB196" s="33">
        <v>1</v>
      </c>
      <c r="BC196" s="33">
        <v>186</v>
      </c>
      <c r="BD196" s="33">
        <v>137.995</v>
      </c>
      <c r="BZ196">
        <v>4.0935672514619881E-2</v>
      </c>
      <c r="CA196">
        <v>0.4358974358974359</v>
      </c>
      <c r="CB196">
        <v>4.0935672514619881E-2</v>
      </c>
    </row>
    <row r="197" spans="52:80" x14ac:dyDescent="0.25">
      <c r="AZ197" s="33">
        <v>194</v>
      </c>
      <c r="BA197" s="33">
        <v>0.98326830134854482</v>
      </c>
      <c r="BB197" s="33">
        <v>1</v>
      </c>
      <c r="BC197" s="33">
        <v>187</v>
      </c>
      <c r="BD197" s="33">
        <v>138.71</v>
      </c>
      <c r="BZ197">
        <v>4.0935672514619881E-2</v>
      </c>
      <c r="CA197">
        <v>0.43822843822843821</v>
      </c>
      <c r="CB197">
        <v>4.0935672514619881E-2</v>
      </c>
    </row>
    <row r="198" spans="52:80" x14ac:dyDescent="0.25">
      <c r="AZ198" s="33">
        <v>195</v>
      </c>
      <c r="BA198" s="33">
        <v>0.98311860518022065</v>
      </c>
      <c r="BB198" s="33">
        <v>1</v>
      </c>
      <c r="BC198" s="33">
        <v>188</v>
      </c>
      <c r="BD198" s="33">
        <v>139.42499999999998</v>
      </c>
      <c r="BZ198">
        <v>4.0935672514619881E-2</v>
      </c>
      <c r="CA198">
        <v>0.44055944055944057</v>
      </c>
      <c r="CB198">
        <v>4.0935672514619881E-2</v>
      </c>
    </row>
    <row r="199" spans="52:80" x14ac:dyDescent="0.25">
      <c r="AZ199" s="33">
        <v>196</v>
      </c>
      <c r="BA199" s="33">
        <v>0.9826477781262436</v>
      </c>
      <c r="BB199" s="33">
        <v>1</v>
      </c>
      <c r="BC199" s="33">
        <v>189</v>
      </c>
      <c r="BD199" s="33">
        <v>140.13999999999999</v>
      </c>
      <c r="BZ199">
        <v>4.0935672514619881E-2</v>
      </c>
      <c r="CA199">
        <v>0.44289044289044288</v>
      </c>
      <c r="CB199">
        <v>4.0935672514619881E-2</v>
      </c>
    </row>
    <row r="200" spans="52:80" x14ac:dyDescent="0.25">
      <c r="AZ200" s="33">
        <v>197</v>
      </c>
      <c r="BA200" s="33">
        <v>0.98228176182657256</v>
      </c>
      <c r="BB200" s="33">
        <v>1</v>
      </c>
      <c r="BC200" s="33">
        <v>190</v>
      </c>
      <c r="BD200" s="33">
        <v>140.85499999999999</v>
      </c>
      <c r="BZ200">
        <v>4.0935672514619881E-2</v>
      </c>
      <c r="CA200">
        <v>0.44522144522144524</v>
      </c>
      <c r="CB200">
        <v>4.0935672514619881E-2</v>
      </c>
    </row>
    <row r="201" spans="52:80" x14ac:dyDescent="0.25">
      <c r="AZ201" s="33">
        <v>198</v>
      </c>
      <c r="BA201" s="33">
        <v>0.98214318694320102</v>
      </c>
      <c r="BB201" s="33">
        <v>1</v>
      </c>
      <c r="BC201" s="33">
        <v>191</v>
      </c>
      <c r="BD201" s="33">
        <v>141.57</v>
      </c>
      <c r="BZ201">
        <v>4.0935672514619881E-2</v>
      </c>
      <c r="CA201">
        <v>0.44755244755244755</v>
      </c>
      <c r="CB201">
        <v>4.0935672514619881E-2</v>
      </c>
    </row>
    <row r="202" spans="52:80" x14ac:dyDescent="0.25">
      <c r="AZ202" s="33">
        <v>199</v>
      </c>
      <c r="BA202" s="33">
        <v>0.98182124795432413</v>
      </c>
      <c r="BB202" s="33">
        <v>1</v>
      </c>
      <c r="BC202" s="33">
        <v>192</v>
      </c>
      <c r="BD202" s="33">
        <v>142.285</v>
      </c>
      <c r="BZ202">
        <v>4.0935672514619881E-2</v>
      </c>
      <c r="CA202">
        <v>0.44988344988344986</v>
      </c>
      <c r="CB202">
        <v>4.0935672514619881E-2</v>
      </c>
    </row>
    <row r="203" spans="52:80" x14ac:dyDescent="0.25">
      <c r="AZ203" s="33">
        <v>200</v>
      </c>
      <c r="BA203" s="33">
        <v>0.98178845296544126</v>
      </c>
      <c r="BB203" s="33">
        <v>1</v>
      </c>
      <c r="BC203" s="33">
        <v>193</v>
      </c>
      <c r="BD203" s="33">
        <v>143</v>
      </c>
      <c r="BZ203">
        <v>4.0935672514619881E-2</v>
      </c>
      <c r="CA203">
        <v>0.45221445221445222</v>
      </c>
      <c r="CB203">
        <v>4.0935672514619881E-2</v>
      </c>
    </row>
    <row r="204" spans="52:80" x14ac:dyDescent="0.25">
      <c r="AZ204" s="33">
        <v>201</v>
      </c>
      <c r="BA204" s="33">
        <v>0.98175584703315688</v>
      </c>
      <c r="BB204" s="33">
        <v>1</v>
      </c>
      <c r="BC204" s="33">
        <v>194</v>
      </c>
      <c r="BD204" s="33">
        <v>143.715</v>
      </c>
      <c r="BZ204">
        <v>4.0935672514619881E-2</v>
      </c>
      <c r="CA204">
        <v>0.45454545454545453</v>
      </c>
      <c r="CB204">
        <v>4.0935672514619881E-2</v>
      </c>
    </row>
    <row r="205" spans="52:80" x14ac:dyDescent="0.25">
      <c r="AZ205" s="33">
        <v>202</v>
      </c>
      <c r="BA205" s="33">
        <v>0.98113328519216192</v>
      </c>
      <c r="BB205" s="33">
        <v>1</v>
      </c>
      <c r="BC205" s="33">
        <v>195</v>
      </c>
      <c r="BD205" s="33">
        <v>144.43</v>
      </c>
      <c r="BZ205">
        <v>4.0935672514619881E-2</v>
      </c>
      <c r="CA205">
        <v>0.45687645687645689</v>
      </c>
      <c r="CB205">
        <v>4.0935672514619881E-2</v>
      </c>
    </row>
    <row r="206" spans="52:80" x14ac:dyDescent="0.25">
      <c r="AZ206" s="33">
        <v>203</v>
      </c>
      <c r="BA206" s="33">
        <v>0.98110554631048785</v>
      </c>
      <c r="BB206" s="33">
        <v>1</v>
      </c>
      <c r="BC206" s="33">
        <v>196</v>
      </c>
      <c r="BD206" s="33">
        <v>145.14499999999998</v>
      </c>
      <c r="BZ206">
        <v>4.0935672514619881E-2</v>
      </c>
      <c r="CA206">
        <v>0.4592074592074592</v>
      </c>
      <c r="CB206">
        <v>4.0935672514619881E-2</v>
      </c>
    </row>
    <row r="207" spans="52:80" x14ac:dyDescent="0.25">
      <c r="AZ207" s="33">
        <v>204</v>
      </c>
      <c r="BA207" s="33">
        <v>0.9806402224376205</v>
      </c>
      <c r="BB207" s="33">
        <v>1</v>
      </c>
      <c r="BC207" s="33">
        <v>197</v>
      </c>
      <c r="BD207" s="33">
        <v>145.85999999999999</v>
      </c>
      <c r="BZ207">
        <v>4.0935672514619881E-2</v>
      </c>
      <c r="CA207">
        <v>0.46153846153846156</v>
      </c>
      <c r="CB207">
        <v>4.0935672514619881E-2</v>
      </c>
    </row>
    <row r="208" spans="52:80" x14ac:dyDescent="0.25">
      <c r="AZ208" s="33">
        <v>205</v>
      </c>
      <c r="BA208" s="33">
        <v>0.98061257651399802</v>
      </c>
      <c r="BB208" s="33">
        <v>1</v>
      </c>
      <c r="BC208" s="33">
        <v>198</v>
      </c>
      <c r="BD208" s="33">
        <v>146.57499999999999</v>
      </c>
      <c r="BZ208">
        <v>4.0935672514619881E-2</v>
      </c>
      <c r="CA208">
        <v>0.46386946386946387</v>
      </c>
      <c r="CB208">
        <v>4.0935672514619881E-2</v>
      </c>
    </row>
    <row r="209" spans="52:80" x14ac:dyDescent="0.25">
      <c r="AZ209" s="33">
        <v>206</v>
      </c>
      <c r="BA209" s="33">
        <v>0.97900614417723431</v>
      </c>
      <c r="BB209" s="33">
        <v>1</v>
      </c>
      <c r="BC209" s="33">
        <v>199</v>
      </c>
      <c r="BD209" s="33">
        <v>147.29</v>
      </c>
      <c r="BZ209">
        <v>4.0935672514619881E-2</v>
      </c>
      <c r="CA209">
        <v>0.46620046620046618</v>
      </c>
      <c r="CB209">
        <v>4.0935672514619881E-2</v>
      </c>
    </row>
    <row r="210" spans="52:80" x14ac:dyDescent="0.25">
      <c r="AZ210" s="33">
        <v>207</v>
      </c>
      <c r="BA210" s="33">
        <v>0.97849470403056971</v>
      </c>
      <c r="BB210" s="33">
        <v>1</v>
      </c>
      <c r="BC210" s="33">
        <v>200</v>
      </c>
      <c r="BD210" s="33">
        <v>148.005</v>
      </c>
      <c r="BZ210">
        <v>4.0935672514619881E-2</v>
      </c>
      <c r="CA210">
        <v>0.46853146853146854</v>
      </c>
      <c r="CB210">
        <v>4.0935672514619881E-2</v>
      </c>
    </row>
    <row r="211" spans="52:80" x14ac:dyDescent="0.25">
      <c r="AZ211" s="33">
        <v>208</v>
      </c>
      <c r="BA211" s="33">
        <v>0.97844311531335348</v>
      </c>
      <c r="BB211" s="33">
        <v>1</v>
      </c>
      <c r="BC211" s="33">
        <v>201</v>
      </c>
      <c r="BD211" s="33">
        <v>148.72</v>
      </c>
      <c r="BZ211">
        <v>4.0935672514619881E-2</v>
      </c>
      <c r="CA211">
        <v>0.47086247086247085</v>
      </c>
      <c r="CB211">
        <v>4.0935672514619881E-2</v>
      </c>
    </row>
    <row r="212" spans="52:80" x14ac:dyDescent="0.25">
      <c r="AZ212" s="33">
        <v>209</v>
      </c>
      <c r="BA212" s="33">
        <v>0.978343316853308</v>
      </c>
      <c r="BB212" s="33">
        <v>1</v>
      </c>
      <c r="BC212" s="33">
        <v>202</v>
      </c>
      <c r="BD212" s="33">
        <v>149.435</v>
      </c>
      <c r="BZ212">
        <v>4.0935672514619881E-2</v>
      </c>
      <c r="CA212">
        <v>0.47319347319347321</v>
      </c>
      <c r="CB212">
        <v>4.0935672514619881E-2</v>
      </c>
    </row>
    <row r="213" spans="52:80" x14ac:dyDescent="0.25">
      <c r="AZ213" s="33">
        <v>210</v>
      </c>
      <c r="BA213" s="33">
        <v>0.97823466619730581</v>
      </c>
      <c r="BB213" s="33">
        <v>1</v>
      </c>
      <c r="BC213" s="33">
        <v>203</v>
      </c>
      <c r="BD213" s="33">
        <v>150.15</v>
      </c>
      <c r="BZ213">
        <v>4.0935672514619881E-2</v>
      </c>
      <c r="CA213">
        <v>0.47552447552447552</v>
      </c>
      <c r="CB213">
        <v>4.0935672514619881E-2</v>
      </c>
    </row>
    <row r="214" spans="52:80" x14ac:dyDescent="0.25">
      <c r="AZ214" s="33">
        <v>211</v>
      </c>
      <c r="BA214" s="33">
        <v>0.97746222689945839</v>
      </c>
      <c r="BB214" s="33">
        <v>1</v>
      </c>
      <c r="BC214" s="33">
        <v>204</v>
      </c>
      <c r="BD214" s="33">
        <v>150.86499999999998</v>
      </c>
      <c r="BZ214">
        <v>4.0935672514619881E-2</v>
      </c>
      <c r="CA214">
        <v>0.47785547785547783</v>
      </c>
      <c r="CB214">
        <v>4.0935672514619881E-2</v>
      </c>
    </row>
    <row r="215" spans="52:80" x14ac:dyDescent="0.25">
      <c r="AZ215" s="33">
        <v>212</v>
      </c>
      <c r="BA215" s="33">
        <v>0.97720120698911306</v>
      </c>
      <c r="BB215" s="33">
        <v>1</v>
      </c>
      <c r="BC215" s="33">
        <v>205</v>
      </c>
      <c r="BD215" s="33">
        <v>151.57999999999998</v>
      </c>
      <c r="BZ215">
        <v>4.0935672514619881E-2</v>
      </c>
      <c r="CA215">
        <v>0.48018648018648019</v>
      </c>
      <c r="CB215">
        <v>4.0935672514619881E-2</v>
      </c>
    </row>
    <row r="216" spans="52:80" x14ac:dyDescent="0.25">
      <c r="AZ216" s="33">
        <v>213</v>
      </c>
      <c r="BA216" s="33">
        <v>0.97660315953978893</v>
      </c>
      <c r="BB216" s="33">
        <v>1</v>
      </c>
      <c r="BC216" s="33">
        <v>206</v>
      </c>
      <c r="BD216" s="33">
        <v>152.29499999999999</v>
      </c>
      <c r="BZ216">
        <v>4.0935672514619881E-2</v>
      </c>
      <c r="CA216">
        <v>0.4825174825174825</v>
      </c>
      <c r="CB216">
        <v>4.0935672514619881E-2</v>
      </c>
    </row>
    <row r="217" spans="52:80" x14ac:dyDescent="0.25">
      <c r="AZ217" s="33">
        <v>214</v>
      </c>
      <c r="BA217" s="33">
        <v>0.97646101610188585</v>
      </c>
      <c r="BB217" s="33">
        <v>1</v>
      </c>
      <c r="BC217" s="33">
        <v>207</v>
      </c>
      <c r="BD217" s="33">
        <v>153.01</v>
      </c>
      <c r="BZ217">
        <v>4.0935672514619881E-2</v>
      </c>
      <c r="CA217">
        <v>0.48484848484848486</v>
      </c>
      <c r="CB217">
        <v>4.0935672514619881E-2</v>
      </c>
    </row>
    <row r="218" spans="52:80" x14ac:dyDescent="0.25">
      <c r="AZ218" s="33">
        <v>215</v>
      </c>
      <c r="BA218" s="33">
        <v>0.97640333144590541</v>
      </c>
      <c r="BB218" s="33">
        <v>1</v>
      </c>
      <c r="BC218" s="33">
        <v>208</v>
      </c>
      <c r="BD218" s="33">
        <v>153.72499999999999</v>
      </c>
      <c r="BZ218">
        <v>4.0935672514619881E-2</v>
      </c>
      <c r="CA218">
        <v>0.48717948717948717</v>
      </c>
      <c r="CB218">
        <v>4.0935672514619881E-2</v>
      </c>
    </row>
    <row r="219" spans="52:80" x14ac:dyDescent="0.25">
      <c r="AZ219" s="33">
        <v>216</v>
      </c>
      <c r="BA219" s="33">
        <v>0.97637272331049174</v>
      </c>
      <c r="BB219" s="33">
        <v>1</v>
      </c>
      <c r="BC219" s="33">
        <v>209</v>
      </c>
      <c r="BD219" s="33">
        <v>154.44</v>
      </c>
      <c r="BZ219">
        <v>4.0935672514619881E-2</v>
      </c>
      <c r="CA219">
        <v>0.48951048951048953</v>
      </c>
      <c r="CB219">
        <v>4.0935672514619881E-2</v>
      </c>
    </row>
    <row r="220" spans="52:80" x14ac:dyDescent="0.25">
      <c r="AZ220" s="33">
        <v>217</v>
      </c>
      <c r="BA220" s="33">
        <v>0.97617539284390575</v>
      </c>
      <c r="BB220" s="33">
        <v>1</v>
      </c>
      <c r="BC220" s="33">
        <v>210</v>
      </c>
      <c r="BD220" s="33">
        <v>155.155</v>
      </c>
      <c r="BZ220">
        <v>4.0935672514619881E-2</v>
      </c>
      <c r="CA220">
        <v>0.49184149184149184</v>
      </c>
      <c r="CB220">
        <v>4.0935672514619881E-2</v>
      </c>
    </row>
    <row r="221" spans="52:80" x14ac:dyDescent="0.25">
      <c r="AZ221" s="33">
        <v>218</v>
      </c>
      <c r="BA221" s="33">
        <v>0.9758612477716222</v>
      </c>
      <c r="BB221" s="33">
        <v>1</v>
      </c>
      <c r="BC221" s="33">
        <v>211</v>
      </c>
      <c r="BD221" s="33">
        <v>155.87</v>
      </c>
      <c r="BZ221">
        <v>4.0935672514619881E-2</v>
      </c>
      <c r="CA221">
        <v>0.49417249417249415</v>
      </c>
      <c r="CB221">
        <v>4.0935672514619881E-2</v>
      </c>
    </row>
    <row r="222" spans="52:80" x14ac:dyDescent="0.25">
      <c r="AZ222" s="33">
        <v>219</v>
      </c>
      <c r="BA222" s="33">
        <v>0.97487482076584897</v>
      </c>
      <c r="BB222" s="33">
        <v>1</v>
      </c>
      <c r="BC222" s="33">
        <v>212</v>
      </c>
      <c r="BD222" s="33">
        <v>156.58499999999998</v>
      </c>
      <c r="BZ222">
        <v>4.0935672514619881E-2</v>
      </c>
      <c r="CA222">
        <v>0.49650349650349651</v>
      </c>
      <c r="CB222">
        <v>4.0935672514619881E-2</v>
      </c>
    </row>
    <row r="223" spans="52:80" x14ac:dyDescent="0.25">
      <c r="AZ223" s="33">
        <v>220</v>
      </c>
      <c r="BA223" s="33">
        <v>0.97447553324087532</v>
      </c>
      <c r="BB223" s="33">
        <v>1</v>
      </c>
      <c r="BC223" s="33">
        <v>213</v>
      </c>
      <c r="BD223" s="33">
        <v>157.29999999999998</v>
      </c>
      <c r="BZ223">
        <v>4.0935672514619881E-2</v>
      </c>
      <c r="CA223">
        <v>0.49883449883449882</v>
      </c>
      <c r="CB223">
        <v>4.0935672514619881E-2</v>
      </c>
    </row>
    <row r="224" spans="52:80" x14ac:dyDescent="0.25">
      <c r="AZ224" s="33">
        <v>221</v>
      </c>
      <c r="BA224" s="33">
        <v>0.97427172740119528</v>
      </c>
      <c r="BB224" s="33">
        <v>1</v>
      </c>
      <c r="BC224" s="33">
        <v>214</v>
      </c>
      <c r="BD224" s="33">
        <v>158.01499999999999</v>
      </c>
      <c r="BZ224">
        <v>4.0935672514619881E-2</v>
      </c>
      <c r="CA224">
        <v>0.50116550116550118</v>
      </c>
      <c r="CB224">
        <v>4.0935672514619881E-2</v>
      </c>
    </row>
    <row r="225" spans="52:80" x14ac:dyDescent="0.25">
      <c r="AZ225" s="33">
        <v>222</v>
      </c>
      <c r="BA225" s="33">
        <v>0.97369133348474923</v>
      </c>
      <c r="BB225" s="33">
        <v>1</v>
      </c>
      <c r="BC225" s="33">
        <v>215</v>
      </c>
      <c r="BD225" s="33">
        <v>158.72999999999999</v>
      </c>
      <c r="BZ225">
        <v>4.0935672514619881E-2</v>
      </c>
      <c r="CA225">
        <v>0.50349650349650354</v>
      </c>
      <c r="CB225">
        <v>4.0935672514619881E-2</v>
      </c>
    </row>
    <row r="226" spans="52:80" x14ac:dyDescent="0.25">
      <c r="AZ226" s="33">
        <v>223</v>
      </c>
      <c r="BA226" s="33">
        <v>0.97328205275044699</v>
      </c>
      <c r="BB226" s="33">
        <v>1</v>
      </c>
      <c r="BC226" s="33">
        <v>216</v>
      </c>
      <c r="BD226" s="33">
        <v>159.44499999999999</v>
      </c>
      <c r="BZ226">
        <v>4.0935672514619881E-2</v>
      </c>
      <c r="CA226">
        <v>0.5058275058275058</v>
      </c>
      <c r="CB226">
        <v>4.0935672514619881E-2</v>
      </c>
    </row>
    <row r="227" spans="52:80" x14ac:dyDescent="0.25">
      <c r="AZ227" s="33">
        <v>224</v>
      </c>
      <c r="BA227" s="33">
        <v>0.97283187656649761</v>
      </c>
      <c r="BB227" s="33">
        <v>1</v>
      </c>
      <c r="BC227" s="33">
        <v>217</v>
      </c>
      <c r="BD227" s="33">
        <v>160.16</v>
      </c>
      <c r="BZ227">
        <v>4.0935672514619881E-2</v>
      </c>
      <c r="CA227">
        <v>0.50815850815850816</v>
      </c>
      <c r="CB227">
        <v>4.0935672514619881E-2</v>
      </c>
    </row>
    <row r="228" spans="52:80" x14ac:dyDescent="0.25">
      <c r="AZ228" s="33">
        <v>225</v>
      </c>
      <c r="BA228" s="33">
        <v>0.97262469118390038</v>
      </c>
      <c r="BB228" s="33">
        <v>1</v>
      </c>
      <c r="BC228" s="33">
        <v>218</v>
      </c>
      <c r="BD228" s="33">
        <v>160.875</v>
      </c>
      <c r="BZ228">
        <v>4.0935672514619881E-2</v>
      </c>
      <c r="CA228">
        <v>0.51048951048951052</v>
      </c>
      <c r="CB228">
        <v>4.0935672514619881E-2</v>
      </c>
    </row>
    <row r="229" spans="52:80" x14ac:dyDescent="0.25">
      <c r="AZ229" s="33">
        <v>226</v>
      </c>
      <c r="BA229" s="33">
        <v>0.97138627260061394</v>
      </c>
      <c r="BB229" s="33">
        <v>1</v>
      </c>
      <c r="BC229" s="33">
        <v>219</v>
      </c>
      <c r="BD229" s="33">
        <v>161.59</v>
      </c>
      <c r="BZ229">
        <v>4.0935672514619881E-2</v>
      </c>
      <c r="CA229">
        <v>0.51282051282051277</v>
      </c>
      <c r="CB229">
        <v>4.0935672514619881E-2</v>
      </c>
    </row>
    <row r="230" spans="52:80" x14ac:dyDescent="0.25">
      <c r="AZ230" s="33">
        <v>227</v>
      </c>
      <c r="BA230" s="33">
        <v>0.97100915661175913</v>
      </c>
      <c r="BB230" s="33">
        <v>1</v>
      </c>
      <c r="BC230" s="33">
        <v>220</v>
      </c>
      <c r="BD230" s="33">
        <v>162.30500000000001</v>
      </c>
      <c r="BZ230">
        <v>4.6783625730994149E-2</v>
      </c>
      <c r="CA230">
        <v>0.51282051282051277</v>
      </c>
      <c r="CB230">
        <v>4.6783625730994149E-2</v>
      </c>
    </row>
    <row r="231" spans="52:80" x14ac:dyDescent="0.25">
      <c r="AZ231" s="33">
        <v>228</v>
      </c>
      <c r="BA231" s="33">
        <v>0.97088246025306224</v>
      </c>
      <c r="BB231" s="33">
        <v>0</v>
      </c>
      <c r="BC231" s="33">
        <v>220</v>
      </c>
      <c r="BD231" s="33">
        <v>163.01999999999998</v>
      </c>
      <c r="BZ231">
        <v>4.6783625730994149E-2</v>
      </c>
      <c r="CA231">
        <v>0.51515151515151514</v>
      </c>
      <c r="CB231">
        <v>4.6783625730994149E-2</v>
      </c>
    </row>
    <row r="232" spans="52:80" x14ac:dyDescent="0.25">
      <c r="AZ232" s="33">
        <v>229</v>
      </c>
      <c r="BA232" s="33">
        <v>0.9707036314966847</v>
      </c>
      <c r="BB232" s="33">
        <v>1</v>
      </c>
      <c r="BC232" s="33">
        <v>221</v>
      </c>
      <c r="BD232" s="33">
        <v>163.73499999999999</v>
      </c>
      <c r="BZ232">
        <v>4.6783625730994149E-2</v>
      </c>
      <c r="CA232">
        <v>0.5174825174825175</v>
      </c>
      <c r="CB232">
        <v>4.6783625730994149E-2</v>
      </c>
    </row>
    <row r="233" spans="52:80" x14ac:dyDescent="0.25">
      <c r="AZ233" s="33">
        <v>230</v>
      </c>
      <c r="BA233" s="33">
        <v>0.97062015933447487</v>
      </c>
      <c r="BB233" s="33">
        <v>1</v>
      </c>
      <c r="BC233" s="33">
        <v>222</v>
      </c>
      <c r="BD233" s="33">
        <v>164.45</v>
      </c>
      <c r="BZ233">
        <v>4.6783625730994149E-2</v>
      </c>
      <c r="CA233">
        <v>0.51981351981351986</v>
      </c>
      <c r="CB233">
        <v>4.6783625730994149E-2</v>
      </c>
    </row>
    <row r="234" spans="52:80" x14ac:dyDescent="0.25">
      <c r="AZ234" s="33">
        <v>231</v>
      </c>
      <c r="BA234" s="33">
        <v>0.97044197512009145</v>
      </c>
      <c r="BB234" s="33">
        <v>1</v>
      </c>
      <c r="BC234" s="33">
        <v>223</v>
      </c>
      <c r="BD234" s="33">
        <v>165.16499999999999</v>
      </c>
      <c r="BZ234">
        <v>4.6783625730994149E-2</v>
      </c>
      <c r="CA234">
        <v>0.52214452214452212</v>
      </c>
      <c r="CB234">
        <v>4.6783625730994149E-2</v>
      </c>
    </row>
    <row r="235" spans="52:80" x14ac:dyDescent="0.25">
      <c r="AZ235" s="33">
        <v>232</v>
      </c>
      <c r="BA235" s="33">
        <v>0.97018225578386663</v>
      </c>
      <c r="BB235" s="33">
        <v>1</v>
      </c>
      <c r="BC235" s="33">
        <v>224</v>
      </c>
      <c r="BD235" s="33">
        <v>165.88</v>
      </c>
      <c r="BZ235">
        <v>4.6783625730994149E-2</v>
      </c>
      <c r="CA235">
        <v>0.52447552447552448</v>
      </c>
      <c r="CB235">
        <v>4.6783625730994149E-2</v>
      </c>
    </row>
    <row r="236" spans="52:80" x14ac:dyDescent="0.25">
      <c r="AZ236" s="33">
        <v>233</v>
      </c>
      <c r="BA236" s="33">
        <v>0.9688414795551088</v>
      </c>
      <c r="BB236" s="33">
        <v>1</v>
      </c>
      <c r="BC236" s="33">
        <v>225</v>
      </c>
      <c r="BD236" s="33">
        <v>166.595</v>
      </c>
      <c r="BZ236">
        <v>4.6783625730994149E-2</v>
      </c>
      <c r="CA236">
        <v>0.52680652680652684</v>
      </c>
      <c r="CB236">
        <v>4.6783625730994149E-2</v>
      </c>
    </row>
    <row r="237" spans="52:80" x14ac:dyDescent="0.25">
      <c r="AZ237" s="33">
        <v>234</v>
      </c>
      <c r="BA237" s="33">
        <v>0.96864144780060557</v>
      </c>
      <c r="BB237" s="33">
        <v>1</v>
      </c>
      <c r="BC237" s="33">
        <v>226</v>
      </c>
      <c r="BD237" s="33">
        <v>167.31</v>
      </c>
      <c r="BZ237">
        <v>4.6783625730994149E-2</v>
      </c>
      <c r="CA237">
        <v>0.52913752913752909</v>
      </c>
      <c r="CB237">
        <v>4.6783625730994149E-2</v>
      </c>
    </row>
    <row r="238" spans="52:80" x14ac:dyDescent="0.25">
      <c r="AZ238" s="33">
        <v>235</v>
      </c>
      <c r="BA238" s="33">
        <v>0.96802553898172006</v>
      </c>
      <c r="BB238" s="33">
        <v>1</v>
      </c>
      <c r="BC238" s="33">
        <v>227</v>
      </c>
      <c r="BD238" s="33">
        <v>168.02500000000001</v>
      </c>
      <c r="BZ238">
        <v>4.6783625730994149E-2</v>
      </c>
      <c r="CA238">
        <v>0.53146853146853146</v>
      </c>
      <c r="CB238">
        <v>4.6783625730994149E-2</v>
      </c>
    </row>
    <row r="239" spans="52:80" x14ac:dyDescent="0.25">
      <c r="AZ239" s="33">
        <v>236</v>
      </c>
      <c r="BA239" s="33">
        <v>0.96801541726702245</v>
      </c>
      <c r="BB239" s="33">
        <v>1</v>
      </c>
      <c r="BC239" s="33">
        <v>228</v>
      </c>
      <c r="BD239" s="33">
        <v>168.73999999999998</v>
      </c>
      <c r="BZ239">
        <v>4.6783625730994149E-2</v>
      </c>
      <c r="CA239">
        <v>0.53379953379953382</v>
      </c>
      <c r="CB239">
        <v>4.6783625730994149E-2</v>
      </c>
    </row>
    <row r="240" spans="52:80" x14ac:dyDescent="0.25">
      <c r="AZ240" s="33">
        <v>237</v>
      </c>
      <c r="BA240" s="33">
        <v>0.96788153452897996</v>
      </c>
      <c r="BB240" s="33">
        <v>1</v>
      </c>
      <c r="BC240" s="33">
        <v>229</v>
      </c>
      <c r="BD240" s="33">
        <v>169.45499999999998</v>
      </c>
      <c r="BZ240">
        <v>4.6783625730994149E-2</v>
      </c>
      <c r="CA240">
        <v>0.53613053613053618</v>
      </c>
      <c r="CB240">
        <v>4.6783625730994149E-2</v>
      </c>
    </row>
    <row r="241" spans="52:80" x14ac:dyDescent="0.25">
      <c r="AZ241" s="33">
        <v>238</v>
      </c>
      <c r="BA241" s="33">
        <v>0.96771525722421536</v>
      </c>
      <c r="BB241" s="33">
        <v>1</v>
      </c>
      <c r="BC241" s="33">
        <v>230</v>
      </c>
      <c r="BD241" s="33">
        <v>170.17</v>
      </c>
      <c r="BZ241">
        <v>4.6783625730994149E-2</v>
      </c>
      <c r="CA241">
        <v>0.53846153846153844</v>
      </c>
      <c r="CB241">
        <v>4.6783625730994149E-2</v>
      </c>
    </row>
    <row r="242" spans="52:80" x14ac:dyDescent="0.25">
      <c r="AZ242" s="33">
        <v>239</v>
      </c>
      <c r="BA242" s="33">
        <v>0.96749150435275666</v>
      </c>
      <c r="BB242" s="33">
        <v>1</v>
      </c>
      <c r="BC242" s="33">
        <v>231</v>
      </c>
      <c r="BD242" s="33">
        <v>170.88499999999999</v>
      </c>
      <c r="BZ242">
        <v>4.6783625730994149E-2</v>
      </c>
      <c r="CA242">
        <v>0.5407925407925408</v>
      </c>
      <c r="CB242">
        <v>4.6783625730994149E-2</v>
      </c>
    </row>
    <row r="243" spans="52:80" x14ac:dyDescent="0.25">
      <c r="AZ243" s="33">
        <v>240</v>
      </c>
      <c r="BA243" s="33">
        <v>0.96726654177867677</v>
      </c>
      <c r="BB243" s="33">
        <v>1</v>
      </c>
      <c r="BC243" s="33">
        <v>232</v>
      </c>
      <c r="BD243" s="33">
        <v>171.6</v>
      </c>
      <c r="BZ243">
        <v>4.6783625730994149E-2</v>
      </c>
      <c r="CA243">
        <v>0.54312354312354316</v>
      </c>
      <c r="CB243">
        <v>4.6783625730994149E-2</v>
      </c>
    </row>
    <row r="244" spans="52:80" x14ac:dyDescent="0.25">
      <c r="AZ244" s="32">
        <v>241</v>
      </c>
      <c r="BA244" s="32">
        <v>0.96712011832738931</v>
      </c>
      <c r="BB244" s="32">
        <v>1</v>
      </c>
      <c r="BC244" s="32">
        <v>233</v>
      </c>
      <c r="BD244" s="32">
        <v>172.315</v>
      </c>
      <c r="BZ244">
        <v>4.6783625730994149E-2</v>
      </c>
      <c r="CA244">
        <v>0.54545454545454541</v>
      </c>
      <c r="CB244">
        <v>4.6783625730994149E-2</v>
      </c>
    </row>
    <row r="245" spans="52:80" x14ac:dyDescent="0.25">
      <c r="AZ245" s="32">
        <v>242</v>
      </c>
      <c r="BA245" s="32">
        <v>0.96685194943544706</v>
      </c>
      <c r="BB245" s="32">
        <v>1</v>
      </c>
      <c r="BC245" s="32">
        <v>234</v>
      </c>
      <c r="BD245" s="32">
        <v>173.03</v>
      </c>
      <c r="BZ245">
        <v>4.6783625730994149E-2</v>
      </c>
      <c r="CA245">
        <v>0.54778554778554778</v>
      </c>
      <c r="CB245">
        <v>4.6783625730994149E-2</v>
      </c>
    </row>
    <row r="246" spans="52:80" x14ac:dyDescent="0.25">
      <c r="AZ246" s="32">
        <v>243</v>
      </c>
      <c r="BA246" s="32">
        <v>0.96573932735798707</v>
      </c>
      <c r="BB246" s="32">
        <v>1</v>
      </c>
      <c r="BC246" s="32">
        <v>235</v>
      </c>
      <c r="BD246" s="32">
        <v>173.745</v>
      </c>
      <c r="BZ246">
        <v>5.2631578947368418E-2</v>
      </c>
      <c r="CA246">
        <v>0.54778554778554778</v>
      </c>
      <c r="CB246">
        <v>5.2631578947368418E-2</v>
      </c>
    </row>
    <row r="247" spans="52:80" x14ac:dyDescent="0.25">
      <c r="AZ247" s="32">
        <v>244</v>
      </c>
      <c r="BA247" s="32">
        <v>0.96567750257578444</v>
      </c>
      <c r="BB247" s="32">
        <v>0</v>
      </c>
      <c r="BC247" s="32">
        <v>235</v>
      </c>
      <c r="BD247" s="32">
        <v>174.45999999999998</v>
      </c>
      <c r="BZ247">
        <v>5.2631578947368418E-2</v>
      </c>
      <c r="CA247">
        <v>0.55011655011655014</v>
      </c>
      <c r="CB247">
        <v>5.2631578947368418E-2</v>
      </c>
    </row>
    <row r="248" spans="52:80" x14ac:dyDescent="0.25">
      <c r="AZ248" s="32">
        <v>245</v>
      </c>
      <c r="BA248" s="32">
        <v>0.96550499706075998</v>
      </c>
      <c r="BB248" s="32">
        <v>1</v>
      </c>
      <c r="BC248" s="32">
        <v>236</v>
      </c>
      <c r="BD248" s="32">
        <v>175.17499999999998</v>
      </c>
      <c r="BZ248">
        <v>5.2631578947368418E-2</v>
      </c>
      <c r="CA248">
        <v>0.55244755244755239</v>
      </c>
      <c r="CB248">
        <v>5.2631578947368418E-2</v>
      </c>
    </row>
    <row r="249" spans="52:80" x14ac:dyDescent="0.25">
      <c r="AZ249" s="32">
        <v>246</v>
      </c>
      <c r="BA249" s="32">
        <v>0.96546704255563587</v>
      </c>
      <c r="BB249" s="32">
        <v>1</v>
      </c>
      <c r="BC249" s="32">
        <v>237</v>
      </c>
      <c r="BD249" s="32">
        <v>175.89</v>
      </c>
      <c r="BZ249">
        <v>5.2631578947368418E-2</v>
      </c>
      <c r="CA249">
        <v>0.55477855477855476</v>
      </c>
      <c r="CB249">
        <v>5.2631578947368418E-2</v>
      </c>
    </row>
    <row r="250" spans="52:80" x14ac:dyDescent="0.25">
      <c r="AZ250" s="32">
        <v>247</v>
      </c>
      <c r="BA250" s="32">
        <v>0.96511885077020898</v>
      </c>
      <c r="BB250" s="32">
        <v>1</v>
      </c>
      <c r="BC250" s="32">
        <v>238</v>
      </c>
      <c r="BD250" s="32">
        <v>176.60499999999999</v>
      </c>
      <c r="BZ250">
        <v>5.2631578947368418E-2</v>
      </c>
      <c r="CA250">
        <v>0.55710955710955712</v>
      </c>
      <c r="CB250">
        <v>5.2631578947368418E-2</v>
      </c>
    </row>
    <row r="251" spans="52:80" x14ac:dyDescent="0.25">
      <c r="AZ251" s="32">
        <v>248</v>
      </c>
      <c r="BA251" s="32">
        <v>0.96433520803319217</v>
      </c>
      <c r="BB251" s="32">
        <v>1</v>
      </c>
      <c r="BC251" s="32">
        <v>239</v>
      </c>
      <c r="BD251" s="32">
        <v>177.32</v>
      </c>
      <c r="BZ251">
        <v>5.2631578947368418E-2</v>
      </c>
      <c r="CA251">
        <v>0.55944055944055948</v>
      </c>
      <c r="CB251">
        <v>5.2631578947368418E-2</v>
      </c>
    </row>
    <row r="252" spans="52:80" x14ac:dyDescent="0.25">
      <c r="AZ252" s="32">
        <v>249</v>
      </c>
      <c r="BA252" s="32">
        <v>0.96431393343472005</v>
      </c>
      <c r="BB252" s="32">
        <v>1</v>
      </c>
      <c r="BC252" s="32">
        <v>240</v>
      </c>
      <c r="BD252" s="32">
        <v>178.035</v>
      </c>
      <c r="BZ252">
        <v>5.2631578947368418E-2</v>
      </c>
      <c r="CA252">
        <v>0.56177156177156173</v>
      </c>
      <c r="CB252">
        <v>5.2631578947368418E-2</v>
      </c>
    </row>
    <row r="253" spans="52:80" x14ac:dyDescent="0.25">
      <c r="AZ253" s="32">
        <v>250</v>
      </c>
      <c r="BA253" s="32">
        <v>0.96396383589747814</v>
      </c>
      <c r="BB253" s="32">
        <v>1</v>
      </c>
      <c r="BC253" s="32">
        <v>241</v>
      </c>
      <c r="BD253" s="32">
        <v>178.75</v>
      </c>
      <c r="BZ253">
        <v>5.2631578947368418E-2</v>
      </c>
      <c r="CA253">
        <v>0.5641025641025641</v>
      </c>
      <c r="CB253">
        <v>5.2631578947368418E-2</v>
      </c>
    </row>
    <row r="254" spans="52:80" x14ac:dyDescent="0.25">
      <c r="AZ254" s="32">
        <v>251</v>
      </c>
      <c r="BA254" s="32">
        <v>0.96308473095592029</v>
      </c>
      <c r="BB254" s="32">
        <v>1</v>
      </c>
      <c r="BC254" s="32">
        <v>242</v>
      </c>
      <c r="BD254" s="32">
        <v>179.465</v>
      </c>
      <c r="BZ254">
        <v>5.2631578947368418E-2</v>
      </c>
      <c r="CA254">
        <v>0.56643356643356646</v>
      </c>
      <c r="CB254">
        <v>5.2631578947368418E-2</v>
      </c>
    </row>
    <row r="255" spans="52:80" x14ac:dyDescent="0.25">
      <c r="AZ255" s="32">
        <v>252</v>
      </c>
      <c r="BA255" s="32">
        <v>0.96274645635626033</v>
      </c>
      <c r="BB255" s="32">
        <v>1</v>
      </c>
      <c r="BC255" s="32">
        <v>243</v>
      </c>
      <c r="BD255" s="32">
        <v>180.17999999999998</v>
      </c>
      <c r="BZ255">
        <v>5.2631578947368418E-2</v>
      </c>
      <c r="CA255">
        <v>0.56876456876456871</v>
      </c>
      <c r="CB255">
        <v>5.2631578947368418E-2</v>
      </c>
    </row>
    <row r="256" spans="52:80" x14ac:dyDescent="0.25">
      <c r="AZ256" s="32">
        <v>253</v>
      </c>
      <c r="BA256" s="32">
        <v>0.96236483177888255</v>
      </c>
      <c r="BB256" s="32">
        <v>1</v>
      </c>
      <c r="BC256" s="32">
        <v>244</v>
      </c>
      <c r="BD256" s="32">
        <v>180.89499999999998</v>
      </c>
      <c r="BZ256">
        <v>5.2631578947368418E-2</v>
      </c>
      <c r="CA256">
        <v>0.57109557109557108</v>
      </c>
      <c r="CB256">
        <v>5.2631578947368418E-2</v>
      </c>
    </row>
    <row r="257" spans="52:80" x14ac:dyDescent="0.25">
      <c r="AZ257" s="32">
        <v>254</v>
      </c>
      <c r="BA257" s="32">
        <v>0.96186301424223675</v>
      </c>
      <c r="BB257" s="32">
        <v>1</v>
      </c>
      <c r="BC257" s="32">
        <v>245</v>
      </c>
      <c r="BD257" s="32">
        <v>181.60999999999999</v>
      </c>
      <c r="BZ257">
        <v>5.2631578947368418E-2</v>
      </c>
      <c r="CA257">
        <v>0.57342657342657344</v>
      </c>
      <c r="CB257">
        <v>5.2631578947368418E-2</v>
      </c>
    </row>
    <row r="258" spans="52:80" x14ac:dyDescent="0.25">
      <c r="AZ258" s="32">
        <v>255</v>
      </c>
      <c r="BA258" s="32">
        <v>0.96156946742678517</v>
      </c>
      <c r="BB258" s="32">
        <v>1</v>
      </c>
      <c r="BC258" s="32">
        <v>246</v>
      </c>
      <c r="BD258" s="32">
        <v>182.32499999999999</v>
      </c>
      <c r="BZ258">
        <v>5.2631578947368418E-2</v>
      </c>
      <c r="CA258">
        <v>0.5757575757575758</v>
      </c>
      <c r="CB258">
        <v>5.2631578947368418E-2</v>
      </c>
    </row>
    <row r="259" spans="52:80" x14ac:dyDescent="0.25">
      <c r="AZ259" s="32">
        <v>256</v>
      </c>
      <c r="BA259" s="32">
        <v>0.96125248479958714</v>
      </c>
      <c r="BB259" s="32">
        <v>1</v>
      </c>
      <c r="BC259" s="32">
        <v>247</v>
      </c>
      <c r="BD259" s="32">
        <v>183.04</v>
      </c>
      <c r="BZ259">
        <v>5.2631578947368418E-2</v>
      </c>
      <c r="CA259">
        <v>0.57808857808857805</v>
      </c>
      <c r="CB259">
        <v>5.2631578947368418E-2</v>
      </c>
    </row>
    <row r="260" spans="52:80" x14ac:dyDescent="0.25">
      <c r="AZ260" s="32">
        <v>257</v>
      </c>
      <c r="BA260" s="32">
        <v>0.96077944048360187</v>
      </c>
      <c r="BB260" s="32">
        <v>1</v>
      </c>
      <c r="BC260" s="32">
        <v>248</v>
      </c>
      <c r="BD260" s="32">
        <v>183.755</v>
      </c>
      <c r="BZ260">
        <v>5.2631578947368418E-2</v>
      </c>
      <c r="CA260">
        <v>0.58041958041958042</v>
      </c>
      <c r="CB260">
        <v>5.2631578947368418E-2</v>
      </c>
    </row>
    <row r="261" spans="52:80" x14ac:dyDescent="0.25">
      <c r="AZ261" s="32">
        <v>258</v>
      </c>
      <c r="BA261" s="32">
        <v>0.95976785660661468</v>
      </c>
      <c r="BB261" s="32">
        <v>1</v>
      </c>
      <c r="BC261" s="32">
        <v>249</v>
      </c>
      <c r="BD261" s="32">
        <v>184.47</v>
      </c>
      <c r="BZ261">
        <v>5.2631578947368418E-2</v>
      </c>
      <c r="CA261">
        <v>0.58275058275058278</v>
      </c>
      <c r="CB261">
        <v>5.2631578947368418E-2</v>
      </c>
    </row>
    <row r="262" spans="52:80" x14ac:dyDescent="0.25">
      <c r="AZ262" s="32">
        <v>259</v>
      </c>
      <c r="BA262" s="32">
        <v>0.95975304826489372</v>
      </c>
      <c r="BB262" s="32">
        <v>1</v>
      </c>
      <c r="BC262" s="32">
        <v>250</v>
      </c>
      <c r="BD262" s="32">
        <v>185.185</v>
      </c>
      <c r="BZ262">
        <v>5.2631578947368418E-2</v>
      </c>
      <c r="CA262">
        <v>0.58508158508158503</v>
      </c>
      <c r="CB262">
        <v>5.2631578947368418E-2</v>
      </c>
    </row>
    <row r="263" spans="52:80" x14ac:dyDescent="0.25">
      <c r="AZ263" s="32">
        <v>260</v>
      </c>
      <c r="BA263" s="32">
        <v>0.95853701817857395</v>
      </c>
      <c r="BB263" s="32">
        <v>1</v>
      </c>
      <c r="BC263" s="32">
        <v>251</v>
      </c>
      <c r="BD263" s="32">
        <v>185.9</v>
      </c>
      <c r="BZ263">
        <v>5.2631578947368418E-2</v>
      </c>
      <c r="CA263">
        <v>0.58741258741258739</v>
      </c>
      <c r="CB263">
        <v>5.2631578947368418E-2</v>
      </c>
    </row>
    <row r="264" spans="52:80" x14ac:dyDescent="0.25">
      <c r="AZ264" s="32">
        <v>261</v>
      </c>
      <c r="BA264" s="32">
        <v>0.95794984381010984</v>
      </c>
      <c r="BB264" s="32">
        <v>1</v>
      </c>
      <c r="BC264" s="32">
        <v>252</v>
      </c>
      <c r="BD264" s="32">
        <v>186.61499999999998</v>
      </c>
      <c r="BZ264">
        <v>5.2631578947368418E-2</v>
      </c>
      <c r="CA264">
        <v>0.58974358974358976</v>
      </c>
      <c r="CB264">
        <v>5.2631578947368418E-2</v>
      </c>
    </row>
    <row r="265" spans="52:80" x14ac:dyDescent="0.25">
      <c r="AZ265" s="32">
        <v>262</v>
      </c>
      <c r="BA265" s="32">
        <v>0.95754527898471509</v>
      </c>
      <c r="BB265" s="32">
        <v>1</v>
      </c>
      <c r="BC265" s="32">
        <v>253</v>
      </c>
      <c r="BD265" s="32">
        <v>187.32999999999998</v>
      </c>
      <c r="BZ265">
        <v>5.2631578947368418E-2</v>
      </c>
      <c r="CA265">
        <v>0.59207459207459212</v>
      </c>
      <c r="CB265">
        <v>5.2631578947368418E-2</v>
      </c>
    </row>
    <row r="266" spans="52:80" x14ac:dyDescent="0.25">
      <c r="AZ266" s="32">
        <v>263</v>
      </c>
      <c r="BA266" s="32">
        <v>0.95680399383296733</v>
      </c>
      <c r="BB266" s="32">
        <v>1</v>
      </c>
      <c r="BC266" s="32">
        <v>254</v>
      </c>
      <c r="BD266" s="32">
        <v>188.04499999999999</v>
      </c>
      <c r="BZ266">
        <v>5.2631578947368418E-2</v>
      </c>
      <c r="CA266">
        <v>0.59440559440559437</v>
      </c>
      <c r="CB266">
        <v>5.2631578947368418E-2</v>
      </c>
    </row>
    <row r="267" spans="52:80" x14ac:dyDescent="0.25">
      <c r="AZ267" s="32">
        <v>264</v>
      </c>
      <c r="BA267" s="32">
        <v>0.95643311876532544</v>
      </c>
      <c r="BB267" s="32">
        <v>1</v>
      </c>
      <c r="BC267" s="32">
        <v>255</v>
      </c>
      <c r="BD267" s="32">
        <v>188.76</v>
      </c>
      <c r="BZ267">
        <v>5.2631578947368418E-2</v>
      </c>
      <c r="CA267">
        <v>0.59673659673659674</v>
      </c>
      <c r="CB267">
        <v>5.2631578947368418E-2</v>
      </c>
    </row>
    <row r="268" spans="52:80" x14ac:dyDescent="0.25">
      <c r="AZ268" s="32">
        <v>265</v>
      </c>
      <c r="BA268" s="32">
        <v>0.95594892487990313</v>
      </c>
      <c r="BB268" s="32">
        <v>1</v>
      </c>
      <c r="BC268" s="32">
        <v>256</v>
      </c>
      <c r="BD268" s="32">
        <v>189.47499999999999</v>
      </c>
      <c r="BZ268">
        <v>5.2631578947368418E-2</v>
      </c>
      <c r="CA268">
        <v>0.5990675990675991</v>
      </c>
      <c r="CB268">
        <v>5.2631578947368418E-2</v>
      </c>
    </row>
    <row r="269" spans="52:80" x14ac:dyDescent="0.25">
      <c r="AZ269" s="32">
        <v>266</v>
      </c>
      <c r="BA269" s="32">
        <v>0.95529459084938417</v>
      </c>
      <c r="BB269" s="32">
        <v>1</v>
      </c>
      <c r="BC269" s="32">
        <v>257</v>
      </c>
      <c r="BD269" s="32">
        <v>190.19</v>
      </c>
      <c r="BZ269">
        <v>5.2631578947368418E-2</v>
      </c>
      <c r="CA269">
        <v>0.60139860139860135</v>
      </c>
      <c r="CB269">
        <v>5.2631578947368418E-2</v>
      </c>
    </row>
    <row r="270" spans="52:80" x14ac:dyDescent="0.25">
      <c r="AZ270" s="32">
        <v>267</v>
      </c>
      <c r="BA270" s="32">
        <v>0.95510562125955456</v>
      </c>
      <c r="BB270" s="32">
        <v>1</v>
      </c>
      <c r="BC270" s="32">
        <v>258</v>
      </c>
      <c r="BD270" s="32">
        <v>190.905</v>
      </c>
      <c r="BZ270">
        <v>5.2631578947368418E-2</v>
      </c>
      <c r="CA270">
        <v>0.60372960372960371</v>
      </c>
      <c r="CB270">
        <v>5.2631578947368418E-2</v>
      </c>
    </row>
    <row r="271" spans="52:80" x14ac:dyDescent="0.25">
      <c r="AZ271" s="32">
        <v>268</v>
      </c>
      <c r="BA271" s="32">
        <v>0.95469364464280371</v>
      </c>
      <c r="BB271" s="32">
        <v>1</v>
      </c>
      <c r="BC271" s="32">
        <v>259</v>
      </c>
      <c r="BD271" s="32">
        <v>191.62</v>
      </c>
      <c r="BZ271">
        <v>5.2631578947368418E-2</v>
      </c>
      <c r="CA271">
        <v>0.60606060606060608</v>
      </c>
      <c r="CB271">
        <v>5.2631578947368418E-2</v>
      </c>
    </row>
    <row r="272" spans="52:80" x14ac:dyDescent="0.25">
      <c r="AZ272" s="32">
        <v>269</v>
      </c>
      <c r="BA272" s="32">
        <v>0.95303981009143535</v>
      </c>
      <c r="BB272" s="32">
        <v>1</v>
      </c>
      <c r="BC272" s="32">
        <v>260</v>
      </c>
      <c r="BD272" s="32">
        <v>192.33499999999998</v>
      </c>
      <c r="BZ272">
        <v>5.2631578947368418E-2</v>
      </c>
      <c r="CA272">
        <v>0.60839160839160844</v>
      </c>
      <c r="CB272">
        <v>5.2631578947368418E-2</v>
      </c>
    </row>
    <row r="273" spans="52:80" x14ac:dyDescent="0.25">
      <c r="AZ273" s="32">
        <v>270</v>
      </c>
      <c r="BA273" s="32">
        <v>0.95272469749848632</v>
      </c>
      <c r="BB273" s="32">
        <v>1</v>
      </c>
      <c r="BC273" s="32">
        <v>261</v>
      </c>
      <c r="BD273" s="32">
        <v>193.04999999999998</v>
      </c>
      <c r="BZ273">
        <v>5.2631578947368418E-2</v>
      </c>
      <c r="CA273">
        <v>0.61072261072261069</v>
      </c>
      <c r="CB273">
        <v>5.2631578947368418E-2</v>
      </c>
    </row>
    <row r="274" spans="52:80" x14ac:dyDescent="0.25">
      <c r="AZ274" s="32">
        <v>271</v>
      </c>
      <c r="BA274" s="32">
        <v>0.9523768050685899</v>
      </c>
      <c r="BB274" s="32">
        <v>1</v>
      </c>
      <c r="BC274" s="32">
        <v>262</v>
      </c>
      <c r="BD274" s="32">
        <v>193.76499999999999</v>
      </c>
      <c r="BZ274">
        <v>5.2631578947368418E-2</v>
      </c>
      <c r="CA274">
        <v>0.61305361305361306</v>
      </c>
      <c r="CB274">
        <v>5.2631578947368418E-2</v>
      </c>
    </row>
    <row r="275" spans="52:80" x14ac:dyDescent="0.25">
      <c r="AZ275" s="32">
        <v>272</v>
      </c>
      <c r="BA275" s="32">
        <v>0.95233035523355714</v>
      </c>
      <c r="BB275" s="32">
        <v>1</v>
      </c>
      <c r="BC275" s="32">
        <v>263</v>
      </c>
      <c r="BD275" s="32">
        <v>194.48</v>
      </c>
      <c r="BZ275">
        <v>5.2631578947368418E-2</v>
      </c>
      <c r="CA275">
        <v>0.61538461538461542</v>
      </c>
      <c r="CB275">
        <v>5.2631578947368418E-2</v>
      </c>
    </row>
    <row r="276" spans="52:80" x14ac:dyDescent="0.25">
      <c r="AZ276" s="32">
        <v>273</v>
      </c>
      <c r="BA276" s="32">
        <v>0.95215476329842508</v>
      </c>
      <c r="BB276" s="32">
        <v>1</v>
      </c>
      <c r="BC276" s="32">
        <v>264</v>
      </c>
      <c r="BD276" s="32">
        <v>195.19499999999999</v>
      </c>
      <c r="BZ276">
        <v>5.2631578947368418E-2</v>
      </c>
      <c r="CA276">
        <v>0.61771561771561767</v>
      </c>
      <c r="CB276">
        <v>5.2631578947368418E-2</v>
      </c>
    </row>
    <row r="277" spans="52:80" x14ac:dyDescent="0.25">
      <c r="AZ277" s="32">
        <v>274</v>
      </c>
      <c r="BA277" s="32">
        <v>0.95146189061079167</v>
      </c>
      <c r="BB277" s="32">
        <v>1</v>
      </c>
      <c r="BC277" s="32">
        <v>265</v>
      </c>
      <c r="BD277" s="32">
        <v>195.91</v>
      </c>
      <c r="BZ277">
        <v>5.2631578947368418E-2</v>
      </c>
      <c r="CA277">
        <v>0.62004662004662003</v>
      </c>
      <c r="CB277">
        <v>5.2631578947368418E-2</v>
      </c>
    </row>
    <row r="278" spans="52:80" x14ac:dyDescent="0.25">
      <c r="AZ278" s="32">
        <v>275</v>
      </c>
      <c r="BA278" s="32">
        <v>0.95020023271118326</v>
      </c>
      <c r="BB278" s="32">
        <v>1</v>
      </c>
      <c r="BC278" s="32">
        <v>266</v>
      </c>
      <c r="BD278" s="32">
        <v>196.625</v>
      </c>
      <c r="BZ278">
        <v>5.2631578947368418E-2</v>
      </c>
      <c r="CA278">
        <v>0.6223776223776224</v>
      </c>
      <c r="CB278">
        <v>5.2631578947368418E-2</v>
      </c>
    </row>
    <row r="279" spans="52:80" x14ac:dyDescent="0.25">
      <c r="AZ279" s="32">
        <v>276</v>
      </c>
      <c r="BA279" s="32">
        <v>0.94943848695465349</v>
      </c>
      <c r="BB279" s="32">
        <v>1</v>
      </c>
      <c r="BC279" s="32">
        <v>267</v>
      </c>
      <c r="BD279" s="32">
        <v>197.34</v>
      </c>
      <c r="BZ279">
        <v>5.2631578947368418E-2</v>
      </c>
      <c r="CA279">
        <v>0.62470862470862476</v>
      </c>
      <c r="CB279">
        <v>5.2631578947368418E-2</v>
      </c>
    </row>
    <row r="280" spans="52:80" x14ac:dyDescent="0.25">
      <c r="AZ280" s="32">
        <v>277</v>
      </c>
      <c r="BA280" s="32">
        <v>0.94856461111607482</v>
      </c>
      <c r="BB280" s="32">
        <v>1</v>
      </c>
      <c r="BC280" s="32">
        <v>268</v>
      </c>
      <c r="BD280" s="32">
        <v>198.05499999999998</v>
      </c>
      <c r="BZ280">
        <v>5.2631578947368418E-2</v>
      </c>
      <c r="CA280">
        <v>0.62703962703962701</v>
      </c>
      <c r="CB280">
        <v>5.2631578947368418E-2</v>
      </c>
    </row>
    <row r="281" spans="52:80" x14ac:dyDescent="0.25">
      <c r="AZ281" s="32">
        <v>278</v>
      </c>
      <c r="BA281" s="32">
        <v>0.94842324972907033</v>
      </c>
      <c r="BB281" s="32">
        <v>1</v>
      </c>
      <c r="BC281" s="32">
        <v>269</v>
      </c>
      <c r="BD281" s="32">
        <v>198.76999999999998</v>
      </c>
      <c r="BZ281">
        <v>5.2631578947368418E-2</v>
      </c>
      <c r="CA281">
        <v>0.62937062937062938</v>
      </c>
      <c r="CB281">
        <v>5.2631578947368418E-2</v>
      </c>
    </row>
    <row r="282" spans="52:80" x14ac:dyDescent="0.25">
      <c r="AZ282" s="32">
        <v>279</v>
      </c>
      <c r="BA282" s="32">
        <v>0.94718106325416174</v>
      </c>
      <c r="BB282" s="32">
        <v>1</v>
      </c>
      <c r="BC282" s="32">
        <v>270</v>
      </c>
      <c r="BD282" s="32">
        <v>199.48499999999999</v>
      </c>
      <c r="BZ282">
        <v>5.2631578947368418E-2</v>
      </c>
      <c r="CA282">
        <v>0.63170163170163174</v>
      </c>
      <c r="CB282">
        <v>5.2631578947368418E-2</v>
      </c>
    </row>
    <row r="283" spans="52:80" x14ac:dyDescent="0.25">
      <c r="AZ283" s="32">
        <v>280</v>
      </c>
      <c r="BA283" s="32">
        <v>0.94680542756838815</v>
      </c>
      <c r="BB283" s="32">
        <v>1</v>
      </c>
      <c r="BC283" s="32">
        <v>271</v>
      </c>
      <c r="BD283" s="32">
        <v>200.2</v>
      </c>
      <c r="BZ283">
        <v>5.2631578947368418E-2</v>
      </c>
      <c r="CA283">
        <v>0.63403263403263399</v>
      </c>
      <c r="CB283">
        <v>5.2631578947368418E-2</v>
      </c>
    </row>
    <row r="284" spans="52:80" x14ac:dyDescent="0.25">
      <c r="AZ284" s="32">
        <v>281</v>
      </c>
      <c r="BA284" s="32">
        <v>0.94675916428787588</v>
      </c>
      <c r="BB284" s="32">
        <v>1</v>
      </c>
      <c r="BC284" s="32">
        <v>272</v>
      </c>
      <c r="BD284" s="32">
        <v>200.91499999999999</v>
      </c>
      <c r="BZ284">
        <v>5.2631578947368418E-2</v>
      </c>
      <c r="CA284">
        <v>0.63636363636363635</v>
      </c>
      <c r="CB284">
        <v>5.2631578947368418E-2</v>
      </c>
    </row>
    <row r="285" spans="52:80" x14ac:dyDescent="0.25">
      <c r="AZ285" s="32">
        <v>282</v>
      </c>
      <c r="BA285" s="32">
        <v>0.94670806392567564</v>
      </c>
      <c r="BB285" s="32">
        <v>1</v>
      </c>
      <c r="BC285" s="32">
        <v>273</v>
      </c>
      <c r="BD285" s="32">
        <v>201.63</v>
      </c>
      <c r="BZ285">
        <v>5.2631578947368418E-2</v>
      </c>
      <c r="CA285">
        <v>0.63869463869463872</v>
      </c>
      <c r="CB285">
        <v>5.2631578947368418E-2</v>
      </c>
    </row>
    <row r="286" spans="52:80" x14ac:dyDescent="0.25">
      <c r="AZ286" s="32">
        <v>283</v>
      </c>
      <c r="BA286" s="32">
        <v>0.94638004839707945</v>
      </c>
      <c r="BB286" s="32">
        <v>1</v>
      </c>
      <c r="BC286" s="32">
        <v>274</v>
      </c>
      <c r="BD286" s="32">
        <v>202.345</v>
      </c>
      <c r="BZ286">
        <v>5.2631578947368418E-2</v>
      </c>
      <c r="CA286">
        <v>0.64102564102564108</v>
      </c>
      <c r="CB286">
        <v>5.2631578947368418E-2</v>
      </c>
    </row>
    <row r="287" spans="52:80" x14ac:dyDescent="0.25">
      <c r="AZ287" s="32">
        <v>284</v>
      </c>
      <c r="BA287" s="32">
        <v>0.94561748136315249</v>
      </c>
      <c r="BB287" s="32">
        <v>1</v>
      </c>
      <c r="BC287" s="32">
        <v>275</v>
      </c>
      <c r="BD287" s="32">
        <v>203.06</v>
      </c>
      <c r="BZ287">
        <v>5.2631578947368418E-2</v>
      </c>
      <c r="CA287">
        <v>0.64335664335664333</v>
      </c>
      <c r="CB287">
        <v>5.2631578947368418E-2</v>
      </c>
    </row>
    <row r="288" spans="52:80" x14ac:dyDescent="0.25">
      <c r="AZ288" s="32">
        <v>285</v>
      </c>
      <c r="BA288" s="32">
        <v>0.94537545446758009</v>
      </c>
      <c r="BB288" s="32">
        <v>1</v>
      </c>
      <c r="BC288" s="32">
        <v>276</v>
      </c>
      <c r="BD288" s="32">
        <v>203.77499999999998</v>
      </c>
      <c r="BZ288">
        <v>5.2631578947368418E-2</v>
      </c>
      <c r="CA288">
        <v>0.64568764568764569</v>
      </c>
      <c r="CB288">
        <v>5.2631578947368418E-2</v>
      </c>
    </row>
    <row r="289" spans="52:80" x14ac:dyDescent="0.25">
      <c r="AZ289" s="32">
        <v>286</v>
      </c>
      <c r="BA289" s="32">
        <v>0.9451407834316915</v>
      </c>
      <c r="BB289" s="32">
        <v>1</v>
      </c>
      <c r="BC289" s="32">
        <v>277</v>
      </c>
      <c r="BD289" s="32">
        <v>204.48999999999998</v>
      </c>
      <c r="BZ289">
        <v>5.2631578947368418E-2</v>
      </c>
      <c r="CA289">
        <v>0.64801864801864806</v>
      </c>
      <c r="CB289">
        <v>5.2631578947368418E-2</v>
      </c>
    </row>
    <row r="290" spans="52:80" x14ac:dyDescent="0.25">
      <c r="AZ290" s="32">
        <v>287</v>
      </c>
      <c r="BA290" s="32">
        <v>0.94481838617032798</v>
      </c>
      <c r="BB290" s="32">
        <v>1</v>
      </c>
      <c r="BC290" s="32">
        <v>278</v>
      </c>
      <c r="BD290" s="32">
        <v>205.20499999999998</v>
      </c>
      <c r="BZ290">
        <v>5.2631578947368418E-2</v>
      </c>
      <c r="CA290">
        <v>0.65034965034965031</v>
      </c>
      <c r="CB290">
        <v>5.2631578947368418E-2</v>
      </c>
    </row>
    <row r="291" spans="52:80" x14ac:dyDescent="0.25">
      <c r="AZ291" s="32">
        <v>288</v>
      </c>
      <c r="BA291" s="32">
        <v>0.94468532877298295</v>
      </c>
      <c r="BB291" s="32">
        <v>1</v>
      </c>
      <c r="BC291" s="32">
        <v>279</v>
      </c>
      <c r="BD291" s="32">
        <v>205.92</v>
      </c>
      <c r="BZ291">
        <v>5.2631578947368418E-2</v>
      </c>
      <c r="CA291">
        <v>0.65268065268065267</v>
      </c>
      <c r="CB291">
        <v>5.2631578947368418E-2</v>
      </c>
    </row>
    <row r="292" spans="52:80" x14ac:dyDescent="0.25">
      <c r="AZ292" s="32">
        <v>289</v>
      </c>
      <c r="BA292" s="32">
        <v>0.94461464784675697</v>
      </c>
      <c r="BB292" s="32">
        <v>1</v>
      </c>
      <c r="BC292" s="32">
        <v>280</v>
      </c>
      <c r="BD292" s="32">
        <v>206.63499999999999</v>
      </c>
      <c r="BZ292">
        <v>5.2631578947368418E-2</v>
      </c>
      <c r="CA292">
        <v>0.65501165501165504</v>
      </c>
      <c r="CB292">
        <v>5.2631578947368418E-2</v>
      </c>
    </row>
    <row r="293" spans="52:80" x14ac:dyDescent="0.25">
      <c r="AZ293" s="32">
        <v>290</v>
      </c>
      <c r="BA293" s="32">
        <v>0.94460671522167183</v>
      </c>
      <c r="BB293" s="32">
        <v>1</v>
      </c>
      <c r="BC293" s="32">
        <v>281</v>
      </c>
      <c r="BD293" s="32">
        <v>207.35</v>
      </c>
      <c r="BZ293">
        <v>5.2631578947368418E-2</v>
      </c>
      <c r="CA293">
        <v>0.65734265734265729</v>
      </c>
      <c r="CB293">
        <v>5.2631578947368418E-2</v>
      </c>
    </row>
    <row r="294" spans="52:80" x14ac:dyDescent="0.25">
      <c r="AZ294" s="32">
        <v>291</v>
      </c>
      <c r="BA294" s="32">
        <v>0.94407499716168597</v>
      </c>
      <c r="BB294" s="32">
        <v>1</v>
      </c>
      <c r="BC294" s="32">
        <v>282</v>
      </c>
      <c r="BD294" s="32">
        <v>208.065</v>
      </c>
      <c r="BZ294">
        <v>5.2631578947368418E-2</v>
      </c>
      <c r="CA294">
        <v>0.65967365967365965</v>
      </c>
      <c r="CB294">
        <v>5.2631578947368418E-2</v>
      </c>
    </row>
    <row r="295" spans="52:80" x14ac:dyDescent="0.25">
      <c r="AZ295" s="32">
        <v>292</v>
      </c>
      <c r="BA295" s="32">
        <v>0.94369505951334653</v>
      </c>
      <c r="BB295" s="32">
        <v>1</v>
      </c>
      <c r="BC295" s="32">
        <v>283</v>
      </c>
      <c r="BD295" s="32">
        <v>208.78</v>
      </c>
      <c r="BZ295">
        <v>5.2631578947368418E-2</v>
      </c>
      <c r="CA295">
        <v>0.66200466200466201</v>
      </c>
      <c r="CB295">
        <v>5.2631578947368418E-2</v>
      </c>
    </row>
    <row r="296" spans="52:80" x14ac:dyDescent="0.25">
      <c r="AZ296" s="32">
        <v>293</v>
      </c>
      <c r="BA296" s="32">
        <v>0.94300919810492601</v>
      </c>
      <c r="BB296" s="32">
        <v>1</v>
      </c>
      <c r="BC296" s="32">
        <v>284</v>
      </c>
      <c r="BD296" s="32">
        <v>209.495</v>
      </c>
      <c r="BZ296">
        <v>5.2631578947368418E-2</v>
      </c>
      <c r="CA296">
        <v>0.66433566433566438</v>
      </c>
      <c r="CB296">
        <v>5.2631578947368418E-2</v>
      </c>
    </row>
    <row r="297" spans="52:80" x14ac:dyDescent="0.25">
      <c r="AZ297" s="32">
        <v>294</v>
      </c>
      <c r="BA297" s="32">
        <v>0.94280717106565137</v>
      </c>
      <c r="BB297" s="32">
        <v>1</v>
      </c>
      <c r="BC297" s="32">
        <v>285</v>
      </c>
      <c r="BD297" s="32">
        <v>210.20999999999998</v>
      </c>
      <c r="BZ297">
        <v>5.2631578947368418E-2</v>
      </c>
      <c r="CA297">
        <v>0.66666666666666663</v>
      </c>
      <c r="CB297">
        <v>5.2631578947368418E-2</v>
      </c>
    </row>
    <row r="298" spans="52:80" x14ac:dyDescent="0.25">
      <c r="AZ298" s="32">
        <v>295</v>
      </c>
      <c r="BA298" s="32">
        <v>0.94227495116193405</v>
      </c>
      <c r="BB298" s="32">
        <v>1</v>
      </c>
      <c r="BC298" s="32">
        <v>286</v>
      </c>
      <c r="BD298" s="32">
        <v>210.92499999999998</v>
      </c>
      <c r="BZ298">
        <v>5.2631578947368418E-2</v>
      </c>
      <c r="CA298">
        <v>0.66899766899766899</v>
      </c>
      <c r="CB298">
        <v>5.2631578947368418E-2</v>
      </c>
    </row>
    <row r="299" spans="52:80" x14ac:dyDescent="0.25">
      <c r="AZ299" s="32">
        <v>296</v>
      </c>
      <c r="BA299" s="32">
        <v>0.94192269112846461</v>
      </c>
      <c r="BB299" s="32">
        <v>1</v>
      </c>
      <c r="BC299" s="32">
        <v>287</v>
      </c>
      <c r="BD299" s="32">
        <v>211.64</v>
      </c>
      <c r="BZ299">
        <v>5.2631578947368418E-2</v>
      </c>
      <c r="CA299">
        <v>0.67132867132867136</v>
      </c>
      <c r="CB299">
        <v>5.2631578947368418E-2</v>
      </c>
    </row>
    <row r="300" spans="52:80" x14ac:dyDescent="0.25">
      <c r="AZ300" s="32">
        <v>297</v>
      </c>
      <c r="BA300" s="32">
        <v>0.94119545437992869</v>
      </c>
      <c r="BB300" s="32">
        <v>1</v>
      </c>
      <c r="BC300" s="32">
        <v>288</v>
      </c>
      <c r="BD300" s="32">
        <v>212.35499999999999</v>
      </c>
      <c r="BZ300">
        <v>5.2631578947368418E-2</v>
      </c>
      <c r="CA300">
        <v>0.67365967365967361</v>
      </c>
      <c r="CB300">
        <v>5.2631578947368418E-2</v>
      </c>
    </row>
    <row r="301" spans="52:80" x14ac:dyDescent="0.25">
      <c r="AZ301" s="32">
        <v>298</v>
      </c>
      <c r="BA301" s="32">
        <v>0.94039097046980635</v>
      </c>
      <c r="BB301" s="32">
        <v>1</v>
      </c>
      <c r="BC301" s="32">
        <v>289</v>
      </c>
      <c r="BD301" s="32">
        <v>213.07</v>
      </c>
      <c r="BZ301">
        <v>5.2631578947368418E-2</v>
      </c>
      <c r="CA301">
        <v>0.67599067599067597</v>
      </c>
      <c r="CB301">
        <v>5.2631578947368418E-2</v>
      </c>
    </row>
    <row r="302" spans="52:80" x14ac:dyDescent="0.25">
      <c r="AZ302" s="32">
        <v>299</v>
      </c>
      <c r="BA302" s="32">
        <v>0.94021224517751023</v>
      </c>
      <c r="BB302" s="32">
        <v>1</v>
      </c>
      <c r="BC302" s="32">
        <v>290</v>
      </c>
      <c r="BD302" s="32">
        <v>213.785</v>
      </c>
      <c r="BZ302">
        <v>5.2631578947368418E-2</v>
      </c>
      <c r="CA302">
        <v>0.67832167832167833</v>
      </c>
      <c r="CB302">
        <v>5.2631578947368418E-2</v>
      </c>
    </row>
    <row r="303" spans="52:80" x14ac:dyDescent="0.25">
      <c r="AZ303" s="32">
        <v>300</v>
      </c>
      <c r="BA303" s="32">
        <v>0.93965631970685759</v>
      </c>
      <c r="BB303" s="32">
        <v>1</v>
      </c>
      <c r="BC303" s="32">
        <v>291</v>
      </c>
      <c r="BD303" s="32">
        <v>214.5</v>
      </c>
      <c r="BZ303">
        <v>5.2631578947368418E-2</v>
      </c>
      <c r="CA303">
        <v>0.6806526806526807</v>
      </c>
      <c r="CB303">
        <v>5.2631578947368418E-2</v>
      </c>
    </row>
    <row r="304" spans="52:80" x14ac:dyDescent="0.25">
      <c r="AZ304" s="33">
        <v>301</v>
      </c>
      <c r="BA304" s="33">
        <v>0.93954567289998869</v>
      </c>
      <c r="BB304" s="33">
        <v>1</v>
      </c>
      <c r="BC304" s="33">
        <v>292</v>
      </c>
      <c r="BD304" s="33">
        <v>215.215</v>
      </c>
      <c r="BZ304">
        <v>5.2631578947368418E-2</v>
      </c>
      <c r="CA304">
        <v>0.68298368298368295</v>
      </c>
      <c r="CB304">
        <v>5.2631578947368418E-2</v>
      </c>
    </row>
    <row r="305" spans="52:80" x14ac:dyDescent="0.25">
      <c r="AZ305" s="33">
        <v>302</v>
      </c>
      <c r="BA305" s="33">
        <v>0.93812181109434478</v>
      </c>
      <c r="BB305" s="33">
        <v>1</v>
      </c>
      <c r="BC305" s="33">
        <v>293</v>
      </c>
      <c r="BD305" s="33">
        <v>215.92999999999998</v>
      </c>
      <c r="BZ305">
        <v>5.2631578947368418E-2</v>
      </c>
      <c r="CA305">
        <v>0.68531468531468531</v>
      </c>
      <c r="CB305">
        <v>5.2631578947368418E-2</v>
      </c>
    </row>
    <row r="306" spans="52:80" x14ac:dyDescent="0.25">
      <c r="AZ306" s="33">
        <v>303</v>
      </c>
      <c r="BA306" s="33">
        <v>0.93787522508272314</v>
      </c>
      <c r="BB306" s="33">
        <v>1</v>
      </c>
      <c r="BC306" s="33">
        <v>294</v>
      </c>
      <c r="BD306" s="33">
        <v>216.64499999999998</v>
      </c>
      <c r="BZ306">
        <v>5.2631578947368418E-2</v>
      </c>
      <c r="CA306">
        <v>0.68764568764568768</v>
      </c>
      <c r="CB306">
        <v>5.2631578947368418E-2</v>
      </c>
    </row>
    <row r="307" spans="52:80" x14ac:dyDescent="0.25">
      <c r="AZ307" s="33">
        <v>304</v>
      </c>
      <c r="BA307" s="33">
        <v>0.93744150776761548</v>
      </c>
      <c r="BB307" s="33">
        <v>1</v>
      </c>
      <c r="BC307" s="33">
        <v>295</v>
      </c>
      <c r="BD307" s="33">
        <v>217.35999999999999</v>
      </c>
      <c r="BZ307">
        <v>5.2631578947368418E-2</v>
      </c>
      <c r="CA307">
        <v>0.68997668997668993</v>
      </c>
      <c r="CB307">
        <v>5.2631578947368418E-2</v>
      </c>
    </row>
    <row r="308" spans="52:80" x14ac:dyDescent="0.25">
      <c r="AZ308" s="33">
        <v>305</v>
      </c>
      <c r="BA308" s="33">
        <v>0.93703634472369712</v>
      </c>
      <c r="BB308" s="33">
        <v>1</v>
      </c>
      <c r="BC308" s="33">
        <v>296</v>
      </c>
      <c r="BD308" s="33">
        <v>218.07499999999999</v>
      </c>
      <c r="BZ308">
        <v>5.2631578947368418E-2</v>
      </c>
      <c r="CA308">
        <v>0.69230769230769229</v>
      </c>
      <c r="CB308">
        <v>5.2631578947368418E-2</v>
      </c>
    </row>
    <row r="309" spans="52:80" x14ac:dyDescent="0.25">
      <c r="AZ309" s="33">
        <v>306</v>
      </c>
      <c r="BA309" s="33">
        <v>0.93619624503446197</v>
      </c>
      <c r="BB309" s="33">
        <v>1</v>
      </c>
      <c r="BC309" s="33">
        <v>297</v>
      </c>
      <c r="BD309" s="33">
        <v>218.79</v>
      </c>
      <c r="BZ309">
        <v>5.2631578947368418E-2</v>
      </c>
      <c r="CA309">
        <v>0.69463869463869465</v>
      </c>
      <c r="CB309">
        <v>5.2631578947368418E-2</v>
      </c>
    </row>
    <row r="310" spans="52:80" x14ac:dyDescent="0.25">
      <c r="AZ310" s="33">
        <v>307</v>
      </c>
      <c r="BA310" s="33">
        <v>0.93489673302420251</v>
      </c>
      <c r="BB310" s="33">
        <v>1</v>
      </c>
      <c r="BC310" s="33">
        <v>298</v>
      </c>
      <c r="BD310" s="33">
        <v>219.505</v>
      </c>
      <c r="BZ310">
        <v>5.2631578947368418E-2</v>
      </c>
      <c r="CA310">
        <v>0.69696969696969702</v>
      </c>
      <c r="CB310">
        <v>5.2631578947368418E-2</v>
      </c>
    </row>
    <row r="311" spans="52:80" x14ac:dyDescent="0.25">
      <c r="AZ311" s="33">
        <v>308</v>
      </c>
      <c r="BA311" s="33">
        <v>0.93461091070731106</v>
      </c>
      <c r="BB311" s="33">
        <v>1</v>
      </c>
      <c r="BC311" s="33">
        <v>299</v>
      </c>
      <c r="BD311" s="33">
        <v>220.22</v>
      </c>
      <c r="BZ311">
        <v>5.2631578947368418E-2</v>
      </c>
      <c r="CA311">
        <v>0.69930069930069927</v>
      </c>
      <c r="CB311">
        <v>5.2631578947368418E-2</v>
      </c>
    </row>
    <row r="312" spans="52:80" x14ac:dyDescent="0.25">
      <c r="AZ312" s="33">
        <v>309</v>
      </c>
      <c r="BA312" s="33">
        <v>0.93317973915064112</v>
      </c>
      <c r="BB312" s="33">
        <v>1</v>
      </c>
      <c r="BC312" s="33">
        <v>300</v>
      </c>
      <c r="BD312" s="33">
        <v>220.935</v>
      </c>
      <c r="BZ312">
        <v>5.2631578947368418E-2</v>
      </c>
      <c r="CA312">
        <v>0.70163170163170163</v>
      </c>
      <c r="CB312">
        <v>5.2631578947368418E-2</v>
      </c>
    </row>
    <row r="313" spans="52:80" x14ac:dyDescent="0.25">
      <c r="AZ313" s="33">
        <v>310</v>
      </c>
      <c r="BA313" s="33">
        <v>0.93281211344112136</v>
      </c>
      <c r="BB313" s="33">
        <v>1</v>
      </c>
      <c r="BC313" s="33">
        <v>301</v>
      </c>
      <c r="BD313" s="33">
        <v>221.64999999999998</v>
      </c>
      <c r="BZ313">
        <v>5.2631578947368418E-2</v>
      </c>
      <c r="CA313">
        <v>0.703962703962704</v>
      </c>
      <c r="CB313">
        <v>5.2631578947368418E-2</v>
      </c>
    </row>
    <row r="314" spans="52:80" x14ac:dyDescent="0.25">
      <c r="AZ314" s="33">
        <v>311</v>
      </c>
      <c r="BA314" s="33">
        <v>0.93095721855826086</v>
      </c>
      <c r="BB314" s="33">
        <v>1</v>
      </c>
      <c r="BC314" s="33">
        <v>302</v>
      </c>
      <c r="BD314" s="33">
        <v>222.36499999999998</v>
      </c>
      <c r="BZ314">
        <v>5.2631578947368418E-2</v>
      </c>
      <c r="CA314">
        <v>0.70629370629370625</v>
      </c>
      <c r="CB314">
        <v>5.2631578947368418E-2</v>
      </c>
    </row>
    <row r="315" spans="52:80" x14ac:dyDescent="0.25">
      <c r="AZ315" s="33">
        <v>312</v>
      </c>
      <c r="BA315" s="33">
        <v>0.93089433428003976</v>
      </c>
      <c r="BB315" s="33">
        <v>1</v>
      </c>
      <c r="BC315" s="33">
        <v>303</v>
      </c>
      <c r="BD315" s="33">
        <v>223.07999999999998</v>
      </c>
      <c r="BZ315">
        <v>5.2631578947368418E-2</v>
      </c>
      <c r="CA315">
        <v>0.70862470862470861</v>
      </c>
      <c r="CB315">
        <v>5.2631578947368418E-2</v>
      </c>
    </row>
    <row r="316" spans="52:80" x14ac:dyDescent="0.25">
      <c r="AZ316" s="33">
        <v>313</v>
      </c>
      <c r="BA316" s="33">
        <v>0.93066179297069263</v>
      </c>
      <c r="BB316" s="33">
        <v>1</v>
      </c>
      <c r="BC316" s="33">
        <v>304</v>
      </c>
      <c r="BD316" s="33">
        <v>223.79499999999999</v>
      </c>
      <c r="BZ316">
        <v>5.2631578947368418E-2</v>
      </c>
      <c r="CA316">
        <v>0.71095571095571097</v>
      </c>
      <c r="CB316">
        <v>5.2631578947368418E-2</v>
      </c>
    </row>
    <row r="317" spans="52:80" x14ac:dyDescent="0.25">
      <c r="AZ317" s="33">
        <v>314</v>
      </c>
      <c r="BA317" s="33">
        <v>0.93062552709305968</v>
      </c>
      <c r="BB317" s="33">
        <v>1</v>
      </c>
      <c r="BC317" s="33">
        <v>305</v>
      </c>
      <c r="BD317" s="33">
        <v>224.51</v>
      </c>
      <c r="BZ317">
        <v>5.2631578947368418E-2</v>
      </c>
      <c r="CA317">
        <v>0.71328671328671334</v>
      </c>
      <c r="CB317">
        <v>5.2631578947368418E-2</v>
      </c>
    </row>
    <row r="318" spans="52:80" x14ac:dyDescent="0.25">
      <c r="AZ318" s="33">
        <v>315</v>
      </c>
      <c r="BA318" s="33">
        <v>0.93014080084156192</v>
      </c>
      <c r="BB318" s="33">
        <v>1</v>
      </c>
      <c r="BC318" s="33">
        <v>306</v>
      </c>
      <c r="BD318" s="33">
        <v>225.22499999999999</v>
      </c>
      <c r="BZ318">
        <v>5.2631578947368418E-2</v>
      </c>
      <c r="CA318">
        <v>0.71561771561771559</v>
      </c>
      <c r="CB318">
        <v>5.2631578947368418E-2</v>
      </c>
    </row>
    <row r="319" spans="52:80" x14ac:dyDescent="0.25">
      <c r="AZ319" s="33">
        <v>316</v>
      </c>
      <c r="BA319" s="33">
        <v>0.9299915237165346</v>
      </c>
      <c r="BB319" s="33">
        <v>1</v>
      </c>
      <c r="BC319" s="33">
        <v>307</v>
      </c>
      <c r="BD319" s="33">
        <v>225.94</v>
      </c>
      <c r="BZ319">
        <v>5.2631578947368418E-2</v>
      </c>
      <c r="CA319">
        <v>0.71794871794871795</v>
      </c>
      <c r="CB319">
        <v>5.2631578947368418E-2</v>
      </c>
    </row>
    <row r="320" spans="52:80" x14ac:dyDescent="0.25">
      <c r="AZ320" s="33">
        <v>317</v>
      </c>
      <c r="BA320" s="33">
        <v>0.92974628897525624</v>
      </c>
      <c r="BB320" s="33">
        <v>1</v>
      </c>
      <c r="BC320" s="33">
        <v>308</v>
      </c>
      <c r="BD320" s="33">
        <v>226.655</v>
      </c>
      <c r="BZ320">
        <v>5.2631578947368418E-2</v>
      </c>
      <c r="CA320">
        <v>0.72027972027972031</v>
      </c>
      <c r="CB320">
        <v>5.2631578947368418E-2</v>
      </c>
    </row>
    <row r="321" spans="52:80" x14ac:dyDescent="0.25">
      <c r="AZ321" s="33">
        <v>318</v>
      </c>
      <c r="BA321" s="33">
        <v>0.92801905083665603</v>
      </c>
      <c r="BB321" s="33">
        <v>1</v>
      </c>
      <c r="BC321" s="33">
        <v>309</v>
      </c>
      <c r="BD321" s="33">
        <v>227.36999999999998</v>
      </c>
      <c r="BZ321">
        <v>5.2631578947368418E-2</v>
      </c>
      <c r="CA321">
        <v>0.72261072261072257</v>
      </c>
      <c r="CB321">
        <v>5.2631578947368418E-2</v>
      </c>
    </row>
    <row r="322" spans="52:80" x14ac:dyDescent="0.25">
      <c r="AZ322" s="33">
        <v>319</v>
      </c>
      <c r="BA322" s="33">
        <v>0.92789495435592673</v>
      </c>
      <c r="BB322" s="33">
        <v>1</v>
      </c>
      <c r="BC322" s="33">
        <v>310</v>
      </c>
      <c r="BD322" s="33">
        <v>228.08499999999998</v>
      </c>
      <c r="BZ322">
        <v>5.2631578947368418E-2</v>
      </c>
      <c r="CA322">
        <v>0.72494172494172493</v>
      </c>
      <c r="CB322">
        <v>5.2631578947368418E-2</v>
      </c>
    </row>
    <row r="323" spans="52:80" x14ac:dyDescent="0.25">
      <c r="AZ323" s="33">
        <v>320</v>
      </c>
      <c r="BA323" s="33">
        <v>0.92750310209813358</v>
      </c>
      <c r="BB323" s="33">
        <v>1</v>
      </c>
      <c r="BC323" s="33">
        <v>311</v>
      </c>
      <c r="BD323" s="33">
        <v>228.79999999999998</v>
      </c>
      <c r="BZ323">
        <v>5.2631578947368418E-2</v>
      </c>
      <c r="CA323">
        <v>0.72727272727272729</v>
      </c>
      <c r="CB323">
        <v>5.2631578947368418E-2</v>
      </c>
    </row>
    <row r="324" spans="52:80" x14ac:dyDescent="0.25">
      <c r="AZ324" s="33">
        <v>321</v>
      </c>
      <c r="BA324" s="33">
        <v>0.92464434726416578</v>
      </c>
      <c r="BB324" s="33">
        <v>1</v>
      </c>
      <c r="BC324" s="33">
        <v>312</v>
      </c>
      <c r="BD324" s="33">
        <v>229.51499999999999</v>
      </c>
      <c r="BZ324">
        <v>5.2631578947368418E-2</v>
      </c>
      <c r="CA324">
        <v>0.72960372960372966</v>
      </c>
      <c r="CB324">
        <v>5.2631578947368418E-2</v>
      </c>
    </row>
    <row r="325" spans="52:80" x14ac:dyDescent="0.25">
      <c r="AZ325" s="33">
        <v>322</v>
      </c>
      <c r="BA325" s="33">
        <v>0.92391165621348015</v>
      </c>
      <c r="BB325" s="33">
        <v>1</v>
      </c>
      <c r="BC325" s="33">
        <v>313</v>
      </c>
      <c r="BD325" s="33">
        <v>230.23</v>
      </c>
      <c r="BZ325">
        <v>5.2631578947368418E-2</v>
      </c>
      <c r="CA325">
        <v>0.73193473193473191</v>
      </c>
      <c r="CB325">
        <v>5.2631578947368418E-2</v>
      </c>
    </row>
    <row r="326" spans="52:80" x14ac:dyDescent="0.25">
      <c r="AZ326" s="33">
        <v>323</v>
      </c>
      <c r="BA326" s="33">
        <v>0.92390549518466569</v>
      </c>
      <c r="BB326" s="33">
        <v>1</v>
      </c>
      <c r="BC326" s="33">
        <v>314</v>
      </c>
      <c r="BD326" s="33">
        <v>230.94499999999999</v>
      </c>
      <c r="BZ326">
        <v>5.2631578947368418E-2</v>
      </c>
      <c r="CA326">
        <v>0.73426573426573427</v>
      </c>
      <c r="CB326">
        <v>5.2631578947368418E-2</v>
      </c>
    </row>
    <row r="327" spans="52:80" x14ac:dyDescent="0.25">
      <c r="AZ327" s="33">
        <v>324</v>
      </c>
      <c r="BA327" s="33">
        <v>0.92388536195491366</v>
      </c>
      <c r="BB327" s="33">
        <v>1</v>
      </c>
      <c r="BC327" s="33">
        <v>315</v>
      </c>
      <c r="BD327" s="33">
        <v>231.66</v>
      </c>
      <c r="BZ327">
        <v>5.2631578947368418E-2</v>
      </c>
      <c r="CA327">
        <v>0.73659673659673663</v>
      </c>
      <c r="CB327">
        <v>5.2631578947368418E-2</v>
      </c>
    </row>
    <row r="328" spans="52:80" x14ac:dyDescent="0.25">
      <c r="AZ328" s="33">
        <v>325</v>
      </c>
      <c r="BA328" s="33">
        <v>0.92237113281141503</v>
      </c>
      <c r="BB328" s="33">
        <v>1</v>
      </c>
      <c r="BC328" s="33">
        <v>316</v>
      </c>
      <c r="BD328" s="33">
        <v>232.375</v>
      </c>
      <c r="BZ328">
        <v>5.2631578947368418E-2</v>
      </c>
      <c r="CA328">
        <v>0.73892773892773889</v>
      </c>
      <c r="CB328">
        <v>5.2631578947368418E-2</v>
      </c>
    </row>
    <row r="329" spans="52:80" x14ac:dyDescent="0.25">
      <c r="AZ329" s="33">
        <v>326</v>
      </c>
      <c r="BA329" s="33">
        <v>0.92228628211210983</v>
      </c>
      <c r="BB329" s="33">
        <v>1</v>
      </c>
      <c r="BC329" s="33">
        <v>317</v>
      </c>
      <c r="BD329" s="33">
        <v>233.09</v>
      </c>
      <c r="BZ329">
        <v>5.2631578947368418E-2</v>
      </c>
      <c r="CA329">
        <v>0.74125874125874125</v>
      </c>
      <c r="CB329">
        <v>5.2631578947368418E-2</v>
      </c>
    </row>
    <row r="330" spans="52:80" x14ac:dyDescent="0.25">
      <c r="AZ330" s="33">
        <v>327</v>
      </c>
      <c r="BA330" s="33">
        <v>0.92144809043560871</v>
      </c>
      <c r="BB330" s="33">
        <v>1</v>
      </c>
      <c r="BC330" s="33">
        <v>318</v>
      </c>
      <c r="BD330" s="33">
        <v>233.80499999999998</v>
      </c>
      <c r="BZ330">
        <v>5.2631578947368418E-2</v>
      </c>
      <c r="CA330">
        <v>0.74358974358974361</v>
      </c>
      <c r="CB330">
        <v>5.2631578947368418E-2</v>
      </c>
    </row>
    <row r="331" spans="52:80" x14ac:dyDescent="0.25">
      <c r="AZ331" s="33">
        <v>328</v>
      </c>
      <c r="BA331" s="33">
        <v>0.92133644222778044</v>
      </c>
      <c r="BB331" s="33">
        <v>1</v>
      </c>
      <c r="BC331" s="33">
        <v>319</v>
      </c>
      <c r="BD331" s="33">
        <v>234.51999999999998</v>
      </c>
      <c r="BZ331">
        <v>5.2631578947368418E-2</v>
      </c>
      <c r="CA331">
        <v>0.74592074592074598</v>
      </c>
      <c r="CB331">
        <v>5.2631578947368418E-2</v>
      </c>
    </row>
    <row r="332" spans="52:80" x14ac:dyDescent="0.25">
      <c r="AZ332" s="33">
        <v>329</v>
      </c>
      <c r="BA332" s="33">
        <v>0.92130701824213057</v>
      </c>
      <c r="BB332" s="33">
        <v>1</v>
      </c>
      <c r="BC332" s="33">
        <v>320</v>
      </c>
      <c r="BD332" s="33">
        <v>235.23499999999999</v>
      </c>
      <c r="BZ332">
        <v>5.2631578947368418E-2</v>
      </c>
      <c r="CA332">
        <v>0.74825174825174823</v>
      </c>
      <c r="CB332">
        <v>5.2631578947368418E-2</v>
      </c>
    </row>
    <row r="333" spans="52:80" x14ac:dyDescent="0.25">
      <c r="AZ333" s="33">
        <v>330</v>
      </c>
      <c r="BA333" s="33">
        <v>0.92121608234232844</v>
      </c>
      <c r="BB333" s="33">
        <v>1</v>
      </c>
      <c r="BC333" s="33">
        <v>321</v>
      </c>
      <c r="BD333" s="33">
        <v>235.95</v>
      </c>
      <c r="BZ333">
        <v>5.2631578947368418E-2</v>
      </c>
      <c r="CA333">
        <v>0.75058275058275059</v>
      </c>
      <c r="CB333">
        <v>5.2631578947368418E-2</v>
      </c>
    </row>
    <row r="334" spans="52:80" x14ac:dyDescent="0.25">
      <c r="AZ334" s="33">
        <v>331</v>
      </c>
      <c r="BA334" s="33">
        <v>0.92101791530185562</v>
      </c>
      <c r="BB334" s="33">
        <v>1</v>
      </c>
      <c r="BC334" s="33">
        <v>322</v>
      </c>
      <c r="BD334" s="33">
        <v>236.66499999999999</v>
      </c>
      <c r="BZ334">
        <v>5.2631578947368418E-2</v>
      </c>
      <c r="CA334">
        <v>0.75291375291375295</v>
      </c>
      <c r="CB334">
        <v>5.2631578947368418E-2</v>
      </c>
    </row>
    <row r="335" spans="52:80" x14ac:dyDescent="0.25">
      <c r="AZ335" s="33">
        <v>332</v>
      </c>
      <c r="BA335" s="33">
        <v>0.92043801910854051</v>
      </c>
      <c r="BB335" s="33">
        <v>1</v>
      </c>
      <c r="BC335" s="33">
        <v>323</v>
      </c>
      <c r="BD335" s="33">
        <v>237.38</v>
      </c>
      <c r="BZ335">
        <v>5.2631578947368418E-2</v>
      </c>
      <c r="CA335">
        <v>0.75524475524475521</v>
      </c>
      <c r="CB335">
        <v>5.2631578947368418E-2</v>
      </c>
    </row>
    <row r="336" spans="52:80" x14ac:dyDescent="0.25">
      <c r="AZ336" s="33">
        <v>333</v>
      </c>
      <c r="BA336" s="33">
        <v>0.92040431568925185</v>
      </c>
      <c r="BB336" s="33">
        <v>1</v>
      </c>
      <c r="BC336" s="33">
        <v>324</v>
      </c>
      <c r="BD336" s="33">
        <v>238.095</v>
      </c>
      <c r="BZ336">
        <v>5.2631578947368418E-2</v>
      </c>
      <c r="CA336">
        <v>0.75757575757575757</v>
      </c>
      <c r="CB336">
        <v>5.2631578947368418E-2</v>
      </c>
    </row>
    <row r="337" spans="52:80" x14ac:dyDescent="0.25">
      <c r="AZ337" s="33">
        <v>334</v>
      </c>
      <c r="BA337" s="33">
        <v>0.92011390058385689</v>
      </c>
      <c r="BB337" s="33">
        <v>1</v>
      </c>
      <c r="BC337" s="33">
        <v>325</v>
      </c>
      <c r="BD337" s="33">
        <v>238.81</v>
      </c>
      <c r="BZ337">
        <v>5.2631578947368418E-2</v>
      </c>
      <c r="CA337">
        <v>0.75990675990675993</v>
      </c>
      <c r="CB337">
        <v>5.2631578947368418E-2</v>
      </c>
    </row>
    <row r="338" spans="52:80" x14ac:dyDescent="0.25">
      <c r="AZ338" s="33">
        <v>335</v>
      </c>
      <c r="BA338" s="33">
        <v>0.91946461775979216</v>
      </c>
      <c r="BB338" s="33">
        <v>1</v>
      </c>
      <c r="BC338" s="33">
        <v>326</v>
      </c>
      <c r="BD338" s="33">
        <v>239.52499999999998</v>
      </c>
      <c r="BZ338">
        <v>5.2631578947368418E-2</v>
      </c>
      <c r="CA338">
        <v>0.76223776223776218</v>
      </c>
      <c r="CB338">
        <v>5.2631578947368418E-2</v>
      </c>
    </row>
    <row r="339" spans="52:80" x14ac:dyDescent="0.25">
      <c r="AZ339" s="33">
        <v>336</v>
      </c>
      <c r="BA339" s="33">
        <v>0.91936716668750051</v>
      </c>
      <c r="BB339" s="33">
        <v>1</v>
      </c>
      <c r="BC339" s="33">
        <v>327</v>
      </c>
      <c r="BD339" s="33">
        <v>240.23999999999998</v>
      </c>
      <c r="BZ339">
        <v>5.2631578947368418E-2</v>
      </c>
      <c r="CA339">
        <v>0.76456876456876455</v>
      </c>
      <c r="CB339">
        <v>5.2631578947368418E-2</v>
      </c>
    </row>
    <row r="340" spans="52:80" x14ac:dyDescent="0.25">
      <c r="AZ340" s="33">
        <v>337</v>
      </c>
      <c r="BA340" s="33">
        <v>0.91930277513891234</v>
      </c>
      <c r="BB340" s="33">
        <v>1</v>
      </c>
      <c r="BC340" s="33">
        <v>328</v>
      </c>
      <c r="BD340" s="33">
        <v>240.95499999999998</v>
      </c>
      <c r="BZ340">
        <v>5.2631578947368418E-2</v>
      </c>
      <c r="CA340">
        <v>0.76689976689976691</v>
      </c>
      <c r="CB340">
        <v>5.2631578947368418E-2</v>
      </c>
    </row>
    <row r="341" spans="52:80" x14ac:dyDescent="0.25">
      <c r="AZ341" s="33">
        <v>338</v>
      </c>
      <c r="BA341" s="33">
        <v>0.9188249080615688</v>
      </c>
      <c r="BB341" s="33">
        <v>1</v>
      </c>
      <c r="BC341" s="33">
        <v>329</v>
      </c>
      <c r="BD341" s="33">
        <v>241.67</v>
      </c>
      <c r="BZ341">
        <v>5.2631578947368418E-2</v>
      </c>
      <c r="CA341">
        <v>0.76923076923076927</v>
      </c>
      <c r="CB341">
        <v>5.2631578947368418E-2</v>
      </c>
    </row>
    <row r="342" spans="52:80" x14ac:dyDescent="0.25">
      <c r="AZ342" s="33">
        <v>339</v>
      </c>
      <c r="BA342" s="33">
        <v>0.91820087231233372</v>
      </c>
      <c r="BB342" s="33">
        <v>1</v>
      </c>
      <c r="BC342" s="33">
        <v>330</v>
      </c>
      <c r="BD342" s="33">
        <v>242.38499999999999</v>
      </c>
      <c r="BZ342">
        <v>5.2631578947368418E-2</v>
      </c>
      <c r="CA342">
        <v>0.77156177156177153</v>
      </c>
      <c r="CB342">
        <v>5.2631578947368418E-2</v>
      </c>
    </row>
    <row r="343" spans="52:80" x14ac:dyDescent="0.25">
      <c r="AZ343" s="33">
        <v>340</v>
      </c>
      <c r="BA343" s="33">
        <v>0.91750542292044635</v>
      </c>
      <c r="BB343" s="33">
        <v>1</v>
      </c>
      <c r="BC343" s="33">
        <v>331</v>
      </c>
      <c r="BD343" s="33">
        <v>243.1</v>
      </c>
      <c r="BZ343">
        <v>5.2631578947368418E-2</v>
      </c>
      <c r="CA343">
        <v>0.77389277389277389</v>
      </c>
      <c r="CB343">
        <v>5.2631578947368418E-2</v>
      </c>
    </row>
    <row r="344" spans="52:80" x14ac:dyDescent="0.25">
      <c r="AZ344" s="33">
        <v>341</v>
      </c>
      <c r="BA344" s="33">
        <v>0.91736573997556337</v>
      </c>
      <c r="BB344" s="33">
        <v>1</v>
      </c>
      <c r="BC344" s="33">
        <v>332</v>
      </c>
      <c r="BD344" s="33">
        <v>243.815</v>
      </c>
      <c r="BZ344">
        <v>5.2631578947368418E-2</v>
      </c>
      <c r="CA344">
        <v>0.77622377622377625</v>
      </c>
      <c r="CB344">
        <v>5.2631578947368418E-2</v>
      </c>
    </row>
    <row r="345" spans="52:80" x14ac:dyDescent="0.25">
      <c r="AZ345" s="33">
        <v>342</v>
      </c>
      <c r="BA345" s="33">
        <v>0.91658423073091699</v>
      </c>
      <c r="BB345" s="33">
        <v>1</v>
      </c>
      <c r="BC345" s="33">
        <v>333</v>
      </c>
      <c r="BD345" s="33">
        <v>244.53</v>
      </c>
      <c r="BZ345">
        <v>5.2631578947368418E-2</v>
      </c>
      <c r="CA345">
        <v>0.7785547785547785</v>
      </c>
      <c r="CB345">
        <v>5.2631578947368418E-2</v>
      </c>
    </row>
    <row r="346" spans="52:80" x14ac:dyDescent="0.25">
      <c r="AZ346" s="33">
        <v>343</v>
      </c>
      <c r="BA346" s="33">
        <v>0.91556509626213223</v>
      </c>
      <c r="BB346" s="33">
        <v>1</v>
      </c>
      <c r="BC346" s="33">
        <v>334</v>
      </c>
      <c r="BD346" s="33">
        <v>245.24499999999998</v>
      </c>
      <c r="BZ346">
        <v>5.2631578947368418E-2</v>
      </c>
      <c r="CA346">
        <v>0.78088578088578087</v>
      </c>
      <c r="CB346">
        <v>5.2631578947368418E-2</v>
      </c>
    </row>
    <row r="347" spans="52:80" x14ac:dyDescent="0.25">
      <c r="AZ347" s="33">
        <v>344</v>
      </c>
      <c r="BA347" s="33">
        <v>0.9153940078949373</v>
      </c>
      <c r="BB347" s="33">
        <v>1</v>
      </c>
      <c r="BC347" s="33">
        <v>335</v>
      </c>
      <c r="BD347" s="33">
        <v>245.95999999999998</v>
      </c>
      <c r="BZ347">
        <v>5.2631578947368418E-2</v>
      </c>
      <c r="CA347">
        <v>0.78321678321678323</v>
      </c>
      <c r="CB347">
        <v>5.2631578947368418E-2</v>
      </c>
    </row>
    <row r="348" spans="52:80" x14ac:dyDescent="0.25">
      <c r="AZ348" s="33">
        <v>345</v>
      </c>
      <c r="BA348" s="33">
        <v>0.9147986513238705</v>
      </c>
      <c r="BB348" s="33">
        <v>1</v>
      </c>
      <c r="BC348" s="33">
        <v>336</v>
      </c>
      <c r="BD348" s="33">
        <v>246.67499999999998</v>
      </c>
      <c r="BZ348">
        <v>5.2631578947368418E-2</v>
      </c>
      <c r="CA348">
        <v>0.78554778554778559</v>
      </c>
      <c r="CB348">
        <v>5.2631578947368418E-2</v>
      </c>
    </row>
    <row r="349" spans="52:80" x14ac:dyDescent="0.25">
      <c r="AZ349" s="33">
        <v>346</v>
      </c>
      <c r="BA349" s="33">
        <v>0.9144351449640622</v>
      </c>
      <c r="BB349" s="33">
        <v>1</v>
      </c>
      <c r="BC349" s="33">
        <v>337</v>
      </c>
      <c r="BD349" s="33">
        <v>247.39</v>
      </c>
      <c r="BZ349">
        <v>5.2631578947368418E-2</v>
      </c>
      <c r="CA349">
        <v>0.78787878787878785</v>
      </c>
      <c r="CB349">
        <v>5.2631578947368418E-2</v>
      </c>
    </row>
    <row r="350" spans="52:80" x14ac:dyDescent="0.25">
      <c r="AZ350" s="33">
        <v>347</v>
      </c>
      <c r="BA350" s="33">
        <v>0.91427528539259895</v>
      </c>
      <c r="BB350" s="33">
        <v>1</v>
      </c>
      <c r="BC350" s="33">
        <v>338</v>
      </c>
      <c r="BD350" s="33">
        <v>248.10499999999999</v>
      </c>
      <c r="BZ350">
        <v>5.2631578947368418E-2</v>
      </c>
      <c r="CA350">
        <v>0.79020979020979021</v>
      </c>
      <c r="CB350">
        <v>5.2631578947368418E-2</v>
      </c>
    </row>
    <row r="351" spans="52:80" x14ac:dyDescent="0.25">
      <c r="AZ351" s="33">
        <v>348</v>
      </c>
      <c r="BA351" s="33">
        <v>0.9137962975614774</v>
      </c>
      <c r="BB351" s="33">
        <v>1</v>
      </c>
      <c r="BC351" s="33">
        <v>339</v>
      </c>
      <c r="BD351" s="33">
        <v>248.82</v>
      </c>
      <c r="BZ351">
        <v>5.2631578947368418E-2</v>
      </c>
      <c r="CA351">
        <v>0.79254079254079257</v>
      </c>
      <c r="CB351">
        <v>5.2631578947368418E-2</v>
      </c>
    </row>
    <row r="352" spans="52:80" x14ac:dyDescent="0.25">
      <c r="AZ352" s="33">
        <v>349</v>
      </c>
      <c r="BA352" s="33">
        <v>0.91312660546424951</v>
      </c>
      <c r="BB352" s="33">
        <v>1</v>
      </c>
      <c r="BC352" s="33">
        <v>340</v>
      </c>
      <c r="BD352" s="33">
        <v>249.535</v>
      </c>
      <c r="BZ352">
        <v>5.2631578947368418E-2</v>
      </c>
      <c r="CA352">
        <v>0.79487179487179482</v>
      </c>
      <c r="CB352">
        <v>5.2631578947368418E-2</v>
      </c>
    </row>
    <row r="353" spans="52:80" x14ac:dyDescent="0.25">
      <c r="AZ353" s="33">
        <v>350</v>
      </c>
      <c r="BA353" s="33">
        <v>0.91191941540742294</v>
      </c>
      <c r="BB353" s="33">
        <v>1</v>
      </c>
      <c r="BC353" s="33">
        <v>341</v>
      </c>
      <c r="BD353" s="33">
        <v>250.25</v>
      </c>
      <c r="BZ353">
        <v>5.2631578947368418E-2</v>
      </c>
      <c r="CA353">
        <v>0.79720279720279719</v>
      </c>
      <c r="CB353">
        <v>5.2631578947368418E-2</v>
      </c>
    </row>
    <row r="354" spans="52:80" x14ac:dyDescent="0.25">
      <c r="AZ354" s="33">
        <v>351</v>
      </c>
      <c r="BA354" s="33">
        <v>0.91188005522501425</v>
      </c>
      <c r="BB354" s="33">
        <v>1</v>
      </c>
      <c r="BC354" s="33">
        <v>342</v>
      </c>
      <c r="BD354" s="33">
        <v>250.96499999999997</v>
      </c>
      <c r="BZ354">
        <v>5.2631578947368418E-2</v>
      </c>
      <c r="CA354">
        <v>0.79953379953379955</v>
      </c>
      <c r="CB354">
        <v>5.2631578947368418E-2</v>
      </c>
    </row>
    <row r="355" spans="52:80" x14ac:dyDescent="0.25">
      <c r="AZ355" s="33">
        <v>352</v>
      </c>
      <c r="BA355" s="33">
        <v>0.91129416325411627</v>
      </c>
      <c r="BB355" s="33">
        <v>1</v>
      </c>
      <c r="BC355" s="33">
        <v>343</v>
      </c>
      <c r="BD355" s="33">
        <v>251.67999999999998</v>
      </c>
      <c r="BZ355">
        <v>5.2631578947368418E-2</v>
      </c>
      <c r="CA355">
        <v>0.80186480186480191</v>
      </c>
      <c r="CB355">
        <v>5.2631578947368418E-2</v>
      </c>
    </row>
    <row r="356" spans="52:80" x14ac:dyDescent="0.25">
      <c r="AZ356" s="33">
        <v>353</v>
      </c>
      <c r="BA356" s="33">
        <v>0.91122835402392055</v>
      </c>
      <c r="BB356" s="33">
        <v>1</v>
      </c>
      <c r="BC356" s="33">
        <v>344</v>
      </c>
      <c r="BD356" s="33">
        <v>252.39499999999998</v>
      </c>
      <c r="BZ356">
        <v>5.2631578947368418E-2</v>
      </c>
      <c r="CA356">
        <v>0.80419580419580416</v>
      </c>
      <c r="CB356">
        <v>5.2631578947368418E-2</v>
      </c>
    </row>
    <row r="357" spans="52:80" x14ac:dyDescent="0.25">
      <c r="AZ357" s="33">
        <v>354</v>
      </c>
      <c r="BA357" s="33">
        <v>0.91042521520286213</v>
      </c>
      <c r="BB357" s="33">
        <v>1</v>
      </c>
      <c r="BC357" s="33">
        <v>345</v>
      </c>
      <c r="BD357" s="33">
        <v>253.10999999999999</v>
      </c>
      <c r="BZ357">
        <v>5.2631578947368418E-2</v>
      </c>
      <c r="CA357">
        <v>0.80652680652680653</v>
      </c>
      <c r="CB357">
        <v>5.2631578947368418E-2</v>
      </c>
    </row>
    <row r="358" spans="52:80" x14ac:dyDescent="0.25">
      <c r="AZ358" s="33">
        <v>355</v>
      </c>
      <c r="BA358" s="33">
        <v>0.90973163706966065</v>
      </c>
      <c r="BB358" s="33">
        <v>1</v>
      </c>
      <c r="BC358" s="33">
        <v>346</v>
      </c>
      <c r="BD358" s="33">
        <v>253.82499999999999</v>
      </c>
      <c r="BZ358">
        <v>5.2631578947368418E-2</v>
      </c>
      <c r="CA358">
        <v>0.80885780885780889</v>
      </c>
      <c r="CB358">
        <v>5.2631578947368418E-2</v>
      </c>
    </row>
    <row r="359" spans="52:80" x14ac:dyDescent="0.25">
      <c r="AZ359" s="33">
        <v>356</v>
      </c>
      <c r="BA359" s="33">
        <v>0.90893244067945667</v>
      </c>
      <c r="BB359" s="33">
        <v>1</v>
      </c>
      <c r="BC359" s="33">
        <v>347</v>
      </c>
      <c r="BD359" s="33">
        <v>254.54</v>
      </c>
      <c r="BZ359">
        <v>5.2631578947368418E-2</v>
      </c>
      <c r="CA359">
        <v>0.81118881118881114</v>
      </c>
      <c r="CB359">
        <v>5.2631578947368418E-2</v>
      </c>
    </row>
    <row r="360" spans="52:80" x14ac:dyDescent="0.25">
      <c r="AZ360" s="33">
        <v>357</v>
      </c>
      <c r="BA360" s="33">
        <v>0.90814627241200352</v>
      </c>
      <c r="BB360" s="33">
        <v>1</v>
      </c>
      <c r="BC360" s="33">
        <v>348</v>
      </c>
      <c r="BD360" s="33">
        <v>255.255</v>
      </c>
      <c r="BZ360">
        <v>5.2631578947368418E-2</v>
      </c>
      <c r="CA360">
        <v>0.81351981351981351</v>
      </c>
      <c r="CB360">
        <v>5.2631578947368418E-2</v>
      </c>
    </row>
    <row r="361" spans="52:80" x14ac:dyDescent="0.25">
      <c r="AZ361" s="33">
        <v>358</v>
      </c>
      <c r="BA361" s="33">
        <v>0.9076765617785193</v>
      </c>
      <c r="BB361" s="33">
        <v>1</v>
      </c>
      <c r="BC361" s="33">
        <v>349</v>
      </c>
      <c r="BD361" s="33">
        <v>255.97</v>
      </c>
      <c r="BZ361">
        <v>5.2631578947368418E-2</v>
      </c>
      <c r="CA361">
        <v>0.81585081585081587</v>
      </c>
      <c r="CB361">
        <v>5.2631578947368418E-2</v>
      </c>
    </row>
    <row r="362" spans="52:80" x14ac:dyDescent="0.25">
      <c r="AZ362" s="33">
        <v>359</v>
      </c>
      <c r="BA362" s="33">
        <v>0.90712389964890738</v>
      </c>
      <c r="BB362" s="33">
        <v>1</v>
      </c>
      <c r="BC362" s="33">
        <v>350</v>
      </c>
      <c r="BD362" s="33">
        <v>256.685</v>
      </c>
      <c r="BZ362">
        <v>5.2631578947368418E-2</v>
      </c>
      <c r="CA362">
        <v>0.81818181818181823</v>
      </c>
      <c r="CB362">
        <v>5.2631578947368418E-2</v>
      </c>
    </row>
    <row r="363" spans="52:80" x14ac:dyDescent="0.25">
      <c r="AZ363" s="33">
        <v>360</v>
      </c>
      <c r="BA363" s="33">
        <v>0.90696674528497756</v>
      </c>
      <c r="BB363" s="33">
        <v>1</v>
      </c>
      <c r="BC363" s="33">
        <v>351</v>
      </c>
      <c r="BD363" s="33">
        <v>257.39999999999998</v>
      </c>
      <c r="BZ363">
        <v>5.2631578947368418E-2</v>
      </c>
      <c r="CA363">
        <v>0.82051282051282048</v>
      </c>
      <c r="CB363">
        <v>5.2631578947368418E-2</v>
      </c>
    </row>
    <row r="364" spans="52:80" x14ac:dyDescent="0.25">
      <c r="AZ364" s="32">
        <v>361</v>
      </c>
      <c r="BA364" s="32">
        <v>0.90689557021892375</v>
      </c>
      <c r="BB364" s="32">
        <v>1</v>
      </c>
      <c r="BC364" s="32">
        <v>352</v>
      </c>
      <c r="BD364" s="32">
        <v>258.11500000000001</v>
      </c>
      <c r="BZ364">
        <v>5.2631578947368418E-2</v>
      </c>
      <c r="CA364">
        <v>0.82284382284382285</v>
      </c>
      <c r="CB364">
        <v>5.2631578947368418E-2</v>
      </c>
    </row>
    <row r="365" spans="52:80" x14ac:dyDescent="0.25">
      <c r="AZ365" s="32">
        <v>362</v>
      </c>
      <c r="BA365" s="32">
        <v>0.90665140977794811</v>
      </c>
      <c r="BB365" s="32">
        <v>1</v>
      </c>
      <c r="BC365" s="32">
        <v>353</v>
      </c>
      <c r="BD365" s="32">
        <v>258.83</v>
      </c>
      <c r="BZ365">
        <v>5.2631578947368418E-2</v>
      </c>
      <c r="CA365">
        <v>0.82517482517482521</v>
      </c>
      <c r="CB365">
        <v>5.2631578947368418E-2</v>
      </c>
    </row>
    <row r="366" spans="52:80" x14ac:dyDescent="0.25">
      <c r="AZ366" s="32">
        <v>363</v>
      </c>
      <c r="BA366" s="32">
        <v>0.90467840564459445</v>
      </c>
      <c r="BB366" s="32">
        <v>1</v>
      </c>
      <c r="BC366" s="32">
        <v>354</v>
      </c>
      <c r="BD366" s="32">
        <v>259.54500000000002</v>
      </c>
      <c r="BZ366">
        <v>5.2631578947368418E-2</v>
      </c>
      <c r="CA366">
        <v>0.82750582750582746</v>
      </c>
      <c r="CB366">
        <v>5.2631578947368418E-2</v>
      </c>
    </row>
    <row r="367" spans="52:80" x14ac:dyDescent="0.25">
      <c r="AZ367" s="32">
        <v>364</v>
      </c>
      <c r="BA367" s="32">
        <v>0.90440977728438821</v>
      </c>
      <c r="BB367" s="32">
        <v>1</v>
      </c>
      <c r="BC367" s="32">
        <v>355</v>
      </c>
      <c r="BD367" s="32">
        <v>260.26</v>
      </c>
      <c r="BZ367">
        <v>5.2631578947368418E-2</v>
      </c>
      <c r="CA367">
        <v>0.82983682983682983</v>
      </c>
      <c r="CB367">
        <v>5.2631578947368418E-2</v>
      </c>
    </row>
    <row r="368" spans="52:80" x14ac:dyDescent="0.25">
      <c r="AZ368" s="32">
        <v>365</v>
      </c>
      <c r="BA368" s="32">
        <v>0.90380980083409734</v>
      </c>
      <c r="BB368" s="32">
        <v>1</v>
      </c>
      <c r="BC368" s="32">
        <v>356</v>
      </c>
      <c r="BD368" s="32">
        <v>260.97499999999997</v>
      </c>
      <c r="BZ368">
        <v>5.2631578947368418E-2</v>
      </c>
      <c r="CA368">
        <v>0.83216783216783219</v>
      </c>
      <c r="CB368">
        <v>5.2631578947368418E-2</v>
      </c>
    </row>
    <row r="369" spans="52:80" x14ac:dyDescent="0.25">
      <c r="AZ369" s="32">
        <v>366</v>
      </c>
      <c r="BA369" s="32">
        <v>0.90359943792294606</v>
      </c>
      <c r="BB369" s="32">
        <v>1</v>
      </c>
      <c r="BC369" s="32">
        <v>357</v>
      </c>
      <c r="BD369" s="32">
        <v>261.69</v>
      </c>
      <c r="BZ369">
        <v>5.2631578947368418E-2</v>
      </c>
      <c r="CA369">
        <v>0.83449883449883455</v>
      </c>
      <c r="CB369">
        <v>5.2631578947368418E-2</v>
      </c>
    </row>
    <row r="370" spans="52:80" x14ac:dyDescent="0.25">
      <c r="AZ370" s="32">
        <v>367</v>
      </c>
      <c r="BA370" s="32">
        <v>0.90356666274742747</v>
      </c>
      <c r="BB370" s="32">
        <v>1</v>
      </c>
      <c r="BC370" s="32">
        <v>358</v>
      </c>
      <c r="BD370" s="32">
        <v>262.40499999999997</v>
      </c>
      <c r="BZ370">
        <v>5.2631578947368418E-2</v>
      </c>
      <c r="CA370">
        <v>0.8368298368298368</v>
      </c>
      <c r="CB370">
        <v>5.2631578947368418E-2</v>
      </c>
    </row>
    <row r="371" spans="52:80" x14ac:dyDescent="0.25">
      <c r="AZ371" s="32">
        <v>368</v>
      </c>
      <c r="BA371" s="32">
        <v>0.90256589306951929</v>
      </c>
      <c r="BB371" s="32">
        <v>1</v>
      </c>
      <c r="BC371" s="32">
        <v>359</v>
      </c>
      <c r="BD371" s="32">
        <v>263.12</v>
      </c>
      <c r="BZ371">
        <v>5.2631578947368418E-2</v>
      </c>
      <c r="CA371">
        <v>0.83916083916083917</v>
      </c>
      <c r="CB371">
        <v>5.2631578947368418E-2</v>
      </c>
    </row>
    <row r="372" spans="52:80" x14ac:dyDescent="0.25">
      <c r="AZ372" s="32">
        <v>369</v>
      </c>
      <c r="BA372" s="32">
        <v>0.90013824330798142</v>
      </c>
      <c r="BB372" s="32">
        <v>1</v>
      </c>
      <c r="BC372" s="32">
        <v>360</v>
      </c>
      <c r="BD372" s="32">
        <v>263.83499999999998</v>
      </c>
      <c r="BZ372">
        <v>5.2631578947368418E-2</v>
      </c>
      <c r="CA372">
        <v>0.84149184149184153</v>
      </c>
      <c r="CB372">
        <v>5.2631578947368418E-2</v>
      </c>
    </row>
    <row r="373" spans="52:80" x14ac:dyDescent="0.25">
      <c r="AZ373" s="32">
        <v>370</v>
      </c>
      <c r="BA373" s="32">
        <v>0.89950144273044852</v>
      </c>
      <c r="BB373" s="32">
        <v>1</v>
      </c>
      <c r="BC373" s="32">
        <v>361</v>
      </c>
      <c r="BD373" s="32">
        <v>264.55</v>
      </c>
      <c r="BZ373">
        <v>5.2631578947368418E-2</v>
      </c>
      <c r="CA373">
        <v>0.84382284382284378</v>
      </c>
      <c r="CB373">
        <v>5.2631578947368418E-2</v>
      </c>
    </row>
    <row r="374" spans="52:80" x14ac:dyDescent="0.25">
      <c r="AZ374" s="32">
        <v>371</v>
      </c>
      <c r="BA374" s="32">
        <v>0.89949414867550936</v>
      </c>
      <c r="BB374" s="32">
        <v>1</v>
      </c>
      <c r="BC374" s="32">
        <v>362</v>
      </c>
      <c r="BD374" s="32">
        <v>265.26499999999999</v>
      </c>
      <c r="BZ374">
        <v>5.2631578947368418E-2</v>
      </c>
      <c r="CA374">
        <v>0.84615384615384615</v>
      </c>
      <c r="CB374">
        <v>5.2631578947368418E-2</v>
      </c>
    </row>
    <row r="375" spans="52:80" x14ac:dyDescent="0.25">
      <c r="AZ375" s="32">
        <v>372</v>
      </c>
      <c r="BA375" s="32">
        <v>0.89781470143907993</v>
      </c>
      <c r="BB375" s="32">
        <v>1</v>
      </c>
      <c r="BC375" s="32">
        <v>363</v>
      </c>
      <c r="BD375" s="32">
        <v>265.97999999999996</v>
      </c>
      <c r="BZ375">
        <v>5.2631578947368418E-2</v>
      </c>
      <c r="CA375">
        <v>0.84848484848484851</v>
      </c>
      <c r="CB375">
        <v>5.2631578947368418E-2</v>
      </c>
    </row>
    <row r="376" spans="52:80" x14ac:dyDescent="0.25">
      <c r="AZ376" s="32">
        <v>373</v>
      </c>
      <c r="BA376" s="32">
        <v>0.89675401664850252</v>
      </c>
      <c r="BB376" s="32">
        <v>1</v>
      </c>
      <c r="BC376" s="32">
        <v>364</v>
      </c>
      <c r="BD376" s="32">
        <v>266.69499999999999</v>
      </c>
      <c r="BZ376">
        <v>5.2631578947368418E-2</v>
      </c>
      <c r="CA376">
        <v>0.85081585081585076</v>
      </c>
      <c r="CB376">
        <v>5.2631578947368418E-2</v>
      </c>
    </row>
    <row r="377" spans="52:80" x14ac:dyDescent="0.25">
      <c r="AZ377" s="32">
        <v>374</v>
      </c>
      <c r="BA377" s="32">
        <v>0.89608184615435538</v>
      </c>
      <c r="BB377" s="32">
        <v>1</v>
      </c>
      <c r="BC377" s="32">
        <v>365</v>
      </c>
      <c r="BD377" s="32">
        <v>267.40999999999997</v>
      </c>
      <c r="BZ377">
        <v>5.2631578947368418E-2</v>
      </c>
      <c r="CA377">
        <v>0.85314685314685312</v>
      </c>
      <c r="CB377">
        <v>5.2631578947368418E-2</v>
      </c>
    </row>
    <row r="378" spans="52:80" x14ac:dyDescent="0.25">
      <c r="AZ378" s="32">
        <v>375</v>
      </c>
      <c r="BA378" s="32">
        <v>0.89570845149246303</v>
      </c>
      <c r="BB378" s="32">
        <v>1</v>
      </c>
      <c r="BC378" s="32">
        <v>366</v>
      </c>
      <c r="BD378" s="32">
        <v>268.125</v>
      </c>
      <c r="BZ378">
        <v>5.2631578947368418E-2</v>
      </c>
      <c r="CA378">
        <v>0.85547785547785549</v>
      </c>
      <c r="CB378">
        <v>5.2631578947368418E-2</v>
      </c>
    </row>
    <row r="379" spans="52:80" x14ac:dyDescent="0.25">
      <c r="AZ379" s="32">
        <v>376</v>
      </c>
      <c r="BA379" s="32">
        <v>0.89303479409627562</v>
      </c>
      <c r="BB379" s="32">
        <v>1</v>
      </c>
      <c r="BC379" s="32">
        <v>367</v>
      </c>
      <c r="BD379" s="32">
        <v>268.83999999999997</v>
      </c>
      <c r="BZ379">
        <v>5.2631578947368418E-2</v>
      </c>
      <c r="CA379">
        <v>0.85780885780885785</v>
      </c>
      <c r="CB379">
        <v>5.2631578947368418E-2</v>
      </c>
    </row>
    <row r="380" spans="52:80" x14ac:dyDescent="0.25">
      <c r="AZ380" s="32">
        <v>377</v>
      </c>
      <c r="BA380" s="32">
        <v>0.89293751794344167</v>
      </c>
      <c r="BB380" s="32">
        <v>1</v>
      </c>
      <c r="BC380" s="32">
        <v>368</v>
      </c>
      <c r="BD380" s="32">
        <v>269.55500000000001</v>
      </c>
      <c r="BZ380">
        <v>5.2631578947368418E-2</v>
      </c>
      <c r="CA380">
        <v>0.8601398601398601</v>
      </c>
      <c r="CB380">
        <v>5.2631578947368418E-2</v>
      </c>
    </row>
    <row r="381" spans="52:80" x14ac:dyDescent="0.25">
      <c r="AZ381" s="32">
        <v>378</v>
      </c>
      <c r="BA381" s="32">
        <v>0.89222626707725472</v>
      </c>
      <c r="BB381" s="32">
        <v>1</v>
      </c>
      <c r="BC381" s="32">
        <v>369</v>
      </c>
      <c r="BD381" s="32">
        <v>270.27</v>
      </c>
      <c r="BZ381">
        <v>5.2631578947368418E-2</v>
      </c>
      <c r="CA381">
        <v>0.86247086247086246</v>
      </c>
      <c r="CB381">
        <v>5.2631578947368418E-2</v>
      </c>
    </row>
    <row r="382" spans="52:80" x14ac:dyDescent="0.25">
      <c r="AZ382" s="32">
        <v>379</v>
      </c>
      <c r="BA382" s="32">
        <v>0.89203350167023798</v>
      </c>
      <c r="BB382" s="32">
        <v>1</v>
      </c>
      <c r="BC382" s="32">
        <v>370</v>
      </c>
      <c r="BD382" s="32">
        <v>270.98500000000001</v>
      </c>
      <c r="BZ382">
        <v>5.2631578947368418E-2</v>
      </c>
      <c r="CA382">
        <v>0.86480186480186483</v>
      </c>
      <c r="CB382">
        <v>5.2631578947368418E-2</v>
      </c>
    </row>
    <row r="383" spans="52:80" x14ac:dyDescent="0.25">
      <c r="AZ383" s="32">
        <v>380</v>
      </c>
      <c r="BA383" s="32">
        <v>0.89180994135361558</v>
      </c>
      <c r="BB383" s="32">
        <v>1</v>
      </c>
      <c r="BC383" s="32">
        <v>371</v>
      </c>
      <c r="BD383" s="32">
        <v>271.7</v>
      </c>
      <c r="BZ383">
        <v>5.2631578947368418E-2</v>
      </c>
      <c r="CA383">
        <v>0.86713286713286708</v>
      </c>
      <c r="CB383">
        <v>5.2631578947368418E-2</v>
      </c>
    </row>
    <row r="384" spans="52:80" x14ac:dyDescent="0.25">
      <c r="AZ384" s="32">
        <v>381</v>
      </c>
      <c r="BA384" s="32">
        <v>0.88965302095655197</v>
      </c>
      <c r="BB384" s="32">
        <v>1</v>
      </c>
      <c r="BC384" s="32">
        <v>372</v>
      </c>
      <c r="BD384" s="32">
        <v>272.41499999999996</v>
      </c>
      <c r="BZ384">
        <v>5.2631578947368418E-2</v>
      </c>
      <c r="CA384">
        <v>0.86946386946386944</v>
      </c>
      <c r="CB384">
        <v>5.2631578947368418E-2</v>
      </c>
    </row>
    <row r="385" spans="52:80" x14ac:dyDescent="0.25">
      <c r="AZ385" s="32">
        <v>382</v>
      </c>
      <c r="BA385" s="32">
        <v>0.88917563971964997</v>
      </c>
      <c r="BB385" s="32">
        <v>1</v>
      </c>
      <c r="BC385" s="32">
        <v>373</v>
      </c>
      <c r="BD385" s="32">
        <v>273.13</v>
      </c>
      <c r="BZ385">
        <v>5.2631578947368418E-2</v>
      </c>
      <c r="CA385">
        <v>0.87179487179487181</v>
      </c>
      <c r="CB385">
        <v>5.2631578947368418E-2</v>
      </c>
    </row>
    <row r="386" spans="52:80" x14ac:dyDescent="0.25">
      <c r="AZ386" s="32">
        <v>383</v>
      </c>
      <c r="BA386" s="32">
        <v>0.88861038471187315</v>
      </c>
      <c r="BB386" s="32">
        <v>1</v>
      </c>
      <c r="BC386" s="32">
        <v>374</v>
      </c>
      <c r="BD386" s="32">
        <v>273.84499999999997</v>
      </c>
      <c r="BZ386">
        <v>5.2631578947368418E-2</v>
      </c>
      <c r="CA386">
        <v>0.87412587412587417</v>
      </c>
      <c r="CB386">
        <v>5.2631578947368418E-2</v>
      </c>
    </row>
    <row r="387" spans="52:80" x14ac:dyDescent="0.25">
      <c r="AZ387" s="32">
        <v>384</v>
      </c>
      <c r="BA387" s="32">
        <v>0.88464432347315203</v>
      </c>
      <c r="BB387" s="32">
        <v>1</v>
      </c>
      <c r="BC387" s="32">
        <v>375</v>
      </c>
      <c r="BD387" s="32">
        <v>274.56</v>
      </c>
      <c r="BZ387">
        <v>5.2631578947368418E-2</v>
      </c>
      <c r="CA387">
        <v>0.87645687645687642</v>
      </c>
      <c r="CB387">
        <v>5.2631578947368418E-2</v>
      </c>
    </row>
    <row r="388" spans="52:80" x14ac:dyDescent="0.25">
      <c r="AZ388" s="32">
        <v>385</v>
      </c>
      <c r="BA388" s="32">
        <v>0.88452846059220802</v>
      </c>
      <c r="BB388" s="32">
        <v>1</v>
      </c>
      <c r="BC388" s="32">
        <v>376</v>
      </c>
      <c r="BD388" s="32">
        <v>275.27499999999998</v>
      </c>
      <c r="BZ388">
        <v>5.2631578947368418E-2</v>
      </c>
      <c r="CA388">
        <v>0.87878787878787878</v>
      </c>
      <c r="CB388">
        <v>5.2631578947368418E-2</v>
      </c>
    </row>
    <row r="389" spans="52:80" x14ac:dyDescent="0.25">
      <c r="AZ389" s="32">
        <v>386</v>
      </c>
      <c r="BA389" s="32">
        <v>0.88140131869720384</v>
      </c>
      <c r="BB389" s="32">
        <v>1</v>
      </c>
      <c r="BC389" s="32">
        <v>377</v>
      </c>
      <c r="BD389" s="32">
        <v>275.99</v>
      </c>
      <c r="BZ389">
        <v>5.2631578947368418E-2</v>
      </c>
      <c r="CA389">
        <v>0.88111888111888115</v>
      </c>
      <c r="CB389">
        <v>5.2631578947368418E-2</v>
      </c>
    </row>
    <row r="390" spans="52:80" x14ac:dyDescent="0.25">
      <c r="AZ390" s="32">
        <v>387</v>
      </c>
      <c r="BA390" s="32">
        <v>0.88098568758645135</v>
      </c>
      <c r="BB390" s="32">
        <v>1</v>
      </c>
      <c r="BC390" s="32">
        <v>378</v>
      </c>
      <c r="BD390" s="32">
        <v>276.70499999999998</v>
      </c>
      <c r="BZ390">
        <v>5.2631578947368418E-2</v>
      </c>
      <c r="CA390">
        <v>0.8834498834498834</v>
      </c>
      <c r="CB390">
        <v>5.2631578947368418E-2</v>
      </c>
    </row>
    <row r="391" spans="52:80" x14ac:dyDescent="0.25">
      <c r="AZ391" s="32">
        <v>388</v>
      </c>
      <c r="BA391" s="32">
        <v>0.87883013070071681</v>
      </c>
      <c r="BB391" s="32">
        <v>1</v>
      </c>
      <c r="BC391" s="32">
        <v>379</v>
      </c>
      <c r="BD391" s="32">
        <v>277.42</v>
      </c>
      <c r="BZ391">
        <v>5.2631578947368418E-2</v>
      </c>
      <c r="CA391">
        <v>0.88578088578088576</v>
      </c>
      <c r="CB391">
        <v>5.2631578947368418E-2</v>
      </c>
    </row>
    <row r="392" spans="52:80" x14ac:dyDescent="0.25">
      <c r="AZ392" s="32">
        <v>389</v>
      </c>
      <c r="BA392" s="32">
        <v>0.87698237454236583</v>
      </c>
      <c r="BB392" s="32">
        <v>1</v>
      </c>
      <c r="BC392" s="32">
        <v>380</v>
      </c>
      <c r="BD392" s="32">
        <v>278.13499999999999</v>
      </c>
      <c r="BZ392">
        <v>5.2631578947368418E-2</v>
      </c>
      <c r="CA392">
        <v>0.88811188811188813</v>
      </c>
      <c r="CB392">
        <v>5.2631578947368418E-2</v>
      </c>
    </row>
    <row r="393" spans="52:80" x14ac:dyDescent="0.25">
      <c r="AZ393" s="32">
        <v>390</v>
      </c>
      <c r="BA393" s="32">
        <v>0.87306560469681849</v>
      </c>
      <c r="BB393" s="32">
        <v>1</v>
      </c>
      <c r="BC393" s="32">
        <v>381</v>
      </c>
      <c r="BD393" s="32">
        <v>278.84999999999997</v>
      </c>
      <c r="BZ393">
        <v>5.2631578947368418E-2</v>
      </c>
      <c r="CA393">
        <v>0.89044289044289049</v>
      </c>
      <c r="CB393">
        <v>5.2631578947368418E-2</v>
      </c>
    </row>
    <row r="394" spans="52:80" x14ac:dyDescent="0.25">
      <c r="AZ394" s="32">
        <v>391</v>
      </c>
      <c r="BA394" s="32">
        <v>0.87200309389432906</v>
      </c>
      <c r="BB394" s="32">
        <v>1</v>
      </c>
      <c r="BC394" s="32">
        <v>382</v>
      </c>
      <c r="BD394" s="32">
        <v>279.565</v>
      </c>
      <c r="BZ394">
        <v>5.2631578947368418E-2</v>
      </c>
      <c r="CA394">
        <v>0.89277389277389274</v>
      </c>
      <c r="CB394">
        <v>5.2631578947368418E-2</v>
      </c>
    </row>
    <row r="395" spans="52:80" x14ac:dyDescent="0.25">
      <c r="AZ395" s="32">
        <v>392</v>
      </c>
      <c r="BA395" s="32">
        <v>0.87011888710340823</v>
      </c>
      <c r="BB395" s="32">
        <v>1</v>
      </c>
      <c r="BC395" s="32">
        <v>383</v>
      </c>
      <c r="BD395" s="32">
        <v>280.27999999999997</v>
      </c>
      <c r="BZ395">
        <v>5.2631578947368418E-2</v>
      </c>
      <c r="CA395">
        <v>0.8951048951048951</v>
      </c>
      <c r="CB395">
        <v>5.2631578947368418E-2</v>
      </c>
    </row>
    <row r="396" spans="52:80" x14ac:dyDescent="0.25">
      <c r="AZ396" s="32">
        <v>393</v>
      </c>
      <c r="BA396" s="32">
        <v>0.86971098718565365</v>
      </c>
      <c r="BB396" s="32">
        <v>1</v>
      </c>
      <c r="BC396" s="32">
        <v>384</v>
      </c>
      <c r="BD396" s="32">
        <v>280.995</v>
      </c>
      <c r="BZ396">
        <v>5.2631578947368418E-2</v>
      </c>
      <c r="CA396">
        <v>0.89743589743589747</v>
      </c>
      <c r="CB396">
        <v>5.2631578947368418E-2</v>
      </c>
    </row>
    <row r="397" spans="52:80" x14ac:dyDescent="0.25">
      <c r="AZ397" s="32">
        <v>394</v>
      </c>
      <c r="BA397" s="32">
        <v>0.86926680715870797</v>
      </c>
      <c r="BB397" s="32">
        <v>1</v>
      </c>
      <c r="BC397" s="32">
        <v>385</v>
      </c>
      <c r="BD397" s="32">
        <v>281.70999999999998</v>
      </c>
      <c r="BZ397">
        <v>5.2631578947368418E-2</v>
      </c>
      <c r="CA397">
        <v>0.89976689976689972</v>
      </c>
      <c r="CB397">
        <v>5.2631578947368418E-2</v>
      </c>
    </row>
    <row r="398" spans="52:80" x14ac:dyDescent="0.25">
      <c r="AZ398" s="32">
        <v>395</v>
      </c>
      <c r="BA398" s="32">
        <v>0.86872601285278461</v>
      </c>
      <c r="BB398" s="32">
        <v>1</v>
      </c>
      <c r="BC398" s="32">
        <v>386</v>
      </c>
      <c r="BD398" s="32">
        <v>282.42500000000001</v>
      </c>
      <c r="BZ398">
        <v>5.2631578947368418E-2</v>
      </c>
      <c r="CA398">
        <v>0.90209790209790208</v>
      </c>
      <c r="CB398">
        <v>5.2631578947368418E-2</v>
      </c>
    </row>
    <row r="399" spans="52:80" x14ac:dyDescent="0.25">
      <c r="AZ399" s="32">
        <v>396</v>
      </c>
      <c r="BA399" s="32">
        <v>0.86857664747224494</v>
      </c>
      <c r="BB399" s="32">
        <v>1</v>
      </c>
      <c r="BC399" s="32">
        <v>387</v>
      </c>
      <c r="BD399" s="32">
        <v>283.14</v>
      </c>
      <c r="BZ399">
        <v>5.2631578947368418E-2</v>
      </c>
      <c r="CA399">
        <v>0.90442890442890445</v>
      </c>
      <c r="CB399">
        <v>5.2631578947368418E-2</v>
      </c>
    </row>
    <row r="400" spans="52:80" x14ac:dyDescent="0.25">
      <c r="AZ400" s="32">
        <v>397</v>
      </c>
      <c r="BA400" s="32">
        <v>0.86840837359090495</v>
      </c>
      <c r="BB400" s="32">
        <v>1</v>
      </c>
      <c r="BC400" s="32">
        <v>388</v>
      </c>
      <c r="BD400" s="32">
        <v>283.85499999999996</v>
      </c>
      <c r="BZ400">
        <v>5.2631578947368418E-2</v>
      </c>
      <c r="CA400">
        <v>0.90675990675990681</v>
      </c>
      <c r="CB400">
        <v>5.2631578947368418E-2</v>
      </c>
    </row>
    <row r="401" spans="52:80" x14ac:dyDescent="0.25">
      <c r="AZ401" s="32">
        <v>398</v>
      </c>
      <c r="BA401" s="32">
        <v>0.86752304395672775</v>
      </c>
      <c r="BB401" s="32">
        <v>1</v>
      </c>
      <c r="BC401" s="32">
        <v>389</v>
      </c>
      <c r="BD401" s="32">
        <v>284.57</v>
      </c>
      <c r="BZ401">
        <v>5.2631578947368418E-2</v>
      </c>
      <c r="CA401">
        <v>0.90909090909090906</v>
      </c>
      <c r="CB401">
        <v>5.2631578947368418E-2</v>
      </c>
    </row>
    <row r="402" spans="52:80" x14ac:dyDescent="0.25">
      <c r="AZ402" s="32">
        <v>399</v>
      </c>
      <c r="BA402" s="32">
        <v>0.86652053002665907</v>
      </c>
      <c r="BB402" s="32">
        <v>1</v>
      </c>
      <c r="BC402" s="32">
        <v>390</v>
      </c>
      <c r="BD402" s="32">
        <v>285.28499999999997</v>
      </c>
      <c r="BZ402">
        <v>5.2631578947368418E-2</v>
      </c>
      <c r="CA402">
        <v>0.91142191142191142</v>
      </c>
      <c r="CB402">
        <v>5.2631578947368418E-2</v>
      </c>
    </row>
    <row r="403" spans="52:80" x14ac:dyDescent="0.25">
      <c r="AZ403" s="32">
        <v>400</v>
      </c>
      <c r="BA403" s="32">
        <v>0.86575535941293624</v>
      </c>
      <c r="BB403" s="32">
        <v>1</v>
      </c>
      <c r="BC403" s="32">
        <v>391</v>
      </c>
      <c r="BD403" s="32">
        <v>286</v>
      </c>
      <c r="BZ403">
        <v>5.2631578947368418E-2</v>
      </c>
      <c r="CA403">
        <v>0.91375291375291379</v>
      </c>
      <c r="CB403">
        <v>5.2631578947368418E-2</v>
      </c>
    </row>
    <row r="404" spans="52:80" x14ac:dyDescent="0.25">
      <c r="AZ404" s="32">
        <v>401</v>
      </c>
      <c r="BA404" s="32">
        <v>0.86425259618110517</v>
      </c>
      <c r="BB404" s="32">
        <v>1</v>
      </c>
      <c r="BC404" s="32">
        <v>392</v>
      </c>
      <c r="BD404" s="32">
        <v>286.71499999999997</v>
      </c>
      <c r="BZ404">
        <v>5.2631578947368418E-2</v>
      </c>
      <c r="CA404">
        <v>0.91608391608391604</v>
      </c>
      <c r="CB404">
        <v>5.2631578947368418E-2</v>
      </c>
    </row>
    <row r="405" spans="52:80" x14ac:dyDescent="0.25">
      <c r="AZ405" s="32">
        <v>402</v>
      </c>
      <c r="BA405" s="32">
        <v>0.86172117873535314</v>
      </c>
      <c r="BB405" s="32">
        <v>1</v>
      </c>
      <c r="BC405" s="32">
        <v>393</v>
      </c>
      <c r="BD405" s="32">
        <v>287.43</v>
      </c>
      <c r="BZ405">
        <v>5.2631578947368418E-2</v>
      </c>
      <c r="CA405">
        <v>0.9184149184149184</v>
      </c>
      <c r="CB405">
        <v>5.2631578947368418E-2</v>
      </c>
    </row>
    <row r="406" spans="52:80" x14ac:dyDescent="0.25">
      <c r="AZ406" s="32">
        <v>403</v>
      </c>
      <c r="BA406" s="32">
        <v>0.86077520714589462</v>
      </c>
      <c r="BB406" s="32">
        <v>1</v>
      </c>
      <c r="BC406" s="32">
        <v>394</v>
      </c>
      <c r="BD406" s="32">
        <v>288.14499999999998</v>
      </c>
      <c r="BZ406">
        <v>5.2631578947368418E-2</v>
      </c>
      <c r="CA406">
        <v>0.92074592074592077</v>
      </c>
      <c r="CB406">
        <v>5.2631578947368418E-2</v>
      </c>
    </row>
    <row r="407" spans="52:80" x14ac:dyDescent="0.25">
      <c r="AZ407" s="32">
        <v>404</v>
      </c>
      <c r="BA407" s="32">
        <v>0.85618465461178495</v>
      </c>
      <c r="BB407" s="32">
        <v>1</v>
      </c>
      <c r="BC407" s="32">
        <v>395</v>
      </c>
      <c r="BD407" s="32">
        <v>288.86</v>
      </c>
      <c r="BZ407">
        <v>5.2631578947368418E-2</v>
      </c>
      <c r="CA407">
        <v>0.92307692307692313</v>
      </c>
      <c r="CB407">
        <v>5.2631578947368418E-2</v>
      </c>
    </row>
    <row r="408" spans="52:80" x14ac:dyDescent="0.25">
      <c r="AZ408" s="32">
        <v>405</v>
      </c>
      <c r="BA408" s="32">
        <v>0.8552073747362785</v>
      </c>
      <c r="BB408" s="32">
        <v>1</v>
      </c>
      <c r="BC408" s="32">
        <v>396</v>
      </c>
      <c r="BD408" s="32">
        <v>289.57499999999999</v>
      </c>
      <c r="BZ408">
        <v>5.2631578947368418E-2</v>
      </c>
      <c r="CA408">
        <v>0.92540792540792538</v>
      </c>
      <c r="CB408">
        <v>5.2631578947368418E-2</v>
      </c>
    </row>
    <row r="409" spans="52:80" x14ac:dyDescent="0.25">
      <c r="AZ409" s="32">
        <v>406</v>
      </c>
      <c r="BA409" s="32">
        <v>0.85483406423810415</v>
      </c>
      <c r="BB409" s="32">
        <v>1</v>
      </c>
      <c r="BC409" s="32">
        <v>397</v>
      </c>
      <c r="BD409" s="32">
        <v>290.28999999999996</v>
      </c>
      <c r="BZ409">
        <v>5.2631578947368418E-2</v>
      </c>
      <c r="CA409">
        <v>0.92773892773892774</v>
      </c>
      <c r="CB409">
        <v>5.2631578947368418E-2</v>
      </c>
    </row>
    <row r="410" spans="52:80" x14ac:dyDescent="0.25">
      <c r="AZ410" s="32">
        <v>407</v>
      </c>
      <c r="BA410" s="32">
        <v>0.85274608861605938</v>
      </c>
      <c r="BB410" s="32">
        <v>1</v>
      </c>
      <c r="BC410" s="32">
        <v>398</v>
      </c>
      <c r="BD410" s="32">
        <v>291.005</v>
      </c>
      <c r="BZ410">
        <v>5.2631578947368418E-2</v>
      </c>
      <c r="CA410">
        <v>0.93006993006993011</v>
      </c>
      <c r="CB410">
        <v>5.2631578947368418E-2</v>
      </c>
    </row>
    <row r="411" spans="52:80" x14ac:dyDescent="0.25">
      <c r="AZ411" s="32">
        <v>408</v>
      </c>
      <c r="BA411" s="32">
        <v>0.85220600441177763</v>
      </c>
      <c r="BB411" s="32">
        <v>1</v>
      </c>
      <c r="BC411" s="32">
        <v>399</v>
      </c>
      <c r="BD411" s="32">
        <v>291.71999999999997</v>
      </c>
      <c r="BZ411">
        <v>5.2631578947368418E-2</v>
      </c>
      <c r="CA411">
        <v>0.93240093240093236</v>
      </c>
      <c r="CB411">
        <v>5.2631578947368418E-2</v>
      </c>
    </row>
    <row r="412" spans="52:80" x14ac:dyDescent="0.25">
      <c r="AZ412" s="32">
        <v>409</v>
      </c>
      <c r="BA412" s="32">
        <v>0.85144419060764676</v>
      </c>
      <c r="BB412" s="32">
        <v>1</v>
      </c>
      <c r="BC412" s="32">
        <v>400</v>
      </c>
      <c r="BD412" s="32">
        <v>292.435</v>
      </c>
      <c r="BZ412">
        <v>5.2631578947368418E-2</v>
      </c>
      <c r="CA412">
        <v>0.93473193473193472</v>
      </c>
      <c r="CB412">
        <v>5.2631578947368418E-2</v>
      </c>
    </row>
    <row r="413" spans="52:80" x14ac:dyDescent="0.25">
      <c r="AZ413" s="32">
        <v>410</v>
      </c>
      <c r="BA413" s="32">
        <v>0.85064038223704419</v>
      </c>
      <c r="BB413" s="32">
        <v>1</v>
      </c>
      <c r="BC413" s="32">
        <v>401</v>
      </c>
      <c r="BD413" s="32">
        <v>293.14999999999998</v>
      </c>
      <c r="BZ413">
        <v>5.2631578947368418E-2</v>
      </c>
      <c r="CA413">
        <v>0.93706293706293708</v>
      </c>
      <c r="CB413">
        <v>5.2631578947368418E-2</v>
      </c>
    </row>
    <row r="414" spans="52:80" x14ac:dyDescent="0.25">
      <c r="AZ414" s="32">
        <v>411</v>
      </c>
      <c r="BA414" s="32">
        <v>0.84857126247778669</v>
      </c>
      <c r="BB414" s="32">
        <v>1</v>
      </c>
      <c r="BC414" s="32">
        <v>402</v>
      </c>
      <c r="BD414" s="32">
        <v>293.86500000000001</v>
      </c>
      <c r="BZ414">
        <v>5.2631578947368418E-2</v>
      </c>
      <c r="CA414">
        <v>0.93939393939393945</v>
      </c>
      <c r="CB414">
        <v>5.2631578947368418E-2</v>
      </c>
    </row>
    <row r="415" spans="52:80" x14ac:dyDescent="0.25">
      <c r="AZ415" s="32">
        <v>412</v>
      </c>
      <c r="BA415" s="32">
        <v>0.84539312317697701</v>
      </c>
      <c r="BB415" s="32">
        <v>1</v>
      </c>
      <c r="BC415" s="32">
        <v>403</v>
      </c>
      <c r="BD415" s="32">
        <v>294.58</v>
      </c>
      <c r="BZ415">
        <v>5.2631578947368418E-2</v>
      </c>
      <c r="CA415">
        <v>0.9417249417249417</v>
      </c>
      <c r="CB415">
        <v>5.2631578947368418E-2</v>
      </c>
    </row>
    <row r="416" spans="52:80" x14ac:dyDescent="0.25">
      <c r="AZ416" s="32">
        <v>413</v>
      </c>
      <c r="BA416" s="32">
        <v>0.84500676706333011</v>
      </c>
      <c r="BB416" s="32">
        <v>1</v>
      </c>
      <c r="BC416" s="32">
        <v>404</v>
      </c>
      <c r="BD416" s="32">
        <v>295.29499999999996</v>
      </c>
      <c r="BZ416">
        <v>5.2631578947368418E-2</v>
      </c>
      <c r="CA416">
        <v>0.94405594405594406</v>
      </c>
      <c r="CB416">
        <v>5.2631578947368418E-2</v>
      </c>
    </row>
    <row r="417" spans="52:80" x14ac:dyDescent="0.25">
      <c r="AZ417" s="32">
        <v>414</v>
      </c>
      <c r="BA417" s="32">
        <v>0.83917502309717018</v>
      </c>
      <c r="BB417" s="32">
        <v>1</v>
      </c>
      <c r="BC417" s="32">
        <v>405</v>
      </c>
      <c r="BD417" s="32">
        <v>296.01</v>
      </c>
      <c r="BZ417">
        <v>5.2631578947368418E-2</v>
      </c>
      <c r="CA417">
        <v>0.94638694638694643</v>
      </c>
      <c r="CB417">
        <v>5.2631578947368418E-2</v>
      </c>
    </row>
    <row r="418" spans="52:80" x14ac:dyDescent="0.25">
      <c r="AZ418" s="32">
        <v>415</v>
      </c>
      <c r="BA418" s="32">
        <v>0.83541168401933574</v>
      </c>
      <c r="BB418" s="32">
        <v>1</v>
      </c>
      <c r="BC418" s="32">
        <v>406</v>
      </c>
      <c r="BD418" s="32">
        <v>296.72499999999997</v>
      </c>
      <c r="BZ418">
        <v>5.2631578947368418E-2</v>
      </c>
      <c r="CA418">
        <v>0.94871794871794868</v>
      </c>
      <c r="CB418">
        <v>5.2631578947368418E-2</v>
      </c>
    </row>
    <row r="419" spans="52:80" x14ac:dyDescent="0.25">
      <c r="AZ419" s="32">
        <v>416</v>
      </c>
      <c r="BA419" s="32">
        <v>0.83243326185809197</v>
      </c>
      <c r="BB419" s="32">
        <v>1</v>
      </c>
      <c r="BC419" s="32">
        <v>407</v>
      </c>
      <c r="BD419" s="32">
        <v>297.44</v>
      </c>
      <c r="BZ419">
        <v>5.2631578947368418E-2</v>
      </c>
      <c r="CA419">
        <v>0.95104895104895104</v>
      </c>
      <c r="CB419">
        <v>5.2631578947368418E-2</v>
      </c>
    </row>
    <row r="420" spans="52:80" x14ac:dyDescent="0.25">
      <c r="AZ420" s="32">
        <v>417</v>
      </c>
      <c r="BA420" s="32">
        <v>0.83081718259222614</v>
      </c>
      <c r="BB420" s="32">
        <v>1</v>
      </c>
      <c r="BC420" s="32">
        <v>408</v>
      </c>
      <c r="BD420" s="32">
        <v>298.15499999999997</v>
      </c>
      <c r="BZ420">
        <v>5.2631578947368418E-2</v>
      </c>
      <c r="CA420">
        <v>0.9533799533799534</v>
      </c>
      <c r="CB420">
        <v>5.2631578947368418E-2</v>
      </c>
    </row>
    <row r="421" spans="52:80" x14ac:dyDescent="0.25">
      <c r="AZ421" s="32">
        <v>418</v>
      </c>
      <c r="BA421" s="32">
        <v>0.82922622318041506</v>
      </c>
      <c r="BB421" s="32">
        <v>1</v>
      </c>
      <c r="BC421" s="32">
        <v>409</v>
      </c>
      <c r="BD421" s="32">
        <v>298.87</v>
      </c>
      <c r="BZ421">
        <v>5.2631578947368418E-2</v>
      </c>
      <c r="CA421">
        <v>0.95571095571095566</v>
      </c>
      <c r="CB421">
        <v>5.2631578947368418E-2</v>
      </c>
    </row>
    <row r="422" spans="52:80" x14ac:dyDescent="0.25">
      <c r="AZ422" s="32">
        <v>419</v>
      </c>
      <c r="BA422" s="32">
        <v>0.82892374426421878</v>
      </c>
      <c r="BB422" s="32">
        <v>1</v>
      </c>
      <c r="BC422" s="32">
        <v>410</v>
      </c>
      <c r="BD422" s="32">
        <v>299.58499999999998</v>
      </c>
      <c r="BZ422">
        <v>5.2631578947368418E-2</v>
      </c>
      <c r="CA422">
        <v>0.95804195804195802</v>
      </c>
      <c r="CB422">
        <v>5.2631578947368418E-2</v>
      </c>
    </row>
    <row r="423" spans="52:80" x14ac:dyDescent="0.25">
      <c r="AZ423" s="32">
        <v>420</v>
      </c>
      <c r="BA423" s="32">
        <v>0.82448867305221729</v>
      </c>
      <c r="BB423" s="32">
        <v>1</v>
      </c>
      <c r="BC423" s="32">
        <v>411</v>
      </c>
      <c r="BD423" s="32">
        <v>300.3</v>
      </c>
      <c r="BZ423">
        <v>5.2631578947368418E-2</v>
      </c>
      <c r="CA423">
        <v>0.96037296037296038</v>
      </c>
      <c r="CB423">
        <v>5.2631578947368418E-2</v>
      </c>
    </row>
    <row r="424" spans="52:80" x14ac:dyDescent="0.25">
      <c r="AZ424" s="33">
        <v>421</v>
      </c>
      <c r="BA424" s="33">
        <v>0.81223760518511401</v>
      </c>
      <c r="BB424" s="33">
        <v>1</v>
      </c>
      <c r="BC424" s="33">
        <v>412</v>
      </c>
      <c r="BD424" s="33">
        <v>301.01499999999999</v>
      </c>
      <c r="BZ424">
        <v>5.2631578947368418E-2</v>
      </c>
      <c r="CA424">
        <v>0.96270396270396275</v>
      </c>
      <c r="CB424">
        <v>5.2631578947368418E-2</v>
      </c>
    </row>
    <row r="425" spans="52:80" x14ac:dyDescent="0.25">
      <c r="AZ425" s="33">
        <v>422</v>
      </c>
      <c r="BA425" s="33">
        <v>0.81117747751458247</v>
      </c>
      <c r="BB425" s="33">
        <v>1</v>
      </c>
      <c r="BC425" s="33">
        <v>413</v>
      </c>
      <c r="BD425" s="33">
        <v>301.72999999999996</v>
      </c>
      <c r="BZ425">
        <v>5.8479532163742687E-2</v>
      </c>
      <c r="CA425">
        <v>0.96270396270396275</v>
      </c>
      <c r="CB425">
        <v>5.8479532163742687E-2</v>
      </c>
    </row>
    <row r="426" spans="52:80" x14ac:dyDescent="0.25">
      <c r="AZ426" s="33">
        <v>423</v>
      </c>
      <c r="BA426" s="33">
        <v>0.79785930424108775</v>
      </c>
      <c r="BB426" s="33">
        <v>0</v>
      </c>
      <c r="BC426" s="33">
        <v>413</v>
      </c>
      <c r="BD426" s="33">
        <v>302.44499999999999</v>
      </c>
      <c r="BZ426">
        <v>5.8479532163742687E-2</v>
      </c>
      <c r="CA426">
        <v>0.965034965034965</v>
      </c>
      <c r="CB426">
        <v>5.8479532163742687E-2</v>
      </c>
    </row>
    <row r="427" spans="52:80" x14ac:dyDescent="0.25">
      <c r="AZ427" s="33">
        <v>424</v>
      </c>
      <c r="BA427" s="33">
        <v>0.79502315957786251</v>
      </c>
      <c r="BB427" s="33">
        <v>1</v>
      </c>
      <c r="BC427" s="33">
        <v>414</v>
      </c>
      <c r="BD427" s="33">
        <v>303.15999999999997</v>
      </c>
      <c r="BZ427">
        <v>5.8479532163742687E-2</v>
      </c>
      <c r="CA427">
        <v>0.96736596736596736</v>
      </c>
      <c r="CB427">
        <v>5.8479532163742687E-2</v>
      </c>
    </row>
    <row r="428" spans="52:80" x14ac:dyDescent="0.25">
      <c r="AZ428" s="33">
        <v>425</v>
      </c>
      <c r="BA428" s="33">
        <v>0.79423628470739072</v>
      </c>
      <c r="BB428" s="33">
        <v>1</v>
      </c>
      <c r="BC428" s="33">
        <v>415</v>
      </c>
      <c r="BD428" s="33">
        <v>303.875</v>
      </c>
      <c r="BZ428">
        <v>5.8479532163742687E-2</v>
      </c>
      <c r="CA428">
        <v>0.96969696969696972</v>
      </c>
      <c r="CB428">
        <v>5.8479532163742687E-2</v>
      </c>
    </row>
    <row r="429" spans="52:80" x14ac:dyDescent="0.25">
      <c r="AZ429" s="33">
        <v>426</v>
      </c>
      <c r="BA429" s="33">
        <v>0.78962335252483251</v>
      </c>
      <c r="BB429" s="33">
        <v>1</v>
      </c>
      <c r="BC429" s="33">
        <v>416</v>
      </c>
      <c r="BD429" s="33">
        <v>304.58999999999997</v>
      </c>
      <c r="BZ429">
        <v>5.8479532163742687E-2</v>
      </c>
      <c r="CA429">
        <v>0.97202797202797198</v>
      </c>
      <c r="CB429">
        <v>5.8479532163742687E-2</v>
      </c>
    </row>
    <row r="430" spans="52:80" x14ac:dyDescent="0.25">
      <c r="AZ430" s="33">
        <v>427</v>
      </c>
      <c r="BA430" s="33">
        <v>0.77001973454960493</v>
      </c>
      <c r="BB430" s="33">
        <v>1</v>
      </c>
      <c r="BC430" s="33">
        <v>417</v>
      </c>
      <c r="BD430" s="33">
        <v>305.30500000000001</v>
      </c>
      <c r="BZ430">
        <v>5.8479532163742687E-2</v>
      </c>
      <c r="CA430">
        <v>0.97435897435897434</v>
      </c>
      <c r="CB430">
        <v>5.8479532163742687E-2</v>
      </c>
    </row>
    <row r="431" spans="52:80" x14ac:dyDescent="0.25">
      <c r="AZ431" s="33">
        <v>428</v>
      </c>
      <c r="BA431" s="33">
        <v>0.76560582343747219</v>
      </c>
      <c r="BB431" s="33">
        <v>1</v>
      </c>
      <c r="BC431" s="33">
        <v>418</v>
      </c>
      <c r="BD431" s="33">
        <v>306.02</v>
      </c>
      <c r="BZ431">
        <v>5.8479532163742687E-2</v>
      </c>
      <c r="CA431">
        <v>0.9766899766899767</v>
      </c>
      <c r="CB431">
        <v>5.8479532163742687E-2</v>
      </c>
    </row>
    <row r="432" spans="52:80" x14ac:dyDescent="0.25">
      <c r="AZ432" s="33">
        <v>429</v>
      </c>
      <c r="BA432" s="33">
        <v>0.76264737408294203</v>
      </c>
      <c r="BB432" s="33">
        <v>1</v>
      </c>
      <c r="BC432" s="33">
        <v>419</v>
      </c>
      <c r="BD432" s="33">
        <v>306.73500000000001</v>
      </c>
      <c r="BZ432">
        <v>5.8479532163742687E-2</v>
      </c>
      <c r="CA432">
        <v>0.97902097902097907</v>
      </c>
      <c r="CB432">
        <v>5.8479532163742687E-2</v>
      </c>
    </row>
    <row r="433" spans="52:80" x14ac:dyDescent="0.25">
      <c r="AZ433" s="33">
        <v>430</v>
      </c>
      <c r="BA433" s="33">
        <v>0.75437944808291668</v>
      </c>
      <c r="BB433" s="33">
        <v>1</v>
      </c>
      <c r="BC433" s="33">
        <v>420</v>
      </c>
      <c r="BD433" s="33">
        <v>307.45</v>
      </c>
      <c r="BZ433">
        <v>5.8479532163742687E-2</v>
      </c>
      <c r="CA433">
        <v>0.98135198135198132</v>
      </c>
      <c r="CB433">
        <v>5.8479532163742687E-2</v>
      </c>
    </row>
    <row r="434" spans="52:80" x14ac:dyDescent="0.25">
      <c r="AZ434" s="33">
        <v>431</v>
      </c>
      <c r="BA434" s="33">
        <v>0.74497470541750321</v>
      </c>
      <c r="BB434" s="33">
        <v>1</v>
      </c>
      <c r="BC434" s="33">
        <v>421</v>
      </c>
      <c r="BD434" s="33">
        <v>308.16499999999996</v>
      </c>
      <c r="BZ434">
        <v>5.8479532163742687E-2</v>
      </c>
      <c r="CA434">
        <v>0.98368298368298368</v>
      </c>
      <c r="CB434">
        <v>5.8479532163742687E-2</v>
      </c>
    </row>
    <row r="435" spans="52:80" x14ac:dyDescent="0.25">
      <c r="AZ435" s="33">
        <v>432</v>
      </c>
      <c r="BA435" s="33">
        <v>0.7344934631912815</v>
      </c>
      <c r="BB435" s="33">
        <v>1</v>
      </c>
      <c r="BC435" s="33">
        <v>422</v>
      </c>
      <c r="BD435" s="33">
        <v>308.88</v>
      </c>
      <c r="BZ435">
        <v>5.8479532163742687E-2</v>
      </c>
      <c r="CA435">
        <v>0.98601398601398604</v>
      </c>
      <c r="CB435">
        <v>5.8479532163742687E-2</v>
      </c>
    </row>
    <row r="436" spans="52:80" x14ac:dyDescent="0.25">
      <c r="AZ436" s="33">
        <v>433</v>
      </c>
      <c r="BA436" s="33">
        <v>0.71223668515520988</v>
      </c>
      <c r="BB436" s="33">
        <v>1</v>
      </c>
      <c r="BC436" s="33">
        <v>423</v>
      </c>
      <c r="BD436" s="33">
        <v>309.59499999999997</v>
      </c>
      <c r="BZ436">
        <v>5.8479532163742687E-2</v>
      </c>
      <c r="CA436">
        <v>0.9883449883449883</v>
      </c>
      <c r="CB436">
        <v>5.8479532163742687E-2</v>
      </c>
    </row>
    <row r="437" spans="52:80" x14ac:dyDescent="0.25">
      <c r="AZ437" s="33">
        <v>434</v>
      </c>
      <c r="BA437" s="33">
        <v>0.70627849789927555</v>
      </c>
      <c r="BB437" s="33">
        <v>1</v>
      </c>
      <c r="BC437" s="33">
        <v>424</v>
      </c>
      <c r="BD437" s="33">
        <v>310.31</v>
      </c>
      <c r="BZ437">
        <v>5.8479532163742687E-2</v>
      </c>
      <c r="CA437">
        <v>0.99067599067599066</v>
      </c>
      <c r="CB437">
        <v>5.8479532163742687E-2</v>
      </c>
    </row>
    <row r="438" spans="52:80" x14ac:dyDescent="0.25">
      <c r="AZ438" s="33">
        <v>435</v>
      </c>
      <c r="BA438" s="33">
        <v>0.68283977465333501</v>
      </c>
      <c r="BB438" s="33">
        <v>1</v>
      </c>
      <c r="BC438" s="33">
        <v>425</v>
      </c>
      <c r="BD438" s="33">
        <v>311.02499999999998</v>
      </c>
      <c r="BZ438">
        <v>5.8479532163742687E-2</v>
      </c>
      <c r="CA438">
        <v>0.99300699300699302</v>
      </c>
      <c r="CB438">
        <v>5.8479532163742687E-2</v>
      </c>
    </row>
    <row r="439" spans="52:80" x14ac:dyDescent="0.25">
      <c r="AZ439" s="33">
        <v>436</v>
      </c>
      <c r="BA439" s="33">
        <v>0.63803930862651137</v>
      </c>
      <c r="BB439" s="33">
        <v>1</v>
      </c>
      <c r="BC439" s="33">
        <v>426</v>
      </c>
      <c r="BD439" s="33">
        <v>311.74</v>
      </c>
      <c r="BZ439">
        <v>5.8479532163742687E-2</v>
      </c>
      <c r="CA439">
        <v>0.99533799533799538</v>
      </c>
      <c r="CB439">
        <v>5.8479532163742687E-2</v>
      </c>
    </row>
    <row r="440" spans="52:80" x14ac:dyDescent="0.25">
      <c r="AZ440" s="33">
        <v>437</v>
      </c>
      <c r="BA440" s="33">
        <v>0.60933838788972827</v>
      </c>
      <c r="BB440" s="33">
        <v>1</v>
      </c>
      <c r="BC440" s="33">
        <v>427</v>
      </c>
      <c r="BD440" s="33">
        <v>312.45499999999998</v>
      </c>
      <c r="BZ440">
        <v>6.4327485380116955E-2</v>
      </c>
      <c r="CA440">
        <v>0.99533799533799538</v>
      </c>
      <c r="CB440">
        <v>6.4327485380116955E-2</v>
      </c>
    </row>
    <row r="441" spans="52:80" x14ac:dyDescent="0.25">
      <c r="AZ441" s="33">
        <v>438</v>
      </c>
      <c r="BA441" s="33">
        <v>0.49979946248881563</v>
      </c>
      <c r="BB441" s="33">
        <v>0</v>
      </c>
      <c r="BC441" s="33">
        <v>427</v>
      </c>
      <c r="BD441" s="33">
        <v>313.16999999999996</v>
      </c>
      <c r="BZ441">
        <v>7.0175438596491224E-2</v>
      </c>
      <c r="CA441">
        <v>0.99533799533799538</v>
      </c>
      <c r="CB441">
        <v>7.0175438596491224E-2</v>
      </c>
    </row>
    <row r="442" spans="52:80" x14ac:dyDescent="0.25">
      <c r="AZ442" s="33">
        <v>439</v>
      </c>
      <c r="BA442" s="33">
        <v>0.41619146558137204</v>
      </c>
      <c r="BB442" s="33">
        <v>0</v>
      </c>
      <c r="BC442" s="33">
        <v>427</v>
      </c>
      <c r="BD442" s="33">
        <v>313.88499999999999</v>
      </c>
      <c r="BZ442">
        <v>7.6023391812865493E-2</v>
      </c>
      <c r="CA442">
        <v>0.99533799533799538</v>
      </c>
      <c r="CB442">
        <v>7.6023391812865493E-2</v>
      </c>
    </row>
    <row r="443" spans="52:80" x14ac:dyDescent="0.25">
      <c r="AZ443" s="33">
        <v>440</v>
      </c>
      <c r="BA443" s="33">
        <v>0.41486073349199482</v>
      </c>
      <c r="BB443" s="33">
        <v>0</v>
      </c>
      <c r="BC443" s="33">
        <v>427</v>
      </c>
      <c r="BD443" s="33">
        <v>314.59999999999997</v>
      </c>
      <c r="BZ443">
        <v>8.1871345029239762E-2</v>
      </c>
      <c r="CA443">
        <v>0.99533799533799538</v>
      </c>
      <c r="CB443">
        <v>8.1871345029239762E-2</v>
      </c>
    </row>
    <row r="444" spans="52:80" x14ac:dyDescent="0.25">
      <c r="AZ444" s="33">
        <v>441</v>
      </c>
      <c r="BA444" s="33">
        <v>0.40916427257344407</v>
      </c>
      <c r="BB444" s="33">
        <v>0</v>
      </c>
      <c r="BC444" s="33">
        <v>427</v>
      </c>
      <c r="BD444" s="33">
        <v>315.315</v>
      </c>
      <c r="BZ444">
        <v>8.771929824561403E-2</v>
      </c>
      <c r="CA444">
        <v>0.99533799533799538</v>
      </c>
      <c r="CB444">
        <v>8.771929824561403E-2</v>
      </c>
    </row>
    <row r="445" spans="52:80" x14ac:dyDescent="0.25">
      <c r="AZ445" s="33">
        <v>442</v>
      </c>
      <c r="BA445" s="33">
        <v>0.39292410161198138</v>
      </c>
      <c r="BB445" s="33">
        <v>0</v>
      </c>
      <c r="BC445" s="33">
        <v>427</v>
      </c>
      <c r="BD445" s="33">
        <v>316.02999999999997</v>
      </c>
      <c r="BZ445">
        <v>9.3567251461988299E-2</v>
      </c>
      <c r="CA445">
        <v>0.99533799533799538</v>
      </c>
      <c r="CB445">
        <v>9.3567251461988299E-2</v>
      </c>
    </row>
    <row r="446" spans="52:80" x14ac:dyDescent="0.25">
      <c r="AZ446" s="33">
        <v>443</v>
      </c>
      <c r="BA446" s="33">
        <v>0.38206948170532412</v>
      </c>
      <c r="BB446" s="33">
        <v>0</v>
      </c>
      <c r="BC446" s="33">
        <v>427</v>
      </c>
      <c r="BD446" s="33">
        <v>316.745</v>
      </c>
      <c r="BZ446">
        <v>9.9415204678362568E-2</v>
      </c>
      <c r="CA446">
        <v>0.99533799533799538</v>
      </c>
      <c r="CB446">
        <v>9.9415204678362568E-2</v>
      </c>
    </row>
    <row r="447" spans="52:80" x14ac:dyDescent="0.25">
      <c r="AZ447" s="33">
        <v>444</v>
      </c>
      <c r="BA447" s="33">
        <v>0.37281441950653277</v>
      </c>
      <c r="BB447" s="33">
        <v>0</v>
      </c>
      <c r="BC447" s="33">
        <v>427</v>
      </c>
      <c r="BD447" s="33">
        <v>317.45999999999998</v>
      </c>
      <c r="BZ447">
        <v>0.10526315789473684</v>
      </c>
      <c r="CA447">
        <v>0.99533799533799538</v>
      </c>
      <c r="CB447">
        <v>0.10526315789473684</v>
      </c>
    </row>
    <row r="448" spans="52:80" x14ac:dyDescent="0.25">
      <c r="AZ448" s="33">
        <v>445</v>
      </c>
      <c r="BA448" s="33">
        <v>0.37268192266394534</v>
      </c>
      <c r="BB448" s="33">
        <v>0</v>
      </c>
      <c r="BC448" s="33">
        <v>427</v>
      </c>
      <c r="BD448" s="33">
        <v>318.17500000000001</v>
      </c>
      <c r="BZ448">
        <v>0.1111111111111111</v>
      </c>
      <c r="CA448">
        <v>0.99533799533799538</v>
      </c>
      <c r="CB448">
        <v>0.1111111111111111</v>
      </c>
    </row>
    <row r="449" spans="52:80" x14ac:dyDescent="0.25">
      <c r="AZ449" s="33">
        <v>446</v>
      </c>
      <c r="BA449" s="33">
        <v>0.3644788035158204</v>
      </c>
      <c r="BB449" s="33">
        <v>0</v>
      </c>
      <c r="BC449" s="33">
        <v>427</v>
      </c>
      <c r="BD449" s="33">
        <v>318.89</v>
      </c>
      <c r="BZ449">
        <v>0.11695906432748537</v>
      </c>
      <c r="CA449">
        <v>0.99533799533799538</v>
      </c>
      <c r="CB449">
        <v>0.11695906432748537</v>
      </c>
    </row>
    <row r="450" spans="52:80" x14ac:dyDescent="0.25">
      <c r="AZ450" s="33">
        <v>447</v>
      </c>
      <c r="BA450" s="33">
        <v>0.33410531886352368</v>
      </c>
      <c r="BB450" s="33">
        <v>0</v>
      </c>
      <c r="BC450" s="33">
        <v>427</v>
      </c>
      <c r="BD450" s="33">
        <v>319.60499999999996</v>
      </c>
      <c r="BZ450">
        <v>0.12280701754385964</v>
      </c>
      <c r="CA450">
        <v>0.99533799533799538</v>
      </c>
      <c r="CB450">
        <v>0.12280701754385964</v>
      </c>
    </row>
    <row r="451" spans="52:80" x14ac:dyDescent="0.25">
      <c r="AZ451" s="33">
        <v>448</v>
      </c>
      <c r="BA451" s="33">
        <v>0.32911221355268089</v>
      </c>
      <c r="BB451" s="33">
        <v>0</v>
      </c>
      <c r="BC451" s="33">
        <v>427</v>
      </c>
      <c r="BD451" s="33">
        <v>320.32</v>
      </c>
      <c r="BZ451">
        <v>0.12865497076023391</v>
      </c>
      <c r="CA451">
        <v>0.99533799533799538</v>
      </c>
      <c r="CB451">
        <v>0.12865497076023391</v>
      </c>
    </row>
    <row r="452" spans="52:80" x14ac:dyDescent="0.25">
      <c r="AZ452" s="33">
        <v>449</v>
      </c>
      <c r="BA452" s="33">
        <v>0.31165146514291459</v>
      </c>
      <c r="BB452" s="33">
        <v>0</v>
      </c>
      <c r="BC452" s="33">
        <v>427</v>
      </c>
      <c r="BD452" s="33">
        <v>321.03499999999997</v>
      </c>
      <c r="BZ452">
        <v>0.13450292397660818</v>
      </c>
      <c r="CA452">
        <v>0.99533799533799538</v>
      </c>
      <c r="CB452">
        <v>0.13450292397660818</v>
      </c>
    </row>
    <row r="453" spans="52:80" x14ac:dyDescent="0.25">
      <c r="AZ453" s="33">
        <v>450</v>
      </c>
      <c r="BA453" s="33">
        <v>0.30733767658392075</v>
      </c>
      <c r="BB453" s="33">
        <v>0</v>
      </c>
      <c r="BC453" s="33">
        <v>427</v>
      </c>
      <c r="BD453" s="33">
        <v>321.75</v>
      </c>
      <c r="BZ453">
        <v>0.14035087719298245</v>
      </c>
      <c r="CA453">
        <v>0.99533799533799538</v>
      </c>
      <c r="CB453">
        <v>0.14035087719298245</v>
      </c>
    </row>
    <row r="454" spans="52:80" x14ac:dyDescent="0.25">
      <c r="AZ454" s="33">
        <v>451</v>
      </c>
      <c r="BA454" s="33">
        <v>0.30669680114833286</v>
      </c>
      <c r="BB454" s="33">
        <v>0</v>
      </c>
      <c r="BC454" s="33">
        <v>427</v>
      </c>
      <c r="BD454" s="33">
        <v>322.46499999999997</v>
      </c>
      <c r="BZ454">
        <v>0.14619883040935672</v>
      </c>
      <c r="CA454">
        <v>0.99533799533799538</v>
      </c>
      <c r="CB454">
        <v>0.14619883040935672</v>
      </c>
    </row>
    <row r="455" spans="52:80" x14ac:dyDescent="0.25">
      <c r="AZ455" s="33">
        <v>452</v>
      </c>
      <c r="BA455" s="33">
        <v>0.29591382912140834</v>
      </c>
      <c r="BB455" s="33">
        <v>0</v>
      </c>
      <c r="BC455" s="33">
        <v>427</v>
      </c>
      <c r="BD455" s="33">
        <v>323.18</v>
      </c>
      <c r="BZ455">
        <v>0.15204678362573099</v>
      </c>
      <c r="CA455">
        <v>0.99533799533799538</v>
      </c>
      <c r="CB455">
        <v>0.15204678362573099</v>
      </c>
    </row>
    <row r="456" spans="52:80" x14ac:dyDescent="0.25">
      <c r="AZ456" s="33">
        <v>453</v>
      </c>
      <c r="BA456" s="33">
        <v>0.28529659704388316</v>
      </c>
      <c r="BB456" s="33">
        <v>0</v>
      </c>
      <c r="BC456" s="33">
        <v>427</v>
      </c>
      <c r="BD456" s="33">
        <v>323.89499999999998</v>
      </c>
      <c r="BZ456">
        <v>0.15789473684210525</v>
      </c>
      <c r="CA456">
        <v>0.99533799533799538</v>
      </c>
      <c r="CB456">
        <v>0.15789473684210525</v>
      </c>
    </row>
    <row r="457" spans="52:80" x14ac:dyDescent="0.25">
      <c r="AZ457" s="33">
        <v>454</v>
      </c>
      <c r="BA457" s="33">
        <v>0.28477131781099829</v>
      </c>
      <c r="BB457" s="33">
        <v>0</v>
      </c>
      <c r="BC457" s="33">
        <v>427</v>
      </c>
      <c r="BD457" s="33">
        <v>324.61</v>
      </c>
      <c r="BZ457">
        <v>0.16374269005847952</v>
      </c>
      <c r="CA457">
        <v>0.99533799533799538</v>
      </c>
      <c r="CB457">
        <v>0.16374269005847952</v>
      </c>
    </row>
    <row r="458" spans="52:80" x14ac:dyDescent="0.25">
      <c r="AZ458" s="33">
        <v>455</v>
      </c>
      <c r="BA458" s="33">
        <v>0.27767329055260609</v>
      </c>
      <c r="BB458" s="33">
        <v>0</v>
      </c>
      <c r="BC458" s="33">
        <v>427</v>
      </c>
      <c r="BD458" s="33">
        <v>325.32499999999999</v>
      </c>
      <c r="BZ458">
        <v>0.16959064327485379</v>
      </c>
      <c r="CA458">
        <v>0.99533799533799538</v>
      </c>
      <c r="CB458">
        <v>0.16959064327485379</v>
      </c>
    </row>
    <row r="459" spans="52:80" x14ac:dyDescent="0.25">
      <c r="AZ459" s="33">
        <v>456</v>
      </c>
      <c r="BA459" s="33">
        <v>0.27379896013428884</v>
      </c>
      <c r="BB459" s="33">
        <v>0</v>
      </c>
      <c r="BC459" s="33">
        <v>427</v>
      </c>
      <c r="BD459" s="33">
        <v>326.03999999999996</v>
      </c>
      <c r="BZ459">
        <v>0.17543859649122806</v>
      </c>
      <c r="CA459">
        <v>0.99533799533799538</v>
      </c>
      <c r="CB459">
        <v>0.17543859649122806</v>
      </c>
    </row>
    <row r="460" spans="52:80" x14ac:dyDescent="0.25">
      <c r="AZ460" s="33">
        <v>457</v>
      </c>
      <c r="BA460" s="33">
        <v>0.27050179323761459</v>
      </c>
      <c r="BB460" s="33">
        <v>0</v>
      </c>
      <c r="BC460" s="33">
        <v>427</v>
      </c>
      <c r="BD460" s="33">
        <v>326.755</v>
      </c>
      <c r="BZ460">
        <v>0.18128654970760233</v>
      </c>
      <c r="CA460">
        <v>0.99533799533799538</v>
      </c>
      <c r="CB460">
        <v>0.18128654970760233</v>
      </c>
    </row>
    <row r="461" spans="52:80" x14ac:dyDescent="0.25">
      <c r="AZ461" s="33">
        <v>458</v>
      </c>
      <c r="BA461" s="33">
        <v>0.26804001558382329</v>
      </c>
      <c r="BB461" s="33">
        <v>0</v>
      </c>
      <c r="BC461" s="33">
        <v>427</v>
      </c>
      <c r="BD461" s="33">
        <v>327.46999999999997</v>
      </c>
      <c r="BZ461">
        <v>0.1871345029239766</v>
      </c>
      <c r="CA461">
        <v>0.99533799533799538</v>
      </c>
      <c r="CB461">
        <v>0.1871345029239766</v>
      </c>
    </row>
    <row r="462" spans="52:80" x14ac:dyDescent="0.25">
      <c r="AZ462" s="33">
        <v>459</v>
      </c>
      <c r="BA462" s="33">
        <v>0.26642201117523917</v>
      </c>
      <c r="BB462" s="33">
        <v>0</v>
      </c>
      <c r="BC462" s="33">
        <v>427</v>
      </c>
      <c r="BD462" s="33">
        <v>328.185</v>
      </c>
      <c r="BZ462">
        <v>0.19298245614035087</v>
      </c>
      <c r="CA462">
        <v>0.99533799533799538</v>
      </c>
      <c r="CB462">
        <v>0.19298245614035087</v>
      </c>
    </row>
    <row r="463" spans="52:80" x14ac:dyDescent="0.25">
      <c r="AZ463" s="33">
        <v>460</v>
      </c>
      <c r="BA463" s="33">
        <v>0.26134691668833565</v>
      </c>
      <c r="BB463" s="33">
        <v>0</v>
      </c>
      <c r="BC463" s="33">
        <v>427</v>
      </c>
      <c r="BD463" s="33">
        <v>328.9</v>
      </c>
      <c r="BZ463">
        <v>0.19883040935672514</v>
      </c>
      <c r="CA463">
        <v>0.99533799533799538</v>
      </c>
      <c r="CB463">
        <v>0.19883040935672514</v>
      </c>
    </row>
    <row r="464" spans="52:80" x14ac:dyDescent="0.25">
      <c r="AZ464" s="33">
        <v>461</v>
      </c>
      <c r="BA464" s="33">
        <v>0.24510869315184378</v>
      </c>
      <c r="BB464" s="33">
        <v>0</v>
      </c>
      <c r="BC464" s="33">
        <v>427</v>
      </c>
      <c r="BD464" s="33">
        <v>329.61500000000001</v>
      </c>
      <c r="BZ464">
        <v>0.2046783625730994</v>
      </c>
      <c r="CA464">
        <v>0.99533799533799538</v>
      </c>
      <c r="CB464">
        <v>0.2046783625730994</v>
      </c>
    </row>
    <row r="465" spans="52:80" x14ac:dyDescent="0.25">
      <c r="AZ465" s="33">
        <v>462</v>
      </c>
      <c r="BA465" s="33">
        <v>0.22684612278672966</v>
      </c>
      <c r="BB465" s="33">
        <v>0</v>
      </c>
      <c r="BC465" s="33">
        <v>427</v>
      </c>
      <c r="BD465" s="33">
        <v>330.33</v>
      </c>
      <c r="BZ465">
        <v>0.21052631578947367</v>
      </c>
      <c r="CA465">
        <v>0.99533799533799538</v>
      </c>
      <c r="CB465">
        <v>0.21052631578947367</v>
      </c>
    </row>
    <row r="466" spans="52:80" x14ac:dyDescent="0.25">
      <c r="AZ466" s="33">
        <v>463</v>
      </c>
      <c r="BA466" s="33">
        <v>0.22568409449636398</v>
      </c>
      <c r="BB466" s="33">
        <v>0</v>
      </c>
      <c r="BC466" s="33">
        <v>427</v>
      </c>
      <c r="BD466" s="33">
        <v>331.04499999999996</v>
      </c>
      <c r="BZ466">
        <v>0.21637426900584794</v>
      </c>
      <c r="CA466">
        <v>0.99533799533799538</v>
      </c>
      <c r="CB466">
        <v>0.21637426900584794</v>
      </c>
    </row>
    <row r="467" spans="52:80" x14ac:dyDescent="0.25">
      <c r="AZ467" s="33">
        <v>464</v>
      </c>
      <c r="BA467" s="33">
        <v>0.22517400008538191</v>
      </c>
      <c r="BB467" s="33">
        <v>0</v>
      </c>
      <c r="BC467" s="33">
        <v>427</v>
      </c>
      <c r="BD467" s="33">
        <v>331.76</v>
      </c>
      <c r="BZ467">
        <v>0.22222222222222221</v>
      </c>
      <c r="CA467">
        <v>0.99533799533799538</v>
      </c>
      <c r="CB467">
        <v>0.22222222222222221</v>
      </c>
    </row>
    <row r="468" spans="52:80" x14ac:dyDescent="0.25">
      <c r="AZ468" s="33">
        <v>465</v>
      </c>
      <c r="BA468" s="33">
        <v>0.22400704462715929</v>
      </c>
      <c r="BB468" s="33">
        <v>0</v>
      </c>
      <c r="BC468" s="33">
        <v>427</v>
      </c>
      <c r="BD468" s="33">
        <v>332.47499999999997</v>
      </c>
      <c r="BZ468">
        <v>0.22807017543859648</v>
      </c>
      <c r="CA468">
        <v>0.99533799533799538</v>
      </c>
      <c r="CB468">
        <v>0.22807017543859648</v>
      </c>
    </row>
    <row r="469" spans="52:80" x14ac:dyDescent="0.25">
      <c r="AZ469" s="33">
        <v>466</v>
      </c>
      <c r="BA469" s="33">
        <v>0.22321875463010421</v>
      </c>
      <c r="BB469" s="33">
        <v>0</v>
      </c>
      <c r="BC469" s="33">
        <v>427</v>
      </c>
      <c r="BD469" s="33">
        <v>333.19</v>
      </c>
      <c r="BZ469">
        <v>0.23391812865497075</v>
      </c>
      <c r="CA469">
        <v>0.99533799533799538</v>
      </c>
      <c r="CB469">
        <v>0.23391812865497075</v>
      </c>
    </row>
    <row r="470" spans="52:80" x14ac:dyDescent="0.25">
      <c r="AZ470" s="33">
        <v>467</v>
      </c>
      <c r="BA470" s="33">
        <v>0.21392179201747213</v>
      </c>
      <c r="BB470" s="33">
        <v>0</v>
      </c>
      <c r="BC470" s="33">
        <v>427</v>
      </c>
      <c r="BD470" s="33">
        <v>333.90499999999997</v>
      </c>
      <c r="BZ470">
        <v>0.23976608187134502</v>
      </c>
      <c r="CA470">
        <v>0.99533799533799538</v>
      </c>
      <c r="CB470">
        <v>0.23976608187134502</v>
      </c>
    </row>
    <row r="471" spans="52:80" x14ac:dyDescent="0.25">
      <c r="AZ471" s="33">
        <v>468</v>
      </c>
      <c r="BA471" s="33">
        <v>0.21168185570100922</v>
      </c>
      <c r="BB471" s="33">
        <v>0</v>
      </c>
      <c r="BC471" s="33">
        <v>427</v>
      </c>
      <c r="BD471" s="33">
        <v>334.62</v>
      </c>
      <c r="BZ471">
        <v>0.24561403508771928</v>
      </c>
      <c r="CA471">
        <v>0.99533799533799538</v>
      </c>
      <c r="CB471">
        <v>0.24561403508771928</v>
      </c>
    </row>
    <row r="472" spans="52:80" x14ac:dyDescent="0.25">
      <c r="AZ472" s="33">
        <v>469</v>
      </c>
      <c r="BA472" s="33">
        <v>0.21052676109099905</v>
      </c>
      <c r="BB472" s="33">
        <v>0</v>
      </c>
      <c r="BC472" s="33">
        <v>427</v>
      </c>
      <c r="BD472" s="33">
        <v>335.33499999999998</v>
      </c>
      <c r="BZ472">
        <v>0.25146198830409355</v>
      </c>
      <c r="CA472">
        <v>0.99533799533799538</v>
      </c>
      <c r="CB472">
        <v>0.25146198830409355</v>
      </c>
    </row>
    <row r="473" spans="52:80" x14ac:dyDescent="0.25">
      <c r="AZ473" s="33">
        <v>470</v>
      </c>
      <c r="BA473" s="33">
        <v>0.2084081710959228</v>
      </c>
      <c r="BB473" s="33">
        <v>0</v>
      </c>
      <c r="BC473" s="33">
        <v>427</v>
      </c>
      <c r="BD473" s="33">
        <v>336.05</v>
      </c>
      <c r="BZ473">
        <v>0.25730994152046782</v>
      </c>
      <c r="CA473">
        <v>0.99533799533799538</v>
      </c>
      <c r="CB473">
        <v>0.25730994152046782</v>
      </c>
    </row>
    <row r="474" spans="52:80" x14ac:dyDescent="0.25">
      <c r="AZ474" s="33">
        <v>471</v>
      </c>
      <c r="BA474" s="33">
        <v>0.20526138377699649</v>
      </c>
      <c r="BB474" s="33">
        <v>0</v>
      </c>
      <c r="BC474" s="33">
        <v>427</v>
      </c>
      <c r="BD474" s="33">
        <v>336.76499999999999</v>
      </c>
      <c r="BZ474">
        <v>0.26315789473684209</v>
      </c>
      <c r="CA474">
        <v>0.99533799533799538</v>
      </c>
      <c r="CB474">
        <v>0.26315789473684209</v>
      </c>
    </row>
    <row r="475" spans="52:80" x14ac:dyDescent="0.25">
      <c r="AZ475" s="33">
        <v>472</v>
      </c>
      <c r="BA475" s="33">
        <v>0.20070583861482683</v>
      </c>
      <c r="BB475" s="33">
        <v>0</v>
      </c>
      <c r="BC475" s="33">
        <v>427</v>
      </c>
      <c r="BD475" s="33">
        <v>337.47999999999996</v>
      </c>
      <c r="BZ475">
        <v>0.26900584795321636</v>
      </c>
      <c r="CA475">
        <v>0.99533799533799538</v>
      </c>
      <c r="CB475">
        <v>0.26900584795321636</v>
      </c>
    </row>
    <row r="476" spans="52:80" x14ac:dyDescent="0.25">
      <c r="AZ476" s="33">
        <v>473</v>
      </c>
      <c r="BA476" s="33">
        <v>0.19672218790022775</v>
      </c>
      <c r="BB476" s="33">
        <v>0</v>
      </c>
      <c r="BC476" s="33">
        <v>427</v>
      </c>
      <c r="BD476" s="33">
        <v>338.19499999999999</v>
      </c>
      <c r="BZ476">
        <v>0.27485380116959063</v>
      </c>
      <c r="CA476">
        <v>0.99533799533799538</v>
      </c>
      <c r="CB476">
        <v>0.27485380116959063</v>
      </c>
    </row>
    <row r="477" spans="52:80" x14ac:dyDescent="0.25">
      <c r="AZ477" s="33">
        <v>474</v>
      </c>
      <c r="BA477" s="33">
        <v>0.19634356789632212</v>
      </c>
      <c r="BB477" s="33">
        <v>0</v>
      </c>
      <c r="BC477" s="33">
        <v>427</v>
      </c>
      <c r="BD477" s="33">
        <v>338.90999999999997</v>
      </c>
      <c r="BZ477">
        <v>0.2807017543859649</v>
      </c>
      <c r="CA477">
        <v>0.99533799533799538</v>
      </c>
      <c r="CB477">
        <v>0.2807017543859649</v>
      </c>
    </row>
    <row r="478" spans="52:80" x14ac:dyDescent="0.25">
      <c r="AZ478" s="33">
        <v>475</v>
      </c>
      <c r="BA478" s="33">
        <v>0.19593850343140812</v>
      </c>
      <c r="BB478" s="33">
        <v>0</v>
      </c>
      <c r="BC478" s="33">
        <v>427</v>
      </c>
      <c r="BD478" s="33">
        <v>339.625</v>
      </c>
      <c r="BZ478">
        <v>0.28654970760233917</v>
      </c>
      <c r="CA478">
        <v>0.99533799533799538</v>
      </c>
      <c r="CB478">
        <v>0.28654970760233917</v>
      </c>
    </row>
    <row r="479" spans="52:80" x14ac:dyDescent="0.25">
      <c r="AZ479" s="33">
        <v>476</v>
      </c>
      <c r="BA479" s="33">
        <v>0.19146574188819115</v>
      </c>
      <c r="BB479" s="33">
        <v>0</v>
      </c>
      <c r="BC479" s="33">
        <v>427</v>
      </c>
      <c r="BD479" s="33">
        <v>340.34</v>
      </c>
      <c r="BZ479">
        <v>0.29239766081871343</v>
      </c>
      <c r="CA479">
        <v>0.99533799533799538</v>
      </c>
      <c r="CB479">
        <v>0.29239766081871343</v>
      </c>
    </row>
    <row r="480" spans="52:80" x14ac:dyDescent="0.25">
      <c r="AZ480" s="33">
        <v>477</v>
      </c>
      <c r="BA480" s="33">
        <v>0.18987198343533623</v>
      </c>
      <c r="BB480" s="33">
        <v>0</v>
      </c>
      <c r="BC480" s="33">
        <v>427</v>
      </c>
      <c r="BD480" s="33">
        <v>341.05500000000001</v>
      </c>
      <c r="BZ480">
        <v>0.2982456140350877</v>
      </c>
      <c r="CA480">
        <v>0.99533799533799538</v>
      </c>
      <c r="CB480">
        <v>0.2982456140350877</v>
      </c>
    </row>
    <row r="481" spans="52:80" x14ac:dyDescent="0.25">
      <c r="AZ481" s="33">
        <v>478</v>
      </c>
      <c r="BA481" s="33">
        <v>0.18820039403079622</v>
      </c>
      <c r="BB481" s="33">
        <v>0</v>
      </c>
      <c r="BC481" s="33">
        <v>427</v>
      </c>
      <c r="BD481" s="33">
        <v>341.77</v>
      </c>
      <c r="BZ481">
        <v>0.30409356725146197</v>
      </c>
      <c r="CA481">
        <v>0.99533799533799538</v>
      </c>
      <c r="CB481">
        <v>0.30409356725146197</v>
      </c>
    </row>
    <row r="482" spans="52:80" x14ac:dyDescent="0.25">
      <c r="AZ482" s="33">
        <v>479</v>
      </c>
      <c r="BA482" s="33">
        <v>0.18710841668134062</v>
      </c>
      <c r="BB482" s="33">
        <v>0</v>
      </c>
      <c r="BC482" s="33">
        <v>427</v>
      </c>
      <c r="BD482" s="33">
        <v>342.48499999999996</v>
      </c>
      <c r="BZ482">
        <v>0.30994152046783624</v>
      </c>
      <c r="CA482">
        <v>0.99533799533799538</v>
      </c>
      <c r="CB482">
        <v>0.30994152046783624</v>
      </c>
    </row>
    <row r="483" spans="52:80" x14ac:dyDescent="0.25">
      <c r="AZ483" s="33">
        <v>480</v>
      </c>
      <c r="BA483" s="33">
        <v>0.18532646932713556</v>
      </c>
      <c r="BB483" s="33">
        <v>0</v>
      </c>
      <c r="BC483" s="33">
        <v>427</v>
      </c>
      <c r="BD483" s="33">
        <v>343.2</v>
      </c>
      <c r="BZ483">
        <v>0.31578947368421051</v>
      </c>
      <c r="CA483">
        <v>0.99533799533799538</v>
      </c>
      <c r="CB483">
        <v>0.31578947368421051</v>
      </c>
    </row>
    <row r="484" spans="52:80" x14ac:dyDescent="0.25">
      <c r="AZ484" s="32">
        <v>481</v>
      </c>
      <c r="BA484" s="32">
        <v>0.18352701109297834</v>
      </c>
      <c r="BB484" s="32">
        <v>0</v>
      </c>
      <c r="BC484" s="32">
        <v>427</v>
      </c>
      <c r="BD484" s="32">
        <v>343.91499999999996</v>
      </c>
      <c r="BZ484">
        <v>0.32163742690058478</v>
      </c>
      <c r="CA484">
        <v>0.99533799533799538</v>
      </c>
      <c r="CB484">
        <v>0.32163742690058478</v>
      </c>
    </row>
    <row r="485" spans="52:80" x14ac:dyDescent="0.25">
      <c r="AZ485" s="32">
        <v>482</v>
      </c>
      <c r="BA485" s="32">
        <v>0.18346018844526274</v>
      </c>
      <c r="BB485" s="32">
        <v>0</v>
      </c>
      <c r="BC485" s="32">
        <v>427</v>
      </c>
      <c r="BD485" s="32">
        <v>344.63</v>
      </c>
      <c r="BZ485">
        <v>0.32748538011695905</v>
      </c>
      <c r="CA485">
        <v>0.99533799533799538</v>
      </c>
      <c r="CB485">
        <v>0.32748538011695905</v>
      </c>
    </row>
    <row r="486" spans="52:80" x14ac:dyDescent="0.25">
      <c r="AZ486" s="32">
        <v>483</v>
      </c>
      <c r="BA486" s="32">
        <v>0.18117067858991426</v>
      </c>
      <c r="BB486" s="32">
        <v>0</v>
      </c>
      <c r="BC486" s="32">
        <v>427</v>
      </c>
      <c r="BD486" s="32">
        <v>345.34499999999997</v>
      </c>
      <c r="BZ486">
        <v>0.33333333333333331</v>
      </c>
      <c r="CA486">
        <v>0.99533799533799538</v>
      </c>
      <c r="CB486">
        <v>0.33333333333333331</v>
      </c>
    </row>
    <row r="487" spans="52:80" x14ac:dyDescent="0.25">
      <c r="AZ487" s="32">
        <v>484</v>
      </c>
      <c r="BA487" s="32">
        <v>0.1808169702271604</v>
      </c>
      <c r="BB487" s="32">
        <v>0</v>
      </c>
      <c r="BC487" s="32">
        <v>427</v>
      </c>
      <c r="BD487" s="32">
        <v>346.06</v>
      </c>
      <c r="BZ487">
        <v>0.33918128654970758</v>
      </c>
      <c r="CA487">
        <v>0.99533799533799538</v>
      </c>
      <c r="CB487">
        <v>0.33918128654970758</v>
      </c>
    </row>
    <row r="488" spans="52:80" x14ac:dyDescent="0.25">
      <c r="AZ488" s="32">
        <v>485</v>
      </c>
      <c r="BA488" s="32">
        <v>0.17679841891577894</v>
      </c>
      <c r="BB488" s="32">
        <v>0</v>
      </c>
      <c r="BC488" s="32">
        <v>427</v>
      </c>
      <c r="BD488" s="32">
        <v>346.77499999999998</v>
      </c>
      <c r="BZ488">
        <v>0.34502923976608185</v>
      </c>
      <c r="CA488">
        <v>0.99533799533799538</v>
      </c>
      <c r="CB488">
        <v>0.34502923976608185</v>
      </c>
    </row>
    <row r="489" spans="52:80" x14ac:dyDescent="0.25">
      <c r="AZ489" s="32">
        <v>486</v>
      </c>
      <c r="BA489" s="32">
        <v>0.1757299327019638</v>
      </c>
      <c r="BB489" s="32">
        <v>0</v>
      </c>
      <c r="BC489" s="32">
        <v>427</v>
      </c>
      <c r="BD489" s="32">
        <v>347.49</v>
      </c>
      <c r="BZ489">
        <v>0.35087719298245612</v>
      </c>
      <c r="CA489">
        <v>0.99533799533799538</v>
      </c>
      <c r="CB489">
        <v>0.35087719298245612</v>
      </c>
    </row>
    <row r="490" spans="52:80" x14ac:dyDescent="0.25">
      <c r="AZ490" s="32">
        <v>487</v>
      </c>
      <c r="BA490" s="32">
        <v>0.17493559959822619</v>
      </c>
      <c r="BB490" s="32">
        <v>0</v>
      </c>
      <c r="BC490" s="32">
        <v>427</v>
      </c>
      <c r="BD490" s="32">
        <v>348.20499999999998</v>
      </c>
      <c r="BZ490">
        <v>0.35672514619883039</v>
      </c>
      <c r="CA490">
        <v>0.99533799533799538</v>
      </c>
      <c r="CB490">
        <v>0.35672514619883039</v>
      </c>
    </row>
    <row r="491" spans="52:80" x14ac:dyDescent="0.25">
      <c r="AZ491" s="32">
        <v>488</v>
      </c>
      <c r="BA491" s="32">
        <v>0.17417416611119116</v>
      </c>
      <c r="BB491" s="32">
        <v>0</v>
      </c>
      <c r="BC491" s="32">
        <v>427</v>
      </c>
      <c r="BD491" s="32">
        <v>348.91999999999996</v>
      </c>
      <c r="BZ491">
        <v>0.36257309941520466</v>
      </c>
      <c r="CA491">
        <v>0.99533799533799538</v>
      </c>
      <c r="CB491">
        <v>0.36257309941520466</v>
      </c>
    </row>
    <row r="492" spans="52:80" x14ac:dyDescent="0.25">
      <c r="AZ492" s="32">
        <v>489</v>
      </c>
      <c r="BA492" s="32">
        <v>0.17332155879529762</v>
      </c>
      <c r="BB492" s="32">
        <v>0</v>
      </c>
      <c r="BC492" s="32">
        <v>427</v>
      </c>
      <c r="BD492" s="32">
        <v>349.63499999999999</v>
      </c>
      <c r="BZ492">
        <v>0.36842105263157893</v>
      </c>
      <c r="CA492">
        <v>0.99533799533799538</v>
      </c>
      <c r="CB492">
        <v>0.36842105263157893</v>
      </c>
    </row>
    <row r="493" spans="52:80" x14ac:dyDescent="0.25">
      <c r="AZ493" s="32">
        <v>490</v>
      </c>
      <c r="BA493" s="32">
        <v>0.16964357451908785</v>
      </c>
      <c r="BB493" s="32">
        <v>0</v>
      </c>
      <c r="BC493" s="32">
        <v>427</v>
      </c>
      <c r="BD493" s="32">
        <v>350.34999999999997</v>
      </c>
      <c r="BZ493">
        <v>0.3742690058479532</v>
      </c>
      <c r="CA493">
        <v>0.99533799533799538</v>
      </c>
      <c r="CB493">
        <v>0.3742690058479532</v>
      </c>
    </row>
    <row r="494" spans="52:80" x14ac:dyDescent="0.25">
      <c r="AZ494" s="32">
        <v>491</v>
      </c>
      <c r="BA494" s="32">
        <v>0.16905508186591103</v>
      </c>
      <c r="BB494" s="32">
        <v>0</v>
      </c>
      <c r="BC494" s="32">
        <v>427</v>
      </c>
      <c r="BD494" s="32">
        <v>351.065</v>
      </c>
      <c r="BZ494">
        <v>0.38011695906432746</v>
      </c>
      <c r="CA494">
        <v>0.99533799533799538</v>
      </c>
      <c r="CB494">
        <v>0.38011695906432746</v>
      </c>
    </row>
    <row r="495" spans="52:80" x14ac:dyDescent="0.25">
      <c r="AZ495" s="32">
        <v>492</v>
      </c>
      <c r="BA495" s="32">
        <v>0.16561995872861218</v>
      </c>
      <c r="BB495" s="32">
        <v>0</v>
      </c>
      <c r="BC495" s="32">
        <v>427</v>
      </c>
      <c r="BD495" s="32">
        <v>351.78</v>
      </c>
      <c r="BZ495">
        <v>0.38596491228070173</v>
      </c>
      <c r="CA495">
        <v>0.99533799533799538</v>
      </c>
      <c r="CB495">
        <v>0.38596491228070173</v>
      </c>
    </row>
    <row r="496" spans="52:80" x14ac:dyDescent="0.25">
      <c r="AZ496" s="32">
        <v>493</v>
      </c>
      <c r="BA496" s="32">
        <v>0.16558741383787753</v>
      </c>
      <c r="BB496" s="32">
        <v>0</v>
      </c>
      <c r="BC496" s="32">
        <v>427</v>
      </c>
      <c r="BD496" s="32">
        <v>352.495</v>
      </c>
      <c r="BZ496">
        <v>0.391812865497076</v>
      </c>
      <c r="CA496">
        <v>0.99533799533799538</v>
      </c>
      <c r="CB496">
        <v>0.391812865497076</v>
      </c>
    </row>
    <row r="497" spans="52:80" x14ac:dyDescent="0.25">
      <c r="AZ497" s="32">
        <v>494</v>
      </c>
      <c r="BA497" s="32">
        <v>0.16356636374817055</v>
      </c>
      <c r="BB497" s="32">
        <v>0</v>
      </c>
      <c r="BC497" s="32">
        <v>427</v>
      </c>
      <c r="BD497" s="32">
        <v>353.21</v>
      </c>
      <c r="BZ497">
        <v>0.39766081871345027</v>
      </c>
      <c r="CA497">
        <v>0.99533799533799538</v>
      </c>
      <c r="CB497">
        <v>0.39766081871345027</v>
      </c>
    </row>
    <row r="498" spans="52:80" x14ac:dyDescent="0.25">
      <c r="AZ498" s="32">
        <v>495</v>
      </c>
      <c r="BA498" s="32">
        <v>0.16039079304082721</v>
      </c>
      <c r="BB498" s="32">
        <v>0</v>
      </c>
      <c r="BC498" s="32">
        <v>427</v>
      </c>
      <c r="BD498" s="32">
        <v>353.92500000000001</v>
      </c>
      <c r="BZ498">
        <v>0.40350877192982454</v>
      </c>
      <c r="CA498">
        <v>0.99533799533799538</v>
      </c>
      <c r="CB498">
        <v>0.40350877192982454</v>
      </c>
    </row>
    <row r="499" spans="52:80" x14ac:dyDescent="0.25">
      <c r="AZ499" s="32">
        <v>496</v>
      </c>
      <c r="BA499" s="32">
        <v>0.15991910092352435</v>
      </c>
      <c r="BB499" s="32">
        <v>0</v>
      </c>
      <c r="BC499" s="32">
        <v>427</v>
      </c>
      <c r="BD499" s="32">
        <v>354.64</v>
      </c>
      <c r="BZ499">
        <v>0.40935672514619881</v>
      </c>
      <c r="CA499">
        <v>0.99533799533799538</v>
      </c>
      <c r="CB499">
        <v>0.40935672514619881</v>
      </c>
    </row>
    <row r="500" spans="52:80" x14ac:dyDescent="0.25">
      <c r="AZ500" s="32">
        <v>497</v>
      </c>
      <c r="BA500" s="32">
        <v>0.15983406604333575</v>
      </c>
      <c r="BB500" s="32">
        <v>0</v>
      </c>
      <c r="BC500" s="32">
        <v>427</v>
      </c>
      <c r="BD500" s="32">
        <v>355.35499999999996</v>
      </c>
      <c r="BZ500">
        <v>0.41520467836257308</v>
      </c>
      <c r="CA500">
        <v>0.99533799533799538</v>
      </c>
      <c r="CB500">
        <v>0.41520467836257308</v>
      </c>
    </row>
    <row r="501" spans="52:80" x14ac:dyDescent="0.25">
      <c r="AZ501" s="32">
        <v>498</v>
      </c>
      <c r="BA501" s="32">
        <v>0.15900481626353058</v>
      </c>
      <c r="BB501" s="32">
        <v>0</v>
      </c>
      <c r="BC501" s="32">
        <v>427</v>
      </c>
      <c r="BD501" s="32">
        <v>356.07</v>
      </c>
      <c r="BZ501">
        <v>0.42105263157894735</v>
      </c>
      <c r="CA501">
        <v>0.99533799533799538</v>
      </c>
      <c r="CB501">
        <v>0.42105263157894735</v>
      </c>
    </row>
    <row r="502" spans="52:80" x14ac:dyDescent="0.25">
      <c r="AZ502" s="32">
        <v>499</v>
      </c>
      <c r="BA502" s="32">
        <v>0.15705154876516966</v>
      </c>
      <c r="BB502" s="32">
        <v>0</v>
      </c>
      <c r="BC502" s="32">
        <v>427</v>
      </c>
      <c r="BD502" s="32">
        <v>356.78499999999997</v>
      </c>
      <c r="BZ502">
        <v>0.42690058479532161</v>
      </c>
      <c r="CA502">
        <v>0.99533799533799538</v>
      </c>
      <c r="CB502">
        <v>0.42690058479532161</v>
      </c>
    </row>
    <row r="503" spans="52:80" x14ac:dyDescent="0.25">
      <c r="AZ503" s="32">
        <v>500</v>
      </c>
      <c r="BA503" s="32">
        <v>0.15115033977727921</v>
      </c>
      <c r="BB503" s="32">
        <v>0</v>
      </c>
      <c r="BC503" s="32">
        <v>427</v>
      </c>
      <c r="BD503" s="32">
        <v>357.5</v>
      </c>
      <c r="BZ503">
        <v>0.43274853801169588</v>
      </c>
      <c r="CA503">
        <v>0.99533799533799538</v>
      </c>
      <c r="CB503">
        <v>0.43274853801169588</v>
      </c>
    </row>
    <row r="504" spans="52:80" x14ac:dyDescent="0.25">
      <c r="AZ504" s="32">
        <v>501</v>
      </c>
      <c r="BA504" s="32">
        <v>0.15049127188708158</v>
      </c>
      <c r="BB504" s="32">
        <v>0</v>
      </c>
      <c r="BC504" s="32">
        <v>427</v>
      </c>
      <c r="BD504" s="32">
        <v>358.21499999999997</v>
      </c>
      <c r="BZ504">
        <v>0.43859649122807015</v>
      </c>
      <c r="CA504">
        <v>0.99533799533799538</v>
      </c>
      <c r="CB504">
        <v>0.43859649122807015</v>
      </c>
    </row>
    <row r="505" spans="52:80" x14ac:dyDescent="0.25">
      <c r="AZ505" s="32">
        <v>502</v>
      </c>
      <c r="BA505" s="32">
        <v>0.15012222485719223</v>
      </c>
      <c r="BB505" s="32">
        <v>0</v>
      </c>
      <c r="BC505" s="32">
        <v>427</v>
      </c>
      <c r="BD505" s="32">
        <v>358.93</v>
      </c>
      <c r="BZ505">
        <v>0.43859649122807015</v>
      </c>
      <c r="CA505">
        <v>0.99766899766899764</v>
      </c>
      <c r="CB505">
        <v>0.43859649122807015</v>
      </c>
    </row>
    <row r="506" spans="52:80" x14ac:dyDescent="0.25">
      <c r="AZ506" s="32">
        <v>503</v>
      </c>
      <c r="BA506" s="32">
        <v>0.14938880381348155</v>
      </c>
      <c r="BB506" s="32">
        <v>1</v>
      </c>
      <c r="BC506" s="32">
        <v>428</v>
      </c>
      <c r="BD506" s="32">
        <v>359.64499999999998</v>
      </c>
      <c r="BZ506">
        <v>0.44444444444444442</v>
      </c>
      <c r="CA506">
        <v>0.99766899766899764</v>
      </c>
      <c r="CB506">
        <v>0.44444444444444442</v>
      </c>
    </row>
    <row r="507" spans="52:80" x14ac:dyDescent="0.25">
      <c r="AZ507" s="32">
        <v>504</v>
      </c>
      <c r="BA507" s="32">
        <v>0.14812539200725328</v>
      </c>
      <c r="BB507" s="32">
        <v>0</v>
      </c>
      <c r="BC507" s="32">
        <v>428</v>
      </c>
      <c r="BD507" s="32">
        <v>360.35999999999996</v>
      </c>
      <c r="BZ507">
        <v>0.45029239766081869</v>
      </c>
      <c r="CA507">
        <v>0.99766899766899764</v>
      </c>
      <c r="CB507">
        <v>0.45029239766081869</v>
      </c>
    </row>
    <row r="508" spans="52:80" x14ac:dyDescent="0.25">
      <c r="AZ508" s="32">
        <v>505</v>
      </c>
      <c r="BA508" s="32">
        <v>0.14451090512668532</v>
      </c>
      <c r="BB508" s="32">
        <v>0</v>
      </c>
      <c r="BC508" s="32">
        <v>428</v>
      </c>
      <c r="BD508" s="32">
        <v>361.07499999999999</v>
      </c>
      <c r="BZ508">
        <v>0.45614035087719296</v>
      </c>
      <c r="CA508">
        <v>0.99766899766899764</v>
      </c>
      <c r="CB508">
        <v>0.45614035087719296</v>
      </c>
    </row>
    <row r="509" spans="52:80" x14ac:dyDescent="0.25">
      <c r="AZ509" s="32">
        <v>506</v>
      </c>
      <c r="BA509" s="32">
        <v>0.14450330633555367</v>
      </c>
      <c r="BB509" s="32">
        <v>0</v>
      </c>
      <c r="BC509" s="32">
        <v>428</v>
      </c>
      <c r="BD509" s="32">
        <v>361.78999999999996</v>
      </c>
      <c r="BZ509">
        <v>0.46198830409356723</v>
      </c>
      <c r="CA509">
        <v>0.99766899766899764</v>
      </c>
      <c r="CB509">
        <v>0.46198830409356723</v>
      </c>
    </row>
    <row r="510" spans="52:80" x14ac:dyDescent="0.25">
      <c r="AZ510" s="32">
        <v>507</v>
      </c>
      <c r="BA510" s="32">
        <v>0.14416340398903987</v>
      </c>
      <c r="BB510" s="32">
        <v>0</v>
      </c>
      <c r="BC510" s="32">
        <v>428</v>
      </c>
      <c r="BD510" s="32">
        <v>362.505</v>
      </c>
      <c r="BZ510">
        <v>0.46783625730994149</v>
      </c>
      <c r="CA510">
        <v>0.99766899766899764</v>
      </c>
      <c r="CB510">
        <v>0.46783625730994149</v>
      </c>
    </row>
    <row r="511" spans="52:80" x14ac:dyDescent="0.25">
      <c r="AZ511" s="32">
        <v>508</v>
      </c>
      <c r="BA511" s="32">
        <v>0.14389527120134726</v>
      </c>
      <c r="BB511" s="32">
        <v>0</v>
      </c>
      <c r="BC511" s="32">
        <v>428</v>
      </c>
      <c r="BD511" s="32">
        <v>363.21999999999997</v>
      </c>
      <c r="BZ511">
        <v>0.47368421052631576</v>
      </c>
      <c r="CA511">
        <v>0.99766899766899764</v>
      </c>
      <c r="CB511">
        <v>0.47368421052631576</v>
      </c>
    </row>
    <row r="512" spans="52:80" x14ac:dyDescent="0.25">
      <c r="AZ512" s="32">
        <v>509</v>
      </c>
      <c r="BA512" s="32">
        <v>0.14124508923059373</v>
      </c>
      <c r="BB512" s="32">
        <v>0</v>
      </c>
      <c r="BC512" s="32">
        <v>428</v>
      </c>
      <c r="BD512" s="32">
        <v>363.935</v>
      </c>
      <c r="BZ512">
        <v>0.47953216374269003</v>
      </c>
      <c r="CA512">
        <v>0.99766899766899764</v>
      </c>
      <c r="CB512">
        <v>0.47953216374269003</v>
      </c>
    </row>
    <row r="513" spans="52:80" x14ac:dyDescent="0.25">
      <c r="AZ513" s="32">
        <v>510</v>
      </c>
      <c r="BA513" s="32">
        <v>0.1394220455297096</v>
      </c>
      <c r="BB513" s="32">
        <v>0</v>
      </c>
      <c r="BC513" s="32">
        <v>428</v>
      </c>
      <c r="BD513" s="32">
        <v>364.65</v>
      </c>
      <c r="BZ513">
        <v>0.4853801169590643</v>
      </c>
      <c r="CA513">
        <v>0.99766899766899764</v>
      </c>
      <c r="CB513">
        <v>0.4853801169590643</v>
      </c>
    </row>
    <row r="514" spans="52:80" x14ac:dyDescent="0.25">
      <c r="AZ514" s="32">
        <v>511</v>
      </c>
      <c r="BA514" s="32">
        <v>0.13831134942497694</v>
      </c>
      <c r="BB514" s="32">
        <v>0</v>
      </c>
      <c r="BC514" s="32">
        <v>428</v>
      </c>
      <c r="BD514" s="32">
        <v>365.36500000000001</v>
      </c>
      <c r="BZ514">
        <v>0.49122807017543857</v>
      </c>
      <c r="CA514">
        <v>0.99766899766899764</v>
      </c>
      <c r="CB514">
        <v>0.49122807017543857</v>
      </c>
    </row>
    <row r="515" spans="52:80" x14ac:dyDescent="0.25">
      <c r="AZ515" s="32">
        <v>512</v>
      </c>
      <c r="BA515" s="32">
        <v>0.13513804261471607</v>
      </c>
      <c r="BB515" s="32">
        <v>0</v>
      </c>
      <c r="BC515" s="32">
        <v>428</v>
      </c>
      <c r="BD515" s="32">
        <v>366.08</v>
      </c>
      <c r="BZ515">
        <v>0.49707602339181284</v>
      </c>
      <c r="CA515">
        <v>0.99766899766899764</v>
      </c>
      <c r="CB515">
        <v>0.49707602339181284</v>
      </c>
    </row>
    <row r="516" spans="52:80" x14ac:dyDescent="0.25">
      <c r="AZ516" s="32">
        <v>513</v>
      </c>
      <c r="BA516" s="32">
        <v>0.13408569213830632</v>
      </c>
      <c r="BB516" s="32">
        <v>0</v>
      </c>
      <c r="BC516" s="32">
        <v>428</v>
      </c>
      <c r="BD516" s="32">
        <v>366.79499999999996</v>
      </c>
      <c r="BZ516">
        <v>0.50292397660818711</v>
      </c>
      <c r="CA516">
        <v>0.99766899766899764</v>
      </c>
      <c r="CB516">
        <v>0.50292397660818711</v>
      </c>
    </row>
    <row r="517" spans="52:80" x14ac:dyDescent="0.25">
      <c r="AZ517" s="32">
        <v>514</v>
      </c>
      <c r="BA517" s="32">
        <v>0.13319608857019188</v>
      </c>
      <c r="BB517" s="32">
        <v>0</v>
      </c>
      <c r="BC517" s="32">
        <v>428</v>
      </c>
      <c r="BD517" s="32">
        <v>367.51</v>
      </c>
      <c r="BZ517">
        <v>0.50877192982456143</v>
      </c>
      <c r="CA517">
        <v>0.99766899766899764</v>
      </c>
      <c r="CB517">
        <v>0.50877192982456143</v>
      </c>
    </row>
    <row r="518" spans="52:80" x14ac:dyDescent="0.25">
      <c r="AZ518" s="32">
        <v>515</v>
      </c>
      <c r="BA518" s="32">
        <v>0.13086785719851227</v>
      </c>
      <c r="BB518" s="32">
        <v>0</v>
      </c>
      <c r="BC518" s="32">
        <v>428</v>
      </c>
      <c r="BD518" s="32">
        <v>368.22499999999997</v>
      </c>
      <c r="BZ518">
        <v>0.51461988304093564</v>
      </c>
      <c r="CA518">
        <v>0.99766899766899764</v>
      </c>
      <c r="CB518">
        <v>0.51461988304093564</v>
      </c>
    </row>
    <row r="519" spans="52:80" x14ac:dyDescent="0.25">
      <c r="AZ519" s="32">
        <v>516</v>
      </c>
      <c r="BA519" s="32">
        <v>0.1301332052391854</v>
      </c>
      <c r="BB519" s="32">
        <v>0</v>
      </c>
      <c r="BC519" s="32">
        <v>428</v>
      </c>
      <c r="BD519" s="32">
        <v>368.94</v>
      </c>
      <c r="BZ519">
        <v>0.52046783625730997</v>
      </c>
      <c r="CA519">
        <v>0.99766899766899764</v>
      </c>
      <c r="CB519">
        <v>0.52046783625730997</v>
      </c>
    </row>
    <row r="520" spans="52:80" x14ac:dyDescent="0.25">
      <c r="AZ520" s="32">
        <v>517</v>
      </c>
      <c r="BA520" s="32">
        <v>0.12995215037005264</v>
      </c>
      <c r="BB520" s="32">
        <v>0</v>
      </c>
      <c r="BC520" s="32">
        <v>428</v>
      </c>
      <c r="BD520" s="32">
        <v>369.65499999999997</v>
      </c>
      <c r="BZ520">
        <v>0.52631578947368418</v>
      </c>
      <c r="CA520">
        <v>0.99766899766899764</v>
      </c>
      <c r="CB520">
        <v>0.52631578947368418</v>
      </c>
    </row>
    <row r="521" spans="52:80" x14ac:dyDescent="0.25">
      <c r="AZ521" s="32">
        <v>518</v>
      </c>
      <c r="BA521" s="32">
        <v>0.12745444513129681</v>
      </c>
      <c r="BB521" s="32">
        <v>0</v>
      </c>
      <c r="BC521" s="32">
        <v>428</v>
      </c>
      <c r="BD521" s="32">
        <v>370.37</v>
      </c>
      <c r="BZ521">
        <v>0.53216374269005851</v>
      </c>
      <c r="CA521">
        <v>0.99766899766899764</v>
      </c>
      <c r="CB521">
        <v>0.53216374269005851</v>
      </c>
    </row>
    <row r="522" spans="52:80" x14ac:dyDescent="0.25">
      <c r="AZ522" s="32">
        <v>519</v>
      </c>
      <c r="BA522" s="32">
        <v>0.12651928512236699</v>
      </c>
      <c r="BB522" s="32">
        <v>0</v>
      </c>
      <c r="BC522" s="32">
        <v>428</v>
      </c>
      <c r="BD522" s="32">
        <v>371.08499999999998</v>
      </c>
      <c r="BZ522">
        <v>0.53801169590643272</v>
      </c>
      <c r="CA522">
        <v>0.99766899766899764</v>
      </c>
      <c r="CB522">
        <v>0.53801169590643272</v>
      </c>
    </row>
    <row r="523" spans="52:80" x14ac:dyDescent="0.25">
      <c r="AZ523" s="32">
        <v>520</v>
      </c>
      <c r="BA523" s="32">
        <v>0.12150379896415089</v>
      </c>
      <c r="BB523" s="32">
        <v>0</v>
      </c>
      <c r="BC523" s="32">
        <v>428</v>
      </c>
      <c r="BD523" s="32">
        <v>371.8</v>
      </c>
      <c r="BZ523">
        <v>0.54385964912280704</v>
      </c>
      <c r="CA523">
        <v>0.99766899766899764</v>
      </c>
      <c r="CB523">
        <v>0.54385964912280704</v>
      </c>
    </row>
    <row r="524" spans="52:80" x14ac:dyDescent="0.25">
      <c r="AZ524" s="32">
        <v>521</v>
      </c>
      <c r="BA524" s="32">
        <v>0.12126765713057068</v>
      </c>
      <c r="BB524" s="32">
        <v>0</v>
      </c>
      <c r="BC524" s="32">
        <v>428</v>
      </c>
      <c r="BD524" s="32">
        <v>372.51499999999999</v>
      </c>
      <c r="BZ524">
        <v>0.54970760233918126</v>
      </c>
      <c r="CA524">
        <v>0.99766899766899764</v>
      </c>
      <c r="CB524">
        <v>0.54970760233918126</v>
      </c>
    </row>
    <row r="525" spans="52:80" x14ac:dyDescent="0.25">
      <c r="AZ525" s="32">
        <v>522</v>
      </c>
      <c r="BA525" s="32">
        <v>0.11944032803351678</v>
      </c>
      <c r="BB525" s="32">
        <v>0</v>
      </c>
      <c r="BC525" s="32">
        <v>428</v>
      </c>
      <c r="BD525" s="32">
        <v>373.22999999999996</v>
      </c>
      <c r="BZ525">
        <v>0.55555555555555558</v>
      </c>
      <c r="CA525">
        <v>0.99766899766899764</v>
      </c>
      <c r="CB525">
        <v>0.55555555555555558</v>
      </c>
    </row>
    <row r="526" spans="52:80" x14ac:dyDescent="0.25">
      <c r="AZ526" s="32">
        <v>523</v>
      </c>
      <c r="BA526" s="32">
        <v>0.11884766884162495</v>
      </c>
      <c r="BB526" s="32">
        <v>0</v>
      </c>
      <c r="BC526" s="32">
        <v>428</v>
      </c>
      <c r="BD526" s="32">
        <v>373.94499999999999</v>
      </c>
      <c r="BZ526">
        <v>0.56140350877192979</v>
      </c>
      <c r="CA526">
        <v>0.99766899766899764</v>
      </c>
      <c r="CB526">
        <v>0.56140350877192979</v>
      </c>
    </row>
    <row r="527" spans="52:80" x14ac:dyDescent="0.25">
      <c r="AZ527" s="32">
        <v>524</v>
      </c>
      <c r="BA527" s="32">
        <v>0.11552374668660796</v>
      </c>
      <c r="BB527" s="32">
        <v>0</v>
      </c>
      <c r="BC527" s="32">
        <v>428</v>
      </c>
      <c r="BD527" s="32">
        <v>374.65999999999997</v>
      </c>
      <c r="BZ527">
        <v>0.56725146198830412</v>
      </c>
      <c r="CA527">
        <v>0.99766899766899764</v>
      </c>
      <c r="CB527">
        <v>0.56725146198830412</v>
      </c>
    </row>
    <row r="528" spans="52:80" x14ac:dyDescent="0.25">
      <c r="AZ528" s="32">
        <v>525</v>
      </c>
      <c r="BA528" s="32">
        <v>0.11454081857222204</v>
      </c>
      <c r="BB528" s="32">
        <v>0</v>
      </c>
      <c r="BC528" s="32">
        <v>428</v>
      </c>
      <c r="BD528" s="32">
        <v>375.375</v>
      </c>
      <c r="BZ528">
        <v>0.57309941520467833</v>
      </c>
      <c r="CA528">
        <v>0.99766899766899764</v>
      </c>
      <c r="CB528">
        <v>0.57309941520467833</v>
      </c>
    </row>
    <row r="529" spans="52:80" x14ac:dyDescent="0.25">
      <c r="AZ529" s="32">
        <v>526</v>
      </c>
      <c r="BA529" s="32">
        <v>0.11320423713167635</v>
      </c>
      <c r="BB529" s="32">
        <v>0</v>
      </c>
      <c r="BC529" s="32">
        <v>428</v>
      </c>
      <c r="BD529" s="32">
        <v>376.09</v>
      </c>
      <c r="BZ529">
        <v>0.57894736842105265</v>
      </c>
      <c r="CA529">
        <v>0.99766899766899764</v>
      </c>
      <c r="CB529">
        <v>0.57894736842105265</v>
      </c>
    </row>
    <row r="530" spans="52:80" x14ac:dyDescent="0.25">
      <c r="AZ530" s="32">
        <v>527</v>
      </c>
      <c r="BA530" s="32">
        <v>0.11061162297891654</v>
      </c>
      <c r="BB530" s="32">
        <v>0</v>
      </c>
      <c r="BC530" s="32">
        <v>428</v>
      </c>
      <c r="BD530" s="32">
        <v>376.80500000000001</v>
      </c>
      <c r="BZ530">
        <v>0.58479532163742687</v>
      </c>
      <c r="CA530">
        <v>0.99766899766899764</v>
      </c>
      <c r="CB530">
        <v>0.58479532163742687</v>
      </c>
    </row>
    <row r="531" spans="52:80" x14ac:dyDescent="0.25">
      <c r="AZ531" s="32">
        <v>528</v>
      </c>
      <c r="BA531" s="32">
        <v>0.10967618162299024</v>
      </c>
      <c r="BB531" s="32">
        <v>0</v>
      </c>
      <c r="BC531" s="32">
        <v>428</v>
      </c>
      <c r="BD531" s="32">
        <v>377.52</v>
      </c>
      <c r="BZ531">
        <v>0.59064327485380119</v>
      </c>
      <c r="CA531">
        <v>0.99766899766899764</v>
      </c>
      <c r="CB531">
        <v>0.59064327485380119</v>
      </c>
    </row>
    <row r="532" spans="52:80" x14ac:dyDescent="0.25">
      <c r="AZ532" s="32">
        <v>529</v>
      </c>
      <c r="BA532" s="32">
        <v>0.10192545434206086</v>
      </c>
      <c r="BB532" s="32">
        <v>0</v>
      </c>
      <c r="BC532" s="32">
        <v>428</v>
      </c>
      <c r="BD532" s="32">
        <v>378.23499999999996</v>
      </c>
      <c r="BZ532">
        <v>0.59649122807017541</v>
      </c>
      <c r="CA532">
        <v>0.99766899766899764</v>
      </c>
      <c r="CB532">
        <v>0.59649122807017541</v>
      </c>
    </row>
    <row r="533" spans="52:80" x14ac:dyDescent="0.25">
      <c r="AZ533" s="32">
        <v>530</v>
      </c>
      <c r="BA533" s="32">
        <v>0.10167394525312838</v>
      </c>
      <c r="BB533" s="32">
        <v>0</v>
      </c>
      <c r="BC533" s="32">
        <v>428</v>
      </c>
      <c r="BD533" s="32">
        <v>378.95</v>
      </c>
      <c r="BZ533">
        <v>0.60233918128654973</v>
      </c>
      <c r="CA533">
        <v>0.99766899766899764</v>
      </c>
      <c r="CB533">
        <v>0.60233918128654973</v>
      </c>
    </row>
    <row r="534" spans="52:80" x14ac:dyDescent="0.25">
      <c r="AZ534" s="32">
        <v>531</v>
      </c>
      <c r="BA534" s="32">
        <v>0.10141640632056327</v>
      </c>
      <c r="BB534" s="32">
        <v>0</v>
      </c>
      <c r="BC534" s="32">
        <v>428</v>
      </c>
      <c r="BD534" s="32">
        <v>379.66499999999996</v>
      </c>
      <c r="BZ534">
        <v>0.60818713450292394</v>
      </c>
      <c r="CA534">
        <v>0.99766899766899764</v>
      </c>
      <c r="CB534">
        <v>0.60818713450292394</v>
      </c>
    </row>
    <row r="535" spans="52:80" x14ac:dyDescent="0.25">
      <c r="AZ535" s="32">
        <v>532</v>
      </c>
      <c r="BA535" s="32">
        <v>9.7022360475869707E-2</v>
      </c>
      <c r="BB535" s="32">
        <v>0</v>
      </c>
      <c r="BC535" s="32">
        <v>428</v>
      </c>
      <c r="BD535" s="32">
        <v>380.38</v>
      </c>
      <c r="BZ535">
        <v>0.61403508771929827</v>
      </c>
      <c r="CA535">
        <v>0.99766899766899764</v>
      </c>
      <c r="CB535">
        <v>0.61403508771929827</v>
      </c>
    </row>
    <row r="536" spans="52:80" x14ac:dyDescent="0.25">
      <c r="AZ536" s="32">
        <v>533</v>
      </c>
      <c r="BA536" s="32">
        <v>9.5726292180153313E-2</v>
      </c>
      <c r="BB536" s="32">
        <v>0</v>
      </c>
      <c r="BC536" s="32">
        <v>428</v>
      </c>
      <c r="BD536" s="32">
        <v>381.09499999999997</v>
      </c>
      <c r="BZ536">
        <v>0.61988304093567248</v>
      </c>
      <c r="CA536">
        <v>0.99766899766899764</v>
      </c>
      <c r="CB536">
        <v>0.61988304093567248</v>
      </c>
    </row>
    <row r="537" spans="52:80" x14ac:dyDescent="0.25">
      <c r="AZ537" s="32">
        <v>534</v>
      </c>
      <c r="BA537" s="32">
        <v>9.5717532270431824E-2</v>
      </c>
      <c r="BB537" s="32">
        <v>0</v>
      </c>
      <c r="BC537" s="32">
        <v>428</v>
      </c>
      <c r="BD537" s="32">
        <v>381.81</v>
      </c>
      <c r="BZ537">
        <v>0.6257309941520468</v>
      </c>
      <c r="CA537">
        <v>0.99766899766899764</v>
      </c>
      <c r="CB537">
        <v>0.6257309941520468</v>
      </c>
    </row>
    <row r="538" spans="52:80" x14ac:dyDescent="0.25">
      <c r="AZ538" s="32">
        <v>535</v>
      </c>
      <c r="BA538" s="32">
        <v>9.2550270733034679E-2</v>
      </c>
      <c r="BB538" s="32">
        <v>0</v>
      </c>
      <c r="BC538" s="32">
        <v>428</v>
      </c>
      <c r="BD538" s="32">
        <v>382.52499999999998</v>
      </c>
      <c r="BZ538">
        <v>0.63157894736842102</v>
      </c>
      <c r="CA538">
        <v>0.99766899766899764</v>
      </c>
      <c r="CB538">
        <v>0.63157894736842102</v>
      </c>
    </row>
    <row r="539" spans="52:80" x14ac:dyDescent="0.25">
      <c r="AZ539" s="32">
        <v>536</v>
      </c>
      <c r="BA539" s="32">
        <v>9.193446236082399E-2</v>
      </c>
      <c r="BB539" s="32">
        <v>0</v>
      </c>
      <c r="BC539" s="32">
        <v>428</v>
      </c>
      <c r="BD539" s="32">
        <v>383.24</v>
      </c>
      <c r="BZ539">
        <v>0.63742690058479534</v>
      </c>
      <c r="CA539">
        <v>0.99766899766899764</v>
      </c>
      <c r="CB539">
        <v>0.63742690058479534</v>
      </c>
    </row>
    <row r="540" spans="52:80" x14ac:dyDescent="0.25">
      <c r="AZ540" s="32">
        <v>537</v>
      </c>
      <c r="BA540" s="32">
        <v>8.9574271372976633E-2</v>
      </c>
      <c r="BB540" s="32">
        <v>0</v>
      </c>
      <c r="BC540" s="32">
        <v>428</v>
      </c>
      <c r="BD540" s="32">
        <v>383.95499999999998</v>
      </c>
      <c r="BZ540">
        <v>0.64327485380116955</v>
      </c>
      <c r="CA540">
        <v>0.99766899766899764</v>
      </c>
      <c r="CB540">
        <v>0.64327485380116955</v>
      </c>
    </row>
    <row r="541" spans="52:80" x14ac:dyDescent="0.25">
      <c r="AZ541" s="32">
        <v>538</v>
      </c>
      <c r="BA541" s="32">
        <v>8.7978162846219427E-2</v>
      </c>
      <c r="BB541" s="32">
        <v>0</v>
      </c>
      <c r="BC541" s="32">
        <v>428</v>
      </c>
      <c r="BD541" s="32">
        <v>384.66999999999996</v>
      </c>
      <c r="BZ541">
        <v>0.64912280701754388</v>
      </c>
      <c r="CA541">
        <v>0.99766899766899764</v>
      </c>
      <c r="CB541">
        <v>0.64912280701754388</v>
      </c>
    </row>
    <row r="542" spans="52:80" x14ac:dyDescent="0.25">
      <c r="AZ542" s="32">
        <v>539</v>
      </c>
      <c r="BA542" s="32">
        <v>8.5278723072899881E-2</v>
      </c>
      <c r="BB542" s="32">
        <v>0</v>
      </c>
      <c r="BC542" s="32">
        <v>428</v>
      </c>
      <c r="BD542" s="32">
        <v>385.38499999999999</v>
      </c>
      <c r="BZ542">
        <v>0.65497076023391809</v>
      </c>
      <c r="CA542">
        <v>0.99766899766899764</v>
      </c>
      <c r="CB542">
        <v>0.65497076023391809</v>
      </c>
    </row>
    <row r="543" spans="52:80" x14ac:dyDescent="0.25">
      <c r="AZ543" s="32">
        <v>540</v>
      </c>
      <c r="BA543" s="32">
        <v>8.4658638885342016E-2</v>
      </c>
      <c r="BB543" s="32">
        <v>0</v>
      </c>
      <c r="BC543" s="32">
        <v>428</v>
      </c>
      <c r="BD543" s="32">
        <v>386.09999999999997</v>
      </c>
      <c r="BZ543">
        <v>0.66081871345029242</v>
      </c>
      <c r="CA543">
        <v>0.99766899766899764</v>
      </c>
      <c r="CB543">
        <v>0.66081871345029242</v>
      </c>
    </row>
    <row r="544" spans="52:80" x14ac:dyDescent="0.25">
      <c r="AZ544" s="33">
        <v>541</v>
      </c>
      <c r="BA544" s="33">
        <v>8.3155781095237635E-2</v>
      </c>
      <c r="BB544" s="33">
        <v>0</v>
      </c>
      <c r="BC544" s="33">
        <v>428</v>
      </c>
      <c r="BD544" s="33">
        <v>386.815</v>
      </c>
      <c r="BZ544">
        <v>0.66666666666666663</v>
      </c>
      <c r="CA544">
        <v>0.99766899766899764</v>
      </c>
      <c r="CB544">
        <v>0.66666666666666663</v>
      </c>
    </row>
    <row r="545" spans="52:80" x14ac:dyDescent="0.25">
      <c r="AZ545" s="33">
        <v>542</v>
      </c>
      <c r="BA545" s="33">
        <v>8.270412304904623E-2</v>
      </c>
      <c r="BB545" s="33">
        <v>0</v>
      </c>
      <c r="BC545" s="33">
        <v>428</v>
      </c>
      <c r="BD545" s="33">
        <v>387.53</v>
      </c>
      <c r="BZ545">
        <v>0.67251461988304095</v>
      </c>
      <c r="CA545">
        <v>0.99766899766899764</v>
      </c>
      <c r="CB545">
        <v>0.67251461988304095</v>
      </c>
    </row>
    <row r="546" spans="52:80" x14ac:dyDescent="0.25">
      <c r="AZ546" s="33">
        <v>543</v>
      </c>
      <c r="BA546" s="33">
        <v>8.1942003355375728E-2</v>
      </c>
      <c r="BB546" s="33">
        <v>0</v>
      </c>
      <c r="BC546" s="33">
        <v>428</v>
      </c>
      <c r="BD546" s="33">
        <v>388.245</v>
      </c>
      <c r="BZ546">
        <v>0.67836257309941517</v>
      </c>
      <c r="CA546">
        <v>0.99766899766899764</v>
      </c>
      <c r="CB546">
        <v>0.67836257309941517</v>
      </c>
    </row>
    <row r="547" spans="52:80" x14ac:dyDescent="0.25">
      <c r="AZ547" s="33">
        <v>544</v>
      </c>
      <c r="BA547" s="33">
        <v>8.0521859050900729E-2</v>
      </c>
      <c r="BB547" s="33">
        <v>0</v>
      </c>
      <c r="BC547" s="33">
        <v>428</v>
      </c>
      <c r="BD547" s="33">
        <v>388.96</v>
      </c>
      <c r="BZ547">
        <v>0.68421052631578949</v>
      </c>
      <c r="CA547">
        <v>0.99766899766899764</v>
      </c>
      <c r="CB547">
        <v>0.68421052631578949</v>
      </c>
    </row>
    <row r="548" spans="52:80" x14ac:dyDescent="0.25">
      <c r="AZ548" s="33">
        <v>545</v>
      </c>
      <c r="BA548" s="33">
        <v>7.8692325798183207E-2</v>
      </c>
      <c r="BB548" s="33">
        <v>0</v>
      </c>
      <c r="BC548" s="33">
        <v>428</v>
      </c>
      <c r="BD548" s="33">
        <v>389.67500000000001</v>
      </c>
      <c r="BZ548">
        <v>0.6900584795321637</v>
      </c>
      <c r="CA548">
        <v>0.99766899766899764</v>
      </c>
      <c r="CB548">
        <v>0.6900584795321637</v>
      </c>
    </row>
    <row r="549" spans="52:80" x14ac:dyDescent="0.25">
      <c r="AZ549" s="33">
        <v>546</v>
      </c>
      <c r="BA549" s="33">
        <v>7.7969433656381912E-2</v>
      </c>
      <c r="BB549" s="33">
        <v>0</v>
      </c>
      <c r="BC549" s="33">
        <v>428</v>
      </c>
      <c r="BD549" s="33">
        <v>390.39</v>
      </c>
      <c r="BZ549">
        <v>0.69590643274853803</v>
      </c>
      <c r="CA549">
        <v>0.99766899766899764</v>
      </c>
      <c r="CB549">
        <v>0.69590643274853803</v>
      </c>
    </row>
    <row r="550" spans="52:80" x14ac:dyDescent="0.25">
      <c r="AZ550" s="33">
        <v>547</v>
      </c>
      <c r="BA550" s="33">
        <v>7.6489374527657875E-2</v>
      </c>
      <c r="BB550" s="33">
        <v>0</v>
      </c>
      <c r="BC550" s="33">
        <v>428</v>
      </c>
      <c r="BD550" s="33">
        <v>391.10499999999996</v>
      </c>
      <c r="BZ550">
        <v>0.70175438596491224</v>
      </c>
      <c r="CA550">
        <v>0.99766899766899764</v>
      </c>
      <c r="CB550">
        <v>0.70175438596491224</v>
      </c>
    </row>
    <row r="551" spans="52:80" x14ac:dyDescent="0.25">
      <c r="AZ551" s="33">
        <v>548</v>
      </c>
      <c r="BA551" s="33">
        <v>7.542481556371855E-2</v>
      </c>
      <c r="BB551" s="33">
        <v>0</v>
      </c>
      <c r="BC551" s="33">
        <v>428</v>
      </c>
      <c r="BD551" s="33">
        <v>391.82</v>
      </c>
      <c r="BZ551">
        <v>0.70760233918128657</v>
      </c>
      <c r="CA551">
        <v>0.99766899766899764</v>
      </c>
      <c r="CB551">
        <v>0.70760233918128657</v>
      </c>
    </row>
    <row r="552" spans="52:80" x14ac:dyDescent="0.25">
      <c r="AZ552" s="33">
        <v>549</v>
      </c>
      <c r="BA552" s="33">
        <v>7.4730252534183597E-2</v>
      </c>
      <c r="BB552" s="33">
        <v>0</v>
      </c>
      <c r="BC552" s="33">
        <v>428</v>
      </c>
      <c r="BD552" s="33">
        <v>392.53499999999997</v>
      </c>
      <c r="BZ552">
        <v>0.71345029239766078</v>
      </c>
      <c r="CA552">
        <v>0.99766899766899764</v>
      </c>
      <c r="CB552">
        <v>0.71345029239766078</v>
      </c>
    </row>
    <row r="553" spans="52:80" x14ac:dyDescent="0.25">
      <c r="AZ553" s="33">
        <v>550</v>
      </c>
      <c r="BA553" s="33">
        <v>7.3037592127778023E-2</v>
      </c>
      <c r="BB553" s="33">
        <v>0</v>
      </c>
      <c r="BC553" s="33">
        <v>428</v>
      </c>
      <c r="BD553" s="33">
        <v>393.25</v>
      </c>
      <c r="BZ553">
        <v>0.7192982456140351</v>
      </c>
      <c r="CA553">
        <v>0.99766899766899764</v>
      </c>
      <c r="CB553">
        <v>0.7192982456140351</v>
      </c>
    </row>
    <row r="554" spans="52:80" x14ac:dyDescent="0.25">
      <c r="AZ554" s="33">
        <v>551</v>
      </c>
      <c r="BA554" s="33">
        <v>6.9936993279509793E-2</v>
      </c>
      <c r="BB554" s="33">
        <v>0</v>
      </c>
      <c r="BC554" s="33">
        <v>428</v>
      </c>
      <c r="BD554" s="33">
        <v>393.96499999999997</v>
      </c>
      <c r="BZ554">
        <v>0.72514619883040932</v>
      </c>
      <c r="CA554">
        <v>0.99766899766899764</v>
      </c>
      <c r="CB554">
        <v>0.72514619883040932</v>
      </c>
    </row>
    <row r="555" spans="52:80" x14ac:dyDescent="0.25">
      <c r="AZ555" s="33">
        <v>552</v>
      </c>
      <c r="BA555" s="33">
        <v>6.8957404901893046E-2</v>
      </c>
      <c r="BB555" s="33">
        <v>0</v>
      </c>
      <c r="BC555" s="33">
        <v>428</v>
      </c>
      <c r="BD555" s="33">
        <v>394.68</v>
      </c>
      <c r="BZ555">
        <v>0.73099415204678364</v>
      </c>
      <c r="CA555">
        <v>0.99766899766899764</v>
      </c>
      <c r="CB555">
        <v>0.73099415204678364</v>
      </c>
    </row>
    <row r="556" spans="52:80" x14ac:dyDescent="0.25">
      <c r="AZ556" s="33">
        <v>553</v>
      </c>
      <c r="BA556" s="33">
        <v>6.8864300769146847E-2</v>
      </c>
      <c r="BB556" s="33">
        <v>0</v>
      </c>
      <c r="BC556" s="33">
        <v>428</v>
      </c>
      <c r="BD556" s="33">
        <v>395.39499999999998</v>
      </c>
      <c r="BZ556">
        <v>0.73684210526315785</v>
      </c>
      <c r="CA556">
        <v>0.99766899766899764</v>
      </c>
      <c r="CB556">
        <v>0.73684210526315785</v>
      </c>
    </row>
    <row r="557" spans="52:80" x14ac:dyDescent="0.25">
      <c r="AZ557" s="33">
        <v>554</v>
      </c>
      <c r="BA557" s="33">
        <v>6.8473823287883762E-2</v>
      </c>
      <c r="BB557" s="33">
        <v>0</v>
      </c>
      <c r="BC557" s="33">
        <v>428</v>
      </c>
      <c r="BD557" s="33">
        <v>396.10999999999996</v>
      </c>
      <c r="BZ557">
        <v>0.74269005847953218</v>
      </c>
      <c r="CA557">
        <v>0.99766899766899764</v>
      </c>
      <c r="CB557">
        <v>0.74269005847953218</v>
      </c>
    </row>
    <row r="558" spans="52:80" x14ac:dyDescent="0.25">
      <c r="AZ558" s="33">
        <v>555</v>
      </c>
      <c r="BA558" s="33">
        <v>6.6856351697613919E-2</v>
      </c>
      <c r="BB558" s="33">
        <v>0</v>
      </c>
      <c r="BC558" s="33">
        <v>428</v>
      </c>
      <c r="BD558" s="33">
        <v>396.82499999999999</v>
      </c>
      <c r="BZ558">
        <v>0.74853801169590639</v>
      </c>
      <c r="CA558">
        <v>0.99766899766899764</v>
      </c>
      <c r="CB558">
        <v>0.74853801169590639</v>
      </c>
    </row>
    <row r="559" spans="52:80" x14ac:dyDescent="0.25">
      <c r="AZ559" s="33">
        <v>556</v>
      </c>
      <c r="BA559" s="33">
        <v>6.6513020480007498E-2</v>
      </c>
      <c r="BB559" s="33">
        <v>0</v>
      </c>
      <c r="BC559" s="33">
        <v>428</v>
      </c>
      <c r="BD559" s="33">
        <v>397.53999999999996</v>
      </c>
      <c r="BZ559">
        <v>0.75438596491228072</v>
      </c>
      <c r="CA559">
        <v>0.99766899766899764</v>
      </c>
      <c r="CB559">
        <v>0.75438596491228072</v>
      </c>
    </row>
    <row r="560" spans="52:80" x14ac:dyDescent="0.25">
      <c r="AZ560" s="33">
        <v>557</v>
      </c>
      <c r="BA560" s="33">
        <v>6.5419532603092592E-2</v>
      </c>
      <c r="BB560" s="33">
        <v>0</v>
      </c>
      <c r="BC560" s="33">
        <v>428</v>
      </c>
      <c r="BD560" s="33">
        <v>398.255</v>
      </c>
      <c r="BZ560">
        <v>0.76023391812865493</v>
      </c>
      <c r="CA560">
        <v>0.99766899766899764</v>
      </c>
      <c r="CB560">
        <v>0.76023391812865493</v>
      </c>
    </row>
    <row r="561" spans="52:80" x14ac:dyDescent="0.25">
      <c r="AZ561" s="33">
        <v>558</v>
      </c>
      <c r="BA561" s="33">
        <v>6.4604394807002696E-2</v>
      </c>
      <c r="BB561" s="33">
        <v>0</v>
      </c>
      <c r="BC561" s="33">
        <v>428</v>
      </c>
      <c r="BD561" s="33">
        <v>398.96999999999997</v>
      </c>
      <c r="BZ561">
        <v>0.76608187134502925</v>
      </c>
      <c r="CA561">
        <v>0.99766899766899764</v>
      </c>
      <c r="CB561">
        <v>0.76608187134502925</v>
      </c>
    </row>
    <row r="562" spans="52:80" x14ac:dyDescent="0.25">
      <c r="AZ562" s="33">
        <v>559</v>
      </c>
      <c r="BA562" s="33">
        <v>6.3453902529500936E-2</v>
      </c>
      <c r="BB562" s="33">
        <v>0</v>
      </c>
      <c r="BC562" s="33">
        <v>428</v>
      </c>
      <c r="BD562" s="33">
        <v>399.685</v>
      </c>
      <c r="BZ562">
        <v>0.77192982456140347</v>
      </c>
      <c r="CA562">
        <v>0.99766899766899764</v>
      </c>
      <c r="CB562">
        <v>0.77192982456140347</v>
      </c>
    </row>
    <row r="563" spans="52:80" x14ac:dyDescent="0.25">
      <c r="AZ563" s="33">
        <v>560</v>
      </c>
      <c r="BA563" s="33">
        <v>6.1999203317087338E-2</v>
      </c>
      <c r="BB563" s="33">
        <v>0</v>
      </c>
      <c r="BC563" s="33">
        <v>428</v>
      </c>
      <c r="BD563" s="33">
        <v>400.4</v>
      </c>
      <c r="BZ563">
        <v>0.77777777777777779</v>
      </c>
      <c r="CA563">
        <v>0.99766899766899764</v>
      </c>
      <c r="CB563">
        <v>0.77777777777777779</v>
      </c>
    </row>
    <row r="564" spans="52:80" x14ac:dyDescent="0.25">
      <c r="AZ564" s="33">
        <v>561</v>
      </c>
      <c r="BA564" s="33">
        <v>6.0908657554416802E-2</v>
      </c>
      <c r="BB564" s="33">
        <v>0</v>
      </c>
      <c r="BC564" s="33">
        <v>428</v>
      </c>
      <c r="BD564" s="33">
        <v>401.11500000000001</v>
      </c>
      <c r="BZ564">
        <v>0.783625730994152</v>
      </c>
      <c r="CA564">
        <v>0.99766899766899764</v>
      </c>
      <c r="CB564">
        <v>0.783625730994152</v>
      </c>
    </row>
    <row r="565" spans="52:80" x14ac:dyDescent="0.25">
      <c r="AZ565" s="33">
        <v>562</v>
      </c>
      <c r="BA565" s="33">
        <v>6.0351410735250841E-2</v>
      </c>
      <c r="BB565" s="33">
        <v>0</v>
      </c>
      <c r="BC565" s="33">
        <v>428</v>
      </c>
      <c r="BD565" s="33">
        <v>401.83</v>
      </c>
      <c r="BZ565">
        <v>0.78947368421052633</v>
      </c>
      <c r="CA565">
        <v>0.99766899766899764</v>
      </c>
      <c r="CB565">
        <v>0.78947368421052633</v>
      </c>
    </row>
    <row r="566" spans="52:80" x14ac:dyDescent="0.25">
      <c r="AZ566" s="33">
        <v>563</v>
      </c>
      <c r="BA566" s="33">
        <v>5.9370980519670033E-2</v>
      </c>
      <c r="BB566" s="33">
        <v>0</v>
      </c>
      <c r="BC566" s="33">
        <v>428</v>
      </c>
      <c r="BD566" s="33">
        <v>402.54499999999996</v>
      </c>
      <c r="BZ566">
        <v>0.79532163742690054</v>
      </c>
      <c r="CA566">
        <v>0.99766899766899764</v>
      </c>
      <c r="CB566">
        <v>0.79532163742690054</v>
      </c>
    </row>
    <row r="567" spans="52:80" x14ac:dyDescent="0.25">
      <c r="AZ567" s="33">
        <v>564</v>
      </c>
      <c r="BA567" s="33">
        <v>5.6166262248788179E-2</v>
      </c>
      <c r="BB567" s="33">
        <v>0</v>
      </c>
      <c r="BC567" s="33">
        <v>428</v>
      </c>
      <c r="BD567" s="33">
        <v>403.26</v>
      </c>
      <c r="BZ567">
        <v>0.80116959064327486</v>
      </c>
      <c r="CA567">
        <v>0.99766899766899764</v>
      </c>
      <c r="CB567">
        <v>0.80116959064327486</v>
      </c>
    </row>
    <row r="568" spans="52:80" x14ac:dyDescent="0.25">
      <c r="AZ568" s="33">
        <v>565</v>
      </c>
      <c r="BA568" s="33">
        <v>5.5402652614573708E-2</v>
      </c>
      <c r="BB568" s="33">
        <v>0</v>
      </c>
      <c r="BC568" s="33">
        <v>428</v>
      </c>
      <c r="BD568" s="33">
        <v>403.97499999999997</v>
      </c>
      <c r="BZ568">
        <v>0.80116959064327486</v>
      </c>
      <c r="CA568">
        <v>1</v>
      </c>
      <c r="CB568">
        <v>0.80116959064327486</v>
      </c>
    </row>
    <row r="569" spans="52:80" x14ac:dyDescent="0.25">
      <c r="AZ569" s="33">
        <v>566</v>
      </c>
      <c r="BA569" s="33">
        <v>5.4575034660282254E-2</v>
      </c>
      <c r="BB569" s="33">
        <v>1</v>
      </c>
      <c r="BC569" s="33">
        <v>429</v>
      </c>
      <c r="BD569" s="33">
        <v>404.69</v>
      </c>
      <c r="BZ569">
        <v>0.80701754385964908</v>
      </c>
      <c r="CA569">
        <v>1</v>
      </c>
      <c r="CB569">
        <v>0.80701754385964908</v>
      </c>
    </row>
    <row r="570" spans="52:80" x14ac:dyDescent="0.25">
      <c r="AZ570" s="33">
        <v>567</v>
      </c>
      <c r="BA570" s="33">
        <v>5.4261448683909731E-2</v>
      </c>
      <c r="BB570" s="33">
        <v>0</v>
      </c>
      <c r="BC570" s="33">
        <v>429</v>
      </c>
      <c r="BD570" s="33">
        <v>405.40499999999997</v>
      </c>
      <c r="BZ570">
        <v>0.8128654970760234</v>
      </c>
      <c r="CA570">
        <v>1</v>
      </c>
      <c r="CB570">
        <v>0.8128654970760234</v>
      </c>
    </row>
    <row r="571" spans="52:80" x14ac:dyDescent="0.25">
      <c r="AZ571" s="33">
        <v>568</v>
      </c>
      <c r="BA571" s="33">
        <v>5.2844368999528928E-2</v>
      </c>
      <c r="BB571" s="33">
        <v>0</v>
      </c>
      <c r="BC571" s="33">
        <v>429</v>
      </c>
      <c r="BD571" s="33">
        <v>406.12</v>
      </c>
      <c r="BZ571">
        <v>0.81871345029239762</v>
      </c>
      <c r="CA571">
        <v>1</v>
      </c>
      <c r="CB571">
        <v>0.81871345029239762</v>
      </c>
    </row>
    <row r="572" spans="52:80" x14ac:dyDescent="0.25">
      <c r="AZ572" s="33">
        <v>569</v>
      </c>
      <c r="BA572" s="33">
        <v>4.6379658541054261E-2</v>
      </c>
      <c r="BB572" s="33">
        <v>0</v>
      </c>
      <c r="BC572" s="33">
        <v>429</v>
      </c>
      <c r="BD572" s="33">
        <v>406.83499999999998</v>
      </c>
      <c r="BZ572">
        <v>0.82456140350877194</v>
      </c>
      <c r="CA572">
        <v>1</v>
      </c>
      <c r="CB572">
        <v>0.82456140350877194</v>
      </c>
    </row>
    <row r="573" spans="52:80" x14ac:dyDescent="0.25">
      <c r="AZ573" s="33">
        <v>570</v>
      </c>
      <c r="BA573" s="33">
        <v>4.4901595230150949E-2</v>
      </c>
      <c r="BB573" s="33">
        <v>0</v>
      </c>
      <c r="BC573" s="33">
        <v>429</v>
      </c>
      <c r="BD573" s="33">
        <v>407.54999999999995</v>
      </c>
      <c r="BZ573">
        <v>0.83040935672514615</v>
      </c>
      <c r="CA573">
        <v>1</v>
      </c>
      <c r="CB573">
        <v>0.83040935672514615</v>
      </c>
    </row>
    <row r="574" spans="52:80" x14ac:dyDescent="0.25">
      <c r="AZ574" s="33">
        <v>571</v>
      </c>
      <c r="BA574" s="33">
        <v>4.2727605093905129E-2</v>
      </c>
      <c r="BB574" s="33">
        <v>0</v>
      </c>
      <c r="BC574" s="33">
        <v>429</v>
      </c>
      <c r="BD574" s="33">
        <v>408.26499999999999</v>
      </c>
      <c r="BZ574">
        <v>0.83625730994152048</v>
      </c>
      <c r="CA574">
        <v>1</v>
      </c>
      <c r="CB574">
        <v>0.83625730994152048</v>
      </c>
    </row>
    <row r="575" spans="52:80" x14ac:dyDescent="0.25">
      <c r="AZ575" s="33">
        <v>572</v>
      </c>
      <c r="BA575" s="33">
        <v>3.9248268720517954E-2</v>
      </c>
      <c r="BB575" s="33">
        <v>0</v>
      </c>
      <c r="BC575" s="33">
        <v>429</v>
      </c>
      <c r="BD575" s="33">
        <v>408.97999999999996</v>
      </c>
      <c r="BZ575">
        <v>0.84210526315789469</v>
      </c>
      <c r="CA575">
        <v>1</v>
      </c>
      <c r="CB575">
        <v>0.84210526315789469</v>
      </c>
    </row>
    <row r="576" spans="52:80" x14ac:dyDescent="0.25">
      <c r="AZ576" s="33">
        <v>573</v>
      </c>
      <c r="BA576" s="33">
        <v>3.854694067783547E-2</v>
      </c>
      <c r="BB576" s="33">
        <v>0</v>
      </c>
      <c r="BC576" s="33">
        <v>429</v>
      </c>
      <c r="BD576" s="33">
        <v>409.69499999999999</v>
      </c>
      <c r="BZ576">
        <v>0.84795321637426901</v>
      </c>
      <c r="CA576">
        <v>1</v>
      </c>
      <c r="CB576">
        <v>0.84795321637426901</v>
      </c>
    </row>
    <row r="577" spans="52:80" x14ac:dyDescent="0.25">
      <c r="AZ577" s="33">
        <v>574</v>
      </c>
      <c r="BA577" s="33">
        <v>3.7321069238384796E-2</v>
      </c>
      <c r="BB577" s="33">
        <v>0</v>
      </c>
      <c r="BC577" s="33">
        <v>429</v>
      </c>
      <c r="BD577" s="33">
        <v>410.40999999999997</v>
      </c>
      <c r="BZ577">
        <v>0.85380116959064323</v>
      </c>
      <c r="CA577">
        <v>1</v>
      </c>
      <c r="CB577">
        <v>0.85380116959064323</v>
      </c>
    </row>
    <row r="578" spans="52:80" x14ac:dyDescent="0.25">
      <c r="AZ578" s="33">
        <v>575</v>
      </c>
      <c r="BA578" s="33">
        <v>3.3921358297714345E-2</v>
      </c>
      <c r="BB578" s="33">
        <v>0</v>
      </c>
      <c r="BC578" s="33">
        <v>429</v>
      </c>
      <c r="BD578" s="33">
        <v>411.125</v>
      </c>
      <c r="BZ578">
        <v>0.85964912280701755</v>
      </c>
      <c r="CA578">
        <v>1</v>
      </c>
      <c r="CB578">
        <v>0.85964912280701755</v>
      </c>
    </row>
    <row r="579" spans="52:80" x14ac:dyDescent="0.25">
      <c r="AZ579" s="33">
        <v>576</v>
      </c>
      <c r="BA579" s="33">
        <v>3.3320757852941509E-2</v>
      </c>
      <c r="BB579" s="33">
        <v>0</v>
      </c>
      <c r="BC579" s="33">
        <v>429</v>
      </c>
      <c r="BD579" s="33">
        <v>411.84</v>
      </c>
      <c r="BZ579">
        <v>0.86549707602339176</v>
      </c>
      <c r="CA579">
        <v>1</v>
      </c>
      <c r="CB579">
        <v>0.86549707602339176</v>
      </c>
    </row>
    <row r="580" spans="52:80" x14ac:dyDescent="0.25">
      <c r="AZ580" s="33">
        <v>577</v>
      </c>
      <c r="BA580" s="33">
        <v>3.278231486468472E-2</v>
      </c>
      <c r="BB580" s="33">
        <v>0</v>
      </c>
      <c r="BC580" s="33">
        <v>429</v>
      </c>
      <c r="BD580" s="33">
        <v>412.55500000000001</v>
      </c>
      <c r="BZ580">
        <v>0.87134502923976609</v>
      </c>
      <c r="CA580">
        <v>1</v>
      </c>
      <c r="CB580">
        <v>0.87134502923976609</v>
      </c>
    </row>
    <row r="581" spans="52:80" x14ac:dyDescent="0.25">
      <c r="AZ581" s="33">
        <v>578</v>
      </c>
      <c r="BA581" s="33">
        <v>3.2386460432978041E-2</v>
      </c>
      <c r="BB581" s="33">
        <v>0</v>
      </c>
      <c r="BC581" s="33">
        <v>429</v>
      </c>
      <c r="BD581" s="33">
        <v>413.27</v>
      </c>
      <c r="BZ581">
        <v>0.8771929824561403</v>
      </c>
      <c r="CA581">
        <v>1</v>
      </c>
      <c r="CB581">
        <v>0.8771929824561403</v>
      </c>
    </row>
    <row r="582" spans="52:80" x14ac:dyDescent="0.25">
      <c r="AZ582" s="33">
        <v>579</v>
      </c>
      <c r="BA582" s="33">
        <v>3.2341991000780015E-2</v>
      </c>
      <c r="BB582" s="33">
        <v>0</v>
      </c>
      <c r="BC582" s="33">
        <v>429</v>
      </c>
      <c r="BD582" s="33">
        <v>413.98499999999996</v>
      </c>
      <c r="BZ582">
        <v>0.88304093567251463</v>
      </c>
      <c r="CA582">
        <v>1</v>
      </c>
      <c r="CB582">
        <v>0.88304093567251463</v>
      </c>
    </row>
    <row r="583" spans="52:80" x14ac:dyDescent="0.25">
      <c r="AZ583" s="33">
        <v>580</v>
      </c>
      <c r="BA583" s="33">
        <v>2.7754004468148626E-2</v>
      </c>
      <c r="BB583" s="33">
        <v>0</v>
      </c>
      <c r="BC583" s="33">
        <v>429</v>
      </c>
      <c r="BD583" s="33">
        <v>414.7</v>
      </c>
      <c r="BZ583">
        <v>0.88888888888888884</v>
      </c>
      <c r="CA583">
        <v>1</v>
      </c>
      <c r="CB583">
        <v>0.88888888888888884</v>
      </c>
    </row>
    <row r="584" spans="52:80" x14ac:dyDescent="0.25">
      <c r="AZ584" s="33">
        <v>581</v>
      </c>
      <c r="BA584" s="33">
        <v>2.767757899998741E-2</v>
      </c>
      <c r="BB584" s="33">
        <v>0</v>
      </c>
      <c r="BC584" s="33">
        <v>429</v>
      </c>
      <c r="BD584" s="33">
        <v>415.41499999999996</v>
      </c>
      <c r="BZ584">
        <v>0.89473684210526316</v>
      </c>
      <c r="CA584">
        <v>1</v>
      </c>
      <c r="CB584">
        <v>0.89473684210526316</v>
      </c>
    </row>
    <row r="585" spans="52:80" x14ac:dyDescent="0.25">
      <c r="AZ585" s="33">
        <v>582</v>
      </c>
      <c r="BA585" s="33">
        <v>2.5981018228192664E-2</v>
      </c>
      <c r="BB585" s="33">
        <v>0</v>
      </c>
      <c r="BC585" s="33">
        <v>429</v>
      </c>
      <c r="BD585" s="33">
        <v>416.13</v>
      </c>
      <c r="BZ585">
        <v>0.90058479532163738</v>
      </c>
      <c r="CA585">
        <v>1</v>
      </c>
      <c r="CB585">
        <v>0.90058479532163738</v>
      </c>
    </row>
    <row r="586" spans="52:80" x14ac:dyDescent="0.25">
      <c r="AZ586" s="33">
        <v>583</v>
      </c>
      <c r="BA586" s="33">
        <v>2.2559802332848183E-2</v>
      </c>
      <c r="BB586" s="33">
        <v>0</v>
      </c>
      <c r="BC586" s="33">
        <v>429</v>
      </c>
      <c r="BD586" s="33">
        <v>416.84499999999997</v>
      </c>
      <c r="BZ586">
        <v>0.9064327485380117</v>
      </c>
      <c r="CA586">
        <v>1</v>
      </c>
      <c r="CB586">
        <v>0.9064327485380117</v>
      </c>
    </row>
    <row r="587" spans="52:80" x14ac:dyDescent="0.25">
      <c r="AZ587" s="33">
        <v>584</v>
      </c>
      <c r="BA587" s="33">
        <v>2.1645387311902079E-2</v>
      </c>
      <c r="BB587" s="33">
        <v>0</v>
      </c>
      <c r="BC587" s="33">
        <v>429</v>
      </c>
      <c r="BD587" s="33">
        <v>417.56</v>
      </c>
      <c r="BZ587">
        <v>0.91228070175438591</v>
      </c>
      <c r="CA587">
        <v>1</v>
      </c>
      <c r="CB587">
        <v>0.91228070175438591</v>
      </c>
    </row>
    <row r="588" spans="52:80" x14ac:dyDescent="0.25">
      <c r="AZ588" s="33">
        <v>585</v>
      </c>
      <c r="BA588" s="33">
        <v>1.8894639778774647E-2</v>
      </c>
      <c r="BB588" s="33">
        <v>0</v>
      </c>
      <c r="BC588" s="33">
        <v>429</v>
      </c>
      <c r="BD588" s="33">
        <v>418.27499999999998</v>
      </c>
      <c r="BZ588">
        <v>0.91812865497076024</v>
      </c>
      <c r="CA588">
        <v>1</v>
      </c>
      <c r="CB588">
        <v>0.91812865497076024</v>
      </c>
    </row>
    <row r="589" spans="52:80" x14ac:dyDescent="0.25">
      <c r="AZ589" s="33">
        <v>586</v>
      </c>
      <c r="BA589" s="33">
        <v>1.6038314109076406E-2</v>
      </c>
      <c r="BB589" s="33">
        <v>0</v>
      </c>
      <c r="BC589" s="33">
        <v>429</v>
      </c>
      <c r="BD589" s="33">
        <v>418.99</v>
      </c>
      <c r="BZ589">
        <v>0.92397660818713445</v>
      </c>
      <c r="CA589">
        <v>1</v>
      </c>
      <c r="CB589">
        <v>0.92397660818713445</v>
      </c>
    </row>
    <row r="590" spans="52:80" x14ac:dyDescent="0.25">
      <c r="AZ590" s="33">
        <v>587</v>
      </c>
      <c r="BA590" s="33">
        <v>1.563283791520256E-2</v>
      </c>
      <c r="BB590" s="33">
        <v>0</v>
      </c>
      <c r="BC590" s="33">
        <v>429</v>
      </c>
      <c r="BD590" s="33">
        <v>419.70499999999998</v>
      </c>
      <c r="BZ590">
        <v>0.92982456140350878</v>
      </c>
      <c r="CA590">
        <v>1</v>
      </c>
      <c r="CB590">
        <v>0.92982456140350878</v>
      </c>
    </row>
    <row r="591" spans="52:80" x14ac:dyDescent="0.25">
      <c r="AZ591" s="33">
        <v>588</v>
      </c>
      <c r="BA591" s="33">
        <v>1.3578921464136818E-2</v>
      </c>
      <c r="BB591" s="33">
        <v>0</v>
      </c>
      <c r="BC591" s="33">
        <v>429</v>
      </c>
      <c r="BD591" s="33">
        <v>420.41999999999996</v>
      </c>
      <c r="BZ591">
        <v>0.93567251461988299</v>
      </c>
      <c r="CA591">
        <v>1</v>
      </c>
      <c r="CB591">
        <v>0.93567251461988299</v>
      </c>
    </row>
    <row r="592" spans="52:80" x14ac:dyDescent="0.25">
      <c r="AZ592" s="33">
        <v>589</v>
      </c>
      <c r="BA592" s="33">
        <v>9.5324423485510339E-3</v>
      </c>
      <c r="BB592" s="33">
        <v>0</v>
      </c>
      <c r="BC592" s="33">
        <v>429</v>
      </c>
      <c r="BD592" s="33">
        <v>421.13499999999999</v>
      </c>
      <c r="BZ592">
        <v>0.94152046783625731</v>
      </c>
      <c r="CA592">
        <v>1</v>
      </c>
      <c r="CB592">
        <v>0.94152046783625731</v>
      </c>
    </row>
    <row r="593" spans="52:80" x14ac:dyDescent="0.25">
      <c r="AZ593" s="33">
        <v>590</v>
      </c>
      <c r="BA593" s="33">
        <v>7.5682777829968661E-3</v>
      </c>
      <c r="BB593" s="33">
        <v>0</v>
      </c>
      <c r="BC593" s="33">
        <v>429</v>
      </c>
      <c r="BD593" s="33">
        <v>421.84999999999997</v>
      </c>
      <c r="BZ593">
        <v>0.94736842105263153</v>
      </c>
      <c r="CA593">
        <v>1</v>
      </c>
      <c r="CB593">
        <v>0.94736842105263153</v>
      </c>
    </row>
    <row r="594" spans="52:80" x14ac:dyDescent="0.25">
      <c r="AZ594" s="33">
        <v>591</v>
      </c>
      <c r="BA594" s="33">
        <v>6.4156899031178527E-3</v>
      </c>
      <c r="BB594" s="33">
        <v>0</v>
      </c>
      <c r="BC594" s="33">
        <v>429</v>
      </c>
      <c r="BD594" s="33">
        <v>422.565</v>
      </c>
      <c r="BZ594">
        <v>0.95321637426900585</v>
      </c>
      <c r="CA594">
        <v>1</v>
      </c>
      <c r="CB594">
        <v>0.95321637426900585</v>
      </c>
    </row>
    <row r="595" spans="52:80" x14ac:dyDescent="0.25">
      <c r="AZ595" s="33">
        <v>592</v>
      </c>
      <c r="BA595" s="33">
        <v>4.1977952634647004E-3</v>
      </c>
      <c r="BB595" s="33">
        <v>0</v>
      </c>
      <c r="BC595" s="33">
        <v>429</v>
      </c>
      <c r="BD595" s="33">
        <v>423.28</v>
      </c>
      <c r="BZ595">
        <v>0.95906432748538006</v>
      </c>
      <c r="CA595">
        <v>1</v>
      </c>
      <c r="CB595">
        <v>0.95906432748538006</v>
      </c>
    </row>
    <row r="596" spans="52:80" x14ac:dyDescent="0.25">
      <c r="AZ596" s="33">
        <v>593</v>
      </c>
      <c r="BA596" s="33">
        <v>4.0991566142014801E-3</v>
      </c>
      <c r="BB596" s="33">
        <v>0</v>
      </c>
      <c r="BC596" s="33">
        <v>429</v>
      </c>
      <c r="BD596" s="33">
        <v>423.995</v>
      </c>
      <c r="BZ596">
        <v>0.96491228070175439</v>
      </c>
      <c r="CA596">
        <v>1</v>
      </c>
      <c r="CB596">
        <v>0.96491228070175439</v>
      </c>
    </row>
    <row r="597" spans="52:80" x14ac:dyDescent="0.25">
      <c r="AZ597" s="33">
        <v>594</v>
      </c>
      <c r="BA597" s="33">
        <v>3.7881875818930786E-3</v>
      </c>
      <c r="BB597" s="33">
        <v>0</v>
      </c>
      <c r="BC597" s="33">
        <v>429</v>
      </c>
      <c r="BD597" s="33">
        <v>424.71</v>
      </c>
      <c r="BZ597">
        <v>0.9707602339181286</v>
      </c>
      <c r="CA597">
        <v>1</v>
      </c>
      <c r="CB597">
        <v>0.9707602339181286</v>
      </c>
    </row>
    <row r="598" spans="52:80" x14ac:dyDescent="0.25">
      <c r="AZ598" s="33">
        <v>595</v>
      </c>
      <c r="BA598" s="33">
        <v>3.2717926507128668E-3</v>
      </c>
      <c r="BB598" s="33">
        <v>0</v>
      </c>
      <c r="BC598" s="33">
        <v>429</v>
      </c>
      <c r="BD598" s="33">
        <v>425.42499999999995</v>
      </c>
      <c r="BZ598">
        <v>0.97660818713450293</v>
      </c>
      <c r="CA598">
        <v>1</v>
      </c>
      <c r="CB598">
        <v>0.97660818713450293</v>
      </c>
    </row>
    <row r="599" spans="52:80" x14ac:dyDescent="0.25">
      <c r="AZ599" s="33">
        <v>596</v>
      </c>
      <c r="BA599" s="33">
        <v>2.9648104845532816E-3</v>
      </c>
      <c r="BB599" s="33">
        <v>0</v>
      </c>
      <c r="BC599" s="33">
        <v>429</v>
      </c>
      <c r="BD599" s="33">
        <v>426.14</v>
      </c>
      <c r="BZ599">
        <v>0.98245614035087714</v>
      </c>
      <c r="CA599">
        <v>1</v>
      </c>
      <c r="CB599">
        <v>0.98245614035087714</v>
      </c>
    </row>
    <row r="600" spans="52:80" x14ac:dyDescent="0.25">
      <c r="AZ600" s="33">
        <v>597</v>
      </c>
      <c r="BA600" s="33">
        <v>1.9124088800700006E-3</v>
      </c>
      <c r="BB600" s="33">
        <v>0</v>
      </c>
      <c r="BC600" s="33">
        <v>429</v>
      </c>
      <c r="BD600" s="33">
        <v>426.85499999999996</v>
      </c>
      <c r="BZ600">
        <v>0.98830409356725146</v>
      </c>
      <c r="CA600">
        <v>1</v>
      </c>
      <c r="CB600">
        <v>0.98830409356725146</v>
      </c>
    </row>
    <row r="601" spans="52:80" x14ac:dyDescent="0.25">
      <c r="AZ601" s="33">
        <v>598</v>
      </c>
      <c r="BA601" s="33">
        <v>1.8869437650074286E-3</v>
      </c>
      <c r="BB601" s="33">
        <v>0</v>
      </c>
      <c r="BC601" s="33">
        <v>429</v>
      </c>
      <c r="BD601" s="33">
        <v>427.57</v>
      </c>
      <c r="BZ601">
        <v>0.99415204678362568</v>
      </c>
      <c r="CA601">
        <v>1</v>
      </c>
      <c r="CB601">
        <v>0.99415204678362568</v>
      </c>
    </row>
    <row r="602" spans="52:80" x14ac:dyDescent="0.25">
      <c r="AZ602" s="33">
        <v>599</v>
      </c>
      <c r="BA602" s="33">
        <v>1.7292781351411057E-3</v>
      </c>
      <c r="BB602" s="33">
        <v>0</v>
      </c>
      <c r="BC602" s="33">
        <v>429</v>
      </c>
      <c r="BD602" s="33">
        <v>428.28499999999997</v>
      </c>
      <c r="BZ602">
        <v>1</v>
      </c>
      <c r="CA602">
        <v>1</v>
      </c>
      <c r="CB602">
        <v>1</v>
      </c>
    </row>
    <row r="603" spans="52:80" x14ac:dyDescent="0.25">
      <c r="AZ603" s="33">
        <v>600</v>
      </c>
      <c r="BA603" s="33">
        <v>1.6761254626529085E-3</v>
      </c>
      <c r="BB603" s="33">
        <v>0</v>
      </c>
      <c r="BC603" s="33">
        <v>429</v>
      </c>
      <c r="BD603" s="33">
        <v>429</v>
      </c>
    </row>
  </sheetData>
  <mergeCells count="12">
    <mergeCell ref="B3:K3"/>
    <mergeCell ref="N3:Q3"/>
    <mergeCell ref="B4:C4"/>
    <mergeCell ref="D4:E4"/>
    <mergeCell ref="F4:G4"/>
    <mergeCell ref="H4:I4"/>
    <mergeCell ref="J4:K4"/>
    <mergeCell ref="B5:C5"/>
    <mergeCell ref="D5:E5"/>
    <mergeCell ref="F5:G5"/>
    <mergeCell ref="H5:I5"/>
    <mergeCell ref="J5:K5"/>
  </mergeCells>
  <hyperlinks>
    <hyperlink ref="B4" location="'NNC_Output'!$B$10:$B$10" display="Inputs"/>
    <hyperlink ref="D4" location="'NNC_Output'!$B$45:$B$45" display="Prior Class Prob."/>
    <hyperlink ref="F4" location="'NNC_Output'!$B$54:$B$54" display="Train. Score - Summary"/>
    <hyperlink ref="H4" location="'NNC_Output'!$B$78:$B$78" display="Valid. Score - Summary"/>
    <hyperlink ref="J4" location="'NNC_Output'!$B$102:$B$102" display="Weights"/>
    <hyperlink ref="B5" location="'NNC_TrainLog'!$B$10:$B$10" display="Training Log"/>
    <hyperlink ref="D5" location="'NNC_TrainingLiftChart'!$B$10:$B$10" display="Training Lift Chart"/>
    <hyperlink ref="F5" location="'NNC_ValidationLiftChart'!$B$10:$B$10" display="Validation Lift Chart"/>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403"/>
  <sheetViews>
    <sheetView showGridLines="0" workbookViewId="0"/>
  </sheetViews>
  <sheetFormatPr defaultRowHeight="13.2" x14ac:dyDescent="0.25"/>
  <cols>
    <col min="14" max="14" width="13.5546875" bestFit="1" customWidth="1"/>
    <col min="52" max="52" width="8.33203125" customWidth="1"/>
    <col min="53" max="53" width="17.44140625" bestFit="1" customWidth="1"/>
    <col min="54" max="54" width="14.6640625" bestFit="1" customWidth="1"/>
    <col min="55" max="55" width="48" bestFit="1" customWidth="1"/>
    <col min="56" max="56" width="30.33203125" bestFit="1" customWidth="1"/>
    <col min="57" max="57" width="6.6640625" customWidth="1"/>
    <col min="58" max="58" width="22.6640625" bestFit="1" customWidth="1"/>
    <col min="78" max="80" width="12" bestFit="1" customWidth="1"/>
  </cols>
  <sheetData>
    <row r="1" spans="2:80" ht="18" x14ac:dyDescent="0.35">
      <c r="B1" s="23" t="s">
        <v>667</v>
      </c>
      <c r="N1" t="s">
        <v>734</v>
      </c>
      <c r="BZ1" s="26" t="s">
        <v>675</v>
      </c>
      <c r="CA1" s="26" t="s">
        <v>676</v>
      </c>
      <c r="CB1" s="26" t="s">
        <v>677</v>
      </c>
    </row>
    <row r="2" spans="2:80" x14ac:dyDescent="0.25">
      <c r="BZ2">
        <v>0</v>
      </c>
      <c r="CA2">
        <v>0</v>
      </c>
      <c r="CB2">
        <v>0</v>
      </c>
    </row>
    <row r="3" spans="2:80" ht="15.6" x14ac:dyDescent="0.3">
      <c r="B3" s="59" t="s">
        <v>136</v>
      </c>
      <c r="C3" s="60"/>
      <c r="D3" s="60"/>
      <c r="E3" s="60"/>
      <c r="F3" s="60"/>
      <c r="G3" s="60"/>
      <c r="H3" s="60"/>
      <c r="I3" s="60"/>
      <c r="J3" s="60"/>
      <c r="K3" s="61"/>
      <c r="N3" s="59" t="s">
        <v>137</v>
      </c>
      <c r="O3" s="60"/>
      <c r="P3" s="60"/>
      <c r="Q3" s="61"/>
      <c r="AZ3" s="26" t="s">
        <v>668</v>
      </c>
      <c r="BA3" s="26" t="s">
        <v>669</v>
      </c>
      <c r="BB3" s="26" t="s">
        <v>670</v>
      </c>
      <c r="BC3" s="26" t="s">
        <v>671</v>
      </c>
      <c r="BD3" s="26" t="s">
        <v>672</v>
      </c>
      <c r="BE3" s="26" t="s">
        <v>673</v>
      </c>
      <c r="BF3" s="26" t="s">
        <v>674</v>
      </c>
      <c r="BZ3">
        <v>0</v>
      </c>
      <c r="CA3">
        <v>3.6900369003690036E-3</v>
      </c>
      <c r="CB3">
        <v>0</v>
      </c>
    </row>
    <row r="4" spans="2:80" ht="13.8" x14ac:dyDescent="0.3">
      <c r="B4" s="65" t="s">
        <v>141</v>
      </c>
      <c r="C4" s="66"/>
      <c r="D4" s="65" t="s">
        <v>683</v>
      </c>
      <c r="E4" s="66"/>
      <c r="F4" s="65" t="s">
        <v>684</v>
      </c>
      <c r="G4" s="66"/>
      <c r="H4" s="65" t="s">
        <v>685</v>
      </c>
      <c r="I4" s="66"/>
      <c r="J4" s="65" t="s">
        <v>686</v>
      </c>
      <c r="K4" s="66"/>
      <c r="N4" s="26" t="s">
        <v>182</v>
      </c>
      <c r="O4" s="26" t="s">
        <v>183</v>
      </c>
      <c r="P4" s="26" t="s">
        <v>139</v>
      </c>
      <c r="Q4" s="26" t="s">
        <v>140</v>
      </c>
      <c r="AZ4" s="32">
        <v>1</v>
      </c>
      <c r="BA4" s="32">
        <v>0.99999442609085631</v>
      </c>
      <c r="BB4" s="32">
        <v>1</v>
      </c>
      <c r="BC4" s="32">
        <v>1</v>
      </c>
      <c r="BD4" s="32">
        <v>0.67749999999999999</v>
      </c>
      <c r="BE4">
        <v>1</v>
      </c>
      <c r="BF4">
        <v>1.4022140221402213</v>
      </c>
      <c r="BZ4">
        <v>0</v>
      </c>
      <c r="CA4">
        <v>7.3800738007380072E-3</v>
      </c>
      <c r="CB4">
        <v>0</v>
      </c>
    </row>
    <row r="5" spans="2:80" ht="13.8" x14ac:dyDescent="0.3">
      <c r="B5" s="65" t="s">
        <v>687</v>
      </c>
      <c r="C5" s="66"/>
      <c r="D5" s="65" t="s">
        <v>688</v>
      </c>
      <c r="E5" s="66"/>
      <c r="F5" s="65" t="s">
        <v>689</v>
      </c>
      <c r="G5" s="66"/>
      <c r="H5" s="67"/>
      <c r="I5" s="66"/>
      <c r="J5" s="67"/>
      <c r="K5" s="66"/>
      <c r="N5" s="24">
        <v>47</v>
      </c>
      <c r="O5" s="24">
        <v>224</v>
      </c>
      <c r="P5" s="24">
        <v>109</v>
      </c>
      <c r="Q5" s="24">
        <v>380</v>
      </c>
      <c r="AZ5" s="32">
        <v>2</v>
      </c>
      <c r="BA5" s="32">
        <v>0.99999154680107027</v>
      </c>
      <c r="BB5" s="32">
        <v>1</v>
      </c>
      <c r="BC5" s="32">
        <v>2</v>
      </c>
      <c r="BD5" s="32">
        <v>1.355</v>
      </c>
      <c r="BE5">
        <v>2</v>
      </c>
      <c r="BF5">
        <v>1.2915129151291511</v>
      </c>
      <c r="BZ5">
        <v>0</v>
      </c>
      <c r="CA5">
        <v>1.107011070110701E-2</v>
      </c>
      <c r="CB5">
        <v>0</v>
      </c>
    </row>
    <row r="6" spans="2:80" x14ac:dyDescent="0.25">
      <c r="AZ6" s="32">
        <v>3</v>
      </c>
      <c r="BA6" s="32">
        <v>0.9999872338218474</v>
      </c>
      <c r="BB6" s="32">
        <v>1</v>
      </c>
      <c r="BC6" s="32">
        <v>3</v>
      </c>
      <c r="BD6" s="32">
        <v>2.0324999999999998</v>
      </c>
      <c r="BE6">
        <v>3</v>
      </c>
      <c r="BF6">
        <v>1.2177121771217712</v>
      </c>
      <c r="BZ6">
        <v>0</v>
      </c>
      <c r="CA6">
        <v>1.4760147601476014E-2</v>
      </c>
      <c r="CB6">
        <v>0</v>
      </c>
    </row>
    <row r="7" spans="2:80" x14ac:dyDescent="0.25">
      <c r="AZ7" s="32">
        <v>4</v>
      </c>
      <c r="BA7" s="32">
        <v>0.99998439005743411</v>
      </c>
      <c r="BB7" s="32">
        <v>1</v>
      </c>
      <c r="BC7" s="32">
        <v>4</v>
      </c>
      <c r="BD7" s="32">
        <v>2.71</v>
      </c>
      <c r="BE7">
        <v>4</v>
      </c>
      <c r="BF7">
        <v>1.2546125461254611</v>
      </c>
      <c r="BZ7">
        <v>7.7519379844961239E-3</v>
      </c>
      <c r="CA7">
        <v>1.4760147601476014E-2</v>
      </c>
      <c r="CB7">
        <v>7.7519379844961239E-3</v>
      </c>
    </row>
    <row r="8" spans="2:80" x14ac:dyDescent="0.25">
      <c r="AZ8" s="32">
        <v>5</v>
      </c>
      <c r="BA8" s="32">
        <v>0.99998291145012508</v>
      </c>
      <c r="BB8" s="32">
        <v>0</v>
      </c>
      <c r="BC8" s="32">
        <v>4</v>
      </c>
      <c r="BD8" s="32">
        <v>3.3875000000000002</v>
      </c>
      <c r="BE8">
        <v>5</v>
      </c>
      <c r="BF8">
        <v>1.107011070110701</v>
      </c>
      <c r="BZ8">
        <v>7.7519379844961239E-3</v>
      </c>
      <c r="CA8">
        <v>1.8450184501845018E-2</v>
      </c>
      <c r="CB8">
        <v>7.7519379844961239E-3</v>
      </c>
    </row>
    <row r="9" spans="2:80" x14ac:dyDescent="0.25">
      <c r="AZ9" s="32">
        <v>6</v>
      </c>
      <c r="BA9" s="32">
        <v>0.99998116699648631</v>
      </c>
      <c r="BB9" s="32">
        <v>1</v>
      </c>
      <c r="BC9" s="32">
        <v>5</v>
      </c>
      <c r="BD9" s="32">
        <v>4.0649999999999995</v>
      </c>
      <c r="BE9">
        <v>6</v>
      </c>
      <c r="BF9">
        <v>1.1808118081180812</v>
      </c>
      <c r="BZ9">
        <v>7.7519379844961239E-3</v>
      </c>
      <c r="CA9">
        <v>2.2140221402214021E-2</v>
      </c>
      <c r="CB9">
        <v>7.7519379844961239E-3</v>
      </c>
    </row>
    <row r="10" spans="2:80" x14ac:dyDescent="0.25">
      <c r="AZ10" s="32">
        <v>7</v>
      </c>
      <c r="BA10" s="32">
        <v>0.99996738371605631</v>
      </c>
      <c r="BB10" s="32">
        <v>1</v>
      </c>
      <c r="BC10" s="32">
        <v>6</v>
      </c>
      <c r="BD10" s="32">
        <v>4.7424999999999997</v>
      </c>
      <c r="BE10">
        <v>7</v>
      </c>
      <c r="BF10">
        <v>0.84870848708487079</v>
      </c>
      <c r="BZ10">
        <v>7.7519379844961239E-3</v>
      </c>
      <c r="CA10">
        <v>2.5830258302583026E-2</v>
      </c>
      <c r="CB10">
        <v>7.7519379844961239E-3</v>
      </c>
    </row>
    <row r="11" spans="2:80" x14ac:dyDescent="0.25">
      <c r="AZ11" s="32">
        <v>8</v>
      </c>
      <c r="BA11" s="32">
        <v>0.99996262062263652</v>
      </c>
      <c r="BB11" s="32">
        <v>1</v>
      </c>
      <c r="BC11" s="32">
        <v>7</v>
      </c>
      <c r="BD11" s="32">
        <v>5.42</v>
      </c>
      <c r="BE11">
        <v>8</v>
      </c>
      <c r="BF11">
        <v>0.88560885608856088</v>
      </c>
      <c r="BZ11">
        <v>7.7519379844961239E-3</v>
      </c>
      <c r="CA11">
        <v>2.9520295202952029E-2</v>
      </c>
      <c r="CB11">
        <v>7.7519379844961239E-3</v>
      </c>
    </row>
    <row r="12" spans="2:80" x14ac:dyDescent="0.25">
      <c r="AZ12" s="32">
        <v>9</v>
      </c>
      <c r="BA12" s="32">
        <v>0.9999582326165688</v>
      </c>
      <c r="BB12" s="32">
        <v>1</v>
      </c>
      <c r="BC12" s="32">
        <v>8</v>
      </c>
      <c r="BD12" s="32">
        <v>6.0975000000000001</v>
      </c>
      <c r="BE12">
        <v>9</v>
      </c>
      <c r="BF12">
        <v>0.51660516605166051</v>
      </c>
      <c r="BZ12">
        <v>7.7519379844961239E-3</v>
      </c>
      <c r="CA12">
        <v>3.3210332103321034E-2</v>
      </c>
      <c r="CB12">
        <v>7.7519379844961239E-3</v>
      </c>
    </row>
    <row r="13" spans="2:80" x14ac:dyDescent="0.25">
      <c r="AZ13" s="32">
        <v>10</v>
      </c>
      <c r="BA13" s="32">
        <v>0.99995679662835479</v>
      </c>
      <c r="BB13" s="32">
        <v>1</v>
      </c>
      <c r="BC13" s="32">
        <v>9</v>
      </c>
      <c r="BD13" s="32">
        <v>6.7750000000000004</v>
      </c>
      <c r="BE13">
        <v>10</v>
      </c>
      <c r="BF13">
        <v>0.29520295202952029</v>
      </c>
      <c r="BZ13">
        <v>7.7519379844961239E-3</v>
      </c>
      <c r="CA13">
        <v>3.6900369003690037E-2</v>
      </c>
      <c r="CB13">
        <v>7.7519379844961239E-3</v>
      </c>
    </row>
    <row r="14" spans="2:80" x14ac:dyDescent="0.25">
      <c r="AZ14" s="32">
        <v>11</v>
      </c>
      <c r="BA14" s="32">
        <v>0.99994900317103186</v>
      </c>
      <c r="BB14" s="32">
        <v>1</v>
      </c>
      <c r="BC14" s="32">
        <v>10</v>
      </c>
      <c r="BD14" s="32">
        <v>7.4524999999999997</v>
      </c>
      <c r="BZ14">
        <v>7.7519379844961239E-3</v>
      </c>
      <c r="CA14">
        <v>4.0590405904059039E-2</v>
      </c>
      <c r="CB14">
        <v>7.7519379844961239E-3</v>
      </c>
    </row>
    <row r="15" spans="2:80" x14ac:dyDescent="0.25">
      <c r="AZ15" s="32">
        <v>12</v>
      </c>
      <c r="BA15" s="32">
        <v>0.99994360420218609</v>
      </c>
      <c r="BB15" s="32">
        <v>1</v>
      </c>
      <c r="BC15" s="32">
        <v>11</v>
      </c>
      <c r="BD15" s="32">
        <v>8.129999999999999</v>
      </c>
      <c r="BZ15">
        <v>7.7519379844961239E-3</v>
      </c>
      <c r="CA15">
        <v>4.4280442804428041E-2</v>
      </c>
      <c r="CB15">
        <v>7.7519379844961239E-3</v>
      </c>
    </row>
    <row r="16" spans="2:80" x14ac:dyDescent="0.25">
      <c r="AZ16" s="32">
        <v>13</v>
      </c>
      <c r="BA16" s="32">
        <v>0.99993268398376822</v>
      </c>
      <c r="BB16" s="32">
        <v>1</v>
      </c>
      <c r="BC16" s="32">
        <v>12</v>
      </c>
      <c r="BD16" s="32">
        <v>8.8074999999999992</v>
      </c>
      <c r="BZ16">
        <v>7.7519379844961239E-3</v>
      </c>
      <c r="CA16">
        <v>4.797047970479705E-2</v>
      </c>
      <c r="CB16">
        <v>7.7519379844961239E-3</v>
      </c>
    </row>
    <row r="17" spans="52:80" x14ac:dyDescent="0.25">
      <c r="AZ17" s="32">
        <v>14</v>
      </c>
      <c r="BA17" s="32">
        <v>0.99991858970569192</v>
      </c>
      <c r="BB17" s="32">
        <v>1</v>
      </c>
      <c r="BC17" s="32">
        <v>13</v>
      </c>
      <c r="BD17" s="32">
        <v>9.4849999999999994</v>
      </c>
      <c r="BZ17">
        <v>7.7519379844961239E-3</v>
      </c>
      <c r="CA17">
        <v>5.1660516605166053E-2</v>
      </c>
      <c r="CB17">
        <v>7.7519379844961239E-3</v>
      </c>
    </row>
    <row r="18" spans="52:80" x14ac:dyDescent="0.25">
      <c r="AZ18" s="32">
        <v>15</v>
      </c>
      <c r="BA18" s="32">
        <v>0.99991836209212592</v>
      </c>
      <c r="BB18" s="32">
        <v>1</v>
      </c>
      <c r="BC18" s="32">
        <v>14</v>
      </c>
      <c r="BD18" s="32">
        <v>10.1625</v>
      </c>
      <c r="BZ18">
        <v>7.7519379844961239E-3</v>
      </c>
      <c r="CA18">
        <v>5.5350553505535055E-2</v>
      </c>
      <c r="CB18">
        <v>7.7519379844961239E-3</v>
      </c>
    </row>
    <row r="19" spans="52:80" x14ac:dyDescent="0.25">
      <c r="AZ19" s="32">
        <v>16</v>
      </c>
      <c r="BA19" s="32">
        <v>0.99989882563770871</v>
      </c>
      <c r="BB19" s="32">
        <v>1</v>
      </c>
      <c r="BC19" s="32">
        <v>15</v>
      </c>
      <c r="BD19" s="32">
        <v>10.84</v>
      </c>
      <c r="BZ19">
        <v>7.7519379844961239E-3</v>
      </c>
      <c r="CA19">
        <v>5.9040590405904057E-2</v>
      </c>
      <c r="CB19">
        <v>7.7519379844961239E-3</v>
      </c>
    </row>
    <row r="20" spans="52:80" x14ac:dyDescent="0.25">
      <c r="AZ20" s="32">
        <v>17</v>
      </c>
      <c r="BA20" s="32">
        <v>0.99989472462031725</v>
      </c>
      <c r="BB20" s="32">
        <v>1</v>
      </c>
      <c r="BC20" s="32">
        <v>16</v>
      </c>
      <c r="BD20" s="32">
        <v>11.5175</v>
      </c>
      <c r="BZ20">
        <v>7.7519379844961239E-3</v>
      </c>
      <c r="CA20">
        <v>6.273062730627306E-2</v>
      </c>
      <c r="CB20">
        <v>7.7519379844961239E-3</v>
      </c>
    </row>
    <row r="21" spans="52:80" x14ac:dyDescent="0.25">
      <c r="AZ21" s="32">
        <v>18</v>
      </c>
      <c r="BA21" s="32">
        <v>0.99987722020804637</v>
      </c>
      <c r="BB21" s="32">
        <v>1</v>
      </c>
      <c r="BC21" s="32">
        <v>17</v>
      </c>
      <c r="BD21" s="32">
        <v>12.195</v>
      </c>
      <c r="BZ21">
        <v>7.7519379844961239E-3</v>
      </c>
      <c r="CA21">
        <v>6.6420664206642069E-2</v>
      </c>
      <c r="CB21">
        <v>7.7519379844961239E-3</v>
      </c>
    </row>
    <row r="22" spans="52:80" x14ac:dyDescent="0.25">
      <c r="AZ22" s="32">
        <v>19</v>
      </c>
      <c r="BA22" s="32">
        <v>0.99987240393451893</v>
      </c>
      <c r="BB22" s="32">
        <v>1</v>
      </c>
      <c r="BC22" s="32">
        <v>18</v>
      </c>
      <c r="BD22" s="32">
        <v>12.8725</v>
      </c>
      <c r="BZ22">
        <v>7.7519379844961239E-3</v>
      </c>
      <c r="CA22">
        <v>7.0110701107011064E-2</v>
      </c>
      <c r="CB22">
        <v>7.7519379844961239E-3</v>
      </c>
    </row>
    <row r="23" spans="52:80" x14ac:dyDescent="0.25">
      <c r="AZ23" s="32">
        <v>20</v>
      </c>
      <c r="BA23" s="32">
        <v>0.99984970298175313</v>
      </c>
      <c r="BB23" s="32">
        <v>1</v>
      </c>
      <c r="BC23" s="32">
        <v>19</v>
      </c>
      <c r="BD23" s="32">
        <v>13.55</v>
      </c>
      <c r="BZ23">
        <v>7.7519379844961239E-3</v>
      </c>
      <c r="CA23">
        <v>7.3800738007380073E-2</v>
      </c>
      <c r="CB23">
        <v>7.7519379844961239E-3</v>
      </c>
    </row>
    <row r="24" spans="52:80" x14ac:dyDescent="0.25">
      <c r="AZ24" s="32">
        <v>21</v>
      </c>
      <c r="BA24" s="32">
        <v>0.9998300293231559</v>
      </c>
      <c r="BB24" s="32">
        <v>1</v>
      </c>
      <c r="BC24" s="32">
        <v>20</v>
      </c>
      <c r="BD24" s="32">
        <v>14.227499999999999</v>
      </c>
      <c r="BZ24">
        <v>7.7519379844961239E-3</v>
      </c>
      <c r="CA24">
        <v>7.7490774907749083E-2</v>
      </c>
      <c r="CB24">
        <v>7.7519379844961239E-3</v>
      </c>
    </row>
    <row r="25" spans="52:80" x14ac:dyDescent="0.25">
      <c r="AZ25" s="32">
        <v>22</v>
      </c>
      <c r="BA25" s="32">
        <v>0.99981965463132538</v>
      </c>
      <c r="BB25" s="32">
        <v>1</v>
      </c>
      <c r="BC25" s="32">
        <v>21</v>
      </c>
      <c r="BD25" s="32">
        <v>14.904999999999999</v>
      </c>
      <c r="BZ25">
        <v>7.7519379844961239E-3</v>
      </c>
      <c r="CA25">
        <v>8.1180811808118078E-2</v>
      </c>
      <c r="CB25">
        <v>7.7519379844961239E-3</v>
      </c>
    </row>
    <row r="26" spans="52:80" x14ac:dyDescent="0.25">
      <c r="AZ26" s="32">
        <v>23</v>
      </c>
      <c r="BA26" s="32">
        <v>0.99981896005817883</v>
      </c>
      <c r="BB26" s="32">
        <v>1</v>
      </c>
      <c r="BC26" s="32">
        <v>22</v>
      </c>
      <c r="BD26" s="32">
        <v>15.5825</v>
      </c>
      <c r="BZ26">
        <v>7.7519379844961239E-3</v>
      </c>
      <c r="CA26">
        <v>8.4870848708487087E-2</v>
      </c>
      <c r="CB26">
        <v>7.7519379844961239E-3</v>
      </c>
    </row>
    <row r="27" spans="52:80" x14ac:dyDescent="0.25">
      <c r="AZ27" s="32">
        <v>24</v>
      </c>
      <c r="BA27" s="32">
        <v>0.9998159450395484</v>
      </c>
      <c r="BB27" s="32">
        <v>1</v>
      </c>
      <c r="BC27" s="32">
        <v>23</v>
      </c>
      <c r="BD27" s="32">
        <v>16.259999999999998</v>
      </c>
      <c r="BZ27">
        <v>1.5503875968992248E-2</v>
      </c>
      <c r="CA27">
        <v>8.4870848708487087E-2</v>
      </c>
      <c r="CB27">
        <v>1.5503875968992248E-2</v>
      </c>
    </row>
    <row r="28" spans="52:80" x14ac:dyDescent="0.25">
      <c r="AZ28" s="32">
        <v>25</v>
      </c>
      <c r="BA28" s="32">
        <v>0.99981170673789321</v>
      </c>
      <c r="BB28" s="32">
        <v>0</v>
      </c>
      <c r="BC28" s="32">
        <v>23</v>
      </c>
      <c r="BD28" s="32">
        <v>16.9375</v>
      </c>
      <c r="BZ28">
        <v>1.5503875968992248E-2</v>
      </c>
      <c r="CA28">
        <v>8.8560885608856083E-2</v>
      </c>
      <c r="CB28">
        <v>1.5503875968992248E-2</v>
      </c>
    </row>
    <row r="29" spans="52:80" x14ac:dyDescent="0.25">
      <c r="AZ29" s="32">
        <v>26</v>
      </c>
      <c r="BA29" s="32">
        <v>0.99980622485998893</v>
      </c>
      <c r="BB29" s="32">
        <v>1</v>
      </c>
      <c r="BC29" s="32">
        <v>24</v>
      </c>
      <c r="BD29" s="32">
        <v>17.614999999999998</v>
      </c>
      <c r="BZ29">
        <v>1.5503875968992248E-2</v>
      </c>
      <c r="CA29">
        <v>9.2250922509225092E-2</v>
      </c>
      <c r="CB29">
        <v>1.5503875968992248E-2</v>
      </c>
    </row>
    <row r="30" spans="52:80" x14ac:dyDescent="0.25">
      <c r="AZ30" s="32">
        <v>27</v>
      </c>
      <c r="BA30" s="32">
        <v>0.99980457119283783</v>
      </c>
      <c r="BB30" s="32">
        <v>1</v>
      </c>
      <c r="BC30" s="32">
        <v>25</v>
      </c>
      <c r="BD30" s="32">
        <v>18.2925</v>
      </c>
      <c r="BZ30">
        <v>1.5503875968992248E-2</v>
      </c>
      <c r="CA30">
        <v>9.5940959409594101E-2</v>
      </c>
      <c r="CB30">
        <v>1.5503875968992248E-2</v>
      </c>
    </row>
    <row r="31" spans="52:80" x14ac:dyDescent="0.25">
      <c r="AZ31" s="32">
        <v>28</v>
      </c>
      <c r="BA31" s="32">
        <v>0.99978757653398154</v>
      </c>
      <c r="BB31" s="32">
        <v>1</v>
      </c>
      <c r="BC31" s="32">
        <v>26</v>
      </c>
      <c r="BD31" s="32">
        <v>18.97</v>
      </c>
      <c r="BZ31">
        <v>1.5503875968992248E-2</v>
      </c>
      <c r="CA31">
        <v>9.9630996309963096E-2</v>
      </c>
      <c r="CB31">
        <v>1.5503875968992248E-2</v>
      </c>
    </row>
    <row r="32" spans="52:80" x14ac:dyDescent="0.25">
      <c r="AZ32" s="32">
        <v>29</v>
      </c>
      <c r="BA32" s="32">
        <v>0.99978215561690942</v>
      </c>
      <c r="BB32" s="32">
        <v>1</v>
      </c>
      <c r="BC32" s="32">
        <v>27</v>
      </c>
      <c r="BD32" s="32">
        <v>19.647500000000001</v>
      </c>
      <c r="BZ32">
        <v>1.5503875968992248E-2</v>
      </c>
      <c r="CA32">
        <v>0.10332103321033211</v>
      </c>
      <c r="CB32">
        <v>1.5503875968992248E-2</v>
      </c>
    </row>
    <row r="33" spans="9:80" x14ac:dyDescent="0.25">
      <c r="AZ33" s="32">
        <v>30</v>
      </c>
      <c r="BA33" s="32">
        <v>0.99974579619318193</v>
      </c>
      <c r="BB33" s="32">
        <v>1</v>
      </c>
      <c r="BC33" s="32">
        <v>28</v>
      </c>
      <c r="BD33" s="32">
        <v>20.324999999999999</v>
      </c>
      <c r="BZ33">
        <v>1.5503875968992248E-2</v>
      </c>
      <c r="CA33">
        <v>0.1070110701107011</v>
      </c>
      <c r="CB33">
        <v>1.5503875968992248E-2</v>
      </c>
    </row>
    <row r="34" spans="9:80" x14ac:dyDescent="0.25">
      <c r="AZ34" s="32">
        <v>31</v>
      </c>
      <c r="BA34" s="32">
        <v>0.99974426267434369</v>
      </c>
      <c r="BB34" s="32">
        <v>1</v>
      </c>
      <c r="BC34" s="32">
        <v>29</v>
      </c>
      <c r="BD34" s="32">
        <v>21.002500000000001</v>
      </c>
      <c r="BZ34">
        <v>1.5503875968992248E-2</v>
      </c>
      <c r="CA34">
        <v>0.11070110701107011</v>
      </c>
      <c r="CB34">
        <v>1.5503875968992248E-2</v>
      </c>
    </row>
    <row r="35" spans="9:80" x14ac:dyDescent="0.25">
      <c r="AZ35" s="32">
        <v>32</v>
      </c>
      <c r="BA35" s="32">
        <v>0.99971893809842338</v>
      </c>
      <c r="BB35" s="32">
        <v>1</v>
      </c>
      <c r="BC35" s="32">
        <v>30</v>
      </c>
      <c r="BD35" s="32">
        <v>21.68</v>
      </c>
      <c r="BZ35">
        <v>1.5503875968992248E-2</v>
      </c>
      <c r="CA35">
        <v>0.11439114391143912</v>
      </c>
      <c r="CB35">
        <v>1.5503875968992248E-2</v>
      </c>
    </row>
    <row r="36" spans="9:80" x14ac:dyDescent="0.25">
      <c r="AZ36" s="32">
        <v>33</v>
      </c>
      <c r="BA36" s="32">
        <v>0.99971459860574596</v>
      </c>
      <c r="BB36" s="32">
        <v>1</v>
      </c>
      <c r="BC36" s="32">
        <v>31</v>
      </c>
      <c r="BD36" s="32">
        <v>22.357499999999998</v>
      </c>
      <c r="BZ36">
        <v>1.5503875968992248E-2</v>
      </c>
      <c r="CA36">
        <v>0.11808118081180811</v>
      </c>
      <c r="CB36">
        <v>1.5503875968992248E-2</v>
      </c>
    </row>
    <row r="37" spans="9:80" x14ac:dyDescent="0.25">
      <c r="AZ37" s="32">
        <v>34</v>
      </c>
      <c r="BA37" s="32">
        <v>0.99970137099361589</v>
      </c>
      <c r="BB37" s="32">
        <v>1</v>
      </c>
      <c r="BC37" s="32">
        <v>32</v>
      </c>
      <c r="BD37" s="32">
        <v>23.035</v>
      </c>
      <c r="BZ37">
        <v>1.5503875968992248E-2</v>
      </c>
      <c r="CA37">
        <v>0.12177121771217712</v>
      </c>
      <c r="CB37">
        <v>1.5503875968992248E-2</v>
      </c>
    </row>
    <row r="38" spans="9:80" ht="13.8" x14ac:dyDescent="0.3">
      <c r="I38" s="26" t="s">
        <v>678</v>
      </c>
      <c r="J38" s="26" t="s">
        <v>679</v>
      </c>
      <c r="K38" s="26" t="s">
        <v>680</v>
      </c>
      <c r="L38" s="26" t="s">
        <v>681</v>
      </c>
      <c r="M38" s="26" t="s">
        <v>682</v>
      </c>
      <c r="AZ38" s="32">
        <v>35</v>
      </c>
      <c r="BA38" s="32">
        <v>0.99970096720572876</v>
      </c>
      <c r="BB38" s="32">
        <v>1</v>
      </c>
      <c r="BC38" s="32">
        <v>33</v>
      </c>
      <c r="BD38" s="32">
        <v>23.712499999999999</v>
      </c>
      <c r="BZ38">
        <v>1.5503875968992248E-2</v>
      </c>
      <c r="CA38">
        <v>0.12546125461254612</v>
      </c>
      <c r="CB38">
        <v>1.5503875968992248E-2</v>
      </c>
    </row>
    <row r="39" spans="9:80" ht="13.8" x14ac:dyDescent="0.3">
      <c r="I39" s="25">
        <v>1</v>
      </c>
      <c r="J39" s="24">
        <v>0.95</v>
      </c>
      <c r="K39" s="24">
        <v>0.22072142786315216</v>
      </c>
      <c r="L39" s="24">
        <v>0</v>
      </c>
      <c r="M39" s="24">
        <v>1</v>
      </c>
      <c r="AZ39" s="32">
        <v>36</v>
      </c>
      <c r="BA39" s="32">
        <v>0.99969774921618981</v>
      </c>
      <c r="BB39" s="32">
        <v>1</v>
      </c>
      <c r="BC39" s="32">
        <v>34</v>
      </c>
      <c r="BD39" s="32">
        <v>24.39</v>
      </c>
      <c r="BZ39">
        <v>1.5503875968992248E-2</v>
      </c>
      <c r="CA39">
        <v>0.12915129151291513</v>
      </c>
      <c r="CB39">
        <v>1.5503875968992248E-2</v>
      </c>
    </row>
    <row r="40" spans="9:80" ht="13.8" x14ac:dyDescent="0.3">
      <c r="I40" s="25">
        <v>2</v>
      </c>
      <c r="J40" s="24">
        <v>0.875</v>
      </c>
      <c r="K40" s="24">
        <v>0.33493206352854182</v>
      </c>
      <c r="L40" s="24">
        <v>0</v>
      </c>
      <c r="M40" s="24">
        <v>1</v>
      </c>
      <c r="AZ40" s="32">
        <v>37</v>
      </c>
      <c r="BA40" s="32">
        <v>0.99969221160039889</v>
      </c>
      <c r="BB40" s="32">
        <v>1</v>
      </c>
      <c r="BC40" s="32">
        <v>35</v>
      </c>
      <c r="BD40" s="32">
        <v>25.067499999999999</v>
      </c>
      <c r="BZ40">
        <v>1.5503875968992248E-2</v>
      </c>
      <c r="CA40">
        <v>0.13284132841328414</v>
      </c>
      <c r="CB40">
        <v>1.5503875968992248E-2</v>
      </c>
    </row>
    <row r="41" spans="9:80" ht="13.8" x14ac:dyDescent="0.3">
      <c r="I41" s="25">
        <v>3</v>
      </c>
      <c r="J41" s="24">
        <v>0.82499999999999996</v>
      </c>
      <c r="K41" s="24">
        <v>0.38480764425479264</v>
      </c>
      <c r="L41" s="24">
        <v>0</v>
      </c>
      <c r="M41" s="24">
        <v>1</v>
      </c>
      <c r="AZ41" s="32">
        <v>38</v>
      </c>
      <c r="BA41" s="32">
        <v>0.99968532832576484</v>
      </c>
      <c r="BB41" s="32">
        <v>1</v>
      </c>
      <c r="BC41" s="32">
        <v>36</v>
      </c>
      <c r="BD41" s="32">
        <v>25.745000000000001</v>
      </c>
      <c r="BZ41">
        <v>1.5503875968992248E-2</v>
      </c>
      <c r="CA41">
        <v>0.13653136531365315</v>
      </c>
      <c r="CB41">
        <v>1.5503875968992248E-2</v>
      </c>
    </row>
    <row r="42" spans="9:80" ht="13.8" x14ac:dyDescent="0.3">
      <c r="I42" s="25">
        <v>4</v>
      </c>
      <c r="J42" s="24">
        <v>0.85</v>
      </c>
      <c r="K42" s="24">
        <v>0.36162028533978946</v>
      </c>
      <c r="L42" s="24">
        <v>0</v>
      </c>
      <c r="M42" s="24">
        <v>1</v>
      </c>
      <c r="AZ42" s="32">
        <v>39</v>
      </c>
      <c r="BA42" s="32">
        <v>0.99963239598609877</v>
      </c>
      <c r="BB42" s="32">
        <v>1</v>
      </c>
      <c r="BC42" s="32">
        <v>37</v>
      </c>
      <c r="BD42" s="32">
        <v>26.422499999999999</v>
      </c>
      <c r="BZ42">
        <v>1.5503875968992248E-2</v>
      </c>
      <c r="CA42">
        <v>0.14022140221402213</v>
      </c>
      <c r="CB42">
        <v>1.5503875968992248E-2</v>
      </c>
    </row>
    <row r="43" spans="9:80" ht="13.8" x14ac:dyDescent="0.3">
      <c r="I43" s="25">
        <v>5</v>
      </c>
      <c r="J43" s="24">
        <v>0.75</v>
      </c>
      <c r="K43" s="24">
        <v>0.4385290096535146</v>
      </c>
      <c r="L43" s="24">
        <v>0</v>
      </c>
      <c r="M43" s="24">
        <v>1</v>
      </c>
      <c r="AZ43" s="32">
        <v>40</v>
      </c>
      <c r="BA43" s="32">
        <v>0.9996149390689425</v>
      </c>
      <c r="BB43" s="32">
        <v>1</v>
      </c>
      <c r="BC43" s="32">
        <v>38</v>
      </c>
      <c r="BD43" s="32">
        <v>27.1</v>
      </c>
      <c r="BZ43">
        <v>1.5503875968992248E-2</v>
      </c>
      <c r="CA43">
        <v>0.14391143911439114</v>
      </c>
      <c r="CB43">
        <v>1.5503875968992248E-2</v>
      </c>
    </row>
    <row r="44" spans="9:80" ht="13.8" x14ac:dyDescent="0.3">
      <c r="I44" s="25">
        <v>6</v>
      </c>
      <c r="J44" s="24">
        <v>0.8</v>
      </c>
      <c r="K44" s="24">
        <v>0.40509574683346672</v>
      </c>
      <c r="L44" s="24">
        <v>0</v>
      </c>
      <c r="M44" s="24">
        <v>1</v>
      </c>
      <c r="AZ44" s="33">
        <v>41</v>
      </c>
      <c r="BA44" s="33">
        <v>0.99958578346472926</v>
      </c>
      <c r="BB44" s="33">
        <v>1</v>
      </c>
      <c r="BC44" s="33">
        <v>39</v>
      </c>
      <c r="BD44" s="33">
        <v>27.7775</v>
      </c>
      <c r="BZ44">
        <v>1.5503875968992248E-2</v>
      </c>
      <c r="CA44">
        <v>0.14760147601476015</v>
      </c>
      <c r="CB44">
        <v>1.5503875968992248E-2</v>
      </c>
    </row>
    <row r="45" spans="9:80" ht="13.8" x14ac:dyDescent="0.3">
      <c r="I45" s="25">
        <v>7</v>
      </c>
      <c r="J45" s="24">
        <v>0.57499999999999996</v>
      </c>
      <c r="K45" s="24">
        <v>0.50064061525312309</v>
      </c>
      <c r="L45" s="24">
        <v>0</v>
      </c>
      <c r="M45" s="24">
        <v>1</v>
      </c>
      <c r="AZ45" s="33">
        <v>42</v>
      </c>
      <c r="BA45" s="33">
        <v>0.99957036583798431</v>
      </c>
      <c r="BB45" s="33">
        <v>1</v>
      </c>
      <c r="BC45" s="33">
        <v>40</v>
      </c>
      <c r="BD45" s="33">
        <v>28.454999999999998</v>
      </c>
      <c r="BZ45">
        <v>1.5503875968992248E-2</v>
      </c>
      <c r="CA45">
        <v>0.15129151291512916</v>
      </c>
      <c r="CB45">
        <v>1.5503875968992248E-2</v>
      </c>
    </row>
    <row r="46" spans="9:80" ht="13.8" x14ac:dyDescent="0.3">
      <c r="I46" s="25">
        <v>8</v>
      </c>
      <c r="J46" s="24">
        <v>0.6</v>
      </c>
      <c r="K46" s="24">
        <v>0.49613893835683387</v>
      </c>
      <c r="L46" s="24">
        <v>0</v>
      </c>
      <c r="M46" s="24">
        <v>1</v>
      </c>
      <c r="AZ46" s="33">
        <v>43</v>
      </c>
      <c r="BA46" s="33">
        <v>0.99952693253544134</v>
      </c>
      <c r="BB46" s="33">
        <v>1</v>
      </c>
      <c r="BC46" s="33">
        <v>41</v>
      </c>
      <c r="BD46" s="33">
        <v>29.1325</v>
      </c>
      <c r="BZ46">
        <v>1.5503875968992248E-2</v>
      </c>
      <c r="CA46">
        <v>0.15498154981549817</v>
      </c>
      <c r="CB46">
        <v>1.5503875968992248E-2</v>
      </c>
    </row>
    <row r="47" spans="9:80" ht="13.8" x14ac:dyDescent="0.3">
      <c r="I47" s="25">
        <v>9</v>
      </c>
      <c r="J47" s="24">
        <v>0.35</v>
      </c>
      <c r="K47" s="24">
        <v>0.48304589153964778</v>
      </c>
      <c r="L47" s="24">
        <v>0</v>
      </c>
      <c r="M47" s="24">
        <v>1</v>
      </c>
      <c r="AZ47" s="33">
        <v>44</v>
      </c>
      <c r="BA47" s="33">
        <v>0.99949867121575586</v>
      </c>
      <c r="BB47" s="33">
        <v>1</v>
      </c>
      <c r="BC47" s="33">
        <v>42</v>
      </c>
      <c r="BD47" s="33">
        <v>29.81</v>
      </c>
      <c r="BZ47">
        <v>1.5503875968992248E-2</v>
      </c>
      <c r="CA47">
        <v>0.15867158671586715</v>
      </c>
      <c r="CB47">
        <v>1.5503875968992248E-2</v>
      </c>
    </row>
    <row r="48" spans="9:80" ht="13.8" x14ac:dyDescent="0.3">
      <c r="I48" s="25">
        <v>10</v>
      </c>
      <c r="J48" s="24">
        <v>0.2</v>
      </c>
      <c r="K48" s="24">
        <v>0.40509574683346672</v>
      </c>
      <c r="L48" s="24">
        <v>0</v>
      </c>
      <c r="M48" s="24">
        <v>1</v>
      </c>
      <c r="AZ48" s="33">
        <v>45</v>
      </c>
      <c r="BA48" s="33">
        <v>0.99945097393177584</v>
      </c>
      <c r="BB48" s="33">
        <v>1</v>
      </c>
      <c r="BC48" s="33">
        <v>43</v>
      </c>
      <c r="BD48" s="33">
        <v>30.487500000000001</v>
      </c>
      <c r="BZ48">
        <v>1.5503875968992248E-2</v>
      </c>
      <c r="CA48">
        <v>0.16236162361623616</v>
      </c>
      <c r="CB48">
        <v>1.5503875968992248E-2</v>
      </c>
    </row>
    <row r="49" spans="52:80" x14ac:dyDescent="0.25">
      <c r="AZ49" s="33">
        <v>46</v>
      </c>
      <c r="BA49" s="33">
        <v>0.99942873634357521</v>
      </c>
      <c r="BB49" s="33">
        <v>1</v>
      </c>
      <c r="BC49" s="33">
        <v>44</v>
      </c>
      <c r="BD49" s="33">
        <v>31.164999999999999</v>
      </c>
      <c r="BZ49">
        <v>1.5503875968992248E-2</v>
      </c>
      <c r="CA49">
        <v>0.16605166051660517</v>
      </c>
      <c r="CB49">
        <v>1.5503875968992248E-2</v>
      </c>
    </row>
    <row r="50" spans="52:80" x14ac:dyDescent="0.25">
      <c r="AZ50" s="33">
        <v>47</v>
      </c>
      <c r="BA50" s="33">
        <v>0.99941853138418613</v>
      </c>
      <c r="BB50" s="33">
        <v>1</v>
      </c>
      <c r="BC50" s="33">
        <v>45</v>
      </c>
      <c r="BD50" s="33">
        <v>31.842500000000001</v>
      </c>
      <c r="BZ50">
        <v>1.5503875968992248E-2</v>
      </c>
      <c r="CA50">
        <v>0.16974169741697417</v>
      </c>
      <c r="CB50">
        <v>1.5503875968992248E-2</v>
      </c>
    </row>
    <row r="51" spans="52:80" x14ac:dyDescent="0.25">
      <c r="AZ51" s="33">
        <v>48</v>
      </c>
      <c r="BA51" s="33">
        <v>0.99940675686794644</v>
      </c>
      <c r="BB51" s="33">
        <v>1</v>
      </c>
      <c r="BC51" s="33">
        <v>46</v>
      </c>
      <c r="BD51" s="33">
        <v>32.519999999999996</v>
      </c>
      <c r="BZ51">
        <v>1.5503875968992248E-2</v>
      </c>
      <c r="CA51">
        <v>0.17343173431734318</v>
      </c>
      <c r="CB51">
        <v>1.5503875968992248E-2</v>
      </c>
    </row>
    <row r="52" spans="52:80" x14ac:dyDescent="0.25">
      <c r="AZ52" s="33">
        <v>49</v>
      </c>
      <c r="BA52" s="33">
        <v>0.99937814770675437</v>
      </c>
      <c r="BB52" s="33">
        <v>1</v>
      </c>
      <c r="BC52" s="33">
        <v>47</v>
      </c>
      <c r="BD52" s="33">
        <v>33.197499999999998</v>
      </c>
      <c r="BZ52">
        <v>1.5503875968992248E-2</v>
      </c>
      <c r="CA52">
        <v>0.17712177121771217</v>
      </c>
      <c r="CB52">
        <v>1.5503875968992248E-2</v>
      </c>
    </row>
    <row r="53" spans="52:80" x14ac:dyDescent="0.25">
      <c r="AZ53" s="33">
        <v>50</v>
      </c>
      <c r="BA53" s="33">
        <v>0.99930337705681327</v>
      </c>
      <c r="BB53" s="33">
        <v>1</v>
      </c>
      <c r="BC53" s="33">
        <v>48</v>
      </c>
      <c r="BD53" s="33">
        <v>33.875</v>
      </c>
      <c r="BZ53">
        <v>1.5503875968992248E-2</v>
      </c>
      <c r="CA53">
        <v>0.18081180811808117</v>
      </c>
      <c r="CB53">
        <v>1.5503875968992248E-2</v>
      </c>
    </row>
    <row r="54" spans="52:80" x14ac:dyDescent="0.25">
      <c r="AZ54" s="33">
        <v>51</v>
      </c>
      <c r="BA54" s="33">
        <v>0.99927087088255417</v>
      </c>
      <c r="BB54" s="33">
        <v>1</v>
      </c>
      <c r="BC54" s="33">
        <v>49</v>
      </c>
      <c r="BD54" s="33">
        <v>34.552500000000002</v>
      </c>
      <c r="BZ54">
        <v>2.3255813953488372E-2</v>
      </c>
      <c r="CA54">
        <v>0.18081180811808117</v>
      </c>
      <c r="CB54">
        <v>2.3255813953488372E-2</v>
      </c>
    </row>
    <row r="55" spans="52:80" x14ac:dyDescent="0.25">
      <c r="AZ55" s="33">
        <v>52</v>
      </c>
      <c r="BA55" s="33">
        <v>0.99920354411343448</v>
      </c>
      <c r="BB55" s="33">
        <v>0</v>
      </c>
      <c r="BC55" s="33">
        <v>49</v>
      </c>
      <c r="BD55" s="33">
        <v>35.229999999999997</v>
      </c>
      <c r="BZ55">
        <v>2.3255813953488372E-2</v>
      </c>
      <c r="CA55">
        <v>0.18450184501845018</v>
      </c>
      <c r="CB55">
        <v>2.3255813953488372E-2</v>
      </c>
    </row>
    <row r="56" spans="52:80" x14ac:dyDescent="0.25">
      <c r="AZ56" s="33">
        <v>53</v>
      </c>
      <c r="BA56" s="33">
        <v>0.99914600304039469</v>
      </c>
      <c r="BB56" s="33">
        <v>1</v>
      </c>
      <c r="BC56" s="33">
        <v>50</v>
      </c>
      <c r="BD56" s="33">
        <v>35.907499999999999</v>
      </c>
      <c r="BZ56">
        <v>2.3255813953488372E-2</v>
      </c>
      <c r="CA56">
        <v>0.18819188191881919</v>
      </c>
      <c r="CB56">
        <v>2.3255813953488372E-2</v>
      </c>
    </row>
    <row r="57" spans="52:80" x14ac:dyDescent="0.25">
      <c r="AZ57" s="33">
        <v>54</v>
      </c>
      <c r="BA57" s="33">
        <v>0.99907067093335178</v>
      </c>
      <c r="BB57" s="33">
        <v>1</v>
      </c>
      <c r="BC57" s="33">
        <v>51</v>
      </c>
      <c r="BD57" s="33">
        <v>36.585000000000001</v>
      </c>
      <c r="BZ57">
        <v>2.3255813953488372E-2</v>
      </c>
      <c r="CA57">
        <v>0.1918819188191882</v>
      </c>
      <c r="CB57">
        <v>2.3255813953488372E-2</v>
      </c>
    </row>
    <row r="58" spans="52:80" x14ac:dyDescent="0.25">
      <c r="AZ58" s="33">
        <v>55</v>
      </c>
      <c r="BA58" s="33">
        <v>0.99906498307352942</v>
      </c>
      <c r="BB58" s="33">
        <v>1</v>
      </c>
      <c r="BC58" s="33">
        <v>52</v>
      </c>
      <c r="BD58" s="33">
        <v>37.262500000000003</v>
      </c>
      <c r="BZ58">
        <v>2.3255813953488372E-2</v>
      </c>
      <c r="CA58">
        <v>0.19557195571955718</v>
      </c>
      <c r="CB58">
        <v>2.3255813953488372E-2</v>
      </c>
    </row>
    <row r="59" spans="52:80" x14ac:dyDescent="0.25">
      <c r="AZ59" s="33">
        <v>56</v>
      </c>
      <c r="BA59" s="33">
        <v>0.99901719940259814</v>
      </c>
      <c r="BB59" s="33">
        <v>1</v>
      </c>
      <c r="BC59" s="33">
        <v>53</v>
      </c>
      <c r="BD59" s="33">
        <v>37.94</v>
      </c>
      <c r="BZ59">
        <v>2.3255813953488372E-2</v>
      </c>
      <c r="CA59">
        <v>0.19926199261992619</v>
      </c>
      <c r="CB59">
        <v>2.3255813953488372E-2</v>
      </c>
    </row>
    <row r="60" spans="52:80" x14ac:dyDescent="0.25">
      <c r="AZ60" s="33">
        <v>57</v>
      </c>
      <c r="BA60" s="33">
        <v>0.99901637788304187</v>
      </c>
      <c r="BB60" s="33">
        <v>1</v>
      </c>
      <c r="BC60" s="33">
        <v>54</v>
      </c>
      <c r="BD60" s="33">
        <v>38.6175</v>
      </c>
      <c r="BZ60">
        <v>2.3255813953488372E-2</v>
      </c>
      <c r="CA60">
        <v>0.2029520295202952</v>
      </c>
      <c r="CB60">
        <v>2.3255813953488372E-2</v>
      </c>
    </row>
    <row r="61" spans="52:80" x14ac:dyDescent="0.25">
      <c r="AZ61" s="33">
        <v>58</v>
      </c>
      <c r="BA61" s="33">
        <v>0.99897559201876351</v>
      </c>
      <c r="BB61" s="33">
        <v>1</v>
      </c>
      <c r="BC61" s="33">
        <v>55</v>
      </c>
      <c r="BD61" s="33">
        <v>39.295000000000002</v>
      </c>
      <c r="BZ61">
        <v>2.3255813953488372E-2</v>
      </c>
      <c r="CA61">
        <v>0.20664206642066421</v>
      </c>
      <c r="CB61">
        <v>2.3255813953488372E-2</v>
      </c>
    </row>
    <row r="62" spans="52:80" x14ac:dyDescent="0.25">
      <c r="AZ62" s="33">
        <v>59</v>
      </c>
      <c r="BA62" s="33">
        <v>0.99889770716327786</v>
      </c>
      <c r="BB62" s="33">
        <v>1</v>
      </c>
      <c r="BC62" s="33">
        <v>56</v>
      </c>
      <c r="BD62" s="33">
        <v>39.972499999999997</v>
      </c>
      <c r="BZ62">
        <v>2.3255813953488372E-2</v>
      </c>
      <c r="CA62">
        <v>0.21033210332103322</v>
      </c>
      <c r="CB62">
        <v>2.3255813953488372E-2</v>
      </c>
    </row>
    <row r="63" spans="52:80" x14ac:dyDescent="0.25">
      <c r="AZ63" s="33">
        <v>60</v>
      </c>
      <c r="BA63" s="33">
        <v>0.99886140687312497</v>
      </c>
      <c r="BB63" s="33">
        <v>1</v>
      </c>
      <c r="BC63" s="33">
        <v>57</v>
      </c>
      <c r="BD63" s="33">
        <v>40.65</v>
      </c>
      <c r="BZ63">
        <v>3.1007751937984496E-2</v>
      </c>
      <c r="CA63">
        <v>0.21033210332103322</v>
      </c>
      <c r="CB63">
        <v>3.1007751937984496E-2</v>
      </c>
    </row>
    <row r="64" spans="52:80" x14ac:dyDescent="0.25">
      <c r="AZ64" s="33">
        <v>61</v>
      </c>
      <c r="BA64" s="33">
        <v>0.99884401927496647</v>
      </c>
      <c r="BB64" s="33">
        <v>0</v>
      </c>
      <c r="BC64" s="33">
        <v>57</v>
      </c>
      <c r="BD64" s="33">
        <v>41.327500000000001</v>
      </c>
      <c r="BZ64">
        <v>3.1007751937984496E-2</v>
      </c>
      <c r="CA64">
        <v>0.2140221402214022</v>
      </c>
      <c r="CB64">
        <v>3.1007751937984496E-2</v>
      </c>
    </row>
    <row r="65" spans="52:80" x14ac:dyDescent="0.25">
      <c r="AZ65" s="33">
        <v>62</v>
      </c>
      <c r="BA65" s="33">
        <v>0.9988092745345537</v>
      </c>
      <c r="BB65" s="33">
        <v>1</v>
      </c>
      <c r="BC65" s="33">
        <v>58</v>
      </c>
      <c r="BD65" s="33">
        <v>42.005000000000003</v>
      </c>
      <c r="BZ65">
        <v>3.1007751937984496E-2</v>
      </c>
      <c r="CA65">
        <v>0.21771217712177121</v>
      </c>
      <c r="CB65">
        <v>3.1007751937984496E-2</v>
      </c>
    </row>
    <row r="66" spans="52:80" x14ac:dyDescent="0.25">
      <c r="AZ66" s="33">
        <v>63</v>
      </c>
      <c r="BA66" s="33">
        <v>0.99880690484322754</v>
      </c>
      <c r="BB66" s="33">
        <v>1</v>
      </c>
      <c r="BC66" s="33">
        <v>59</v>
      </c>
      <c r="BD66" s="33">
        <v>42.682499999999997</v>
      </c>
      <c r="BZ66">
        <v>3.1007751937984496E-2</v>
      </c>
      <c r="CA66">
        <v>0.22140221402214022</v>
      </c>
      <c r="CB66">
        <v>3.1007751937984496E-2</v>
      </c>
    </row>
    <row r="67" spans="52:80" x14ac:dyDescent="0.25">
      <c r="AZ67" s="33">
        <v>64</v>
      </c>
      <c r="BA67" s="33">
        <v>0.99855619943808371</v>
      </c>
      <c r="BB67" s="33">
        <v>1</v>
      </c>
      <c r="BC67" s="33">
        <v>60</v>
      </c>
      <c r="BD67" s="33">
        <v>43.36</v>
      </c>
      <c r="BZ67">
        <v>3.1007751937984496E-2</v>
      </c>
      <c r="CA67">
        <v>0.22509225092250923</v>
      </c>
      <c r="CB67">
        <v>3.1007751937984496E-2</v>
      </c>
    </row>
    <row r="68" spans="52:80" x14ac:dyDescent="0.25">
      <c r="AZ68" s="33">
        <v>65</v>
      </c>
      <c r="BA68" s="33">
        <v>0.99851926878590314</v>
      </c>
      <c r="BB68" s="33">
        <v>1</v>
      </c>
      <c r="BC68" s="33">
        <v>61</v>
      </c>
      <c r="BD68" s="33">
        <v>44.037500000000001</v>
      </c>
      <c r="BZ68">
        <v>3.1007751937984496E-2</v>
      </c>
      <c r="CA68">
        <v>0.22878228782287824</v>
      </c>
      <c r="CB68">
        <v>3.1007751937984496E-2</v>
      </c>
    </row>
    <row r="69" spans="52:80" x14ac:dyDescent="0.25">
      <c r="AZ69" s="33">
        <v>66</v>
      </c>
      <c r="BA69" s="33">
        <v>0.99844554039273303</v>
      </c>
      <c r="BB69" s="33">
        <v>1</v>
      </c>
      <c r="BC69" s="33">
        <v>62</v>
      </c>
      <c r="BD69" s="33">
        <v>44.714999999999996</v>
      </c>
      <c r="BZ69">
        <v>3.1007751937984496E-2</v>
      </c>
      <c r="CA69">
        <v>0.23247232472324722</v>
      </c>
      <c r="CB69">
        <v>3.1007751937984496E-2</v>
      </c>
    </row>
    <row r="70" spans="52:80" x14ac:dyDescent="0.25">
      <c r="AZ70" s="33">
        <v>67</v>
      </c>
      <c r="BA70" s="33">
        <v>0.99838444753753819</v>
      </c>
      <c r="BB70" s="33">
        <v>1</v>
      </c>
      <c r="BC70" s="33">
        <v>63</v>
      </c>
      <c r="BD70" s="33">
        <v>45.392499999999998</v>
      </c>
      <c r="BZ70">
        <v>3.875968992248062E-2</v>
      </c>
      <c r="CA70">
        <v>0.23247232472324722</v>
      </c>
      <c r="CB70">
        <v>3.875968992248062E-2</v>
      </c>
    </row>
    <row r="71" spans="52:80" x14ac:dyDescent="0.25">
      <c r="AZ71" s="33">
        <v>68</v>
      </c>
      <c r="BA71" s="33">
        <v>0.99836529588217493</v>
      </c>
      <c r="BB71" s="33">
        <v>0</v>
      </c>
      <c r="BC71" s="33">
        <v>63</v>
      </c>
      <c r="BD71" s="33">
        <v>46.07</v>
      </c>
      <c r="BZ71">
        <v>3.875968992248062E-2</v>
      </c>
      <c r="CA71">
        <v>0.23616236162361623</v>
      </c>
      <c r="CB71">
        <v>3.875968992248062E-2</v>
      </c>
    </row>
    <row r="72" spans="52:80" x14ac:dyDescent="0.25">
      <c r="AZ72" s="33">
        <v>69</v>
      </c>
      <c r="BA72" s="33">
        <v>0.99832187260004512</v>
      </c>
      <c r="BB72" s="33">
        <v>1</v>
      </c>
      <c r="BC72" s="33">
        <v>64</v>
      </c>
      <c r="BD72" s="33">
        <v>46.747500000000002</v>
      </c>
      <c r="BZ72">
        <v>3.875968992248062E-2</v>
      </c>
      <c r="CA72">
        <v>0.23985239852398524</v>
      </c>
      <c r="CB72">
        <v>3.875968992248062E-2</v>
      </c>
    </row>
    <row r="73" spans="52:80" x14ac:dyDescent="0.25">
      <c r="AZ73" s="33">
        <v>70</v>
      </c>
      <c r="BA73" s="33">
        <v>0.99819077115509935</v>
      </c>
      <c r="BB73" s="33">
        <v>1</v>
      </c>
      <c r="BC73" s="33">
        <v>65</v>
      </c>
      <c r="BD73" s="33">
        <v>47.424999999999997</v>
      </c>
      <c r="BZ73">
        <v>3.875968992248062E-2</v>
      </c>
      <c r="CA73">
        <v>0.24354243542435425</v>
      </c>
      <c r="CB73">
        <v>3.875968992248062E-2</v>
      </c>
    </row>
    <row r="74" spans="52:80" x14ac:dyDescent="0.25">
      <c r="AZ74" s="33">
        <v>71</v>
      </c>
      <c r="BA74" s="33">
        <v>0.99810249663375983</v>
      </c>
      <c r="BB74" s="33">
        <v>1</v>
      </c>
      <c r="BC74" s="33">
        <v>66</v>
      </c>
      <c r="BD74" s="33">
        <v>48.102499999999999</v>
      </c>
      <c r="BZ74">
        <v>3.875968992248062E-2</v>
      </c>
      <c r="CA74">
        <v>0.24723247232472326</v>
      </c>
      <c r="CB74">
        <v>3.875968992248062E-2</v>
      </c>
    </row>
    <row r="75" spans="52:80" x14ac:dyDescent="0.25">
      <c r="AZ75" s="33">
        <v>72</v>
      </c>
      <c r="BA75" s="33">
        <v>0.99806494069280993</v>
      </c>
      <c r="BB75" s="33">
        <v>1</v>
      </c>
      <c r="BC75" s="33">
        <v>67</v>
      </c>
      <c r="BD75" s="33">
        <v>48.78</v>
      </c>
      <c r="BZ75">
        <v>4.6511627906976744E-2</v>
      </c>
      <c r="CA75">
        <v>0.24723247232472326</v>
      </c>
      <c r="CB75">
        <v>4.6511627906976744E-2</v>
      </c>
    </row>
    <row r="76" spans="52:80" x14ac:dyDescent="0.25">
      <c r="AZ76" s="33">
        <v>73</v>
      </c>
      <c r="BA76" s="33">
        <v>0.9980107378115376</v>
      </c>
      <c r="BB76" s="33">
        <v>0</v>
      </c>
      <c r="BC76" s="33">
        <v>67</v>
      </c>
      <c r="BD76" s="33">
        <v>49.457499999999996</v>
      </c>
      <c r="BZ76">
        <v>4.6511627906976744E-2</v>
      </c>
      <c r="CA76">
        <v>0.25092250922509224</v>
      </c>
      <c r="CB76">
        <v>4.6511627906976744E-2</v>
      </c>
    </row>
    <row r="77" spans="52:80" x14ac:dyDescent="0.25">
      <c r="AZ77" s="33">
        <v>74</v>
      </c>
      <c r="BA77" s="33">
        <v>0.99796506513103056</v>
      </c>
      <c r="BB77" s="33">
        <v>1</v>
      </c>
      <c r="BC77" s="33">
        <v>68</v>
      </c>
      <c r="BD77" s="33">
        <v>50.134999999999998</v>
      </c>
      <c r="BZ77">
        <v>5.4263565891472867E-2</v>
      </c>
      <c r="CA77">
        <v>0.25092250922509224</v>
      </c>
      <c r="CB77">
        <v>5.4263565891472867E-2</v>
      </c>
    </row>
    <row r="78" spans="52:80" x14ac:dyDescent="0.25">
      <c r="AZ78" s="33">
        <v>75</v>
      </c>
      <c r="BA78" s="33">
        <v>0.99786529132210633</v>
      </c>
      <c r="BB78" s="33">
        <v>0</v>
      </c>
      <c r="BC78" s="33">
        <v>68</v>
      </c>
      <c r="BD78" s="33">
        <v>50.8125</v>
      </c>
      <c r="BZ78">
        <v>5.4263565891472867E-2</v>
      </c>
      <c r="CA78">
        <v>0.25461254612546125</v>
      </c>
      <c r="CB78">
        <v>5.4263565891472867E-2</v>
      </c>
    </row>
    <row r="79" spans="52:80" x14ac:dyDescent="0.25">
      <c r="AZ79" s="33">
        <v>76</v>
      </c>
      <c r="BA79" s="33">
        <v>0.99786413256222672</v>
      </c>
      <c r="BB79" s="33">
        <v>1</v>
      </c>
      <c r="BC79" s="33">
        <v>69</v>
      </c>
      <c r="BD79" s="33">
        <v>51.49</v>
      </c>
      <c r="BZ79">
        <v>5.4263565891472867E-2</v>
      </c>
      <c r="CA79">
        <v>0.25830258302583026</v>
      </c>
      <c r="CB79">
        <v>5.4263565891472867E-2</v>
      </c>
    </row>
    <row r="80" spans="52:80" x14ac:dyDescent="0.25">
      <c r="AZ80" s="33">
        <v>77</v>
      </c>
      <c r="BA80" s="33">
        <v>0.99775934484402407</v>
      </c>
      <c r="BB80" s="33">
        <v>1</v>
      </c>
      <c r="BC80" s="33">
        <v>70</v>
      </c>
      <c r="BD80" s="33">
        <v>52.167499999999997</v>
      </c>
      <c r="BZ80">
        <v>5.4263565891472867E-2</v>
      </c>
      <c r="CA80">
        <v>0.26199261992619927</v>
      </c>
      <c r="CB80">
        <v>5.4263565891472867E-2</v>
      </c>
    </row>
    <row r="81" spans="52:80" x14ac:dyDescent="0.25">
      <c r="AZ81" s="33">
        <v>78</v>
      </c>
      <c r="BA81" s="33">
        <v>0.99775067751992708</v>
      </c>
      <c r="BB81" s="33">
        <v>1</v>
      </c>
      <c r="BC81" s="33">
        <v>71</v>
      </c>
      <c r="BD81" s="33">
        <v>52.844999999999999</v>
      </c>
      <c r="BZ81">
        <v>5.4263565891472867E-2</v>
      </c>
      <c r="CA81">
        <v>0.26568265682656828</v>
      </c>
      <c r="CB81">
        <v>5.4263565891472867E-2</v>
      </c>
    </row>
    <row r="82" spans="52:80" x14ac:dyDescent="0.25">
      <c r="AZ82" s="33">
        <v>79</v>
      </c>
      <c r="BA82" s="33">
        <v>0.99773849040256124</v>
      </c>
      <c r="BB82" s="33">
        <v>1</v>
      </c>
      <c r="BC82" s="33">
        <v>72</v>
      </c>
      <c r="BD82" s="33">
        <v>53.522500000000001</v>
      </c>
      <c r="BZ82">
        <v>5.4263565891472867E-2</v>
      </c>
      <c r="CA82">
        <v>0.26937269372693728</v>
      </c>
      <c r="CB82">
        <v>5.4263565891472867E-2</v>
      </c>
    </row>
    <row r="83" spans="52:80" x14ac:dyDescent="0.25">
      <c r="AZ83" s="33">
        <v>80</v>
      </c>
      <c r="BA83" s="33">
        <v>0.9976173173630305</v>
      </c>
      <c r="BB83" s="33">
        <v>1</v>
      </c>
      <c r="BC83" s="33">
        <v>73</v>
      </c>
      <c r="BD83" s="33">
        <v>54.2</v>
      </c>
      <c r="BZ83">
        <v>5.4263565891472867E-2</v>
      </c>
      <c r="CA83">
        <v>0.27306273062730629</v>
      </c>
      <c r="CB83">
        <v>5.4263565891472867E-2</v>
      </c>
    </row>
    <row r="84" spans="52:80" x14ac:dyDescent="0.25">
      <c r="AZ84" s="32">
        <v>81</v>
      </c>
      <c r="BA84" s="32">
        <v>0.99745659634547701</v>
      </c>
      <c r="BB84" s="32">
        <v>1</v>
      </c>
      <c r="BC84" s="32">
        <v>74</v>
      </c>
      <c r="BD84" s="32">
        <v>54.877499999999998</v>
      </c>
      <c r="BZ84">
        <v>5.4263565891472867E-2</v>
      </c>
      <c r="CA84">
        <v>0.2767527675276753</v>
      </c>
      <c r="CB84">
        <v>5.4263565891472867E-2</v>
      </c>
    </row>
    <row r="85" spans="52:80" x14ac:dyDescent="0.25">
      <c r="AZ85" s="32">
        <v>82</v>
      </c>
      <c r="BA85" s="32">
        <v>0.99743398836527786</v>
      </c>
      <c r="BB85" s="32">
        <v>1</v>
      </c>
      <c r="BC85" s="32">
        <v>75</v>
      </c>
      <c r="BD85" s="32">
        <v>55.555</v>
      </c>
      <c r="BZ85">
        <v>5.4263565891472867E-2</v>
      </c>
      <c r="CA85">
        <v>0.28044280442804426</v>
      </c>
      <c r="CB85">
        <v>5.4263565891472867E-2</v>
      </c>
    </row>
    <row r="86" spans="52:80" x14ac:dyDescent="0.25">
      <c r="AZ86" s="32">
        <v>83</v>
      </c>
      <c r="BA86" s="32">
        <v>0.9972498867632168</v>
      </c>
      <c r="BB86" s="32">
        <v>1</v>
      </c>
      <c r="BC86" s="32">
        <v>76</v>
      </c>
      <c r="BD86" s="32">
        <v>56.232500000000002</v>
      </c>
      <c r="BZ86">
        <v>5.4263565891472867E-2</v>
      </c>
      <c r="CA86">
        <v>0.28413284132841327</v>
      </c>
      <c r="CB86">
        <v>5.4263565891472867E-2</v>
      </c>
    </row>
    <row r="87" spans="52:80" x14ac:dyDescent="0.25">
      <c r="AZ87" s="32">
        <v>84</v>
      </c>
      <c r="BA87" s="32">
        <v>0.99724933537474492</v>
      </c>
      <c r="BB87" s="32">
        <v>1</v>
      </c>
      <c r="BC87" s="32">
        <v>77</v>
      </c>
      <c r="BD87" s="32">
        <v>56.91</v>
      </c>
      <c r="BZ87">
        <v>5.4263565891472867E-2</v>
      </c>
      <c r="CA87">
        <v>0.28782287822878228</v>
      </c>
      <c r="CB87">
        <v>5.4263565891472867E-2</v>
      </c>
    </row>
    <row r="88" spans="52:80" x14ac:dyDescent="0.25">
      <c r="AZ88" s="32">
        <v>85</v>
      </c>
      <c r="BA88" s="32">
        <v>0.99719220306791589</v>
      </c>
      <c r="BB88" s="32">
        <v>1</v>
      </c>
      <c r="BC88" s="32">
        <v>78</v>
      </c>
      <c r="BD88" s="32">
        <v>57.587499999999999</v>
      </c>
      <c r="BZ88">
        <v>5.4263565891472867E-2</v>
      </c>
      <c r="CA88">
        <v>0.29151291512915128</v>
      </c>
      <c r="CB88">
        <v>5.4263565891472867E-2</v>
      </c>
    </row>
    <row r="89" spans="52:80" x14ac:dyDescent="0.25">
      <c r="AZ89" s="32">
        <v>86</v>
      </c>
      <c r="BA89" s="32">
        <v>0.99713196057234776</v>
      </c>
      <c r="BB89" s="32">
        <v>1</v>
      </c>
      <c r="BC89" s="32">
        <v>79</v>
      </c>
      <c r="BD89" s="32">
        <v>58.265000000000001</v>
      </c>
      <c r="BZ89">
        <v>5.4263565891472867E-2</v>
      </c>
      <c r="CA89">
        <v>0.29520295202952029</v>
      </c>
      <c r="CB89">
        <v>5.4263565891472867E-2</v>
      </c>
    </row>
    <row r="90" spans="52:80" x14ac:dyDescent="0.25">
      <c r="AZ90" s="32">
        <v>87</v>
      </c>
      <c r="BA90" s="32">
        <v>0.99698722442765397</v>
      </c>
      <c r="BB90" s="32">
        <v>1</v>
      </c>
      <c r="BC90" s="32">
        <v>80</v>
      </c>
      <c r="BD90" s="32">
        <v>58.942500000000003</v>
      </c>
      <c r="BZ90">
        <v>5.4263565891472867E-2</v>
      </c>
      <c r="CA90">
        <v>0.2988929889298893</v>
      </c>
      <c r="CB90">
        <v>5.4263565891472867E-2</v>
      </c>
    </row>
    <row r="91" spans="52:80" x14ac:dyDescent="0.25">
      <c r="AZ91" s="32">
        <v>88</v>
      </c>
      <c r="BA91" s="32">
        <v>0.9969736703904174</v>
      </c>
      <c r="BB91" s="32">
        <v>1</v>
      </c>
      <c r="BC91" s="32">
        <v>81</v>
      </c>
      <c r="BD91" s="32">
        <v>59.62</v>
      </c>
      <c r="BZ91">
        <v>6.2015503875968991E-2</v>
      </c>
      <c r="CA91">
        <v>0.2988929889298893</v>
      </c>
      <c r="CB91">
        <v>6.2015503875968991E-2</v>
      </c>
    </row>
    <row r="92" spans="52:80" x14ac:dyDescent="0.25">
      <c r="AZ92" s="32">
        <v>89</v>
      </c>
      <c r="BA92" s="32">
        <v>0.99695817648556251</v>
      </c>
      <c r="BB92" s="32">
        <v>0</v>
      </c>
      <c r="BC92" s="32">
        <v>81</v>
      </c>
      <c r="BD92" s="32">
        <v>60.297499999999999</v>
      </c>
      <c r="BZ92">
        <v>6.9767441860465115E-2</v>
      </c>
      <c r="CA92">
        <v>0.2988929889298893</v>
      </c>
      <c r="CB92">
        <v>6.9767441860465115E-2</v>
      </c>
    </row>
    <row r="93" spans="52:80" x14ac:dyDescent="0.25">
      <c r="AZ93" s="32">
        <v>90</v>
      </c>
      <c r="BA93" s="32">
        <v>0.99691443011699632</v>
      </c>
      <c r="BB93" s="32">
        <v>0</v>
      </c>
      <c r="BC93" s="32">
        <v>81</v>
      </c>
      <c r="BD93" s="32">
        <v>60.975000000000001</v>
      </c>
      <c r="BZ93">
        <v>7.7519379844961239E-2</v>
      </c>
      <c r="CA93">
        <v>0.2988929889298893</v>
      </c>
      <c r="CB93">
        <v>7.7519379844961239E-2</v>
      </c>
    </row>
    <row r="94" spans="52:80" x14ac:dyDescent="0.25">
      <c r="AZ94" s="32">
        <v>91</v>
      </c>
      <c r="BA94" s="32">
        <v>0.99689925527925993</v>
      </c>
      <c r="BB94" s="32">
        <v>0</v>
      </c>
      <c r="BC94" s="32">
        <v>81</v>
      </c>
      <c r="BD94" s="32">
        <v>61.652499999999996</v>
      </c>
      <c r="BZ94">
        <v>7.7519379844961239E-2</v>
      </c>
      <c r="CA94">
        <v>0.30258302583025831</v>
      </c>
      <c r="CB94">
        <v>7.7519379844961239E-2</v>
      </c>
    </row>
    <row r="95" spans="52:80" x14ac:dyDescent="0.25">
      <c r="AZ95" s="32">
        <v>92</v>
      </c>
      <c r="BA95" s="32">
        <v>0.996855719833595</v>
      </c>
      <c r="BB95" s="32">
        <v>1</v>
      </c>
      <c r="BC95" s="32">
        <v>82</v>
      </c>
      <c r="BD95" s="32">
        <v>62.33</v>
      </c>
      <c r="BZ95">
        <v>7.7519379844961239E-2</v>
      </c>
      <c r="CA95">
        <v>0.30627306273062732</v>
      </c>
      <c r="CB95">
        <v>7.7519379844961239E-2</v>
      </c>
    </row>
    <row r="96" spans="52:80" x14ac:dyDescent="0.25">
      <c r="AZ96" s="32">
        <v>93</v>
      </c>
      <c r="BA96" s="32">
        <v>0.99682184301185972</v>
      </c>
      <c r="BB96" s="32">
        <v>1</v>
      </c>
      <c r="BC96" s="32">
        <v>83</v>
      </c>
      <c r="BD96" s="32">
        <v>63.0075</v>
      </c>
      <c r="BZ96">
        <v>8.5271317829457363E-2</v>
      </c>
      <c r="CA96">
        <v>0.30627306273062732</v>
      </c>
      <c r="CB96">
        <v>8.5271317829457363E-2</v>
      </c>
    </row>
    <row r="97" spans="52:80" x14ac:dyDescent="0.25">
      <c r="AZ97" s="32">
        <v>94</v>
      </c>
      <c r="BA97" s="32">
        <v>0.99681278880143998</v>
      </c>
      <c r="BB97" s="32">
        <v>0</v>
      </c>
      <c r="BC97" s="32">
        <v>83</v>
      </c>
      <c r="BD97" s="32">
        <v>63.685000000000002</v>
      </c>
      <c r="BZ97">
        <v>8.5271317829457363E-2</v>
      </c>
      <c r="CA97">
        <v>0.30996309963099633</v>
      </c>
      <c r="CB97">
        <v>8.5271317829457363E-2</v>
      </c>
    </row>
    <row r="98" spans="52:80" x14ac:dyDescent="0.25">
      <c r="AZ98" s="32">
        <v>95</v>
      </c>
      <c r="BA98" s="32">
        <v>0.99657984483997986</v>
      </c>
      <c r="BB98" s="32">
        <v>1</v>
      </c>
      <c r="BC98" s="32">
        <v>84</v>
      </c>
      <c r="BD98" s="32">
        <v>64.362499999999997</v>
      </c>
      <c r="BZ98">
        <v>8.5271317829457363E-2</v>
      </c>
      <c r="CA98">
        <v>0.31365313653136534</v>
      </c>
      <c r="CB98">
        <v>8.5271317829457363E-2</v>
      </c>
    </row>
    <row r="99" spans="52:80" x14ac:dyDescent="0.25">
      <c r="AZ99" s="32">
        <v>96</v>
      </c>
      <c r="BA99" s="32">
        <v>0.9965541360417729</v>
      </c>
      <c r="BB99" s="32">
        <v>1</v>
      </c>
      <c r="BC99" s="32">
        <v>85</v>
      </c>
      <c r="BD99" s="32">
        <v>65.039999999999992</v>
      </c>
      <c r="BZ99">
        <v>8.5271317829457363E-2</v>
      </c>
      <c r="CA99">
        <v>0.31734317343173429</v>
      </c>
      <c r="CB99">
        <v>8.5271317829457363E-2</v>
      </c>
    </row>
    <row r="100" spans="52:80" x14ac:dyDescent="0.25">
      <c r="AZ100" s="32">
        <v>97</v>
      </c>
      <c r="BA100" s="32">
        <v>0.99653566084899536</v>
      </c>
      <c r="BB100" s="32">
        <v>1</v>
      </c>
      <c r="BC100" s="32">
        <v>86</v>
      </c>
      <c r="BD100" s="32">
        <v>65.717500000000001</v>
      </c>
      <c r="BZ100">
        <v>8.5271317829457363E-2</v>
      </c>
      <c r="CA100">
        <v>0.3210332103321033</v>
      </c>
      <c r="CB100">
        <v>8.5271317829457363E-2</v>
      </c>
    </row>
    <row r="101" spans="52:80" x14ac:dyDescent="0.25">
      <c r="AZ101" s="32">
        <v>98</v>
      </c>
      <c r="BA101" s="32">
        <v>0.99651031626469666</v>
      </c>
      <c r="BB101" s="32">
        <v>1</v>
      </c>
      <c r="BC101" s="32">
        <v>87</v>
      </c>
      <c r="BD101" s="32">
        <v>66.394999999999996</v>
      </c>
      <c r="BZ101">
        <v>8.5271317829457363E-2</v>
      </c>
      <c r="CA101">
        <v>0.32472324723247231</v>
      </c>
      <c r="CB101">
        <v>8.5271317829457363E-2</v>
      </c>
    </row>
    <row r="102" spans="52:80" x14ac:dyDescent="0.25">
      <c r="AZ102" s="32">
        <v>99</v>
      </c>
      <c r="BA102" s="32">
        <v>0.99649263678698408</v>
      </c>
      <c r="BB102" s="32">
        <v>1</v>
      </c>
      <c r="BC102" s="32">
        <v>88</v>
      </c>
      <c r="BD102" s="32">
        <v>67.072500000000005</v>
      </c>
      <c r="BZ102">
        <v>8.5271317829457363E-2</v>
      </c>
      <c r="CA102">
        <v>0.32841328413284132</v>
      </c>
      <c r="CB102">
        <v>8.5271317829457363E-2</v>
      </c>
    </row>
    <row r="103" spans="52:80" x14ac:dyDescent="0.25">
      <c r="AZ103" s="32">
        <v>100</v>
      </c>
      <c r="BA103" s="32">
        <v>0.9962215219361259</v>
      </c>
      <c r="BB103" s="32">
        <v>1</v>
      </c>
      <c r="BC103" s="32">
        <v>89</v>
      </c>
      <c r="BD103" s="32">
        <v>67.75</v>
      </c>
      <c r="BZ103">
        <v>8.5271317829457363E-2</v>
      </c>
      <c r="CA103">
        <v>0.33210332103321033</v>
      </c>
      <c r="CB103">
        <v>8.5271317829457363E-2</v>
      </c>
    </row>
    <row r="104" spans="52:80" x14ac:dyDescent="0.25">
      <c r="AZ104" s="32">
        <v>101</v>
      </c>
      <c r="BA104" s="32">
        <v>0.99617121850335466</v>
      </c>
      <c r="BB104" s="32">
        <v>1</v>
      </c>
      <c r="BC104" s="32">
        <v>90</v>
      </c>
      <c r="BD104" s="32">
        <v>68.427499999999995</v>
      </c>
      <c r="BZ104">
        <v>8.5271317829457363E-2</v>
      </c>
      <c r="CA104">
        <v>0.33579335793357934</v>
      </c>
      <c r="CB104">
        <v>8.5271317829457363E-2</v>
      </c>
    </row>
    <row r="105" spans="52:80" x14ac:dyDescent="0.25">
      <c r="AZ105" s="32">
        <v>102</v>
      </c>
      <c r="BA105" s="32">
        <v>0.99601577447734135</v>
      </c>
      <c r="BB105" s="32">
        <v>1</v>
      </c>
      <c r="BC105" s="32">
        <v>91</v>
      </c>
      <c r="BD105" s="32">
        <v>69.105000000000004</v>
      </c>
      <c r="BZ105">
        <v>9.3023255813953487E-2</v>
      </c>
      <c r="CA105">
        <v>0.33579335793357934</v>
      </c>
      <c r="CB105">
        <v>9.3023255813953487E-2</v>
      </c>
    </row>
    <row r="106" spans="52:80" x14ac:dyDescent="0.25">
      <c r="AZ106" s="32">
        <v>103</v>
      </c>
      <c r="BA106" s="32">
        <v>0.99595751738465599</v>
      </c>
      <c r="BB106" s="32">
        <v>0</v>
      </c>
      <c r="BC106" s="32">
        <v>91</v>
      </c>
      <c r="BD106" s="32">
        <v>69.782499999999999</v>
      </c>
      <c r="BZ106">
        <v>9.3023255813953487E-2</v>
      </c>
      <c r="CA106">
        <v>0.33948339483394835</v>
      </c>
      <c r="CB106">
        <v>9.3023255813953487E-2</v>
      </c>
    </row>
    <row r="107" spans="52:80" x14ac:dyDescent="0.25">
      <c r="AZ107" s="32">
        <v>104</v>
      </c>
      <c r="BA107" s="32">
        <v>0.99583480695838089</v>
      </c>
      <c r="BB107" s="32">
        <v>1</v>
      </c>
      <c r="BC107" s="32">
        <v>92</v>
      </c>
      <c r="BD107" s="32">
        <v>70.459999999999994</v>
      </c>
      <c r="BZ107">
        <v>9.3023255813953487E-2</v>
      </c>
      <c r="CA107">
        <v>0.34317343173431736</v>
      </c>
      <c r="CB107">
        <v>9.3023255813953487E-2</v>
      </c>
    </row>
    <row r="108" spans="52:80" x14ac:dyDescent="0.25">
      <c r="AZ108" s="32">
        <v>105</v>
      </c>
      <c r="BA108" s="32">
        <v>0.99581434437488703</v>
      </c>
      <c r="BB108" s="32">
        <v>1</v>
      </c>
      <c r="BC108" s="32">
        <v>93</v>
      </c>
      <c r="BD108" s="32">
        <v>71.137500000000003</v>
      </c>
      <c r="BZ108">
        <v>9.3023255813953487E-2</v>
      </c>
      <c r="CA108">
        <v>0.34686346863468637</v>
      </c>
      <c r="CB108">
        <v>9.3023255813953487E-2</v>
      </c>
    </row>
    <row r="109" spans="52:80" x14ac:dyDescent="0.25">
      <c r="AZ109" s="32">
        <v>106</v>
      </c>
      <c r="BA109" s="32">
        <v>0.99579462375806549</v>
      </c>
      <c r="BB109" s="32">
        <v>1</v>
      </c>
      <c r="BC109" s="32">
        <v>94</v>
      </c>
      <c r="BD109" s="32">
        <v>71.814999999999998</v>
      </c>
      <c r="BZ109">
        <v>9.3023255813953487E-2</v>
      </c>
      <c r="CA109">
        <v>0.35055350553505538</v>
      </c>
      <c r="CB109">
        <v>9.3023255813953487E-2</v>
      </c>
    </row>
    <row r="110" spans="52:80" x14ac:dyDescent="0.25">
      <c r="AZ110" s="32">
        <v>107</v>
      </c>
      <c r="BA110" s="32">
        <v>0.99568701493431255</v>
      </c>
      <c r="BB110" s="32">
        <v>1</v>
      </c>
      <c r="BC110" s="32">
        <v>95</v>
      </c>
      <c r="BD110" s="32">
        <v>72.492499999999993</v>
      </c>
      <c r="BZ110">
        <v>9.3023255813953487E-2</v>
      </c>
      <c r="CA110">
        <v>0.35424354243542433</v>
      </c>
      <c r="CB110">
        <v>9.3023255813953487E-2</v>
      </c>
    </row>
    <row r="111" spans="52:80" x14ac:dyDescent="0.25">
      <c r="AZ111" s="32">
        <v>108</v>
      </c>
      <c r="BA111" s="32">
        <v>0.99564615208828411</v>
      </c>
      <c r="BB111" s="32">
        <v>1</v>
      </c>
      <c r="BC111" s="32">
        <v>96</v>
      </c>
      <c r="BD111" s="32">
        <v>73.17</v>
      </c>
      <c r="BZ111">
        <v>9.3023255813953487E-2</v>
      </c>
      <c r="CA111">
        <v>0.35793357933579334</v>
      </c>
      <c r="CB111">
        <v>9.3023255813953487E-2</v>
      </c>
    </row>
    <row r="112" spans="52:80" x14ac:dyDescent="0.25">
      <c r="AZ112" s="32">
        <v>109</v>
      </c>
      <c r="BA112" s="32">
        <v>0.99556257367310474</v>
      </c>
      <c r="BB112" s="32">
        <v>1</v>
      </c>
      <c r="BC112" s="32">
        <v>97</v>
      </c>
      <c r="BD112" s="32">
        <v>73.847499999999997</v>
      </c>
      <c r="BZ112">
        <v>9.3023255813953487E-2</v>
      </c>
      <c r="CA112">
        <v>0.36162361623616235</v>
      </c>
      <c r="CB112">
        <v>9.3023255813953487E-2</v>
      </c>
    </row>
    <row r="113" spans="52:80" x14ac:dyDescent="0.25">
      <c r="AZ113" s="32">
        <v>110</v>
      </c>
      <c r="BA113" s="32">
        <v>0.99548269848976212</v>
      </c>
      <c r="BB113" s="32">
        <v>1</v>
      </c>
      <c r="BC113" s="32">
        <v>98</v>
      </c>
      <c r="BD113" s="32">
        <v>74.525000000000006</v>
      </c>
      <c r="BZ113">
        <v>9.3023255813953487E-2</v>
      </c>
      <c r="CA113">
        <v>0.36531365313653136</v>
      </c>
      <c r="CB113">
        <v>9.3023255813953487E-2</v>
      </c>
    </row>
    <row r="114" spans="52:80" x14ac:dyDescent="0.25">
      <c r="AZ114" s="32">
        <v>111</v>
      </c>
      <c r="BA114" s="32">
        <v>0.99521419892203034</v>
      </c>
      <c r="BB114" s="32">
        <v>1</v>
      </c>
      <c r="BC114" s="32">
        <v>99</v>
      </c>
      <c r="BD114" s="32">
        <v>75.202500000000001</v>
      </c>
      <c r="BZ114">
        <v>9.3023255813953487E-2</v>
      </c>
      <c r="CA114">
        <v>0.36900369003690037</v>
      </c>
      <c r="CB114">
        <v>9.3023255813953487E-2</v>
      </c>
    </row>
    <row r="115" spans="52:80" x14ac:dyDescent="0.25">
      <c r="AZ115" s="32">
        <v>112</v>
      </c>
      <c r="BA115" s="32">
        <v>0.99489085707422742</v>
      </c>
      <c r="BB115" s="32">
        <v>1</v>
      </c>
      <c r="BC115" s="32">
        <v>100</v>
      </c>
      <c r="BD115" s="32">
        <v>75.88</v>
      </c>
      <c r="BZ115">
        <v>9.3023255813953487E-2</v>
      </c>
      <c r="CA115">
        <v>0.37269372693726938</v>
      </c>
      <c r="CB115">
        <v>9.3023255813953487E-2</v>
      </c>
    </row>
    <row r="116" spans="52:80" x14ac:dyDescent="0.25">
      <c r="AZ116" s="32">
        <v>113</v>
      </c>
      <c r="BA116" s="32">
        <v>0.99471969553531403</v>
      </c>
      <c r="BB116" s="32">
        <v>1</v>
      </c>
      <c r="BC116" s="32">
        <v>101</v>
      </c>
      <c r="BD116" s="32">
        <v>76.557500000000005</v>
      </c>
      <c r="BZ116">
        <v>9.3023255813953487E-2</v>
      </c>
      <c r="CA116">
        <v>0.37638376383763839</v>
      </c>
      <c r="CB116">
        <v>9.3023255813953487E-2</v>
      </c>
    </row>
    <row r="117" spans="52:80" x14ac:dyDescent="0.25">
      <c r="AZ117" s="32">
        <v>114</v>
      </c>
      <c r="BA117" s="32">
        <v>0.99466763674078928</v>
      </c>
      <c r="BB117" s="32">
        <v>1</v>
      </c>
      <c r="BC117" s="32">
        <v>102</v>
      </c>
      <c r="BD117" s="32">
        <v>77.234999999999999</v>
      </c>
      <c r="BZ117">
        <v>9.3023255813953487E-2</v>
      </c>
      <c r="CA117">
        <v>0.38007380073800739</v>
      </c>
      <c r="CB117">
        <v>9.3023255813953487E-2</v>
      </c>
    </row>
    <row r="118" spans="52:80" x14ac:dyDescent="0.25">
      <c r="AZ118" s="32">
        <v>115</v>
      </c>
      <c r="BA118" s="32">
        <v>0.99457624897667862</v>
      </c>
      <c r="BB118" s="32">
        <v>1</v>
      </c>
      <c r="BC118" s="32">
        <v>103</v>
      </c>
      <c r="BD118" s="32">
        <v>77.912499999999994</v>
      </c>
      <c r="BZ118">
        <v>9.3023255813953487E-2</v>
      </c>
      <c r="CA118">
        <v>0.3837638376383764</v>
      </c>
      <c r="CB118">
        <v>9.3023255813953487E-2</v>
      </c>
    </row>
    <row r="119" spans="52:80" x14ac:dyDescent="0.25">
      <c r="AZ119" s="32">
        <v>116</v>
      </c>
      <c r="BA119" s="32">
        <v>0.99451109035145457</v>
      </c>
      <c r="BB119" s="32">
        <v>1</v>
      </c>
      <c r="BC119" s="32">
        <v>104</v>
      </c>
      <c r="BD119" s="32">
        <v>78.59</v>
      </c>
      <c r="BZ119">
        <v>9.3023255813953487E-2</v>
      </c>
      <c r="CA119">
        <v>0.38745387453874541</v>
      </c>
      <c r="CB119">
        <v>9.3023255813953487E-2</v>
      </c>
    </row>
    <row r="120" spans="52:80" x14ac:dyDescent="0.25">
      <c r="AZ120" s="32">
        <v>117</v>
      </c>
      <c r="BA120" s="32">
        <v>0.99396972859504829</v>
      </c>
      <c r="BB120" s="32">
        <v>1</v>
      </c>
      <c r="BC120" s="32">
        <v>105</v>
      </c>
      <c r="BD120" s="32">
        <v>79.267499999999998</v>
      </c>
      <c r="BZ120">
        <v>0.10077519379844961</v>
      </c>
      <c r="CA120">
        <v>0.38745387453874541</v>
      </c>
      <c r="CB120">
        <v>0.10077519379844961</v>
      </c>
    </row>
    <row r="121" spans="52:80" x14ac:dyDescent="0.25">
      <c r="AZ121" s="32">
        <v>118</v>
      </c>
      <c r="BA121" s="32">
        <v>0.9939497945197453</v>
      </c>
      <c r="BB121" s="32">
        <v>0</v>
      </c>
      <c r="BC121" s="32">
        <v>105</v>
      </c>
      <c r="BD121" s="32">
        <v>79.944999999999993</v>
      </c>
      <c r="BZ121">
        <v>0.10852713178294573</v>
      </c>
      <c r="CA121">
        <v>0.38745387453874541</v>
      </c>
      <c r="CB121">
        <v>0.10852713178294573</v>
      </c>
    </row>
    <row r="122" spans="52:80" x14ac:dyDescent="0.25">
      <c r="AZ122" s="32">
        <v>119</v>
      </c>
      <c r="BA122" s="32">
        <v>0.99378967994524392</v>
      </c>
      <c r="BB122" s="32">
        <v>0</v>
      </c>
      <c r="BC122" s="32">
        <v>105</v>
      </c>
      <c r="BD122" s="32">
        <v>80.622500000000002</v>
      </c>
      <c r="BZ122">
        <v>0.10852713178294573</v>
      </c>
      <c r="CA122">
        <v>0.39114391143911437</v>
      </c>
      <c r="CB122">
        <v>0.10852713178294573</v>
      </c>
    </row>
    <row r="123" spans="52:80" x14ac:dyDescent="0.25">
      <c r="AZ123" s="32">
        <v>120</v>
      </c>
      <c r="BA123" s="32">
        <v>0.99356609049286904</v>
      </c>
      <c r="BB123" s="32">
        <v>1</v>
      </c>
      <c r="BC123" s="32">
        <v>106</v>
      </c>
      <c r="BD123" s="32">
        <v>81.3</v>
      </c>
      <c r="BZ123">
        <v>0.10852713178294573</v>
      </c>
      <c r="CA123">
        <v>0.39483394833948338</v>
      </c>
      <c r="CB123">
        <v>0.10852713178294573</v>
      </c>
    </row>
    <row r="124" spans="52:80" x14ac:dyDescent="0.25">
      <c r="AZ124" s="33">
        <v>121</v>
      </c>
      <c r="BA124" s="33">
        <v>0.99356337871123535</v>
      </c>
      <c r="BB124" s="33">
        <v>1</v>
      </c>
      <c r="BC124" s="33">
        <v>107</v>
      </c>
      <c r="BD124" s="33">
        <v>81.977499999999992</v>
      </c>
      <c r="BZ124">
        <v>0.10852713178294573</v>
      </c>
      <c r="CA124">
        <v>0.39852398523985239</v>
      </c>
      <c r="CB124">
        <v>0.10852713178294573</v>
      </c>
    </row>
    <row r="125" spans="52:80" x14ac:dyDescent="0.25">
      <c r="AZ125" s="33">
        <v>122</v>
      </c>
      <c r="BA125" s="33">
        <v>0.99336836361105929</v>
      </c>
      <c r="BB125" s="33">
        <v>1</v>
      </c>
      <c r="BC125" s="33">
        <v>108</v>
      </c>
      <c r="BD125" s="33">
        <v>82.655000000000001</v>
      </c>
      <c r="BZ125">
        <v>0.10852713178294573</v>
      </c>
      <c r="CA125">
        <v>0.40221402214022139</v>
      </c>
      <c r="CB125">
        <v>0.10852713178294573</v>
      </c>
    </row>
    <row r="126" spans="52:80" x14ac:dyDescent="0.25">
      <c r="AZ126" s="33">
        <v>123</v>
      </c>
      <c r="BA126" s="33">
        <v>0.99311421074721484</v>
      </c>
      <c r="BB126" s="33">
        <v>1</v>
      </c>
      <c r="BC126" s="33">
        <v>109</v>
      </c>
      <c r="BD126" s="33">
        <v>83.332499999999996</v>
      </c>
      <c r="BZ126">
        <v>0.10852713178294573</v>
      </c>
      <c r="CA126">
        <v>0.4059040590405904</v>
      </c>
      <c r="CB126">
        <v>0.10852713178294573</v>
      </c>
    </row>
    <row r="127" spans="52:80" x14ac:dyDescent="0.25">
      <c r="AZ127" s="33">
        <v>124</v>
      </c>
      <c r="BA127" s="33">
        <v>0.99276262359619327</v>
      </c>
      <c r="BB127" s="33">
        <v>1</v>
      </c>
      <c r="BC127" s="33">
        <v>110</v>
      </c>
      <c r="BD127" s="33">
        <v>84.01</v>
      </c>
      <c r="BZ127">
        <v>0.10852713178294573</v>
      </c>
      <c r="CA127">
        <v>0.40959409594095941</v>
      </c>
      <c r="CB127">
        <v>0.10852713178294573</v>
      </c>
    </row>
    <row r="128" spans="52:80" x14ac:dyDescent="0.25">
      <c r="AZ128" s="33">
        <v>125</v>
      </c>
      <c r="BA128" s="33">
        <v>0.99251666880542777</v>
      </c>
      <c r="BB128" s="33">
        <v>1</v>
      </c>
      <c r="BC128" s="33">
        <v>111</v>
      </c>
      <c r="BD128" s="33">
        <v>84.6875</v>
      </c>
      <c r="BZ128">
        <v>0.10852713178294573</v>
      </c>
      <c r="CA128">
        <v>0.41328413284132842</v>
      </c>
      <c r="CB128">
        <v>0.10852713178294573</v>
      </c>
    </row>
    <row r="129" spans="52:80" x14ac:dyDescent="0.25">
      <c r="AZ129" s="33">
        <v>126</v>
      </c>
      <c r="BA129" s="33">
        <v>0.99164471890440786</v>
      </c>
      <c r="BB129" s="33">
        <v>1</v>
      </c>
      <c r="BC129" s="33">
        <v>112</v>
      </c>
      <c r="BD129" s="33">
        <v>85.364999999999995</v>
      </c>
      <c r="BZ129">
        <v>0.11627906976744186</v>
      </c>
      <c r="CA129">
        <v>0.41328413284132842</v>
      </c>
      <c r="CB129">
        <v>0.11627906976744186</v>
      </c>
    </row>
    <row r="130" spans="52:80" x14ac:dyDescent="0.25">
      <c r="AZ130" s="33">
        <v>127</v>
      </c>
      <c r="BA130" s="33">
        <v>0.99156867055483833</v>
      </c>
      <c r="BB130" s="33">
        <v>0</v>
      </c>
      <c r="BC130" s="33">
        <v>112</v>
      </c>
      <c r="BD130" s="33">
        <v>86.042500000000004</v>
      </c>
      <c r="BZ130">
        <v>0.12403100775193798</v>
      </c>
      <c r="CA130">
        <v>0.41328413284132842</v>
      </c>
      <c r="CB130">
        <v>0.12403100775193798</v>
      </c>
    </row>
    <row r="131" spans="52:80" x14ac:dyDescent="0.25">
      <c r="AZ131" s="33">
        <v>128</v>
      </c>
      <c r="BA131" s="33">
        <v>0.99149630654597043</v>
      </c>
      <c r="BB131" s="33">
        <v>0</v>
      </c>
      <c r="BC131" s="33">
        <v>112</v>
      </c>
      <c r="BD131" s="33">
        <v>86.72</v>
      </c>
      <c r="BZ131">
        <v>0.12403100775193798</v>
      </c>
      <c r="CA131">
        <v>0.41697416974169743</v>
      </c>
      <c r="CB131">
        <v>0.12403100775193798</v>
      </c>
    </row>
    <row r="132" spans="52:80" x14ac:dyDescent="0.25">
      <c r="AZ132" s="33">
        <v>129</v>
      </c>
      <c r="BA132" s="33">
        <v>0.99062724247620115</v>
      </c>
      <c r="BB132" s="33">
        <v>1</v>
      </c>
      <c r="BC132" s="33">
        <v>113</v>
      </c>
      <c r="BD132" s="33">
        <v>87.397499999999994</v>
      </c>
      <c r="BZ132">
        <v>0.12403100775193798</v>
      </c>
      <c r="CA132">
        <v>0.42066420664206644</v>
      </c>
      <c r="CB132">
        <v>0.12403100775193798</v>
      </c>
    </row>
    <row r="133" spans="52:80" x14ac:dyDescent="0.25">
      <c r="AZ133" s="33">
        <v>130</v>
      </c>
      <c r="BA133" s="33">
        <v>0.99036484996460861</v>
      </c>
      <c r="BB133" s="33">
        <v>1</v>
      </c>
      <c r="BC133" s="33">
        <v>114</v>
      </c>
      <c r="BD133" s="33">
        <v>88.075000000000003</v>
      </c>
      <c r="BZ133">
        <v>0.12403100775193798</v>
      </c>
      <c r="CA133">
        <v>0.42435424354243545</v>
      </c>
      <c r="CB133">
        <v>0.12403100775193798</v>
      </c>
    </row>
    <row r="134" spans="52:80" x14ac:dyDescent="0.25">
      <c r="AZ134" s="33">
        <v>131</v>
      </c>
      <c r="BA134" s="33">
        <v>0.99006351669740922</v>
      </c>
      <c r="BB134" s="33">
        <v>1</v>
      </c>
      <c r="BC134" s="33">
        <v>115</v>
      </c>
      <c r="BD134" s="33">
        <v>88.752499999999998</v>
      </c>
      <c r="BZ134">
        <v>0.12403100775193798</v>
      </c>
      <c r="CA134">
        <v>0.4280442804428044</v>
      </c>
      <c r="CB134">
        <v>0.12403100775193798</v>
      </c>
    </row>
    <row r="135" spans="52:80" x14ac:dyDescent="0.25">
      <c r="AZ135" s="33">
        <v>132</v>
      </c>
      <c r="BA135" s="33">
        <v>0.9892208601818745</v>
      </c>
      <c r="BB135" s="33">
        <v>1</v>
      </c>
      <c r="BC135" s="33">
        <v>116</v>
      </c>
      <c r="BD135" s="33">
        <v>89.429999999999993</v>
      </c>
      <c r="BZ135">
        <v>0.12403100775193798</v>
      </c>
      <c r="CA135">
        <v>0.43173431734317341</v>
      </c>
      <c r="CB135">
        <v>0.12403100775193798</v>
      </c>
    </row>
    <row r="136" spans="52:80" x14ac:dyDescent="0.25">
      <c r="AZ136" s="33">
        <v>133</v>
      </c>
      <c r="BA136" s="33">
        <v>0.98823640677679836</v>
      </c>
      <c r="BB136" s="33">
        <v>1</v>
      </c>
      <c r="BC136" s="33">
        <v>117</v>
      </c>
      <c r="BD136" s="33">
        <v>90.107500000000002</v>
      </c>
      <c r="BZ136">
        <v>0.12403100775193798</v>
      </c>
      <c r="CA136">
        <v>0.43542435424354242</v>
      </c>
      <c r="CB136">
        <v>0.12403100775193798</v>
      </c>
    </row>
    <row r="137" spans="52:80" x14ac:dyDescent="0.25">
      <c r="AZ137" s="33">
        <v>134</v>
      </c>
      <c r="BA137" s="33">
        <v>0.98798198645126911</v>
      </c>
      <c r="BB137" s="33">
        <v>1</v>
      </c>
      <c r="BC137" s="33">
        <v>118</v>
      </c>
      <c r="BD137" s="33">
        <v>90.784999999999997</v>
      </c>
      <c r="BZ137">
        <v>0.12403100775193798</v>
      </c>
      <c r="CA137">
        <v>0.43911439114391143</v>
      </c>
      <c r="CB137">
        <v>0.12403100775193798</v>
      </c>
    </row>
    <row r="138" spans="52:80" x14ac:dyDescent="0.25">
      <c r="AZ138" s="33">
        <v>135</v>
      </c>
      <c r="BA138" s="33">
        <v>0.98793655756965171</v>
      </c>
      <c r="BB138" s="33">
        <v>1</v>
      </c>
      <c r="BC138" s="33">
        <v>119</v>
      </c>
      <c r="BD138" s="33">
        <v>91.462500000000006</v>
      </c>
      <c r="BZ138">
        <v>0.12403100775193798</v>
      </c>
      <c r="CA138">
        <v>0.44280442804428044</v>
      </c>
      <c r="CB138">
        <v>0.12403100775193798</v>
      </c>
    </row>
    <row r="139" spans="52:80" x14ac:dyDescent="0.25">
      <c r="AZ139" s="33">
        <v>136</v>
      </c>
      <c r="BA139" s="33">
        <v>0.98774676057085853</v>
      </c>
      <c r="BB139" s="33">
        <v>1</v>
      </c>
      <c r="BC139" s="33">
        <v>120</v>
      </c>
      <c r="BD139" s="33">
        <v>92.14</v>
      </c>
      <c r="BZ139">
        <v>0.12403100775193798</v>
      </c>
      <c r="CA139">
        <v>0.44649446494464945</v>
      </c>
      <c r="CB139">
        <v>0.12403100775193798</v>
      </c>
    </row>
    <row r="140" spans="52:80" x14ac:dyDescent="0.25">
      <c r="AZ140" s="33">
        <v>137</v>
      </c>
      <c r="BA140" s="33">
        <v>0.98770858902038583</v>
      </c>
      <c r="BB140" s="33">
        <v>1</v>
      </c>
      <c r="BC140" s="33">
        <v>121</v>
      </c>
      <c r="BD140" s="33">
        <v>92.817499999999995</v>
      </c>
      <c r="BZ140">
        <v>0.12403100775193798</v>
      </c>
      <c r="CA140">
        <v>0.45018450184501846</v>
      </c>
      <c r="CB140">
        <v>0.12403100775193798</v>
      </c>
    </row>
    <row r="141" spans="52:80" x14ac:dyDescent="0.25">
      <c r="AZ141" s="33">
        <v>138</v>
      </c>
      <c r="BA141" s="33">
        <v>0.98752343784499352</v>
      </c>
      <c r="BB141" s="33">
        <v>1</v>
      </c>
      <c r="BC141" s="33">
        <v>122</v>
      </c>
      <c r="BD141" s="33">
        <v>93.495000000000005</v>
      </c>
      <c r="BZ141">
        <v>0.12403100775193798</v>
      </c>
      <c r="CA141">
        <v>0.45387453874538747</v>
      </c>
      <c r="CB141">
        <v>0.12403100775193798</v>
      </c>
    </row>
    <row r="142" spans="52:80" x14ac:dyDescent="0.25">
      <c r="AZ142" s="33">
        <v>139</v>
      </c>
      <c r="BA142" s="33">
        <v>0.98704761285022891</v>
      </c>
      <c r="BB142" s="33">
        <v>1</v>
      </c>
      <c r="BC142" s="33">
        <v>123</v>
      </c>
      <c r="BD142" s="33">
        <v>94.172499999999999</v>
      </c>
      <c r="BZ142">
        <v>0.12403100775193798</v>
      </c>
      <c r="CA142">
        <v>0.45756457564575648</v>
      </c>
      <c r="CB142">
        <v>0.12403100775193798</v>
      </c>
    </row>
    <row r="143" spans="52:80" x14ac:dyDescent="0.25">
      <c r="AZ143" s="33">
        <v>140</v>
      </c>
      <c r="BA143" s="33">
        <v>0.98690436344693899</v>
      </c>
      <c r="BB143" s="33">
        <v>1</v>
      </c>
      <c r="BC143" s="33">
        <v>124</v>
      </c>
      <c r="BD143" s="33">
        <v>94.85</v>
      </c>
      <c r="BZ143">
        <v>0.12403100775193798</v>
      </c>
      <c r="CA143">
        <v>0.46125461254612549</v>
      </c>
      <c r="CB143">
        <v>0.12403100775193798</v>
      </c>
    </row>
    <row r="144" spans="52:80" x14ac:dyDescent="0.25">
      <c r="AZ144" s="33">
        <v>141</v>
      </c>
      <c r="BA144" s="33">
        <v>0.98687231006401965</v>
      </c>
      <c r="BB144" s="33">
        <v>1</v>
      </c>
      <c r="BC144" s="33">
        <v>125</v>
      </c>
      <c r="BD144" s="33">
        <v>95.527500000000003</v>
      </c>
      <c r="BZ144">
        <v>0.12403100775193798</v>
      </c>
      <c r="CA144">
        <v>0.46494464944649444</v>
      </c>
      <c r="CB144">
        <v>0.12403100775193798</v>
      </c>
    </row>
    <row r="145" spans="52:80" x14ac:dyDescent="0.25">
      <c r="AZ145" s="33">
        <v>142</v>
      </c>
      <c r="BA145" s="33">
        <v>0.98686982293235437</v>
      </c>
      <c r="BB145" s="33">
        <v>1</v>
      </c>
      <c r="BC145" s="33">
        <v>126</v>
      </c>
      <c r="BD145" s="33">
        <v>96.204999999999998</v>
      </c>
      <c r="BZ145">
        <v>0.12403100775193798</v>
      </c>
      <c r="CA145">
        <v>0.46863468634686345</v>
      </c>
      <c r="CB145">
        <v>0.12403100775193798</v>
      </c>
    </row>
    <row r="146" spans="52:80" x14ac:dyDescent="0.25">
      <c r="AZ146" s="33">
        <v>143</v>
      </c>
      <c r="BA146" s="33">
        <v>0.98644206371322041</v>
      </c>
      <c r="BB146" s="33">
        <v>1</v>
      </c>
      <c r="BC146" s="33">
        <v>127</v>
      </c>
      <c r="BD146" s="33">
        <v>96.882499999999993</v>
      </c>
      <c r="BZ146">
        <v>0.12403100775193798</v>
      </c>
      <c r="CA146">
        <v>0.47232472324723246</v>
      </c>
      <c r="CB146">
        <v>0.12403100775193798</v>
      </c>
    </row>
    <row r="147" spans="52:80" x14ac:dyDescent="0.25">
      <c r="AZ147" s="33">
        <v>144</v>
      </c>
      <c r="BA147" s="33">
        <v>0.98542560714942684</v>
      </c>
      <c r="BB147" s="33">
        <v>1</v>
      </c>
      <c r="BC147" s="33">
        <v>128</v>
      </c>
      <c r="BD147" s="33">
        <v>97.56</v>
      </c>
      <c r="BZ147">
        <v>0.12403100775193798</v>
      </c>
      <c r="CA147">
        <v>0.47601476014760147</v>
      </c>
      <c r="CB147">
        <v>0.12403100775193798</v>
      </c>
    </row>
    <row r="148" spans="52:80" x14ac:dyDescent="0.25">
      <c r="AZ148" s="33">
        <v>145</v>
      </c>
      <c r="BA148" s="33">
        <v>0.98480630212863507</v>
      </c>
      <c r="BB148" s="33">
        <v>1</v>
      </c>
      <c r="BC148" s="33">
        <v>129</v>
      </c>
      <c r="BD148" s="33">
        <v>98.237499999999997</v>
      </c>
      <c r="BZ148">
        <v>0.12403100775193798</v>
      </c>
      <c r="CA148">
        <v>0.47970479704797048</v>
      </c>
      <c r="CB148">
        <v>0.12403100775193798</v>
      </c>
    </row>
    <row r="149" spans="52:80" x14ac:dyDescent="0.25">
      <c r="AZ149" s="33">
        <v>146</v>
      </c>
      <c r="BA149" s="33">
        <v>0.98460379088524008</v>
      </c>
      <c r="BB149" s="33">
        <v>1</v>
      </c>
      <c r="BC149" s="33">
        <v>130</v>
      </c>
      <c r="BD149" s="33">
        <v>98.914999999999992</v>
      </c>
      <c r="BZ149">
        <v>0.13178294573643412</v>
      </c>
      <c r="CA149">
        <v>0.47970479704797048</v>
      </c>
      <c r="CB149">
        <v>0.13178294573643412</v>
      </c>
    </row>
    <row r="150" spans="52:80" x14ac:dyDescent="0.25">
      <c r="AZ150" s="33">
        <v>147</v>
      </c>
      <c r="BA150" s="33">
        <v>0.98436014691471141</v>
      </c>
      <c r="BB150" s="33">
        <v>0</v>
      </c>
      <c r="BC150" s="33">
        <v>130</v>
      </c>
      <c r="BD150" s="33">
        <v>99.592500000000001</v>
      </c>
      <c r="BZ150">
        <v>0.13178294573643412</v>
      </c>
      <c r="CA150">
        <v>0.48339483394833949</v>
      </c>
      <c r="CB150">
        <v>0.13178294573643412</v>
      </c>
    </row>
    <row r="151" spans="52:80" x14ac:dyDescent="0.25">
      <c r="AZ151" s="33">
        <v>148</v>
      </c>
      <c r="BA151" s="33">
        <v>0.98423820816870911</v>
      </c>
      <c r="BB151" s="33">
        <v>1</v>
      </c>
      <c r="BC151" s="33">
        <v>131</v>
      </c>
      <c r="BD151" s="33">
        <v>100.27</v>
      </c>
      <c r="BZ151">
        <v>0.13178294573643412</v>
      </c>
      <c r="CA151">
        <v>0.4870848708487085</v>
      </c>
      <c r="CB151">
        <v>0.13178294573643412</v>
      </c>
    </row>
    <row r="152" spans="52:80" x14ac:dyDescent="0.25">
      <c r="AZ152" s="33">
        <v>149</v>
      </c>
      <c r="BA152" s="33">
        <v>0.98381507746927432</v>
      </c>
      <c r="BB152" s="33">
        <v>1</v>
      </c>
      <c r="BC152" s="33">
        <v>132</v>
      </c>
      <c r="BD152" s="33">
        <v>100.94750000000001</v>
      </c>
      <c r="BZ152">
        <v>0.13178294573643412</v>
      </c>
      <c r="CA152">
        <v>0.4907749077490775</v>
      </c>
      <c r="CB152">
        <v>0.13178294573643412</v>
      </c>
    </row>
    <row r="153" spans="52:80" x14ac:dyDescent="0.25">
      <c r="AZ153" s="33">
        <v>150</v>
      </c>
      <c r="BA153" s="33">
        <v>0.98367249116710009</v>
      </c>
      <c r="BB153" s="33">
        <v>1</v>
      </c>
      <c r="BC153" s="33">
        <v>133</v>
      </c>
      <c r="BD153" s="33">
        <v>101.625</v>
      </c>
      <c r="BZ153">
        <v>0.13953488372093023</v>
      </c>
      <c r="CA153">
        <v>0.4907749077490775</v>
      </c>
      <c r="CB153">
        <v>0.13953488372093023</v>
      </c>
    </row>
    <row r="154" spans="52:80" x14ac:dyDescent="0.25">
      <c r="AZ154" s="33">
        <v>151</v>
      </c>
      <c r="BA154" s="33">
        <v>0.98358977098315314</v>
      </c>
      <c r="BB154" s="33">
        <v>0</v>
      </c>
      <c r="BC154" s="33">
        <v>133</v>
      </c>
      <c r="BD154" s="33">
        <v>102.30249999999999</v>
      </c>
      <c r="BZ154">
        <v>0.14728682170542637</v>
      </c>
      <c r="CA154">
        <v>0.4907749077490775</v>
      </c>
      <c r="CB154">
        <v>0.14728682170542637</v>
      </c>
    </row>
    <row r="155" spans="52:80" x14ac:dyDescent="0.25">
      <c r="AZ155" s="33">
        <v>152</v>
      </c>
      <c r="BA155" s="33">
        <v>0.9824579500578059</v>
      </c>
      <c r="BB155" s="33">
        <v>0</v>
      </c>
      <c r="BC155" s="33">
        <v>133</v>
      </c>
      <c r="BD155" s="33">
        <v>102.98</v>
      </c>
      <c r="BZ155">
        <v>0.14728682170542637</v>
      </c>
      <c r="CA155">
        <v>0.49446494464944651</v>
      </c>
      <c r="CB155">
        <v>0.14728682170542637</v>
      </c>
    </row>
    <row r="156" spans="52:80" x14ac:dyDescent="0.25">
      <c r="AZ156" s="33">
        <v>153</v>
      </c>
      <c r="BA156" s="33">
        <v>0.9808021895697987</v>
      </c>
      <c r="BB156" s="33">
        <v>1</v>
      </c>
      <c r="BC156" s="33">
        <v>134</v>
      </c>
      <c r="BD156" s="33">
        <v>103.6575</v>
      </c>
      <c r="BZ156">
        <v>0.15503875968992248</v>
      </c>
      <c r="CA156">
        <v>0.49446494464944651</v>
      </c>
      <c r="CB156">
        <v>0.15503875968992248</v>
      </c>
    </row>
    <row r="157" spans="52:80" x14ac:dyDescent="0.25">
      <c r="AZ157" s="33">
        <v>154</v>
      </c>
      <c r="BA157" s="33">
        <v>0.97918933148538545</v>
      </c>
      <c r="BB157" s="33">
        <v>0</v>
      </c>
      <c r="BC157" s="33">
        <v>134</v>
      </c>
      <c r="BD157" s="33">
        <v>104.33499999999999</v>
      </c>
      <c r="BZ157">
        <v>0.15503875968992248</v>
      </c>
      <c r="CA157">
        <v>0.49815498154981552</v>
      </c>
      <c r="CB157">
        <v>0.15503875968992248</v>
      </c>
    </row>
    <row r="158" spans="52:80" x14ac:dyDescent="0.25">
      <c r="AZ158" s="33">
        <v>155</v>
      </c>
      <c r="BA158" s="33">
        <v>0.97792848081814709</v>
      </c>
      <c r="BB158" s="33">
        <v>1</v>
      </c>
      <c r="BC158" s="33">
        <v>135</v>
      </c>
      <c r="BD158" s="33">
        <v>105.0125</v>
      </c>
      <c r="BZ158">
        <v>0.15503875968992248</v>
      </c>
      <c r="CA158">
        <v>0.50184501845018448</v>
      </c>
      <c r="CB158">
        <v>0.15503875968992248</v>
      </c>
    </row>
    <row r="159" spans="52:80" x14ac:dyDescent="0.25">
      <c r="AZ159" s="33">
        <v>156</v>
      </c>
      <c r="BA159" s="33">
        <v>0.97768558427431551</v>
      </c>
      <c r="BB159" s="33">
        <v>1</v>
      </c>
      <c r="BC159" s="33">
        <v>136</v>
      </c>
      <c r="BD159" s="33">
        <v>105.69</v>
      </c>
      <c r="BZ159">
        <v>0.15503875968992248</v>
      </c>
      <c r="CA159">
        <v>0.50553505535055354</v>
      </c>
      <c r="CB159">
        <v>0.15503875968992248</v>
      </c>
    </row>
    <row r="160" spans="52:80" x14ac:dyDescent="0.25">
      <c r="AZ160" s="33">
        <v>157</v>
      </c>
      <c r="BA160" s="33">
        <v>0.97759528788655237</v>
      </c>
      <c r="BB160" s="33">
        <v>1</v>
      </c>
      <c r="BC160" s="33">
        <v>137</v>
      </c>
      <c r="BD160" s="33">
        <v>106.36749999999999</v>
      </c>
      <c r="BZ160">
        <v>0.15503875968992248</v>
      </c>
      <c r="CA160">
        <v>0.5092250922509225</v>
      </c>
      <c r="CB160">
        <v>0.15503875968992248</v>
      </c>
    </row>
    <row r="161" spans="52:80" x14ac:dyDescent="0.25">
      <c r="AZ161" s="33">
        <v>158</v>
      </c>
      <c r="BA161" s="33">
        <v>0.97661869394894185</v>
      </c>
      <c r="BB161" s="33">
        <v>1</v>
      </c>
      <c r="BC161" s="33">
        <v>138</v>
      </c>
      <c r="BD161" s="33">
        <v>107.045</v>
      </c>
      <c r="BZ161">
        <v>0.15503875968992248</v>
      </c>
      <c r="CA161">
        <v>0.51291512915129156</v>
      </c>
      <c r="CB161">
        <v>0.15503875968992248</v>
      </c>
    </row>
    <row r="162" spans="52:80" x14ac:dyDescent="0.25">
      <c r="AZ162" s="33">
        <v>159</v>
      </c>
      <c r="BA162" s="33">
        <v>0.97584532000612112</v>
      </c>
      <c r="BB162" s="33">
        <v>1</v>
      </c>
      <c r="BC162" s="33">
        <v>139</v>
      </c>
      <c r="BD162" s="33">
        <v>107.7225</v>
      </c>
      <c r="BZ162">
        <v>0.15503875968992248</v>
      </c>
      <c r="CA162">
        <v>0.51660516605166051</v>
      </c>
      <c r="CB162">
        <v>0.15503875968992248</v>
      </c>
    </row>
    <row r="163" spans="52:80" x14ac:dyDescent="0.25">
      <c r="AZ163" s="33">
        <v>160</v>
      </c>
      <c r="BA163" s="33">
        <v>0.97577609644619934</v>
      </c>
      <c r="BB163" s="33">
        <v>1</v>
      </c>
      <c r="BC163" s="33">
        <v>140</v>
      </c>
      <c r="BD163" s="33">
        <v>108.4</v>
      </c>
      <c r="BZ163">
        <v>0.15503875968992248</v>
      </c>
      <c r="CA163">
        <v>0.52029520295202947</v>
      </c>
      <c r="CB163">
        <v>0.15503875968992248</v>
      </c>
    </row>
    <row r="164" spans="52:80" x14ac:dyDescent="0.25">
      <c r="AZ164" s="32">
        <v>161</v>
      </c>
      <c r="BA164" s="32">
        <v>0.9745156168482616</v>
      </c>
      <c r="BB164" s="32">
        <v>1</v>
      </c>
      <c r="BC164" s="32">
        <v>141</v>
      </c>
      <c r="BD164" s="32">
        <v>109.0775</v>
      </c>
      <c r="BZ164">
        <v>0.15503875968992248</v>
      </c>
      <c r="CA164">
        <v>0.52398523985239853</v>
      </c>
      <c r="CB164">
        <v>0.15503875968992248</v>
      </c>
    </row>
    <row r="165" spans="52:80" x14ac:dyDescent="0.25">
      <c r="AZ165" s="32">
        <v>162</v>
      </c>
      <c r="BA165" s="32">
        <v>0.97441210706101433</v>
      </c>
      <c r="BB165" s="32">
        <v>1</v>
      </c>
      <c r="BC165" s="32">
        <v>142</v>
      </c>
      <c r="BD165" s="32">
        <v>109.755</v>
      </c>
      <c r="BZ165">
        <v>0.15503875968992248</v>
      </c>
      <c r="CA165">
        <v>0.52767527675276749</v>
      </c>
      <c r="CB165">
        <v>0.15503875968992248</v>
      </c>
    </row>
    <row r="166" spans="52:80" x14ac:dyDescent="0.25">
      <c r="AZ166" s="32">
        <v>163</v>
      </c>
      <c r="BA166" s="32">
        <v>0.97397953392412651</v>
      </c>
      <c r="BB166" s="32">
        <v>1</v>
      </c>
      <c r="BC166" s="32">
        <v>143</v>
      </c>
      <c r="BD166" s="32">
        <v>110.4325</v>
      </c>
      <c r="BZ166">
        <v>0.16279069767441862</v>
      </c>
      <c r="CA166">
        <v>0.52767527675276749</v>
      </c>
      <c r="CB166">
        <v>0.16279069767441862</v>
      </c>
    </row>
    <row r="167" spans="52:80" x14ac:dyDescent="0.25">
      <c r="AZ167" s="32">
        <v>164</v>
      </c>
      <c r="BA167" s="32">
        <v>0.97360935049175223</v>
      </c>
      <c r="BB167" s="32">
        <v>0</v>
      </c>
      <c r="BC167" s="32">
        <v>143</v>
      </c>
      <c r="BD167" s="32">
        <v>111.11</v>
      </c>
      <c r="BZ167">
        <v>0.17054263565891473</v>
      </c>
      <c r="CA167">
        <v>0.52767527675276749</v>
      </c>
      <c r="CB167">
        <v>0.17054263565891473</v>
      </c>
    </row>
    <row r="168" spans="52:80" x14ac:dyDescent="0.25">
      <c r="AZ168" s="32">
        <v>165</v>
      </c>
      <c r="BA168" s="32">
        <v>0.97335357601732286</v>
      </c>
      <c r="BB168" s="32">
        <v>0</v>
      </c>
      <c r="BC168" s="32">
        <v>143</v>
      </c>
      <c r="BD168" s="32">
        <v>111.78749999999999</v>
      </c>
      <c r="BZ168">
        <v>0.17054263565891473</v>
      </c>
      <c r="CA168">
        <v>0.53136531365313655</v>
      </c>
      <c r="CB168">
        <v>0.17054263565891473</v>
      </c>
    </row>
    <row r="169" spans="52:80" x14ac:dyDescent="0.25">
      <c r="AZ169" s="32">
        <v>166</v>
      </c>
      <c r="BA169" s="32">
        <v>0.97313567931277012</v>
      </c>
      <c r="BB169" s="32">
        <v>1</v>
      </c>
      <c r="BC169" s="32">
        <v>144</v>
      </c>
      <c r="BD169" s="32">
        <v>112.465</v>
      </c>
      <c r="BZ169">
        <v>0.17054263565891473</v>
      </c>
      <c r="CA169">
        <v>0.5350553505535055</v>
      </c>
      <c r="CB169">
        <v>0.17054263565891473</v>
      </c>
    </row>
    <row r="170" spans="52:80" x14ac:dyDescent="0.25">
      <c r="AZ170" s="32">
        <v>167</v>
      </c>
      <c r="BA170" s="32">
        <v>0.97154959052211531</v>
      </c>
      <c r="BB170" s="32">
        <v>1</v>
      </c>
      <c r="BC170" s="32">
        <v>145</v>
      </c>
      <c r="BD170" s="32">
        <v>113.1425</v>
      </c>
      <c r="BZ170">
        <v>0.17054263565891473</v>
      </c>
      <c r="CA170">
        <v>0.53874538745387457</v>
      </c>
      <c r="CB170">
        <v>0.17054263565891473</v>
      </c>
    </row>
    <row r="171" spans="52:80" x14ac:dyDescent="0.25">
      <c r="AZ171" s="32">
        <v>168</v>
      </c>
      <c r="BA171" s="32">
        <v>0.96639557031469481</v>
      </c>
      <c r="BB171" s="32">
        <v>1</v>
      </c>
      <c r="BC171" s="32">
        <v>146</v>
      </c>
      <c r="BD171" s="32">
        <v>113.82</v>
      </c>
      <c r="BZ171">
        <v>0.17054263565891473</v>
      </c>
      <c r="CA171">
        <v>0.54243542435424352</v>
      </c>
      <c r="CB171">
        <v>0.17054263565891473</v>
      </c>
    </row>
    <row r="172" spans="52:80" x14ac:dyDescent="0.25">
      <c r="AZ172" s="32">
        <v>169</v>
      </c>
      <c r="BA172" s="32">
        <v>0.9663485693823326</v>
      </c>
      <c r="BB172" s="32">
        <v>1</v>
      </c>
      <c r="BC172" s="32">
        <v>147</v>
      </c>
      <c r="BD172" s="32">
        <v>114.4975</v>
      </c>
      <c r="BZ172">
        <v>0.17054263565891473</v>
      </c>
      <c r="CA172">
        <v>0.54612546125461259</v>
      </c>
      <c r="CB172">
        <v>0.17054263565891473</v>
      </c>
    </row>
    <row r="173" spans="52:80" x14ac:dyDescent="0.25">
      <c r="AZ173" s="32">
        <v>170</v>
      </c>
      <c r="BA173" s="32">
        <v>0.96452688682891541</v>
      </c>
      <c r="BB173" s="32">
        <v>1</v>
      </c>
      <c r="BC173" s="32">
        <v>148</v>
      </c>
      <c r="BD173" s="32">
        <v>115.175</v>
      </c>
      <c r="BZ173">
        <v>0.17054263565891473</v>
      </c>
      <c r="CA173">
        <v>0.54981549815498154</v>
      </c>
      <c r="CB173">
        <v>0.17054263565891473</v>
      </c>
    </row>
    <row r="174" spans="52:80" x14ac:dyDescent="0.25">
      <c r="AZ174" s="32">
        <v>171</v>
      </c>
      <c r="BA174" s="32">
        <v>0.96309387865869522</v>
      </c>
      <c r="BB174" s="32">
        <v>1</v>
      </c>
      <c r="BC174" s="32">
        <v>149</v>
      </c>
      <c r="BD174" s="32">
        <v>115.85249999999999</v>
      </c>
      <c r="BZ174">
        <v>0.17829457364341086</v>
      </c>
      <c r="CA174">
        <v>0.54981549815498154</v>
      </c>
      <c r="CB174">
        <v>0.17829457364341086</v>
      </c>
    </row>
    <row r="175" spans="52:80" x14ac:dyDescent="0.25">
      <c r="AZ175" s="32">
        <v>172</v>
      </c>
      <c r="BA175" s="32">
        <v>0.96152070009121371</v>
      </c>
      <c r="BB175" s="32">
        <v>0</v>
      </c>
      <c r="BC175" s="32">
        <v>149</v>
      </c>
      <c r="BD175" s="32">
        <v>116.53</v>
      </c>
      <c r="BZ175">
        <v>0.17829457364341086</v>
      </c>
      <c r="CA175">
        <v>0.55350553505535061</v>
      </c>
      <c r="CB175">
        <v>0.17829457364341086</v>
      </c>
    </row>
    <row r="176" spans="52:80" x14ac:dyDescent="0.25">
      <c r="AZ176" s="32">
        <v>173</v>
      </c>
      <c r="BA176" s="32">
        <v>0.96117789042386403</v>
      </c>
      <c r="BB176" s="32">
        <v>1</v>
      </c>
      <c r="BC176" s="32">
        <v>150</v>
      </c>
      <c r="BD176" s="32">
        <v>117.2075</v>
      </c>
      <c r="BZ176">
        <v>0.17829457364341086</v>
      </c>
      <c r="CA176">
        <v>0.55719557195571956</v>
      </c>
      <c r="CB176">
        <v>0.17829457364341086</v>
      </c>
    </row>
    <row r="177" spans="52:80" x14ac:dyDescent="0.25">
      <c r="AZ177" s="32">
        <v>174</v>
      </c>
      <c r="BA177" s="32">
        <v>0.96110947697982541</v>
      </c>
      <c r="BB177" s="32">
        <v>1</v>
      </c>
      <c r="BC177" s="32">
        <v>151</v>
      </c>
      <c r="BD177" s="32">
        <v>117.88500000000001</v>
      </c>
      <c r="BZ177">
        <v>0.17829457364341086</v>
      </c>
      <c r="CA177">
        <v>0.56088560885608851</v>
      </c>
      <c r="CB177">
        <v>0.17829457364341086</v>
      </c>
    </row>
    <row r="178" spans="52:80" x14ac:dyDescent="0.25">
      <c r="AZ178" s="32">
        <v>175</v>
      </c>
      <c r="BA178" s="32">
        <v>0.96015653984246263</v>
      </c>
      <c r="BB178" s="32">
        <v>1</v>
      </c>
      <c r="BC178" s="32">
        <v>152</v>
      </c>
      <c r="BD178" s="32">
        <v>118.5625</v>
      </c>
      <c r="BZ178">
        <v>0.17829457364341086</v>
      </c>
      <c r="CA178">
        <v>0.56457564575645758</v>
      </c>
      <c r="CB178">
        <v>0.17829457364341086</v>
      </c>
    </row>
    <row r="179" spans="52:80" x14ac:dyDescent="0.25">
      <c r="AZ179" s="32">
        <v>176</v>
      </c>
      <c r="BA179" s="32">
        <v>0.95982544396342095</v>
      </c>
      <c r="BB179" s="32">
        <v>1</v>
      </c>
      <c r="BC179" s="32">
        <v>153</v>
      </c>
      <c r="BD179" s="32">
        <v>119.24</v>
      </c>
      <c r="BZ179">
        <v>0.17829457364341086</v>
      </c>
      <c r="CA179">
        <v>0.56826568265682653</v>
      </c>
      <c r="CB179">
        <v>0.17829457364341086</v>
      </c>
    </row>
    <row r="180" spans="52:80" x14ac:dyDescent="0.25">
      <c r="AZ180" s="32">
        <v>177</v>
      </c>
      <c r="BA180" s="32">
        <v>0.95968217194650773</v>
      </c>
      <c r="BB180" s="32">
        <v>1</v>
      </c>
      <c r="BC180" s="32">
        <v>154</v>
      </c>
      <c r="BD180" s="32">
        <v>119.9175</v>
      </c>
      <c r="BZ180">
        <v>0.18604651162790697</v>
      </c>
      <c r="CA180">
        <v>0.56826568265682653</v>
      </c>
      <c r="CB180">
        <v>0.18604651162790697</v>
      </c>
    </row>
    <row r="181" spans="52:80" x14ac:dyDescent="0.25">
      <c r="AZ181" s="32">
        <v>178</v>
      </c>
      <c r="BA181" s="32">
        <v>0.95725795836389094</v>
      </c>
      <c r="BB181" s="32">
        <v>0</v>
      </c>
      <c r="BC181" s="32">
        <v>154</v>
      </c>
      <c r="BD181" s="32">
        <v>120.595</v>
      </c>
      <c r="BZ181">
        <v>0.18604651162790697</v>
      </c>
      <c r="CA181">
        <v>0.5719557195571956</v>
      </c>
      <c r="CB181">
        <v>0.18604651162790697</v>
      </c>
    </row>
    <row r="182" spans="52:80" x14ac:dyDescent="0.25">
      <c r="AZ182" s="32">
        <v>179</v>
      </c>
      <c r="BA182" s="32">
        <v>0.95675828540453101</v>
      </c>
      <c r="BB182" s="32">
        <v>1</v>
      </c>
      <c r="BC182" s="32">
        <v>155</v>
      </c>
      <c r="BD182" s="32">
        <v>121.27249999999999</v>
      </c>
      <c r="BZ182">
        <v>0.19379844961240311</v>
      </c>
      <c r="CA182">
        <v>0.5719557195571956</v>
      </c>
      <c r="CB182">
        <v>0.19379844961240311</v>
      </c>
    </row>
    <row r="183" spans="52:80" x14ac:dyDescent="0.25">
      <c r="AZ183" s="32">
        <v>180</v>
      </c>
      <c r="BA183" s="32">
        <v>0.95523206934053528</v>
      </c>
      <c r="BB183" s="32">
        <v>0</v>
      </c>
      <c r="BC183" s="32">
        <v>155</v>
      </c>
      <c r="BD183" s="32">
        <v>121.95</v>
      </c>
      <c r="BZ183">
        <v>0.19379844961240311</v>
      </c>
      <c r="CA183">
        <v>0.57564575645756455</v>
      </c>
      <c r="CB183">
        <v>0.19379844961240311</v>
      </c>
    </row>
    <row r="184" spans="52:80" x14ac:dyDescent="0.25">
      <c r="AZ184" s="32">
        <v>181</v>
      </c>
      <c r="BA184" s="32">
        <v>0.9551654779131854</v>
      </c>
      <c r="BB184" s="32">
        <v>1</v>
      </c>
      <c r="BC184" s="32">
        <v>156</v>
      </c>
      <c r="BD184" s="32">
        <v>122.6275</v>
      </c>
      <c r="BZ184">
        <v>0.19379844961240311</v>
      </c>
      <c r="CA184">
        <v>0.57933579335793361</v>
      </c>
      <c r="CB184">
        <v>0.19379844961240311</v>
      </c>
    </row>
    <row r="185" spans="52:80" x14ac:dyDescent="0.25">
      <c r="AZ185" s="32">
        <v>182</v>
      </c>
      <c r="BA185" s="32">
        <v>0.95351859367551828</v>
      </c>
      <c r="BB185" s="32">
        <v>1</v>
      </c>
      <c r="BC185" s="32">
        <v>157</v>
      </c>
      <c r="BD185" s="32">
        <v>123.30499999999999</v>
      </c>
      <c r="BZ185">
        <v>0.19379844961240311</v>
      </c>
      <c r="CA185">
        <v>0.58302583025830257</v>
      </c>
      <c r="CB185">
        <v>0.19379844961240311</v>
      </c>
    </row>
    <row r="186" spans="52:80" x14ac:dyDescent="0.25">
      <c r="AZ186" s="32">
        <v>183</v>
      </c>
      <c r="BA186" s="32">
        <v>0.9527943918149745</v>
      </c>
      <c r="BB186" s="32">
        <v>1</v>
      </c>
      <c r="BC186" s="32">
        <v>158</v>
      </c>
      <c r="BD186" s="32">
        <v>123.9825</v>
      </c>
      <c r="BZ186">
        <v>0.19379844961240311</v>
      </c>
      <c r="CA186">
        <v>0.58671586715867163</v>
      </c>
      <c r="CB186">
        <v>0.19379844961240311</v>
      </c>
    </row>
    <row r="187" spans="52:80" x14ac:dyDescent="0.25">
      <c r="AZ187" s="32">
        <v>184</v>
      </c>
      <c r="BA187" s="32">
        <v>0.95227475217260582</v>
      </c>
      <c r="BB187" s="32">
        <v>1</v>
      </c>
      <c r="BC187" s="32">
        <v>159</v>
      </c>
      <c r="BD187" s="32">
        <v>124.66</v>
      </c>
      <c r="BZ187">
        <v>0.19379844961240311</v>
      </c>
      <c r="CA187">
        <v>0.59040590405904059</v>
      </c>
      <c r="CB187">
        <v>0.19379844961240311</v>
      </c>
    </row>
    <row r="188" spans="52:80" x14ac:dyDescent="0.25">
      <c r="AZ188" s="32">
        <v>185</v>
      </c>
      <c r="BA188" s="32">
        <v>0.95087986038599237</v>
      </c>
      <c r="BB188" s="32">
        <v>1</v>
      </c>
      <c r="BC188" s="32">
        <v>160</v>
      </c>
      <c r="BD188" s="32">
        <v>125.33749999999999</v>
      </c>
      <c r="BZ188">
        <v>0.19379844961240311</v>
      </c>
      <c r="CA188">
        <v>0.59409594095940954</v>
      </c>
      <c r="CB188">
        <v>0.19379844961240311</v>
      </c>
    </row>
    <row r="189" spans="52:80" x14ac:dyDescent="0.25">
      <c r="AZ189" s="32">
        <v>186</v>
      </c>
      <c r="BA189" s="32">
        <v>0.95078073672803554</v>
      </c>
      <c r="BB189" s="32">
        <v>1</v>
      </c>
      <c r="BC189" s="32">
        <v>161</v>
      </c>
      <c r="BD189" s="32">
        <v>126.015</v>
      </c>
      <c r="BZ189">
        <v>0.19379844961240311</v>
      </c>
      <c r="CA189">
        <v>0.59778597785977861</v>
      </c>
      <c r="CB189">
        <v>0.19379844961240311</v>
      </c>
    </row>
    <row r="190" spans="52:80" x14ac:dyDescent="0.25">
      <c r="AZ190" s="32">
        <v>187</v>
      </c>
      <c r="BA190" s="32">
        <v>0.95041089903799458</v>
      </c>
      <c r="BB190" s="32">
        <v>1</v>
      </c>
      <c r="BC190" s="32">
        <v>162</v>
      </c>
      <c r="BD190" s="32">
        <v>126.6925</v>
      </c>
      <c r="BZ190">
        <v>0.20155038759689922</v>
      </c>
      <c r="CA190">
        <v>0.59778597785977861</v>
      </c>
      <c r="CB190">
        <v>0.20155038759689922</v>
      </c>
    </row>
    <row r="191" spans="52:80" x14ac:dyDescent="0.25">
      <c r="AZ191" s="32">
        <v>188</v>
      </c>
      <c r="BA191" s="32">
        <v>0.94899728615346202</v>
      </c>
      <c r="BB191" s="32">
        <v>0</v>
      </c>
      <c r="BC191" s="32">
        <v>162</v>
      </c>
      <c r="BD191" s="32">
        <v>127.37</v>
      </c>
      <c r="BZ191">
        <v>0.20155038759689922</v>
      </c>
      <c r="CA191">
        <v>0.60147601476014756</v>
      </c>
      <c r="CB191">
        <v>0.20155038759689922</v>
      </c>
    </row>
    <row r="192" spans="52:80" x14ac:dyDescent="0.25">
      <c r="AZ192" s="32">
        <v>189</v>
      </c>
      <c r="BA192" s="32">
        <v>0.94581228684575802</v>
      </c>
      <c r="BB192" s="32">
        <v>1</v>
      </c>
      <c r="BC192" s="32">
        <v>163</v>
      </c>
      <c r="BD192" s="32">
        <v>128.04749999999999</v>
      </c>
      <c r="BZ192">
        <v>0.20930232558139536</v>
      </c>
      <c r="CA192">
        <v>0.60147601476014756</v>
      </c>
      <c r="CB192">
        <v>0.20930232558139536</v>
      </c>
    </row>
    <row r="193" spans="52:80" x14ac:dyDescent="0.25">
      <c r="AZ193" s="32">
        <v>190</v>
      </c>
      <c r="BA193" s="32">
        <v>0.94525697356514427</v>
      </c>
      <c r="BB193" s="32">
        <v>0</v>
      </c>
      <c r="BC193" s="32">
        <v>163</v>
      </c>
      <c r="BD193" s="32">
        <v>128.72499999999999</v>
      </c>
      <c r="BZ193">
        <v>0.20930232558139536</v>
      </c>
      <c r="CA193">
        <v>0.60516605166051662</v>
      </c>
      <c r="CB193">
        <v>0.20930232558139536</v>
      </c>
    </row>
    <row r="194" spans="52:80" x14ac:dyDescent="0.25">
      <c r="AZ194" s="32">
        <v>191</v>
      </c>
      <c r="BA194" s="32">
        <v>0.94493555136989316</v>
      </c>
      <c r="BB194" s="32">
        <v>1</v>
      </c>
      <c r="BC194" s="32">
        <v>164</v>
      </c>
      <c r="BD194" s="32">
        <v>129.4025</v>
      </c>
      <c r="BZ194">
        <v>0.21705426356589147</v>
      </c>
      <c r="CA194">
        <v>0.60516605166051662</v>
      </c>
      <c r="CB194">
        <v>0.21705426356589147</v>
      </c>
    </row>
    <row r="195" spans="52:80" x14ac:dyDescent="0.25">
      <c r="AZ195" s="32">
        <v>192</v>
      </c>
      <c r="BA195" s="32">
        <v>0.94310802773778124</v>
      </c>
      <c r="BB195" s="32">
        <v>0</v>
      </c>
      <c r="BC195" s="32">
        <v>164</v>
      </c>
      <c r="BD195" s="32">
        <v>130.07999999999998</v>
      </c>
      <c r="BZ195">
        <v>0.21705426356589147</v>
      </c>
      <c r="CA195">
        <v>0.60885608856088558</v>
      </c>
      <c r="CB195">
        <v>0.21705426356589147</v>
      </c>
    </row>
    <row r="196" spans="52:80" x14ac:dyDescent="0.25">
      <c r="AZ196" s="32">
        <v>193</v>
      </c>
      <c r="BA196" s="32">
        <v>0.93946524280665877</v>
      </c>
      <c r="BB196" s="32">
        <v>1</v>
      </c>
      <c r="BC196" s="32">
        <v>165</v>
      </c>
      <c r="BD196" s="32">
        <v>130.75749999999999</v>
      </c>
      <c r="BZ196">
        <v>0.21705426356589147</v>
      </c>
      <c r="CA196">
        <v>0.61254612546125464</v>
      </c>
      <c r="CB196">
        <v>0.21705426356589147</v>
      </c>
    </row>
    <row r="197" spans="52:80" x14ac:dyDescent="0.25">
      <c r="AZ197" s="32">
        <v>194</v>
      </c>
      <c r="BA197" s="32">
        <v>0.93905408495316334</v>
      </c>
      <c r="BB197" s="32">
        <v>1</v>
      </c>
      <c r="BC197" s="32">
        <v>166</v>
      </c>
      <c r="BD197" s="32">
        <v>131.435</v>
      </c>
      <c r="BZ197">
        <v>0.22480620155038761</v>
      </c>
      <c r="CA197">
        <v>0.61254612546125464</v>
      </c>
      <c r="CB197">
        <v>0.22480620155038761</v>
      </c>
    </row>
    <row r="198" spans="52:80" x14ac:dyDescent="0.25">
      <c r="AZ198" s="32">
        <v>195</v>
      </c>
      <c r="BA198" s="32">
        <v>0.93842993223720672</v>
      </c>
      <c r="BB198" s="32">
        <v>0</v>
      </c>
      <c r="BC198" s="32">
        <v>166</v>
      </c>
      <c r="BD198" s="32">
        <v>132.11250000000001</v>
      </c>
      <c r="BZ198">
        <v>0.22480620155038761</v>
      </c>
      <c r="CA198">
        <v>0.6162361623616236</v>
      </c>
      <c r="CB198">
        <v>0.22480620155038761</v>
      </c>
    </row>
    <row r="199" spans="52:80" x14ac:dyDescent="0.25">
      <c r="AZ199" s="32">
        <v>196</v>
      </c>
      <c r="BA199" s="32">
        <v>0.93806264075030477</v>
      </c>
      <c r="BB199" s="32">
        <v>1</v>
      </c>
      <c r="BC199" s="32">
        <v>167</v>
      </c>
      <c r="BD199" s="32">
        <v>132.79</v>
      </c>
      <c r="BZ199">
        <v>0.23255813953488372</v>
      </c>
      <c r="CA199">
        <v>0.6162361623616236</v>
      </c>
      <c r="CB199">
        <v>0.23255813953488372</v>
      </c>
    </row>
    <row r="200" spans="52:80" x14ac:dyDescent="0.25">
      <c r="AZ200" s="32">
        <v>197</v>
      </c>
      <c r="BA200" s="32">
        <v>0.93662111716767471</v>
      </c>
      <c r="BB200" s="32">
        <v>0</v>
      </c>
      <c r="BC200" s="32">
        <v>167</v>
      </c>
      <c r="BD200" s="32">
        <v>133.4675</v>
      </c>
      <c r="BZ200">
        <v>0.23255813953488372</v>
      </c>
      <c r="CA200">
        <v>0.61992619926199266</v>
      </c>
      <c r="CB200">
        <v>0.23255813953488372</v>
      </c>
    </row>
    <row r="201" spans="52:80" x14ac:dyDescent="0.25">
      <c r="AZ201" s="32">
        <v>198</v>
      </c>
      <c r="BA201" s="32">
        <v>0.93513847100106651</v>
      </c>
      <c r="BB201" s="32">
        <v>1</v>
      </c>
      <c r="BC201" s="32">
        <v>168</v>
      </c>
      <c r="BD201" s="32">
        <v>134.14500000000001</v>
      </c>
      <c r="BZ201">
        <v>0.23255813953488372</v>
      </c>
      <c r="CA201">
        <v>0.62361623616236161</v>
      </c>
      <c r="CB201">
        <v>0.23255813953488372</v>
      </c>
    </row>
    <row r="202" spans="52:80" x14ac:dyDescent="0.25">
      <c r="AZ202" s="32">
        <v>199</v>
      </c>
      <c r="BA202" s="32">
        <v>0.93460249500260717</v>
      </c>
      <c r="BB202" s="32">
        <v>1</v>
      </c>
      <c r="BC202" s="32">
        <v>169</v>
      </c>
      <c r="BD202" s="32">
        <v>134.82249999999999</v>
      </c>
      <c r="BZ202">
        <v>0.23255813953488372</v>
      </c>
      <c r="CA202">
        <v>0.62730627306273068</v>
      </c>
      <c r="CB202">
        <v>0.23255813953488372</v>
      </c>
    </row>
    <row r="203" spans="52:80" x14ac:dyDescent="0.25">
      <c r="AZ203" s="32">
        <v>200</v>
      </c>
      <c r="BA203" s="32">
        <v>0.93262948958483705</v>
      </c>
      <c r="BB203" s="32">
        <v>1</v>
      </c>
      <c r="BC203" s="32">
        <v>170</v>
      </c>
      <c r="BD203" s="32">
        <v>135.5</v>
      </c>
      <c r="BZ203">
        <v>0.23255813953488372</v>
      </c>
      <c r="CA203">
        <v>0.63099630996309963</v>
      </c>
      <c r="CB203">
        <v>0.23255813953488372</v>
      </c>
    </row>
    <row r="204" spans="52:80" x14ac:dyDescent="0.25">
      <c r="AZ204" s="33">
        <v>201</v>
      </c>
      <c r="BA204" s="33">
        <v>0.9317440815471898</v>
      </c>
      <c r="BB204" s="33">
        <v>1</v>
      </c>
      <c r="BC204" s="33">
        <v>171</v>
      </c>
      <c r="BD204" s="33">
        <v>136.17750000000001</v>
      </c>
      <c r="BZ204">
        <v>0.23255813953488372</v>
      </c>
      <c r="CA204">
        <v>0.63468634686346859</v>
      </c>
      <c r="CB204">
        <v>0.23255813953488372</v>
      </c>
    </row>
    <row r="205" spans="52:80" x14ac:dyDescent="0.25">
      <c r="AZ205" s="33">
        <v>202</v>
      </c>
      <c r="BA205" s="33">
        <v>0.93147508298282</v>
      </c>
      <c r="BB205" s="33">
        <v>1</v>
      </c>
      <c r="BC205" s="33">
        <v>172</v>
      </c>
      <c r="BD205" s="33">
        <v>136.85499999999999</v>
      </c>
      <c r="BZ205">
        <v>0.23255813953488372</v>
      </c>
      <c r="CA205">
        <v>0.63837638376383765</v>
      </c>
      <c r="CB205">
        <v>0.23255813953488372</v>
      </c>
    </row>
    <row r="206" spans="52:80" x14ac:dyDescent="0.25">
      <c r="AZ206" s="33">
        <v>203</v>
      </c>
      <c r="BA206" s="33">
        <v>0.93111132546880349</v>
      </c>
      <c r="BB206" s="33">
        <v>1</v>
      </c>
      <c r="BC206" s="33">
        <v>173</v>
      </c>
      <c r="BD206" s="33">
        <v>137.5325</v>
      </c>
      <c r="BZ206">
        <v>0.23255813953488372</v>
      </c>
      <c r="CA206">
        <v>0.64206642066420661</v>
      </c>
      <c r="CB206">
        <v>0.23255813953488372</v>
      </c>
    </row>
    <row r="207" spans="52:80" x14ac:dyDescent="0.25">
      <c r="AZ207" s="33">
        <v>204</v>
      </c>
      <c r="BA207" s="33">
        <v>0.93017988314737088</v>
      </c>
      <c r="BB207" s="33">
        <v>1</v>
      </c>
      <c r="BC207" s="33">
        <v>174</v>
      </c>
      <c r="BD207" s="33">
        <v>138.21</v>
      </c>
      <c r="BZ207">
        <v>0.23255813953488372</v>
      </c>
      <c r="CA207">
        <v>0.64575645756457567</v>
      </c>
      <c r="CB207">
        <v>0.23255813953488372</v>
      </c>
    </row>
    <row r="208" spans="52:80" x14ac:dyDescent="0.25">
      <c r="AZ208" s="33">
        <v>205</v>
      </c>
      <c r="BA208" s="33">
        <v>0.92947336933771973</v>
      </c>
      <c r="BB208" s="33">
        <v>1</v>
      </c>
      <c r="BC208" s="33">
        <v>175</v>
      </c>
      <c r="BD208" s="33">
        <v>138.88749999999999</v>
      </c>
      <c r="BZ208">
        <v>0.23255813953488372</v>
      </c>
      <c r="CA208">
        <v>0.64944649446494462</v>
      </c>
      <c r="CB208">
        <v>0.23255813953488372</v>
      </c>
    </row>
    <row r="209" spans="52:80" x14ac:dyDescent="0.25">
      <c r="AZ209" s="33">
        <v>206</v>
      </c>
      <c r="BA209" s="33">
        <v>0.92796532214286354</v>
      </c>
      <c r="BB209" s="33">
        <v>1</v>
      </c>
      <c r="BC209" s="33">
        <v>176</v>
      </c>
      <c r="BD209" s="33">
        <v>139.565</v>
      </c>
      <c r="BZ209">
        <v>0.23255813953488372</v>
      </c>
      <c r="CA209">
        <v>0.65313653136531369</v>
      </c>
      <c r="CB209">
        <v>0.23255813953488372</v>
      </c>
    </row>
    <row r="210" spans="52:80" x14ac:dyDescent="0.25">
      <c r="AZ210" s="33">
        <v>207</v>
      </c>
      <c r="BA210" s="33">
        <v>0.92526627208055856</v>
      </c>
      <c r="BB210" s="33">
        <v>1</v>
      </c>
      <c r="BC210" s="33">
        <v>177</v>
      </c>
      <c r="BD210" s="33">
        <v>140.24250000000001</v>
      </c>
      <c r="BZ210">
        <v>0.23255813953488372</v>
      </c>
      <c r="CA210">
        <v>0.65682656826568264</v>
      </c>
      <c r="CB210">
        <v>0.23255813953488372</v>
      </c>
    </row>
    <row r="211" spans="52:80" x14ac:dyDescent="0.25">
      <c r="AZ211" s="33">
        <v>208</v>
      </c>
      <c r="BA211" s="33">
        <v>0.92431322476052491</v>
      </c>
      <c r="BB211" s="33">
        <v>1</v>
      </c>
      <c r="BC211" s="33">
        <v>178</v>
      </c>
      <c r="BD211" s="33">
        <v>140.91999999999999</v>
      </c>
      <c r="BZ211">
        <v>0.23255813953488372</v>
      </c>
      <c r="CA211">
        <v>0.66051660516605171</v>
      </c>
      <c r="CB211">
        <v>0.23255813953488372</v>
      </c>
    </row>
    <row r="212" spans="52:80" x14ac:dyDescent="0.25">
      <c r="AZ212" s="33">
        <v>209</v>
      </c>
      <c r="BA212" s="33">
        <v>0.91792529856194294</v>
      </c>
      <c r="BB212" s="33">
        <v>1</v>
      </c>
      <c r="BC212" s="33">
        <v>179</v>
      </c>
      <c r="BD212" s="33">
        <v>141.5975</v>
      </c>
      <c r="BZ212">
        <v>0.23255813953488372</v>
      </c>
      <c r="CA212">
        <v>0.66420664206642066</v>
      </c>
      <c r="CB212">
        <v>0.23255813953488372</v>
      </c>
    </row>
    <row r="213" spans="52:80" x14ac:dyDescent="0.25">
      <c r="AZ213" s="33">
        <v>210</v>
      </c>
      <c r="BA213" s="33">
        <v>0.91732601658999491</v>
      </c>
      <c r="BB213" s="33">
        <v>1</v>
      </c>
      <c r="BC213" s="33">
        <v>180</v>
      </c>
      <c r="BD213" s="33">
        <v>142.27500000000001</v>
      </c>
      <c r="BZ213">
        <v>0.23255813953488372</v>
      </c>
      <c r="CA213">
        <v>0.66789667896678961</v>
      </c>
      <c r="CB213">
        <v>0.23255813953488372</v>
      </c>
    </row>
    <row r="214" spans="52:80" x14ac:dyDescent="0.25">
      <c r="AZ214" s="33">
        <v>211</v>
      </c>
      <c r="BA214" s="33">
        <v>0.91608816241569224</v>
      </c>
      <c r="BB214" s="33">
        <v>1</v>
      </c>
      <c r="BC214" s="33">
        <v>181</v>
      </c>
      <c r="BD214" s="33">
        <v>142.95249999999999</v>
      </c>
      <c r="BZ214">
        <v>0.23255813953488372</v>
      </c>
      <c r="CA214">
        <v>0.67158671586715868</v>
      </c>
      <c r="CB214">
        <v>0.23255813953488372</v>
      </c>
    </row>
    <row r="215" spans="52:80" x14ac:dyDescent="0.25">
      <c r="AZ215" s="33">
        <v>212</v>
      </c>
      <c r="BA215" s="33">
        <v>0.91444626228155068</v>
      </c>
      <c r="BB215" s="33">
        <v>1</v>
      </c>
      <c r="BC215" s="33">
        <v>182</v>
      </c>
      <c r="BD215" s="33">
        <v>143.63</v>
      </c>
      <c r="BZ215">
        <v>0.24031007751937986</v>
      </c>
      <c r="CA215">
        <v>0.67158671586715868</v>
      </c>
      <c r="CB215">
        <v>0.24031007751937986</v>
      </c>
    </row>
    <row r="216" spans="52:80" x14ac:dyDescent="0.25">
      <c r="AZ216" s="33">
        <v>213</v>
      </c>
      <c r="BA216" s="33">
        <v>0.91018655115351543</v>
      </c>
      <c r="BB216" s="33">
        <v>0</v>
      </c>
      <c r="BC216" s="33">
        <v>182</v>
      </c>
      <c r="BD216" s="33">
        <v>144.3075</v>
      </c>
      <c r="BZ216">
        <v>0.24806201550387597</v>
      </c>
      <c r="CA216">
        <v>0.67158671586715868</v>
      </c>
      <c r="CB216">
        <v>0.24806201550387597</v>
      </c>
    </row>
    <row r="217" spans="52:80" x14ac:dyDescent="0.25">
      <c r="AZ217" s="33">
        <v>214</v>
      </c>
      <c r="BA217" s="33">
        <v>0.9079427016276016</v>
      </c>
      <c r="BB217" s="33">
        <v>0</v>
      </c>
      <c r="BC217" s="33">
        <v>182</v>
      </c>
      <c r="BD217" s="33">
        <v>144.98499999999999</v>
      </c>
      <c r="BZ217">
        <v>0.2558139534883721</v>
      </c>
      <c r="CA217">
        <v>0.67158671586715868</v>
      </c>
      <c r="CB217">
        <v>0.2558139534883721</v>
      </c>
    </row>
    <row r="218" spans="52:80" x14ac:dyDescent="0.25">
      <c r="AZ218" s="33">
        <v>215</v>
      </c>
      <c r="BA218" s="33">
        <v>0.90731383602809368</v>
      </c>
      <c r="BB218" s="33">
        <v>0</v>
      </c>
      <c r="BC218" s="33">
        <v>182</v>
      </c>
      <c r="BD218" s="33">
        <v>145.66249999999999</v>
      </c>
      <c r="BZ218">
        <v>0.2558139534883721</v>
      </c>
      <c r="CA218">
        <v>0.67527675276752763</v>
      </c>
      <c r="CB218">
        <v>0.2558139534883721</v>
      </c>
    </row>
    <row r="219" spans="52:80" x14ac:dyDescent="0.25">
      <c r="AZ219" s="33">
        <v>216</v>
      </c>
      <c r="BA219" s="33">
        <v>0.90658310081841553</v>
      </c>
      <c r="BB219" s="33">
        <v>1</v>
      </c>
      <c r="BC219" s="33">
        <v>183</v>
      </c>
      <c r="BD219" s="33">
        <v>146.34</v>
      </c>
      <c r="BZ219">
        <v>0.2558139534883721</v>
      </c>
      <c r="CA219">
        <v>0.6789667896678967</v>
      </c>
      <c r="CB219">
        <v>0.2558139534883721</v>
      </c>
    </row>
    <row r="220" spans="52:80" x14ac:dyDescent="0.25">
      <c r="AZ220" s="33">
        <v>217</v>
      </c>
      <c r="BA220" s="33">
        <v>0.90627611698459931</v>
      </c>
      <c r="BB220" s="33">
        <v>1</v>
      </c>
      <c r="BC220" s="33">
        <v>184</v>
      </c>
      <c r="BD220" s="33">
        <v>147.01749999999998</v>
      </c>
      <c r="BZ220">
        <v>0.2558139534883721</v>
      </c>
      <c r="CA220">
        <v>0.68265682656826565</v>
      </c>
      <c r="CB220">
        <v>0.2558139534883721</v>
      </c>
    </row>
    <row r="221" spans="52:80" x14ac:dyDescent="0.25">
      <c r="AZ221" s="33">
        <v>218</v>
      </c>
      <c r="BA221" s="33">
        <v>0.90555302976686292</v>
      </c>
      <c r="BB221" s="33">
        <v>1</v>
      </c>
      <c r="BC221" s="33">
        <v>185</v>
      </c>
      <c r="BD221" s="33">
        <v>147.69499999999999</v>
      </c>
      <c r="BZ221">
        <v>0.2558139534883721</v>
      </c>
      <c r="CA221">
        <v>0.68634686346863472</v>
      </c>
      <c r="CB221">
        <v>0.2558139534883721</v>
      </c>
    </row>
    <row r="222" spans="52:80" x14ac:dyDescent="0.25">
      <c r="AZ222" s="33">
        <v>219</v>
      </c>
      <c r="BA222" s="33">
        <v>0.90555153096851915</v>
      </c>
      <c r="BB222" s="33">
        <v>1</v>
      </c>
      <c r="BC222" s="33">
        <v>186</v>
      </c>
      <c r="BD222" s="33">
        <v>148.3725</v>
      </c>
      <c r="BZ222">
        <v>0.2558139534883721</v>
      </c>
      <c r="CA222">
        <v>0.69003690036900367</v>
      </c>
      <c r="CB222">
        <v>0.2558139534883721</v>
      </c>
    </row>
    <row r="223" spans="52:80" x14ac:dyDescent="0.25">
      <c r="AZ223" s="33">
        <v>220</v>
      </c>
      <c r="BA223" s="33">
        <v>0.9054304605009309</v>
      </c>
      <c r="BB223" s="33">
        <v>1</v>
      </c>
      <c r="BC223" s="33">
        <v>187</v>
      </c>
      <c r="BD223" s="33">
        <v>149.05000000000001</v>
      </c>
      <c r="BZ223">
        <v>0.2558139534883721</v>
      </c>
      <c r="CA223">
        <v>0.69372693726937273</v>
      </c>
      <c r="CB223">
        <v>0.2558139534883721</v>
      </c>
    </row>
    <row r="224" spans="52:80" x14ac:dyDescent="0.25">
      <c r="AZ224" s="33">
        <v>221</v>
      </c>
      <c r="BA224" s="33">
        <v>0.90095619273035032</v>
      </c>
      <c r="BB224" s="33">
        <v>1</v>
      </c>
      <c r="BC224" s="33">
        <v>188</v>
      </c>
      <c r="BD224" s="33">
        <v>149.72749999999999</v>
      </c>
      <c r="BZ224">
        <v>0.2558139534883721</v>
      </c>
      <c r="CA224">
        <v>0.69741697416974169</v>
      </c>
      <c r="CB224">
        <v>0.2558139534883721</v>
      </c>
    </row>
    <row r="225" spans="52:80" x14ac:dyDescent="0.25">
      <c r="AZ225" s="33">
        <v>222</v>
      </c>
      <c r="BA225" s="33">
        <v>0.90050603664052165</v>
      </c>
      <c r="BB225" s="33">
        <v>1</v>
      </c>
      <c r="BC225" s="33">
        <v>189</v>
      </c>
      <c r="BD225" s="33">
        <v>150.405</v>
      </c>
      <c r="BZ225">
        <v>0.26356589147286824</v>
      </c>
      <c r="CA225">
        <v>0.69741697416974169</v>
      </c>
      <c r="CB225">
        <v>0.26356589147286824</v>
      </c>
    </row>
    <row r="226" spans="52:80" x14ac:dyDescent="0.25">
      <c r="AZ226" s="33">
        <v>223</v>
      </c>
      <c r="BA226" s="33">
        <v>0.89898901741974779</v>
      </c>
      <c r="BB226" s="33">
        <v>0</v>
      </c>
      <c r="BC226" s="33">
        <v>189</v>
      </c>
      <c r="BD226" s="33">
        <v>151.08250000000001</v>
      </c>
      <c r="BZ226">
        <v>0.27131782945736432</v>
      </c>
      <c r="CA226">
        <v>0.69741697416974169</v>
      </c>
      <c r="CB226">
        <v>0.27131782945736432</v>
      </c>
    </row>
    <row r="227" spans="52:80" x14ac:dyDescent="0.25">
      <c r="AZ227" s="33">
        <v>224</v>
      </c>
      <c r="BA227" s="33">
        <v>0.89597039147688085</v>
      </c>
      <c r="BB227" s="33">
        <v>0</v>
      </c>
      <c r="BC227" s="33">
        <v>189</v>
      </c>
      <c r="BD227" s="33">
        <v>151.76</v>
      </c>
      <c r="BZ227">
        <v>0.27131782945736432</v>
      </c>
      <c r="CA227">
        <v>0.70110701107011075</v>
      </c>
      <c r="CB227">
        <v>0.27131782945736432</v>
      </c>
    </row>
    <row r="228" spans="52:80" x14ac:dyDescent="0.25">
      <c r="AZ228" s="33">
        <v>225</v>
      </c>
      <c r="BA228" s="33">
        <v>0.89011311809540927</v>
      </c>
      <c r="BB228" s="33">
        <v>1</v>
      </c>
      <c r="BC228" s="33">
        <v>190</v>
      </c>
      <c r="BD228" s="33">
        <v>152.4375</v>
      </c>
      <c r="BZ228">
        <v>0.27131782945736432</v>
      </c>
      <c r="CA228">
        <v>0.70479704797047971</v>
      </c>
      <c r="CB228">
        <v>0.27131782945736432</v>
      </c>
    </row>
    <row r="229" spans="52:80" x14ac:dyDescent="0.25">
      <c r="AZ229" s="33">
        <v>226</v>
      </c>
      <c r="BA229" s="33">
        <v>0.88965083642706888</v>
      </c>
      <c r="BB229" s="33">
        <v>1</v>
      </c>
      <c r="BC229" s="33">
        <v>191</v>
      </c>
      <c r="BD229" s="33">
        <v>153.11500000000001</v>
      </c>
      <c r="BZ229">
        <v>0.27131782945736432</v>
      </c>
      <c r="CA229">
        <v>0.70848708487084866</v>
      </c>
      <c r="CB229">
        <v>0.27131782945736432</v>
      </c>
    </row>
    <row r="230" spans="52:80" x14ac:dyDescent="0.25">
      <c r="AZ230" s="33">
        <v>227</v>
      </c>
      <c r="BA230" s="33">
        <v>0.88566700516172048</v>
      </c>
      <c r="BB230" s="33">
        <v>1</v>
      </c>
      <c r="BC230" s="33">
        <v>192</v>
      </c>
      <c r="BD230" s="33">
        <v>153.79249999999999</v>
      </c>
      <c r="BZ230">
        <v>0.27131782945736432</v>
      </c>
      <c r="CA230">
        <v>0.71217712177121772</v>
      </c>
      <c r="CB230">
        <v>0.27131782945736432</v>
      </c>
    </row>
    <row r="231" spans="52:80" x14ac:dyDescent="0.25">
      <c r="AZ231" s="33">
        <v>228</v>
      </c>
      <c r="BA231" s="33">
        <v>0.87979719003457513</v>
      </c>
      <c r="BB231" s="33">
        <v>1</v>
      </c>
      <c r="BC231" s="33">
        <v>193</v>
      </c>
      <c r="BD231" s="33">
        <v>154.47</v>
      </c>
      <c r="BZ231">
        <v>0.27906976744186046</v>
      </c>
      <c r="CA231">
        <v>0.71217712177121772</v>
      </c>
      <c r="CB231">
        <v>0.27906976744186046</v>
      </c>
    </row>
    <row r="232" spans="52:80" x14ac:dyDescent="0.25">
      <c r="AZ232" s="33">
        <v>229</v>
      </c>
      <c r="BA232" s="33">
        <v>0.87960217945929431</v>
      </c>
      <c r="BB232" s="33">
        <v>0</v>
      </c>
      <c r="BC232" s="33">
        <v>193</v>
      </c>
      <c r="BD232" s="33">
        <v>155.14750000000001</v>
      </c>
      <c r="BZ232">
        <v>0.27906976744186046</v>
      </c>
      <c r="CA232">
        <v>0.71586715867158668</v>
      </c>
      <c r="CB232">
        <v>0.27906976744186046</v>
      </c>
    </row>
    <row r="233" spans="52:80" x14ac:dyDescent="0.25">
      <c r="AZ233" s="33">
        <v>230</v>
      </c>
      <c r="BA233" s="33">
        <v>0.87940324785404278</v>
      </c>
      <c r="BB233" s="33">
        <v>1</v>
      </c>
      <c r="BC233" s="33">
        <v>194</v>
      </c>
      <c r="BD233" s="33">
        <v>155.82499999999999</v>
      </c>
      <c r="BZ233">
        <v>0.27906976744186046</v>
      </c>
      <c r="CA233">
        <v>0.71955719557195574</v>
      </c>
      <c r="CB233">
        <v>0.27906976744186046</v>
      </c>
    </row>
    <row r="234" spans="52:80" x14ac:dyDescent="0.25">
      <c r="AZ234" s="33">
        <v>231</v>
      </c>
      <c r="BA234" s="33">
        <v>0.8772741493057874</v>
      </c>
      <c r="BB234" s="33">
        <v>1</v>
      </c>
      <c r="BC234" s="33">
        <v>195</v>
      </c>
      <c r="BD234" s="33">
        <v>156.5025</v>
      </c>
      <c r="BZ234">
        <v>0.27906976744186046</v>
      </c>
      <c r="CA234">
        <v>0.7232472324723247</v>
      </c>
      <c r="CB234">
        <v>0.27906976744186046</v>
      </c>
    </row>
    <row r="235" spans="52:80" x14ac:dyDescent="0.25">
      <c r="AZ235" s="33">
        <v>232</v>
      </c>
      <c r="BA235" s="33">
        <v>0.87518673238816325</v>
      </c>
      <c r="BB235" s="33">
        <v>1</v>
      </c>
      <c r="BC235" s="33">
        <v>196</v>
      </c>
      <c r="BD235" s="33">
        <v>157.18</v>
      </c>
      <c r="BZ235">
        <v>0.27906976744186046</v>
      </c>
      <c r="CA235">
        <v>0.72693726937269376</v>
      </c>
      <c r="CB235">
        <v>0.27906976744186046</v>
      </c>
    </row>
    <row r="236" spans="52:80" x14ac:dyDescent="0.25">
      <c r="AZ236" s="33">
        <v>233</v>
      </c>
      <c r="BA236" s="33">
        <v>0.87412291780772133</v>
      </c>
      <c r="BB236" s="33">
        <v>1</v>
      </c>
      <c r="BC236" s="33">
        <v>197</v>
      </c>
      <c r="BD236" s="33">
        <v>157.85749999999999</v>
      </c>
      <c r="BZ236">
        <v>0.27906976744186046</v>
      </c>
      <c r="CA236">
        <v>0.73062730627306272</v>
      </c>
      <c r="CB236">
        <v>0.27906976744186046</v>
      </c>
    </row>
    <row r="237" spans="52:80" x14ac:dyDescent="0.25">
      <c r="AZ237" s="33">
        <v>234</v>
      </c>
      <c r="BA237" s="33">
        <v>0.87312347489396758</v>
      </c>
      <c r="BB237" s="33">
        <v>1</v>
      </c>
      <c r="BC237" s="33">
        <v>198</v>
      </c>
      <c r="BD237" s="33">
        <v>158.535</v>
      </c>
      <c r="BZ237">
        <v>0.27906976744186046</v>
      </c>
      <c r="CA237">
        <v>0.73431734317343178</v>
      </c>
      <c r="CB237">
        <v>0.27906976744186046</v>
      </c>
    </row>
    <row r="238" spans="52:80" x14ac:dyDescent="0.25">
      <c r="AZ238" s="33">
        <v>235</v>
      </c>
      <c r="BA238" s="33">
        <v>0.87205519935232434</v>
      </c>
      <c r="BB238" s="33">
        <v>1</v>
      </c>
      <c r="BC238" s="33">
        <v>199</v>
      </c>
      <c r="BD238" s="33">
        <v>159.21250000000001</v>
      </c>
      <c r="BZ238">
        <v>0.27906976744186046</v>
      </c>
      <c r="CA238">
        <v>0.73800738007380073</v>
      </c>
      <c r="CB238">
        <v>0.27906976744186046</v>
      </c>
    </row>
    <row r="239" spans="52:80" x14ac:dyDescent="0.25">
      <c r="AZ239" s="33">
        <v>236</v>
      </c>
      <c r="BA239" s="33">
        <v>0.86943851412788165</v>
      </c>
      <c r="BB239" s="33">
        <v>1</v>
      </c>
      <c r="BC239" s="33">
        <v>200</v>
      </c>
      <c r="BD239" s="33">
        <v>159.88999999999999</v>
      </c>
      <c r="BZ239">
        <v>0.2868217054263566</v>
      </c>
      <c r="CA239">
        <v>0.73800738007380073</v>
      </c>
      <c r="CB239">
        <v>0.2868217054263566</v>
      </c>
    </row>
    <row r="240" spans="52:80" x14ac:dyDescent="0.25">
      <c r="AZ240" s="33">
        <v>237</v>
      </c>
      <c r="BA240" s="33">
        <v>0.86492692419054462</v>
      </c>
      <c r="BB240" s="33">
        <v>0</v>
      </c>
      <c r="BC240" s="33">
        <v>200</v>
      </c>
      <c r="BD240" s="33">
        <v>160.5675</v>
      </c>
      <c r="BZ240">
        <v>0.2868217054263566</v>
      </c>
      <c r="CA240">
        <v>0.74169741697416969</v>
      </c>
      <c r="CB240">
        <v>0.2868217054263566</v>
      </c>
    </row>
    <row r="241" spans="52:80" x14ac:dyDescent="0.25">
      <c r="AZ241" s="33">
        <v>238</v>
      </c>
      <c r="BA241" s="33">
        <v>0.86422205860243773</v>
      </c>
      <c r="BB241" s="33">
        <v>1</v>
      </c>
      <c r="BC241" s="33">
        <v>201</v>
      </c>
      <c r="BD241" s="33">
        <v>161.245</v>
      </c>
      <c r="BZ241">
        <v>0.2868217054263566</v>
      </c>
      <c r="CA241">
        <v>0.74538745387453875</v>
      </c>
      <c r="CB241">
        <v>0.2868217054263566</v>
      </c>
    </row>
    <row r="242" spans="52:80" x14ac:dyDescent="0.25">
      <c r="AZ242" s="33">
        <v>239</v>
      </c>
      <c r="BA242" s="33">
        <v>0.85470762639383158</v>
      </c>
      <c r="BB242" s="33">
        <v>1</v>
      </c>
      <c r="BC242" s="33">
        <v>202</v>
      </c>
      <c r="BD242" s="33">
        <v>161.92249999999999</v>
      </c>
      <c r="BZ242">
        <v>0.29457364341085274</v>
      </c>
      <c r="CA242">
        <v>0.74538745387453875</v>
      </c>
      <c r="CB242">
        <v>0.29457364341085274</v>
      </c>
    </row>
    <row r="243" spans="52:80" x14ac:dyDescent="0.25">
      <c r="AZ243" s="33">
        <v>240</v>
      </c>
      <c r="BA243" s="33">
        <v>0.85192797380025354</v>
      </c>
      <c r="BB243" s="33">
        <v>0</v>
      </c>
      <c r="BC243" s="33">
        <v>202</v>
      </c>
      <c r="BD243" s="33">
        <v>162.6</v>
      </c>
      <c r="BZ243">
        <v>0.29457364341085274</v>
      </c>
      <c r="CA243">
        <v>0.74907749077490771</v>
      </c>
      <c r="CB243">
        <v>0.29457364341085274</v>
      </c>
    </row>
    <row r="244" spans="52:80" x14ac:dyDescent="0.25">
      <c r="AZ244" s="32">
        <v>241</v>
      </c>
      <c r="BA244" s="32">
        <v>0.84849574489303581</v>
      </c>
      <c r="BB244" s="32">
        <v>1</v>
      </c>
      <c r="BC244" s="32">
        <v>203</v>
      </c>
      <c r="BD244" s="32">
        <v>163.2775</v>
      </c>
      <c r="BZ244">
        <v>0.30232558139534882</v>
      </c>
      <c r="CA244">
        <v>0.74907749077490771</v>
      </c>
      <c r="CB244">
        <v>0.30232558139534882</v>
      </c>
    </row>
    <row r="245" spans="52:80" x14ac:dyDescent="0.25">
      <c r="AZ245" s="32">
        <v>242</v>
      </c>
      <c r="BA245" s="32">
        <v>0.84723844861689657</v>
      </c>
      <c r="BB245" s="32">
        <v>0</v>
      </c>
      <c r="BC245" s="32">
        <v>203</v>
      </c>
      <c r="BD245" s="32">
        <v>163.95499999999998</v>
      </c>
      <c r="BZ245">
        <v>0.30232558139534882</v>
      </c>
      <c r="CA245">
        <v>0.75276752767527677</v>
      </c>
      <c r="CB245">
        <v>0.30232558139534882</v>
      </c>
    </row>
    <row r="246" spans="52:80" x14ac:dyDescent="0.25">
      <c r="AZ246" s="32">
        <v>243</v>
      </c>
      <c r="BA246" s="32">
        <v>0.84400653342614351</v>
      </c>
      <c r="BB246" s="32">
        <v>1</v>
      </c>
      <c r="BC246" s="32">
        <v>204</v>
      </c>
      <c r="BD246" s="32">
        <v>164.63249999999999</v>
      </c>
      <c r="BZ246">
        <v>0.31007751937984496</v>
      </c>
      <c r="CA246">
        <v>0.75276752767527677</v>
      </c>
      <c r="CB246">
        <v>0.31007751937984496</v>
      </c>
    </row>
    <row r="247" spans="52:80" x14ac:dyDescent="0.25">
      <c r="AZ247" s="32">
        <v>244</v>
      </c>
      <c r="BA247" s="32">
        <v>0.84336128834025692</v>
      </c>
      <c r="BB247" s="32">
        <v>0</v>
      </c>
      <c r="BC247" s="32">
        <v>204</v>
      </c>
      <c r="BD247" s="32">
        <v>165.31</v>
      </c>
      <c r="BZ247">
        <v>0.31007751937984496</v>
      </c>
      <c r="CA247">
        <v>0.75645756457564572</v>
      </c>
      <c r="CB247">
        <v>0.31007751937984496</v>
      </c>
    </row>
    <row r="248" spans="52:80" x14ac:dyDescent="0.25">
      <c r="AZ248" s="32">
        <v>245</v>
      </c>
      <c r="BA248" s="32">
        <v>0.84237947857989726</v>
      </c>
      <c r="BB248" s="32">
        <v>1</v>
      </c>
      <c r="BC248" s="32">
        <v>205</v>
      </c>
      <c r="BD248" s="32">
        <v>165.98750000000001</v>
      </c>
      <c r="BZ248">
        <v>0.31782945736434109</v>
      </c>
      <c r="CA248">
        <v>0.75645756457564572</v>
      </c>
      <c r="CB248">
        <v>0.31782945736434109</v>
      </c>
    </row>
    <row r="249" spans="52:80" x14ac:dyDescent="0.25">
      <c r="AZ249" s="32">
        <v>246</v>
      </c>
      <c r="BA249" s="32">
        <v>0.83378824937607909</v>
      </c>
      <c r="BB249" s="32">
        <v>0</v>
      </c>
      <c r="BC249" s="32">
        <v>205</v>
      </c>
      <c r="BD249" s="32">
        <v>166.66499999999999</v>
      </c>
      <c r="BZ249">
        <v>0.31782945736434109</v>
      </c>
      <c r="CA249">
        <v>0.76014760147601479</v>
      </c>
      <c r="CB249">
        <v>0.31782945736434109</v>
      </c>
    </row>
    <row r="250" spans="52:80" x14ac:dyDescent="0.25">
      <c r="AZ250" s="32">
        <v>247</v>
      </c>
      <c r="BA250" s="32">
        <v>0.83028124195848063</v>
      </c>
      <c r="BB250" s="32">
        <v>1</v>
      </c>
      <c r="BC250" s="32">
        <v>206</v>
      </c>
      <c r="BD250" s="32">
        <v>167.3425</v>
      </c>
      <c r="BZ250">
        <v>0.31782945736434109</v>
      </c>
      <c r="CA250">
        <v>0.76383763837638374</v>
      </c>
      <c r="CB250">
        <v>0.31782945736434109</v>
      </c>
    </row>
    <row r="251" spans="52:80" x14ac:dyDescent="0.25">
      <c r="AZ251" s="32">
        <v>248</v>
      </c>
      <c r="BA251" s="32">
        <v>0.82368787333402071</v>
      </c>
      <c r="BB251" s="32">
        <v>1</v>
      </c>
      <c r="BC251" s="32">
        <v>207</v>
      </c>
      <c r="BD251" s="32">
        <v>168.02</v>
      </c>
      <c r="BZ251">
        <v>0.31782945736434109</v>
      </c>
      <c r="CA251">
        <v>0.76752767527675281</v>
      </c>
      <c r="CB251">
        <v>0.31782945736434109</v>
      </c>
    </row>
    <row r="252" spans="52:80" x14ac:dyDescent="0.25">
      <c r="AZ252" s="32">
        <v>249</v>
      </c>
      <c r="BA252" s="32">
        <v>0.82162390384694539</v>
      </c>
      <c r="BB252" s="32">
        <v>1</v>
      </c>
      <c r="BC252" s="32">
        <v>208</v>
      </c>
      <c r="BD252" s="32">
        <v>168.69749999999999</v>
      </c>
      <c r="BZ252">
        <v>0.32558139534883723</v>
      </c>
      <c r="CA252">
        <v>0.76752767527675281</v>
      </c>
      <c r="CB252">
        <v>0.32558139534883723</v>
      </c>
    </row>
    <row r="253" spans="52:80" x14ac:dyDescent="0.25">
      <c r="AZ253" s="32">
        <v>250</v>
      </c>
      <c r="BA253" s="32">
        <v>0.81250381883187706</v>
      </c>
      <c r="BB253" s="32">
        <v>0</v>
      </c>
      <c r="BC253" s="32">
        <v>208</v>
      </c>
      <c r="BD253" s="32">
        <v>169.375</v>
      </c>
      <c r="BZ253">
        <v>0.32558139534883723</v>
      </c>
      <c r="CA253">
        <v>0.77121771217712176</v>
      </c>
      <c r="CB253">
        <v>0.32558139534883723</v>
      </c>
    </row>
    <row r="254" spans="52:80" x14ac:dyDescent="0.25">
      <c r="AZ254" s="32">
        <v>251</v>
      </c>
      <c r="BA254" s="32">
        <v>0.8122597536058922</v>
      </c>
      <c r="BB254" s="32">
        <v>1</v>
      </c>
      <c r="BC254" s="32">
        <v>209</v>
      </c>
      <c r="BD254" s="32">
        <v>170.05250000000001</v>
      </c>
      <c r="BZ254">
        <v>0.33333333333333331</v>
      </c>
      <c r="CA254">
        <v>0.77121771217712176</v>
      </c>
      <c r="CB254">
        <v>0.33333333333333331</v>
      </c>
    </row>
    <row r="255" spans="52:80" x14ac:dyDescent="0.25">
      <c r="AZ255" s="32">
        <v>252</v>
      </c>
      <c r="BA255" s="32">
        <v>0.80869362476464168</v>
      </c>
      <c r="BB255" s="32">
        <v>0</v>
      </c>
      <c r="BC255" s="32">
        <v>209</v>
      </c>
      <c r="BD255" s="32">
        <v>170.73</v>
      </c>
      <c r="BZ255">
        <v>0.33333333333333331</v>
      </c>
      <c r="CA255">
        <v>0.77490774907749083</v>
      </c>
      <c r="CB255">
        <v>0.33333333333333331</v>
      </c>
    </row>
    <row r="256" spans="52:80" x14ac:dyDescent="0.25">
      <c r="AZ256" s="32">
        <v>253</v>
      </c>
      <c r="BA256" s="32">
        <v>0.80687879690230346</v>
      </c>
      <c r="BB256" s="32">
        <v>1</v>
      </c>
      <c r="BC256" s="32">
        <v>210</v>
      </c>
      <c r="BD256" s="32">
        <v>171.4075</v>
      </c>
      <c r="BZ256">
        <v>0.34108527131782945</v>
      </c>
      <c r="CA256">
        <v>0.77490774907749083</v>
      </c>
      <c r="CB256">
        <v>0.34108527131782945</v>
      </c>
    </row>
    <row r="257" spans="52:80" x14ac:dyDescent="0.25">
      <c r="AZ257" s="32">
        <v>254</v>
      </c>
      <c r="BA257" s="32">
        <v>0.80340825590177634</v>
      </c>
      <c r="BB257" s="32">
        <v>0</v>
      </c>
      <c r="BC257" s="32">
        <v>210</v>
      </c>
      <c r="BD257" s="32">
        <v>172.08500000000001</v>
      </c>
      <c r="BZ257">
        <v>0.34883720930232559</v>
      </c>
      <c r="CA257">
        <v>0.77490774907749083</v>
      </c>
      <c r="CB257">
        <v>0.34883720930232559</v>
      </c>
    </row>
    <row r="258" spans="52:80" x14ac:dyDescent="0.25">
      <c r="AZ258" s="32">
        <v>255</v>
      </c>
      <c r="BA258" s="32">
        <v>0.80150280499594495</v>
      </c>
      <c r="BB258" s="32">
        <v>0</v>
      </c>
      <c r="BC258" s="32">
        <v>210</v>
      </c>
      <c r="BD258" s="32">
        <v>172.76249999999999</v>
      </c>
      <c r="BZ258">
        <v>0.35658914728682173</v>
      </c>
      <c r="CA258">
        <v>0.77490774907749083</v>
      </c>
      <c r="CB258">
        <v>0.35658914728682173</v>
      </c>
    </row>
    <row r="259" spans="52:80" x14ac:dyDescent="0.25">
      <c r="AZ259" s="32">
        <v>256</v>
      </c>
      <c r="BA259" s="32">
        <v>0.78641965994856911</v>
      </c>
      <c r="BB259" s="32">
        <v>0</v>
      </c>
      <c r="BC259" s="32">
        <v>210</v>
      </c>
      <c r="BD259" s="32">
        <v>173.44</v>
      </c>
      <c r="BZ259">
        <v>0.35658914728682173</v>
      </c>
      <c r="CA259">
        <v>0.77859778597785978</v>
      </c>
      <c r="CB259">
        <v>0.35658914728682173</v>
      </c>
    </row>
    <row r="260" spans="52:80" x14ac:dyDescent="0.25">
      <c r="AZ260" s="32">
        <v>257</v>
      </c>
      <c r="BA260" s="32">
        <v>0.78289765616480078</v>
      </c>
      <c r="BB260" s="32">
        <v>1</v>
      </c>
      <c r="BC260" s="32">
        <v>211</v>
      </c>
      <c r="BD260" s="32">
        <v>174.11750000000001</v>
      </c>
      <c r="BZ260">
        <v>0.36434108527131781</v>
      </c>
      <c r="CA260">
        <v>0.77859778597785978</v>
      </c>
      <c r="CB260">
        <v>0.36434108527131781</v>
      </c>
    </row>
    <row r="261" spans="52:80" x14ac:dyDescent="0.25">
      <c r="AZ261" s="32">
        <v>258</v>
      </c>
      <c r="BA261" s="32">
        <v>0.77296851403448019</v>
      </c>
      <c r="BB261" s="32">
        <v>0</v>
      </c>
      <c r="BC261" s="32">
        <v>211</v>
      </c>
      <c r="BD261" s="32">
        <v>174.79499999999999</v>
      </c>
      <c r="BZ261">
        <v>0.36434108527131781</v>
      </c>
      <c r="CA261">
        <v>0.78228782287822873</v>
      </c>
      <c r="CB261">
        <v>0.36434108527131781</v>
      </c>
    </row>
    <row r="262" spans="52:80" x14ac:dyDescent="0.25">
      <c r="AZ262" s="32">
        <v>259</v>
      </c>
      <c r="BA262" s="32">
        <v>0.77280849899035087</v>
      </c>
      <c r="BB262" s="32">
        <v>1</v>
      </c>
      <c r="BC262" s="32">
        <v>212</v>
      </c>
      <c r="BD262" s="32">
        <v>175.4725</v>
      </c>
      <c r="BZ262">
        <v>0.36434108527131781</v>
      </c>
      <c r="CA262">
        <v>0.7859778597785978</v>
      </c>
      <c r="CB262">
        <v>0.36434108527131781</v>
      </c>
    </row>
    <row r="263" spans="52:80" x14ac:dyDescent="0.25">
      <c r="AZ263" s="32">
        <v>260</v>
      </c>
      <c r="BA263" s="32">
        <v>0.75330316631237892</v>
      </c>
      <c r="BB263" s="32">
        <v>1</v>
      </c>
      <c r="BC263" s="32">
        <v>213</v>
      </c>
      <c r="BD263" s="32">
        <v>176.15</v>
      </c>
      <c r="BZ263">
        <v>0.36434108527131781</v>
      </c>
      <c r="CA263">
        <v>0.78966789667896675</v>
      </c>
      <c r="CB263">
        <v>0.36434108527131781</v>
      </c>
    </row>
    <row r="264" spans="52:80" x14ac:dyDescent="0.25">
      <c r="AZ264" s="32">
        <v>261</v>
      </c>
      <c r="BA264" s="32">
        <v>0.75144341914277069</v>
      </c>
      <c r="BB264" s="32">
        <v>1</v>
      </c>
      <c r="BC264" s="32">
        <v>214</v>
      </c>
      <c r="BD264" s="32">
        <v>176.82749999999999</v>
      </c>
      <c r="BZ264">
        <v>0.37209302325581395</v>
      </c>
      <c r="CA264">
        <v>0.78966789667896675</v>
      </c>
      <c r="CB264">
        <v>0.37209302325581395</v>
      </c>
    </row>
    <row r="265" spans="52:80" x14ac:dyDescent="0.25">
      <c r="AZ265" s="32">
        <v>262</v>
      </c>
      <c r="BA265" s="32">
        <v>0.74961093497539932</v>
      </c>
      <c r="BB265" s="32">
        <v>0</v>
      </c>
      <c r="BC265" s="32">
        <v>214</v>
      </c>
      <c r="BD265" s="32">
        <v>177.505</v>
      </c>
      <c r="BZ265">
        <v>0.37209302325581395</v>
      </c>
      <c r="CA265">
        <v>0.79335793357933582</v>
      </c>
      <c r="CB265">
        <v>0.37209302325581395</v>
      </c>
    </row>
    <row r="266" spans="52:80" x14ac:dyDescent="0.25">
      <c r="AZ266" s="32">
        <v>263</v>
      </c>
      <c r="BA266" s="32">
        <v>0.74927353191122115</v>
      </c>
      <c r="BB266" s="32">
        <v>1</v>
      </c>
      <c r="BC266" s="32">
        <v>215</v>
      </c>
      <c r="BD266" s="32">
        <v>178.1825</v>
      </c>
      <c r="BZ266">
        <v>0.37209302325581395</v>
      </c>
      <c r="CA266">
        <v>0.79704797047970477</v>
      </c>
      <c r="CB266">
        <v>0.37209302325581395</v>
      </c>
    </row>
    <row r="267" spans="52:80" x14ac:dyDescent="0.25">
      <c r="AZ267" s="32">
        <v>264</v>
      </c>
      <c r="BA267" s="32">
        <v>0.7489768321812541</v>
      </c>
      <c r="BB267" s="32">
        <v>1</v>
      </c>
      <c r="BC267" s="32">
        <v>216</v>
      </c>
      <c r="BD267" s="32">
        <v>178.85999999999999</v>
      </c>
      <c r="BZ267">
        <v>0.37209302325581395</v>
      </c>
      <c r="CA267">
        <v>0.80073800738007384</v>
      </c>
      <c r="CB267">
        <v>0.37209302325581395</v>
      </c>
    </row>
    <row r="268" spans="52:80" x14ac:dyDescent="0.25">
      <c r="AZ268" s="32">
        <v>265</v>
      </c>
      <c r="BA268" s="32">
        <v>0.74672818249345774</v>
      </c>
      <c r="BB268" s="32">
        <v>1</v>
      </c>
      <c r="BC268" s="32">
        <v>217</v>
      </c>
      <c r="BD268" s="32">
        <v>179.53749999999999</v>
      </c>
      <c r="BZ268">
        <v>0.37209302325581395</v>
      </c>
      <c r="CA268">
        <v>0.80442804428044279</v>
      </c>
      <c r="CB268">
        <v>0.37209302325581395</v>
      </c>
    </row>
    <row r="269" spans="52:80" x14ac:dyDescent="0.25">
      <c r="AZ269" s="32">
        <v>266</v>
      </c>
      <c r="BA269" s="32">
        <v>0.73824173405250337</v>
      </c>
      <c r="BB269" s="32">
        <v>1</v>
      </c>
      <c r="BC269" s="32">
        <v>218</v>
      </c>
      <c r="BD269" s="32">
        <v>180.215</v>
      </c>
      <c r="BZ269">
        <v>0.37209302325581395</v>
      </c>
      <c r="CA269">
        <v>0.80811808118081185</v>
      </c>
      <c r="CB269">
        <v>0.37209302325581395</v>
      </c>
    </row>
    <row r="270" spans="52:80" x14ac:dyDescent="0.25">
      <c r="AZ270" s="32">
        <v>267</v>
      </c>
      <c r="BA270" s="32">
        <v>0.70969982468700976</v>
      </c>
      <c r="BB270" s="32">
        <v>1</v>
      </c>
      <c r="BC270" s="32">
        <v>219</v>
      </c>
      <c r="BD270" s="32">
        <v>180.89249999999998</v>
      </c>
      <c r="BZ270">
        <v>0.37209302325581395</v>
      </c>
      <c r="CA270">
        <v>0.81180811808118081</v>
      </c>
      <c r="CB270">
        <v>0.37209302325581395</v>
      </c>
    </row>
    <row r="271" spans="52:80" x14ac:dyDescent="0.25">
      <c r="AZ271" s="32">
        <v>268</v>
      </c>
      <c r="BA271" s="32">
        <v>0.70736377267492678</v>
      </c>
      <c r="BB271" s="32">
        <v>1</v>
      </c>
      <c r="BC271" s="32">
        <v>220</v>
      </c>
      <c r="BD271" s="32">
        <v>181.57</v>
      </c>
      <c r="BZ271">
        <v>0.37209302325581395</v>
      </c>
      <c r="CA271">
        <v>0.81549815498154976</v>
      </c>
      <c r="CB271">
        <v>0.37209302325581395</v>
      </c>
    </row>
    <row r="272" spans="52:80" x14ac:dyDescent="0.25">
      <c r="AZ272" s="32">
        <v>269</v>
      </c>
      <c r="BA272" s="32">
        <v>0.70432109370583051</v>
      </c>
      <c r="BB272" s="32">
        <v>1</v>
      </c>
      <c r="BC272" s="32">
        <v>221</v>
      </c>
      <c r="BD272" s="32">
        <v>182.2475</v>
      </c>
      <c r="BZ272">
        <v>0.37984496124031009</v>
      </c>
      <c r="CA272">
        <v>0.81549815498154976</v>
      </c>
      <c r="CB272">
        <v>0.37984496124031009</v>
      </c>
    </row>
    <row r="273" spans="52:80" x14ac:dyDescent="0.25">
      <c r="AZ273" s="32">
        <v>270</v>
      </c>
      <c r="BA273" s="32">
        <v>0.70402215901283938</v>
      </c>
      <c r="BB273" s="32">
        <v>0</v>
      </c>
      <c r="BC273" s="32">
        <v>221</v>
      </c>
      <c r="BD273" s="32">
        <v>182.92500000000001</v>
      </c>
      <c r="BZ273">
        <v>0.38759689922480622</v>
      </c>
      <c r="CA273">
        <v>0.81549815498154976</v>
      </c>
      <c r="CB273">
        <v>0.38759689922480622</v>
      </c>
    </row>
    <row r="274" spans="52:80" x14ac:dyDescent="0.25">
      <c r="AZ274" s="32">
        <v>271</v>
      </c>
      <c r="BA274" s="32">
        <v>0.70296964283765484</v>
      </c>
      <c r="BB274" s="32">
        <v>0</v>
      </c>
      <c r="BC274" s="32">
        <v>221</v>
      </c>
      <c r="BD274" s="32">
        <v>183.60249999999999</v>
      </c>
      <c r="BZ274">
        <v>0.39534883720930231</v>
      </c>
      <c r="CA274">
        <v>0.81549815498154976</v>
      </c>
      <c r="CB274">
        <v>0.39534883720930231</v>
      </c>
    </row>
    <row r="275" spans="52:80" x14ac:dyDescent="0.25">
      <c r="AZ275" s="32">
        <v>272</v>
      </c>
      <c r="BA275" s="32">
        <v>0.70155106381941135</v>
      </c>
      <c r="BB275" s="32">
        <v>0</v>
      </c>
      <c r="BC275" s="32">
        <v>221</v>
      </c>
      <c r="BD275" s="32">
        <v>184.28</v>
      </c>
      <c r="BZ275">
        <v>0.40310077519379844</v>
      </c>
      <c r="CA275">
        <v>0.81549815498154976</v>
      </c>
      <c r="CB275">
        <v>0.40310077519379844</v>
      </c>
    </row>
    <row r="276" spans="52:80" x14ac:dyDescent="0.25">
      <c r="AZ276" s="32">
        <v>273</v>
      </c>
      <c r="BA276" s="32">
        <v>0.70070224581880303</v>
      </c>
      <c r="BB276" s="32">
        <v>0</v>
      </c>
      <c r="BC276" s="32">
        <v>221</v>
      </c>
      <c r="BD276" s="32">
        <v>184.95750000000001</v>
      </c>
      <c r="BZ276">
        <v>0.40310077519379844</v>
      </c>
      <c r="CA276">
        <v>0.81918819188191883</v>
      </c>
      <c r="CB276">
        <v>0.40310077519379844</v>
      </c>
    </row>
    <row r="277" spans="52:80" x14ac:dyDescent="0.25">
      <c r="AZ277" s="32">
        <v>274</v>
      </c>
      <c r="BA277" s="32">
        <v>0.69983792974122927</v>
      </c>
      <c r="BB277" s="32">
        <v>1</v>
      </c>
      <c r="BC277" s="32">
        <v>222</v>
      </c>
      <c r="BD277" s="32">
        <v>185.63499999999999</v>
      </c>
      <c r="BZ277">
        <v>0.41085271317829458</v>
      </c>
      <c r="CA277">
        <v>0.81918819188191883</v>
      </c>
      <c r="CB277">
        <v>0.41085271317829458</v>
      </c>
    </row>
    <row r="278" spans="52:80" x14ac:dyDescent="0.25">
      <c r="AZ278" s="32">
        <v>275</v>
      </c>
      <c r="BA278" s="32">
        <v>0.69941294139772237</v>
      </c>
      <c r="BB278" s="32">
        <v>0</v>
      </c>
      <c r="BC278" s="32">
        <v>222</v>
      </c>
      <c r="BD278" s="32">
        <v>186.3125</v>
      </c>
      <c r="BZ278">
        <v>0.41860465116279072</v>
      </c>
      <c r="CA278">
        <v>0.81918819188191883</v>
      </c>
      <c r="CB278">
        <v>0.41860465116279072</v>
      </c>
    </row>
    <row r="279" spans="52:80" x14ac:dyDescent="0.25">
      <c r="AZ279" s="32">
        <v>276</v>
      </c>
      <c r="BA279" s="32">
        <v>0.69309128933995601</v>
      </c>
      <c r="BB279" s="32">
        <v>0</v>
      </c>
      <c r="BC279" s="32">
        <v>222</v>
      </c>
      <c r="BD279" s="32">
        <v>186.99</v>
      </c>
      <c r="BZ279">
        <v>0.4263565891472868</v>
      </c>
      <c r="CA279">
        <v>0.81918819188191883</v>
      </c>
      <c r="CB279">
        <v>0.4263565891472868</v>
      </c>
    </row>
    <row r="280" spans="52:80" x14ac:dyDescent="0.25">
      <c r="AZ280" s="32">
        <v>277</v>
      </c>
      <c r="BA280" s="32">
        <v>0.68473400396610073</v>
      </c>
      <c r="BB280" s="32">
        <v>0</v>
      </c>
      <c r="BC280" s="32">
        <v>222</v>
      </c>
      <c r="BD280" s="32">
        <v>187.66749999999999</v>
      </c>
      <c r="BZ280">
        <v>0.4263565891472868</v>
      </c>
      <c r="CA280">
        <v>0.82287822878228778</v>
      </c>
      <c r="CB280">
        <v>0.4263565891472868</v>
      </c>
    </row>
    <row r="281" spans="52:80" x14ac:dyDescent="0.25">
      <c r="AZ281" s="32">
        <v>278</v>
      </c>
      <c r="BA281" s="32">
        <v>0.68054138320331259</v>
      </c>
      <c r="BB281" s="32">
        <v>1</v>
      </c>
      <c r="BC281" s="32">
        <v>223</v>
      </c>
      <c r="BD281" s="32">
        <v>188.345</v>
      </c>
      <c r="BZ281">
        <v>0.4263565891472868</v>
      </c>
      <c r="CA281">
        <v>0.82656826568265684</v>
      </c>
      <c r="CB281">
        <v>0.4263565891472868</v>
      </c>
    </row>
    <row r="282" spans="52:80" x14ac:dyDescent="0.25">
      <c r="AZ282" s="32">
        <v>279</v>
      </c>
      <c r="BA282" s="32">
        <v>0.67989290170609529</v>
      </c>
      <c r="BB282" s="32">
        <v>1</v>
      </c>
      <c r="BC282" s="32">
        <v>224</v>
      </c>
      <c r="BD282" s="32">
        <v>189.02250000000001</v>
      </c>
      <c r="BZ282">
        <v>0.4263565891472868</v>
      </c>
      <c r="CA282">
        <v>0.8302583025830258</v>
      </c>
      <c r="CB282">
        <v>0.4263565891472868</v>
      </c>
    </row>
    <row r="283" spans="52:80" x14ac:dyDescent="0.25">
      <c r="AZ283" s="32">
        <v>280</v>
      </c>
      <c r="BA283" s="32">
        <v>0.67483578270611289</v>
      </c>
      <c r="BB283" s="32">
        <v>1</v>
      </c>
      <c r="BC283" s="32">
        <v>225</v>
      </c>
      <c r="BD283" s="32">
        <v>189.7</v>
      </c>
      <c r="BZ283">
        <v>0.4263565891472868</v>
      </c>
      <c r="CA283">
        <v>0.83394833948339486</v>
      </c>
      <c r="CB283">
        <v>0.4263565891472868</v>
      </c>
    </row>
    <row r="284" spans="52:80" x14ac:dyDescent="0.25">
      <c r="AZ284" s="33">
        <v>281</v>
      </c>
      <c r="BA284" s="33">
        <v>0.67461537902419777</v>
      </c>
      <c r="BB284" s="33">
        <v>1</v>
      </c>
      <c r="BC284" s="33">
        <v>226</v>
      </c>
      <c r="BD284" s="33">
        <v>190.3775</v>
      </c>
      <c r="BZ284">
        <v>0.4263565891472868</v>
      </c>
      <c r="CA284">
        <v>0.83763837638376382</v>
      </c>
      <c r="CB284">
        <v>0.4263565891472868</v>
      </c>
    </row>
    <row r="285" spans="52:80" x14ac:dyDescent="0.25">
      <c r="AZ285" s="33">
        <v>282</v>
      </c>
      <c r="BA285" s="33">
        <v>0.66093954309265257</v>
      </c>
      <c r="BB285" s="33">
        <v>1</v>
      </c>
      <c r="BC285" s="33">
        <v>227</v>
      </c>
      <c r="BD285" s="33">
        <v>191.05500000000001</v>
      </c>
      <c r="BZ285">
        <v>0.4263565891472868</v>
      </c>
      <c r="CA285">
        <v>0.84132841328413288</v>
      </c>
      <c r="CB285">
        <v>0.4263565891472868</v>
      </c>
    </row>
    <row r="286" spans="52:80" x14ac:dyDescent="0.25">
      <c r="AZ286" s="33">
        <v>283</v>
      </c>
      <c r="BA286" s="33">
        <v>0.65840023541935244</v>
      </c>
      <c r="BB286" s="33">
        <v>1</v>
      </c>
      <c r="BC286" s="33">
        <v>228</v>
      </c>
      <c r="BD286" s="33">
        <v>191.73249999999999</v>
      </c>
      <c r="BZ286">
        <v>0.4263565891472868</v>
      </c>
      <c r="CA286">
        <v>0.84501845018450183</v>
      </c>
      <c r="CB286">
        <v>0.4263565891472868</v>
      </c>
    </row>
    <row r="287" spans="52:80" x14ac:dyDescent="0.25">
      <c r="AZ287" s="33">
        <v>284</v>
      </c>
      <c r="BA287" s="33">
        <v>0.65039877378716671</v>
      </c>
      <c r="BB287" s="33">
        <v>1</v>
      </c>
      <c r="BC287" s="33">
        <v>229</v>
      </c>
      <c r="BD287" s="33">
        <v>192.41</v>
      </c>
      <c r="BZ287">
        <v>0.4263565891472868</v>
      </c>
      <c r="CA287">
        <v>0.8487084870848709</v>
      </c>
      <c r="CB287">
        <v>0.4263565891472868</v>
      </c>
    </row>
    <row r="288" spans="52:80" x14ac:dyDescent="0.25">
      <c r="AZ288" s="33">
        <v>285</v>
      </c>
      <c r="BA288" s="33">
        <v>0.64133736259985141</v>
      </c>
      <c r="BB288" s="33">
        <v>1</v>
      </c>
      <c r="BC288" s="33">
        <v>230</v>
      </c>
      <c r="BD288" s="33">
        <v>193.08750000000001</v>
      </c>
      <c r="BZ288">
        <v>0.4263565891472868</v>
      </c>
      <c r="CA288">
        <v>0.85239852398523985</v>
      </c>
      <c r="CB288">
        <v>0.4263565891472868</v>
      </c>
    </row>
    <row r="289" spans="52:80" x14ac:dyDescent="0.25">
      <c r="AZ289" s="33">
        <v>286</v>
      </c>
      <c r="BA289" s="33">
        <v>0.62441643354979981</v>
      </c>
      <c r="BB289" s="33">
        <v>1</v>
      </c>
      <c r="BC289" s="33">
        <v>231</v>
      </c>
      <c r="BD289" s="33">
        <v>193.76499999999999</v>
      </c>
      <c r="BZ289">
        <v>0.4263565891472868</v>
      </c>
      <c r="CA289">
        <v>0.85608856088560881</v>
      </c>
      <c r="CB289">
        <v>0.4263565891472868</v>
      </c>
    </row>
    <row r="290" spans="52:80" x14ac:dyDescent="0.25">
      <c r="AZ290" s="33">
        <v>287</v>
      </c>
      <c r="BA290" s="33">
        <v>0.62048970089737521</v>
      </c>
      <c r="BB290" s="33">
        <v>1</v>
      </c>
      <c r="BC290" s="33">
        <v>232</v>
      </c>
      <c r="BD290" s="33">
        <v>194.4425</v>
      </c>
      <c r="BZ290">
        <v>0.43410852713178294</v>
      </c>
      <c r="CA290">
        <v>0.85608856088560881</v>
      </c>
      <c r="CB290">
        <v>0.43410852713178294</v>
      </c>
    </row>
    <row r="291" spans="52:80" x14ac:dyDescent="0.25">
      <c r="AZ291" s="33">
        <v>288</v>
      </c>
      <c r="BA291" s="33">
        <v>0.61823495035637277</v>
      </c>
      <c r="BB291" s="33">
        <v>0</v>
      </c>
      <c r="BC291" s="33">
        <v>232</v>
      </c>
      <c r="BD291" s="33">
        <v>195.12</v>
      </c>
      <c r="BZ291">
        <v>0.43410852713178294</v>
      </c>
      <c r="CA291">
        <v>0.85977859778597787</v>
      </c>
      <c r="CB291">
        <v>0.43410852713178294</v>
      </c>
    </row>
    <row r="292" spans="52:80" x14ac:dyDescent="0.25">
      <c r="AZ292" s="33">
        <v>289</v>
      </c>
      <c r="BA292" s="33">
        <v>0.61058774801145133</v>
      </c>
      <c r="BB292" s="33">
        <v>1</v>
      </c>
      <c r="BC292" s="33">
        <v>233</v>
      </c>
      <c r="BD292" s="33">
        <v>195.79749999999999</v>
      </c>
      <c r="BZ292">
        <v>0.43410852713178294</v>
      </c>
      <c r="CA292">
        <v>0.86346863468634683</v>
      </c>
      <c r="CB292">
        <v>0.43410852713178294</v>
      </c>
    </row>
    <row r="293" spans="52:80" x14ac:dyDescent="0.25">
      <c r="AZ293" s="33">
        <v>290</v>
      </c>
      <c r="BA293" s="33">
        <v>0.60306239763263936</v>
      </c>
      <c r="BB293" s="33">
        <v>1</v>
      </c>
      <c r="BC293" s="33">
        <v>234</v>
      </c>
      <c r="BD293" s="33">
        <v>196.47499999999999</v>
      </c>
      <c r="BZ293">
        <v>0.44186046511627908</v>
      </c>
      <c r="CA293">
        <v>0.86346863468634683</v>
      </c>
      <c r="CB293">
        <v>0.44186046511627908</v>
      </c>
    </row>
    <row r="294" spans="52:80" x14ac:dyDescent="0.25">
      <c r="AZ294" s="33">
        <v>291</v>
      </c>
      <c r="BA294" s="33">
        <v>0.59172233411373654</v>
      </c>
      <c r="BB294" s="33">
        <v>0</v>
      </c>
      <c r="BC294" s="33">
        <v>234</v>
      </c>
      <c r="BD294" s="33">
        <v>197.1525</v>
      </c>
      <c r="BZ294">
        <v>0.44961240310077522</v>
      </c>
      <c r="CA294">
        <v>0.86346863468634683</v>
      </c>
      <c r="CB294">
        <v>0.44961240310077522</v>
      </c>
    </row>
    <row r="295" spans="52:80" x14ac:dyDescent="0.25">
      <c r="AZ295" s="33">
        <v>292</v>
      </c>
      <c r="BA295" s="33">
        <v>0.58856137516633611</v>
      </c>
      <c r="BB295" s="33">
        <v>0</v>
      </c>
      <c r="BC295" s="33">
        <v>234</v>
      </c>
      <c r="BD295" s="33">
        <v>197.82999999999998</v>
      </c>
      <c r="BZ295">
        <v>0.44961240310077522</v>
      </c>
      <c r="CA295">
        <v>0.86715867158671589</v>
      </c>
      <c r="CB295">
        <v>0.44961240310077522</v>
      </c>
    </row>
    <row r="296" spans="52:80" x14ac:dyDescent="0.25">
      <c r="AZ296" s="33">
        <v>293</v>
      </c>
      <c r="BA296" s="33">
        <v>0.57977357755357817</v>
      </c>
      <c r="BB296" s="33">
        <v>1</v>
      </c>
      <c r="BC296" s="33">
        <v>235</v>
      </c>
      <c r="BD296" s="33">
        <v>198.50749999999999</v>
      </c>
      <c r="BZ296">
        <v>0.44961240310077522</v>
      </c>
      <c r="CA296">
        <v>0.87084870848708484</v>
      </c>
      <c r="CB296">
        <v>0.44961240310077522</v>
      </c>
    </row>
    <row r="297" spans="52:80" x14ac:dyDescent="0.25">
      <c r="AZ297" s="33">
        <v>294</v>
      </c>
      <c r="BA297" s="33">
        <v>0.57974099573386717</v>
      </c>
      <c r="BB297" s="33">
        <v>1</v>
      </c>
      <c r="BC297" s="33">
        <v>236</v>
      </c>
      <c r="BD297" s="33">
        <v>199.185</v>
      </c>
      <c r="BZ297">
        <v>0.44961240310077522</v>
      </c>
      <c r="CA297">
        <v>0.87453874538745391</v>
      </c>
      <c r="CB297">
        <v>0.44961240310077522</v>
      </c>
    </row>
    <row r="298" spans="52:80" x14ac:dyDescent="0.25">
      <c r="AZ298" s="33">
        <v>295</v>
      </c>
      <c r="BA298" s="33">
        <v>0.57835299690335129</v>
      </c>
      <c r="BB298" s="33">
        <v>1</v>
      </c>
      <c r="BC298" s="33">
        <v>237</v>
      </c>
      <c r="BD298" s="33">
        <v>199.86250000000001</v>
      </c>
      <c r="BZ298">
        <v>0.44961240310077522</v>
      </c>
      <c r="CA298">
        <v>0.87822878228782286</v>
      </c>
      <c r="CB298">
        <v>0.44961240310077522</v>
      </c>
    </row>
    <row r="299" spans="52:80" x14ac:dyDescent="0.25">
      <c r="AZ299" s="33">
        <v>296</v>
      </c>
      <c r="BA299" s="33">
        <v>0.5753507099170776</v>
      </c>
      <c r="BB299" s="33">
        <v>1</v>
      </c>
      <c r="BC299" s="33">
        <v>238</v>
      </c>
      <c r="BD299" s="33">
        <v>200.54</v>
      </c>
      <c r="BZ299">
        <v>0.4573643410852713</v>
      </c>
      <c r="CA299">
        <v>0.87822878228782286</v>
      </c>
      <c r="CB299">
        <v>0.4573643410852713</v>
      </c>
    </row>
    <row r="300" spans="52:80" x14ac:dyDescent="0.25">
      <c r="AZ300" s="33">
        <v>297</v>
      </c>
      <c r="BA300" s="33">
        <v>0.56860417782787276</v>
      </c>
      <c r="BB300" s="33">
        <v>0</v>
      </c>
      <c r="BC300" s="33">
        <v>238</v>
      </c>
      <c r="BD300" s="33">
        <v>201.2175</v>
      </c>
      <c r="BZ300">
        <v>0.4573643410852713</v>
      </c>
      <c r="CA300">
        <v>0.88191881918819193</v>
      </c>
      <c r="CB300">
        <v>0.4573643410852713</v>
      </c>
    </row>
    <row r="301" spans="52:80" x14ac:dyDescent="0.25">
      <c r="AZ301" s="33">
        <v>298</v>
      </c>
      <c r="BA301" s="33">
        <v>0.55658807564293844</v>
      </c>
      <c r="BB301" s="33">
        <v>1</v>
      </c>
      <c r="BC301" s="33">
        <v>239</v>
      </c>
      <c r="BD301" s="33">
        <v>201.89500000000001</v>
      </c>
      <c r="BZ301">
        <v>0.46511627906976744</v>
      </c>
      <c r="CA301">
        <v>0.88191881918819193</v>
      </c>
      <c r="CB301">
        <v>0.46511627906976744</v>
      </c>
    </row>
    <row r="302" spans="52:80" x14ac:dyDescent="0.25">
      <c r="AZ302" s="33">
        <v>299</v>
      </c>
      <c r="BA302" s="33">
        <v>0.54318450806777019</v>
      </c>
      <c r="BB302" s="33">
        <v>0</v>
      </c>
      <c r="BC302" s="33">
        <v>239</v>
      </c>
      <c r="BD302" s="33">
        <v>202.57249999999999</v>
      </c>
      <c r="BZ302">
        <v>0.47286821705426357</v>
      </c>
      <c r="CA302">
        <v>0.88191881918819193</v>
      </c>
      <c r="CB302">
        <v>0.47286821705426357</v>
      </c>
    </row>
    <row r="303" spans="52:80" x14ac:dyDescent="0.25">
      <c r="AZ303" s="33">
        <v>300</v>
      </c>
      <c r="BA303" s="33">
        <v>0.53573984680909426</v>
      </c>
      <c r="BB303" s="33">
        <v>0</v>
      </c>
      <c r="BC303" s="33">
        <v>239</v>
      </c>
      <c r="BD303" s="33">
        <v>203.25</v>
      </c>
      <c r="BZ303">
        <v>0.48062015503875971</v>
      </c>
      <c r="CA303">
        <v>0.88191881918819193</v>
      </c>
      <c r="CB303">
        <v>0.48062015503875971</v>
      </c>
    </row>
    <row r="304" spans="52:80" x14ac:dyDescent="0.25">
      <c r="AZ304" s="33">
        <v>301</v>
      </c>
      <c r="BA304" s="33">
        <v>0.52951265864400165</v>
      </c>
      <c r="BB304" s="33">
        <v>0</v>
      </c>
      <c r="BC304" s="33">
        <v>239</v>
      </c>
      <c r="BD304" s="33">
        <v>203.92750000000001</v>
      </c>
      <c r="BZ304">
        <v>0.48062015503875971</v>
      </c>
      <c r="CA304">
        <v>0.88560885608856088</v>
      </c>
      <c r="CB304">
        <v>0.48062015503875971</v>
      </c>
    </row>
    <row r="305" spans="52:80" x14ac:dyDescent="0.25">
      <c r="AZ305" s="33">
        <v>302</v>
      </c>
      <c r="BA305" s="33">
        <v>0.51844195653639491</v>
      </c>
      <c r="BB305" s="33">
        <v>1</v>
      </c>
      <c r="BC305" s="33">
        <v>240</v>
      </c>
      <c r="BD305" s="33">
        <v>204.60499999999999</v>
      </c>
      <c r="BZ305">
        <v>0.48062015503875971</v>
      </c>
      <c r="CA305">
        <v>0.88929889298892983</v>
      </c>
      <c r="CB305">
        <v>0.48062015503875971</v>
      </c>
    </row>
    <row r="306" spans="52:80" x14ac:dyDescent="0.25">
      <c r="AZ306" s="33">
        <v>303</v>
      </c>
      <c r="BA306" s="33">
        <v>0.51135939886657678</v>
      </c>
      <c r="BB306" s="33">
        <v>1</v>
      </c>
      <c r="BC306" s="33">
        <v>241</v>
      </c>
      <c r="BD306" s="33">
        <v>205.2825</v>
      </c>
      <c r="BZ306">
        <v>0.48837209302325579</v>
      </c>
      <c r="CA306">
        <v>0.88929889298892983</v>
      </c>
      <c r="CB306">
        <v>0.48837209302325579</v>
      </c>
    </row>
    <row r="307" spans="52:80" x14ac:dyDescent="0.25">
      <c r="AZ307" s="33">
        <v>304</v>
      </c>
      <c r="BA307" s="33">
        <v>0.5096880316503587</v>
      </c>
      <c r="BB307" s="33">
        <v>0</v>
      </c>
      <c r="BC307" s="33">
        <v>241</v>
      </c>
      <c r="BD307" s="33">
        <v>205.96</v>
      </c>
      <c r="BZ307">
        <v>0.49612403100775193</v>
      </c>
      <c r="CA307">
        <v>0.88929889298892983</v>
      </c>
      <c r="CB307">
        <v>0.49612403100775193</v>
      </c>
    </row>
    <row r="308" spans="52:80" x14ac:dyDescent="0.25">
      <c r="AZ308" s="33">
        <v>305</v>
      </c>
      <c r="BA308" s="33">
        <v>0.49754688736817004</v>
      </c>
      <c r="BB308" s="33">
        <v>0</v>
      </c>
      <c r="BC308" s="33">
        <v>241</v>
      </c>
      <c r="BD308" s="33">
        <v>206.63749999999999</v>
      </c>
      <c r="BZ308">
        <v>0.50387596899224807</v>
      </c>
      <c r="CA308">
        <v>0.88929889298892983</v>
      </c>
      <c r="CB308">
        <v>0.50387596899224807</v>
      </c>
    </row>
    <row r="309" spans="52:80" x14ac:dyDescent="0.25">
      <c r="AZ309" s="33">
        <v>306</v>
      </c>
      <c r="BA309" s="33">
        <v>0.48269920815319495</v>
      </c>
      <c r="BB309" s="33">
        <v>0</v>
      </c>
      <c r="BC309" s="33">
        <v>241</v>
      </c>
      <c r="BD309" s="33">
        <v>207.315</v>
      </c>
      <c r="BZ309">
        <v>0.50387596899224807</v>
      </c>
      <c r="CA309">
        <v>0.8929889298892989</v>
      </c>
      <c r="CB309">
        <v>0.50387596899224807</v>
      </c>
    </row>
    <row r="310" spans="52:80" x14ac:dyDescent="0.25">
      <c r="AZ310" s="33">
        <v>307</v>
      </c>
      <c r="BA310" s="33">
        <v>0.47871928491497812</v>
      </c>
      <c r="BB310" s="33">
        <v>1</v>
      </c>
      <c r="BC310" s="33">
        <v>242</v>
      </c>
      <c r="BD310" s="33">
        <v>207.99250000000001</v>
      </c>
      <c r="BZ310">
        <v>0.51162790697674421</v>
      </c>
      <c r="CA310">
        <v>0.8929889298892989</v>
      </c>
      <c r="CB310">
        <v>0.51162790697674421</v>
      </c>
    </row>
    <row r="311" spans="52:80" x14ac:dyDescent="0.25">
      <c r="AZ311" s="33">
        <v>308</v>
      </c>
      <c r="BA311" s="33">
        <v>0.47822149236750178</v>
      </c>
      <c r="BB311" s="33">
        <v>0</v>
      </c>
      <c r="BC311" s="33">
        <v>242</v>
      </c>
      <c r="BD311" s="33">
        <v>208.67</v>
      </c>
      <c r="BZ311">
        <v>0.51937984496124034</v>
      </c>
      <c r="CA311">
        <v>0.8929889298892989</v>
      </c>
      <c r="CB311">
        <v>0.51937984496124034</v>
      </c>
    </row>
    <row r="312" spans="52:80" x14ac:dyDescent="0.25">
      <c r="AZ312" s="33">
        <v>309</v>
      </c>
      <c r="BA312" s="33">
        <v>0.47811497838928835</v>
      </c>
      <c r="BB312" s="33">
        <v>0</v>
      </c>
      <c r="BC312" s="33">
        <v>242</v>
      </c>
      <c r="BD312" s="33">
        <v>209.3475</v>
      </c>
      <c r="BZ312">
        <v>0.51937984496124034</v>
      </c>
      <c r="CA312">
        <v>0.89667896678966785</v>
      </c>
      <c r="CB312">
        <v>0.51937984496124034</v>
      </c>
    </row>
    <row r="313" spans="52:80" x14ac:dyDescent="0.25">
      <c r="AZ313" s="33">
        <v>310</v>
      </c>
      <c r="BA313" s="33">
        <v>0.47398123248220636</v>
      </c>
      <c r="BB313" s="33">
        <v>1</v>
      </c>
      <c r="BC313" s="33">
        <v>243</v>
      </c>
      <c r="BD313" s="33">
        <v>210.02500000000001</v>
      </c>
      <c r="BZ313">
        <v>0.51937984496124034</v>
      </c>
      <c r="CA313">
        <v>0.90036900369003692</v>
      </c>
      <c r="CB313">
        <v>0.51937984496124034</v>
      </c>
    </row>
    <row r="314" spans="52:80" x14ac:dyDescent="0.25">
      <c r="AZ314" s="33">
        <v>311</v>
      </c>
      <c r="BA314" s="33">
        <v>0.45818658639622112</v>
      </c>
      <c r="BB314" s="33">
        <v>1</v>
      </c>
      <c r="BC314" s="33">
        <v>244</v>
      </c>
      <c r="BD314" s="33">
        <v>210.70249999999999</v>
      </c>
      <c r="BZ314">
        <v>0.52713178294573648</v>
      </c>
      <c r="CA314">
        <v>0.90036900369003692</v>
      </c>
      <c r="CB314">
        <v>0.52713178294573648</v>
      </c>
    </row>
    <row r="315" spans="52:80" x14ac:dyDescent="0.25">
      <c r="AZ315" s="33">
        <v>312</v>
      </c>
      <c r="BA315" s="33">
        <v>0.45101779173832096</v>
      </c>
      <c r="BB315" s="33">
        <v>0</v>
      </c>
      <c r="BC315" s="33">
        <v>244</v>
      </c>
      <c r="BD315" s="33">
        <v>211.38</v>
      </c>
      <c r="BZ315">
        <v>0.52713178294573648</v>
      </c>
      <c r="CA315">
        <v>0.90405904059040587</v>
      </c>
      <c r="CB315">
        <v>0.52713178294573648</v>
      </c>
    </row>
    <row r="316" spans="52:80" x14ac:dyDescent="0.25">
      <c r="AZ316" s="33">
        <v>313</v>
      </c>
      <c r="BA316" s="33">
        <v>0.44317430183907081</v>
      </c>
      <c r="BB316" s="33">
        <v>1</v>
      </c>
      <c r="BC316" s="33">
        <v>245</v>
      </c>
      <c r="BD316" s="33">
        <v>212.0575</v>
      </c>
      <c r="BZ316">
        <v>0.53488372093023251</v>
      </c>
      <c r="CA316">
        <v>0.90405904059040587</v>
      </c>
      <c r="CB316">
        <v>0.53488372093023251</v>
      </c>
    </row>
    <row r="317" spans="52:80" x14ac:dyDescent="0.25">
      <c r="AZ317" s="33">
        <v>314</v>
      </c>
      <c r="BA317" s="33">
        <v>0.44207410938777031</v>
      </c>
      <c r="BB317" s="33">
        <v>0</v>
      </c>
      <c r="BC317" s="33">
        <v>245</v>
      </c>
      <c r="BD317" s="33">
        <v>212.73499999999999</v>
      </c>
      <c r="BZ317">
        <v>0.53488372093023251</v>
      </c>
      <c r="CA317">
        <v>0.90774907749077494</v>
      </c>
      <c r="CB317">
        <v>0.53488372093023251</v>
      </c>
    </row>
    <row r="318" spans="52:80" x14ac:dyDescent="0.25">
      <c r="AZ318" s="33">
        <v>315</v>
      </c>
      <c r="BA318" s="33">
        <v>0.43932752142511733</v>
      </c>
      <c r="BB318" s="33">
        <v>1</v>
      </c>
      <c r="BC318" s="33">
        <v>246</v>
      </c>
      <c r="BD318" s="33">
        <v>213.41249999999999</v>
      </c>
      <c r="BZ318">
        <v>0.54263565891472865</v>
      </c>
      <c r="CA318">
        <v>0.90774907749077494</v>
      </c>
      <c r="CB318">
        <v>0.54263565891472865</v>
      </c>
    </row>
    <row r="319" spans="52:80" x14ac:dyDescent="0.25">
      <c r="AZ319" s="33">
        <v>316</v>
      </c>
      <c r="BA319" s="33">
        <v>0.4205599884943752</v>
      </c>
      <c r="BB319" s="33">
        <v>0</v>
      </c>
      <c r="BC319" s="33">
        <v>246</v>
      </c>
      <c r="BD319" s="33">
        <v>214.09</v>
      </c>
      <c r="BZ319">
        <v>0.55038759689922478</v>
      </c>
      <c r="CA319">
        <v>0.90774907749077494</v>
      </c>
      <c r="CB319">
        <v>0.55038759689922478</v>
      </c>
    </row>
    <row r="320" spans="52:80" x14ac:dyDescent="0.25">
      <c r="AZ320" s="33">
        <v>317</v>
      </c>
      <c r="BA320" s="33">
        <v>0.40802726813916407</v>
      </c>
      <c r="BB320" s="33">
        <v>0</v>
      </c>
      <c r="BC320" s="33">
        <v>246</v>
      </c>
      <c r="BD320" s="33">
        <v>214.76749999999998</v>
      </c>
      <c r="BZ320">
        <v>0.55038759689922478</v>
      </c>
      <c r="CA320">
        <v>0.91143911439114389</v>
      </c>
      <c r="CB320">
        <v>0.55038759689922478</v>
      </c>
    </row>
    <row r="321" spans="52:80" x14ac:dyDescent="0.25">
      <c r="AZ321" s="33">
        <v>318</v>
      </c>
      <c r="BA321" s="33">
        <v>0.40321411955131947</v>
      </c>
      <c r="BB321" s="33">
        <v>1</v>
      </c>
      <c r="BC321" s="33">
        <v>247</v>
      </c>
      <c r="BD321" s="33">
        <v>215.44499999999999</v>
      </c>
      <c r="BZ321">
        <v>0.55038759689922478</v>
      </c>
      <c r="CA321">
        <v>0.91512915129151295</v>
      </c>
      <c r="CB321">
        <v>0.55038759689922478</v>
      </c>
    </row>
    <row r="322" spans="52:80" x14ac:dyDescent="0.25">
      <c r="AZ322" s="33">
        <v>319</v>
      </c>
      <c r="BA322" s="33">
        <v>0.4019543242002977</v>
      </c>
      <c r="BB322" s="33">
        <v>1</v>
      </c>
      <c r="BC322" s="33">
        <v>248</v>
      </c>
      <c r="BD322" s="33">
        <v>216.1225</v>
      </c>
      <c r="BZ322">
        <v>0.55038759689922478</v>
      </c>
      <c r="CA322">
        <v>0.91881918819188191</v>
      </c>
      <c r="CB322">
        <v>0.55038759689922478</v>
      </c>
    </row>
    <row r="323" spans="52:80" x14ac:dyDescent="0.25">
      <c r="AZ323" s="33">
        <v>320</v>
      </c>
      <c r="BA323" s="33">
        <v>0.40029089543887281</v>
      </c>
      <c r="BB323" s="33">
        <v>1</v>
      </c>
      <c r="BC323" s="33">
        <v>249</v>
      </c>
      <c r="BD323" s="33">
        <v>216.8</v>
      </c>
      <c r="BZ323">
        <v>0.55038759689922478</v>
      </c>
      <c r="CA323">
        <v>0.92250922509225097</v>
      </c>
      <c r="CB323">
        <v>0.55038759689922478</v>
      </c>
    </row>
    <row r="324" spans="52:80" x14ac:dyDescent="0.25">
      <c r="AZ324" s="32">
        <v>321</v>
      </c>
      <c r="BA324" s="32">
        <v>0.39257546258459425</v>
      </c>
      <c r="BB324" s="32">
        <v>1</v>
      </c>
      <c r="BC324" s="32">
        <v>250</v>
      </c>
      <c r="BD324" s="32">
        <v>217.47749999999999</v>
      </c>
      <c r="BZ324">
        <v>0.55813953488372092</v>
      </c>
      <c r="CA324">
        <v>0.92250922509225097</v>
      </c>
      <c r="CB324">
        <v>0.55813953488372092</v>
      </c>
    </row>
    <row r="325" spans="52:80" x14ac:dyDescent="0.25">
      <c r="AZ325" s="32">
        <v>322</v>
      </c>
      <c r="BA325" s="32">
        <v>0.38011915613006697</v>
      </c>
      <c r="BB325" s="32">
        <v>0</v>
      </c>
      <c r="BC325" s="32">
        <v>250</v>
      </c>
      <c r="BD325" s="32">
        <v>218.155</v>
      </c>
      <c r="BZ325">
        <v>0.56589147286821706</v>
      </c>
      <c r="CA325">
        <v>0.92250922509225097</v>
      </c>
      <c r="CB325">
        <v>0.56589147286821706</v>
      </c>
    </row>
    <row r="326" spans="52:80" x14ac:dyDescent="0.25">
      <c r="AZ326" s="32">
        <v>323</v>
      </c>
      <c r="BA326" s="32">
        <v>0.35836891835495005</v>
      </c>
      <c r="BB326" s="32">
        <v>0</v>
      </c>
      <c r="BC326" s="32">
        <v>250</v>
      </c>
      <c r="BD326" s="32">
        <v>218.83250000000001</v>
      </c>
      <c r="BZ326">
        <v>0.5736434108527132</v>
      </c>
      <c r="CA326">
        <v>0.92250922509225097</v>
      </c>
      <c r="CB326">
        <v>0.5736434108527132</v>
      </c>
    </row>
    <row r="327" spans="52:80" x14ac:dyDescent="0.25">
      <c r="AZ327" s="32">
        <v>324</v>
      </c>
      <c r="BA327" s="32">
        <v>0.35663894417082254</v>
      </c>
      <c r="BB327" s="32">
        <v>0</v>
      </c>
      <c r="BC327" s="32">
        <v>250</v>
      </c>
      <c r="BD327" s="32">
        <v>219.51</v>
      </c>
      <c r="BZ327">
        <v>0.58139534883720934</v>
      </c>
      <c r="CA327">
        <v>0.92250922509225097</v>
      </c>
      <c r="CB327">
        <v>0.58139534883720934</v>
      </c>
    </row>
    <row r="328" spans="52:80" x14ac:dyDescent="0.25">
      <c r="AZ328" s="32">
        <v>325</v>
      </c>
      <c r="BA328" s="32">
        <v>0.34924539938301719</v>
      </c>
      <c r="BB328" s="32">
        <v>0</v>
      </c>
      <c r="BC328" s="32">
        <v>250</v>
      </c>
      <c r="BD328" s="32">
        <v>220.1875</v>
      </c>
      <c r="BZ328">
        <v>0.58139534883720934</v>
      </c>
      <c r="CA328">
        <v>0.92619926199261993</v>
      </c>
      <c r="CB328">
        <v>0.58139534883720934</v>
      </c>
    </row>
    <row r="329" spans="52:80" x14ac:dyDescent="0.25">
      <c r="AZ329" s="32">
        <v>326</v>
      </c>
      <c r="BA329" s="32">
        <v>0.32850146690624316</v>
      </c>
      <c r="BB329" s="32">
        <v>1</v>
      </c>
      <c r="BC329" s="32">
        <v>251</v>
      </c>
      <c r="BD329" s="32">
        <v>220.86500000000001</v>
      </c>
      <c r="BZ329">
        <v>0.58914728682170547</v>
      </c>
      <c r="CA329">
        <v>0.92619926199261993</v>
      </c>
      <c r="CB329">
        <v>0.58914728682170547</v>
      </c>
    </row>
    <row r="330" spans="52:80" x14ac:dyDescent="0.25">
      <c r="AZ330" s="32">
        <v>327</v>
      </c>
      <c r="BA330" s="32">
        <v>0.31312766874327785</v>
      </c>
      <c r="BB330" s="32">
        <v>0</v>
      </c>
      <c r="BC330" s="32">
        <v>251</v>
      </c>
      <c r="BD330" s="32">
        <v>221.54249999999999</v>
      </c>
      <c r="BZ330">
        <v>0.58914728682170547</v>
      </c>
      <c r="CA330">
        <v>0.92988929889298888</v>
      </c>
      <c r="CB330">
        <v>0.58914728682170547</v>
      </c>
    </row>
    <row r="331" spans="52:80" x14ac:dyDescent="0.25">
      <c r="AZ331" s="32">
        <v>328</v>
      </c>
      <c r="BA331" s="32">
        <v>0.30433237171365424</v>
      </c>
      <c r="BB331" s="32">
        <v>1</v>
      </c>
      <c r="BC331" s="32">
        <v>252</v>
      </c>
      <c r="BD331" s="32">
        <v>222.22</v>
      </c>
      <c r="BZ331">
        <v>0.5968992248062015</v>
      </c>
      <c r="CA331">
        <v>0.92988929889298888</v>
      </c>
      <c r="CB331">
        <v>0.5968992248062015</v>
      </c>
    </row>
    <row r="332" spans="52:80" x14ac:dyDescent="0.25">
      <c r="AZ332" s="32">
        <v>329</v>
      </c>
      <c r="BA332" s="32">
        <v>0.3041075707500604</v>
      </c>
      <c r="BB332" s="32">
        <v>0</v>
      </c>
      <c r="BC332" s="32">
        <v>252</v>
      </c>
      <c r="BD332" s="32">
        <v>222.89750000000001</v>
      </c>
      <c r="BZ332">
        <v>0.5968992248062015</v>
      </c>
      <c r="CA332">
        <v>0.93357933579335795</v>
      </c>
      <c r="CB332">
        <v>0.5968992248062015</v>
      </c>
    </row>
    <row r="333" spans="52:80" x14ac:dyDescent="0.25">
      <c r="AZ333" s="32">
        <v>330</v>
      </c>
      <c r="BA333" s="32">
        <v>0.30320023730582135</v>
      </c>
      <c r="BB333" s="32">
        <v>1</v>
      </c>
      <c r="BC333" s="32">
        <v>253</v>
      </c>
      <c r="BD333" s="32">
        <v>223.57499999999999</v>
      </c>
      <c r="BZ333">
        <v>0.5968992248062015</v>
      </c>
      <c r="CA333">
        <v>0.9372693726937269</v>
      </c>
      <c r="CB333">
        <v>0.5968992248062015</v>
      </c>
    </row>
    <row r="334" spans="52:80" x14ac:dyDescent="0.25">
      <c r="AZ334" s="32">
        <v>331</v>
      </c>
      <c r="BA334" s="32">
        <v>0.30038239624285651</v>
      </c>
      <c r="BB334" s="32">
        <v>1</v>
      </c>
      <c r="BC334" s="32">
        <v>254</v>
      </c>
      <c r="BD334" s="32">
        <v>224.2525</v>
      </c>
      <c r="BZ334">
        <v>0.5968992248062015</v>
      </c>
      <c r="CA334">
        <v>0.94095940959409596</v>
      </c>
      <c r="CB334">
        <v>0.5968992248062015</v>
      </c>
    </row>
    <row r="335" spans="52:80" x14ac:dyDescent="0.25">
      <c r="AZ335" s="32">
        <v>332</v>
      </c>
      <c r="BA335" s="32">
        <v>0.29362125099317515</v>
      </c>
      <c r="BB335" s="32">
        <v>1</v>
      </c>
      <c r="BC335" s="32">
        <v>255</v>
      </c>
      <c r="BD335" s="32">
        <v>224.93</v>
      </c>
      <c r="BZ335">
        <v>0.60465116279069764</v>
      </c>
      <c r="CA335">
        <v>0.94095940959409596</v>
      </c>
      <c r="CB335">
        <v>0.60465116279069764</v>
      </c>
    </row>
    <row r="336" spans="52:80" x14ac:dyDescent="0.25">
      <c r="AZ336" s="32">
        <v>333</v>
      </c>
      <c r="BA336" s="32">
        <v>0.2891154439912581</v>
      </c>
      <c r="BB336" s="32">
        <v>0</v>
      </c>
      <c r="BC336" s="32">
        <v>255</v>
      </c>
      <c r="BD336" s="32">
        <v>225.60749999999999</v>
      </c>
      <c r="BZ336">
        <v>0.61240310077519378</v>
      </c>
      <c r="CA336">
        <v>0.94095940959409596</v>
      </c>
      <c r="CB336">
        <v>0.61240310077519378</v>
      </c>
    </row>
    <row r="337" spans="52:80" x14ac:dyDescent="0.25">
      <c r="AZ337" s="32">
        <v>334</v>
      </c>
      <c r="BA337" s="32">
        <v>0.28089177615100441</v>
      </c>
      <c r="BB337" s="32">
        <v>0</v>
      </c>
      <c r="BC337" s="32">
        <v>255</v>
      </c>
      <c r="BD337" s="32">
        <v>226.285</v>
      </c>
      <c r="BZ337">
        <v>0.61240310077519378</v>
      </c>
      <c r="CA337">
        <v>0.94464944649446492</v>
      </c>
      <c r="CB337">
        <v>0.61240310077519378</v>
      </c>
    </row>
    <row r="338" spans="52:80" x14ac:dyDescent="0.25">
      <c r="AZ338" s="32">
        <v>335</v>
      </c>
      <c r="BA338" s="32">
        <v>0.28077419582262303</v>
      </c>
      <c r="BB338" s="32">
        <v>1</v>
      </c>
      <c r="BC338" s="32">
        <v>256</v>
      </c>
      <c r="BD338" s="32">
        <v>226.96250000000001</v>
      </c>
      <c r="BZ338">
        <v>0.62015503875968991</v>
      </c>
      <c r="CA338">
        <v>0.94464944649446492</v>
      </c>
      <c r="CB338">
        <v>0.62015503875968991</v>
      </c>
    </row>
    <row r="339" spans="52:80" x14ac:dyDescent="0.25">
      <c r="AZ339" s="32">
        <v>336</v>
      </c>
      <c r="BA339" s="32">
        <v>0.25560849261690649</v>
      </c>
      <c r="BB339" s="32">
        <v>0</v>
      </c>
      <c r="BC339" s="32">
        <v>256</v>
      </c>
      <c r="BD339" s="32">
        <v>227.64</v>
      </c>
      <c r="BZ339">
        <v>0.62790697674418605</v>
      </c>
      <c r="CA339">
        <v>0.94464944649446492</v>
      </c>
      <c r="CB339">
        <v>0.62790697674418605</v>
      </c>
    </row>
    <row r="340" spans="52:80" x14ac:dyDescent="0.25">
      <c r="AZ340" s="32">
        <v>337</v>
      </c>
      <c r="BA340" s="32">
        <v>0.25554110128071444</v>
      </c>
      <c r="BB340" s="32">
        <v>0</v>
      </c>
      <c r="BC340" s="32">
        <v>256</v>
      </c>
      <c r="BD340" s="32">
        <v>228.3175</v>
      </c>
      <c r="BZ340">
        <v>0.63565891472868219</v>
      </c>
      <c r="CA340">
        <v>0.94464944649446492</v>
      </c>
      <c r="CB340">
        <v>0.63565891472868219</v>
      </c>
    </row>
    <row r="341" spans="52:80" x14ac:dyDescent="0.25">
      <c r="AZ341" s="32">
        <v>338</v>
      </c>
      <c r="BA341" s="32">
        <v>0.24872537653997911</v>
      </c>
      <c r="BB341" s="32">
        <v>0</v>
      </c>
      <c r="BC341" s="32">
        <v>256</v>
      </c>
      <c r="BD341" s="32">
        <v>228.995</v>
      </c>
      <c r="BZ341">
        <v>0.63565891472868219</v>
      </c>
      <c r="CA341">
        <v>0.94833948339483398</v>
      </c>
      <c r="CB341">
        <v>0.63565891472868219</v>
      </c>
    </row>
    <row r="342" spans="52:80" x14ac:dyDescent="0.25">
      <c r="AZ342" s="32">
        <v>339</v>
      </c>
      <c r="BA342" s="32">
        <v>0.23883678926411125</v>
      </c>
      <c r="BB342" s="32">
        <v>1</v>
      </c>
      <c r="BC342" s="32">
        <v>257</v>
      </c>
      <c r="BD342" s="32">
        <v>229.67249999999999</v>
      </c>
      <c r="BZ342">
        <v>0.64341085271317833</v>
      </c>
      <c r="CA342">
        <v>0.94833948339483398</v>
      </c>
      <c r="CB342">
        <v>0.64341085271317833</v>
      </c>
    </row>
    <row r="343" spans="52:80" x14ac:dyDescent="0.25">
      <c r="AZ343" s="32">
        <v>340</v>
      </c>
      <c r="BA343" s="32">
        <v>0.23062446001264175</v>
      </c>
      <c r="BB343" s="32">
        <v>0</v>
      </c>
      <c r="BC343" s="32">
        <v>257</v>
      </c>
      <c r="BD343" s="32">
        <v>230.35</v>
      </c>
      <c r="BZ343">
        <v>0.65116279069767447</v>
      </c>
      <c r="CA343">
        <v>0.94833948339483398</v>
      </c>
      <c r="CB343">
        <v>0.65116279069767447</v>
      </c>
    </row>
    <row r="344" spans="52:80" x14ac:dyDescent="0.25">
      <c r="AZ344" s="32">
        <v>341</v>
      </c>
      <c r="BA344" s="32">
        <v>0.22400227936264833</v>
      </c>
      <c r="BB344" s="32">
        <v>0</v>
      </c>
      <c r="BC344" s="32">
        <v>257</v>
      </c>
      <c r="BD344" s="32">
        <v>231.0275</v>
      </c>
      <c r="BZ344">
        <v>0.65891472868217049</v>
      </c>
      <c r="CA344">
        <v>0.94833948339483398</v>
      </c>
      <c r="CB344">
        <v>0.65891472868217049</v>
      </c>
    </row>
    <row r="345" spans="52:80" x14ac:dyDescent="0.25">
      <c r="AZ345" s="32">
        <v>342</v>
      </c>
      <c r="BA345" s="32">
        <v>0.22274845273732685</v>
      </c>
      <c r="BB345" s="32">
        <v>0</v>
      </c>
      <c r="BC345" s="32">
        <v>257</v>
      </c>
      <c r="BD345" s="32">
        <v>231.70499999999998</v>
      </c>
      <c r="BZ345">
        <v>0.66666666666666663</v>
      </c>
      <c r="CA345">
        <v>0.94833948339483398</v>
      </c>
      <c r="CB345">
        <v>0.66666666666666663</v>
      </c>
    </row>
    <row r="346" spans="52:80" x14ac:dyDescent="0.25">
      <c r="AZ346" s="32">
        <v>343</v>
      </c>
      <c r="BA346" s="32">
        <v>0.21025998074343977</v>
      </c>
      <c r="BB346" s="32">
        <v>0</v>
      </c>
      <c r="BC346" s="32">
        <v>257</v>
      </c>
      <c r="BD346" s="32">
        <v>232.38249999999999</v>
      </c>
      <c r="BZ346">
        <v>0.67441860465116277</v>
      </c>
      <c r="CA346">
        <v>0.94833948339483398</v>
      </c>
      <c r="CB346">
        <v>0.67441860465116277</v>
      </c>
    </row>
    <row r="347" spans="52:80" x14ac:dyDescent="0.25">
      <c r="AZ347" s="32">
        <v>344</v>
      </c>
      <c r="BA347" s="32">
        <v>0.20396801110147272</v>
      </c>
      <c r="BB347" s="32">
        <v>0</v>
      </c>
      <c r="BC347" s="32">
        <v>257</v>
      </c>
      <c r="BD347" s="32">
        <v>233.06</v>
      </c>
      <c r="BZ347">
        <v>0.67441860465116277</v>
      </c>
      <c r="CA347">
        <v>0.95202952029520294</v>
      </c>
      <c r="CB347">
        <v>0.67441860465116277</v>
      </c>
    </row>
    <row r="348" spans="52:80" x14ac:dyDescent="0.25">
      <c r="AZ348" s="32">
        <v>345</v>
      </c>
      <c r="BA348" s="32">
        <v>0.2020493518550372</v>
      </c>
      <c r="BB348" s="32">
        <v>1</v>
      </c>
      <c r="BC348" s="32">
        <v>258</v>
      </c>
      <c r="BD348" s="32">
        <v>233.73749999999998</v>
      </c>
      <c r="BZ348">
        <v>0.67441860465116277</v>
      </c>
      <c r="CA348">
        <v>0.955719557195572</v>
      </c>
      <c r="CB348">
        <v>0.67441860465116277</v>
      </c>
    </row>
    <row r="349" spans="52:80" x14ac:dyDescent="0.25">
      <c r="AZ349" s="32">
        <v>346</v>
      </c>
      <c r="BA349" s="32">
        <v>0.20081757681323445</v>
      </c>
      <c r="BB349" s="32">
        <v>1</v>
      </c>
      <c r="BC349" s="32">
        <v>259</v>
      </c>
      <c r="BD349" s="32">
        <v>234.41499999999999</v>
      </c>
      <c r="BZ349">
        <v>0.67441860465116277</v>
      </c>
      <c r="CA349">
        <v>0.95940959409594095</v>
      </c>
      <c r="CB349">
        <v>0.67441860465116277</v>
      </c>
    </row>
    <row r="350" spans="52:80" x14ac:dyDescent="0.25">
      <c r="AZ350" s="32">
        <v>347</v>
      </c>
      <c r="BA350" s="32">
        <v>0.20071326333607187</v>
      </c>
      <c r="BB350" s="32">
        <v>1</v>
      </c>
      <c r="BC350" s="32">
        <v>260</v>
      </c>
      <c r="BD350" s="32">
        <v>235.0925</v>
      </c>
      <c r="BZ350">
        <v>0.68217054263565891</v>
      </c>
      <c r="CA350">
        <v>0.95940959409594095</v>
      </c>
      <c r="CB350">
        <v>0.68217054263565891</v>
      </c>
    </row>
    <row r="351" spans="52:80" x14ac:dyDescent="0.25">
      <c r="AZ351" s="32">
        <v>348</v>
      </c>
      <c r="BA351" s="32">
        <v>0.19680362148699218</v>
      </c>
      <c r="BB351" s="32">
        <v>0</v>
      </c>
      <c r="BC351" s="32">
        <v>260</v>
      </c>
      <c r="BD351" s="32">
        <v>235.77</v>
      </c>
      <c r="BZ351">
        <v>0.68992248062015504</v>
      </c>
      <c r="CA351">
        <v>0.95940959409594095</v>
      </c>
      <c r="CB351">
        <v>0.68992248062015504</v>
      </c>
    </row>
    <row r="352" spans="52:80" x14ac:dyDescent="0.25">
      <c r="AZ352" s="32">
        <v>349</v>
      </c>
      <c r="BA352" s="32">
        <v>0.18760992308780167</v>
      </c>
      <c r="BB352" s="32">
        <v>0</v>
      </c>
      <c r="BC352" s="32">
        <v>260</v>
      </c>
      <c r="BD352" s="32">
        <v>236.44749999999999</v>
      </c>
      <c r="BZ352">
        <v>0.68992248062015504</v>
      </c>
      <c r="CA352">
        <v>0.96309963099630991</v>
      </c>
      <c r="CB352">
        <v>0.68992248062015504</v>
      </c>
    </row>
    <row r="353" spans="52:80" x14ac:dyDescent="0.25">
      <c r="AZ353" s="32">
        <v>350</v>
      </c>
      <c r="BA353" s="32">
        <v>0.17870268669776404</v>
      </c>
      <c r="BB353" s="32">
        <v>1</v>
      </c>
      <c r="BC353" s="32">
        <v>261</v>
      </c>
      <c r="BD353" s="32">
        <v>237.125</v>
      </c>
      <c r="BZ353">
        <v>0.69767441860465118</v>
      </c>
      <c r="CA353">
        <v>0.96309963099630991</v>
      </c>
      <c r="CB353">
        <v>0.69767441860465118</v>
      </c>
    </row>
    <row r="354" spans="52:80" x14ac:dyDescent="0.25">
      <c r="AZ354" s="32">
        <v>351</v>
      </c>
      <c r="BA354" s="32">
        <v>0.17006926402992095</v>
      </c>
      <c r="BB354" s="32">
        <v>0</v>
      </c>
      <c r="BC354" s="32">
        <v>261</v>
      </c>
      <c r="BD354" s="32">
        <v>237.80250000000001</v>
      </c>
      <c r="BZ354">
        <v>0.70542635658914732</v>
      </c>
      <c r="CA354">
        <v>0.96309963099630991</v>
      </c>
      <c r="CB354">
        <v>0.70542635658914732</v>
      </c>
    </row>
    <row r="355" spans="52:80" x14ac:dyDescent="0.25">
      <c r="AZ355" s="32">
        <v>352</v>
      </c>
      <c r="BA355" s="32">
        <v>0.16013934305048189</v>
      </c>
      <c r="BB355" s="32">
        <v>0</v>
      </c>
      <c r="BC355" s="32">
        <v>261</v>
      </c>
      <c r="BD355" s="32">
        <v>238.48</v>
      </c>
      <c r="BZ355">
        <v>0.71317829457364346</v>
      </c>
      <c r="CA355">
        <v>0.96309963099630991</v>
      </c>
      <c r="CB355">
        <v>0.71317829457364346</v>
      </c>
    </row>
    <row r="356" spans="52:80" x14ac:dyDescent="0.25">
      <c r="AZ356" s="32">
        <v>353</v>
      </c>
      <c r="BA356" s="32">
        <v>0.15426059131952344</v>
      </c>
      <c r="BB356" s="32">
        <v>0</v>
      </c>
      <c r="BC356" s="32">
        <v>261</v>
      </c>
      <c r="BD356" s="32">
        <v>239.1575</v>
      </c>
      <c r="BZ356">
        <v>0.72093023255813948</v>
      </c>
      <c r="CA356">
        <v>0.96309963099630991</v>
      </c>
      <c r="CB356">
        <v>0.72093023255813948</v>
      </c>
    </row>
    <row r="357" spans="52:80" x14ac:dyDescent="0.25">
      <c r="AZ357" s="32">
        <v>354</v>
      </c>
      <c r="BA357" s="32">
        <v>0.14668023209051323</v>
      </c>
      <c r="BB357" s="32">
        <v>0</v>
      </c>
      <c r="BC357" s="32">
        <v>261</v>
      </c>
      <c r="BD357" s="32">
        <v>239.83500000000001</v>
      </c>
      <c r="BZ357">
        <v>0.72868217054263562</v>
      </c>
      <c r="CA357">
        <v>0.96309963099630991</v>
      </c>
      <c r="CB357">
        <v>0.72868217054263562</v>
      </c>
    </row>
    <row r="358" spans="52:80" x14ac:dyDescent="0.25">
      <c r="AZ358" s="32">
        <v>355</v>
      </c>
      <c r="BA358" s="32">
        <v>0.14186884785225506</v>
      </c>
      <c r="BB358" s="32">
        <v>0</v>
      </c>
      <c r="BC358" s="32">
        <v>261</v>
      </c>
      <c r="BD358" s="32">
        <v>240.51249999999999</v>
      </c>
      <c r="BZ358">
        <v>0.73643410852713176</v>
      </c>
      <c r="CA358">
        <v>0.96309963099630991</v>
      </c>
      <c r="CB358">
        <v>0.73643410852713176</v>
      </c>
    </row>
    <row r="359" spans="52:80" x14ac:dyDescent="0.25">
      <c r="AZ359" s="32">
        <v>356</v>
      </c>
      <c r="BA359" s="32">
        <v>0.14071455956543413</v>
      </c>
      <c r="BB359" s="32">
        <v>0</v>
      </c>
      <c r="BC359" s="32">
        <v>261</v>
      </c>
      <c r="BD359" s="32">
        <v>241.19</v>
      </c>
      <c r="BZ359">
        <v>0.73643410852713176</v>
      </c>
      <c r="CA359">
        <v>0.96678966789667897</v>
      </c>
      <c r="CB359">
        <v>0.73643410852713176</v>
      </c>
    </row>
    <row r="360" spans="52:80" x14ac:dyDescent="0.25">
      <c r="AZ360" s="32">
        <v>357</v>
      </c>
      <c r="BA360" s="32">
        <v>0.13417650633216063</v>
      </c>
      <c r="BB360" s="32">
        <v>1</v>
      </c>
      <c r="BC360" s="32">
        <v>262</v>
      </c>
      <c r="BD360" s="32">
        <v>241.86750000000001</v>
      </c>
      <c r="BZ360">
        <v>0.7441860465116279</v>
      </c>
      <c r="CA360">
        <v>0.96678966789667897</v>
      </c>
      <c r="CB360">
        <v>0.7441860465116279</v>
      </c>
    </row>
    <row r="361" spans="52:80" x14ac:dyDescent="0.25">
      <c r="AZ361" s="32">
        <v>358</v>
      </c>
      <c r="BA361" s="32">
        <v>0.12902689249551086</v>
      </c>
      <c r="BB361" s="32">
        <v>0</v>
      </c>
      <c r="BC361" s="32">
        <v>262</v>
      </c>
      <c r="BD361" s="32">
        <v>242.54499999999999</v>
      </c>
      <c r="BZ361">
        <v>0.75193798449612403</v>
      </c>
      <c r="CA361">
        <v>0.96678966789667897</v>
      </c>
      <c r="CB361">
        <v>0.75193798449612403</v>
      </c>
    </row>
    <row r="362" spans="52:80" x14ac:dyDescent="0.25">
      <c r="AZ362" s="32">
        <v>359</v>
      </c>
      <c r="BA362" s="32">
        <v>0.12750812311827908</v>
      </c>
      <c r="BB362" s="32">
        <v>0</v>
      </c>
      <c r="BC362" s="32">
        <v>262</v>
      </c>
      <c r="BD362" s="32">
        <v>243.2225</v>
      </c>
      <c r="BZ362">
        <v>0.75193798449612403</v>
      </c>
      <c r="CA362">
        <v>0.97047970479704793</v>
      </c>
      <c r="CB362">
        <v>0.75193798449612403</v>
      </c>
    </row>
    <row r="363" spans="52:80" x14ac:dyDescent="0.25">
      <c r="AZ363" s="32">
        <v>360</v>
      </c>
      <c r="BA363" s="32">
        <v>0.12605095433996366</v>
      </c>
      <c r="BB363" s="32">
        <v>1</v>
      </c>
      <c r="BC363" s="32">
        <v>263</v>
      </c>
      <c r="BD363" s="32">
        <v>243.9</v>
      </c>
      <c r="BZ363">
        <v>0.75193798449612403</v>
      </c>
      <c r="CA363">
        <v>0.97416974169741699</v>
      </c>
      <c r="CB363">
        <v>0.75193798449612403</v>
      </c>
    </row>
    <row r="364" spans="52:80" x14ac:dyDescent="0.25">
      <c r="AZ364" s="33">
        <v>361</v>
      </c>
      <c r="BA364" s="33">
        <v>0.12429592559914646</v>
      </c>
      <c r="BB364" s="33">
        <v>1</v>
      </c>
      <c r="BC364" s="33">
        <v>264</v>
      </c>
      <c r="BD364" s="33">
        <v>244.57749999999999</v>
      </c>
      <c r="BZ364">
        <v>0.75968992248062017</v>
      </c>
      <c r="CA364">
        <v>0.97416974169741699</v>
      </c>
      <c r="CB364">
        <v>0.75968992248062017</v>
      </c>
    </row>
    <row r="365" spans="52:80" x14ac:dyDescent="0.25">
      <c r="AZ365" s="33">
        <v>362</v>
      </c>
      <c r="BA365" s="33">
        <v>0.12096527850327567</v>
      </c>
      <c r="BB365" s="33">
        <v>0</v>
      </c>
      <c r="BC365" s="33">
        <v>264</v>
      </c>
      <c r="BD365" s="33">
        <v>245.255</v>
      </c>
      <c r="BZ365">
        <v>0.76744186046511631</v>
      </c>
      <c r="CA365">
        <v>0.97416974169741699</v>
      </c>
      <c r="CB365">
        <v>0.76744186046511631</v>
      </c>
    </row>
    <row r="366" spans="52:80" x14ac:dyDescent="0.25">
      <c r="AZ366" s="33">
        <v>363</v>
      </c>
      <c r="BA366" s="33">
        <v>0.12089259239027578</v>
      </c>
      <c r="BB366" s="33">
        <v>0</v>
      </c>
      <c r="BC366" s="33">
        <v>264</v>
      </c>
      <c r="BD366" s="33">
        <v>245.9325</v>
      </c>
      <c r="BZ366">
        <v>0.77519379844961245</v>
      </c>
      <c r="CA366">
        <v>0.97416974169741699</v>
      </c>
      <c r="CB366">
        <v>0.77519379844961245</v>
      </c>
    </row>
    <row r="367" spans="52:80" x14ac:dyDescent="0.25">
      <c r="AZ367" s="33">
        <v>364</v>
      </c>
      <c r="BA367" s="33">
        <v>0.11807748447874196</v>
      </c>
      <c r="BB367" s="33">
        <v>0</v>
      </c>
      <c r="BC367" s="33">
        <v>264</v>
      </c>
      <c r="BD367" s="33">
        <v>246.60999999999999</v>
      </c>
      <c r="BZ367">
        <v>0.77519379844961245</v>
      </c>
      <c r="CA367">
        <v>0.97785977859778594</v>
      </c>
      <c r="CB367">
        <v>0.77519379844961245</v>
      </c>
    </row>
    <row r="368" spans="52:80" x14ac:dyDescent="0.25">
      <c r="AZ368" s="33">
        <v>365</v>
      </c>
      <c r="BA368" s="33">
        <v>0.11339518413267126</v>
      </c>
      <c r="BB368" s="33">
        <v>1</v>
      </c>
      <c r="BC368" s="33">
        <v>265</v>
      </c>
      <c r="BD368" s="33">
        <v>247.28749999999999</v>
      </c>
      <c r="BZ368">
        <v>0.77519379844961245</v>
      </c>
      <c r="CA368">
        <v>0.98154981549815501</v>
      </c>
      <c r="CB368">
        <v>0.77519379844961245</v>
      </c>
    </row>
    <row r="369" spans="52:80" x14ac:dyDescent="0.25">
      <c r="AZ369" s="33">
        <v>366</v>
      </c>
      <c r="BA369" s="33">
        <v>0.10959573812519402</v>
      </c>
      <c r="BB369" s="33">
        <v>1</v>
      </c>
      <c r="BC369" s="33">
        <v>266</v>
      </c>
      <c r="BD369" s="33">
        <v>247.965</v>
      </c>
      <c r="BZ369">
        <v>0.78294573643410847</v>
      </c>
      <c r="CA369">
        <v>0.98154981549815501</v>
      </c>
      <c r="CB369">
        <v>0.78294573643410847</v>
      </c>
    </row>
    <row r="370" spans="52:80" x14ac:dyDescent="0.25">
      <c r="AZ370" s="33">
        <v>367</v>
      </c>
      <c r="BA370" s="33">
        <v>0.10904279647927967</v>
      </c>
      <c r="BB370" s="33">
        <v>0</v>
      </c>
      <c r="BC370" s="33">
        <v>266</v>
      </c>
      <c r="BD370" s="33">
        <v>248.64249999999998</v>
      </c>
      <c r="BZ370">
        <v>0.79069767441860461</v>
      </c>
      <c r="CA370">
        <v>0.98154981549815501</v>
      </c>
      <c r="CB370">
        <v>0.79069767441860461</v>
      </c>
    </row>
    <row r="371" spans="52:80" x14ac:dyDescent="0.25">
      <c r="AZ371" s="33">
        <v>368</v>
      </c>
      <c r="BA371" s="33">
        <v>0.1047868269426835</v>
      </c>
      <c r="BB371" s="33">
        <v>0</v>
      </c>
      <c r="BC371" s="33">
        <v>266</v>
      </c>
      <c r="BD371" s="33">
        <v>249.32</v>
      </c>
      <c r="BZ371">
        <v>0.79844961240310075</v>
      </c>
      <c r="CA371">
        <v>0.98154981549815501</v>
      </c>
      <c r="CB371">
        <v>0.79844961240310075</v>
      </c>
    </row>
    <row r="372" spans="52:80" x14ac:dyDescent="0.25">
      <c r="AZ372" s="33">
        <v>369</v>
      </c>
      <c r="BA372" s="33">
        <v>9.6345160508225766E-2</v>
      </c>
      <c r="BB372" s="33">
        <v>0</v>
      </c>
      <c r="BC372" s="33">
        <v>266</v>
      </c>
      <c r="BD372" s="33">
        <v>249.9975</v>
      </c>
      <c r="BZ372">
        <v>0.80620155038759689</v>
      </c>
      <c r="CA372">
        <v>0.98154981549815501</v>
      </c>
      <c r="CB372">
        <v>0.80620155038759689</v>
      </c>
    </row>
    <row r="373" spans="52:80" x14ac:dyDescent="0.25">
      <c r="AZ373" s="33">
        <v>370</v>
      </c>
      <c r="BA373" s="33">
        <v>9.5936528427334952E-2</v>
      </c>
      <c r="BB373" s="33">
        <v>0</v>
      </c>
      <c r="BC373" s="33">
        <v>266</v>
      </c>
      <c r="BD373" s="33">
        <v>250.67499999999998</v>
      </c>
      <c r="BZ373">
        <v>0.80620155038759689</v>
      </c>
      <c r="CA373">
        <v>0.98523985239852396</v>
      </c>
      <c r="CB373">
        <v>0.80620155038759689</v>
      </c>
    </row>
    <row r="374" spans="52:80" x14ac:dyDescent="0.25">
      <c r="AZ374" s="33">
        <v>371</v>
      </c>
      <c r="BA374" s="33">
        <v>9.5894534119246033E-2</v>
      </c>
      <c r="BB374" s="33">
        <v>1</v>
      </c>
      <c r="BC374" s="33">
        <v>267</v>
      </c>
      <c r="BD374" s="33">
        <v>251.35249999999999</v>
      </c>
      <c r="BZ374">
        <v>0.81395348837209303</v>
      </c>
      <c r="CA374">
        <v>0.98523985239852396</v>
      </c>
      <c r="CB374">
        <v>0.81395348837209303</v>
      </c>
    </row>
    <row r="375" spans="52:80" x14ac:dyDescent="0.25">
      <c r="AZ375" s="33">
        <v>372</v>
      </c>
      <c r="BA375" s="33">
        <v>9.3970248851843838E-2</v>
      </c>
      <c r="BB375" s="33">
        <v>0</v>
      </c>
      <c r="BC375" s="33">
        <v>267</v>
      </c>
      <c r="BD375" s="33">
        <v>252.03</v>
      </c>
      <c r="BZ375">
        <v>0.82170542635658916</v>
      </c>
      <c r="CA375">
        <v>0.98523985239852396</v>
      </c>
      <c r="CB375">
        <v>0.82170542635658916</v>
      </c>
    </row>
    <row r="376" spans="52:80" x14ac:dyDescent="0.25">
      <c r="AZ376" s="33">
        <v>373</v>
      </c>
      <c r="BA376" s="33">
        <v>7.7777791280119565E-2</v>
      </c>
      <c r="BB376" s="33">
        <v>0</v>
      </c>
      <c r="BC376" s="33">
        <v>267</v>
      </c>
      <c r="BD376" s="33">
        <v>252.70750000000001</v>
      </c>
      <c r="BZ376">
        <v>0.8294573643410853</v>
      </c>
      <c r="CA376">
        <v>0.98523985239852396</v>
      </c>
      <c r="CB376">
        <v>0.8294573643410853</v>
      </c>
    </row>
    <row r="377" spans="52:80" x14ac:dyDescent="0.25">
      <c r="AZ377" s="33">
        <v>374</v>
      </c>
      <c r="BA377" s="33">
        <v>7.7460659363898954E-2</v>
      </c>
      <c r="BB377" s="33">
        <v>0</v>
      </c>
      <c r="BC377" s="33">
        <v>267</v>
      </c>
      <c r="BD377" s="33">
        <v>253.38499999999999</v>
      </c>
      <c r="BZ377">
        <v>0.83720930232558144</v>
      </c>
      <c r="CA377">
        <v>0.98523985239852396</v>
      </c>
      <c r="CB377">
        <v>0.83720930232558144</v>
      </c>
    </row>
    <row r="378" spans="52:80" x14ac:dyDescent="0.25">
      <c r="AZ378" s="33">
        <v>375</v>
      </c>
      <c r="BA378" s="33">
        <v>7.2402041832446667E-2</v>
      </c>
      <c r="BB378" s="33">
        <v>0</v>
      </c>
      <c r="BC378" s="33">
        <v>267</v>
      </c>
      <c r="BD378" s="33">
        <v>254.0625</v>
      </c>
      <c r="BZ378">
        <v>0.84496124031007747</v>
      </c>
      <c r="CA378">
        <v>0.98523985239852396</v>
      </c>
      <c r="CB378">
        <v>0.84496124031007747</v>
      </c>
    </row>
    <row r="379" spans="52:80" x14ac:dyDescent="0.25">
      <c r="AZ379" s="33">
        <v>376</v>
      </c>
      <c r="BA379" s="33">
        <v>7.0589125850121753E-2</v>
      </c>
      <c r="BB379" s="33">
        <v>0</v>
      </c>
      <c r="BC379" s="33">
        <v>267</v>
      </c>
      <c r="BD379" s="33">
        <v>254.74</v>
      </c>
      <c r="BZ379">
        <v>0.8527131782945736</v>
      </c>
      <c r="CA379">
        <v>0.98523985239852396</v>
      </c>
      <c r="CB379">
        <v>0.8527131782945736</v>
      </c>
    </row>
    <row r="380" spans="52:80" x14ac:dyDescent="0.25">
      <c r="AZ380" s="33">
        <v>377</v>
      </c>
      <c r="BA380" s="33">
        <v>6.8666485438444558E-2</v>
      </c>
      <c r="BB380" s="33">
        <v>0</v>
      </c>
      <c r="BC380" s="33">
        <v>267</v>
      </c>
      <c r="BD380" s="33">
        <v>255.41749999999999</v>
      </c>
      <c r="BZ380">
        <v>0.86046511627906974</v>
      </c>
      <c r="CA380">
        <v>0.98523985239852396</v>
      </c>
      <c r="CB380">
        <v>0.86046511627906974</v>
      </c>
    </row>
    <row r="381" spans="52:80" x14ac:dyDescent="0.25">
      <c r="AZ381" s="33">
        <v>378</v>
      </c>
      <c r="BA381" s="33">
        <v>5.7089874569828537E-2</v>
      </c>
      <c r="BB381" s="33">
        <v>0</v>
      </c>
      <c r="BC381" s="33">
        <v>267</v>
      </c>
      <c r="BD381" s="33">
        <v>256.09499999999997</v>
      </c>
      <c r="BZ381">
        <v>0.86046511627906974</v>
      </c>
      <c r="CA381">
        <v>0.98892988929889303</v>
      </c>
      <c r="CB381">
        <v>0.86046511627906974</v>
      </c>
    </row>
    <row r="382" spans="52:80" x14ac:dyDescent="0.25">
      <c r="AZ382" s="33">
        <v>379</v>
      </c>
      <c r="BA382" s="33">
        <v>5.161068258918293E-2</v>
      </c>
      <c r="BB382" s="33">
        <v>1</v>
      </c>
      <c r="BC382" s="33">
        <v>268</v>
      </c>
      <c r="BD382" s="33">
        <v>256.77249999999998</v>
      </c>
      <c r="BZ382">
        <v>0.86821705426356588</v>
      </c>
      <c r="CA382">
        <v>0.98892988929889303</v>
      </c>
      <c r="CB382">
        <v>0.86821705426356588</v>
      </c>
    </row>
    <row r="383" spans="52:80" x14ac:dyDescent="0.25">
      <c r="AZ383" s="33">
        <v>380</v>
      </c>
      <c r="BA383" s="33">
        <v>4.9309510533090524E-2</v>
      </c>
      <c r="BB383" s="33">
        <v>0</v>
      </c>
      <c r="BC383" s="33">
        <v>268</v>
      </c>
      <c r="BD383" s="33">
        <v>257.45</v>
      </c>
      <c r="BZ383">
        <v>0.87596899224806202</v>
      </c>
      <c r="CA383">
        <v>0.98892988929889303</v>
      </c>
      <c r="CB383">
        <v>0.87596899224806202</v>
      </c>
    </row>
    <row r="384" spans="52:80" x14ac:dyDescent="0.25">
      <c r="AZ384" s="33">
        <v>381</v>
      </c>
      <c r="BA384" s="33">
        <v>4.6572855209274115E-2</v>
      </c>
      <c r="BB384" s="33">
        <v>0</v>
      </c>
      <c r="BC384" s="33">
        <v>268</v>
      </c>
      <c r="BD384" s="33">
        <v>258.1275</v>
      </c>
      <c r="BZ384">
        <v>0.88372093023255816</v>
      </c>
      <c r="CA384">
        <v>0.98892988929889303</v>
      </c>
      <c r="CB384">
        <v>0.88372093023255816</v>
      </c>
    </row>
    <row r="385" spans="52:80" x14ac:dyDescent="0.25">
      <c r="AZ385" s="33">
        <v>382</v>
      </c>
      <c r="BA385" s="33">
        <v>4.4110077040215252E-2</v>
      </c>
      <c r="BB385" s="33">
        <v>0</v>
      </c>
      <c r="BC385" s="33">
        <v>268</v>
      </c>
      <c r="BD385" s="33">
        <v>258.80500000000001</v>
      </c>
      <c r="BZ385">
        <v>0.89147286821705429</v>
      </c>
      <c r="CA385">
        <v>0.98892988929889303</v>
      </c>
      <c r="CB385">
        <v>0.89147286821705429</v>
      </c>
    </row>
    <row r="386" spans="52:80" x14ac:dyDescent="0.25">
      <c r="AZ386" s="33">
        <v>383</v>
      </c>
      <c r="BA386" s="33">
        <v>3.8832913202178722E-2</v>
      </c>
      <c r="BB386" s="33">
        <v>0</v>
      </c>
      <c r="BC386" s="33">
        <v>268</v>
      </c>
      <c r="BD386" s="33">
        <v>259.48250000000002</v>
      </c>
      <c r="BZ386">
        <v>0.89922480620155043</v>
      </c>
      <c r="CA386">
        <v>0.98892988929889303</v>
      </c>
      <c r="CB386">
        <v>0.89922480620155043</v>
      </c>
    </row>
    <row r="387" spans="52:80" x14ac:dyDescent="0.25">
      <c r="AZ387" s="33">
        <v>384</v>
      </c>
      <c r="BA387" s="33">
        <v>3.486341660769221E-2</v>
      </c>
      <c r="BB387" s="33">
        <v>0</v>
      </c>
      <c r="BC387" s="33">
        <v>268</v>
      </c>
      <c r="BD387" s="33">
        <v>260.15999999999997</v>
      </c>
      <c r="BZ387">
        <v>0.90697674418604646</v>
      </c>
      <c r="CA387">
        <v>0.98892988929889303</v>
      </c>
      <c r="CB387">
        <v>0.90697674418604646</v>
      </c>
    </row>
    <row r="388" spans="52:80" x14ac:dyDescent="0.25">
      <c r="AZ388" s="33">
        <v>385</v>
      </c>
      <c r="BA388" s="33">
        <v>3.4152369105095802E-2</v>
      </c>
      <c r="BB388" s="33">
        <v>0</v>
      </c>
      <c r="BC388" s="33">
        <v>268</v>
      </c>
      <c r="BD388" s="33">
        <v>260.83749999999998</v>
      </c>
      <c r="BZ388">
        <v>0.9147286821705426</v>
      </c>
      <c r="CA388">
        <v>0.98892988929889303</v>
      </c>
      <c r="CB388">
        <v>0.9147286821705426</v>
      </c>
    </row>
    <row r="389" spans="52:80" x14ac:dyDescent="0.25">
      <c r="AZ389" s="33">
        <v>386</v>
      </c>
      <c r="BA389" s="33">
        <v>3.2408211358287094E-2</v>
      </c>
      <c r="BB389" s="33">
        <v>0</v>
      </c>
      <c r="BC389" s="33">
        <v>268</v>
      </c>
      <c r="BD389" s="33">
        <v>261.51499999999999</v>
      </c>
      <c r="BZ389">
        <v>0.92248062015503873</v>
      </c>
      <c r="CA389">
        <v>0.98892988929889303</v>
      </c>
      <c r="CB389">
        <v>0.92248062015503873</v>
      </c>
    </row>
    <row r="390" spans="52:80" x14ac:dyDescent="0.25">
      <c r="AZ390" s="33">
        <v>387</v>
      </c>
      <c r="BA390" s="33">
        <v>3.2263876511942333E-2</v>
      </c>
      <c r="BB390" s="33">
        <v>0</v>
      </c>
      <c r="BC390" s="33">
        <v>268</v>
      </c>
      <c r="BD390" s="33">
        <v>262.1925</v>
      </c>
      <c r="BZ390">
        <v>0.92248062015503873</v>
      </c>
      <c r="CA390">
        <v>0.99261992619926198</v>
      </c>
      <c r="CB390">
        <v>0.92248062015503873</v>
      </c>
    </row>
    <row r="391" spans="52:80" x14ac:dyDescent="0.25">
      <c r="AZ391" s="33">
        <v>388</v>
      </c>
      <c r="BA391" s="33">
        <v>3.0384557403967935E-2</v>
      </c>
      <c r="BB391" s="33">
        <v>1</v>
      </c>
      <c r="BC391" s="33">
        <v>269</v>
      </c>
      <c r="BD391" s="33">
        <v>262.87</v>
      </c>
      <c r="BZ391">
        <v>0.93023255813953487</v>
      </c>
      <c r="CA391">
        <v>0.99261992619926198</v>
      </c>
      <c r="CB391">
        <v>0.93023255813953487</v>
      </c>
    </row>
    <row r="392" spans="52:80" x14ac:dyDescent="0.25">
      <c r="AZ392" s="33">
        <v>389</v>
      </c>
      <c r="BA392" s="33">
        <v>2.6077755992801519E-2</v>
      </c>
      <c r="BB392" s="33">
        <v>0</v>
      </c>
      <c r="BC392" s="33">
        <v>269</v>
      </c>
      <c r="BD392" s="33">
        <v>263.54750000000001</v>
      </c>
      <c r="BZ392">
        <v>0.93798449612403101</v>
      </c>
      <c r="CA392">
        <v>0.99261992619926198</v>
      </c>
      <c r="CB392">
        <v>0.93798449612403101</v>
      </c>
    </row>
    <row r="393" spans="52:80" x14ac:dyDescent="0.25">
      <c r="AZ393" s="33">
        <v>390</v>
      </c>
      <c r="BA393" s="33">
        <v>2.0467253952850799E-2</v>
      </c>
      <c r="BB393" s="33">
        <v>0</v>
      </c>
      <c r="BC393" s="33">
        <v>269</v>
      </c>
      <c r="BD393" s="33">
        <v>264.22500000000002</v>
      </c>
      <c r="BZ393">
        <v>0.93798449612403101</v>
      </c>
      <c r="CA393">
        <v>0.99630996309963105</v>
      </c>
      <c r="CB393">
        <v>0.93798449612403101</v>
      </c>
    </row>
    <row r="394" spans="52:80" x14ac:dyDescent="0.25">
      <c r="AZ394" s="33">
        <v>391</v>
      </c>
      <c r="BA394" s="33">
        <v>1.9075647656516714E-2</v>
      </c>
      <c r="BB394" s="33">
        <v>1</v>
      </c>
      <c r="BC394" s="33">
        <v>270</v>
      </c>
      <c r="BD394" s="33">
        <v>264.90249999999997</v>
      </c>
      <c r="BZ394">
        <v>0.94573643410852715</v>
      </c>
      <c r="CA394">
        <v>0.99630996309963105</v>
      </c>
      <c r="CB394">
        <v>0.94573643410852715</v>
      </c>
    </row>
    <row r="395" spans="52:80" x14ac:dyDescent="0.25">
      <c r="AZ395" s="33">
        <v>392</v>
      </c>
      <c r="BA395" s="33">
        <v>1.5375022230341694E-2</v>
      </c>
      <c r="BB395" s="33">
        <v>0</v>
      </c>
      <c r="BC395" s="33">
        <v>270</v>
      </c>
      <c r="BD395" s="33">
        <v>265.58</v>
      </c>
      <c r="BZ395">
        <v>0.95348837209302328</v>
      </c>
      <c r="CA395">
        <v>0.99630996309963105</v>
      </c>
      <c r="CB395">
        <v>0.95348837209302328</v>
      </c>
    </row>
    <row r="396" spans="52:80" x14ac:dyDescent="0.25">
      <c r="AZ396" s="33">
        <v>393</v>
      </c>
      <c r="BA396" s="33">
        <v>1.4169388163088348E-2</v>
      </c>
      <c r="BB396" s="33">
        <v>0</v>
      </c>
      <c r="BC396" s="33">
        <v>270</v>
      </c>
      <c r="BD396" s="33">
        <v>266.25749999999999</v>
      </c>
      <c r="BZ396">
        <v>0.96124031007751942</v>
      </c>
      <c r="CA396">
        <v>0.99630996309963105</v>
      </c>
      <c r="CB396">
        <v>0.96124031007751942</v>
      </c>
    </row>
    <row r="397" spans="52:80" x14ac:dyDescent="0.25">
      <c r="AZ397" s="33">
        <v>394</v>
      </c>
      <c r="BA397" s="33">
        <v>1.3159847652508426E-2</v>
      </c>
      <c r="BB397" s="33">
        <v>0</v>
      </c>
      <c r="BC397" s="33">
        <v>270</v>
      </c>
      <c r="BD397" s="33">
        <v>266.935</v>
      </c>
      <c r="BZ397">
        <v>0.96899224806201545</v>
      </c>
      <c r="CA397">
        <v>0.99630996309963105</v>
      </c>
      <c r="CB397">
        <v>0.96899224806201545</v>
      </c>
    </row>
    <row r="398" spans="52:80" x14ac:dyDescent="0.25">
      <c r="AZ398" s="33">
        <v>395</v>
      </c>
      <c r="BA398" s="33">
        <v>1.2309632726246402E-2</v>
      </c>
      <c r="BB398" s="33">
        <v>0</v>
      </c>
      <c r="BC398" s="33">
        <v>270</v>
      </c>
      <c r="BD398" s="33">
        <v>267.61250000000001</v>
      </c>
      <c r="BZ398">
        <v>0.97674418604651159</v>
      </c>
      <c r="CA398">
        <v>0.99630996309963105</v>
      </c>
      <c r="CB398">
        <v>0.97674418604651159</v>
      </c>
    </row>
    <row r="399" spans="52:80" x14ac:dyDescent="0.25">
      <c r="AZ399" s="33">
        <v>396</v>
      </c>
      <c r="BA399" s="33">
        <v>1.0795671636051793E-2</v>
      </c>
      <c r="BB399" s="33">
        <v>0</v>
      </c>
      <c r="BC399" s="33">
        <v>270</v>
      </c>
      <c r="BD399" s="33">
        <v>268.29000000000002</v>
      </c>
      <c r="BZ399">
        <v>0.98449612403100772</v>
      </c>
      <c r="CA399">
        <v>0.99630996309963105</v>
      </c>
      <c r="CB399">
        <v>0.98449612403100772</v>
      </c>
    </row>
    <row r="400" spans="52:80" x14ac:dyDescent="0.25">
      <c r="AZ400" s="33">
        <v>397</v>
      </c>
      <c r="BA400" s="33">
        <v>6.6103301329476132E-3</v>
      </c>
      <c r="BB400" s="33">
        <v>0</v>
      </c>
      <c r="BC400" s="33">
        <v>270</v>
      </c>
      <c r="BD400" s="33">
        <v>268.96749999999997</v>
      </c>
      <c r="BZ400">
        <v>0.99224806201550386</v>
      </c>
      <c r="CA400">
        <v>0.99630996309963105</v>
      </c>
      <c r="CB400">
        <v>0.99224806201550386</v>
      </c>
    </row>
    <row r="401" spans="52:80" x14ac:dyDescent="0.25">
      <c r="AZ401" s="33">
        <v>398</v>
      </c>
      <c r="BA401" s="33">
        <v>3.7110634673333098E-3</v>
      </c>
      <c r="BB401" s="33">
        <v>0</v>
      </c>
      <c r="BC401" s="33">
        <v>270</v>
      </c>
      <c r="BD401" s="33">
        <v>269.64499999999998</v>
      </c>
      <c r="BZ401">
        <v>1</v>
      </c>
      <c r="CA401">
        <v>0.99630996309963105</v>
      </c>
      <c r="CB401">
        <v>1</v>
      </c>
    </row>
    <row r="402" spans="52:80" x14ac:dyDescent="0.25">
      <c r="AZ402" s="33">
        <v>399</v>
      </c>
      <c r="BA402" s="33">
        <v>2.7900953270445228E-3</v>
      </c>
      <c r="BB402" s="33">
        <v>0</v>
      </c>
      <c r="BC402" s="33">
        <v>270</v>
      </c>
      <c r="BD402" s="33">
        <v>270.32249999999999</v>
      </c>
      <c r="BZ402">
        <v>1</v>
      </c>
      <c r="CA402">
        <v>1</v>
      </c>
      <c r="CB402">
        <v>1</v>
      </c>
    </row>
    <row r="403" spans="52:80" x14ac:dyDescent="0.25">
      <c r="AZ403" s="33">
        <v>400</v>
      </c>
      <c r="BA403" s="33">
        <v>2.4852832692063907E-3</v>
      </c>
      <c r="BB403" s="33">
        <v>1</v>
      </c>
      <c r="BC403" s="33">
        <v>271</v>
      </c>
      <c r="BD403" s="33">
        <v>271</v>
      </c>
    </row>
  </sheetData>
  <mergeCells count="12">
    <mergeCell ref="B3:K3"/>
    <mergeCell ref="N3:Q3"/>
    <mergeCell ref="B4:C4"/>
    <mergeCell ref="D4:E4"/>
    <mergeCell ref="F4:G4"/>
    <mergeCell ref="H4:I4"/>
    <mergeCell ref="J4:K4"/>
    <mergeCell ref="B5:C5"/>
    <mergeCell ref="D5:E5"/>
    <mergeCell ref="F5:G5"/>
    <mergeCell ref="H5:I5"/>
    <mergeCell ref="J5:K5"/>
  </mergeCells>
  <hyperlinks>
    <hyperlink ref="B4" location="'NNC_Output'!$B$10:$B$10" display="Inputs"/>
    <hyperlink ref="D4" location="'NNC_Output'!$B$45:$B$45" display="Prior Class Prob."/>
    <hyperlink ref="F4" location="'NNC_Output'!$B$54:$B$54" display="Train. Score - Summary"/>
    <hyperlink ref="H4" location="'NNC_Output'!$B$78:$B$78" display="Valid. Score - Summary"/>
    <hyperlink ref="J4" location="'NNC_Output'!$B$102:$B$102" display="Weights"/>
    <hyperlink ref="B5" location="'NNC_TrainLog'!$B$10:$B$10" display="Training Log"/>
    <hyperlink ref="D5" location="'NNC_TrainingLiftChart'!$B$10:$B$10" display="Training Lift Chart"/>
    <hyperlink ref="F5" location="'NNC_ValidationLiftChart'!$B$10:$B$10" display="Validation Lift Chart"/>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1"/>
  <sheetViews>
    <sheetView showGridLines="0" workbookViewId="0"/>
  </sheetViews>
  <sheetFormatPr defaultRowHeight="13.2" x14ac:dyDescent="0.25"/>
  <cols>
    <col min="1" max="1" width="26.77734375" bestFit="1" customWidth="1"/>
    <col min="2" max="2" width="26.88671875" bestFit="1" customWidth="1"/>
  </cols>
  <sheetData>
    <row r="1" spans="1:49" x14ac:dyDescent="0.25">
      <c r="M1" t="s">
        <v>734</v>
      </c>
    </row>
    <row r="2" spans="1:49" ht="13.8" x14ac:dyDescent="0.3">
      <c r="A2" s="25" t="s">
        <v>637</v>
      </c>
      <c r="B2" s="24" t="s">
        <v>638</v>
      </c>
    </row>
    <row r="3" spans="1:49" ht="13.8" x14ac:dyDescent="0.3">
      <c r="A3" s="25" t="s">
        <v>639</v>
      </c>
      <c r="B3" s="24">
        <v>45</v>
      </c>
    </row>
    <row r="4" spans="1:49" ht="13.8" x14ac:dyDescent="0.3">
      <c r="A4" s="25" t="s">
        <v>151</v>
      </c>
      <c r="B4" s="24" t="s">
        <v>640</v>
      </c>
      <c r="D4" s="24" t="s">
        <v>0</v>
      </c>
      <c r="E4" s="24" t="s">
        <v>68</v>
      </c>
      <c r="F4" s="24" t="s">
        <v>69</v>
      </c>
      <c r="G4" s="24" t="s">
        <v>70</v>
      </c>
      <c r="H4" s="24" t="s">
        <v>71</v>
      </c>
      <c r="I4" s="24" t="s">
        <v>81</v>
      </c>
      <c r="J4" s="24" t="s">
        <v>72</v>
      </c>
      <c r="K4" s="24" t="s">
        <v>2</v>
      </c>
      <c r="L4" s="24" t="s">
        <v>6</v>
      </c>
      <c r="M4" s="24" t="s">
        <v>74</v>
      </c>
      <c r="N4" s="24" t="s">
        <v>75</v>
      </c>
      <c r="O4" s="24" t="s">
        <v>76</v>
      </c>
      <c r="P4" s="24" t="s">
        <v>73</v>
      </c>
      <c r="Q4" s="24" t="s">
        <v>77</v>
      </c>
      <c r="R4" s="24" t="s">
        <v>78</v>
      </c>
      <c r="S4" s="24" t="s">
        <v>82</v>
      </c>
      <c r="T4" s="24" t="s">
        <v>8</v>
      </c>
      <c r="U4" s="24" t="s">
        <v>79</v>
      </c>
      <c r="V4" s="24" t="s">
        <v>80</v>
      </c>
      <c r="W4" s="24" t="s">
        <v>83</v>
      </c>
      <c r="X4" s="24" t="s">
        <v>9</v>
      </c>
      <c r="Y4" s="24" t="s">
        <v>11</v>
      </c>
      <c r="Z4" s="24" t="s">
        <v>12</v>
      </c>
      <c r="AA4" s="24" t="s">
        <v>13</v>
      </c>
      <c r="AB4" s="24" t="s">
        <v>152</v>
      </c>
      <c r="AC4" s="24" t="s">
        <v>153</v>
      </c>
      <c r="AD4" s="24" t="s">
        <v>154</v>
      </c>
      <c r="AE4" s="24" t="s">
        <v>156</v>
      </c>
      <c r="AF4" s="24" t="s">
        <v>157</v>
      </c>
      <c r="AG4" s="24" t="s">
        <v>158</v>
      </c>
      <c r="AH4" s="24" t="s">
        <v>159</v>
      </c>
      <c r="AI4" s="24" t="s">
        <v>161</v>
      </c>
      <c r="AJ4" s="24" t="s">
        <v>162</v>
      </c>
      <c r="AK4" s="24" t="s">
        <v>163</v>
      </c>
      <c r="AL4" s="24" t="s">
        <v>164</v>
      </c>
      <c r="AM4" s="24" t="s">
        <v>166</v>
      </c>
      <c r="AN4" s="24" t="s">
        <v>167</v>
      </c>
      <c r="AO4" s="24" t="s">
        <v>168</v>
      </c>
      <c r="AP4" s="24" t="s">
        <v>169</v>
      </c>
      <c r="AQ4" s="24" t="s">
        <v>171</v>
      </c>
      <c r="AR4" s="24" t="s">
        <v>172</v>
      </c>
      <c r="AS4" s="24" t="s">
        <v>173</v>
      </c>
      <c r="AT4" s="24" t="s">
        <v>176</v>
      </c>
      <c r="AU4" s="24" t="s">
        <v>177</v>
      </c>
      <c r="AV4" s="24" t="s">
        <v>178</v>
      </c>
      <c r="AW4" s="24" t="s">
        <v>14</v>
      </c>
    </row>
    <row r="5" spans="1:49" ht="13.8" x14ac:dyDescent="0.3">
      <c r="A5" s="25" t="s">
        <v>641</v>
      </c>
      <c r="B5" s="24" t="s">
        <v>642</v>
      </c>
      <c r="D5" s="24">
        <v>1</v>
      </c>
      <c r="E5" s="24">
        <v>2</v>
      </c>
      <c r="F5" s="24">
        <v>3</v>
      </c>
      <c r="G5" s="24">
        <v>4</v>
      </c>
      <c r="H5" s="24">
        <v>5</v>
      </c>
      <c r="I5" s="24">
        <v>6</v>
      </c>
      <c r="J5" s="24">
        <v>7</v>
      </c>
      <c r="K5" s="24">
        <v>8</v>
      </c>
      <c r="L5" s="24">
        <v>9</v>
      </c>
      <c r="M5" s="24">
        <v>10</v>
      </c>
      <c r="N5" s="24">
        <v>11</v>
      </c>
      <c r="O5" s="24">
        <v>12</v>
      </c>
      <c r="P5" s="24">
        <v>13</v>
      </c>
      <c r="Q5" s="24">
        <v>14</v>
      </c>
      <c r="R5" s="24">
        <v>15</v>
      </c>
      <c r="S5" s="24">
        <v>16</v>
      </c>
      <c r="T5" s="24">
        <v>17</v>
      </c>
      <c r="U5" s="24">
        <v>18</v>
      </c>
      <c r="V5" s="24">
        <v>19</v>
      </c>
      <c r="W5" s="24">
        <v>20</v>
      </c>
      <c r="X5" s="24">
        <v>21</v>
      </c>
      <c r="Y5" s="24">
        <v>22</v>
      </c>
      <c r="Z5" s="24">
        <v>23</v>
      </c>
      <c r="AA5" s="24">
        <v>24</v>
      </c>
      <c r="AB5" s="24">
        <v>26</v>
      </c>
      <c r="AC5" s="24">
        <v>27</v>
      </c>
      <c r="AD5" s="24">
        <v>28</v>
      </c>
      <c r="AE5" s="24">
        <v>30</v>
      </c>
      <c r="AF5" s="24">
        <v>31</v>
      </c>
      <c r="AG5" s="24">
        <v>32</v>
      </c>
      <c r="AH5" s="24">
        <v>33</v>
      </c>
      <c r="AI5" s="24">
        <v>35</v>
      </c>
      <c r="AJ5" s="24">
        <v>36</v>
      </c>
      <c r="AK5" s="24">
        <v>37</v>
      </c>
      <c r="AL5" s="24">
        <v>38</v>
      </c>
      <c r="AM5" s="24">
        <v>40</v>
      </c>
      <c r="AN5" s="24">
        <v>41</v>
      </c>
      <c r="AO5" s="24">
        <v>42</v>
      </c>
      <c r="AP5" s="24">
        <v>43</v>
      </c>
      <c r="AQ5" s="24">
        <v>45</v>
      </c>
      <c r="AR5" s="24">
        <v>46</v>
      </c>
      <c r="AS5" s="24">
        <v>47</v>
      </c>
      <c r="AT5" s="24">
        <v>49</v>
      </c>
      <c r="AU5" s="24">
        <v>50</v>
      </c>
      <c r="AV5" s="24">
        <v>51</v>
      </c>
      <c r="AW5" s="24">
        <v>25</v>
      </c>
    </row>
    <row r="6" spans="1:49" ht="13.8" x14ac:dyDescent="0.3">
      <c r="A6" s="25" t="s">
        <v>643</v>
      </c>
      <c r="B6" s="24" t="s">
        <v>644</v>
      </c>
      <c r="D6" s="24" t="s">
        <v>645</v>
      </c>
      <c r="E6" s="24" t="s">
        <v>645</v>
      </c>
      <c r="F6" s="24" t="s">
        <v>645</v>
      </c>
      <c r="G6" s="24" t="s">
        <v>645</v>
      </c>
      <c r="H6" s="24" t="s">
        <v>645</v>
      </c>
      <c r="I6" s="24" t="s">
        <v>645</v>
      </c>
      <c r="J6" s="24" t="s">
        <v>645</v>
      </c>
      <c r="K6" s="24" t="s">
        <v>645</v>
      </c>
      <c r="L6" s="24" t="s">
        <v>645</v>
      </c>
      <c r="M6" s="24" t="s">
        <v>645</v>
      </c>
      <c r="N6" s="24" t="s">
        <v>645</v>
      </c>
      <c r="O6" s="24" t="s">
        <v>645</v>
      </c>
      <c r="P6" s="24" t="s">
        <v>645</v>
      </c>
      <c r="Q6" s="24" t="s">
        <v>645</v>
      </c>
      <c r="R6" s="24" t="s">
        <v>645</v>
      </c>
      <c r="S6" s="24" t="s">
        <v>645</v>
      </c>
      <c r="T6" s="24" t="s">
        <v>645</v>
      </c>
      <c r="U6" s="24" t="s">
        <v>645</v>
      </c>
      <c r="V6" s="24" t="s">
        <v>645</v>
      </c>
      <c r="W6" s="24" t="s">
        <v>645</v>
      </c>
      <c r="X6" s="24" t="s">
        <v>645</v>
      </c>
      <c r="Y6" s="24" t="s">
        <v>645</v>
      </c>
      <c r="Z6" s="24" t="s">
        <v>645</v>
      </c>
      <c r="AA6" s="24" t="s">
        <v>645</v>
      </c>
      <c r="AB6" s="24" t="s">
        <v>645</v>
      </c>
      <c r="AC6" s="24" t="s">
        <v>645</v>
      </c>
      <c r="AD6" s="24" t="s">
        <v>645</v>
      </c>
      <c r="AE6" s="24" t="s">
        <v>645</v>
      </c>
      <c r="AF6" s="24" t="s">
        <v>645</v>
      </c>
      <c r="AG6" s="24" t="s">
        <v>645</v>
      </c>
      <c r="AH6" s="24" t="s">
        <v>645</v>
      </c>
      <c r="AI6" s="24" t="s">
        <v>645</v>
      </c>
      <c r="AJ6" s="24" t="s">
        <v>645</v>
      </c>
      <c r="AK6" s="24" t="s">
        <v>645</v>
      </c>
      <c r="AL6" s="24" t="s">
        <v>645</v>
      </c>
      <c r="AM6" s="24" t="s">
        <v>645</v>
      </c>
      <c r="AN6" s="24" t="s">
        <v>645</v>
      </c>
      <c r="AO6" s="24" t="s">
        <v>645</v>
      </c>
      <c r="AP6" s="24" t="s">
        <v>645</v>
      </c>
      <c r="AQ6" s="24" t="s">
        <v>645</v>
      </c>
      <c r="AR6" s="24" t="s">
        <v>645</v>
      </c>
      <c r="AS6" s="24" t="s">
        <v>645</v>
      </c>
      <c r="AT6" s="24" t="s">
        <v>645</v>
      </c>
      <c r="AU6" s="24" t="s">
        <v>645</v>
      </c>
      <c r="AV6" s="24" t="s">
        <v>645</v>
      </c>
      <c r="AW6" s="24" t="s">
        <v>666</v>
      </c>
    </row>
    <row r="7" spans="1:49" ht="13.8" x14ac:dyDescent="0.3">
      <c r="A7" s="25" t="s">
        <v>17</v>
      </c>
      <c r="B7" s="24" t="s">
        <v>646</v>
      </c>
      <c r="D7" s="24" t="s">
        <v>647</v>
      </c>
      <c r="E7" s="24" t="s">
        <v>647</v>
      </c>
      <c r="F7" s="24" t="s">
        <v>647</v>
      </c>
      <c r="G7" s="24" t="s">
        <v>647</v>
      </c>
      <c r="H7" s="24" t="s">
        <v>647</v>
      </c>
      <c r="I7" s="24" t="s">
        <v>647</v>
      </c>
      <c r="J7" s="24" t="s">
        <v>647</v>
      </c>
      <c r="K7" s="24" t="s">
        <v>647</v>
      </c>
      <c r="L7" s="24" t="s">
        <v>647</v>
      </c>
      <c r="M7" s="24" t="s">
        <v>647</v>
      </c>
      <c r="N7" s="24" t="s">
        <v>647</v>
      </c>
      <c r="O7" s="24" t="s">
        <v>647</v>
      </c>
      <c r="P7" s="24" t="s">
        <v>647</v>
      </c>
      <c r="Q7" s="24" t="s">
        <v>647</v>
      </c>
      <c r="R7" s="24" t="s">
        <v>647</v>
      </c>
      <c r="S7" s="24" t="s">
        <v>647</v>
      </c>
      <c r="T7" s="24" t="s">
        <v>647</v>
      </c>
      <c r="U7" s="24" t="s">
        <v>647</v>
      </c>
      <c r="V7" s="24" t="s">
        <v>647</v>
      </c>
      <c r="W7" s="24" t="s">
        <v>647</v>
      </c>
      <c r="X7" s="24" t="s">
        <v>647</v>
      </c>
      <c r="Y7" s="24" t="s">
        <v>647</v>
      </c>
      <c r="Z7" s="24" t="s">
        <v>647</v>
      </c>
      <c r="AA7" s="24" t="s">
        <v>647</v>
      </c>
      <c r="AB7" s="24" t="s">
        <v>647</v>
      </c>
      <c r="AC7" s="24" t="s">
        <v>647</v>
      </c>
      <c r="AD7" s="24" t="s">
        <v>647</v>
      </c>
      <c r="AE7" s="24" t="s">
        <v>647</v>
      </c>
      <c r="AF7" s="24" t="s">
        <v>647</v>
      </c>
      <c r="AG7" s="24" t="s">
        <v>647</v>
      </c>
      <c r="AH7" s="24" t="s">
        <v>647</v>
      </c>
      <c r="AI7" s="24" t="s">
        <v>647</v>
      </c>
      <c r="AJ7" s="24" t="s">
        <v>647</v>
      </c>
      <c r="AK7" s="24" t="s">
        <v>647</v>
      </c>
      <c r="AL7" s="24" t="s">
        <v>647</v>
      </c>
      <c r="AM7" s="24" t="s">
        <v>647</v>
      </c>
      <c r="AN7" s="24" t="s">
        <v>647</v>
      </c>
      <c r="AO7" s="24" t="s">
        <v>647</v>
      </c>
      <c r="AP7" s="24" t="s">
        <v>647</v>
      </c>
      <c r="AQ7" s="24" t="s">
        <v>647</v>
      </c>
      <c r="AR7" s="24" t="s">
        <v>647</v>
      </c>
      <c r="AS7" s="24" t="s">
        <v>647</v>
      </c>
      <c r="AT7" s="24" t="s">
        <v>647</v>
      </c>
      <c r="AU7" s="24" t="s">
        <v>647</v>
      </c>
      <c r="AV7" s="24" t="s">
        <v>647</v>
      </c>
      <c r="AW7" s="24"/>
    </row>
    <row r="8" spans="1:49" ht="13.8" x14ac:dyDescent="0.3">
      <c r="A8" s="25" t="s">
        <v>648</v>
      </c>
      <c r="B8" s="24" t="s">
        <v>649</v>
      </c>
      <c r="D8" s="24">
        <v>0</v>
      </c>
      <c r="E8" s="24">
        <v>1</v>
      </c>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row>
    <row r="9" spans="1:49" ht="13.8" x14ac:dyDescent="0.3">
      <c r="A9" s="25" t="s">
        <v>650</v>
      </c>
      <c r="B9" s="24">
        <v>1</v>
      </c>
      <c r="D9">
        <v>13</v>
      </c>
    </row>
    <row r="10" spans="1:49" ht="13.8" x14ac:dyDescent="0.3">
      <c r="A10" s="25" t="s">
        <v>651</v>
      </c>
      <c r="B10" s="24">
        <v>0.5</v>
      </c>
      <c r="D10" s="24">
        <v>20.905000000000001</v>
      </c>
      <c r="E10" s="24">
        <v>0.23</v>
      </c>
      <c r="F10" s="24">
        <v>9.1666666666666674E-2</v>
      </c>
      <c r="G10" s="24">
        <v>0.18500000000000003</v>
      </c>
      <c r="H10" s="24">
        <v>0.28500000000000003</v>
      </c>
      <c r="I10" s="24">
        <v>5.8333333333333334E-2</v>
      </c>
      <c r="J10" s="24">
        <v>8.666666666666667E-2</v>
      </c>
      <c r="K10" s="24">
        <v>3212.7466666666669</v>
      </c>
      <c r="L10" s="24">
        <v>2.996666666666667</v>
      </c>
      <c r="M10" s="24">
        <v>0.05</v>
      </c>
      <c r="N10" s="24">
        <v>0.53333333333333333</v>
      </c>
      <c r="O10" s="24">
        <v>9.1666666666666674E-2</v>
      </c>
      <c r="P10" s="24">
        <v>4.1666666666666671E-2</v>
      </c>
      <c r="Q10" s="24">
        <v>0.05</v>
      </c>
      <c r="R10" s="24">
        <v>0.28166666666666668</v>
      </c>
      <c r="S10" s="24">
        <v>0.13</v>
      </c>
      <c r="T10" s="24">
        <v>35.375</v>
      </c>
      <c r="U10" s="24">
        <v>0.19333333333333336</v>
      </c>
      <c r="V10" s="24">
        <v>0.18000000000000002</v>
      </c>
      <c r="W10" s="24">
        <v>0.72833333333333339</v>
      </c>
      <c r="X10" s="24">
        <v>1.385</v>
      </c>
      <c r="Y10" s="24">
        <v>1.1500000000000001</v>
      </c>
      <c r="Z10" s="24">
        <v>0.40166666666666667</v>
      </c>
      <c r="AA10" s="24">
        <v>3.8333333333333337E-2</v>
      </c>
      <c r="AB10" s="24">
        <v>0.30333333333333334</v>
      </c>
      <c r="AC10" s="24">
        <v>0.24833333333333335</v>
      </c>
      <c r="AD10" s="24">
        <v>6.1666666666666668E-2</v>
      </c>
      <c r="AE10" s="24">
        <v>2.6666666666666668E-2</v>
      </c>
      <c r="AF10" s="24">
        <v>0.05</v>
      </c>
      <c r="AG10" s="24">
        <v>0.54833333333333334</v>
      </c>
      <c r="AH10" s="24">
        <v>7.8333333333333338E-2</v>
      </c>
      <c r="AI10" s="24">
        <v>0.61166666666666669</v>
      </c>
      <c r="AJ10" s="24">
        <v>9.6666666666666679E-2</v>
      </c>
      <c r="AK10" s="24">
        <v>6.8333333333333343E-2</v>
      </c>
      <c r="AL10" s="24">
        <v>0.04</v>
      </c>
      <c r="AM10" s="24">
        <v>6.1666666666666668E-2</v>
      </c>
      <c r="AN10" s="24">
        <v>0.17166666666666669</v>
      </c>
      <c r="AO10" s="24">
        <v>0.33833333333333337</v>
      </c>
      <c r="AP10" s="24">
        <v>0.17166666666666669</v>
      </c>
      <c r="AQ10" s="24">
        <v>0.13</v>
      </c>
      <c r="AR10" s="24">
        <v>0.3116666666666667</v>
      </c>
      <c r="AS10" s="24">
        <v>0.15000000000000002</v>
      </c>
      <c r="AT10" s="24">
        <v>0.02</v>
      </c>
      <c r="AU10" s="24">
        <v>0.19833333333333333</v>
      </c>
      <c r="AV10" s="24">
        <v>0.62833333333333341</v>
      </c>
    </row>
    <row r="11" spans="1:49" ht="13.8" x14ac:dyDescent="0.3">
      <c r="A11" s="25" t="s">
        <v>652</v>
      </c>
      <c r="B11" s="24">
        <v>1</v>
      </c>
      <c r="D11" s="24">
        <v>11.899382357955998</v>
      </c>
      <c r="E11" s="24">
        <v>0.42118364098381827</v>
      </c>
      <c r="F11" s="24">
        <v>0.28879559157255369</v>
      </c>
      <c r="G11" s="24">
        <v>0.38862155265156118</v>
      </c>
      <c r="H11" s="24">
        <v>0.45179109330158984</v>
      </c>
      <c r="I11" s="24">
        <v>0.23456824022252351</v>
      </c>
      <c r="J11" s="24">
        <v>0.28158071973254489</v>
      </c>
      <c r="K11" s="24">
        <v>2738.2396656611136</v>
      </c>
      <c r="L11" s="24">
        <v>1.1054526666570852</v>
      </c>
      <c r="M11" s="24">
        <v>0.21812679530810955</v>
      </c>
      <c r="N11" s="24">
        <v>0.49930391167696198</v>
      </c>
      <c r="O11" s="24">
        <v>0.28879559157255347</v>
      </c>
      <c r="P11" s="24">
        <v>0.19999304384118813</v>
      </c>
      <c r="Q11" s="24">
        <v>0.21812679530811013</v>
      </c>
      <c r="R11" s="24">
        <v>0.4501870012736377</v>
      </c>
      <c r="S11" s="24">
        <v>0.33658403808135673</v>
      </c>
      <c r="T11" s="24">
        <v>11.564050058533144</v>
      </c>
      <c r="U11" s="24">
        <v>0.39524159120034369</v>
      </c>
      <c r="V11" s="24">
        <v>0.38450801120974598</v>
      </c>
      <c r="W11" s="24">
        <v>0.44519008589198761</v>
      </c>
      <c r="X11" s="24">
        <v>0.56032574594540885</v>
      </c>
      <c r="Y11" s="24">
        <v>0.35736935341174569</v>
      </c>
      <c r="Z11" s="24">
        <v>0.49064424502979515</v>
      </c>
      <c r="AA11" s="24">
        <v>0.19215991068468552</v>
      </c>
      <c r="AB11" s="24">
        <v>0.46008152963586263</v>
      </c>
      <c r="AC11" s="24">
        <v>0.43240665437386838</v>
      </c>
      <c r="AD11" s="24">
        <v>0.24074984881628569</v>
      </c>
      <c r="AE11" s="24">
        <v>0.16124170376780711</v>
      </c>
      <c r="AF11" s="24">
        <v>0.21812679530810983</v>
      </c>
      <c r="AG11" s="24">
        <v>0.49807364027901496</v>
      </c>
      <c r="AH11" s="24">
        <v>0.26891960101221679</v>
      </c>
      <c r="AI11" s="24">
        <v>0.48777771650971358</v>
      </c>
      <c r="AJ11" s="24">
        <v>0.29574989809961394</v>
      </c>
      <c r="AK11" s="24">
        <v>0.25252756782129554</v>
      </c>
      <c r="AL11" s="24">
        <v>0.19612268314690448</v>
      </c>
      <c r="AM11" s="24">
        <v>0.24074984881628569</v>
      </c>
      <c r="AN11" s="24">
        <v>0.37740510495261731</v>
      </c>
      <c r="AO11" s="24">
        <v>0.47353734620686555</v>
      </c>
      <c r="AP11" s="24">
        <v>0.37740510495261731</v>
      </c>
      <c r="AQ11" s="24">
        <v>0.33658403808135678</v>
      </c>
      <c r="AR11" s="24">
        <v>0.46356089502302389</v>
      </c>
      <c r="AS11" s="24">
        <v>0.35736935341174525</v>
      </c>
      <c r="AT11" s="24">
        <v>0.14011681270284301</v>
      </c>
      <c r="AU11" s="24">
        <v>0.39907726067626459</v>
      </c>
      <c r="AV11" s="24">
        <v>0.48365320522777661</v>
      </c>
    </row>
    <row r="12" spans="1:49" ht="13.8" x14ac:dyDescent="0.3">
      <c r="A12" s="25" t="s">
        <v>653</v>
      </c>
      <c r="B12" s="24" t="s">
        <v>654</v>
      </c>
    </row>
    <row r="13" spans="1:49" ht="13.8" x14ac:dyDescent="0.3">
      <c r="A13" s="25" t="s">
        <v>655</v>
      </c>
      <c r="B13" s="24" t="s">
        <v>656</v>
      </c>
    </row>
    <row r="14" spans="1:49" ht="13.8" x14ac:dyDescent="0.3">
      <c r="A14" s="25" t="s">
        <v>657</v>
      </c>
      <c r="B14" s="24" t="s">
        <v>656</v>
      </c>
    </row>
    <row r="15" spans="1:49" ht="13.8" x14ac:dyDescent="0.3">
      <c r="A15" s="25" t="s">
        <v>658</v>
      </c>
      <c r="B15" s="24" t="s">
        <v>659</v>
      </c>
      <c r="D15" s="24">
        <v>-0.63690233237014304</v>
      </c>
      <c r="E15" s="24">
        <v>-0.11368284990148837</v>
      </c>
      <c r="F15" s="24">
        <v>6.6622851232688921E-2</v>
      </c>
      <c r="G15" s="24">
        <v>0.37212622666251294</v>
      </c>
      <c r="H15" s="24">
        <v>0.42081468755688117</v>
      </c>
      <c r="I15" s="24">
        <v>-8.0713437610121994E-2</v>
      </c>
      <c r="J15" s="24">
        <v>0.18206654236713166</v>
      </c>
      <c r="K15" s="24">
        <v>-0.41803851222287447</v>
      </c>
      <c r="L15" s="24">
        <v>-0.32626741790904568</v>
      </c>
      <c r="M15" s="24">
        <v>-0.19907735570105714</v>
      </c>
      <c r="N15" s="24">
        <v>0.55963919027203302</v>
      </c>
      <c r="O15" s="24">
        <v>0.15938849624175236</v>
      </c>
      <c r="P15" s="24">
        <v>-5.6597116138502887E-3</v>
      </c>
      <c r="Q15" s="24">
        <v>-5.2668560699371966E-2</v>
      </c>
      <c r="R15" s="24">
        <v>-0.17013435304154961</v>
      </c>
      <c r="S15" s="24">
        <v>-0.2853260769740068</v>
      </c>
      <c r="T15" s="24">
        <v>8.9268324670577992E-2</v>
      </c>
      <c r="U15" s="24">
        <v>0.11434919688728359</v>
      </c>
      <c r="V15" s="24">
        <v>-0.50124477562515457</v>
      </c>
      <c r="W15" s="24">
        <v>0.19867758920912251</v>
      </c>
      <c r="X15" s="24">
        <v>0.29569460194410913</v>
      </c>
      <c r="Y15" s="24">
        <v>-0.13988952295243012</v>
      </c>
      <c r="Z15" s="24">
        <v>-0.42266502382692284</v>
      </c>
      <c r="AA15" s="24">
        <v>0.32667395475937161</v>
      </c>
      <c r="AB15" s="24">
        <v>-0.35321963849409882</v>
      </c>
      <c r="AC15" s="24">
        <v>-1.0092361280583806</v>
      </c>
      <c r="AD15" s="24">
        <v>0.19868371633718351</v>
      </c>
      <c r="AE15" s="24">
        <v>-0.23844595634912907</v>
      </c>
      <c r="AF15" s="24">
        <v>-0.61727612860320291</v>
      </c>
      <c r="AG15" s="24">
        <v>0.54369174878815374</v>
      </c>
      <c r="AH15" s="24">
        <v>-0.12456341506063408</v>
      </c>
      <c r="AI15" s="24">
        <v>-0.1449329877455201</v>
      </c>
      <c r="AJ15" s="24">
        <v>-0.15877934041975755</v>
      </c>
      <c r="AK15" s="24">
        <v>0.39579813075745918</v>
      </c>
      <c r="AL15" s="24">
        <v>0.15403049030719052</v>
      </c>
      <c r="AM15" s="24">
        <v>-8.035278878749938E-2</v>
      </c>
      <c r="AN15" s="24">
        <v>0.14699626139804811</v>
      </c>
      <c r="AO15" s="24">
        <v>-0.17627878232409586</v>
      </c>
      <c r="AP15" s="24">
        <v>-9.8472897895400174E-2</v>
      </c>
      <c r="AQ15" s="24">
        <v>-6.5751395180033171E-3</v>
      </c>
      <c r="AR15" s="24">
        <v>2.5044192567516724E-3</v>
      </c>
      <c r="AS15" s="24">
        <v>-5.2319323976133369E-2</v>
      </c>
      <c r="AT15" s="24">
        <v>-0.1188278160242036</v>
      </c>
      <c r="AU15" s="24">
        <v>0.31499931802799924</v>
      </c>
      <c r="AV15" s="24">
        <v>0.11932965155964854</v>
      </c>
      <c r="AW15" s="24">
        <v>-0.43775182704553461</v>
      </c>
    </row>
    <row r="16" spans="1:49" ht="13.8" x14ac:dyDescent="0.3">
      <c r="A16" s="25"/>
      <c r="B16" s="24" t="s">
        <v>660</v>
      </c>
      <c r="D16" s="24">
        <v>-8.6893137027585342E-3</v>
      </c>
      <c r="E16" s="24">
        <v>-0.32372191007293249</v>
      </c>
      <c r="F16" s="24">
        <v>1.7452308403974586E-2</v>
      </c>
      <c r="G16" s="24">
        <v>0.38008244124874846</v>
      </c>
      <c r="H16" s="24">
        <v>-0.20008121358881778</v>
      </c>
      <c r="I16" s="24">
        <v>-0.20154435727361431</v>
      </c>
      <c r="J16" s="24">
        <v>-0.10779684134564982</v>
      </c>
      <c r="K16" s="24">
        <v>-0.2755126386891959</v>
      </c>
      <c r="L16" s="24">
        <v>0.38785320311005911</v>
      </c>
      <c r="M16" s="24">
        <v>-0.30486660940770116</v>
      </c>
      <c r="N16" s="24">
        <v>-0.12239225316828053</v>
      </c>
      <c r="O16" s="24">
        <v>-0.55893008295970015</v>
      </c>
      <c r="P16" s="24">
        <v>0.22395994769640776</v>
      </c>
      <c r="Q16" s="24">
        <v>7.6191967461328156E-2</v>
      </c>
      <c r="R16" s="24">
        <v>0.95118874761219285</v>
      </c>
      <c r="S16" s="24">
        <v>-0.26657697905400601</v>
      </c>
      <c r="T16" s="24">
        <v>-4.6156427570963235E-2</v>
      </c>
      <c r="U16" s="24">
        <v>2.1838355942032515E-2</v>
      </c>
      <c r="V16" s="24">
        <v>-0.85942986656707809</v>
      </c>
      <c r="W16" s="24">
        <v>0.39193261604473467</v>
      </c>
      <c r="X16" s="24">
        <v>-0.36411160205868975</v>
      </c>
      <c r="Y16" s="24">
        <v>0.59763877032426349</v>
      </c>
      <c r="Z16" s="24">
        <v>-0.82787285857008852</v>
      </c>
      <c r="AA16" s="24">
        <v>-4.5848247428138721E-2</v>
      </c>
      <c r="AB16" s="24">
        <v>-0.65263943463644802</v>
      </c>
      <c r="AC16" s="24">
        <v>-1.1836553549708748</v>
      </c>
      <c r="AD16" s="24">
        <v>0.60508312082740356</v>
      </c>
      <c r="AE16" s="24">
        <v>-0.37631940350905491</v>
      </c>
      <c r="AF16" s="24">
        <v>-0.33196341058145645</v>
      </c>
      <c r="AG16" s="24">
        <v>0.88246031376729062</v>
      </c>
      <c r="AH16" s="24">
        <v>-1.2997060551565802</v>
      </c>
      <c r="AI16" s="24">
        <v>0.71769661269931972</v>
      </c>
      <c r="AJ16" s="24">
        <v>-0.64738658512740754</v>
      </c>
      <c r="AK16" s="24">
        <v>-0.21761441239891108</v>
      </c>
      <c r="AL16" s="24">
        <v>0.30534907778156156</v>
      </c>
      <c r="AM16" s="24">
        <v>0.77602805956076626</v>
      </c>
      <c r="AN16" s="24">
        <v>0.33224956447036802</v>
      </c>
      <c r="AO16" s="24">
        <v>-0.78049889393562399</v>
      </c>
      <c r="AP16" s="24">
        <v>0.37116557450001869</v>
      </c>
      <c r="AQ16" s="24">
        <v>0.36273854871019251</v>
      </c>
      <c r="AR16" s="24">
        <v>-6.5107737444386735E-2</v>
      </c>
      <c r="AS16" s="24">
        <v>-1.0802481462191775</v>
      </c>
      <c r="AT16" s="24">
        <v>0.38948321282835374</v>
      </c>
      <c r="AU16" s="24">
        <v>0.86537224567536897</v>
      </c>
      <c r="AV16" s="24">
        <v>-1.4554846683979199</v>
      </c>
      <c r="AW16" s="24">
        <v>0.35610080976242081</v>
      </c>
    </row>
    <row r="17" spans="1:49" ht="13.8" x14ac:dyDescent="0.3">
      <c r="A17" s="25" t="s">
        <v>661</v>
      </c>
      <c r="B17" s="24" t="b">
        <v>1</v>
      </c>
      <c r="D17" s="24">
        <v>0.88230551266018398</v>
      </c>
      <c r="E17" s="24">
        <v>0.45673413739993973</v>
      </c>
      <c r="F17" s="24">
        <v>0.85915734566859148</v>
      </c>
      <c r="G17" s="24">
        <v>-0.4158042210126584</v>
      </c>
      <c r="H17" s="24">
        <v>4.0002448118834862E-2</v>
      </c>
      <c r="I17" s="24">
        <v>0.83760260064735459</v>
      </c>
      <c r="J17" s="24">
        <v>-0.13861444019644498</v>
      </c>
      <c r="K17" s="24">
        <v>-0.86277531075209357</v>
      </c>
      <c r="L17" s="24">
        <v>-0.93665754436106952</v>
      </c>
      <c r="M17" s="24">
        <v>1.1170298805056946</v>
      </c>
      <c r="N17" s="24">
        <v>1.4837074848679248</v>
      </c>
      <c r="O17" s="24">
        <v>0.20749586155456581</v>
      </c>
      <c r="P17" s="24">
        <v>-0.23592267594582081</v>
      </c>
      <c r="Q17" s="24">
        <v>1.9634684257002935</v>
      </c>
      <c r="R17" s="24">
        <v>0.18571255575424431</v>
      </c>
      <c r="S17" s="24">
        <v>-1.2927488111431371</v>
      </c>
      <c r="T17" s="24">
        <v>0.49997139677341029</v>
      </c>
      <c r="U17" s="24">
        <v>0.63274210926193952</v>
      </c>
      <c r="V17" s="24">
        <v>0.94936639627432462</v>
      </c>
      <c r="W17" s="24">
        <v>-0.6779622268762211</v>
      </c>
      <c r="X17" s="24">
        <v>-0.63903796402731716</v>
      </c>
      <c r="Y17" s="24">
        <v>0.6604604532184456</v>
      </c>
      <c r="Z17" s="24">
        <v>-3.9888879094862099E-2</v>
      </c>
      <c r="AA17" s="24">
        <v>5.1974258678494187E-2</v>
      </c>
      <c r="AB17" s="24">
        <v>-1.5813022310985889</v>
      </c>
      <c r="AC17" s="24">
        <v>-1.0674270012726479</v>
      </c>
      <c r="AD17" s="24">
        <v>-1.188400755696537</v>
      </c>
      <c r="AE17" s="24">
        <v>-6.8772471938481627E-2</v>
      </c>
      <c r="AF17" s="24">
        <v>-0.30037363621520941</v>
      </c>
      <c r="AG17" s="24">
        <v>-0.66042826881632133</v>
      </c>
      <c r="AH17" s="24">
        <v>0.13525159840436599</v>
      </c>
      <c r="AI17" s="24">
        <v>-1.1919916521218961</v>
      </c>
      <c r="AJ17" s="24">
        <v>1.0269947098059213</v>
      </c>
      <c r="AK17" s="24">
        <v>0.45366893880317288</v>
      </c>
      <c r="AL17" s="24">
        <v>2.1733166839774689E-2</v>
      </c>
      <c r="AM17" s="24">
        <v>-0.86802577552172799</v>
      </c>
      <c r="AN17" s="24">
        <v>-0.81797302909271852</v>
      </c>
      <c r="AO17" s="24">
        <v>1.6371003972211289</v>
      </c>
      <c r="AP17" s="24">
        <v>0.96905760034626764</v>
      </c>
      <c r="AQ17" s="24">
        <v>-0.81235523348620031</v>
      </c>
      <c r="AR17" s="24">
        <v>1.1067127599588269</v>
      </c>
      <c r="AS17" s="24">
        <v>5.4417779961714374E-2</v>
      </c>
      <c r="AT17" s="24">
        <v>0.88257937892861393</v>
      </c>
      <c r="AU17" s="24">
        <v>1.0675167344408412</v>
      </c>
      <c r="AV17" s="24">
        <v>-6.3019338732649116E-2</v>
      </c>
      <c r="AW17" s="24">
        <v>-0.22349801976143538</v>
      </c>
    </row>
    <row r="18" spans="1:49" ht="13.8" x14ac:dyDescent="0.3">
      <c r="A18" s="25" t="s">
        <v>662</v>
      </c>
      <c r="B18" s="24" t="s">
        <v>663</v>
      </c>
      <c r="D18" s="24">
        <v>0.34207935000228151</v>
      </c>
      <c r="E18" s="24">
        <v>-0.40234927614212085</v>
      </c>
      <c r="F18" s="24">
        <v>0.20796183892088838</v>
      </c>
      <c r="G18" s="24">
        <v>7.2407633174644506E-2</v>
      </c>
      <c r="H18" s="24">
        <v>-0.25142831067937105</v>
      </c>
      <c r="I18" s="24">
        <v>0.25326535776369097</v>
      </c>
      <c r="J18" s="24">
        <v>-4.899708947012376E-2</v>
      </c>
      <c r="K18" s="24">
        <v>-0.37843182541158527</v>
      </c>
      <c r="L18" s="24">
        <v>0.18576986827811717</v>
      </c>
      <c r="M18" s="24">
        <v>-0.35105987461047189</v>
      </c>
      <c r="N18" s="24">
        <v>-0.67950319914613211</v>
      </c>
      <c r="O18" s="24">
        <v>-0.10125123878468403</v>
      </c>
      <c r="P18" s="24">
        <v>-0.21660739973506035</v>
      </c>
      <c r="Q18" s="24">
        <v>0.30361407404937146</v>
      </c>
      <c r="R18" s="24">
        <v>-0.39867918535449798</v>
      </c>
      <c r="S18" s="24">
        <v>-9.9815500661549025E-2</v>
      </c>
      <c r="T18" s="24">
        <v>0.31151802810702472</v>
      </c>
      <c r="U18" s="24">
        <v>-0.29226610111698409</v>
      </c>
      <c r="V18" s="24">
        <v>0.30953441095482337</v>
      </c>
      <c r="W18" s="24">
        <v>-0.26314104965845131</v>
      </c>
      <c r="X18" s="24">
        <v>0.41431205409634192</v>
      </c>
      <c r="Y18" s="24">
        <v>-6.8847085090844293E-2</v>
      </c>
      <c r="Z18" s="24">
        <v>1.0473143220302761</v>
      </c>
      <c r="AA18" s="24">
        <v>-0.15474026828132154</v>
      </c>
      <c r="AB18" s="24">
        <v>-0.75999046626407796</v>
      </c>
      <c r="AC18" s="24">
        <v>8.900910990157207E-2</v>
      </c>
      <c r="AD18" s="24">
        <v>-0.21023948853106245</v>
      </c>
      <c r="AE18" s="24">
        <v>0.21837329270304717</v>
      </c>
      <c r="AF18" s="24">
        <v>-0.7187611300183836</v>
      </c>
      <c r="AG18" s="24">
        <v>0.243459130446846</v>
      </c>
      <c r="AH18" s="24">
        <v>0.34942004418067529</v>
      </c>
      <c r="AI18" s="24">
        <v>-0.21788182928331293</v>
      </c>
      <c r="AJ18" s="24">
        <v>-0.6502331822224493</v>
      </c>
      <c r="AK18" s="24">
        <v>-0.4036526357633235</v>
      </c>
      <c r="AL18" s="24">
        <v>0.11900482699131577</v>
      </c>
      <c r="AM18" s="24">
        <v>-0.24958368097008293</v>
      </c>
      <c r="AN18" s="24">
        <v>-0.38904619779573674</v>
      </c>
      <c r="AO18" s="24">
        <v>-0.49804697942624682</v>
      </c>
      <c r="AP18" s="24">
        <v>0.27062499498010911</v>
      </c>
      <c r="AQ18" s="24">
        <v>-0.27411954411281308</v>
      </c>
      <c r="AR18" s="24">
        <v>0.34530269659323887</v>
      </c>
      <c r="AS18" s="24">
        <v>0.26638798611633441</v>
      </c>
      <c r="AT18" s="24">
        <v>-3.7873097772223294E-2</v>
      </c>
      <c r="AU18" s="24">
        <v>-0.70095167414600912</v>
      </c>
      <c r="AV18" s="24">
        <v>-0.68321634383619989</v>
      </c>
      <c r="AW18" s="24">
        <v>-0.37002190171574906</v>
      </c>
    </row>
    <row r="19" spans="1:49" ht="13.8" x14ac:dyDescent="0.3">
      <c r="A19" s="25" t="s">
        <v>664</v>
      </c>
      <c r="B19" s="24" t="s">
        <v>665</v>
      </c>
      <c r="D19" s="24">
        <v>-0.44075797920456</v>
      </c>
      <c r="E19" s="24">
        <v>1.0773914152334321</v>
      </c>
      <c r="F19" s="24">
        <v>-4.9808304603031883E-3</v>
      </c>
      <c r="G19" s="24">
        <v>-0.2149020286047609</v>
      </c>
      <c r="H19" s="24">
        <v>-0.2845002535472182</v>
      </c>
      <c r="I19" s="24">
        <v>0.36058287333713901</v>
      </c>
      <c r="J19" s="24">
        <v>-1.3222508385820206</v>
      </c>
      <c r="K19" s="24">
        <v>0.25243917659064113</v>
      </c>
      <c r="L19" s="24">
        <v>-1.4775764271339724</v>
      </c>
      <c r="M19" s="24">
        <v>-1.2699147064043983</v>
      </c>
      <c r="N19" s="24">
        <v>0.91010979610030596</v>
      </c>
      <c r="O19" s="24">
        <v>-0.25079141874092858</v>
      </c>
      <c r="P19" s="24">
        <v>-0.86841901924012821</v>
      </c>
      <c r="Q19" s="24">
        <v>-1.1127136294675808</v>
      </c>
      <c r="R19" s="24">
        <v>1.5666287576231912</v>
      </c>
      <c r="S19" s="24">
        <v>-5.1582132962101297E-2</v>
      </c>
      <c r="T19" s="24">
        <v>1.5419110450678275</v>
      </c>
      <c r="U19" s="24">
        <v>-2.5308658431876867</v>
      </c>
      <c r="V19" s="24">
        <v>-0.85423421142927736</v>
      </c>
      <c r="W19" s="24">
        <v>-0.99039356430147907</v>
      </c>
      <c r="X19" s="24">
        <v>-0.94703127528638253</v>
      </c>
      <c r="Y19" s="24">
        <v>0.61787060918765524</v>
      </c>
      <c r="Z19" s="24">
        <v>1.0491602893502532</v>
      </c>
      <c r="AA19" s="24">
        <v>3.4993546893157368E-2</v>
      </c>
      <c r="AB19" s="24">
        <v>-2.4490912527106685</v>
      </c>
      <c r="AC19" s="24">
        <v>-0.87855343868580449</v>
      </c>
      <c r="AD19" s="24">
        <v>-0.29821390138621373</v>
      </c>
      <c r="AE19" s="24">
        <v>-0.69221366560525932</v>
      </c>
      <c r="AF19" s="24">
        <v>-1.8856451192351751</v>
      </c>
      <c r="AG19" s="24">
        <v>-0.17959321717803006</v>
      </c>
      <c r="AH19" s="24">
        <v>0.6569034016695785</v>
      </c>
      <c r="AI19" s="24">
        <v>-1.7994753714527709</v>
      </c>
      <c r="AJ19" s="24">
        <v>0.50385024951377733</v>
      </c>
      <c r="AK19" s="24">
        <v>0.34495330177245614</v>
      </c>
      <c r="AL19" s="24">
        <v>0.75783097666482091</v>
      </c>
      <c r="AM19" s="24">
        <v>0.6298545831034239</v>
      </c>
      <c r="AN19" s="24">
        <v>-0.3689093615399372</v>
      </c>
      <c r="AO19" s="24">
        <v>-0.10990736333385777</v>
      </c>
      <c r="AP19" s="24">
        <v>-2.8400730655667908E-2</v>
      </c>
      <c r="AQ19" s="24">
        <v>0.94694963820879374</v>
      </c>
      <c r="AR19" s="24">
        <v>0.70120939950493799</v>
      </c>
      <c r="AS19" s="24">
        <v>-0.19108395307222176</v>
      </c>
      <c r="AT19" s="24">
        <v>-0.10344576712852434</v>
      </c>
      <c r="AU19" s="24">
        <v>-1.001400843502023</v>
      </c>
      <c r="AV19" s="24">
        <v>0.18165686179827945</v>
      </c>
      <c r="AW19" s="24">
        <v>-1.2394573691349045</v>
      </c>
    </row>
    <row r="20" spans="1:49" ht="13.8" x14ac:dyDescent="0.3">
      <c r="D20" s="24">
        <v>2.2054982485054255</v>
      </c>
      <c r="E20" s="24">
        <v>1.509963518951996</v>
      </c>
      <c r="F20" s="24">
        <v>-0.65101428311480869</v>
      </c>
      <c r="G20" s="24">
        <v>4.6895528764375437E-2</v>
      </c>
      <c r="H20" s="24">
        <v>-1.888368574477727</v>
      </c>
      <c r="I20" s="24">
        <v>1.1071779211006871</v>
      </c>
      <c r="J20" s="24">
        <v>0.16335503786906902</v>
      </c>
      <c r="K20" s="24">
        <v>1.257027245237657</v>
      </c>
      <c r="L20" s="24">
        <v>-1.1518781456063232</v>
      </c>
      <c r="M20" s="24">
        <v>0.65671859301317315</v>
      </c>
      <c r="N20" s="24">
        <v>0.66488327057154395</v>
      </c>
      <c r="O20" s="24">
        <v>-0.75711816059642545</v>
      </c>
      <c r="P20" s="24">
        <v>7.6469540109390846E-2</v>
      </c>
      <c r="Q20" s="24">
        <v>1.1661597608620337E-3</v>
      </c>
      <c r="R20" s="24">
        <v>-0.63699026958500216</v>
      </c>
      <c r="S20" s="24">
        <v>-8.2094684759428035E-2</v>
      </c>
      <c r="T20" s="24">
        <v>-1.0890027287171871</v>
      </c>
      <c r="U20" s="24">
        <v>0.27364608170316562</v>
      </c>
      <c r="V20" s="24">
        <v>1.0086340249309531</v>
      </c>
      <c r="W20" s="24">
        <v>-0.52263194783994749</v>
      </c>
      <c r="X20" s="24">
        <v>-0.57470436432460803</v>
      </c>
      <c r="Y20" s="24">
        <v>0.66280735393793333</v>
      </c>
      <c r="Z20" s="24">
        <v>-0.5458977204976786</v>
      </c>
      <c r="AA20" s="24">
        <v>-0.50559825882109188</v>
      </c>
      <c r="AB20" s="24">
        <v>0.52739591733583557</v>
      </c>
      <c r="AC20" s="24">
        <v>1.2737707880736722</v>
      </c>
      <c r="AD20" s="24">
        <v>-0.70834047695952151</v>
      </c>
      <c r="AE20" s="24">
        <v>-0.54860449128632738</v>
      </c>
      <c r="AF20" s="24">
        <v>-0.11441084883570761</v>
      </c>
      <c r="AG20" s="24">
        <v>-0.11029459085163644</v>
      </c>
      <c r="AH20" s="24">
        <v>0.37532547141940586</v>
      </c>
      <c r="AI20" s="24">
        <v>-1.2851473195895764</v>
      </c>
      <c r="AJ20" s="24">
        <v>0.32706609715149954</v>
      </c>
      <c r="AK20" s="24">
        <v>-0.35330492817043496</v>
      </c>
      <c r="AL20" s="24">
        <v>-0.11044133537214876</v>
      </c>
      <c r="AM20" s="24">
        <v>1.709693742204796</v>
      </c>
      <c r="AN20" s="24">
        <v>-0.88157170788537975</v>
      </c>
      <c r="AO20" s="24">
        <v>0.24249418743869511</v>
      </c>
      <c r="AP20" s="24">
        <v>0.71351808356350688</v>
      </c>
      <c r="AQ20" s="24">
        <v>-0.59772756641630675</v>
      </c>
      <c r="AR20" s="24">
        <v>0.94929831298360157</v>
      </c>
      <c r="AS20" s="24">
        <v>-2.9264248488163162E-2</v>
      </c>
      <c r="AT20" s="24">
        <v>-1.6556948679730585</v>
      </c>
      <c r="AU20" s="24">
        <v>0.36605251814471707</v>
      </c>
      <c r="AV20" s="24">
        <v>-0.66925101180619972</v>
      </c>
      <c r="AW20" s="24">
        <v>-0.50166778822442626</v>
      </c>
    </row>
    <row r="21" spans="1:49" ht="13.8" x14ac:dyDescent="0.3">
      <c r="D21" s="24">
        <v>0.50132535573942993</v>
      </c>
      <c r="E21" s="24">
        <v>0.6714418370037607</v>
      </c>
      <c r="F21" s="24">
        <v>0.27171607482871996</v>
      </c>
      <c r="G21" s="24">
        <v>-1.7394830144887496</v>
      </c>
      <c r="H21" s="24">
        <v>-0.50336530489989473</v>
      </c>
      <c r="I21" s="24">
        <v>1.1742989334661269</v>
      </c>
      <c r="J21" s="24">
        <v>6.4082327361832017E-2</v>
      </c>
      <c r="K21" s="24">
        <v>-6.3468372585976512E-2</v>
      </c>
      <c r="L21" s="24">
        <v>-0.1265927754716191</v>
      </c>
      <c r="M21" s="24">
        <v>-0.4265766977121051</v>
      </c>
      <c r="N21" s="24">
        <v>6.4067613789521458E-2</v>
      </c>
      <c r="O21" s="24">
        <v>-2.2755592994156726</v>
      </c>
      <c r="P21" s="24">
        <v>-0.62987157107223701</v>
      </c>
      <c r="Q21" s="24">
        <v>-0.57601118141579244</v>
      </c>
      <c r="R21" s="24">
        <v>0.71467952838483839</v>
      </c>
      <c r="S21" s="24">
        <v>3.0585768870351961E-3</v>
      </c>
      <c r="T21" s="24">
        <v>-1.233729725329656E-2</v>
      </c>
      <c r="U21" s="24">
        <v>-0.12528741383890019</v>
      </c>
      <c r="V21" s="24">
        <v>0.88464528290359878</v>
      </c>
      <c r="W21" s="24">
        <v>-1.5967891991934535</v>
      </c>
      <c r="X21" s="24">
        <v>-7.6441325575701685E-2</v>
      </c>
      <c r="Y21" s="24">
        <v>-0.78030069938731972</v>
      </c>
      <c r="Z21" s="24">
        <v>0.80518471654222079</v>
      </c>
      <c r="AA21" s="24">
        <v>0.1489338362984752</v>
      </c>
      <c r="AB21" s="24">
        <v>-0.16667420994762802</v>
      </c>
      <c r="AC21" s="24">
        <v>-0.34500721543190582</v>
      </c>
      <c r="AD21" s="24">
        <v>0.12884922303561211</v>
      </c>
      <c r="AE21" s="24">
        <v>0.58368874547619765</v>
      </c>
      <c r="AF21" s="24">
        <v>-0.2661358265029769</v>
      </c>
      <c r="AG21" s="24">
        <v>0.88802853319245756</v>
      </c>
      <c r="AH21" s="24">
        <v>0.32001730029320474</v>
      </c>
      <c r="AI21" s="24">
        <v>0.91720939151845882</v>
      </c>
      <c r="AJ21" s="24">
        <v>-0.51526421135616873</v>
      </c>
      <c r="AK21" s="24">
        <v>0.13075375683178389</v>
      </c>
      <c r="AL21" s="24">
        <v>-0.51011001932854061</v>
      </c>
      <c r="AM21" s="24">
        <v>-8.7316294612486307E-3</v>
      </c>
      <c r="AN21" s="24">
        <v>0.39164708695450168</v>
      </c>
      <c r="AO21" s="24">
        <v>0.7663527875101146</v>
      </c>
      <c r="AP21" s="24">
        <v>1.1538215668740386</v>
      </c>
      <c r="AQ21" s="24">
        <v>-0.81316614313467772</v>
      </c>
      <c r="AR21" s="24">
        <v>1.0375329795673236</v>
      </c>
      <c r="AS21" s="24">
        <v>-1.1751727881431102</v>
      </c>
      <c r="AT21" s="24">
        <v>0.27473928695604843</v>
      </c>
      <c r="AU21" s="24">
        <v>1.1733255340451991</v>
      </c>
      <c r="AV21" s="24">
        <v>-1.2998679419580403</v>
      </c>
      <c r="AW21" s="24">
        <v>0.19223789786394146</v>
      </c>
    </row>
    <row r="22" spans="1:49" ht="13.8" x14ac:dyDescent="0.3">
      <c r="D22" s="24">
        <v>-0.1583296179909969</v>
      </c>
      <c r="E22" s="24">
        <v>3.4886799330869925E-2</v>
      </c>
      <c r="F22" s="24">
        <v>0.62283805029739059</v>
      </c>
      <c r="G22" s="24">
        <v>0.43859771727274699</v>
      </c>
      <c r="H22" s="24">
        <v>-0.92815768280914401</v>
      </c>
      <c r="I22" s="24">
        <v>0.42549000617662946</v>
      </c>
      <c r="J22" s="24">
        <v>1.0696961296633428E-2</v>
      </c>
      <c r="K22" s="24">
        <v>-0.71428669244163889</v>
      </c>
      <c r="L22" s="24">
        <v>-0.87317448430431466</v>
      </c>
      <c r="M22" s="24">
        <v>-0.34006510024810288</v>
      </c>
      <c r="N22" s="24">
        <v>0.24199911092055049</v>
      </c>
      <c r="O22" s="24">
        <v>-4.3503998377276747E-2</v>
      </c>
      <c r="P22" s="24">
        <v>-0.51224472541889665</v>
      </c>
      <c r="Q22" s="24">
        <v>-0.35403870408810229</v>
      </c>
      <c r="R22" s="24">
        <v>-0.31656870406476223</v>
      </c>
      <c r="S22" s="24">
        <v>-0.14272885156264775</v>
      </c>
      <c r="T22" s="24">
        <v>-0.55798646643425065</v>
      </c>
      <c r="U22" s="24">
        <v>-0.60644471421373081</v>
      </c>
      <c r="V22" s="24">
        <v>-0.33998065767281976</v>
      </c>
      <c r="W22" s="24">
        <v>0.2267987214352559</v>
      </c>
      <c r="X22" s="24">
        <v>0.53942797658363595</v>
      </c>
      <c r="Y22" s="24">
        <v>-0.21716581433037985</v>
      </c>
      <c r="Z22" s="24">
        <v>0.47611886841708057</v>
      </c>
      <c r="AA22" s="24">
        <v>0.37429964178663622</v>
      </c>
      <c r="AB22" s="24">
        <v>0.30979716514138272</v>
      </c>
      <c r="AC22" s="24">
        <v>-0.57075126224094808</v>
      </c>
      <c r="AD22" s="24">
        <v>-0.12991269743692463</v>
      </c>
      <c r="AE22" s="24">
        <v>0.3516029617860556</v>
      </c>
      <c r="AF22" s="24">
        <v>-0.13477502864143334</v>
      </c>
      <c r="AG22" s="24">
        <v>-0.17652172578024167</v>
      </c>
      <c r="AH22" s="24">
        <v>-0.23254534162671703</v>
      </c>
      <c r="AI22" s="24">
        <v>-0.37186248789059412</v>
      </c>
      <c r="AJ22" s="24">
        <v>-0.34716020200490683</v>
      </c>
      <c r="AK22" s="24">
        <v>0.54486826264286869</v>
      </c>
      <c r="AL22" s="24">
        <v>1.8829356987310784E-2</v>
      </c>
      <c r="AM22" s="24">
        <v>-0.69643242296450913</v>
      </c>
      <c r="AN22" s="24">
        <v>-0.27703331314366841</v>
      </c>
      <c r="AO22" s="24">
        <v>0.14191997358249503</v>
      </c>
      <c r="AP22" s="24">
        <v>0.28069194938437886</v>
      </c>
      <c r="AQ22" s="24">
        <v>-2.2367127119625005E-2</v>
      </c>
      <c r="AR22" s="24">
        <v>3.6358106735974796E-2</v>
      </c>
      <c r="AS22" s="24">
        <v>0.347886163914018</v>
      </c>
      <c r="AT22" s="24">
        <v>-0.34507892114773253</v>
      </c>
      <c r="AU22" s="24">
        <v>-0.70294915669426306</v>
      </c>
      <c r="AV22" s="24">
        <v>9.932574732852574E-2</v>
      </c>
      <c r="AW22" s="24">
        <v>0.10443546674861283</v>
      </c>
    </row>
    <row r="23" spans="1:49" ht="13.8" x14ac:dyDescent="0.3">
      <c r="D23" s="24">
        <v>-0.21320871684506154</v>
      </c>
      <c r="E23" s="24">
        <v>-0.84988633708971506</v>
      </c>
      <c r="F23" s="24">
        <v>0.48667053930553072</v>
      </c>
      <c r="G23" s="24">
        <v>-0.76237270107072308</v>
      </c>
      <c r="H23" s="24">
        <v>-5.0456014636003209E-2</v>
      </c>
      <c r="I23" s="24">
        <v>-0.72590844654828335</v>
      </c>
      <c r="J23" s="24">
        <v>0.84553409942134738</v>
      </c>
      <c r="K23" s="24">
        <v>1.2764840075542914</v>
      </c>
      <c r="L23" s="24">
        <v>-0.4113509695617999</v>
      </c>
      <c r="M23" s="24">
        <v>0.56160951042310792</v>
      </c>
      <c r="N23" s="24">
        <v>0.1757899801895744</v>
      </c>
      <c r="O23" s="24">
        <v>-0.56669573563667219</v>
      </c>
      <c r="P23" s="24">
        <v>0.743732497946474</v>
      </c>
      <c r="Q23" s="24">
        <v>0.19113890940195491</v>
      </c>
      <c r="R23" s="24">
        <v>5.3202403009055786E-2</v>
      </c>
      <c r="S23" s="24">
        <v>-0.90749317734878077</v>
      </c>
      <c r="T23" s="24">
        <v>-0.52684180722658069</v>
      </c>
      <c r="U23" s="24">
        <v>-2.9128034347639952E-2</v>
      </c>
      <c r="V23" s="24">
        <v>2.1414810487610691E-2</v>
      </c>
      <c r="W23" s="24">
        <v>0.92372974848508282</v>
      </c>
      <c r="X23" s="24">
        <v>0.76750981390246908</v>
      </c>
      <c r="Y23" s="24">
        <v>0.37607388791740659</v>
      </c>
      <c r="Z23" s="24">
        <v>4.3565480365340151E-2</v>
      </c>
      <c r="AA23" s="24">
        <v>0.27412266912767008</v>
      </c>
      <c r="AB23" s="24">
        <v>0.26870175680337433</v>
      </c>
      <c r="AC23" s="24">
        <v>0.20837498197496412</v>
      </c>
      <c r="AD23" s="24">
        <v>-0.34854626871187144</v>
      </c>
      <c r="AE23" s="24">
        <v>-0.26365356411080931</v>
      </c>
      <c r="AF23" s="24">
        <v>0.59033939728963625</v>
      </c>
      <c r="AG23" s="24">
        <v>-0.47539051706030405</v>
      </c>
      <c r="AH23" s="24">
        <v>0.58746677678632098</v>
      </c>
      <c r="AI23" s="24">
        <v>0.23421320623512054</v>
      </c>
      <c r="AJ23" s="24">
        <v>5.7125387690639247E-2</v>
      </c>
      <c r="AK23" s="24">
        <v>-6.9734990447502532E-2</v>
      </c>
      <c r="AL23" s="24">
        <v>0.46839118553494646</v>
      </c>
      <c r="AM23" s="24">
        <v>-0.28904458216685386</v>
      </c>
      <c r="AN23" s="24">
        <v>-0.49727910609405274</v>
      </c>
      <c r="AO23" s="24">
        <v>0.48615371698677029</v>
      </c>
      <c r="AP23" s="24">
        <v>0.33323447449298077</v>
      </c>
      <c r="AQ23" s="24">
        <v>0.15130863690063384</v>
      </c>
      <c r="AR23" s="24">
        <v>0.49892913820272561</v>
      </c>
      <c r="AS23" s="24">
        <v>-1.9525953488773336E-2</v>
      </c>
      <c r="AT23" s="24">
        <v>-3.5722744121558916E-2</v>
      </c>
      <c r="AU23" s="24">
        <v>0.19452308595234194</v>
      </c>
      <c r="AV23" s="24">
        <v>4.8126690663618955E-3</v>
      </c>
      <c r="AW23" s="24">
        <v>-0.8394020121328678</v>
      </c>
    </row>
    <row r="24" spans="1:49" ht="13.8" x14ac:dyDescent="0.3">
      <c r="D24" s="24">
        <v>0.4533370200101261</v>
      </c>
      <c r="E24" s="24">
        <v>0.18890548596008272</v>
      </c>
      <c r="F24" s="24">
        <v>0.47437537939182678</v>
      </c>
      <c r="G24" s="24">
        <v>-1.1713106411441088</v>
      </c>
      <c r="H24" s="24">
        <v>-0.97388253126896884</v>
      </c>
      <c r="I24" s="24">
        <v>0.33412315212795368</v>
      </c>
      <c r="J24" s="24">
        <v>0.91605156839411639</v>
      </c>
      <c r="K24" s="24">
        <v>1.1173914555875029</v>
      </c>
      <c r="L24" s="24">
        <v>-0.10845249641110873</v>
      </c>
      <c r="M24" s="24">
        <v>0.13189052949601346</v>
      </c>
      <c r="N24" s="24">
        <v>-1.8081502499729819E-2</v>
      </c>
      <c r="O24" s="24">
        <v>-0.60401565321156969</v>
      </c>
      <c r="P24" s="24">
        <v>-0.52544108100698583</v>
      </c>
      <c r="Q24" s="24">
        <v>-0.68320139729582363</v>
      </c>
      <c r="R24" s="24">
        <v>-1.2877761120352476</v>
      </c>
      <c r="S24" s="24">
        <v>-0.14994661560365558</v>
      </c>
      <c r="T24" s="24">
        <v>0.37236258051205512</v>
      </c>
      <c r="U24" s="24">
        <v>-0.32436269146269742</v>
      </c>
      <c r="V24" s="24">
        <v>-0.26277910958610168</v>
      </c>
      <c r="W24" s="24">
        <v>1.0648031280827548</v>
      </c>
      <c r="X24" s="24">
        <v>0.22820616132888005</v>
      </c>
      <c r="Y24" s="24">
        <v>-0.37920032250476848</v>
      </c>
      <c r="Z24" s="24">
        <v>-1.4689389518080329</v>
      </c>
      <c r="AA24" s="24">
        <v>9.3035212838605913E-2</v>
      </c>
      <c r="AB24" s="24">
        <v>0.35583682995485982</v>
      </c>
      <c r="AC24" s="24">
        <v>1.8982264424465656</v>
      </c>
      <c r="AD24" s="24">
        <v>-0.9351939502427935</v>
      </c>
      <c r="AE24" s="24">
        <v>0.39194307694755576</v>
      </c>
      <c r="AF24" s="24">
        <v>0.29142662729664748</v>
      </c>
      <c r="AG24" s="24">
        <v>-1.3233205984757173</v>
      </c>
      <c r="AH24" s="24">
        <v>0.57452934063546379</v>
      </c>
      <c r="AI24" s="24">
        <v>-1.5603786102400892</v>
      </c>
      <c r="AJ24" s="24">
        <v>1.4152923777700988</v>
      </c>
      <c r="AK24" s="24">
        <v>-9.6722862834178386E-2</v>
      </c>
      <c r="AL24" s="24">
        <v>-0.50311565980803219</v>
      </c>
      <c r="AM24" s="24">
        <v>-0.11692059560742864</v>
      </c>
      <c r="AN24" s="24">
        <v>0.66223901127506135</v>
      </c>
      <c r="AO24" s="24">
        <v>-1.1559253776507477</v>
      </c>
      <c r="AP24" s="24">
        <v>0.57156198764014754</v>
      </c>
      <c r="AQ24" s="24">
        <v>-2.1887726035849382E-2</v>
      </c>
      <c r="AR24" s="24">
        <v>1.4842023459810489</v>
      </c>
      <c r="AS24" s="24">
        <v>0.89776789324885165</v>
      </c>
      <c r="AT24" s="24">
        <v>0.79362528851102709</v>
      </c>
      <c r="AU24" s="24">
        <v>-1.0298731625271824</v>
      </c>
      <c r="AV24" s="24">
        <v>1.1261534354067146</v>
      </c>
      <c r="AW24" s="24">
        <v>0.26623048604963612</v>
      </c>
    </row>
    <row r="25" spans="1:49" ht="13.8" x14ac:dyDescent="0.3">
      <c r="D25" s="24">
        <v>0.21878710178939165</v>
      </c>
      <c r="E25" s="24">
        <v>-1.1235831886408947</v>
      </c>
      <c r="F25" s="24">
        <v>0.29338456565782095</v>
      </c>
      <c r="G25" s="24">
        <v>-0.4107416098434396</v>
      </c>
      <c r="H25" s="24">
        <v>1.2347120399675946</v>
      </c>
      <c r="I25" s="24">
        <v>9.5779178784864277E-2</v>
      </c>
      <c r="J25" s="24">
        <v>1.2564861441956074</v>
      </c>
      <c r="K25" s="24">
        <v>-0.32963574834081444</v>
      </c>
      <c r="L25" s="24">
        <v>-0.61561393123585761</v>
      </c>
      <c r="M25" s="24">
        <v>-1.2864261355626083</v>
      </c>
      <c r="N25" s="24">
        <v>0.52412258468926898</v>
      </c>
      <c r="O25" s="24">
        <v>-0.46957428114634131</v>
      </c>
      <c r="P25" s="24">
        <v>-0.71726871144105819</v>
      </c>
      <c r="Q25" s="24">
        <v>-0.69483640943918501</v>
      </c>
      <c r="R25" s="24">
        <v>-1.7364432747710346</v>
      </c>
      <c r="S25" s="24">
        <v>0.94888625215263467</v>
      </c>
      <c r="T25" s="24">
        <v>-0.32644338747681012</v>
      </c>
      <c r="U25" s="24">
        <v>0.14188799391576173</v>
      </c>
      <c r="V25" s="24">
        <v>0.35812892325329004</v>
      </c>
      <c r="W25" s="24">
        <v>-0.79875979181840617</v>
      </c>
      <c r="X25" s="24">
        <v>0.53888196925967036</v>
      </c>
      <c r="Y25" s="24">
        <v>-1.6817923545090085</v>
      </c>
      <c r="Z25" s="24">
        <v>0.15947504743570479</v>
      </c>
      <c r="AA25" s="24">
        <v>0.92082434609557096</v>
      </c>
      <c r="AB25" s="24">
        <v>-1.2296954915383405</v>
      </c>
      <c r="AC25" s="24">
        <v>9.1124470238442043E-2</v>
      </c>
      <c r="AD25" s="24">
        <v>0.20372526744481287</v>
      </c>
      <c r="AE25" s="24">
        <v>-0.18563063196172172</v>
      </c>
      <c r="AF25" s="24">
        <v>-0.66826182201460427</v>
      </c>
      <c r="AG25" s="24">
        <v>-2.733320037573267E-3</v>
      </c>
      <c r="AH25" s="24">
        <v>1.1185185642270712</v>
      </c>
      <c r="AI25" s="24">
        <v>-0.81803658524816503</v>
      </c>
      <c r="AJ25" s="24">
        <v>-1.8823627226807422</v>
      </c>
      <c r="AK25" s="24">
        <v>-1.0080947530302735</v>
      </c>
      <c r="AL25" s="24">
        <v>0.15047577596064382</v>
      </c>
      <c r="AM25" s="24">
        <v>-0.24270815262973341</v>
      </c>
      <c r="AN25" s="24">
        <v>-0.18655482152369177</v>
      </c>
      <c r="AO25" s="24">
        <v>-1.4451110945831771</v>
      </c>
      <c r="AP25" s="24">
        <v>0.2703426411330041</v>
      </c>
      <c r="AQ25" s="24">
        <v>0.43821293473989442</v>
      </c>
      <c r="AR25" s="24">
        <v>-0.64197194472755081</v>
      </c>
      <c r="AS25" s="24">
        <v>-1.783615715050906</v>
      </c>
      <c r="AT25" s="24">
        <v>-0.23783137221042286</v>
      </c>
      <c r="AU25" s="24">
        <v>-0.76735765813750123</v>
      </c>
      <c r="AV25" s="24">
        <v>0.21888256905321599</v>
      </c>
      <c r="AW25" s="24">
        <v>0.3950914718186172</v>
      </c>
    </row>
    <row r="26" spans="1:49" ht="13.8" x14ac:dyDescent="0.3">
      <c r="D26" s="24">
        <v>0.49352538148076786</v>
      </c>
      <c r="E26" s="24">
        <v>-0.39483807236709462</v>
      </c>
      <c r="F26" s="24">
        <v>0.60418176082417308</v>
      </c>
      <c r="G26" s="24">
        <v>-0.26114482973520281</v>
      </c>
      <c r="H26" s="24">
        <v>0.15930863120121042</v>
      </c>
      <c r="I26" s="24">
        <v>-0.31749481572976246</v>
      </c>
      <c r="J26" s="24">
        <v>-0.60360759207584624</v>
      </c>
      <c r="K26" s="24">
        <v>0.89349486723937188</v>
      </c>
      <c r="L26" s="24">
        <v>0.65608906853803839</v>
      </c>
      <c r="M26" s="24">
        <v>1.575642754778307</v>
      </c>
      <c r="N26" s="24">
        <v>0.94469592571932204</v>
      </c>
      <c r="O26" s="24">
        <v>-0.94164334283082973</v>
      </c>
      <c r="P26" s="24">
        <v>0.25663546987692099</v>
      </c>
      <c r="Q26" s="24">
        <v>0.45091569448856161</v>
      </c>
      <c r="R26" s="24">
        <v>0.7647370367658437</v>
      </c>
      <c r="S26" s="24">
        <v>-0.14171090654028129</v>
      </c>
      <c r="T26" s="24">
        <v>-6.4402365620565338E-2</v>
      </c>
      <c r="U26" s="24">
        <v>1.194111449745626</v>
      </c>
      <c r="V26" s="24">
        <v>0.22142836876318017</v>
      </c>
      <c r="W26" s="24">
        <v>-0.2520656545764568</v>
      </c>
      <c r="X26" s="24">
        <v>-0.43391255055357436</v>
      </c>
      <c r="Y26" s="24">
        <v>-0.15730941674473153</v>
      </c>
      <c r="Z26" s="24">
        <v>-0.43923949202599954</v>
      </c>
      <c r="AA26" s="24">
        <v>-0.33214432567422914</v>
      </c>
      <c r="AB26" s="24">
        <v>-0.33853150062689968</v>
      </c>
      <c r="AC26" s="24">
        <v>0.63668163526549804</v>
      </c>
      <c r="AD26" s="24">
        <v>-0.32059822299731133</v>
      </c>
      <c r="AE26" s="24">
        <v>0.45583298884082712</v>
      </c>
      <c r="AF26" s="24">
        <v>0.61822423780777913</v>
      </c>
      <c r="AG26" s="24">
        <v>-0.15578645968276383</v>
      </c>
      <c r="AH26" s="24">
        <v>0.15333797533399468</v>
      </c>
      <c r="AI26" s="24">
        <v>-3.4483102165568068E-2</v>
      </c>
      <c r="AJ26" s="24">
        <v>-0.10873774958002884</v>
      </c>
      <c r="AK26" s="24">
        <v>0.88442618702551345</v>
      </c>
      <c r="AL26" s="24">
        <v>-0.308995788930364</v>
      </c>
      <c r="AM26" s="24">
        <v>0.74181123008422867</v>
      </c>
      <c r="AN26" s="24">
        <v>0.27833033003248137</v>
      </c>
      <c r="AO26" s="24">
        <v>0.95567612726097118</v>
      </c>
      <c r="AP26" s="24">
        <v>-0.50428846189242127</v>
      </c>
      <c r="AQ26" s="24">
        <v>-1.0464315631225849</v>
      </c>
      <c r="AR26" s="24">
        <v>1.1652958469490009</v>
      </c>
      <c r="AS26" s="24">
        <v>-1.6482485519032697</v>
      </c>
      <c r="AT26" s="24">
        <v>0.34964754781457097</v>
      </c>
      <c r="AU26" s="24">
        <v>2.1364323466075735E-2</v>
      </c>
      <c r="AV26" s="24">
        <v>0.13338470606653902</v>
      </c>
      <c r="AW26" s="24">
        <v>0.2180854215213571</v>
      </c>
    </row>
    <row r="27" spans="1:49" ht="13.8" x14ac:dyDescent="0.3">
      <c r="D27" s="24">
        <v>-0.78304231909651145</v>
      </c>
      <c r="E27" s="24">
        <v>-0.47877671851028597</v>
      </c>
      <c r="F27" s="24">
        <v>0.98896353491536404</v>
      </c>
      <c r="G27" s="24">
        <v>0.58534355321635079</v>
      </c>
      <c r="H27" s="24">
        <v>-0.21775080494389851</v>
      </c>
      <c r="I27" s="24">
        <v>-1.677103681267381</v>
      </c>
      <c r="J27" s="24">
        <v>0.96537643406694473</v>
      </c>
      <c r="K27" s="24">
        <v>3.0651044140751045E-2</v>
      </c>
      <c r="L27" s="24">
        <v>-0.36383204551665582</v>
      </c>
      <c r="M27" s="24">
        <v>0.43010742337044866</v>
      </c>
      <c r="N27" s="24">
        <v>1.6811043486386767</v>
      </c>
      <c r="O27" s="24">
        <v>-0.46792526825534358</v>
      </c>
      <c r="P27" s="24">
        <v>-0.45447703945982471</v>
      </c>
      <c r="Q27" s="24">
        <v>0.10019912847254418</v>
      </c>
      <c r="R27" s="24">
        <v>0.17846988803920638</v>
      </c>
      <c r="S27" s="24">
        <v>-1.1091406769419219</v>
      </c>
      <c r="T27" s="24">
        <v>0.29003371512113257</v>
      </c>
      <c r="U27" s="24">
        <v>-0.22535422663184337</v>
      </c>
      <c r="V27" s="24">
        <v>-0.33638538106981253</v>
      </c>
      <c r="W27" s="24">
        <v>1.0779726777421157</v>
      </c>
      <c r="X27" s="24">
        <v>1.3669665813406857</v>
      </c>
      <c r="Y27" s="24">
        <v>-1.1711657349059412</v>
      </c>
      <c r="Z27" s="24">
        <v>-0.8632159098766472</v>
      </c>
      <c r="AA27" s="24">
        <v>0.80184805327354369</v>
      </c>
      <c r="AB27" s="24">
        <v>-0.55354461502194596</v>
      </c>
      <c r="AC27" s="24">
        <v>-1.2815121204383806</v>
      </c>
      <c r="AD27" s="24">
        <v>0.80913238105506569</v>
      </c>
      <c r="AE27" s="24">
        <v>0.30923041742337581</v>
      </c>
      <c r="AF27" s="24">
        <v>-0.39173487365962462</v>
      </c>
      <c r="AG27" s="24">
        <v>-0.56844456999189008</v>
      </c>
      <c r="AH27" s="24">
        <v>-1.5276232036537452</v>
      </c>
      <c r="AI27" s="24">
        <v>-0.13919214533756671</v>
      </c>
      <c r="AJ27" s="24">
        <v>0.58398258136473769</v>
      </c>
      <c r="AK27" s="24">
        <v>0.17995818062485944</v>
      </c>
      <c r="AL27" s="24">
        <v>0.54926690948363777</v>
      </c>
      <c r="AM27" s="24">
        <v>1.1803978472962333</v>
      </c>
      <c r="AN27" s="24">
        <v>-0.87505311229344496</v>
      </c>
      <c r="AO27" s="24">
        <v>-9.4711645702667532E-2</v>
      </c>
      <c r="AP27" s="24">
        <v>-0.22156614442738418</v>
      </c>
      <c r="AQ27" s="24">
        <v>-0.74903228708275871</v>
      </c>
      <c r="AR27" s="24">
        <v>0.36797048794939691</v>
      </c>
      <c r="AS27" s="24">
        <v>1.0158192358731375</v>
      </c>
      <c r="AT27" s="24">
        <v>0.67655950008162524</v>
      </c>
      <c r="AU27" s="24">
        <v>1.0396987770341519</v>
      </c>
      <c r="AV27" s="24">
        <v>-0.2291966944237567</v>
      </c>
      <c r="AW27" s="24">
        <v>-0.33931469140225456</v>
      </c>
    </row>
    <row r="30" spans="1:49" ht="13.8" x14ac:dyDescent="0.3">
      <c r="D30" s="24">
        <v>1.3430526168448396</v>
      </c>
      <c r="E30" s="24">
        <v>-1.7781311843444185</v>
      </c>
      <c r="F30" s="24">
        <v>-3.3082654110884993</v>
      </c>
      <c r="G30" s="24">
        <v>-0.95258781947836979</v>
      </c>
      <c r="H30" s="24">
        <v>-3.7593139260041175</v>
      </c>
      <c r="I30" s="24">
        <v>2.180940590762984</v>
      </c>
      <c r="J30" s="24">
        <v>2.9059670583563442</v>
      </c>
      <c r="K30" s="24">
        <v>-0.86438094678199517</v>
      </c>
      <c r="L30" s="24">
        <v>-1.7611301272893591</v>
      </c>
      <c r="M30" s="24">
        <v>2.7936026624121624</v>
      </c>
      <c r="N30" s="24">
        <v>-3.1521327157317471</v>
      </c>
      <c r="O30" s="24">
        <v>1.7612634995592962</v>
      </c>
      <c r="P30" s="24">
        <v>-2.2389150516190672</v>
      </c>
      <c r="Q30" s="24">
        <v>0.70092960279658245</v>
      </c>
    </row>
    <row r="31" spans="1:49" ht="13.8" x14ac:dyDescent="0.3">
      <c r="D31" s="24">
        <v>-1.3280324226432374</v>
      </c>
      <c r="E31" s="24">
        <v>1.6877023067745678</v>
      </c>
      <c r="F31" s="24">
        <v>3.3028747835196315</v>
      </c>
      <c r="G31" s="24">
        <v>0.97109297441761788</v>
      </c>
      <c r="H31" s="24">
        <v>3.7884383746720713</v>
      </c>
      <c r="I31" s="24">
        <v>-2.1854625344901146</v>
      </c>
      <c r="J31" s="24">
        <v>-2.9045223296278024</v>
      </c>
      <c r="K31" s="24">
        <v>0.77978085675647735</v>
      </c>
      <c r="L31" s="24">
        <v>1.7614373648615356</v>
      </c>
      <c r="M31" s="24">
        <v>-2.8416007956527358</v>
      </c>
      <c r="N31" s="24">
        <v>3.1427451767183912</v>
      </c>
      <c r="O31" s="24">
        <v>-1.7969502598419165</v>
      </c>
      <c r="P31" s="24">
        <v>2.2880491563479817</v>
      </c>
      <c r="Q31" s="24">
        <v>-0.61283286886379551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W1347"/>
  <sheetViews>
    <sheetView showGridLines="0" topLeftCell="A30" workbookViewId="0">
      <selection activeCell="B55" sqref="B55"/>
    </sheetView>
  </sheetViews>
  <sheetFormatPr defaultRowHeight="13.2" x14ac:dyDescent="0.25"/>
  <cols>
    <col min="3" max="3" width="8.21875" customWidth="1"/>
    <col min="4" max="4" width="10.33203125" customWidth="1"/>
    <col min="5" max="6" width="8.5546875" customWidth="1"/>
    <col min="7" max="7" width="12.44140625" customWidth="1"/>
    <col min="8" max="8" width="13.21875" customWidth="1"/>
    <col min="9" max="9" width="16.5546875" customWidth="1"/>
    <col min="10" max="10" width="16.44140625" customWidth="1"/>
    <col min="11" max="11" width="12.5546875" customWidth="1"/>
    <col min="12" max="12" width="13.33203125" customWidth="1"/>
    <col min="13" max="13" width="16.6640625" customWidth="1"/>
    <col min="14" max="14" width="16.5546875" customWidth="1"/>
  </cols>
  <sheetData>
    <row r="1" spans="2:14" ht="18" x14ac:dyDescent="0.35">
      <c r="B1" s="23" t="s">
        <v>180</v>
      </c>
      <c r="N1" t="s">
        <v>536</v>
      </c>
    </row>
    <row r="3" spans="2:14" ht="15.6" x14ac:dyDescent="0.3">
      <c r="B3" s="59" t="s">
        <v>136</v>
      </c>
      <c r="C3" s="60"/>
      <c r="D3" s="60"/>
      <c r="E3" s="60"/>
      <c r="F3" s="60"/>
      <c r="G3" s="61"/>
      <c r="J3" s="59" t="s">
        <v>137</v>
      </c>
      <c r="K3" s="60"/>
      <c r="L3" s="60"/>
      <c r="M3" s="61"/>
    </row>
    <row r="4" spans="2:14" ht="13.8" x14ac:dyDescent="0.3">
      <c r="B4" s="65" t="s">
        <v>141</v>
      </c>
      <c r="C4" s="66"/>
      <c r="D4" s="65" t="s">
        <v>210</v>
      </c>
      <c r="E4" s="66"/>
      <c r="F4" s="65" t="s">
        <v>325</v>
      </c>
      <c r="G4" s="66"/>
      <c r="J4" s="26" t="s">
        <v>182</v>
      </c>
      <c r="K4" s="26" t="s">
        <v>183</v>
      </c>
      <c r="L4" s="26" t="s">
        <v>139</v>
      </c>
      <c r="M4" s="26" t="s">
        <v>140</v>
      </c>
    </row>
    <row r="5" spans="2:14" ht="13.8" x14ac:dyDescent="0.3">
      <c r="J5" s="24">
        <v>31</v>
      </c>
      <c r="K5" s="24">
        <v>19593</v>
      </c>
      <c r="L5" s="24">
        <v>62</v>
      </c>
      <c r="M5" s="24">
        <v>19686</v>
      </c>
    </row>
    <row r="10" spans="2:14" ht="18" x14ac:dyDescent="0.35">
      <c r="B10" s="22" t="s">
        <v>141</v>
      </c>
    </row>
    <row r="12" spans="2:14" ht="15.6" x14ac:dyDescent="0.3">
      <c r="C12" s="59" t="s">
        <v>142</v>
      </c>
      <c r="D12" s="60"/>
      <c r="E12" s="60"/>
      <c r="F12" s="60"/>
      <c r="G12" s="60"/>
      <c r="H12" s="60"/>
      <c r="I12" s="60"/>
      <c r="J12" s="60"/>
      <c r="K12" s="61"/>
    </row>
    <row r="13" spans="2:14" ht="13.8" x14ac:dyDescent="0.3">
      <c r="C13" s="62" t="s">
        <v>143</v>
      </c>
      <c r="D13" s="63"/>
      <c r="E13" s="63"/>
      <c r="F13" s="64"/>
      <c r="G13" s="69" t="s">
        <v>144</v>
      </c>
      <c r="H13" s="70"/>
      <c r="I13" s="70"/>
      <c r="J13" s="70"/>
      <c r="K13" s="71"/>
    </row>
    <row r="14" spans="2:14" ht="13.8" x14ac:dyDescent="0.3">
      <c r="C14" s="62" t="s">
        <v>145</v>
      </c>
      <c r="D14" s="63"/>
      <c r="E14" s="63"/>
      <c r="F14" s="64"/>
      <c r="G14" s="69" t="s">
        <v>184</v>
      </c>
      <c r="H14" s="70"/>
      <c r="I14" s="70"/>
      <c r="J14" s="70"/>
      <c r="K14" s="71"/>
    </row>
    <row r="15" spans="2:14" ht="13.8" x14ac:dyDescent="0.3">
      <c r="C15" s="62" t="s">
        <v>185</v>
      </c>
      <c r="D15" s="63"/>
      <c r="E15" s="63"/>
      <c r="F15" s="64"/>
      <c r="G15" s="69">
        <v>600</v>
      </c>
      <c r="H15" s="70"/>
      <c r="I15" s="70"/>
      <c r="J15" s="70"/>
      <c r="K15" s="71"/>
    </row>
    <row r="16" spans="2:14" ht="13.8" x14ac:dyDescent="0.3">
      <c r="C16" s="62" t="s">
        <v>186</v>
      </c>
      <c r="D16" s="63"/>
      <c r="E16" s="63"/>
      <c r="F16" s="64"/>
      <c r="G16" s="69">
        <v>400</v>
      </c>
      <c r="H16" s="70"/>
      <c r="I16" s="70"/>
      <c r="J16" s="70"/>
      <c r="K16" s="71"/>
    </row>
    <row r="18" spans="3:49" ht="15.6" x14ac:dyDescent="0.3">
      <c r="C18" s="59" t="s">
        <v>187</v>
      </c>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1"/>
    </row>
    <row r="19" spans="3:49" ht="13.8" x14ac:dyDescent="0.3">
      <c r="C19" s="62" t="s">
        <v>188</v>
      </c>
      <c r="D19" s="64"/>
      <c r="E19" s="69">
        <v>45</v>
      </c>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1"/>
    </row>
    <row r="20" spans="3:49" ht="13.8" x14ac:dyDescent="0.3">
      <c r="C20" s="62" t="s">
        <v>189</v>
      </c>
      <c r="D20" s="64"/>
      <c r="E20" s="24" t="s">
        <v>0</v>
      </c>
      <c r="F20" s="24" t="s">
        <v>68</v>
      </c>
      <c r="G20" s="24" t="s">
        <v>69</v>
      </c>
      <c r="H20" s="24" t="s">
        <v>70</v>
      </c>
      <c r="I20" s="24" t="s">
        <v>71</v>
      </c>
      <c r="J20" s="24" t="s">
        <v>81</v>
      </c>
      <c r="K20" s="24" t="s">
        <v>72</v>
      </c>
      <c r="L20" s="24" t="s">
        <v>2</v>
      </c>
      <c r="M20" s="24" t="s">
        <v>6</v>
      </c>
      <c r="N20" s="24" t="s">
        <v>74</v>
      </c>
      <c r="O20" s="24" t="s">
        <v>75</v>
      </c>
      <c r="P20" s="24" t="s">
        <v>76</v>
      </c>
      <c r="Q20" s="24" t="s">
        <v>73</v>
      </c>
      <c r="R20" s="24" t="s">
        <v>77</v>
      </c>
      <c r="S20" s="24" t="s">
        <v>78</v>
      </c>
      <c r="T20" s="24" t="s">
        <v>82</v>
      </c>
      <c r="U20" s="24" t="s">
        <v>8</v>
      </c>
      <c r="V20" s="24" t="s">
        <v>79</v>
      </c>
      <c r="W20" s="24" t="s">
        <v>80</v>
      </c>
      <c r="X20" s="24" t="s">
        <v>83</v>
      </c>
      <c r="Y20" s="24" t="s">
        <v>9</v>
      </c>
      <c r="Z20" s="24" t="s">
        <v>11</v>
      </c>
      <c r="AA20" s="24" t="s">
        <v>12</v>
      </c>
      <c r="AB20" s="24" t="s">
        <v>13</v>
      </c>
      <c r="AC20" s="24" t="s">
        <v>152</v>
      </c>
      <c r="AD20" s="24" t="s">
        <v>153</v>
      </c>
      <c r="AE20" s="24" t="s">
        <v>154</v>
      </c>
      <c r="AF20" s="24" t="s">
        <v>156</v>
      </c>
      <c r="AG20" s="24" t="s">
        <v>157</v>
      </c>
      <c r="AH20" s="24" t="s">
        <v>158</v>
      </c>
      <c r="AI20" s="24" t="s">
        <v>159</v>
      </c>
      <c r="AJ20" s="24" t="s">
        <v>161</v>
      </c>
      <c r="AK20" s="24" t="s">
        <v>162</v>
      </c>
      <c r="AL20" s="24" t="s">
        <v>163</v>
      </c>
      <c r="AM20" s="24" t="s">
        <v>164</v>
      </c>
      <c r="AN20" s="24" t="s">
        <v>166</v>
      </c>
      <c r="AO20" s="24" t="s">
        <v>167</v>
      </c>
      <c r="AP20" s="24" t="s">
        <v>168</v>
      </c>
      <c r="AQ20" s="24" t="s">
        <v>169</v>
      </c>
      <c r="AR20" s="24" t="s">
        <v>171</v>
      </c>
      <c r="AS20" s="24" t="s">
        <v>172</v>
      </c>
      <c r="AT20" s="24" t="s">
        <v>173</v>
      </c>
      <c r="AU20" s="24" t="s">
        <v>176</v>
      </c>
      <c r="AV20" s="24" t="s">
        <v>177</v>
      </c>
      <c r="AW20" s="24" t="s">
        <v>178</v>
      </c>
    </row>
    <row r="21" spans="3:49" ht="13.8" x14ac:dyDescent="0.3">
      <c r="C21" s="62" t="s">
        <v>190</v>
      </c>
      <c r="D21" s="64"/>
      <c r="E21" s="67" t="s">
        <v>14</v>
      </c>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6"/>
    </row>
    <row r="23" spans="3:49" ht="15.6" x14ac:dyDescent="0.3">
      <c r="C23" s="59" t="s">
        <v>191</v>
      </c>
      <c r="D23" s="60"/>
      <c r="E23" s="60"/>
      <c r="F23" s="60"/>
      <c r="G23" s="60"/>
      <c r="H23" s="60"/>
      <c r="I23" s="60"/>
      <c r="J23" s="61"/>
    </row>
    <row r="24" spans="3:49" ht="13.8" x14ac:dyDescent="0.3">
      <c r="C24" s="62" t="s">
        <v>192</v>
      </c>
      <c r="D24" s="63"/>
      <c r="E24" s="63"/>
      <c r="F24" s="64"/>
      <c r="G24" s="69" t="s">
        <v>193</v>
      </c>
      <c r="H24" s="70"/>
      <c r="I24" s="70"/>
      <c r="J24" s="71"/>
    </row>
    <row r="25" spans="3:49" ht="13.8" x14ac:dyDescent="0.3">
      <c r="C25" s="62" t="s">
        <v>194</v>
      </c>
      <c r="D25" s="63"/>
      <c r="E25" s="63"/>
      <c r="F25" s="64"/>
      <c r="G25" s="69" t="s">
        <v>195</v>
      </c>
      <c r="H25" s="70"/>
      <c r="I25" s="70"/>
      <c r="J25" s="71"/>
    </row>
    <row r="26" spans="3:49" ht="13.8" x14ac:dyDescent="0.3">
      <c r="C26" s="62" t="s">
        <v>196</v>
      </c>
      <c r="D26" s="63"/>
      <c r="E26" s="63"/>
      <c r="F26" s="64"/>
      <c r="G26" s="69">
        <v>12345</v>
      </c>
      <c r="H26" s="70"/>
      <c r="I26" s="70"/>
      <c r="J26" s="71"/>
    </row>
    <row r="27" spans="3:49" ht="13.8" x14ac:dyDescent="0.3">
      <c r="C27" s="62" t="s">
        <v>197</v>
      </c>
      <c r="D27" s="63"/>
      <c r="E27" s="63"/>
      <c r="F27" s="64"/>
      <c r="G27" s="69">
        <v>2</v>
      </c>
      <c r="H27" s="70"/>
      <c r="I27" s="70"/>
      <c r="J27" s="71"/>
    </row>
    <row r="28" spans="3:49" ht="13.8" x14ac:dyDescent="0.3">
      <c r="C28" s="62" t="s">
        <v>198</v>
      </c>
      <c r="D28" s="63"/>
      <c r="E28" s="63"/>
      <c r="F28" s="64"/>
      <c r="G28" s="69">
        <v>31</v>
      </c>
      <c r="H28" s="70"/>
      <c r="I28" s="70"/>
      <c r="J28" s="71"/>
    </row>
    <row r="29" spans="3:49" ht="13.8" x14ac:dyDescent="0.3">
      <c r="C29" s="62" t="s">
        <v>199</v>
      </c>
      <c r="D29" s="63"/>
      <c r="E29" s="63"/>
      <c r="F29" s="64"/>
      <c r="G29" s="69">
        <v>22</v>
      </c>
      <c r="H29" s="70"/>
      <c r="I29" s="70"/>
      <c r="J29" s="71"/>
    </row>
    <row r="30" spans="3:49" ht="13.8" x14ac:dyDescent="0.3">
      <c r="C30" s="62" t="s">
        <v>200</v>
      </c>
      <c r="D30" s="63"/>
      <c r="E30" s="63"/>
      <c r="F30" s="64"/>
      <c r="G30" s="69">
        <v>30</v>
      </c>
      <c r="H30" s="70"/>
      <c r="I30" s="70"/>
      <c r="J30" s="71"/>
    </row>
    <row r="31" spans="3:49" ht="13.8" x14ac:dyDescent="0.3">
      <c r="C31" s="62" t="s">
        <v>201</v>
      </c>
      <c r="D31" s="63"/>
      <c r="E31" s="63"/>
      <c r="F31" s="64"/>
      <c r="G31" s="69">
        <v>0.1</v>
      </c>
      <c r="H31" s="70"/>
      <c r="I31" s="70"/>
      <c r="J31" s="71"/>
    </row>
    <row r="32" spans="3:49" ht="13.8" x14ac:dyDescent="0.3">
      <c r="C32" s="62" t="s">
        <v>202</v>
      </c>
      <c r="D32" s="63"/>
      <c r="E32" s="63"/>
      <c r="F32" s="64"/>
      <c r="G32" s="69">
        <v>0.6</v>
      </c>
      <c r="H32" s="70"/>
      <c r="I32" s="70"/>
      <c r="J32" s="71"/>
    </row>
    <row r="33" spans="2:14" ht="13.8" x14ac:dyDescent="0.3">
      <c r="C33" s="62" t="s">
        <v>203</v>
      </c>
      <c r="D33" s="63"/>
      <c r="E33" s="63"/>
      <c r="F33" s="64"/>
      <c r="G33" s="69">
        <v>0.01</v>
      </c>
      <c r="H33" s="70"/>
      <c r="I33" s="70"/>
      <c r="J33" s="71"/>
    </row>
    <row r="34" spans="2:14" ht="13.8" x14ac:dyDescent="0.3">
      <c r="C34" s="62" t="s">
        <v>204</v>
      </c>
      <c r="D34" s="63"/>
      <c r="E34" s="63"/>
      <c r="F34" s="64"/>
      <c r="G34" s="69">
        <v>0</v>
      </c>
      <c r="H34" s="70"/>
      <c r="I34" s="70"/>
      <c r="J34" s="71"/>
    </row>
    <row r="35" spans="2:14" ht="13.8" x14ac:dyDescent="0.3">
      <c r="C35" s="62" t="s">
        <v>205</v>
      </c>
      <c r="D35" s="63"/>
      <c r="E35" s="63"/>
      <c r="F35" s="64"/>
      <c r="G35" s="69" t="s">
        <v>206</v>
      </c>
      <c r="H35" s="70"/>
      <c r="I35" s="70"/>
      <c r="J35" s="71"/>
    </row>
    <row r="36" spans="2:14" ht="13.8" x14ac:dyDescent="0.3">
      <c r="C36" s="62" t="s">
        <v>207</v>
      </c>
      <c r="D36" s="63"/>
      <c r="E36" s="63"/>
      <c r="F36" s="64"/>
      <c r="G36" s="69" t="s">
        <v>208</v>
      </c>
      <c r="H36" s="70"/>
      <c r="I36" s="70"/>
      <c r="J36" s="71"/>
    </row>
    <row r="37" spans="2:14" ht="13.8" x14ac:dyDescent="0.3">
      <c r="C37" s="62" t="s">
        <v>209</v>
      </c>
      <c r="D37" s="63"/>
      <c r="E37" s="63"/>
      <c r="F37" s="64"/>
      <c r="G37" s="69" t="s">
        <v>208</v>
      </c>
      <c r="H37" s="70"/>
      <c r="I37" s="70"/>
      <c r="J37" s="71"/>
    </row>
    <row r="39" spans="2:14" ht="18" x14ac:dyDescent="0.35">
      <c r="B39" s="22" t="s">
        <v>210</v>
      </c>
    </row>
    <row r="41" spans="2:14" ht="15.6" x14ac:dyDescent="0.3">
      <c r="G41" s="59" t="s">
        <v>211</v>
      </c>
      <c r="H41" s="60"/>
      <c r="I41" s="60"/>
      <c r="J41" s="61"/>
      <c r="K41" s="59" t="s">
        <v>212</v>
      </c>
      <c r="L41" s="60"/>
      <c r="M41" s="60"/>
      <c r="N41" s="61"/>
    </row>
    <row r="42" spans="2:14" ht="39.6" x14ac:dyDescent="0.25">
      <c r="C42" s="20" t="s">
        <v>213</v>
      </c>
      <c r="D42" s="20" t="s">
        <v>214</v>
      </c>
      <c r="E42" s="27" t="s">
        <v>215</v>
      </c>
      <c r="F42" s="27" t="s">
        <v>216</v>
      </c>
      <c r="G42" s="20" t="s">
        <v>217</v>
      </c>
      <c r="H42" s="20" t="s">
        <v>218</v>
      </c>
      <c r="I42" s="20" t="s">
        <v>219</v>
      </c>
      <c r="J42" s="20" t="s">
        <v>220</v>
      </c>
      <c r="K42" s="20" t="s">
        <v>221</v>
      </c>
      <c r="L42" s="20" t="s">
        <v>222</v>
      </c>
      <c r="M42" s="20" t="s">
        <v>223</v>
      </c>
      <c r="N42" s="20" t="s">
        <v>224</v>
      </c>
    </row>
    <row r="43" spans="2:14" x14ac:dyDescent="0.25">
      <c r="B43" s="29" t="s">
        <v>537</v>
      </c>
      <c r="C43" s="30" t="s">
        <v>448</v>
      </c>
      <c r="D43">
        <v>1</v>
      </c>
      <c r="E43">
        <v>13</v>
      </c>
      <c r="G43">
        <v>12</v>
      </c>
      <c r="H43">
        <v>2</v>
      </c>
      <c r="I43">
        <v>99.53</v>
      </c>
      <c r="J43">
        <v>94.15</v>
      </c>
      <c r="K43">
        <v>93</v>
      </c>
      <c r="L43">
        <v>23.25</v>
      </c>
      <c r="M43">
        <v>88.93</v>
      </c>
      <c r="N43">
        <v>51.16</v>
      </c>
    </row>
    <row r="44" spans="2:14" x14ac:dyDescent="0.25">
      <c r="B44" s="29" t="s">
        <v>538</v>
      </c>
      <c r="C44" s="30" t="s">
        <v>454</v>
      </c>
      <c r="D44">
        <v>1</v>
      </c>
      <c r="E44">
        <v>19</v>
      </c>
      <c r="G44">
        <v>10</v>
      </c>
      <c r="H44">
        <v>1.67</v>
      </c>
      <c r="I44">
        <v>100</v>
      </c>
      <c r="J44">
        <v>94.15</v>
      </c>
      <c r="K44">
        <v>95</v>
      </c>
      <c r="L44">
        <v>23.75</v>
      </c>
      <c r="M44">
        <v>89.67</v>
      </c>
      <c r="N44">
        <v>48.06</v>
      </c>
    </row>
    <row r="45" spans="2:14" x14ac:dyDescent="0.25">
      <c r="B45" s="29" t="s">
        <v>539</v>
      </c>
      <c r="C45" s="30" t="s">
        <v>447</v>
      </c>
      <c r="D45">
        <v>1</v>
      </c>
      <c r="E45">
        <v>12</v>
      </c>
      <c r="G45">
        <v>10</v>
      </c>
      <c r="H45">
        <v>1.67</v>
      </c>
      <c r="I45">
        <v>100</v>
      </c>
      <c r="J45">
        <v>94.15</v>
      </c>
      <c r="K45">
        <v>97</v>
      </c>
      <c r="L45">
        <v>24.25</v>
      </c>
      <c r="M45">
        <v>88.93</v>
      </c>
      <c r="N45">
        <v>48.06</v>
      </c>
    </row>
    <row r="46" spans="2:14" x14ac:dyDescent="0.25">
      <c r="B46" s="29" t="s">
        <v>540</v>
      </c>
      <c r="C46" s="30" t="s">
        <v>443</v>
      </c>
      <c r="D46">
        <v>1</v>
      </c>
      <c r="E46">
        <v>8</v>
      </c>
      <c r="G46">
        <v>20</v>
      </c>
      <c r="H46">
        <v>3.33</v>
      </c>
      <c r="I46">
        <v>98.6</v>
      </c>
      <c r="J46">
        <v>91.81</v>
      </c>
      <c r="K46">
        <v>98</v>
      </c>
      <c r="L46">
        <v>24.5</v>
      </c>
      <c r="M46">
        <v>87.82</v>
      </c>
      <c r="N46">
        <v>49.61</v>
      </c>
    </row>
    <row r="47" spans="2:14" x14ac:dyDescent="0.25">
      <c r="B47" s="29" t="s">
        <v>541</v>
      </c>
      <c r="C47" s="30" t="s">
        <v>441</v>
      </c>
      <c r="D47">
        <v>1</v>
      </c>
      <c r="E47">
        <v>6</v>
      </c>
      <c r="G47">
        <v>33</v>
      </c>
      <c r="H47">
        <v>5.5</v>
      </c>
      <c r="I47">
        <v>97.2</v>
      </c>
      <c r="J47">
        <v>87.72</v>
      </c>
      <c r="K47">
        <v>99</v>
      </c>
      <c r="L47">
        <v>24.75</v>
      </c>
      <c r="M47">
        <v>89.67</v>
      </c>
      <c r="N47">
        <v>44.96</v>
      </c>
    </row>
    <row r="48" spans="2:14" x14ac:dyDescent="0.25">
      <c r="B48" s="29" t="s">
        <v>542</v>
      </c>
      <c r="C48" s="30" t="s">
        <v>461</v>
      </c>
      <c r="D48">
        <v>1</v>
      </c>
      <c r="E48">
        <v>26</v>
      </c>
      <c r="G48">
        <v>13</v>
      </c>
      <c r="H48">
        <v>2.17</v>
      </c>
      <c r="I48">
        <v>99.3</v>
      </c>
      <c r="J48">
        <v>94.15</v>
      </c>
      <c r="K48">
        <v>100</v>
      </c>
      <c r="L48">
        <v>25</v>
      </c>
      <c r="M48">
        <v>90.41</v>
      </c>
      <c r="N48">
        <v>42.64</v>
      </c>
    </row>
    <row r="49" spans="2:14" x14ac:dyDescent="0.25">
      <c r="B49" s="29" t="s">
        <v>543</v>
      </c>
      <c r="C49" s="30" t="s">
        <v>534</v>
      </c>
      <c r="D49">
        <v>2</v>
      </c>
      <c r="E49">
        <v>4</v>
      </c>
      <c r="F49">
        <v>2</v>
      </c>
      <c r="G49">
        <v>58</v>
      </c>
      <c r="H49">
        <v>9.67</v>
      </c>
      <c r="I49">
        <v>94.64</v>
      </c>
      <c r="J49">
        <v>79.53</v>
      </c>
      <c r="K49">
        <v>100</v>
      </c>
      <c r="L49">
        <v>25</v>
      </c>
      <c r="M49">
        <v>85.98</v>
      </c>
      <c r="N49">
        <v>51.94</v>
      </c>
    </row>
    <row r="50" spans="2:14" x14ac:dyDescent="0.25">
      <c r="B50" s="29" t="s">
        <v>544</v>
      </c>
      <c r="C50" s="30" t="s">
        <v>466</v>
      </c>
      <c r="D50">
        <v>1</v>
      </c>
      <c r="E50">
        <v>31</v>
      </c>
      <c r="G50">
        <v>14</v>
      </c>
      <c r="H50">
        <v>2.33</v>
      </c>
      <c r="I50">
        <v>99.77</v>
      </c>
      <c r="J50">
        <v>92.4</v>
      </c>
      <c r="K50">
        <v>101</v>
      </c>
      <c r="L50">
        <v>25.25</v>
      </c>
      <c r="M50">
        <v>90.77</v>
      </c>
      <c r="N50">
        <v>41.09</v>
      </c>
    </row>
    <row r="51" spans="2:14" x14ac:dyDescent="0.25">
      <c r="B51" s="29" t="s">
        <v>545</v>
      </c>
      <c r="C51" s="30" t="s">
        <v>460</v>
      </c>
      <c r="D51">
        <v>1</v>
      </c>
      <c r="E51">
        <v>25</v>
      </c>
      <c r="G51">
        <v>12</v>
      </c>
      <c r="H51">
        <v>2</v>
      </c>
      <c r="I51">
        <v>100</v>
      </c>
      <c r="J51">
        <v>92.98</v>
      </c>
      <c r="K51">
        <v>101</v>
      </c>
      <c r="L51">
        <v>25.25</v>
      </c>
      <c r="M51">
        <v>87.82</v>
      </c>
      <c r="N51">
        <v>47.29</v>
      </c>
    </row>
    <row r="52" spans="2:14" x14ac:dyDescent="0.25">
      <c r="B52" s="29" t="s">
        <v>546</v>
      </c>
      <c r="C52" s="30" t="s">
        <v>457</v>
      </c>
      <c r="D52">
        <v>1</v>
      </c>
      <c r="E52">
        <v>22</v>
      </c>
      <c r="G52">
        <v>11</v>
      </c>
      <c r="H52">
        <v>1.83</v>
      </c>
      <c r="I52">
        <v>99.77</v>
      </c>
      <c r="J52">
        <v>94.15</v>
      </c>
      <c r="K52">
        <v>101</v>
      </c>
      <c r="L52">
        <v>25.25</v>
      </c>
      <c r="M52">
        <v>86.72</v>
      </c>
      <c r="N52">
        <v>49.61</v>
      </c>
    </row>
    <row r="53" spans="2:14" x14ac:dyDescent="0.25">
      <c r="B53" s="29" t="s">
        <v>547</v>
      </c>
      <c r="C53" s="30" t="s">
        <v>463</v>
      </c>
      <c r="D53">
        <v>1</v>
      </c>
      <c r="E53">
        <v>28</v>
      </c>
      <c r="G53">
        <v>11</v>
      </c>
      <c r="H53">
        <v>1.83</v>
      </c>
      <c r="I53">
        <v>99.77</v>
      </c>
      <c r="J53">
        <v>94.15</v>
      </c>
      <c r="K53">
        <v>102</v>
      </c>
      <c r="L53">
        <v>25.5</v>
      </c>
      <c r="M53">
        <v>90.41</v>
      </c>
      <c r="N53">
        <v>41.09</v>
      </c>
    </row>
    <row r="54" spans="2:14" x14ac:dyDescent="0.25">
      <c r="B54" s="29" t="s">
        <v>548</v>
      </c>
      <c r="C54" s="30" t="s">
        <v>449</v>
      </c>
      <c r="D54">
        <v>1</v>
      </c>
      <c r="E54">
        <v>14</v>
      </c>
      <c r="G54">
        <v>15</v>
      </c>
      <c r="H54">
        <v>2.5</v>
      </c>
      <c r="I54">
        <v>99.53</v>
      </c>
      <c r="J54">
        <v>92.4</v>
      </c>
      <c r="K54">
        <v>102</v>
      </c>
      <c r="L54">
        <v>25.5</v>
      </c>
      <c r="M54">
        <v>89.3</v>
      </c>
      <c r="N54">
        <v>43.41</v>
      </c>
    </row>
    <row r="55" spans="2:14" x14ac:dyDescent="0.25">
      <c r="B55" s="29" t="s">
        <v>549</v>
      </c>
      <c r="C55" s="30" t="s">
        <v>444</v>
      </c>
      <c r="D55">
        <v>1</v>
      </c>
      <c r="E55">
        <v>9</v>
      </c>
      <c r="G55">
        <v>20</v>
      </c>
      <c r="H55">
        <v>3.33</v>
      </c>
      <c r="I55">
        <v>99.07</v>
      </c>
      <c r="J55">
        <v>90.64</v>
      </c>
      <c r="K55">
        <v>102</v>
      </c>
      <c r="L55">
        <v>25.5</v>
      </c>
      <c r="M55">
        <v>86.72</v>
      </c>
      <c r="N55">
        <v>48.84</v>
      </c>
    </row>
    <row r="56" spans="2:14" x14ac:dyDescent="0.25">
      <c r="B56" s="29" t="s">
        <v>550</v>
      </c>
      <c r="C56" s="30" t="s">
        <v>458</v>
      </c>
      <c r="D56">
        <v>1</v>
      </c>
      <c r="E56">
        <v>23</v>
      </c>
      <c r="G56">
        <v>13</v>
      </c>
      <c r="H56">
        <v>2.17</v>
      </c>
      <c r="I56">
        <v>100</v>
      </c>
      <c r="J56">
        <v>92.4</v>
      </c>
      <c r="K56">
        <v>103</v>
      </c>
      <c r="L56">
        <v>25.75</v>
      </c>
      <c r="M56">
        <v>90.41</v>
      </c>
      <c r="N56">
        <v>40.31</v>
      </c>
    </row>
    <row r="57" spans="2:14" x14ac:dyDescent="0.25">
      <c r="B57" s="29" t="s">
        <v>551</v>
      </c>
      <c r="C57" s="30" t="s">
        <v>442</v>
      </c>
      <c r="D57">
        <v>1</v>
      </c>
      <c r="E57">
        <v>7</v>
      </c>
      <c r="G57">
        <v>27</v>
      </c>
      <c r="H57">
        <v>4.5</v>
      </c>
      <c r="I57">
        <v>99.53</v>
      </c>
      <c r="J57">
        <v>85.38</v>
      </c>
      <c r="K57">
        <v>103</v>
      </c>
      <c r="L57">
        <v>25.75</v>
      </c>
      <c r="M57">
        <v>89.67</v>
      </c>
      <c r="N57">
        <v>41.86</v>
      </c>
    </row>
    <row r="58" spans="2:14" x14ac:dyDescent="0.25">
      <c r="B58" s="29" t="s">
        <v>552</v>
      </c>
      <c r="C58" s="30" t="s">
        <v>452</v>
      </c>
      <c r="D58">
        <v>1</v>
      </c>
      <c r="E58">
        <v>17</v>
      </c>
      <c r="G58">
        <v>13</v>
      </c>
      <c r="H58">
        <v>2.17</v>
      </c>
      <c r="I58">
        <v>99.77</v>
      </c>
      <c r="J58">
        <v>92.98</v>
      </c>
      <c r="K58">
        <v>103</v>
      </c>
      <c r="L58">
        <v>25.75</v>
      </c>
      <c r="M58">
        <v>88.19</v>
      </c>
      <c r="N58">
        <v>44.96</v>
      </c>
    </row>
    <row r="59" spans="2:14" x14ac:dyDescent="0.25">
      <c r="B59" s="29" t="s">
        <v>553</v>
      </c>
      <c r="C59" s="30" t="s">
        <v>446</v>
      </c>
      <c r="D59">
        <v>1</v>
      </c>
      <c r="E59">
        <v>11</v>
      </c>
      <c r="G59">
        <v>15</v>
      </c>
      <c r="H59">
        <v>2.5</v>
      </c>
      <c r="I59">
        <v>98.83</v>
      </c>
      <c r="J59">
        <v>94.15</v>
      </c>
      <c r="K59">
        <v>103</v>
      </c>
      <c r="L59">
        <v>25.75</v>
      </c>
      <c r="M59">
        <v>86.72</v>
      </c>
      <c r="N59">
        <v>48.06</v>
      </c>
    </row>
    <row r="60" spans="2:14" x14ac:dyDescent="0.25">
      <c r="B60" s="29" t="s">
        <v>554</v>
      </c>
      <c r="C60" s="30" t="s">
        <v>440</v>
      </c>
      <c r="D60">
        <v>1</v>
      </c>
      <c r="E60">
        <v>5</v>
      </c>
      <c r="G60">
        <v>43</v>
      </c>
      <c r="H60">
        <v>7.17</v>
      </c>
      <c r="I60">
        <v>97.9</v>
      </c>
      <c r="J60">
        <v>80.12</v>
      </c>
      <c r="K60">
        <v>104</v>
      </c>
      <c r="L60">
        <v>26</v>
      </c>
      <c r="M60">
        <v>90.04</v>
      </c>
      <c r="N60">
        <v>40.31</v>
      </c>
    </row>
    <row r="61" spans="2:14" x14ac:dyDescent="0.25">
      <c r="B61" s="29" t="s">
        <v>555</v>
      </c>
      <c r="C61" s="30" t="s">
        <v>516</v>
      </c>
      <c r="D61">
        <v>2</v>
      </c>
      <c r="E61">
        <v>3</v>
      </c>
      <c r="F61">
        <v>6</v>
      </c>
      <c r="G61">
        <v>74</v>
      </c>
      <c r="H61">
        <v>12.33</v>
      </c>
      <c r="I61">
        <v>93.71</v>
      </c>
      <c r="J61">
        <v>72.510000000000005</v>
      </c>
      <c r="K61">
        <v>104</v>
      </c>
      <c r="L61">
        <v>26</v>
      </c>
      <c r="M61">
        <v>88.19</v>
      </c>
      <c r="N61">
        <v>44.19</v>
      </c>
    </row>
    <row r="62" spans="2:14" x14ac:dyDescent="0.25">
      <c r="B62" s="29" t="s">
        <v>556</v>
      </c>
      <c r="C62" s="30" t="s">
        <v>453</v>
      </c>
      <c r="D62">
        <v>1</v>
      </c>
      <c r="E62">
        <v>18</v>
      </c>
      <c r="G62">
        <v>14</v>
      </c>
      <c r="H62">
        <v>2.33</v>
      </c>
      <c r="I62">
        <v>99.07</v>
      </c>
      <c r="J62">
        <v>94.15</v>
      </c>
      <c r="K62">
        <v>104</v>
      </c>
      <c r="L62">
        <v>26</v>
      </c>
      <c r="M62">
        <v>87.08</v>
      </c>
      <c r="N62">
        <v>46.51</v>
      </c>
    </row>
    <row r="63" spans="2:14" x14ac:dyDescent="0.25">
      <c r="B63" s="29" t="s">
        <v>557</v>
      </c>
      <c r="C63" s="30" t="s">
        <v>504</v>
      </c>
      <c r="D63">
        <v>2</v>
      </c>
      <c r="E63">
        <v>2</v>
      </c>
      <c r="F63">
        <v>16</v>
      </c>
      <c r="G63">
        <v>80</v>
      </c>
      <c r="H63">
        <v>13.33</v>
      </c>
      <c r="I63">
        <v>93.47</v>
      </c>
      <c r="J63">
        <v>69.59</v>
      </c>
      <c r="K63">
        <v>104</v>
      </c>
      <c r="L63">
        <v>26</v>
      </c>
      <c r="M63">
        <v>87.08</v>
      </c>
      <c r="N63">
        <v>46.51</v>
      </c>
    </row>
    <row r="64" spans="2:14" x14ac:dyDescent="0.25">
      <c r="B64" s="29" t="s">
        <v>558</v>
      </c>
      <c r="C64" s="30" t="s">
        <v>506</v>
      </c>
      <c r="D64">
        <v>2</v>
      </c>
      <c r="E64">
        <v>2</v>
      </c>
      <c r="F64">
        <v>18</v>
      </c>
      <c r="G64">
        <v>80</v>
      </c>
      <c r="H64">
        <v>13.33</v>
      </c>
      <c r="I64">
        <v>93.71</v>
      </c>
      <c r="J64">
        <v>69.010000000000005</v>
      </c>
      <c r="K64">
        <v>104</v>
      </c>
      <c r="L64">
        <v>26</v>
      </c>
      <c r="M64">
        <v>86.72</v>
      </c>
      <c r="N64">
        <v>47.29</v>
      </c>
    </row>
    <row r="65" spans="2:14" x14ac:dyDescent="0.25">
      <c r="B65" s="29" t="s">
        <v>559</v>
      </c>
      <c r="C65" s="30" t="s">
        <v>455</v>
      </c>
      <c r="D65">
        <v>1</v>
      </c>
      <c r="E65">
        <v>20</v>
      </c>
      <c r="G65">
        <v>21</v>
      </c>
      <c r="H65">
        <v>3.5</v>
      </c>
      <c r="I65">
        <v>99.3</v>
      </c>
      <c r="J65">
        <v>89.47</v>
      </c>
      <c r="K65">
        <v>104</v>
      </c>
      <c r="L65">
        <v>26</v>
      </c>
      <c r="M65">
        <v>86.35</v>
      </c>
      <c r="N65">
        <v>48.06</v>
      </c>
    </row>
    <row r="66" spans="2:14" x14ac:dyDescent="0.25">
      <c r="B66" s="29" t="s">
        <v>560</v>
      </c>
      <c r="C66" s="30" t="s">
        <v>459</v>
      </c>
      <c r="D66">
        <v>1</v>
      </c>
      <c r="E66">
        <v>24</v>
      </c>
      <c r="G66">
        <v>11</v>
      </c>
      <c r="H66">
        <v>1.83</v>
      </c>
      <c r="I66">
        <v>99.53</v>
      </c>
      <c r="J66">
        <v>94.74</v>
      </c>
      <c r="K66">
        <v>104</v>
      </c>
      <c r="L66">
        <v>26</v>
      </c>
      <c r="M66">
        <v>84.13</v>
      </c>
      <c r="N66">
        <v>52.71</v>
      </c>
    </row>
    <row r="67" spans="2:14" x14ac:dyDescent="0.25">
      <c r="B67" s="29" t="s">
        <v>561</v>
      </c>
      <c r="C67" s="30" t="s">
        <v>464</v>
      </c>
      <c r="D67">
        <v>1</v>
      </c>
      <c r="E67">
        <v>29</v>
      </c>
      <c r="G67">
        <v>13</v>
      </c>
      <c r="H67">
        <v>2.17</v>
      </c>
      <c r="I67">
        <v>99.3</v>
      </c>
      <c r="J67">
        <v>94.15</v>
      </c>
      <c r="K67">
        <v>105</v>
      </c>
      <c r="L67">
        <v>26.25</v>
      </c>
      <c r="M67">
        <v>88.56</v>
      </c>
      <c r="N67">
        <v>42.64</v>
      </c>
    </row>
    <row r="68" spans="2:14" x14ac:dyDescent="0.25">
      <c r="B68" s="29" t="s">
        <v>562</v>
      </c>
      <c r="C68" s="30" t="s">
        <v>524</v>
      </c>
      <c r="D68">
        <v>2</v>
      </c>
      <c r="E68">
        <v>3</v>
      </c>
      <c r="F68">
        <v>14</v>
      </c>
      <c r="G68">
        <v>79</v>
      </c>
      <c r="H68">
        <v>13.17</v>
      </c>
      <c r="I68">
        <v>92.54</v>
      </c>
      <c r="J68">
        <v>72.510000000000005</v>
      </c>
      <c r="K68">
        <v>105</v>
      </c>
      <c r="L68">
        <v>26.25</v>
      </c>
      <c r="M68">
        <v>84.87</v>
      </c>
      <c r="N68">
        <v>50.39</v>
      </c>
    </row>
    <row r="69" spans="2:14" x14ac:dyDescent="0.25">
      <c r="B69" s="29" t="s">
        <v>563</v>
      </c>
      <c r="C69" s="30" t="s">
        <v>517</v>
      </c>
      <c r="D69">
        <v>2</v>
      </c>
      <c r="E69">
        <v>3</v>
      </c>
      <c r="F69">
        <v>7</v>
      </c>
      <c r="G69">
        <v>85</v>
      </c>
      <c r="H69">
        <v>14.17</v>
      </c>
      <c r="I69">
        <v>88.81</v>
      </c>
      <c r="J69">
        <v>78.36</v>
      </c>
      <c r="K69">
        <v>105</v>
      </c>
      <c r="L69">
        <v>26.25</v>
      </c>
      <c r="M69">
        <v>83.76</v>
      </c>
      <c r="N69">
        <v>52.71</v>
      </c>
    </row>
    <row r="70" spans="2:14" x14ac:dyDescent="0.25">
      <c r="B70" s="29" t="s">
        <v>564</v>
      </c>
      <c r="C70" s="30" t="s">
        <v>532</v>
      </c>
      <c r="D70">
        <v>2</v>
      </c>
      <c r="E70">
        <v>3</v>
      </c>
      <c r="F70">
        <v>22</v>
      </c>
      <c r="G70">
        <v>66</v>
      </c>
      <c r="H70">
        <v>11</v>
      </c>
      <c r="I70">
        <v>89.74</v>
      </c>
      <c r="J70">
        <v>87.13</v>
      </c>
      <c r="K70">
        <v>105</v>
      </c>
      <c r="L70">
        <v>26.25</v>
      </c>
      <c r="M70">
        <v>80.81</v>
      </c>
      <c r="N70">
        <v>58.91</v>
      </c>
    </row>
    <row r="71" spans="2:14" x14ac:dyDescent="0.25">
      <c r="B71" s="29" t="s">
        <v>565</v>
      </c>
      <c r="C71" s="30" t="s">
        <v>491</v>
      </c>
      <c r="D71">
        <v>2</v>
      </c>
      <c r="E71">
        <v>2</v>
      </c>
      <c r="F71">
        <v>3</v>
      </c>
      <c r="G71">
        <v>83</v>
      </c>
      <c r="H71">
        <v>13.83</v>
      </c>
      <c r="I71">
        <v>94.87</v>
      </c>
      <c r="J71">
        <v>64.33</v>
      </c>
      <c r="K71">
        <v>106</v>
      </c>
      <c r="L71">
        <v>26.5</v>
      </c>
      <c r="M71">
        <v>86.72</v>
      </c>
      <c r="N71">
        <v>45.74</v>
      </c>
    </row>
    <row r="72" spans="2:14" x14ac:dyDescent="0.25">
      <c r="B72" s="29" t="s">
        <v>566</v>
      </c>
      <c r="C72" s="30" t="s">
        <v>450</v>
      </c>
      <c r="D72">
        <v>1</v>
      </c>
      <c r="E72">
        <v>15</v>
      </c>
      <c r="G72">
        <v>9</v>
      </c>
      <c r="H72">
        <v>1.5</v>
      </c>
      <c r="I72">
        <v>99.77</v>
      </c>
      <c r="J72">
        <v>95.32</v>
      </c>
      <c r="K72">
        <v>106</v>
      </c>
      <c r="L72">
        <v>26.5</v>
      </c>
      <c r="M72">
        <v>85.61</v>
      </c>
      <c r="N72">
        <v>48.06</v>
      </c>
    </row>
    <row r="73" spans="2:14" x14ac:dyDescent="0.25">
      <c r="B73" s="29" t="s">
        <v>567</v>
      </c>
      <c r="C73" s="30" t="s">
        <v>507</v>
      </c>
      <c r="D73">
        <v>2</v>
      </c>
      <c r="E73">
        <v>2</v>
      </c>
      <c r="F73">
        <v>19</v>
      </c>
      <c r="G73">
        <v>73</v>
      </c>
      <c r="H73">
        <v>12.17</v>
      </c>
      <c r="I73">
        <v>97.2</v>
      </c>
      <c r="J73">
        <v>64.33</v>
      </c>
      <c r="K73">
        <v>107</v>
      </c>
      <c r="L73">
        <v>26.75</v>
      </c>
      <c r="M73">
        <v>89.3</v>
      </c>
      <c r="N73">
        <v>39.53</v>
      </c>
    </row>
    <row r="74" spans="2:14" x14ac:dyDescent="0.25">
      <c r="B74" s="29" t="s">
        <v>568</v>
      </c>
      <c r="C74" s="30" t="s">
        <v>451</v>
      </c>
      <c r="D74">
        <v>1</v>
      </c>
      <c r="E74">
        <v>16</v>
      </c>
      <c r="G74">
        <v>15</v>
      </c>
      <c r="H74">
        <v>2.5</v>
      </c>
      <c r="I74">
        <v>99.53</v>
      </c>
      <c r="J74">
        <v>92.4</v>
      </c>
      <c r="K74">
        <v>107</v>
      </c>
      <c r="L74">
        <v>26.75</v>
      </c>
      <c r="M74">
        <v>88.56</v>
      </c>
      <c r="N74">
        <v>41.09</v>
      </c>
    </row>
    <row r="75" spans="2:14" x14ac:dyDescent="0.25">
      <c r="B75" s="29" t="s">
        <v>569</v>
      </c>
      <c r="C75" s="30" t="s">
        <v>501</v>
      </c>
      <c r="D75">
        <v>2</v>
      </c>
      <c r="E75">
        <v>2</v>
      </c>
      <c r="F75">
        <v>13</v>
      </c>
      <c r="G75">
        <v>72</v>
      </c>
      <c r="H75">
        <v>12</v>
      </c>
      <c r="I75">
        <v>96.97</v>
      </c>
      <c r="J75">
        <v>65.5</v>
      </c>
      <c r="K75">
        <v>107</v>
      </c>
      <c r="L75">
        <v>26.75</v>
      </c>
      <c r="M75">
        <v>88.56</v>
      </c>
      <c r="N75">
        <v>41.09</v>
      </c>
    </row>
    <row r="76" spans="2:14" x14ac:dyDescent="0.25">
      <c r="B76" s="29" t="s">
        <v>570</v>
      </c>
      <c r="C76" s="30" t="s">
        <v>528</v>
      </c>
      <c r="D76">
        <v>2</v>
      </c>
      <c r="E76">
        <v>3</v>
      </c>
      <c r="F76">
        <v>18</v>
      </c>
      <c r="G76">
        <v>77</v>
      </c>
      <c r="H76">
        <v>12.83</v>
      </c>
      <c r="I76">
        <v>93.71</v>
      </c>
      <c r="J76">
        <v>70.760000000000005</v>
      </c>
      <c r="K76">
        <v>107</v>
      </c>
      <c r="L76">
        <v>26.75</v>
      </c>
      <c r="M76">
        <v>87.45</v>
      </c>
      <c r="N76">
        <v>43.41</v>
      </c>
    </row>
    <row r="77" spans="2:14" x14ac:dyDescent="0.25">
      <c r="B77" s="29" t="s">
        <v>571</v>
      </c>
      <c r="C77" s="30" t="s">
        <v>493</v>
      </c>
      <c r="D77">
        <v>2</v>
      </c>
      <c r="E77">
        <v>2</v>
      </c>
      <c r="F77">
        <v>5</v>
      </c>
      <c r="G77">
        <v>81</v>
      </c>
      <c r="H77">
        <v>13.5</v>
      </c>
      <c r="I77">
        <v>94.87</v>
      </c>
      <c r="J77">
        <v>65.5</v>
      </c>
      <c r="K77">
        <v>107</v>
      </c>
      <c r="L77">
        <v>26.75</v>
      </c>
      <c r="M77">
        <v>87.08</v>
      </c>
      <c r="N77">
        <v>44.19</v>
      </c>
    </row>
    <row r="78" spans="2:14" x14ac:dyDescent="0.25">
      <c r="B78" s="29" t="s">
        <v>572</v>
      </c>
      <c r="C78" s="30" t="s">
        <v>511</v>
      </c>
      <c r="D78">
        <v>2</v>
      </c>
      <c r="E78">
        <v>3</v>
      </c>
      <c r="F78">
        <v>1</v>
      </c>
      <c r="G78">
        <v>79</v>
      </c>
      <c r="H78">
        <v>13.17</v>
      </c>
      <c r="I78">
        <v>91.61</v>
      </c>
      <c r="J78">
        <v>74.849999999999994</v>
      </c>
      <c r="K78">
        <v>107</v>
      </c>
      <c r="L78">
        <v>26.75</v>
      </c>
      <c r="M78">
        <v>86.35</v>
      </c>
      <c r="N78">
        <v>45.74</v>
      </c>
    </row>
    <row r="79" spans="2:14" x14ac:dyDescent="0.25">
      <c r="B79" s="29" t="s">
        <v>573</v>
      </c>
      <c r="C79" s="30" t="s">
        <v>437</v>
      </c>
      <c r="D79">
        <v>1</v>
      </c>
      <c r="E79">
        <v>2</v>
      </c>
      <c r="G79">
        <v>80</v>
      </c>
      <c r="H79">
        <v>13.33</v>
      </c>
      <c r="I79">
        <v>92.31</v>
      </c>
      <c r="J79">
        <v>72.510000000000005</v>
      </c>
      <c r="K79">
        <v>107</v>
      </c>
      <c r="L79">
        <v>26.75</v>
      </c>
      <c r="M79">
        <v>84.13</v>
      </c>
      <c r="N79">
        <v>50.39</v>
      </c>
    </row>
    <row r="80" spans="2:14" x14ac:dyDescent="0.25">
      <c r="B80" s="29" t="s">
        <v>574</v>
      </c>
      <c r="C80" s="30" t="s">
        <v>508</v>
      </c>
      <c r="D80">
        <v>2</v>
      </c>
      <c r="E80">
        <v>2</v>
      </c>
      <c r="F80">
        <v>20</v>
      </c>
      <c r="G80">
        <v>92</v>
      </c>
      <c r="H80">
        <v>15.33</v>
      </c>
      <c r="I80">
        <v>93.47</v>
      </c>
      <c r="J80">
        <v>62.57</v>
      </c>
      <c r="K80">
        <v>108</v>
      </c>
      <c r="L80">
        <v>27</v>
      </c>
      <c r="M80">
        <v>87.08</v>
      </c>
      <c r="N80">
        <v>43.41</v>
      </c>
    </row>
    <row r="81" spans="2:14" x14ac:dyDescent="0.25">
      <c r="B81" s="29" t="s">
        <v>575</v>
      </c>
      <c r="C81" s="31" t="s">
        <v>438</v>
      </c>
      <c r="D81">
        <v>1</v>
      </c>
      <c r="E81">
        <v>3</v>
      </c>
      <c r="G81">
        <v>74</v>
      </c>
      <c r="H81">
        <v>12.33</v>
      </c>
      <c r="I81">
        <v>94.41</v>
      </c>
      <c r="J81">
        <v>70.760000000000005</v>
      </c>
      <c r="K81">
        <v>108</v>
      </c>
      <c r="L81">
        <v>27</v>
      </c>
      <c r="M81">
        <v>86.72</v>
      </c>
      <c r="N81">
        <v>44.19</v>
      </c>
    </row>
    <row r="82" spans="2:14" x14ac:dyDescent="0.25">
      <c r="B82" s="29" t="s">
        <v>576</v>
      </c>
      <c r="C82" s="30" t="s">
        <v>456</v>
      </c>
      <c r="D82">
        <v>1</v>
      </c>
      <c r="E82">
        <v>21</v>
      </c>
      <c r="G82">
        <v>16</v>
      </c>
      <c r="H82">
        <v>2.67</v>
      </c>
      <c r="I82">
        <v>99.53</v>
      </c>
      <c r="J82">
        <v>91.81</v>
      </c>
      <c r="K82">
        <v>108</v>
      </c>
      <c r="L82">
        <v>27</v>
      </c>
      <c r="M82">
        <v>86.35</v>
      </c>
      <c r="N82">
        <v>44.96</v>
      </c>
    </row>
    <row r="83" spans="2:14" x14ac:dyDescent="0.25">
      <c r="B83" s="29" t="s">
        <v>577</v>
      </c>
      <c r="C83" s="30" t="s">
        <v>445</v>
      </c>
      <c r="D83">
        <v>1</v>
      </c>
      <c r="E83">
        <v>10</v>
      </c>
      <c r="G83">
        <v>17</v>
      </c>
      <c r="H83">
        <v>2.83</v>
      </c>
      <c r="I83">
        <v>99.3</v>
      </c>
      <c r="J83">
        <v>91.81</v>
      </c>
      <c r="K83">
        <v>109</v>
      </c>
      <c r="L83">
        <v>27.25</v>
      </c>
      <c r="M83">
        <v>87.45</v>
      </c>
      <c r="N83">
        <v>41.86</v>
      </c>
    </row>
    <row r="84" spans="2:14" x14ac:dyDescent="0.25">
      <c r="B84" s="29" t="s">
        <v>578</v>
      </c>
      <c r="C84" s="30" t="s">
        <v>510</v>
      </c>
      <c r="D84">
        <v>2</v>
      </c>
      <c r="E84">
        <v>2</v>
      </c>
      <c r="F84">
        <v>22</v>
      </c>
      <c r="G84">
        <v>81</v>
      </c>
      <c r="H84">
        <v>13.5</v>
      </c>
      <c r="I84">
        <v>93.94</v>
      </c>
      <c r="J84">
        <v>67.84</v>
      </c>
      <c r="K84">
        <v>110</v>
      </c>
      <c r="L84">
        <v>27.5</v>
      </c>
      <c r="M84">
        <v>86.35</v>
      </c>
      <c r="N84">
        <v>43.41</v>
      </c>
    </row>
    <row r="85" spans="2:14" x14ac:dyDescent="0.25">
      <c r="B85" s="29" t="s">
        <v>579</v>
      </c>
      <c r="C85" s="30" t="s">
        <v>513</v>
      </c>
      <c r="D85">
        <v>2</v>
      </c>
      <c r="E85">
        <v>3</v>
      </c>
      <c r="F85">
        <v>3</v>
      </c>
      <c r="G85">
        <v>84</v>
      </c>
      <c r="H85">
        <v>14</v>
      </c>
      <c r="I85">
        <v>90.91</v>
      </c>
      <c r="J85">
        <v>73.680000000000007</v>
      </c>
      <c r="K85">
        <v>110</v>
      </c>
      <c r="L85">
        <v>27.5</v>
      </c>
      <c r="M85">
        <v>83.03</v>
      </c>
      <c r="N85">
        <v>50.39</v>
      </c>
    </row>
    <row r="86" spans="2:14" x14ac:dyDescent="0.25">
      <c r="B86" s="29" t="s">
        <v>580</v>
      </c>
      <c r="C86" s="30" t="s">
        <v>468</v>
      </c>
      <c r="D86">
        <v>2</v>
      </c>
      <c r="E86">
        <v>1</v>
      </c>
      <c r="F86">
        <v>2</v>
      </c>
      <c r="G86">
        <v>108</v>
      </c>
      <c r="H86">
        <v>18</v>
      </c>
      <c r="I86">
        <v>85.78</v>
      </c>
      <c r="J86">
        <v>72.510000000000005</v>
      </c>
      <c r="K86">
        <v>110</v>
      </c>
      <c r="L86">
        <v>27.5</v>
      </c>
      <c r="M86">
        <v>81.92</v>
      </c>
      <c r="N86">
        <v>52.71</v>
      </c>
    </row>
    <row r="87" spans="2:14" x14ac:dyDescent="0.25">
      <c r="B87" s="29" t="s">
        <v>581</v>
      </c>
      <c r="C87" s="30" t="s">
        <v>462</v>
      </c>
      <c r="D87">
        <v>1</v>
      </c>
      <c r="E87">
        <v>27</v>
      </c>
      <c r="G87">
        <v>11</v>
      </c>
      <c r="H87">
        <v>1.83</v>
      </c>
      <c r="I87">
        <v>100</v>
      </c>
      <c r="J87">
        <v>93.57</v>
      </c>
      <c r="K87">
        <v>111</v>
      </c>
      <c r="L87">
        <v>27.75</v>
      </c>
      <c r="M87">
        <v>86.72</v>
      </c>
      <c r="N87">
        <v>41.86</v>
      </c>
    </row>
    <row r="88" spans="2:14" x14ac:dyDescent="0.25">
      <c r="B88" s="29" t="s">
        <v>582</v>
      </c>
      <c r="C88" s="30" t="s">
        <v>465</v>
      </c>
      <c r="D88">
        <v>1</v>
      </c>
      <c r="E88">
        <v>30</v>
      </c>
      <c r="G88">
        <v>12</v>
      </c>
      <c r="H88">
        <v>2</v>
      </c>
      <c r="I88">
        <v>99.77</v>
      </c>
      <c r="J88">
        <v>93.57</v>
      </c>
      <c r="K88">
        <v>111</v>
      </c>
      <c r="L88">
        <v>27.75</v>
      </c>
      <c r="M88">
        <v>86.72</v>
      </c>
      <c r="N88">
        <v>41.86</v>
      </c>
    </row>
    <row r="89" spans="2:14" x14ac:dyDescent="0.25">
      <c r="B89" s="29" t="s">
        <v>583</v>
      </c>
      <c r="C89" s="30" t="s">
        <v>497</v>
      </c>
      <c r="D89">
        <v>2</v>
      </c>
      <c r="E89">
        <v>2</v>
      </c>
      <c r="F89">
        <v>9</v>
      </c>
      <c r="G89">
        <v>79</v>
      </c>
      <c r="H89">
        <v>13.17</v>
      </c>
      <c r="I89">
        <v>93.94</v>
      </c>
      <c r="J89">
        <v>69.010000000000005</v>
      </c>
      <c r="K89">
        <v>111</v>
      </c>
      <c r="L89">
        <v>27.75</v>
      </c>
      <c r="M89">
        <v>86.35</v>
      </c>
      <c r="N89">
        <v>42.64</v>
      </c>
    </row>
    <row r="90" spans="2:14" x14ac:dyDescent="0.25">
      <c r="B90" s="29" t="s">
        <v>584</v>
      </c>
      <c r="C90" s="30" t="s">
        <v>495</v>
      </c>
      <c r="D90">
        <v>2</v>
      </c>
      <c r="E90">
        <v>2</v>
      </c>
      <c r="F90">
        <v>7</v>
      </c>
      <c r="G90">
        <v>89</v>
      </c>
      <c r="H90">
        <v>14.83</v>
      </c>
      <c r="I90">
        <v>93.71</v>
      </c>
      <c r="J90">
        <v>63.74</v>
      </c>
      <c r="K90">
        <v>111</v>
      </c>
      <c r="L90">
        <v>27.75</v>
      </c>
      <c r="M90">
        <v>85.98</v>
      </c>
      <c r="N90">
        <v>43.41</v>
      </c>
    </row>
    <row r="91" spans="2:14" x14ac:dyDescent="0.25">
      <c r="B91" s="29" t="s">
        <v>585</v>
      </c>
      <c r="C91" s="30" t="s">
        <v>533</v>
      </c>
      <c r="D91">
        <v>2</v>
      </c>
      <c r="E91">
        <v>4</v>
      </c>
      <c r="F91">
        <v>1</v>
      </c>
      <c r="G91">
        <v>42</v>
      </c>
      <c r="H91">
        <v>7</v>
      </c>
      <c r="I91">
        <v>96.27</v>
      </c>
      <c r="J91">
        <v>84.8</v>
      </c>
      <c r="K91">
        <v>111</v>
      </c>
      <c r="L91">
        <v>27.75</v>
      </c>
      <c r="M91">
        <v>85.24</v>
      </c>
      <c r="N91">
        <v>44.96</v>
      </c>
    </row>
    <row r="92" spans="2:14" x14ac:dyDescent="0.25">
      <c r="B92" s="29" t="s">
        <v>586</v>
      </c>
      <c r="C92" s="30" t="s">
        <v>515</v>
      </c>
      <c r="D92">
        <v>2</v>
      </c>
      <c r="E92">
        <v>3</v>
      </c>
      <c r="F92">
        <v>5</v>
      </c>
      <c r="G92">
        <v>61</v>
      </c>
      <c r="H92">
        <v>10.17</v>
      </c>
      <c r="I92">
        <v>93.47</v>
      </c>
      <c r="J92">
        <v>80.7</v>
      </c>
      <c r="K92">
        <v>111</v>
      </c>
      <c r="L92">
        <v>27.75</v>
      </c>
      <c r="M92">
        <v>83.39</v>
      </c>
      <c r="N92">
        <v>48.84</v>
      </c>
    </row>
    <row r="93" spans="2:14" x14ac:dyDescent="0.25">
      <c r="B93" s="29" t="s">
        <v>587</v>
      </c>
      <c r="C93" s="30" t="s">
        <v>474</v>
      </c>
      <c r="D93">
        <v>2</v>
      </c>
      <c r="E93">
        <v>1</v>
      </c>
      <c r="F93">
        <v>8</v>
      </c>
      <c r="G93">
        <v>103</v>
      </c>
      <c r="H93">
        <v>17.170000000000002</v>
      </c>
      <c r="I93">
        <v>86.95</v>
      </c>
      <c r="J93">
        <v>72.510000000000005</v>
      </c>
      <c r="K93">
        <v>111</v>
      </c>
      <c r="L93">
        <v>27.75</v>
      </c>
      <c r="M93">
        <v>80.81</v>
      </c>
      <c r="N93">
        <v>54.26</v>
      </c>
    </row>
    <row r="94" spans="2:14" x14ac:dyDescent="0.25">
      <c r="B94" s="29" t="s">
        <v>588</v>
      </c>
      <c r="C94" s="30" t="s">
        <v>480</v>
      </c>
      <c r="D94">
        <v>2</v>
      </c>
      <c r="E94">
        <v>1</v>
      </c>
      <c r="F94">
        <v>14</v>
      </c>
      <c r="G94">
        <v>98</v>
      </c>
      <c r="H94">
        <v>16.329999999999998</v>
      </c>
      <c r="I94">
        <v>86.25</v>
      </c>
      <c r="J94">
        <v>77.19</v>
      </c>
      <c r="K94">
        <v>111</v>
      </c>
      <c r="L94">
        <v>27.75</v>
      </c>
      <c r="M94">
        <v>80.069999999999993</v>
      </c>
      <c r="N94">
        <v>55.81</v>
      </c>
    </row>
    <row r="95" spans="2:14" x14ac:dyDescent="0.25">
      <c r="B95" s="29" t="s">
        <v>589</v>
      </c>
      <c r="C95" s="30" t="s">
        <v>482</v>
      </c>
      <c r="D95">
        <v>2</v>
      </c>
      <c r="E95">
        <v>1</v>
      </c>
      <c r="F95">
        <v>16</v>
      </c>
      <c r="G95">
        <v>99</v>
      </c>
      <c r="H95">
        <v>16.5</v>
      </c>
      <c r="I95">
        <v>86.01</v>
      </c>
      <c r="J95">
        <v>77.19</v>
      </c>
      <c r="K95">
        <v>111</v>
      </c>
      <c r="L95">
        <v>27.75</v>
      </c>
      <c r="M95">
        <v>80.069999999999993</v>
      </c>
      <c r="N95">
        <v>55.81</v>
      </c>
    </row>
    <row r="96" spans="2:14" x14ac:dyDescent="0.25">
      <c r="B96" s="29" t="s">
        <v>590</v>
      </c>
      <c r="C96" s="30" t="s">
        <v>472</v>
      </c>
      <c r="D96">
        <v>2</v>
      </c>
      <c r="E96">
        <v>1</v>
      </c>
      <c r="F96">
        <v>6</v>
      </c>
      <c r="G96">
        <v>100</v>
      </c>
      <c r="H96">
        <v>16.670000000000002</v>
      </c>
      <c r="I96">
        <v>85.55</v>
      </c>
      <c r="J96">
        <v>77.78</v>
      </c>
      <c r="K96">
        <v>111</v>
      </c>
      <c r="L96">
        <v>27.75</v>
      </c>
      <c r="M96">
        <v>79.34</v>
      </c>
      <c r="N96">
        <v>57.36</v>
      </c>
    </row>
    <row r="97" spans="2:14" x14ac:dyDescent="0.25">
      <c r="B97" s="29" t="s">
        <v>591</v>
      </c>
      <c r="C97" s="30" t="s">
        <v>503</v>
      </c>
      <c r="D97">
        <v>2</v>
      </c>
      <c r="E97">
        <v>2</v>
      </c>
      <c r="F97">
        <v>15</v>
      </c>
      <c r="G97">
        <v>72</v>
      </c>
      <c r="H97">
        <v>12</v>
      </c>
      <c r="I97">
        <v>97.2</v>
      </c>
      <c r="J97">
        <v>64.91</v>
      </c>
      <c r="K97">
        <v>112</v>
      </c>
      <c r="L97">
        <v>28</v>
      </c>
      <c r="M97">
        <v>88.93</v>
      </c>
      <c r="N97">
        <v>36.43</v>
      </c>
    </row>
    <row r="98" spans="2:14" x14ac:dyDescent="0.25">
      <c r="B98" s="29" t="s">
        <v>592</v>
      </c>
      <c r="C98" s="30" t="s">
        <v>535</v>
      </c>
      <c r="D98">
        <v>2</v>
      </c>
      <c r="E98">
        <v>4</v>
      </c>
      <c r="F98">
        <v>3</v>
      </c>
      <c r="G98">
        <v>62</v>
      </c>
      <c r="H98">
        <v>10.33</v>
      </c>
      <c r="I98">
        <v>95.34</v>
      </c>
      <c r="J98">
        <v>75.44</v>
      </c>
      <c r="K98">
        <v>112</v>
      </c>
      <c r="L98">
        <v>28</v>
      </c>
      <c r="M98">
        <v>87.45</v>
      </c>
      <c r="N98">
        <v>39.53</v>
      </c>
    </row>
    <row r="99" spans="2:14" x14ac:dyDescent="0.25">
      <c r="B99" s="29" t="s">
        <v>593</v>
      </c>
      <c r="C99" s="30" t="s">
        <v>525</v>
      </c>
      <c r="D99">
        <v>2</v>
      </c>
      <c r="E99">
        <v>3</v>
      </c>
      <c r="F99">
        <v>15</v>
      </c>
      <c r="G99">
        <v>82</v>
      </c>
      <c r="H99">
        <v>13.67</v>
      </c>
      <c r="I99">
        <v>94.41</v>
      </c>
      <c r="J99">
        <v>66.08</v>
      </c>
      <c r="K99">
        <v>112</v>
      </c>
      <c r="L99">
        <v>28</v>
      </c>
      <c r="M99">
        <v>87.08</v>
      </c>
      <c r="N99">
        <v>40.31</v>
      </c>
    </row>
    <row r="100" spans="2:14" x14ac:dyDescent="0.25">
      <c r="B100" s="29" t="s">
        <v>594</v>
      </c>
      <c r="C100" s="30" t="s">
        <v>509</v>
      </c>
      <c r="D100">
        <v>2</v>
      </c>
      <c r="E100">
        <v>2</v>
      </c>
      <c r="F100">
        <v>21</v>
      </c>
      <c r="G100">
        <v>78</v>
      </c>
      <c r="H100">
        <v>13</v>
      </c>
      <c r="I100">
        <v>95.1</v>
      </c>
      <c r="J100">
        <v>66.67</v>
      </c>
      <c r="K100">
        <v>112</v>
      </c>
      <c r="L100">
        <v>28</v>
      </c>
      <c r="M100">
        <v>86.72</v>
      </c>
      <c r="N100">
        <v>41.09</v>
      </c>
    </row>
    <row r="101" spans="2:14" x14ac:dyDescent="0.25">
      <c r="B101" s="29" t="s">
        <v>595</v>
      </c>
      <c r="C101" s="30" t="s">
        <v>498</v>
      </c>
      <c r="D101">
        <v>2</v>
      </c>
      <c r="E101">
        <v>2</v>
      </c>
      <c r="F101">
        <v>10</v>
      </c>
      <c r="G101">
        <v>98</v>
      </c>
      <c r="H101">
        <v>16.329999999999998</v>
      </c>
      <c r="I101">
        <v>90.68</v>
      </c>
      <c r="J101">
        <v>66.08</v>
      </c>
      <c r="K101">
        <v>112</v>
      </c>
      <c r="L101">
        <v>28</v>
      </c>
      <c r="M101">
        <v>82.66</v>
      </c>
      <c r="N101">
        <v>49.61</v>
      </c>
    </row>
    <row r="102" spans="2:14" x14ac:dyDescent="0.25">
      <c r="B102" s="29" t="s">
        <v>596</v>
      </c>
      <c r="C102" s="30" t="s">
        <v>518</v>
      </c>
      <c r="D102">
        <v>2</v>
      </c>
      <c r="E102">
        <v>3</v>
      </c>
      <c r="F102">
        <v>8</v>
      </c>
      <c r="G102">
        <v>65</v>
      </c>
      <c r="H102">
        <v>10.83</v>
      </c>
      <c r="I102">
        <v>90.91</v>
      </c>
      <c r="J102">
        <v>84.8</v>
      </c>
      <c r="K102">
        <v>112</v>
      </c>
      <c r="L102">
        <v>28</v>
      </c>
      <c r="M102">
        <v>80.44</v>
      </c>
      <c r="N102">
        <v>54.26</v>
      </c>
    </row>
    <row r="103" spans="2:14" x14ac:dyDescent="0.25">
      <c r="B103" s="29" t="s">
        <v>597</v>
      </c>
      <c r="C103" s="30" t="s">
        <v>477</v>
      </c>
      <c r="D103">
        <v>2</v>
      </c>
      <c r="E103">
        <v>1</v>
      </c>
      <c r="F103">
        <v>11</v>
      </c>
      <c r="G103">
        <v>97</v>
      </c>
      <c r="H103">
        <v>16.170000000000002</v>
      </c>
      <c r="I103">
        <v>86.25</v>
      </c>
      <c r="J103">
        <v>77.78</v>
      </c>
      <c r="K103">
        <v>112</v>
      </c>
      <c r="L103">
        <v>28</v>
      </c>
      <c r="M103">
        <v>79.7</v>
      </c>
      <c r="N103">
        <v>55.81</v>
      </c>
    </row>
    <row r="104" spans="2:14" x14ac:dyDescent="0.25">
      <c r="B104" s="29" t="s">
        <v>598</v>
      </c>
      <c r="C104" s="30" t="s">
        <v>478</v>
      </c>
      <c r="D104">
        <v>2</v>
      </c>
      <c r="E104">
        <v>1</v>
      </c>
      <c r="F104">
        <v>12</v>
      </c>
      <c r="G104">
        <v>99</v>
      </c>
      <c r="H104">
        <v>16.5</v>
      </c>
      <c r="I104">
        <v>86.01</v>
      </c>
      <c r="J104">
        <v>77.19</v>
      </c>
      <c r="K104">
        <v>112</v>
      </c>
      <c r="L104">
        <v>28</v>
      </c>
      <c r="M104">
        <v>79.7</v>
      </c>
      <c r="N104">
        <v>55.81</v>
      </c>
    </row>
    <row r="105" spans="2:14" x14ac:dyDescent="0.25">
      <c r="B105" s="29" t="s">
        <v>599</v>
      </c>
      <c r="C105" s="30" t="s">
        <v>530</v>
      </c>
      <c r="D105">
        <v>2</v>
      </c>
      <c r="E105">
        <v>3</v>
      </c>
      <c r="F105">
        <v>20</v>
      </c>
      <c r="G105">
        <v>69</v>
      </c>
      <c r="H105">
        <v>11.5</v>
      </c>
      <c r="I105">
        <v>89.28</v>
      </c>
      <c r="J105">
        <v>86.55</v>
      </c>
      <c r="K105">
        <v>112</v>
      </c>
      <c r="L105">
        <v>28</v>
      </c>
      <c r="M105">
        <v>78.599999999999994</v>
      </c>
      <c r="N105">
        <v>58.14</v>
      </c>
    </row>
    <row r="106" spans="2:14" x14ac:dyDescent="0.25">
      <c r="B106" s="29" t="s">
        <v>600</v>
      </c>
      <c r="C106" s="30" t="s">
        <v>490</v>
      </c>
      <c r="D106">
        <v>2</v>
      </c>
      <c r="E106">
        <v>2</v>
      </c>
      <c r="F106">
        <v>2</v>
      </c>
      <c r="G106">
        <v>67</v>
      </c>
      <c r="H106">
        <v>11.17</v>
      </c>
      <c r="I106">
        <v>97.2</v>
      </c>
      <c r="J106">
        <v>67.84</v>
      </c>
      <c r="K106">
        <v>113</v>
      </c>
      <c r="L106">
        <v>28.25</v>
      </c>
      <c r="M106">
        <v>90.41</v>
      </c>
      <c r="N106">
        <v>32.56</v>
      </c>
    </row>
    <row r="107" spans="2:14" x14ac:dyDescent="0.25">
      <c r="B107" s="29" t="s">
        <v>601</v>
      </c>
      <c r="C107" s="30" t="s">
        <v>499</v>
      </c>
      <c r="D107">
        <v>2</v>
      </c>
      <c r="E107">
        <v>2</v>
      </c>
      <c r="F107">
        <v>11</v>
      </c>
      <c r="G107">
        <v>70</v>
      </c>
      <c r="H107">
        <v>11.67</v>
      </c>
      <c r="I107">
        <v>97.2</v>
      </c>
      <c r="J107">
        <v>66.08</v>
      </c>
      <c r="K107">
        <v>113</v>
      </c>
      <c r="L107">
        <v>28.25</v>
      </c>
      <c r="M107">
        <v>88.19</v>
      </c>
      <c r="N107">
        <v>37.21</v>
      </c>
    </row>
    <row r="108" spans="2:14" x14ac:dyDescent="0.25">
      <c r="B108" s="29" t="s">
        <v>602</v>
      </c>
      <c r="C108" s="30" t="s">
        <v>489</v>
      </c>
      <c r="D108">
        <v>2</v>
      </c>
      <c r="E108">
        <v>2</v>
      </c>
      <c r="F108">
        <v>1</v>
      </c>
      <c r="G108">
        <v>77</v>
      </c>
      <c r="H108">
        <v>12.83</v>
      </c>
      <c r="I108">
        <v>96.04</v>
      </c>
      <c r="J108">
        <v>64.91</v>
      </c>
      <c r="K108">
        <v>113</v>
      </c>
      <c r="L108">
        <v>28.25</v>
      </c>
      <c r="M108">
        <v>87.08</v>
      </c>
      <c r="N108">
        <v>39.53</v>
      </c>
    </row>
    <row r="109" spans="2:14" x14ac:dyDescent="0.25">
      <c r="B109" s="29" t="s">
        <v>603</v>
      </c>
      <c r="C109" s="30" t="s">
        <v>505</v>
      </c>
      <c r="D109">
        <v>2</v>
      </c>
      <c r="E109">
        <v>2</v>
      </c>
      <c r="F109">
        <v>17</v>
      </c>
      <c r="G109">
        <v>85</v>
      </c>
      <c r="H109">
        <v>14.17</v>
      </c>
      <c r="I109">
        <v>93.47</v>
      </c>
      <c r="J109">
        <v>66.67</v>
      </c>
      <c r="K109">
        <v>113</v>
      </c>
      <c r="L109">
        <v>28.25</v>
      </c>
      <c r="M109">
        <v>86.35</v>
      </c>
      <c r="N109">
        <v>41.09</v>
      </c>
    </row>
    <row r="110" spans="2:14" x14ac:dyDescent="0.25">
      <c r="B110" s="29" t="s">
        <v>604</v>
      </c>
      <c r="C110" s="30" t="s">
        <v>494</v>
      </c>
      <c r="D110">
        <v>2</v>
      </c>
      <c r="E110">
        <v>2</v>
      </c>
      <c r="F110">
        <v>6</v>
      </c>
      <c r="G110">
        <v>77</v>
      </c>
      <c r="H110">
        <v>12.83</v>
      </c>
      <c r="I110">
        <v>93.47</v>
      </c>
      <c r="J110">
        <v>71.349999999999994</v>
      </c>
      <c r="K110">
        <v>113</v>
      </c>
      <c r="L110">
        <v>28.25</v>
      </c>
      <c r="M110">
        <v>85.98</v>
      </c>
      <c r="N110">
        <v>41.86</v>
      </c>
    </row>
    <row r="111" spans="2:14" x14ac:dyDescent="0.25">
      <c r="B111" s="29" t="s">
        <v>605</v>
      </c>
      <c r="C111" s="30" t="s">
        <v>500</v>
      </c>
      <c r="D111">
        <v>2</v>
      </c>
      <c r="E111">
        <v>2</v>
      </c>
      <c r="F111">
        <v>12</v>
      </c>
      <c r="G111">
        <v>78</v>
      </c>
      <c r="H111">
        <v>13</v>
      </c>
      <c r="I111">
        <v>93.71</v>
      </c>
      <c r="J111">
        <v>70.180000000000007</v>
      </c>
      <c r="K111">
        <v>113</v>
      </c>
      <c r="L111">
        <v>28.25</v>
      </c>
      <c r="M111">
        <v>85.24</v>
      </c>
      <c r="N111">
        <v>43.41</v>
      </c>
    </row>
    <row r="112" spans="2:14" x14ac:dyDescent="0.25">
      <c r="B112" s="29" t="s">
        <v>606</v>
      </c>
      <c r="C112" s="30" t="s">
        <v>492</v>
      </c>
      <c r="D112">
        <v>2</v>
      </c>
      <c r="E112">
        <v>2</v>
      </c>
      <c r="F112">
        <v>4</v>
      </c>
      <c r="G112">
        <v>88</v>
      </c>
      <c r="H112">
        <v>14.67</v>
      </c>
      <c r="I112">
        <v>93.47</v>
      </c>
      <c r="J112">
        <v>64.91</v>
      </c>
      <c r="K112">
        <v>113</v>
      </c>
      <c r="L112">
        <v>28.25</v>
      </c>
      <c r="M112">
        <v>84.5</v>
      </c>
      <c r="N112">
        <v>44.96</v>
      </c>
    </row>
    <row r="113" spans="2:14" x14ac:dyDescent="0.25">
      <c r="B113" s="29" t="s">
        <v>607</v>
      </c>
      <c r="C113" s="30" t="s">
        <v>488</v>
      </c>
      <c r="D113">
        <v>2</v>
      </c>
      <c r="E113">
        <v>1</v>
      </c>
      <c r="F113">
        <v>22</v>
      </c>
      <c r="G113">
        <v>98</v>
      </c>
      <c r="H113">
        <v>16.329999999999998</v>
      </c>
      <c r="I113">
        <v>86.48</v>
      </c>
      <c r="J113">
        <v>76.61</v>
      </c>
      <c r="K113">
        <v>113</v>
      </c>
      <c r="L113">
        <v>28.25</v>
      </c>
      <c r="M113">
        <v>80.44</v>
      </c>
      <c r="N113">
        <v>53.49</v>
      </c>
    </row>
    <row r="114" spans="2:14" x14ac:dyDescent="0.25">
      <c r="B114" s="29" t="s">
        <v>608</v>
      </c>
      <c r="C114" s="30" t="s">
        <v>476</v>
      </c>
      <c r="D114">
        <v>2</v>
      </c>
      <c r="E114">
        <v>1</v>
      </c>
      <c r="F114">
        <v>10</v>
      </c>
      <c r="G114">
        <v>98</v>
      </c>
      <c r="H114">
        <v>16.329999999999998</v>
      </c>
      <c r="I114">
        <v>86.01</v>
      </c>
      <c r="J114">
        <v>77.78</v>
      </c>
      <c r="K114">
        <v>113</v>
      </c>
      <c r="L114">
        <v>28.25</v>
      </c>
      <c r="M114">
        <v>79.7</v>
      </c>
      <c r="N114">
        <v>55.04</v>
      </c>
    </row>
    <row r="115" spans="2:14" x14ac:dyDescent="0.25">
      <c r="B115" s="29" t="s">
        <v>609</v>
      </c>
      <c r="C115" s="30" t="s">
        <v>481</v>
      </c>
      <c r="D115">
        <v>2</v>
      </c>
      <c r="E115">
        <v>1</v>
      </c>
      <c r="F115">
        <v>15</v>
      </c>
      <c r="G115">
        <v>100</v>
      </c>
      <c r="H115">
        <v>16.670000000000002</v>
      </c>
      <c r="I115">
        <v>86.48</v>
      </c>
      <c r="J115">
        <v>75.44</v>
      </c>
      <c r="K115">
        <v>113</v>
      </c>
      <c r="L115">
        <v>28.25</v>
      </c>
      <c r="M115">
        <v>78.97</v>
      </c>
      <c r="N115">
        <v>56.59</v>
      </c>
    </row>
    <row r="116" spans="2:14" x14ac:dyDescent="0.25">
      <c r="B116" s="29" t="s">
        <v>610</v>
      </c>
      <c r="C116" s="30" t="s">
        <v>496</v>
      </c>
      <c r="D116">
        <v>2</v>
      </c>
      <c r="E116">
        <v>2</v>
      </c>
      <c r="F116">
        <v>8</v>
      </c>
      <c r="G116">
        <v>106</v>
      </c>
      <c r="H116">
        <v>17.670000000000002</v>
      </c>
      <c r="I116">
        <v>88.34</v>
      </c>
      <c r="J116">
        <v>67.25</v>
      </c>
      <c r="K116">
        <v>114</v>
      </c>
      <c r="L116">
        <v>28.5</v>
      </c>
      <c r="M116">
        <v>82.66</v>
      </c>
      <c r="N116">
        <v>48.06</v>
      </c>
    </row>
    <row r="117" spans="2:14" x14ac:dyDescent="0.25">
      <c r="B117" s="29" t="s">
        <v>611</v>
      </c>
      <c r="C117" s="30" t="s">
        <v>514</v>
      </c>
      <c r="D117">
        <v>2</v>
      </c>
      <c r="E117">
        <v>3</v>
      </c>
      <c r="F117">
        <v>4</v>
      </c>
      <c r="G117">
        <v>58</v>
      </c>
      <c r="H117">
        <v>9.67</v>
      </c>
      <c r="I117">
        <v>93.47</v>
      </c>
      <c r="J117">
        <v>82.46</v>
      </c>
      <c r="K117">
        <v>114</v>
      </c>
      <c r="L117">
        <v>28.5</v>
      </c>
      <c r="M117">
        <v>81.55</v>
      </c>
      <c r="N117">
        <v>50.39</v>
      </c>
    </row>
    <row r="118" spans="2:14" x14ac:dyDescent="0.25">
      <c r="B118" s="29" t="s">
        <v>612</v>
      </c>
      <c r="C118" s="30" t="s">
        <v>512</v>
      </c>
      <c r="D118">
        <v>2</v>
      </c>
      <c r="E118">
        <v>3</v>
      </c>
      <c r="F118">
        <v>2</v>
      </c>
      <c r="G118">
        <v>61</v>
      </c>
      <c r="H118">
        <v>10.17</v>
      </c>
      <c r="I118">
        <v>92.31</v>
      </c>
      <c r="J118">
        <v>83.63</v>
      </c>
      <c r="K118">
        <v>114</v>
      </c>
      <c r="L118">
        <v>28.5</v>
      </c>
      <c r="M118">
        <v>80.44</v>
      </c>
      <c r="N118">
        <v>52.71</v>
      </c>
    </row>
    <row r="119" spans="2:14" x14ac:dyDescent="0.25">
      <c r="B119" s="29" t="s">
        <v>613</v>
      </c>
      <c r="C119" s="30" t="s">
        <v>522</v>
      </c>
      <c r="D119">
        <v>2</v>
      </c>
      <c r="E119">
        <v>3</v>
      </c>
      <c r="F119">
        <v>12</v>
      </c>
      <c r="G119">
        <v>79</v>
      </c>
      <c r="H119">
        <v>13.17</v>
      </c>
      <c r="I119">
        <v>89.98</v>
      </c>
      <c r="J119">
        <v>78.95</v>
      </c>
      <c r="K119">
        <v>114</v>
      </c>
      <c r="L119">
        <v>28.5</v>
      </c>
      <c r="M119">
        <v>79.7</v>
      </c>
      <c r="N119">
        <v>54.26</v>
      </c>
    </row>
    <row r="120" spans="2:14" x14ac:dyDescent="0.25">
      <c r="B120" s="29" t="s">
        <v>614</v>
      </c>
      <c r="C120" s="30" t="s">
        <v>485</v>
      </c>
      <c r="D120">
        <v>2</v>
      </c>
      <c r="E120">
        <v>1</v>
      </c>
      <c r="F120">
        <v>19</v>
      </c>
      <c r="G120">
        <v>98</v>
      </c>
      <c r="H120">
        <v>16.329999999999998</v>
      </c>
      <c r="I120">
        <v>86.48</v>
      </c>
      <c r="J120">
        <v>76.61</v>
      </c>
      <c r="K120">
        <v>114</v>
      </c>
      <c r="L120">
        <v>28.5</v>
      </c>
      <c r="M120">
        <v>79.7</v>
      </c>
      <c r="N120">
        <v>54.26</v>
      </c>
    </row>
    <row r="121" spans="2:14" x14ac:dyDescent="0.25">
      <c r="B121" s="29" t="s">
        <v>615</v>
      </c>
      <c r="C121" s="30" t="s">
        <v>475</v>
      </c>
      <c r="D121">
        <v>2</v>
      </c>
      <c r="E121">
        <v>1</v>
      </c>
      <c r="F121">
        <v>9</v>
      </c>
      <c r="G121">
        <v>99</v>
      </c>
      <c r="H121">
        <v>16.5</v>
      </c>
      <c r="I121">
        <v>86.25</v>
      </c>
      <c r="J121">
        <v>76.61</v>
      </c>
      <c r="K121">
        <v>114</v>
      </c>
      <c r="L121">
        <v>28.5</v>
      </c>
      <c r="M121">
        <v>79.7</v>
      </c>
      <c r="N121">
        <v>54.26</v>
      </c>
    </row>
    <row r="122" spans="2:14" x14ac:dyDescent="0.25">
      <c r="B122" s="29" t="s">
        <v>616</v>
      </c>
      <c r="C122" s="30" t="s">
        <v>469</v>
      </c>
      <c r="D122">
        <v>2</v>
      </c>
      <c r="E122">
        <v>1</v>
      </c>
      <c r="F122">
        <v>3</v>
      </c>
      <c r="G122">
        <v>100</v>
      </c>
      <c r="H122">
        <v>16.670000000000002</v>
      </c>
      <c r="I122">
        <v>85.78</v>
      </c>
      <c r="J122">
        <v>77.19</v>
      </c>
      <c r="K122">
        <v>114</v>
      </c>
      <c r="L122">
        <v>28.5</v>
      </c>
      <c r="M122">
        <v>79.34</v>
      </c>
      <c r="N122">
        <v>55.04</v>
      </c>
    </row>
    <row r="123" spans="2:14" x14ac:dyDescent="0.25">
      <c r="B123" s="29" t="s">
        <v>617</v>
      </c>
      <c r="C123" s="30" t="s">
        <v>471</v>
      </c>
      <c r="D123">
        <v>2</v>
      </c>
      <c r="E123">
        <v>1</v>
      </c>
      <c r="F123">
        <v>5</v>
      </c>
      <c r="G123">
        <v>95</v>
      </c>
      <c r="H123">
        <v>15.83</v>
      </c>
      <c r="I123">
        <v>86.25</v>
      </c>
      <c r="J123">
        <v>78.95</v>
      </c>
      <c r="K123">
        <v>114</v>
      </c>
      <c r="L123">
        <v>28.5</v>
      </c>
      <c r="M123">
        <v>78.97</v>
      </c>
      <c r="N123">
        <v>55.81</v>
      </c>
    </row>
    <row r="124" spans="2:14" x14ac:dyDescent="0.25">
      <c r="B124" s="29" t="s">
        <v>618</v>
      </c>
      <c r="C124" s="30" t="s">
        <v>502</v>
      </c>
      <c r="D124">
        <v>2</v>
      </c>
      <c r="E124">
        <v>2</v>
      </c>
      <c r="F124">
        <v>14</v>
      </c>
      <c r="G124">
        <v>77</v>
      </c>
      <c r="H124">
        <v>12.83</v>
      </c>
      <c r="I124">
        <v>93.47</v>
      </c>
      <c r="J124">
        <v>71.349999999999994</v>
      </c>
      <c r="K124">
        <v>115</v>
      </c>
      <c r="L124">
        <v>28.75</v>
      </c>
      <c r="M124">
        <v>85.24</v>
      </c>
      <c r="N124">
        <v>41.86</v>
      </c>
    </row>
    <row r="125" spans="2:14" x14ac:dyDescent="0.25">
      <c r="B125" s="29" t="s">
        <v>619</v>
      </c>
      <c r="C125" s="30" t="s">
        <v>520</v>
      </c>
      <c r="D125">
        <v>2</v>
      </c>
      <c r="E125">
        <v>3</v>
      </c>
      <c r="F125">
        <v>10</v>
      </c>
      <c r="G125">
        <v>74</v>
      </c>
      <c r="H125">
        <v>12.33</v>
      </c>
      <c r="I125">
        <v>93.24</v>
      </c>
      <c r="J125">
        <v>73.680000000000007</v>
      </c>
      <c r="K125">
        <v>115</v>
      </c>
      <c r="L125">
        <v>28.75</v>
      </c>
      <c r="M125">
        <v>83.76</v>
      </c>
      <c r="N125">
        <v>44.96</v>
      </c>
    </row>
    <row r="126" spans="2:14" x14ac:dyDescent="0.25">
      <c r="B126" s="29" t="s">
        <v>620</v>
      </c>
      <c r="C126" s="30" t="s">
        <v>436</v>
      </c>
      <c r="D126">
        <v>1</v>
      </c>
      <c r="E126">
        <v>1</v>
      </c>
      <c r="G126">
        <v>97</v>
      </c>
      <c r="H126">
        <v>16.170000000000002</v>
      </c>
      <c r="I126">
        <v>87.65</v>
      </c>
      <c r="J126">
        <v>74.27</v>
      </c>
      <c r="K126">
        <v>115</v>
      </c>
      <c r="L126">
        <v>28.75</v>
      </c>
      <c r="M126">
        <v>81.55</v>
      </c>
      <c r="N126">
        <v>49.61</v>
      </c>
    </row>
    <row r="127" spans="2:14" x14ac:dyDescent="0.25">
      <c r="B127" s="29" t="s">
        <v>621</v>
      </c>
      <c r="C127" s="30" t="s">
        <v>479</v>
      </c>
      <c r="D127">
        <v>2</v>
      </c>
      <c r="E127">
        <v>1</v>
      </c>
      <c r="F127">
        <v>13</v>
      </c>
      <c r="G127">
        <v>102</v>
      </c>
      <c r="H127">
        <v>17</v>
      </c>
      <c r="I127">
        <v>86.71</v>
      </c>
      <c r="J127">
        <v>73.680000000000007</v>
      </c>
      <c r="K127">
        <v>115</v>
      </c>
      <c r="L127">
        <v>28.75</v>
      </c>
      <c r="M127">
        <v>79.7</v>
      </c>
      <c r="N127">
        <v>53.49</v>
      </c>
    </row>
    <row r="128" spans="2:14" x14ac:dyDescent="0.25">
      <c r="B128" s="29" t="s">
        <v>622</v>
      </c>
      <c r="C128" s="30" t="s">
        <v>484</v>
      </c>
      <c r="D128">
        <v>2</v>
      </c>
      <c r="E128">
        <v>1</v>
      </c>
      <c r="F128">
        <v>18</v>
      </c>
      <c r="G128">
        <v>101</v>
      </c>
      <c r="H128">
        <v>16.829999999999998</v>
      </c>
      <c r="I128">
        <v>86.25</v>
      </c>
      <c r="J128">
        <v>75.44</v>
      </c>
      <c r="K128">
        <v>115</v>
      </c>
      <c r="L128">
        <v>28.75</v>
      </c>
      <c r="M128">
        <v>78.97</v>
      </c>
      <c r="N128">
        <v>55.04</v>
      </c>
    </row>
    <row r="129" spans="2:14" x14ac:dyDescent="0.25">
      <c r="B129" s="29" t="s">
        <v>623</v>
      </c>
      <c r="C129" s="30" t="s">
        <v>529</v>
      </c>
      <c r="D129">
        <v>2</v>
      </c>
      <c r="E129">
        <v>3</v>
      </c>
      <c r="F129">
        <v>19</v>
      </c>
      <c r="G129">
        <v>64</v>
      </c>
      <c r="H129">
        <v>10.67</v>
      </c>
      <c r="I129">
        <v>90.91</v>
      </c>
      <c r="J129">
        <v>85.38</v>
      </c>
      <c r="K129">
        <v>116</v>
      </c>
      <c r="L129">
        <v>29</v>
      </c>
      <c r="M129">
        <v>79.7</v>
      </c>
      <c r="N129">
        <v>52.71</v>
      </c>
    </row>
    <row r="130" spans="2:14" x14ac:dyDescent="0.25">
      <c r="B130" s="29" t="s">
        <v>624</v>
      </c>
      <c r="C130" s="30" t="s">
        <v>473</v>
      </c>
      <c r="D130">
        <v>2</v>
      </c>
      <c r="E130">
        <v>1</v>
      </c>
      <c r="F130">
        <v>7</v>
      </c>
      <c r="G130">
        <v>100</v>
      </c>
      <c r="H130">
        <v>16.670000000000002</v>
      </c>
      <c r="I130">
        <v>86.95</v>
      </c>
      <c r="J130">
        <v>74.27</v>
      </c>
      <c r="K130">
        <v>116</v>
      </c>
      <c r="L130">
        <v>29</v>
      </c>
      <c r="M130">
        <v>79.7</v>
      </c>
      <c r="N130">
        <v>52.71</v>
      </c>
    </row>
    <row r="131" spans="2:14" x14ac:dyDescent="0.25">
      <c r="B131" s="29" t="s">
        <v>625</v>
      </c>
      <c r="C131" s="30" t="s">
        <v>483</v>
      </c>
      <c r="D131">
        <v>2</v>
      </c>
      <c r="E131">
        <v>1</v>
      </c>
      <c r="F131">
        <v>17</v>
      </c>
      <c r="G131">
        <v>101</v>
      </c>
      <c r="H131">
        <v>16.829999999999998</v>
      </c>
      <c r="I131">
        <v>86.25</v>
      </c>
      <c r="J131">
        <v>75.44</v>
      </c>
      <c r="K131">
        <v>116</v>
      </c>
      <c r="L131">
        <v>29</v>
      </c>
      <c r="M131">
        <v>78.599999999999994</v>
      </c>
      <c r="N131">
        <v>55.04</v>
      </c>
    </row>
    <row r="132" spans="2:14" x14ac:dyDescent="0.25">
      <c r="B132" s="29" t="s">
        <v>626</v>
      </c>
      <c r="C132" s="30" t="s">
        <v>467</v>
      </c>
      <c r="D132">
        <v>2</v>
      </c>
      <c r="E132">
        <v>1</v>
      </c>
      <c r="F132">
        <v>1</v>
      </c>
      <c r="G132">
        <v>112</v>
      </c>
      <c r="H132">
        <v>18.670000000000002</v>
      </c>
      <c r="I132">
        <v>80.89</v>
      </c>
      <c r="J132">
        <v>82.46</v>
      </c>
      <c r="K132">
        <v>116</v>
      </c>
      <c r="L132">
        <v>29</v>
      </c>
      <c r="M132">
        <v>76.38</v>
      </c>
      <c r="N132">
        <v>59.69</v>
      </c>
    </row>
    <row r="133" spans="2:14" x14ac:dyDescent="0.25">
      <c r="B133" s="29" t="s">
        <v>627</v>
      </c>
      <c r="C133" s="30" t="s">
        <v>521</v>
      </c>
      <c r="D133">
        <v>2</v>
      </c>
      <c r="E133">
        <v>3</v>
      </c>
      <c r="F133">
        <v>11</v>
      </c>
      <c r="G133">
        <v>78</v>
      </c>
      <c r="H133">
        <v>13</v>
      </c>
      <c r="I133">
        <v>94.17</v>
      </c>
      <c r="J133">
        <v>69.010000000000005</v>
      </c>
      <c r="K133">
        <v>117</v>
      </c>
      <c r="L133">
        <v>29.25</v>
      </c>
      <c r="M133">
        <v>84.13</v>
      </c>
      <c r="N133">
        <v>42.64</v>
      </c>
    </row>
    <row r="134" spans="2:14" x14ac:dyDescent="0.25">
      <c r="B134" s="29" t="s">
        <v>628</v>
      </c>
      <c r="C134" s="30" t="s">
        <v>470</v>
      </c>
      <c r="D134">
        <v>2</v>
      </c>
      <c r="E134">
        <v>1</v>
      </c>
      <c r="F134">
        <v>4</v>
      </c>
      <c r="G134">
        <v>100</v>
      </c>
      <c r="H134">
        <v>16.670000000000002</v>
      </c>
      <c r="I134">
        <v>86.71</v>
      </c>
      <c r="J134">
        <v>74.849999999999994</v>
      </c>
      <c r="K134">
        <v>117</v>
      </c>
      <c r="L134">
        <v>29.25</v>
      </c>
      <c r="M134">
        <v>79.7</v>
      </c>
      <c r="N134">
        <v>51.94</v>
      </c>
    </row>
    <row r="135" spans="2:14" x14ac:dyDescent="0.25">
      <c r="B135" s="29" t="s">
        <v>629</v>
      </c>
      <c r="C135" s="30" t="s">
        <v>486</v>
      </c>
      <c r="D135">
        <v>2</v>
      </c>
      <c r="E135">
        <v>1</v>
      </c>
      <c r="F135">
        <v>20</v>
      </c>
      <c r="G135">
        <v>103</v>
      </c>
      <c r="H135">
        <v>17.170000000000002</v>
      </c>
      <c r="I135">
        <v>86.01</v>
      </c>
      <c r="J135">
        <v>74.849999999999994</v>
      </c>
      <c r="K135">
        <v>117</v>
      </c>
      <c r="L135">
        <v>29.25</v>
      </c>
      <c r="M135">
        <v>78.599999999999994</v>
      </c>
      <c r="N135">
        <v>54.26</v>
      </c>
    </row>
    <row r="136" spans="2:14" x14ac:dyDescent="0.25">
      <c r="B136" s="29" t="s">
        <v>630</v>
      </c>
      <c r="C136" s="30" t="s">
        <v>531</v>
      </c>
      <c r="D136">
        <v>2</v>
      </c>
      <c r="E136">
        <v>3</v>
      </c>
      <c r="F136">
        <v>21</v>
      </c>
      <c r="G136">
        <v>68</v>
      </c>
      <c r="H136">
        <v>11.33</v>
      </c>
      <c r="I136">
        <v>89.28</v>
      </c>
      <c r="J136">
        <v>87.13</v>
      </c>
      <c r="K136">
        <v>117</v>
      </c>
      <c r="L136">
        <v>29.25</v>
      </c>
      <c r="M136">
        <v>77.86</v>
      </c>
      <c r="N136">
        <v>55.81</v>
      </c>
    </row>
    <row r="137" spans="2:14" x14ac:dyDescent="0.25">
      <c r="B137" s="29" t="s">
        <v>631</v>
      </c>
      <c r="C137" s="30" t="s">
        <v>526</v>
      </c>
      <c r="D137">
        <v>2</v>
      </c>
      <c r="E137">
        <v>3</v>
      </c>
      <c r="F137">
        <v>16</v>
      </c>
      <c r="G137">
        <v>71</v>
      </c>
      <c r="H137">
        <v>11.83</v>
      </c>
      <c r="I137">
        <v>88.81</v>
      </c>
      <c r="J137">
        <v>86.55</v>
      </c>
      <c r="K137">
        <v>117</v>
      </c>
      <c r="L137">
        <v>29.25</v>
      </c>
      <c r="M137">
        <v>76.75</v>
      </c>
      <c r="N137">
        <v>58.14</v>
      </c>
    </row>
    <row r="138" spans="2:14" x14ac:dyDescent="0.25">
      <c r="B138" s="29" t="s">
        <v>632</v>
      </c>
      <c r="C138" s="30" t="s">
        <v>519</v>
      </c>
      <c r="D138">
        <v>2</v>
      </c>
      <c r="E138">
        <v>3</v>
      </c>
      <c r="F138">
        <v>9</v>
      </c>
      <c r="G138">
        <v>63</v>
      </c>
      <c r="H138">
        <v>10.5</v>
      </c>
      <c r="I138">
        <v>90.68</v>
      </c>
      <c r="J138">
        <v>86.55</v>
      </c>
      <c r="K138">
        <v>118</v>
      </c>
      <c r="L138">
        <v>29.5</v>
      </c>
      <c r="M138">
        <v>80.44</v>
      </c>
      <c r="N138">
        <v>49.61</v>
      </c>
    </row>
    <row r="139" spans="2:14" x14ac:dyDescent="0.25">
      <c r="B139" s="29" t="s">
        <v>633</v>
      </c>
      <c r="C139" s="30" t="s">
        <v>527</v>
      </c>
      <c r="D139">
        <v>2</v>
      </c>
      <c r="E139">
        <v>3</v>
      </c>
      <c r="F139">
        <v>17</v>
      </c>
      <c r="G139">
        <v>75</v>
      </c>
      <c r="H139">
        <v>12.5</v>
      </c>
      <c r="I139">
        <v>88.34</v>
      </c>
      <c r="J139">
        <v>85.38</v>
      </c>
      <c r="K139">
        <v>119</v>
      </c>
      <c r="L139">
        <v>29.75</v>
      </c>
      <c r="M139">
        <v>77.86</v>
      </c>
      <c r="N139">
        <v>54.26</v>
      </c>
    </row>
    <row r="140" spans="2:14" x14ac:dyDescent="0.25">
      <c r="B140" s="29" t="s">
        <v>634</v>
      </c>
      <c r="C140" s="30" t="s">
        <v>487</v>
      </c>
      <c r="D140">
        <v>2</v>
      </c>
      <c r="E140">
        <v>1</v>
      </c>
      <c r="F140">
        <v>21</v>
      </c>
      <c r="G140">
        <v>101</v>
      </c>
      <c r="H140">
        <v>16.829999999999998</v>
      </c>
      <c r="I140">
        <v>86.01</v>
      </c>
      <c r="J140">
        <v>76.02</v>
      </c>
      <c r="K140">
        <v>119</v>
      </c>
      <c r="L140">
        <v>29.75</v>
      </c>
      <c r="M140">
        <v>77.489999999999995</v>
      </c>
      <c r="N140">
        <v>55.04</v>
      </c>
    </row>
    <row r="141" spans="2:14" x14ac:dyDescent="0.25">
      <c r="B141" s="29" t="s">
        <v>635</v>
      </c>
      <c r="C141" s="30" t="s">
        <v>439</v>
      </c>
      <c r="D141">
        <v>1</v>
      </c>
      <c r="E141">
        <v>4</v>
      </c>
      <c r="G141">
        <v>38</v>
      </c>
      <c r="H141">
        <v>6.33</v>
      </c>
      <c r="I141">
        <v>97.9</v>
      </c>
      <c r="J141">
        <v>83.04</v>
      </c>
      <c r="K141">
        <v>121</v>
      </c>
      <c r="L141">
        <v>30.25</v>
      </c>
      <c r="M141">
        <v>83.76</v>
      </c>
      <c r="N141">
        <v>40.31</v>
      </c>
    </row>
    <row r="142" spans="2:14" x14ac:dyDescent="0.25">
      <c r="B142" s="29" t="s">
        <v>636</v>
      </c>
      <c r="C142" s="30" t="s">
        <v>523</v>
      </c>
      <c r="D142">
        <v>2</v>
      </c>
      <c r="E142">
        <v>3</v>
      </c>
      <c r="F142">
        <v>13</v>
      </c>
      <c r="G142">
        <v>77</v>
      </c>
      <c r="H142">
        <v>12.83</v>
      </c>
      <c r="I142">
        <v>89.51</v>
      </c>
      <c r="J142">
        <v>81.290000000000006</v>
      </c>
      <c r="K142">
        <v>122</v>
      </c>
      <c r="L142">
        <v>30.5</v>
      </c>
      <c r="M142">
        <v>79.34</v>
      </c>
      <c r="N142">
        <v>48.84</v>
      </c>
    </row>
    <row r="145" spans="2:12" ht="18" x14ac:dyDescent="0.35">
      <c r="B145" s="22" t="s">
        <v>325</v>
      </c>
    </row>
    <row r="147" spans="2:12" x14ac:dyDescent="0.25">
      <c r="D147" s="78" t="s">
        <v>326</v>
      </c>
      <c r="E147" s="78"/>
      <c r="F147" s="78"/>
      <c r="G147" s="78"/>
      <c r="I147" s="78" t="s">
        <v>327</v>
      </c>
      <c r="J147" s="78"/>
      <c r="K147" s="78"/>
      <c r="L147" s="78"/>
    </row>
    <row r="149" spans="2:12" ht="15.6" x14ac:dyDescent="0.3">
      <c r="B149" s="28" t="s">
        <v>328</v>
      </c>
      <c r="D149" s="59" t="s">
        <v>329</v>
      </c>
      <c r="E149" s="60"/>
      <c r="F149" s="61"/>
      <c r="I149" s="59" t="s">
        <v>329</v>
      </c>
      <c r="J149" s="60"/>
      <c r="K149" s="61"/>
    </row>
    <row r="150" spans="2:12" ht="13.8" x14ac:dyDescent="0.3">
      <c r="D150" s="26"/>
      <c r="E150" s="75" t="s">
        <v>330</v>
      </c>
      <c r="F150" s="76"/>
      <c r="I150" s="26"/>
      <c r="J150" s="75" t="s">
        <v>330</v>
      </c>
      <c r="K150" s="76"/>
    </row>
    <row r="151" spans="2:12" ht="13.8" x14ac:dyDescent="0.3">
      <c r="D151" s="25" t="s">
        <v>331</v>
      </c>
      <c r="E151" s="26">
        <v>0</v>
      </c>
      <c r="F151" s="26">
        <v>1</v>
      </c>
      <c r="I151" s="25" t="s">
        <v>331</v>
      </c>
      <c r="J151" s="26">
        <v>0</v>
      </c>
      <c r="K151" s="26">
        <v>1</v>
      </c>
    </row>
    <row r="152" spans="2:12" ht="13.8" x14ac:dyDescent="0.3">
      <c r="D152" s="25">
        <v>0</v>
      </c>
      <c r="E152" s="24">
        <v>127</v>
      </c>
      <c r="F152" s="24">
        <v>44</v>
      </c>
      <c r="I152" s="25">
        <v>0</v>
      </c>
      <c r="J152" s="24">
        <v>64</v>
      </c>
      <c r="K152" s="24">
        <v>65</v>
      </c>
    </row>
    <row r="153" spans="2:12" ht="13.8" x14ac:dyDescent="0.3">
      <c r="D153" s="25">
        <v>1</v>
      </c>
      <c r="E153" s="24">
        <v>53</v>
      </c>
      <c r="F153" s="24">
        <v>376</v>
      </c>
      <c r="I153" s="25">
        <v>1</v>
      </c>
      <c r="J153" s="24">
        <v>50</v>
      </c>
      <c r="K153" s="24">
        <v>221</v>
      </c>
    </row>
    <row r="155" spans="2:12" ht="15.6" x14ac:dyDescent="0.3">
      <c r="D155" s="59" t="s">
        <v>210</v>
      </c>
      <c r="E155" s="60"/>
      <c r="F155" s="60"/>
      <c r="G155" s="61"/>
      <c r="I155" s="59" t="s">
        <v>210</v>
      </c>
      <c r="J155" s="60"/>
      <c r="K155" s="60"/>
      <c r="L155" s="61"/>
    </row>
    <row r="156" spans="2:12" ht="13.8" x14ac:dyDescent="0.3">
      <c r="D156" s="26" t="s">
        <v>332</v>
      </c>
      <c r="E156" s="26" t="s">
        <v>333</v>
      </c>
      <c r="F156" s="26" t="s">
        <v>334</v>
      </c>
      <c r="G156" s="26" t="s">
        <v>335</v>
      </c>
      <c r="I156" s="26" t="s">
        <v>332</v>
      </c>
      <c r="J156" s="26" t="s">
        <v>333</v>
      </c>
      <c r="K156" s="26" t="s">
        <v>334</v>
      </c>
      <c r="L156" s="26" t="s">
        <v>335</v>
      </c>
    </row>
    <row r="157" spans="2:12" ht="13.8" x14ac:dyDescent="0.3">
      <c r="D157" s="25">
        <v>0</v>
      </c>
      <c r="E157" s="24">
        <f>SUM($E$152:$F$152)</f>
        <v>171</v>
      </c>
      <c r="F157" s="24">
        <f>SUM($E$152:$F$152) - $E$152:$E$152</f>
        <v>44</v>
      </c>
      <c r="G157" s="24">
        <f>IF($E$157:$E$157 = 0, "Undefined",$F$157:$F$157*100 / $E$157:$E$157)</f>
        <v>25.730994152046783</v>
      </c>
      <c r="I157" s="25">
        <v>0</v>
      </c>
      <c r="J157" s="24">
        <f>SUM($J$152:$K$152)</f>
        <v>129</v>
      </c>
      <c r="K157" s="24">
        <f>SUM($J$152:$K$152) - $J$152:$J$152</f>
        <v>65</v>
      </c>
      <c r="L157" s="24">
        <f>IF($J$157:$J$157 = 0, "Undefined",$K$157:$K$157*100 / $J$157:$J$157)</f>
        <v>50.387596899224803</v>
      </c>
    </row>
    <row r="158" spans="2:12" ht="13.8" x14ac:dyDescent="0.3">
      <c r="D158" s="25">
        <v>1</v>
      </c>
      <c r="E158" s="24">
        <f>SUM($E$153:$F$153)</f>
        <v>429</v>
      </c>
      <c r="F158" s="24">
        <f>SUM($E$153:$F$153) - $F$153:$F$153</f>
        <v>53</v>
      </c>
      <c r="G158" s="24">
        <f>IF($E$158:$E$158 = 0, "Undefined",$F$158:$F$158*100 / $E$158:$E$158)</f>
        <v>12.354312354312354</v>
      </c>
      <c r="I158" s="25">
        <v>1</v>
      </c>
      <c r="J158" s="24">
        <f>SUM($J$153:$K$153)</f>
        <v>271</v>
      </c>
      <c r="K158" s="24">
        <f>SUM($J$153:$K$153) - $K$153:$K$153</f>
        <v>50</v>
      </c>
      <c r="L158" s="24">
        <f>IF($J$158:$J$158 = 0, "Undefined",$K$158:$K$158*100 / $J$158:$J$158)</f>
        <v>18.450184501845019</v>
      </c>
    </row>
    <row r="159" spans="2:12" ht="13.8" x14ac:dyDescent="0.3">
      <c r="D159" s="25" t="s">
        <v>336</v>
      </c>
      <c r="E159" s="24">
        <f>SUM($E$157:$E$158)</f>
        <v>600</v>
      </c>
      <c r="F159" s="24">
        <f>SUM($F$157:$F$158)</f>
        <v>97</v>
      </c>
      <c r="G159" s="24">
        <f>IF($E$159:$E$159 = 0, "Undefined",$F$159:$F$159*100 / $E$159:$E$159)</f>
        <v>16.166666666666668</v>
      </c>
      <c r="I159" s="25" t="s">
        <v>336</v>
      </c>
      <c r="J159" s="24">
        <f>SUM($J$157:$J$158)</f>
        <v>400</v>
      </c>
      <c r="K159" s="24">
        <f>SUM($K$157:$K$158)</f>
        <v>115</v>
      </c>
      <c r="L159" s="24">
        <f>IF($J$159:$J$159 = 0, "Undefined",$K$159:$K$159*100 / $J$159:$J$159)</f>
        <v>28.75</v>
      </c>
    </row>
    <row r="161" spans="2:12" ht="15.6" x14ac:dyDescent="0.3">
      <c r="B161" s="28" t="s">
        <v>337</v>
      </c>
      <c r="D161" s="59" t="s">
        <v>329</v>
      </c>
      <c r="E161" s="60"/>
      <c r="F161" s="61"/>
      <c r="I161" s="59" t="s">
        <v>329</v>
      </c>
      <c r="J161" s="60"/>
      <c r="K161" s="61"/>
    </row>
    <row r="162" spans="2:12" ht="13.8" x14ac:dyDescent="0.3">
      <c r="D162" s="26"/>
      <c r="E162" s="75" t="s">
        <v>330</v>
      </c>
      <c r="F162" s="76"/>
      <c r="I162" s="26"/>
      <c r="J162" s="75" t="s">
        <v>330</v>
      </c>
      <c r="K162" s="76"/>
    </row>
    <row r="163" spans="2:12" ht="13.8" x14ac:dyDescent="0.3">
      <c r="D163" s="25" t="s">
        <v>331</v>
      </c>
      <c r="E163" s="26">
        <v>0</v>
      </c>
      <c r="F163" s="26">
        <v>1</v>
      </c>
      <c r="I163" s="25" t="s">
        <v>331</v>
      </c>
      <c r="J163" s="26">
        <v>0</v>
      </c>
      <c r="K163" s="26">
        <v>1</v>
      </c>
    </row>
    <row r="164" spans="2:12" ht="13.8" x14ac:dyDescent="0.3">
      <c r="D164" s="25">
        <v>0</v>
      </c>
      <c r="E164" s="24">
        <v>124</v>
      </c>
      <c r="F164" s="24">
        <v>47</v>
      </c>
      <c r="I164" s="25">
        <v>0</v>
      </c>
      <c r="J164" s="24">
        <v>65</v>
      </c>
      <c r="K164" s="24">
        <v>64</v>
      </c>
    </row>
    <row r="165" spans="2:12" ht="13.8" x14ac:dyDescent="0.3">
      <c r="D165" s="25">
        <v>1</v>
      </c>
      <c r="E165" s="24">
        <v>33</v>
      </c>
      <c r="F165" s="24">
        <v>396</v>
      </c>
      <c r="I165" s="25">
        <v>1</v>
      </c>
      <c r="J165" s="24">
        <v>43</v>
      </c>
      <c r="K165" s="24">
        <v>228</v>
      </c>
    </row>
    <row r="167" spans="2:12" ht="15.6" x14ac:dyDescent="0.3">
      <c r="D167" s="59" t="s">
        <v>210</v>
      </c>
      <c r="E167" s="60"/>
      <c r="F167" s="60"/>
      <c r="G167" s="61"/>
      <c r="I167" s="59" t="s">
        <v>210</v>
      </c>
      <c r="J167" s="60"/>
      <c r="K167" s="60"/>
      <c r="L167" s="61"/>
    </row>
    <row r="168" spans="2:12" ht="13.8" x14ac:dyDescent="0.3">
      <c r="D168" s="26" t="s">
        <v>332</v>
      </c>
      <c r="E168" s="26" t="s">
        <v>333</v>
      </c>
      <c r="F168" s="26" t="s">
        <v>334</v>
      </c>
      <c r="G168" s="26" t="s">
        <v>335</v>
      </c>
      <c r="I168" s="26" t="s">
        <v>332</v>
      </c>
      <c r="J168" s="26" t="s">
        <v>333</v>
      </c>
      <c r="K168" s="26" t="s">
        <v>334</v>
      </c>
      <c r="L168" s="26" t="s">
        <v>335</v>
      </c>
    </row>
    <row r="169" spans="2:12" ht="13.8" x14ac:dyDescent="0.3">
      <c r="D169" s="25">
        <v>0</v>
      </c>
      <c r="E169" s="24">
        <f>SUM($E$164:$F$164)</f>
        <v>171</v>
      </c>
      <c r="F169" s="24">
        <f>SUM($E$164:$F$164) - $E$164:$E$164</f>
        <v>47</v>
      </c>
      <c r="G169" s="24">
        <f>IF($E$169:$E$169 = 0, "Undefined",$F$169:$F$169*100 / $E$169:$E$169)</f>
        <v>27.485380116959064</v>
      </c>
      <c r="I169" s="25">
        <v>0</v>
      </c>
      <c r="J169" s="24">
        <f>SUM($J$164:$K$164)</f>
        <v>129</v>
      </c>
      <c r="K169" s="24">
        <f>SUM($J$164:$K$164) - $J$164:$J$164</f>
        <v>64</v>
      </c>
      <c r="L169" s="24">
        <f>IF($J$169:$J$169 = 0, "Undefined",$K$169:$K$169*100 / $J$169:$J$169)</f>
        <v>49.612403100775197</v>
      </c>
    </row>
    <row r="170" spans="2:12" ht="13.8" x14ac:dyDescent="0.3">
      <c r="D170" s="25">
        <v>1</v>
      </c>
      <c r="E170" s="24">
        <f>SUM($E$165:$F$165)</f>
        <v>429</v>
      </c>
      <c r="F170" s="24">
        <f>SUM($E$165:$F$165) - $F$165:$F$165</f>
        <v>33</v>
      </c>
      <c r="G170" s="24">
        <f>IF($E$170:$E$170 = 0, "Undefined",$F$170:$F$170*100 / $E$170:$E$170)</f>
        <v>7.6923076923076925</v>
      </c>
      <c r="I170" s="25">
        <v>1</v>
      </c>
      <c r="J170" s="24">
        <f>SUM($J$165:$K$165)</f>
        <v>271</v>
      </c>
      <c r="K170" s="24">
        <f>SUM($J$165:$K$165) - $K$165:$K$165</f>
        <v>43</v>
      </c>
      <c r="L170" s="24">
        <f>IF($J$170:$J$170 = 0, "Undefined",$K$170:$K$170*100 / $J$170:$J$170)</f>
        <v>15.867158671586715</v>
      </c>
    </row>
    <row r="171" spans="2:12" ht="13.8" x14ac:dyDescent="0.3">
      <c r="D171" s="25" t="s">
        <v>336</v>
      </c>
      <c r="E171" s="24">
        <f>SUM($E$169:$E$170)</f>
        <v>600</v>
      </c>
      <c r="F171" s="24">
        <f>SUM($F$169:$F$170)</f>
        <v>80</v>
      </c>
      <c r="G171" s="24">
        <f>IF($E$171:$E$171 = 0, "Undefined",$F$171:$F$171*100 / $E$171:$E$171)</f>
        <v>13.333333333333334</v>
      </c>
      <c r="I171" s="25" t="s">
        <v>336</v>
      </c>
      <c r="J171" s="24">
        <f>SUM($J$169:$J$170)</f>
        <v>400</v>
      </c>
      <c r="K171" s="24">
        <f>SUM($K$169:$K$170)</f>
        <v>107</v>
      </c>
      <c r="L171" s="24">
        <f>IF($J$171:$J$171 = 0, "Undefined",$K$171:$K$171*100 / $J$171:$J$171)</f>
        <v>26.75</v>
      </c>
    </row>
    <row r="173" spans="2:12" ht="15.6" x14ac:dyDescent="0.3">
      <c r="B173" s="28" t="s">
        <v>338</v>
      </c>
      <c r="D173" s="59" t="s">
        <v>329</v>
      </c>
      <c r="E173" s="60"/>
      <c r="F173" s="61"/>
      <c r="I173" s="59" t="s">
        <v>329</v>
      </c>
      <c r="J173" s="60"/>
      <c r="K173" s="61"/>
    </row>
    <row r="174" spans="2:12" ht="13.8" x14ac:dyDescent="0.3">
      <c r="D174" s="26"/>
      <c r="E174" s="75" t="s">
        <v>330</v>
      </c>
      <c r="F174" s="76"/>
      <c r="I174" s="26"/>
      <c r="J174" s="75" t="s">
        <v>330</v>
      </c>
      <c r="K174" s="76"/>
    </row>
    <row r="175" spans="2:12" ht="13.8" x14ac:dyDescent="0.3">
      <c r="D175" s="25" t="s">
        <v>331</v>
      </c>
      <c r="E175" s="26">
        <v>0</v>
      </c>
      <c r="F175" s="26">
        <v>1</v>
      </c>
      <c r="I175" s="25" t="s">
        <v>331</v>
      </c>
      <c r="J175" s="26">
        <v>0</v>
      </c>
      <c r="K175" s="26">
        <v>1</v>
      </c>
    </row>
    <row r="176" spans="2:12" ht="13.8" x14ac:dyDescent="0.3">
      <c r="D176" s="25">
        <v>0</v>
      </c>
      <c r="E176" s="24">
        <v>121</v>
      </c>
      <c r="F176" s="24">
        <v>50</v>
      </c>
      <c r="I176" s="25">
        <v>0</v>
      </c>
      <c r="J176" s="24">
        <v>57</v>
      </c>
      <c r="K176" s="24">
        <v>72</v>
      </c>
    </row>
    <row r="177" spans="2:12" ht="13.8" x14ac:dyDescent="0.3">
      <c r="D177" s="25">
        <v>1</v>
      </c>
      <c r="E177" s="24">
        <v>24</v>
      </c>
      <c r="F177" s="24">
        <v>405</v>
      </c>
      <c r="I177" s="25">
        <v>1</v>
      </c>
      <c r="J177" s="24">
        <v>36</v>
      </c>
      <c r="K177" s="24">
        <v>235</v>
      </c>
    </row>
    <row r="179" spans="2:12" ht="15.6" x14ac:dyDescent="0.3">
      <c r="D179" s="59" t="s">
        <v>210</v>
      </c>
      <c r="E179" s="60"/>
      <c r="F179" s="60"/>
      <c r="G179" s="61"/>
      <c r="I179" s="59" t="s">
        <v>210</v>
      </c>
      <c r="J179" s="60"/>
      <c r="K179" s="60"/>
      <c r="L179" s="61"/>
    </row>
    <row r="180" spans="2:12" ht="13.8" x14ac:dyDescent="0.3">
      <c r="D180" s="26" t="s">
        <v>332</v>
      </c>
      <c r="E180" s="26" t="s">
        <v>333</v>
      </c>
      <c r="F180" s="26" t="s">
        <v>334</v>
      </c>
      <c r="G180" s="26" t="s">
        <v>335</v>
      </c>
      <c r="I180" s="26" t="s">
        <v>332</v>
      </c>
      <c r="J180" s="26" t="s">
        <v>333</v>
      </c>
      <c r="K180" s="26" t="s">
        <v>334</v>
      </c>
      <c r="L180" s="26" t="s">
        <v>335</v>
      </c>
    </row>
    <row r="181" spans="2:12" ht="13.8" x14ac:dyDescent="0.3">
      <c r="D181" s="25">
        <v>0</v>
      </c>
      <c r="E181" s="24">
        <f>SUM($E$176:$F$176)</f>
        <v>171</v>
      </c>
      <c r="F181" s="24">
        <f>SUM($E$176:$F$176) - $E$176:$E$176</f>
        <v>50</v>
      </c>
      <c r="G181" s="24">
        <f>IF($E$181:$E$181 = 0, "Undefined",$F$181:$F$181*100 / $E$181:$E$181)</f>
        <v>29.239766081871345</v>
      </c>
      <c r="I181" s="25">
        <v>0</v>
      </c>
      <c r="J181" s="24">
        <f>SUM($J$176:$K$176)</f>
        <v>129</v>
      </c>
      <c r="K181" s="24">
        <f>SUM($J$176:$K$176) - $J$176:$J$176</f>
        <v>72</v>
      </c>
      <c r="L181" s="24">
        <f>IF($J$181:$J$181 = 0, "Undefined",$K$181:$K$181*100 / $J$181:$J$181)</f>
        <v>55.813953488372093</v>
      </c>
    </row>
    <row r="182" spans="2:12" ht="13.8" x14ac:dyDescent="0.3">
      <c r="D182" s="25">
        <v>1</v>
      </c>
      <c r="E182" s="24">
        <f>SUM($E$177:$F$177)</f>
        <v>429</v>
      </c>
      <c r="F182" s="24">
        <f>SUM($E$177:$F$177) - $F$177:$F$177</f>
        <v>24</v>
      </c>
      <c r="G182" s="24">
        <f>IF($E$182:$E$182 = 0, "Undefined",$F$182:$F$182*100 / $E$182:$E$182)</f>
        <v>5.5944055944055942</v>
      </c>
      <c r="I182" s="25">
        <v>1</v>
      </c>
      <c r="J182" s="24">
        <f>SUM($J$177:$K$177)</f>
        <v>271</v>
      </c>
      <c r="K182" s="24">
        <f>SUM($J$177:$K$177) - $K$177:$K$177</f>
        <v>36</v>
      </c>
      <c r="L182" s="24">
        <f>IF($J$182:$J$182 = 0, "Undefined",$K$182:$K$182*100 / $J$182:$J$182)</f>
        <v>13.284132841328413</v>
      </c>
    </row>
    <row r="183" spans="2:12" ht="13.8" x14ac:dyDescent="0.3">
      <c r="D183" s="25" t="s">
        <v>336</v>
      </c>
      <c r="E183" s="24">
        <f>SUM($E$181:$E$182)</f>
        <v>600</v>
      </c>
      <c r="F183" s="24">
        <f>SUM($F$181:$F$182)</f>
        <v>74</v>
      </c>
      <c r="G183" s="24">
        <f>IF($E$183:$E$183 = 0, "Undefined",$F$183:$F$183*100 / $E$183:$E$183)</f>
        <v>12.333333333333334</v>
      </c>
      <c r="I183" s="25" t="s">
        <v>336</v>
      </c>
      <c r="J183" s="24">
        <f>SUM($J$181:$J$182)</f>
        <v>400</v>
      </c>
      <c r="K183" s="24">
        <f>SUM($K$181:$K$182)</f>
        <v>108</v>
      </c>
      <c r="L183" s="24">
        <f>IF($J$183:$J$183 = 0, "Undefined",$K$183:$K$183*100 / $J$183:$J$183)</f>
        <v>27</v>
      </c>
    </row>
    <row r="185" spans="2:12" ht="15.6" x14ac:dyDescent="0.3">
      <c r="B185" s="28" t="s">
        <v>339</v>
      </c>
      <c r="D185" s="59" t="s">
        <v>329</v>
      </c>
      <c r="E185" s="60"/>
      <c r="F185" s="61"/>
      <c r="I185" s="59" t="s">
        <v>329</v>
      </c>
      <c r="J185" s="60"/>
      <c r="K185" s="61"/>
    </row>
    <row r="186" spans="2:12" ht="13.8" x14ac:dyDescent="0.3">
      <c r="D186" s="26"/>
      <c r="E186" s="75" t="s">
        <v>330</v>
      </c>
      <c r="F186" s="76"/>
      <c r="I186" s="26"/>
      <c r="J186" s="75" t="s">
        <v>330</v>
      </c>
      <c r="K186" s="76"/>
    </row>
    <row r="187" spans="2:12" ht="13.8" x14ac:dyDescent="0.3">
      <c r="D187" s="25" t="s">
        <v>331</v>
      </c>
      <c r="E187" s="26">
        <v>0</v>
      </c>
      <c r="F187" s="26">
        <v>1</v>
      </c>
      <c r="I187" s="25" t="s">
        <v>331</v>
      </c>
      <c r="J187" s="26">
        <v>0</v>
      </c>
      <c r="K187" s="26">
        <v>1</v>
      </c>
    </row>
    <row r="188" spans="2:12" ht="13.8" x14ac:dyDescent="0.3">
      <c r="D188" s="25">
        <v>0</v>
      </c>
      <c r="E188" s="24">
        <v>142</v>
      </c>
      <c r="F188" s="24">
        <v>29</v>
      </c>
      <c r="I188" s="25">
        <v>0</v>
      </c>
      <c r="J188" s="24">
        <v>52</v>
      </c>
      <c r="K188" s="24">
        <v>77</v>
      </c>
    </row>
    <row r="189" spans="2:12" ht="13.8" x14ac:dyDescent="0.3">
      <c r="D189" s="25">
        <v>1</v>
      </c>
      <c r="E189" s="24">
        <v>9</v>
      </c>
      <c r="F189" s="24">
        <v>420</v>
      </c>
      <c r="I189" s="25">
        <v>1</v>
      </c>
      <c r="J189" s="24">
        <v>44</v>
      </c>
      <c r="K189" s="24">
        <v>227</v>
      </c>
    </row>
    <row r="191" spans="2:12" ht="15.6" x14ac:dyDescent="0.3">
      <c r="D191" s="59" t="s">
        <v>210</v>
      </c>
      <c r="E191" s="60"/>
      <c r="F191" s="60"/>
      <c r="G191" s="61"/>
      <c r="I191" s="59" t="s">
        <v>210</v>
      </c>
      <c r="J191" s="60"/>
      <c r="K191" s="60"/>
      <c r="L191" s="61"/>
    </row>
    <row r="192" spans="2:12" ht="13.8" x14ac:dyDescent="0.3">
      <c r="D192" s="26" t="s">
        <v>332</v>
      </c>
      <c r="E192" s="26" t="s">
        <v>333</v>
      </c>
      <c r="F192" s="26" t="s">
        <v>334</v>
      </c>
      <c r="G192" s="26" t="s">
        <v>335</v>
      </c>
      <c r="I192" s="26" t="s">
        <v>332</v>
      </c>
      <c r="J192" s="26" t="s">
        <v>333</v>
      </c>
      <c r="K192" s="26" t="s">
        <v>334</v>
      </c>
      <c r="L192" s="26" t="s">
        <v>335</v>
      </c>
    </row>
    <row r="193" spans="2:12" ht="13.8" x14ac:dyDescent="0.3">
      <c r="D193" s="25">
        <v>0</v>
      </c>
      <c r="E193" s="24">
        <f>SUM($E$188:$F$188)</f>
        <v>171</v>
      </c>
      <c r="F193" s="24">
        <f>SUM($E$188:$F$188) - $E$188:$E$188</f>
        <v>29</v>
      </c>
      <c r="G193" s="24">
        <f>IF($E$193:$E$193 = 0, "Undefined",$F$193:$F$193*100 / $E$193:$E$193)</f>
        <v>16.959064327485379</v>
      </c>
      <c r="I193" s="25">
        <v>0</v>
      </c>
      <c r="J193" s="24">
        <f>SUM($J$188:$K$188)</f>
        <v>129</v>
      </c>
      <c r="K193" s="24">
        <f>SUM($J$188:$K$188) - $J$188:$J$188</f>
        <v>77</v>
      </c>
      <c r="L193" s="24">
        <f>IF($J$193:$J$193 = 0, "Undefined",$K$193:$K$193*100 / $J$193:$J$193)</f>
        <v>59.689922480620154</v>
      </c>
    </row>
    <row r="194" spans="2:12" ht="13.8" x14ac:dyDescent="0.3">
      <c r="D194" s="25">
        <v>1</v>
      </c>
      <c r="E194" s="24">
        <f>SUM($E$189:$F$189)</f>
        <v>429</v>
      </c>
      <c r="F194" s="24">
        <f>SUM($E$189:$F$189) - $F$189:$F$189</f>
        <v>9</v>
      </c>
      <c r="G194" s="24">
        <f>IF($E$194:$E$194 = 0, "Undefined",$F$194:$F$194*100 / $E$194:$E$194)</f>
        <v>2.0979020979020979</v>
      </c>
      <c r="I194" s="25">
        <v>1</v>
      </c>
      <c r="J194" s="24">
        <f>SUM($J$189:$K$189)</f>
        <v>271</v>
      </c>
      <c r="K194" s="24">
        <f>SUM($J$189:$K$189) - $K$189:$K$189</f>
        <v>44</v>
      </c>
      <c r="L194" s="24">
        <f>IF($J$194:$J$194 = 0, "Undefined",$K$194:$K$194*100 / $J$194:$J$194)</f>
        <v>16.236162361623617</v>
      </c>
    </row>
    <row r="195" spans="2:12" ht="13.8" x14ac:dyDescent="0.3">
      <c r="D195" s="25" t="s">
        <v>336</v>
      </c>
      <c r="E195" s="24">
        <f>SUM($E$193:$E$194)</f>
        <v>600</v>
      </c>
      <c r="F195" s="24">
        <f>SUM($F$193:$F$194)</f>
        <v>38</v>
      </c>
      <c r="G195" s="24">
        <f>IF($E$195:$E$195 = 0, "Undefined",$F$195:$F$195*100 / $E$195:$E$195)</f>
        <v>6.333333333333333</v>
      </c>
      <c r="I195" s="25" t="s">
        <v>336</v>
      </c>
      <c r="J195" s="24">
        <f>SUM($J$193:$J$194)</f>
        <v>400</v>
      </c>
      <c r="K195" s="24">
        <f>SUM($K$193:$K$194)</f>
        <v>121</v>
      </c>
      <c r="L195" s="24">
        <f>IF($J$195:$J$195 = 0, "Undefined",$K$195:$K$195*100 / $J$195:$J$195)</f>
        <v>30.25</v>
      </c>
    </row>
    <row r="197" spans="2:12" ht="15.6" x14ac:dyDescent="0.3">
      <c r="B197" s="28" t="s">
        <v>340</v>
      </c>
      <c r="D197" s="59" t="s">
        <v>329</v>
      </c>
      <c r="E197" s="60"/>
      <c r="F197" s="61"/>
      <c r="I197" s="59" t="s">
        <v>329</v>
      </c>
      <c r="J197" s="60"/>
      <c r="K197" s="61"/>
    </row>
    <row r="198" spans="2:12" ht="13.8" x14ac:dyDescent="0.3">
      <c r="D198" s="26"/>
      <c r="E198" s="75" t="s">
        <v>330</v>
      </c>
      <c r="F198" s="76"/>
      <c r="I198" s="26"/>
      <c r="J198" s="75" t="s">
        <v>330</v>
      </c>
      <c r="K198" s="76"/>
    </row>
    <row r="199" spans="2:12" ht="13.8" x14ac:dyDescent="0.3">
      <c r="D199" s="25" t="s">
        <v>331</v>
      </c>
      <c r="E199" s="26">
        <v>0</v>
      </c>
      <c r="F199" s="26">
        <v>1</v>
      </c>
      <c r="I199" s="25" t="s">
        <v>331</v>
      </c>
      <c r="J199" s="26">
        <v>0</v>
      </c>
      <c r="K199" s="26">
        <v>1</v>
      </c>
    </row>
    <row r="200" spans="2:12" ht="13.8" x14ac:dyDescent="0.3">
      <c r="D200" s="25">
        <v>0</v>
      </c>
      <c r="E200" s="24">
        <v>137</v>
      </c>
      <c r="F200" s="24">
        <v>34</v>
      </c>
      <c r="I200" s="25">
        <v>0</v>
      </c>
      <c r="J200" s="24">
        <v>52</v>
      </c>
      <c r="K200" s="24">
        <v>77</v>
      </c>
    </row>
    <row r="201" spans="2:12" ht="13.8" x14ac:dyDescent="0.3">
      <c r="D201" s="25">
        <v>1</v>
      </c>
      <c r="E201" s="24">
        <v>9</v>
      </c>
      <c r="F201" s="24">
        <v>420</v>
      </c>
      <c r="I201" s="25">
        <v>1</v>
      </c>
      <c r="J201" s="24">
        <v>27</v>
      </c>
      <c r="K201" s="24">
        <v>244</v>
      </c>
    </row>
    <row r="203" spans="2:12" ht="15.6" x14ac:dyDescent="0.3">
      <c r="D203" s="59" t="s">
        <v>210</v>
      </c>
      <c r="E203" s="60"/>
      <c r="F203" s="60"/>
      <c r="G203" s="61"/>
      <c r="I203" s="59" t="s">
        <v>210</v>
      </c>
      <c r="J203" s="60"/>
      <c r="K203" s="60"/>
      <c r="L203" s="61"/>
    </row>
    <row r="204" spans="2:12" ht="13.8" x14ac:dyDescent="0.3">
      <c r="D204" s="26" t="s">
        <v>332</v>
      </c>
      <c r="E204" s="26" t="s">
        <v>333</v>
      </c>
      <c r="F204" s="26" t="s">
        <v>334</v>
      </c>
      <c r="G204" s="26" t="s">
        <v>335</v>
      </c>
      <c r="I204" s="26" t="s">
        <v>332</v>
      </c>
      <c r="J204" s="26" t="s">
        <v>333</v>
      </c>
      <c r="K204" s="26" t="s">
        <v>334</v>
      </c>
      <c r="L204" s="26" t="s">
        <v>335</v>
      </c>
    </row>
    <row r="205" spans="2:12" ht="13.8" x14ac:dyDescent="0.3">
      <c r="D205" s="25">
        <v>0</v>
      </c>
      <c r="E205" s="24">
        <f>SUM($E$200:$F$200)</f>
        <v>171</v>
      </c>
      <c r="F205" s="24">
        <f>SUM($E$200:$F$200) - $E$200:$E$200</f>
        <v>34</v>
      </c>
      <c r="G205" s="24">
        <f>IF($E$205:$E$205 = 0, "Undefined",$F$205:$F$205*100 / $E$205:$E$205)</f>
        <v>19.883040935672515</v>
      </c>
      <c r="I205" s="25">
        <v>0</v>
      </c>
      <c r="J205" s="24">
        <f>SUM($J$200:$K$200)</f>
        <v>129</v>
      </c>
      <c r="K205" s="24">
        <f>SUM($J$200:$K$200) - $J$200:$J$200</f>
        <v>77</v>
      </c>
      <c r="L205" s="24">
        <f>IF($J$205:$J$205 = 0, "Undefined",$K$205:$K$205*100 / $J$205:$J$205)</f>
        <v>59.689922480620154</v>
      </c>
    </row>
    <row r="206" spans="2:12" ht="13.8" x14ac:dyDescent="0.3">
      <c r="D206" s="25">
        <v>1</v>
      </c>
      <c r="E206" s="24">
        <f>SUM($E$201:$F$201)</f>
        <v>429</v>
      </c>
      <c r="F206" s="24">
        <f>SUM($E$201:$F$201) - $F$201:$F$201</f>
        <v>9</v>
      </c>
      <c r="G206" s="24">
        <f>IF($E$206:$E$206 = 0, "Undefined",$F$206:$F$206*100 / $E$206:$E$206)</f>
        <v>2.0979020979020979</v>
      </c>
      <c r="I206" s="25">
        <v>1</v>
      </c>
      <c r="J206" s="24">
        <f>SUM($J$201:$K$201)</f>
        <v>271</v>
      </c>
      <c r="K206" s="24">
        <f>SUM($J$201:$K$201) - $K$201:$K$201</f>
        <v>27</v>
      </c>
      <c r="L206" s="24">
        <f>IF($J$206:$J$206 = 0, "Undefined",$K$206:$K$206*100 / $J$206:$J$206)</f>
        <v>9.9630996309963091</v>
      </c>
    </row>
    <row r="207" spans="2:12" ht="13.8" x14ac:dyDescent="0.3">
      <c r="D207" s="25" t="s">
        <v>336</v>
      </c>
      <c r="E207" s="24">
        <f>SUM($E$205:$E$206)</f>
        <v>600</v>
      </c>
      <c r="F207" s="24">
        <f>SUM($F$205:$F$206)</f>
        <v>43</v>
      </c>
      <c r="G207" s="24">
        <f>IF($E$207:$E$207 = 0, "Undefined",$F$207:$F$207*100 / $E$207:$E$207)</f>
        <v>7.166666666666667</v>
      </c>
      <c r="I207" s="25" t="s">
        <v>336</v>
      </c>
      <c r="J207" s="24">
        <f>SUM($J$205:$J$206)</f>
        <v>400</v>
      </c>
      <c r="K207" s="24">
        <f>SUM($K$205:$K$206)</f>
        <v>104</v>
      </c>
      <c r="L207" s="24">
        <f>IF($J$207:$J$207 = 0, "Undefined",$K$207:$K$207*100 / $J$207:$J$207)</f>
        <v>26</v>
      </c>
    </row>
    <row r="209" spans="2:12" ht="15.6" x14ac:dyDescent="0.3">
      <c r="B209" s="28" t="s">
        <v>341</v>
      </c>
      <c r="D209" s="59" t="s">
        <v>329</v>
      </c>
      <c r="E209" s="60"/>
      <c r="F209" s="61"/>
      <c r="I209" s="59" t="s">
        <v>329</v>
      </c>
      <c r="J209" s="60"/>
      <c r="K209" s="61"/>
    </row>
    <row r="210" spans="2:12" ht="13.8" x14ac:dyDescent="0.3">
      <c r="D210" s="26"/>
      <c r="E210" s="75" t="s">
        <v>330</v>
      </c>
      <c r="F210" s="76"/>
      <c r="I210" s="26"/>
      <c r="J210" s="75" t="s">
        <v>330</v>
      </c>
      <c r="K210" s="76"/>
    </row>
    <row r="211" spans="2:12" ht="13.8" x14ac:dyDescent="0.3">
      <c r="D211" s="25" t="s">
        <v>331</v>
      </c>
      <c r="E211" s="26">
        <v>0</v>
      </c>
      <c r="F211" s="26">
        <v>1</v>
      </c>
      <c r="I211" s="25" t="s">
        <v>331</v>
      </c>
      <c r="J211" s="26">
        <v>0</v>
      </c>
      <c r="K211" s="26">
        <v>1</v>
      </c>
    </row>
    <row r="212" spans="2:12" ht="13.8" x14ac:dyDescent="0.3">
      <c r="D212" s="25">
        <v>0</v>
      </c>
      <c r="E212" s="24">
        <v>150</v>
      </c>
      <c r="F212" s="24">
        <v>21</v>
      </c>
      <c r="I212" s="25">
        <v>0</v>
      </c>
      <c r="J212" s="24">
        <v>58</v>
      </c>
      <c r="K212" s="24">
        <v>71</v>
      </c>
    </row>
    <row r="213" spans="2:12" ht="13.8" x14ac:dyDescent="0.3">
      <c r="D213" s="25">
        <v>1</v>
      </c>
      <c r="E213" s="24">
        <v>12</v>
      </c>
      <c r="F213" s="24">
        <v>417</v>
      </c>
      <c r="I213" s="25">
        <v>1</v>
      </c>
      <c r="J213" s="24">
        <v>28</v>
      </c>
      <c r="K213" s="24">
        <v>243</v>
      </c>
    </row>
    <row r="215" spans="2:12" ht="15.6" x14ac:dyDescent="0.3">
      <c r="D215" s="59" t="s">
        <v>210</v>
      </c>
      <c r="E215" s="60"/>
      <c r="F215" s="60"/>
      <c r="G215" s="61"/>
      <c r="I215" s="59" t="s">
        <v>210</v>
      </c>
      <c r="J215" s="60"/>
      <c r="K215" s="60"/>
      <c r="L215" s="61"/>
    </row>
    <row r="216" spans="2:12" ht="13.8" x14ac:dyDescent="0.3">
      <c r="D216" s="26" t="s">
        <v>332</v>
      </c>
      <c r="E216" s="26" t="s">
        <v>333</v>
      </c>
      <c r="F216" s="26" t="s">
        <v>334</v>
      </c>
      <c r="G216" s="26" t="s">
        <v>335</v>
      </c>
      <c r="I216" s="26" t="s">
        <v>332</v>
      </c>
      <c r="J216" s="26" t="s">
        <v>333</v>
      </c>
      <c r="K216" s="26" t="s">
        <v>334</v>
      </c>
      <c r="L216" s="26" t="s">
        <v>335</v>
      </c>
    </row>
    <row r="217" spans="2:12" ht="13.8" x14ac:dyDescent="0.3">
      <c r="D217" s="25">
        <v>0</v>
      </c>
      <c r="E217" s="24">
        <f>SUM($E$212:$F$212)</f>
        <v>171</v>
      </c>
      <c r="F217" s="24">
        <f>SUM($E$212:$F$212) - $E$212:$E$212</f>
        <v>21</v>
      </c>
      <c r="G217" s="24">
        <f>IF($E$217:$E$217 = 0, "Undefined",$F$217:$F$217*100 / $E$217:$E$217)</f>
        <v>12.280701754385966</v>
      </c>
      <c r="I217" s="25">
        <v>0</v>
      </c>
      <c r="J217" s="24">
        <f>SUM($J$212:$K$212)</f>
        <v>129</v>
      </c>
      <c r="K217" s="24">
        <f>SUM($J$212:$K$212) - $J$212:$J$212</f>
        <v>71</v>
      </c>
      <c r="L217" s="24">
        <f>IF($J$217:$J$217 = 0, "Undefined",$K$217:$K$217*100 / $J$217:$J$217)</f>
        <v>55.038759689922479</v>
      </c>
    </row>
    <row r="218" spans="2:12" ht="13.8" x14ac:dyDescent="0.3">
      <c r="D218" s="25">
        <v>1</v>
      </c>
      <c r="E218" s="24">
        <f>SUM($E$213:$F$213)</f>
        <v>429</v>
      </c>
      <c r="F218" s="24">
        <f>SUM($E$213:$F$213) - $F$213:$F$213</f>
        <v>12</v>
      </c>
      <c r="G218" s="24">
        <f>IF($E$218:$E$218 = 0, "Undefined",$F$218:$F$218*100 / $E$218:$E$218)</f>
        <v>2.7972027972027971</v>
      </c>
      <c r="I218" s="25">
        <v>1</v>
      </c>
      <c r="J218" s="24">
        <f>SUM($J$213:$K$213)</f>
        <v>271</v>
      </c>
      <c r="K218" s="24">
        <f>SUM($J$213:$K$213) - $K$213:$K$213</f>
        <v>28</v>
      </c>
      <c r="L218" s="24">
        <f>IF($J$218:$J$218 = 0, "Undefined",$K$218:$K$218*100 / $J$218:$J$218)</f>
        <v>10.332103321033211</v>
      </c>
    </row>
    <row r="219" spans="2:12" ht="13.8" x14ac:dyDescent="0.3">
      <c r="D219" s="25" t="s">
        <v>336</v>
      </c>
      <c r="E219" s="24">
        <f>SUM($E$217:$E$218)</f>
        <v>600</v>
      </c>
      <c r="F219" s="24">
        <f>SUM($F$217:$F$218)</f>
        <v>33</v>
      </c>
      <c r="G219" s="24">
        <f>IF($E$219:$E$219 = 0, "Undefined",$F$219:$F$219*100 / $E$219:$E$219)</f>
        <v>5.5</v>
      </c>
      <c r="I219" s="25" t="s">
        <v>336</v>
      </c>
      <c r="J219" s="24">
        <f>SUM($J$217:$J$218)</f>
        <v>400</v>
      </c>
      <c r="K219" s="24">
        <f>SUM($K$217:$K$218)</f>
        <v>99</v>
      </c>
      <c r="L219" s="24">
        <f>IF($J$219:$J$219 = 0, "Undefined",$K$219:$K$219*100 / $J$219:$J$219)</f>
        <v>24.75</v>
      </c>
    </row>
    <row r="221" spans="2:12" ht="15.6" x14ac:dyDescent="0.3">
      <c r="B221" s="28" t="s">
        <v>342</v>
      </c>
      <c r="D221" s="59" t="s">
        <v>329</v>
      </c>
      <c r="E221" s="60"/>
      <c r="F221" s="61"/>
      <c r="I221" s="59" t="s">
        <v>329</v>
      </c>
      <c r="J221" s="60"/>
      <c r="K221" s="61"/>
    </row>
    <row r="222" spans="2:12" ht="13.8" x14ac:dyDescent="0.3">
      <c r="D222" s="26"/>
      <c r="E222" s="75" t="s">
        <v>330</v>
      </c>
      <c r="F222" s="76"/>
      <c r="I222" s="26"/>
      <c r="J222" s="75" t="s">
        <v>330</v>
      </c>
      <c r="K222" s="76"/>
    </row>
    <row r="223" spans="2:12" ht="13.8" x14ac:dyDescent="0.3">
      <c r="D223" s="25" t="s">
        <v>331</v>
      </c>
      <c r="E223" s="26">
        <v>0</v>
      </c>
      <c r="F223" s="26">
        <v>1</v>
      </c>
      <c r="I223" s="25" t="s">
        <v>331</v>
      </c>
      <c r="J223" s="26">
        <v>0</v>
      </c>
      <c r="K223" s="26">
        <v>1</v>
      </c>
    </row>
    <row r="224" spans="2:12" ht="13.8" x14ac:dyDescent="0.3">
      <c r="D224" s="25">
        <v>0</v>
      </c>
      <c r="E224" s="24">
        <v>146</v>
      </c>
      <c r="F224" s="24">
        <v>25</v>
      </c>
      <c r="I224" s="25">
        <v>0</v>
      </c>
      <c r="J224" s="24">
        <v>54</v>
      </c>
      <c r="K224" s="24">
        <v>75</v>
      </c>
    </row>
    <row r="225" spans="2:12" ht="13.8" x14ac:dyDescent="0.3">
      <c r="D225" s="25">
        <v>1</v>
      </c>
      <c r="E225" s="24">
        <v>2</v>
      </c>
      <c r="F225" s="24">
        <v>427</v>
      </c>
      <c r="I225" s="25">
        <v>1</v>
      </c>
      <c r="J225" s="24">
        <v>28</v>
      </c>
      <c r="K225" s="24">
        <v>243</v>
      </c>
    </row>
    <row r="227" spans="2:12" ht="15.6" x14ac:dyDescent="0.3">
      <c r="D227" s="59" t="s">
        <v>210</v>
      </c>
      <c r="E227" s="60"/>
      <c r="F227" s="60"/>
      <c r="G227" s="61"/>
      <c r="I227" s="59" t="s">
        <v>210</v>
      </c>
      <c r="J227" s="60"/>
      <c r="K227" s="60"/>
      <c r="L227" s="61"/>
    </row>
    <row r="228" spans="2:12" ht="13.8" x14ac:dyDescent="0.3">
      <c r="D228" s="26" t="s">
        <v>332</v>
      </c>
      <c r="E228" s="26" t="s">
        <v>333</v>
      </c>
      <c r="F228" s="26" t="s">
        <v>334</v>
      </c>
      <c r="G228" s="26" t="s">
        <v>335</v>
      </c>
      <c r="I228" s="26" t="s">
        <v>332</v>
      </c>
      <c r="J228" s="26" t="s">
        <v>333</v>
      </c>
      <c r="K228" s="26" t="s">
        <v>334</v>
      </c>
      <c r="L228" s="26" t="s">
        <v>335</v>
      </c>
    </row>
    <row r="229" spans="2:12" ht="13.8" x14ac:dyDescent="0.3">
      <c r="D229" s="25">
        <v>0</v>
      </c>
      <c r="E229" s="24">
        <f>SUM($E$224:$F$224)</f>
        <v>171</v>
      </c>
      <c r="F229" s="24">
        <f>SUM($E$224:$F$224) - $E$224:$E$224</f>
        <v>25</v>
      </c>
      <c r="G229" s="24">
        <f>IF($E$229:$E$229 = 0, "Undefined",$F$229:$F$229*100 / $E$229:$E$229)</f>
        <v>14.619883040935672</v>
      </c>
      <c r="I229" s="25">
        <v>0</v>
      </c>
      <c r="J229" s="24">
        <f>SUM($J$224:$K$224)</f>
        <v>129</v>
      </c>
      <c r="K229" s="24">
        <f>SUM($J$224:$K$224) - $J$224:$J$224</f>
        <v>75</v>
      </c>
      <c r="L229" s="24">
        <f>IF($J$229:$J$229 = 0, "Undefined",$K$229:$K$229*100 / $J$229:$J$229)</f>
        <v>58.139534883720927</v>
      </c>
    </row>
    <row r="230" spans="2:12" ht="13.8" x14ac:dyDescent="0.3">
      <c r="D230" s="25">
        <v>1</v>
      </c>
      <c r="E230" s="24">
        <f>SUM($E$225:$F$225)</f>
        <v>429</v>
      </c>
      <c r="F230" s="24">
        <f>SUM($E$225:$F$225) - $F$225:$F$225</f>
        <v>2</v>
      </c>
      <c r="G230" s="24">
        <f>IF($E$230:$E$230 = 0, "Undefined",$F$230:$F$230*100 / $E$230:$E$230)</f>
        <v>0.46620046620046618</v>
      </c>
      <c r="I230" s="25">
        <v>1</v>
      </c>
      <c r="J230" s="24">
        <f>SUM($J$225:$K$225)</f>
        <v>271</v>
      </c>
      <c r="K230" s="24">
        <f>SUM($J$225:$K$225) - $K$225:$K$225</f>
        <v>28</v>
      </c>
      <c r="L230" s="24">
        <f>IF($J$230:$J$230 = 0, "Undefined",$K$230:$K$230*100 / $J$230:$J$230)</f>
        <v>10.332103321033211</v>
      </c>
    </row>
    <row r="231" spans="2:12" ht="13.8" x14ac:dyDescent="0.3">
      <c r="D231" s="25" t="s">
        <v>336</v>
      </c>
      <c r="E231" s="24">
        <f>SUM($E$229:$E$230)</f>
        <v>600</v>
      </c>
      <c r="F231" s="24">
        <f>SUM($F$229:$F$230)</f>
        <v>27</v>
      </c>
      <c r="G231" s="24">
        <f>IF($E$231:$E$231 = 0, "Undefined",$F$231:$F$231*100 / $E$231:$E$231)</f>
        <v>4.5</v>
      </c>
      <c r="I231" s="25" t="s">
        <v>336</v>
      </c>
      <c r="J231" s="24">
        <f>SUM($J$229:$J$230)</f>
        <v>400</v>
      </c>
      <c r="K231" s="24">
        <f>SUM($K$229:$K$230)</f>
        <v>103</v>
      </c>
      <c r="L231" s="24">
        <f>IF($J$231:$J$231 = 0, "Undefined",$K$231:$K$231*100 / $J$231:$J$231)</f>
        <v>25.75</v>
      </c>
    </row>
    <row r="233" spans="2:12" ht="15.6" x14ac:dyDescent="0.3">
      <c r="B233" s="28" t="s">
        <v>343</v>
      </c>
      <c r="D233" s="59" t="s">
        <v>329</v>
      </c>
      <c r="E233" s="60"/>
      <c r="F233" s="61"/>
      <c r="I233" s="59" t="s">
        <v>329</v>
      </c>
      <c r="J233" s="60"/>
      <c r="K233" s="61"/>
    </row>
    <row r="234" spans="2:12" ht="13.8" x14ac:dyDescent="0.3">
      <c r="D234" s="26"/>
      <c r="E234" s="75" t="s">
        <v>330</v>
      </c>
      <c r="F234" s="76"/>
      <c r="I234" s="26"/>
      <c r="J234" s="75" t="s">
        <v>330</v>
      </c>
      <c r="K234" s="76"/>
    </row>
    <row r="235" spans="2:12" ht="13.8" x14ac:dyDescent="0.3">
      <c r="D235" s="25" t="s">
        <v>331</v>
      </c>
      <c r="E235" s="26">
        <v>0</v>
      </c>
      <c r="F235" s="26">
        <v>1</v>
      </c>
      <c r="I235" s="25" t="s">
        <v>331</v>
      </c>
      <c r="J235" s="26">
        <v>0</v>
      </c>
      <c r="K235" s="26">
        <v>1</v>
      </c>
    </row>
    <row r="236" spans="2:12" ht="13.8" x14ac:dyDescent="0.3">
      <c r="D236" s="25">
        <v>0</v>
      </c>
      <c r="E236" s="24">
        <v>157</v>
      </c>
      <c r="F236" s="24">
        <v>14</v>
      </c>
      <c r="I236" s="25">
        <v>0</v>
      </c>
      <c r="J236" s="24">
        <v>64</v>
      </c>
      <c r="K236" s="24">
        <v>65</v>
      </c>
    </row>
    <row r="237" spans="2:12" ht="13.8" x14ac:dyDescent="0.3">
      <c r="D237" s="25">
        <v>1</v>
      </c>
      <c r="E237" s="24">
        <v>6</v>
      </c>
      <c r="F237" s="24">
        <v>423</v>
      </c>
      <c r="I237" s="25">
        <v>1</v>
      </c>
      <c r="J237" s="24">
        <v>33</v>
      </c>
      <c r="K237" s="24">
        <v>238</v>
      </c>
    </row>
    <row r="239" spans="2:12" ht="15.6" x14ac:dyDescent="0.3">
      <c r="D239" s="59" t="s">
        <v>210</v>
      </c>
      <c r="E239" s="60"/>
      <c r="F239" s="60"/>
      <c r="G239" s="61"/>
      <c r="I239" s="59" t="s">
        <v>210</v>
      </c>
      <c r="J239" s="60"/>
      <c r="K239" s="60"/>
      <c r="L239" s="61"/>
    </row>
    <row r="240" spans="2:12" ht="13.8" x14ac:dyDescent="0.3">
      <c r="D240" s="26" t="s">
        <v>332</v>
      </c>
      <c r="E240" s="26" t="s">
        <v>333</v>
      </c>
      <c r="F240" s="26" t="s">
        <v>334</v>
      </c>
      <c r="G240" s="26" t="s">
        <v>335</v>
      </c>
      <c r="I240" s="26" t="s">
        <v>332</v>
      </c>
      <c r="J240" s="26" t="s">
        <v>333</v>
      </c>
      <c r="K240" s="26" t="s">
        <v>334</v>
      </c>
      <c r="L240" s="26" t="s">
        <v>335</v>
      </c>
    </row>
    <row r="241" spans="2:12" ht="13.8" x14ac:dyDescent="0.3">
      <c r="D241" s="25">
        <v>0</v>
      </c>
      <c r="E241" s="24">
        <f>SUM($E$236:$F$236)</f>
        <v>171</v>
      </c>
      <c r="F241" s="24">
        <f>SUM($E$236:$F$236) - $E$236:$E$236</f>
        <v>14</v>
      </c>
      <c r="G241" s="24">
        <f>IF($E$241:$E$241 = 0, "Undefined",$F$241:$F$241*100 / $E$241:$E$241)</f>
        <v>8.1871345029239766</v>
      </c>
      <c r="I241" s="25">
        <v>0</v>
      </c>
      <c r="J241" s="24">
        <f>SUM($J$236:$K$236)</f>
        <v>129</v>
      </c>
      <c r="K241" s="24">
        <f>SUM($J$236:$K$236) - $J$236:$J$236</f>
        <v>65</v>
      </c>
      <c r="L241" s="24">
        <f>IF($J$241:$J$241 = 0, "Undefined",$K$241:$K$241*100 / $J$241:$J$241)</f>
        <v>50.387596899224803</v>
      </c>
    </row>
    <row r="242" spans="2:12" ht="13.8" x14ac:dyDescent="0.3">
      <c r="D242" s="25">
        <v>1</v>
      </c>
      <c r="E242" s="24">
        <f>SUM($E$237:$F$237)</f>
        <v>429</v>
      </c>
      <c r="F242" s="24">
        <f>SUM($E$237:$F$237) - $F$237:$F$237</f>
        <v>6</v>
      </c>
      <c r="G242" s="24">
        <f>IF($E$242:$E$242 = 0, "Undefined",$F$242:$F$242*100 / $E$242:$E$242)</f>
        <v>1.3986013986013985</v>
      </c>
      <c r="I242" s="25">
        <v>1</v>
      </c>
      <c r="J242" s="24">
        <f>SUM($J$237:$K$237)</f>
        <v>271</v>
      </c>
      <c r="K242" s="24">
        <f>SUM($J$237:$K$237) - $K$237:$K$237</f>
        <v>33</v>
      </c>
      <c r="L242" s="24">
        <f>IF($J$242:$J$242 = 0, "Undefined",$K$242:$K$242*100 / $J$242:$J$242)</f>
        <v>12.177121771217712</v>
      </c>
    </row>
    <row r="243" spans="2:12" ht="13.8" x14ac:dyDescent="0.3">
      <c r="D243" s="25" t="s">
        <v>336</v>
      </c>
      <c r="E243" s="24">
        <f>SUM($E$241:$E$242)</f>
        <v>600</v>
      </c>
      <c r="F243" s="24">
        <f>SUM($F$241:$F$242)</f>
        <v>20</v>
      </c>
      <c r="G243" s="24">
        <f>IF($E$243:$E$243 = 0, "Undefined",$F$243:$F$243*100 / $E$243:$E$243)</f>
        <v>3.3333333333333335</v>
      </c>
      <c r="I243" s="25" t="s">
        <v>336</v>
      </c>
      <c r="J243" s="24">
        <f>SUM($J$241:$J$242)</f>
        <v>400</v>
      </c>
      <c r="K243" s="24">
        <f>SUM($K$241:$K$242)</f>
        <v>98</v>
      </c>
      <c r="L243" s="24">
        <f>IF($J$243:$J$243 = 0, "Undefined",$K$243:$K$243*100 / $J$243:$J$243)</f>
        <v>24.5</v>
      </c>
    </row>
    <row r="245" spans="2:12" ht="15.6" x14ac:dyDescent="0.3">
      <c r="B245" s="28" t="s">
        <v>344</v>
      </c>
      <c r="D245" s="59" t="s">
        <v>329</v>
      </c>
      <c r="E245" s="60"/>
      <c r="F245" s="61"/>
      <c r="I245" s="59" t="s">
        <v>329</v>
      </c>
      <c r="J245" s="60"/>
      <c r="K245" s="61"/>
    </row>
    <row r="246" spans="2:12" ht="13.8" x14ac:dyDescent="0.3">
      <c r="D246" s="26"/>
      <c r="E246" s="75" t="s">
        <v>330</v>
      </c>
      <c r="F246" s="76"/>
      <c r="I246" s="26"/>
      <c r="J246" s="75" t="s">
        <v>330</v>
      </c>
      <c r="K246" s="76"/>
    </row>
    <row r="247" spans="2:12" ht="13.8" x14ac:dyDescent="0.3">
      <c r="D247" s="25" t="s">
        <v>331</v>
      </c>
      <c r="E247" s="26">
        <v>0</v>
      </c>
      <c r="F247" s="26">
        <v>1</v>
      </c>
      <c r="I247" s="25" t="s">
        <v>331</v>
      </c>
      <c r="J247" s="26">
        <v>0</v>
      </c>
      <c r="K247" s="26">
        <v>1</v>
      </c>
    </row>
    <row r="248" spans="2:12" ht="13.8" x14ac:dyDescent="0.3">
      <c r="D248" s="25">
        <v>0</v>
      </c>
      <c r="E248" s="24">
        <v>155</v>
      </c>
      <c r="F248" s="24">
        <v>16</v>
      </c>
      <c r="I248" s="25">
        <v>0</v>
      </c>
      <c r="J248" s="24">
        <v>63</v>
      </c>
      <c r="K248" s="24">
        <v>66</v>
      </c>
    </row>
    <row r="249" spans="2:12" ht="13.8" x14ac:dyDescent="0.3">
      <c r="D249" s="25">
        <v>1</v>
      </c>
      <c r="E249" s="24">
        <v>4</v>
      </c>
      <c r="F249" s="24">
        <v>425</v>
      </c>
      <c r="I249" s="25">
        <v>1</v>
      </c>
      <c r="J249" s="24">
        <v>36</v>
      </c>
      <c r="K249" s="24">
        <v>235</v>
      </c>
    </row>
    <row r="251" spans="2:12" ht="15.6" x14ac:dyDescent="0.3">
      <c r="D251" s="59" t="s">
        <v>210</v>
      </c>
      <c r="E251" s="60"/>
      <c r="F251" s="60"/>
      <c r="G251" s="61"/>
      <c r="I251" s="59" t="s">
        <v>210</v>
      </c>
      <c r="J251" s="60"/>
      <c r="K251" s="60"/>
      <c r="L251" s="61"/>
    </row>
    <row r="252" spans="2:12" ht="13.8" x14ac:dyDescent="0.3">
      <c r="D252" s="26" t="s">
        <v>332</v>
      </c>
      <c r="E252" s="26" t="s">
        <v>333</v>
      </c>
      <c r="F252" s="26" t="s">
        <v>334</v>
      </c>
      <c r="G252" s="26" t="s">
        <v>335</v>
      </c>
      <c r="I252" s="26" t="s">
        <v>332</v>
      </c>
      <c r="J252" s="26" t="s">
        <v>333</v>
      </c>
      <c r="K252" s="26" t="s">
        <v>334</v>
      </c>
      <c r="L252" s="26" t="s">
        <v>335</v>
      </c>
    </row>
    <row r="253" spans="2:12" ht="13.8" x14ac:dyDescent="0.3">
      <c r="D253" s="25">
        <v>0</v>
      </c>
      <c r="E253" s="24">
        <f>SUM($E$248:$F$248)</f>
        <v>171</v>
      </c>
      <c r="F253" s="24">
        <f>SUM($E$248:$F$248) - $E$248:$E$248</f>
        <v>16</v>
      </c>
      <c r="G253" s="24">
        <f>IF($E$253:$E$253 = 0, "Undefined",$F$253:$F$253*100 / $E$253:$E$253)</f>
        <v>9.3567251461988299</v>
      </c>
      <c r="I253" s="25">
        <v>0</v>
      </c>
      <c r="J253" s="24">
        <f>SUM($J$248:$K$248)</f>
        <v>129</v>
      </c>
      <c r="K253" s="24">
        <f>SUM($J$248:$K$248) - $J$248:$J$248</f>
        <v>66</v>
      </c>
      <c r="L253" s="24">
        <f>IF($J$253:$J$253 = 0, "Undefined",$K$253:$K$253*100 / $J$253:$J$253)</f>
        <v>51.162790697674417</v>
      </c>
    </row>
    <row r="254" spans="2:12" ht="13.8" x14ac:dyDescent="0.3">
      <c r="D254" s="25">
        <v>1</v>
      </c>
      <c r="E254" s="24">
        <f>SUM($E$249:$F$249)</f>
        <v>429</v>
      </c>
      <c r="F254" s="24">
        <f>SUM($E$249:$F$249) - $F$249:$F$249</f>
        <v>4</v>
      </c>
      <c r="G254" s="24">
        <f>IF($E$254:$E$254 = 0, "Undefined",$F$254:$F$254*100 / $E$254:$E$254)</f>
        <v>0.93240093240093236</v>
      </c>
      <c r="I254" s="25">
        <v>1</v>
      </c>
      <c r="J254" s="24">
        <f>SUM($J$249:$K$249)</f>
        <v>271</v>
      </c>
      <c r="K254" s="24">
        <f>SUM($J$249:$K$249) - $K$249:$K$249</f>
        <v>36</v>
      </c>
      <c r="L254" s="24">
        <f>IF($J$254:$J$254 = 0, "Undefined",$K$254:$K$254*100 / $J$254:$J$254)</f>
        <v>13.284132841328413</v>
      </c>
    </row>
    <row r="255" spans="2:12" ht="13.8" x14ac:dyDescent="0.3">
      <c r="D255" s="25" t="s">
        <v>336</v>
      </c>
      <c r="E255" s="24">
        <f>SUM($E$253:$E$254)</f>
        <v>600</v>
      </c>
      <c r="F255" s="24">
        <f>SUM($F$253:$F$254)</f>
        <v>20</v>
      </c>
      <c r="G255" s="24">
        <f>IF($E$255:$E$255 = 0, "Undefined",$F$255:$F$255*100 / $E$255:$E$255)</f>
        <v>3.3333333333333335</v>
      </c>
      <c r="I255" s="25" t="s">
        <v>336</v>
      </c>
      <c r="J255" s="24">
        <f>SUM($J$253:$J$254)</f>
        <v>400</v>
      </c>
      <c r="K255" s="24">
        <f>SUM($K$253:$K$254)</f>
        <v>102</v>
      </c>
      <c r="L255" s="24">
        <f>IF($J$255:$J$255 = 0, "Undefined",$K$255:$K$255*100 / $J$255:$J$255)</f>
        <v>25.5</v>
      </c>
    </row>
    <row r="257" spans="2:12" ht="15.6" x14ac:dyDescent="0.3">
      <c r="B257" s="28" t="s">
        <v>345</v>
      </c>
      <c r="D257" s="59" t="s">
        <v>329</v>
      </c>
      <c r="E257" s="60"/>
      <c r="F257" s="61"/>
      <c r="I257" s="59" t="s">
        <v>329</v>
      </c>
      <c r="J257" s="60"/>
      <c r="K257" s="61"/>
    </row>
    <row r="258" spans="2:12" ht="13.8" x14ac:dyDescent="0.3">
      <c r="D258" s="26"/>
      <c r="E258" s="75" t="s">
        <v>330</v>
      </c>
      <c r="F258" s="76"/>
      <c r="I258" s="26"/>
      <c r="J258" s="75" t="s">
        <v>330</v>
      </c>
      <c r="K258" s="76"/>
    </row>
    <row r="259" spans="2:12" ht="13.8" x14ac:dyDescent="0.3">
      <c r="D259" s="25" t="s">
        <v>331</v>
      </c>
      <c r="E259" s="26">
        <v>0</v>
      </c>
      <c r="F259" s="26">
        <v>1</v>
      </c>
      <c r="I259" s="25" t="s">
        <v>331</v>
      </c>
      <c r="J259" s="26">
        <v>0</v>
      </c>
      <c r="K259" s="26">
        <v>1</v>
      </c>
    </row>
    <row r="260" spans="2:12" ht="13.8" x14ac:dyDescent="0.3">
      <c r="D260" s="25">
        <v>0</v>
      </c>
      <c r="E260" s="24">
        <v>157</v>
      </c>
      <c r="F260" s="24">
        <v>14</v>
      </c>
      <c r="I260" s="25">
        <v>0</v>
      </c>
      <c r="J260" s="24">
        <v>54</v>
      </c>
      <c r="K260" s="24">
        <v>75</v>
      </c>
    </row>
    <row r="261" spans="2:12" ht="13.8" x14ac:dyDescent="0.3">
      <c r="D261" s="25">
        <v>1</v>
      </c>
      <c r="E261" s="24">
        <v>3</v>
      </c>
      <c r="F261" s="24">
        <v>426</v>
      </c>
      <c r="I261" s="25">
        <v>1</v>
      </c>
      <c r="J261" s="24">
        <v>34</v>
      </c>
      <c r="K261" s="24">
        <v>237</v>
      </c>
    </row>
    <row r="263" spans="2:12" ht="15.6" x14ac:dyDescent="0.3">
      <c r="D263" s="59" t="s">
        <v>210</v>
      </c>
      <c r="E263" s="60"/>
      <c r="F263" s="60"/>
      <c r="G263" s="61"/>
      <c r="I263" s="59" t="s">
        <v>210</v>
      </c>
      <c r="J263" s="60"/>
      <c r="K263" s="60"/>
      <c r="L263" s="61"/>
    </row>
    <row r="264" spans="2:12" ht="13.8" x14ac:dyDescent="0.3">
      <c r="D264" s="26" t="s">
        <v>332</v>
      </c>
      <c r="E264" s="26" t="s">
        <v>333</v>
      </c>
      <c r="F264" s="26" t="s">
        <v>334</v>
      </c>
      <c r="G264" s="26" t="s">
        <v>335</v>
      </c>
      <c r="I264" s="26" t="s">
        <v>332</v>
      </c>
      <c r="J264" s="26" t="s">
        <v>333</v>
      </c>
      <c r="K264" s="26" t="s">
        <v>334</v>
      </c>
      <c r="L264" s="26" t="s">
        <v>335</v>
      </c>
    </row>
    <row r="265" spans="2:12" ht="13.8" x14ac:dyDescent="0.3">
      <c r="D265" s="25">
        <v>0</v>
      </c>
      <c r="E265" s="24">
        <f>SUM($E$260:$F$260)</f>
        <v>171</v>
      </c>
      <c r="F265" s="24">
        <f>SUM($E$260:$F$260) - $E$260:$E$260</f>
        <v>14</v>
      </c>
      <c r="G265" s="24">
        <f>IF($E$265:$E$265 = 0, "Undefined",$F$265:$F$265*100 / $E$265:$E$265)</f>
        <v>8.1871345029239766</v>
      </c>
      <c r="I265" s="25">
        <v>0</v>
      </c>
      <c r="J265" s="24">
        <f>SUM($J$260:$K$260)</f>
        <v>129</v>
      </c>
      <c r="K265" s="24">
        <f>SUM($J$260:$K$260) - $J$260:$J$260</f>
        <v>75</v>
      </c>
      <c r="L265" s="24">
        <f>IF($J$265:$J$265 = 0, "Undefined",$K$265:$K$265*100 / $J$265:$J$265)</f>
        <v>58.139534883720927</v>
      </c>
    </row>
    <row r="266" spans="2:12" ht="13.8" x14ac:dyDescent="0.3">
      <c r="D266" s="25">
        <v>1</v>
      </c>
      <c r="E266" s="24">
        <f>SUM($E$261:$F$261)</f>
        <v>429</v>
      </c>
      <c r="F266" s="24">
        <f>SUM($E$261:$F$261) - $F$261:$F$261</f>
        <v>3</v>
      </c>
      <c r="G266" s="24">
        <f>IF($E$266:$E$266 = 0, "Undefined",$F$266:$F$266*100 / $E$266:$E$266)</f>
        <v>0.69930069930069927</v>
      </c>
      <c r="I266" s="25">
        <v>1</v>
      </c>
      <c r="J266" s="24">
        <f>SUM($J$261:$K$261)</f>
        <v>271</v>
      </c>
      <c r="K266" s="24">
        <f>SUM($J$261:$K$261) - $K$261:$K$261</f>
        <v>34</v>
      </c>
      <c r="L266" s="24">
        <f>IF($J$266:$J$266 = 0, "Undefined",$K$266:$K$266*100 / $J$266:$J$266)</f>
        <v>12.546125461254613</v>
      </c>
    </row>
    <row r="267" spans="2:12" ht="13.8" x14ac:dyDescent="0.3">
      <c r="D267" s="25" t="s">
        <v>336</v>
      </c>
      <c r="E267" s="24">
        <f>SUM($E$265:$E$266)</f>
        <v>600</v>
      </c>
      <c r="F267" s="24">
        <f>SUM($F$265:$F$266)</f>
        <v>17</v>
      </c>
      <c r="G267" s="24">
        <f>IF($E$267:$E$267 = 0, "Undefined",$F$267:$F$267*100 / $E$267:$E$267)</f>
        <v>2.8333333333333335</v>
      </c>
      <c r="I267" s="25" t="s">
        <v>336</v>
      </c>
      <c r="J267" s="24">
        <f>SUM($J$265:$J$266)</f>
        <v>400</v>
      </c>
      <c r="K267" s="24">
        <f>SUM($K$265:$K$266)</f>
        <v>109</v>
      </c>
      <c r="L267" s="24">
        <f>IF($J$267:$J$267 = 0, "Undefined",$K$267:$K$267*100 / $J$267:$J$267)</f>
        <v>27.25</v>
      </c>
    </row>
    <row r="269" spans="2:12" ht="15.6" x14ac:dyDescent="0.3">
      <c r="B269" s="28" t="s">
        <v>346</v>
      </c>
      <c r="D269" s="59" t="s">
        <v>329</v>
      </c>
      <c r="E269" s="60"/>
      <c r="F269" s="61"/>
      <c r="I269" s="59" t="s">
        <v>329</v>
      </c>
      <c r="J269" s="60"/>
      <c r="K269" s="61"/>
    </row>
    <row r="270" spans="2:12" ht="13.8" x14ac:dyDescent="0.3">
      <c r="D270" s="26"/>
      <c r="E270" s="75" t="s">
        <v>330</v>
      </c>
      <c r="F270" s="76"/>
      <c r="I270" s="26"/>
      <c r="J270" s="75" t="s">
        <v>330</v>
      </c>
      <c r="K270" s="76"/>
    </row>
    <row r="271" spans="2:12" ht="13.8" x14ac:dyDescent="0.3">
      <c r="D271" s="25" t="s">
        <v>331</v>
      </c>
      <c r="E271" s="26">
        <v>0</v>
      </c>
      <c r="F271" s="26">
        <v>1</v>
      </c>
      <c r="I271" s="25" t="s">
        <v>331</v>
      </c>
      <c r="J271" s="26">
        <v>0</v>
      </c>
      <c r="K271" s="26">
        <v>1</v>
      </c>
    </row>
    <row r="272" spans="2:12" ht="13.8" x14ac:dyDescent="0.3">
      <c r="D272" s="25">
        <v>0</v>
      </c>
      <c r="E272" s="24">
        <v>161</v>
      </c>
      <c r="F272" s="24">
        <v>10</v>
      </c>
      <c r="I272" s="25">
        <v>0</v>
      </c>
      <c r="J272" s="24">
        <v>62</v>
      </c>
      <c r="K272" s="24">
        <v>67</v>
      </c>
    </row>
    <row r="273" spans="2:12" ht="13.8" x14ac:dyDescent="0.3">
      <c r="D273" s="25">
        <v>1</v>
      </c>
      <c r="E273" s="24">
        <v>5</v>
      </c>
      <c r="F273" s="24">
        <v>424</v>
      </c>
      <c r="I273" s="25">
        <v>1</v>
      </c>
      <c r="J273" s="24">
        <v>36</v>
      </c>
      <c r="K273" s="24">
        <v>235</v>
      </c>
    </row>
    <row r="275" spans="2:12" ht="15.6" x14ac:dyDescent="0.3">
      <c r="D275" s="59" t="s">
        <v>210</v>
      </c>
      <c r="E275" s="60"/>
      <c r="F275" s="60"/>
      <c r="G275" s="61"/>
      <c r="I275" s="59" t="s">
        <v>210</v>
      </c>
      <c r="J275" s="60"/>
      <c r="K275" s="60"/>
      <c r="L275" s="61"/>
    </row>
    <row r="276" spans="2:12" ht="13.8" x14ac:dyDescent="0.3">
      <c r="D276" s="26" t="s">
        <v>332</v>
      </c>
      <c r="E276" s="26" t="s">
        <v>333</v>
      </c>
      <c r="F276" s="26" t="s">
        <v>334</v>
      </c>
      <c r="G276" s="26" t="s">
        <v>335</v>
      </c>
      <c r="I276" s="26" t="s">
        <v>332</v>
      </c>
      <c r="J276" s="26" t="s">
        <v>333</v>
      </c>
      <c r="K276" s="26" t="s">
        <v>334</v>
      </c>
      <c r="L276" s="26" t="s">
        <v>335</v>
      </c>
    </row>
    <row r="277" spans="2:12" ht="13.8" x14ac:dyDescent="0.3">
      <c r="D277" s="25">
        <v>0</v>
      </c>
      <c r="E277" s="24">
        <f>SUM($E$272:$F$272)</f>
        <v>171</v>
      </c>
      <c r="F277" s="24">
        <f>SUM($E$272:$F$272) - $E$272:$E$272</f>
        <v>10</v>
      </c>
      <c r="G277" s="24">
        <f>IF($E$277:$E$277 = 0, "Undefined",$F$277:$F$277*100 / $E$277:$E$277)</f>
        <v>5.8479532163742691</v>
      </c>
      <c r="I277" s="25">
        <v>0</v>
      </c>
      <c r="J277" s="24">
        <f>SUM($J$272:$K$272)</f>
        <v>129</v>
      </c>
      <c r="K277" s="24">
        <f>SUM($J$272:$K$272) - $J$272:$J$272</f>
        <v>67</v>
      </c>
      <c r="L277" s="24">
        <f>IF($J$277:$J$277 = 0, "Undefined",$K$277:$K$277*100 / $J$277:$J$277)</f>
        <v>51.937984496124031</v>
      </c>
    </row>
    <row r="278" spans="2:12" ht="13.8" x14ac:dyDescent="0.3">
      <c r="D278" s="25">
        <v>1</v>
      </c>
      <c r="E278" s="24">
        <f>SUM($E$273:$F$273)</f>
        <v>429</v>
      </c>
      <c r="F278" s="24">
        <f>SUM($E$273:$F$273) - $F$273:$F$273</f>
        <v>5</v>
      </c>
      <c r="G278" s="24">
        <f>IF($E$278:$E$278 = 0, "Undefined",$F$278:$F$278*100 / $E$278:$E$278)</f>
        <v>1.1655011655011656</v>
      </c>
      <c r="I278" s="25">
        <v>1</v>
      </c>
      <c r="J278" s="24">
        <f>SUM($J$273:$K$273)</f>
        <v>271</v>
      </c>
      <c r="K278" s="24">
        <f>SUM($J$273:$K$273) - $K$273:$K$273</f>
        <v>36</v>
      </c>
      <c r="L278" s="24">
        <f>IF($J$278:$J$278 = 0, "Undefined",$K$278:$K$278*100 / $J$278:$J$278)</f>
        <v>13.284132841328413</v>
      </c>
    </row>
    <row r="279" spans="2:12" ht="13.8" x14ac:dyDescent="0.3">
      <c r="D279" s="25" t="s">
        <v>336</v>
      </c>
      <c r="E279" s="24">
        <f>SUM($E$277:$E$278)</f>
        <v>600</v>
      </c>
      <c r="F279" s="24">
        <f>SUM($F$277:$F$278)</f>
        <v>15</v>
      </c>
      <c r="G279" s="24">
        <f>IF($E$279:$E$279 = 0, "Undefined",$F$279:$F$279*100 / $E$279:$E$279)</f>
        <v>2.5</v>
      </c>
      <c r="I279" s="25" t="s">
        <v>336</v>
      </c>
      <c r="J279" s="24">
        <f>SUM($J$277:$J$278)</f>
        <v>400</v>
      </c>
      <c r="K279" s="24">
        <f>SUM($K$277:$K$278)</f>
        <v>103</v>
      </c>
      <c r="L279" s="24">
        <f>IF($J$279:$J$279 = 0, "Undefined",$K$279:$K$279*100 / $J$279:$J$279)</f>
        <v>25.75</v>
      </c>
    </row>
    <row r="281" spans="2:12" ht="15.6" x14ac:dyDescent="0.3">
      <c r="B281" s="28" t="s">
        <v>347</v>
      </c>
      <c r="D281" s="59" t="s">
        <v>329</v>
      </c>
      <c r="E281" s="60"/>
      <c r="F281" s="61"/>
      <c r="I281" s="59" t="s">
        <v>329</v>
      </c>
      <c r="J281" s="60"/>
      <c r="K281" s="61"/>
    </row>
    <row r="282" spans="2:12" ht="13.8" x14ac:dyDescent="0.3">
      <c r="D282" s="26"/>
      <c r="E282" s="75" t="s">
        <v>330</v>
      </c>
      <c r="F282" s="76"/>
      <c r="I282" s="26"/>
      <c r="J282" s="75" t="s">
        <v>330</v>
      </c>
      <c r="K282" s="76"/>
    </row>
    <row r="283" spans="2:12" ht="13.8" x14ac:dyDescent="0.3">
      <c r="D283" s="25" t="s">
        <v>331</v>
      </c>
      <c r="E283" s="26">
        <v>0</v>
      </c>
      <c r="F283" s="26">
        <v>1</v>
      </c>
      <c r="I283" s="25" t="s">
        <v>331</v>
      </c>
      <c r="J283" s="26">
        <v>0</v>
      </c>
      <c r="K283" s="26">
        <v>1</v>
      </c>
    </row>
    <row r="284" spans="2:12" ht="13.8" x14ac:dyDescent="0.3">
      <c r="D284" s="25">
        <v>0</v>
      </c>
      <c r="E284" s="24">
        <v>161</v>
      </c>
      <c r="F284" s="24">
        <v>10</v>
      </c>
      <c r="I284" s="25">
        <v>0</v>
      </c>
      <c r="J284" s="24">
        <v>62</v>
      </c>
      <c r="K284" s="24">
        <v>67</v>
      </c>
    </row>
    <row r="285" spans="2:12" ht="13.8" x14ac:dyDescent="0.3">
      <c r="D285" s="25">
        <v>1</v>
      </c>
      <c r="E285" s="24">
        <v>0</v>
      </c>
      <c r="F285" s="24">
        <v>429</v>
      </c>
      <c r="I285" s="25">
        <v>1</v>
      </c>
      <c r="J285" s="24">
        <v>30</v>
      </c>
      <c r="K285" s="24">
        <v>241</v>
      </c>
    </row>
    <row r="287" spans="2:12" ht="15.6" x14ac:dyDescent="0.3">
      <c r="D287" s="59" t="s">
        <v>210</v>
      </c>
      <c r="E287" s="60"/>
      <c r="F287" s="60"/>
      <c r="G287" s="61"/>
      <c r="I287" s="59" t="s">
        <v>210</v>
      </c>
      <c r="J287" s="60"/>
      <c r="K287" s="60"/>
      <c r="L287" s="61"/>
    </row>
    <row r="288" spans="2:12" ht="13.8" x14ac:dyDescent="0.3">
      <c r="D288" s="26" t="s">
        <v>332</v>
      </c>
      <c r="E288" s="26" t="s">
        <v>333</v>
      </c>
      <c r="F288" s="26" t="s">
        <v>334</v>
      </c>
      <c r="G288" s="26" t="s">
        <v>335</v>
      </c>
      <c r="I288" s="26" t="s">
        <v>332</v>
      </c>
      <c r="J288" s="26" t="s">
        <v>333</v>
      </c>
      <c r="K288" s="26" t="s">
        <v>334</v>
      </c>
      <c r="L288" s="26" t="s">
        <v>335</v>
      </c>
    </row>
    <row r="289" spans="2:12" ht="13.8" x14ac:dyDescent="0.3">
      <c r="D289" s="25">
        <v>0</v>
      </c>
      <c r="E289" s="24">
        <f>SUM($E$284:$F$284)</f>
        <v>171</v>
      </c>
      <c r="F289" s="24">
        <f>SUM($E$284:$F$284) - $E$284:$E$284</f>
        <v>10</v>
      </c>
      <c r="G289" s="24">
        <f>IF($E$289:$E$289 = 0, "Undefined",$F$289:$F$289*100 / $E$289:$E$289)</f>
        <v>5.8479532163742691</v>
      </c>
      <c r="I289" s="25">
        <v>0</v>
      </c>
      <c r="J289" s="24">
        <f>SUM($J$284:$K$284)</f>
        <v>129</v>
      </c>
      <c r="K289" s="24">
        <f>SUM($J$284:$K$284) - $J$284:$J$284</f>
        <v>67</v>
      </c>
      <c r="L289" s="24">
        <f>IF($J$289:$J$289 = 0, "Undefined",$K$289:$K$289*100 / $J$289:$J$289)</f>
        <v>51.937984496124031</v>
      </c>
    </row>
    <row r="290" spans="2:12" ht="13.8" x14ac:dyDescent="0.3">
      <c r="D290" s="25">
        <v>1</v>
      </c>
      <c r="E290" s="24">
        <f>SUM($E$285:$F$285)</f>
        <v>429</v>
      </c>
      <c r="F290" s="24">
        <f>SUM($E$285:$F$285) - $F$285:$F$285</f>
        <v>0</v>
      </c>
      <c r="G290" s="24">
        <f>IF($E$290:$E$290 = 0, "Undefined",$F$290:$F$290*100 / $E$290:$E$290)</f>
        <v>0</v>
      </c>
      <c r="I290" s="25">
        <v>1</v>
      </c>
      <c r="J290" s="24">
        <f>SUM($J$285:$K$285)</f>
        <v>271</v>
      </c>
      <c r="K290" s="24">
        <f>SUM($J$285:$K$285) - $K$285:$K$285</f>
        <v>30</v>
      </c>
      <c r="L290" s="24">
        <f>IF($J$290:$J$290 = 0, "Undefined",$K$290:$K$290*100 / $J$290:$J$290)</f>
        <v>11.07011070110701</v>
      </c>
    </row>
    <row r="291" spans="2:12" ht="13.8" x14ac:dyDescent="0.3">
      <c r="D291" s="25" t="s">
        <v>336</v>
      </c>
      <c r="E291" s="24">
        <f>SUM($E$289:$E$290)</f>
        <v>600</v>
      </c>
      <c r="F291" s="24">
        <f>SUM($F$289:$F$290)</f>
        <v>10</v>
      </c>
      <c r="G291" s="24">
        <f>IF($E$291:$E$291 = 0, "Undefined",$F$291:$F$291*100 / $E$291:$E$291)</f>
        <v>1.6666666666666667</v>
      </c>
      <c r="I291" s="25" t="s">
        <v>336</v>
      </c>
      <c r="J291" s="24">
        <f>SUM($J$289:$J$290)</f>
        <v>400</v>
      </c>
      <c r="K291" s="24">
        <f>SUM($K$289:$K$290)</f>
        <v>97</v>
      </c>
      <c r="L291" s="24">
        <f>IF($J$291:$J$291 = 0, "Undefined",$K$291:$K$291*100 / $J$291:$J$291)</f>
        <v>24.25</v>
      </c>
    </row>
    <row r="293" spans="2:12" ht="15.6" x14ac:dyDescent="0.3">
      <c r="B293" s="28" t="s">
        <v>348</v>
      </c>
      <c r="D293" s="59" t="s">
        <v>329</v>
      </c>
      <c r="E293" s="60"/>
      <c r="F293" s="61"/>
      <c r="I293" s="59" t="s">
        <v>329</v>
      </c>
      <c r="J293" s="60"/>
      <c r="K293" s="61"/>
    </row>
    <row r="294" spans="2:12" ht="13.8" x14ac:dyDescent="0.3">
      <c r="D294" s="26"/>
      <c r="E294" s="75" t="s">
        <v>330</v>
      </c>
      <c r="F294" s="76"/>
      <c r="I294" s="26"/>
      <c r="J294" s="75" t="s">
        <v>330</v>
      </c>
      <c r="K294" s="76"/>
    </row>
    <row r="295" spans="2:12" ht="13.8" x14ac:dyDescent="0.3">
      <c r="D295" s="25" t="s">
        <v>331</v>
      </c>
      <c r="E295" s="26">
        <v>0</v>
      </c>
      <c r="F295" s="26">
        <v>1</v>
      </c>
      <c r="I295" s="25" t="s">
        <v>331</v>
      </c>
      <c r="J295" s="26">
        <v>0</v>
      </c>
      <c r="K295" s="26">
        <v>1</v>
      </c>
    </row>
    <row r="296" spans="2:12" ht="13.8" x14ac:dyDescent="0.3">
      <c r="D296" s="25">
        <v>0</v>
      </c>
      <c r="E296" s="24">
        <v>161</v>
      </c>
      <c r="F296" s="24">
        <v>10</v>
      </c>
      <c r="I296" s="25">
        <v>0</v>
      </c>
      <c r="J296" s="24">
        <v>66</v>
      </c>
      <c r="K296" s="24">
        <v>63</v>
      </c>
    </row>
    <row r="297" spans="2:12" ht="13.8" x14ac:dyDescent="0.3">
      <c r="D297" s="25">
        <v>1</v>
      </c>
      <c r="E297" s="24">
        <v>2</v>
      </c>
      <c r="F297" s="24">
        <v>427</v>
      </c>
      <c r="I297" s="25">
        <v>1</v>
      </c>
      <c r="J297" s="24">
        <v>30</v>
      </c>
      <c r="K297" s="24">
        <v>241</v>
      </c>
    </row>
    <row r="299" spans="2:12" ht="15.6" x14ac:dyDescent="0.3">
      <c r="D299" s="59" t="s">
        <v>210</v>
      </c>
      <c r="E299" s="60"/>
      <c r="F299" s="60"/>
      <c r="G299" s="61"/>
      <c r="I299" s="59" t="s">
        <v>210</v>
      </c>
      <c r="J299" s="60"/>
      <c r="K299" s="60"/>
      <c r="L299" s="61"/>
    </row>
    <row r="300" spans="2:12" ht="13.8" x14ac:dyDescent="0.3">
      <c r="D300" s="26" t="s">
        <v>332</v>
      </c>
      <c r="E300" s="26" t="s">
        <v>333</v>
      </c>
      <c r="F300" s="26" t="s">
        <v>334</v>
      </c>
      <c r="G300" s="26" t="s">
        <v>335</v>
      </c>
      <c r="I300" s="26" t="s">
        <v>332</v>
      </c>
      <c r="J300" s="26" t="s">
        <v>333</v>
      </c>
      <c r="K300" s="26" t="s">
        <v>334</v>
      </c>
      <c r="L300" s="26" t="s">
        <v>335</v>
      </c>
    </row>
    <row r="301" spans="2:12" ht="13.8" x14ac:dyDescent="0.3">
      <c r="D301" s="25">
        <v>0</v>
      </c>
      <c r="E301" s="24">
        <f>SUM($E$296:$F$296)</f>
        <v>171</v>
      </c>
      <c r="F301" s="24">
        <f>SUM($E$296:$F$296) - $E$296:$E$296</f>
        <v>10</v>
      </c>
      <c r="G301" s="24">
        <f>IF($E$301:$E$301 = 0, "Undefined",$F$301:$F$301*100 / $E$301:$E$301)</f>
        <v>5.8479532163742691</v>
      </c>
      <c r="I301" s="25">
        <v>0</v>
      </c>
      <c r="J301" s="24">
        <f>SUM($J$296:$K$296)</f>
        <v>129</v>
      </c>
      <c r="K301" s="24">
        <f>SUM($J$296:$K$296) - $J$296:$J$296</f>
        <v>63</v>
      </c>
      <c r="L301" s="24">
        <f>IF($J$301:$J$301 = 0, "Undefined",$K$301:$K$301*100 / $J$301:$J$301)</f>
        <v>48.837209302325583</v>
      </c>
    </row>
    <row r="302" spans="2:12" ht="13.8" x14ac:dyDescent="0.3">
      <c r="D302" s="25">
        <v>1</v>
      </c>
      <c r="E302" s="24">
        <f>SUM($E$297:$F$297)</f>
        <v>429</v>
      </c>
      <c r="F302" s="24">
        <f>SUM($E$297:$F$297) - $F$297:$F$297</f>
        <v>2</v>
      </c>
      <c r="G302" s="24">
        <f>IF($E$302:$E$302 = 0, "Undefined",$F$302:$F$302*100 / $E$302:$E$302)</f>
        <v>0.46620046620046618</v>
      </c>
      <c r="I302" s="25">
        <v>1</v>
      </c>
      <c r="J302" s="24">
        <f>SUM($J$297:$K$297)</f>
        <v>271</v>
      </c>
      <c r="K302" s="24">
        <f>SUM($J$297:$K$297) - $K$297:$K$297</f>
        <v>30</v>
      </c>
      <c r="L302" s="24">
        <f>IF($J$302:$J$302 = 0, "Undefined",$K$302:$K$302*100 / $J$302:$J$302)</f>
        <v>11.07011070110701</v>
      </c>
    </row>
    <row r="303" spans="2:12" ht="13.8" x14ac:dyDescent="0.3">
      <c r="D303" s="25" t="s">
        <v>336</v>
      </c>
      <c r="E303" s="24">
        <f>SUM($E$301:$E$302)</f>
        <v>600</v>
      </c>
      <c r="F303" s="24">
        <f>SUM($F$301:$F$302)</f>
        <v>12</v>
      </c>
      <c r="G303" s="24">
        <f>IF($E$303:$E$303 = 0, "Undefined",$F$303:$F$303*100 / $E$303:$E$303)</f>
        <v>2</v>
      </c>
      <c r="I303" s="25" t="s">
        <v>336</v>
      </c>
      <c r="J303" s="24">
        <f>SUM($J$301:$J$302)</f>
        <v>400</v>
      </c>
      <c r="K303" s="24">
        <f>SUM($K$301:$K$302)</f>
        <v>93</v>
      </c>
      <c r="L303" s="24">
        <f>IF($J$303:$J$303 = 0, "Undefined",$K$303:$K$303*100 / $J$303:$J$303)</f>
        <v>23.25</v>
      </c>
    </row>
    <row r="305" spans="2:12" ht="15.6" x14ac:dyDescent="0.3">
      <c r="B305" s="28" t="s">
        <v>349</v>
      </c>
      <c r="D305" s="59" t="s">
        <v>329</v>
      </c>
      <c r="E305" s="60"/>
      <c r="F305" s="61"/>
      <c r="I305" s="59" t="s">
        <v>329</v>
      </c>
      <c r="J305" s="60"/>
      <c r="K305" s="61"/>
    </row>
    <row r="306" spans="2:12" ht="13.8" x14ac:dyDescent="0.3">
      <c r="D306" s="26"/>
      <c r="E306" s="75" t="s">
        <v>330</v>
      </c>
      <c r="F306" s="76"/>
      <c r="I306" s="26"/>
      <c r="J306" s="75" t="s">
        <v>330</v>
      </c>
      <c r="K306" s="76"/>
    </row>
    <row r="307" spans="2:12" ht="13.8" x14ac:dyDescent="0.3">
      <c r="D307" s="25" t="s">
        <v>331</v>
      </c>
      <c r="E307" s="26">
        <v>0</v>
      </c>
      <c r="F307" s="26">
        <v>1</v>
      </c>
      <c r="I307" s="25" t="s">
        <v>331</v>
      </c>
      <c r="J307" s="26">
        <v>0</v>
      </c>
      <c r="K307" s="26">
        <v>1</v>
      </c>
    </row>
    <row r="308" spans="2:12" ht="13.8" x14ac:dyDescent="0.3">
      <c r="D308" s="25">
        <v>0</v>
      </c>
      <c r="E308" s="24">
        <v>158</v>
      </c>
      <c r="F308" s="24">
        <v>13</v>
      </c>
      <c r="I308" s="25">
        <v>0</v>
      </c>
      <c r="J308" s="24">
        <v>56</v>
      </c>
      <c r="K308" s="24">
        <v>73</v>
      </c>
    </row>
    <row r="309" spans="2:12" ht="13.8" x14ac:dyDescent="0.3">
      <c r="D309" s="25">
        <v>1</v>
      </c>
      <c r="E309" s="24">
        <v>2</v>
      </c>
      <c r="F309" s="24">
        <v>427</v>
      </c>
      <c r="I309" s="25">
        <v>1</v>
      </c>
      <c r="J309" s="24">
        <v>29</v>
      </c>
      <c r="K309" s="24">
        <v>242</v>
      </c>
    </row>
    <row r="311" spans="2:12" ht="15.6" x14ac:dyDescent="0.3">
      <c r="D311" s="59" t="s">
        <v>210</v>
      </c>
      <c r="E311" s="60"/>
      <c r="F311" s="60"/>
      <c r="G311" s="61"/>
      <c r="I311" s="59" t="s">
        <v>210</v>
      </c>
      <c r="J311" s="60"/>
      <c r="K311" s="60"/>
      <c r="L311" s="61"/>
    </row>
    <row r="312" spans="2:12" ht="13.8" x14ac:dyDescent="0.3">
      <c r="D312" s="26" t="s">
        <v>332</v>
      </c>
      <c r="E312" s="26" t="s">
        <v>333</v>
      </c>
      <c r="F312" s="26" t="s">
        <v>334</v>
      </c>
      <c r="G312" s="26" t="s">
        <v>335</v>
      </c>
      <c r="I312" s="26" t="s">
        <v>332</v>
      </c>
      <c r="J312" s="26" t="s">
        <v>333</v>
      </c>
      <c r="K312" s="26" t="s">
        <v>334</v>
      </c>
      <c r="L312" s="26" t="s">
        <v>335</v>
      </c>
    </row>
    <row r="313" spans="2:12" ht="13.8" x14ac:dyDescent="0.3">
      <c r="D313" s="25">
        <v>0</v>
      </c>
      <c r="E313" s="24">
        <f>SUM($E$308:$F$308)</f>
        <v>171</v>
      </c>
      <c r="F313" s="24">
        <f>SUM($E$308:$F$308) - $E$308:$E$308</f>
        <v>13</v>
      </c>
      <c r="G313" s="24">
        <f>IF($E$313:$E$313 = 0, "Undefined",$F$313:$F$313*100 / $E$313:$E$313)</f>
        <v>7.60233918128655</v>
      </c>
      <c r="I313" s="25">
        <v>0</v>
      </c>
      <c r="J313" s="24">
        <f>SUM($J$308:$K$308)</f>
        <v>129</v>
      </c>
      <c r="K313" s="24">
        <f>SUM($J$308:$K$308) - $J$308:$J$308</f>
        <v>73</v>
      </c>
      <c r="L313" s="24">
        <f>IF($J$313:$J$313 = 0, "Undefined",$K$313:$K$313*100 / $J$313:$J$313)</f>
        <v>56.589147286821706</v>
      </c>
    </row>
    <row r="314" spans="2:12" ht="13.8" x14ac:dyDescent="0.3">
      <c r="D314" s="25">
        <v>1</v>
      </c>
      <c r="E314" s="24">
        <f>SUM($E$309:$F$309)</f>
        <v>429</v>
      </c>
      <c r="F314" s="24">
        <f>SUM($E$309:$F$309) - $F$309:$F$309</f>
        <v>2</v>
      </c>
      <c r="G314" s="24">
        <f>IF($E$314:$E$314 = 0, "Undefined",$F$314:$F$314*100 / $E$314:$E$314)</f>
        <v>0.46620046620046618</v>
      </c>
      <c r="I314" s="25">
        <v>1</v>
      </c>
      <c r="J314" s="24">
        <f>SUM($J$309:$K$309)</f>
        <v>271</v>
      </c>
      <c r="K314" s="24">
        <f>SUM($J$309:$K$309) - $K$309:$K$309</f>
        <v>29</v>
      </c>
      <c r="L314" s="24">
        <f>IF($J$314:$J$314 = 0, "Undefined",$K$314:$K$314*100 / $J$314:$J$314)</f>
        <v>10.701107011070111</v>
      </c>
    </row>
    <row r="315" spans="2:12" ht="13.8" x14ac:dyDescent="0.3">
      <c r="D315" s="25" t="s">
        <v>336</v>
      </c>
      <c r="E315" s="24">
        <f>SUM($E$313:$E$314)</f>
        <v>600</v>
      </c>
      <c r="F315" s="24">
        <f>SUM($F$313:$F$314)</f>
        <v>15</v>
      </c>
      <c r="G315" s="24">
        <f>IF($E$315:$E$315 = 0, "Undefined",$F$315:$F$315*100 / $E$315:$E$315)</f>
        <v>2.5</v>
      </c>
      <c r="I315" s="25" t="s">
        <v>336</v>
      </c>
      <c r="J315" s="24">
        <f>SUM($J$313:$J$314)</f>
        <v>400</v>
      </c>
      <c r="K315" s="24">
        <f>SUM($K$313:$K$314)</f>
        <v>102</v>
      </c>
      <c r="L315" s="24">
        <f>IF($J$315:$J$315 = 0, "Undefined",$K$315:$K$315*100 / $J$315:$J$315)</f>
        <v>25.5</v>
      </c>
    </row>
    <row r="317" spans="2:12" ht="15.6" x14ac:dyDescent="0.3">
      <c r="B317" s="28" t="s">
        <v>350</v>
      </c>
      <c r="D317" s="59" t="s">
        <v>329</v>
      </c>
      <c r="E317" s="60"/>
      <c r="F317" s="61"/>
      <c r="I317" s="59" t="s">
        <v>329</v>
      </c>
      <c r="J317" s="60"/>
      <c r="K317" s="61"/>
    </row>
    <row r="318" spans="2:12" ht="13.8" x14ac:dyDescent="0.3">
      <c r="D318" s="26"/>
      <c r="E318" s="75" t="s">
        <v>330</v>
      </c>
      <c r="F318" s="76"/>
      <c r="I318" s="26"/>
      <c r="J318" s="75" t="s">
        <v>330</v>
      </c>
      <c r="K318" s="76"/>
    </row>
    <row r="319" spans="2:12" ht="13.8" x14ac:dyDescent="0.3">
      <c r="D319" s="25" t="s">
        <v>331</v>
      </c>
      <c r="E319" s="26">
        <v>0</v>
      </c>
      <c r="F319" s="26">
        <v>1</v>
      </c>
      <c r="I319" s="25" t="s">
        <v>331</v>
      </c>
      <c r="J319" s="26">
        <v>0</v>
      </c>
      <c r="K319" s="26">
        <v>1</v>
      </c>
    </row>
    <row r="320" spans="2:12" ht="13.8" x14ac:dyDescent="0.3">
      <c r="D320" s="25">
        <v>0</v>
      </c>
      <c r="E320" s="24">
        <v>163</v>
      </c>
      <c r="F320" s="24">
        <v>8</v>
      </c>
      <c r="I320" s="25">
        <v>0</v>
      </c>
      <c r="J320" s="24">
        <v>62</v>
      </c>
      <c r="K320" s="24">
        <v>67</v>
      </c>
    </row>
    <row r="321" spans="2:12" ht="13.8" x14ac:dyDescent="0.3">
      <c r="D321" s="25">
        <v>1</v>
      </c>
      <c r="E321" s="24">
        <v>1</v>
      </c>
      <c r="F321" s="24">
        <v>428</v>
      </c>
      <c r="I321" s="25">
        <v>1</v>
      </c>
      <c r="J321" s="24">
        <v>39</v>
      </c>
      <c r="K321" s="24">
        <v>232</v>
      </c>
    </row>
    <row r="323" spans="2:12" ht="15.6" x14ac:dyDescent="0.3">
      <c r="D323" s="59" t="s">
        <v>210</v>
      </c>
      <c r="E323" s="60"/>
      <c r="F323" s="60"/>
      <c r="G323" s="61"/>
      <c r="I323" s="59" t="s">
        <v>210</v>
      </c>
      <c r="J323" s="60"/>
      <c r="K323" s="60"/>
      <c r="L323" s="61"/>
    </row>
    <row r="324" spans="2:12" ht="13.8" x14ac:dyDescent="0.3">
      <c r="D324" s="26" t="s">
        <v>332</v>
      </c>
      <c r="E324" s="26" t="s">
        <v>333</v>
      </c>
      <c r="F324" s="26" t="s">
        <v>334</v>
      </c>
      <c r="G324" s="26" t="s">
        <v>335</v>
      </c>
      <c r="I324" s="26" t="s">
        <v>332</v>
      </c>
      <c r="J324" s="26" t="s">
        <v>333</v>
      </c>
      <c r="K324" s="26" t="s">
        <v>334</v>
      </c>
      <c r="L324" s="26" t="s">
        <v>335</v>
      </c>
    </row>
    <row r="325" spans="2:12" ht="13.8" x14ac:dyDescent="0.3">
      <c r="D325" s="25">
        <v>0</v>
      </c>
      <c r="E325" s="24">
        <f>SUM($E$320:$F$320)</f>
        <v>171</v>
      </c>
      <c r="F325" s="24">
        <f>SUM($E$320:$F$320) - $E$320:$E$320</f>
        <v>8</v>
      </c>
      <c r="G325" s="24">
        <f>IF($E$325:$E$325 = 0, "Undefined",$F$325:$F$325*100 / $E$325:$E$325)</f>
        <v>4.6783625730994149</v>
      </c>
      <c r="I325" s="25">
        <v>0</v>
      </c>
      <c r="J325" s="24">
        <f>SUM($J$320:$K$320)</f>
        <v>129</v>
      </c>
      <c r="K325" s="24">
        <f>SUM($J$320:$K$320) - $J$320:$J$320</f>
        <v>67</v>
      </c>
      <c r="L325" s="24">
        <f>IF($J$325:$J$325 = 0, "Undefined",$K$325:$K$325*100 / $J$325:$J$325)</f>
        <v>51.937984496124031</v>
      </c>
    </row>
    <row r="326" spans="2:12" ht="13.8" x14ac:dyDescent="0.3">
      <c r="D326" s="25">
        <v>1</v>
      </c>
      <c r="E326" s="24">
        <f>SUM($E$321:$F$321)</f>
        <v>429</v>
      </c>
      <c r="F326" s="24">
        <f>SUM($E$321:$F$321) - $F$321:$F$321</f>
        <v>1</v>
      </c>
      <c r="G326" s="24">
        <f>IF($E$326:$E$326 = 0, "Undefined",$F$326:$F$326*100 / $E$326:$E$326)</f>
        <v>0.23310023310023309</v>
      </c>
      <c r="I326" s="25">
        <v>1</v>
      </c>
      <c r="J326" s="24">
        <f>SUM($J$321:$K$321)</f>
        <v>271</v>
      </c>
      <c r="K326" s="24">
        <f>SUM($J$321:$K$321) - $K$321:$K$321</f>
        <v>39</v>
      </c>
      <c r="L326" s="24">
        <f>IF($J$326:$J$326 = 0, "Undefined",$K$326:$K$326*100 / $J$326:$J$326)</f>
        <v>14.391143911439114</v>
      </c>
    </row>
    <row r="327" spans="2:12" ht="13.8" x14ac:dyDescent="0.3">
      <c r="D327" s="25" t="s">
        <v>336</v>
      </c>
      <c r="E327" s="24">
        <f>SUM($E$325:$E$326)</f>
        <v>600</v>
      </c>
      <c r="F327" s="24">
        <f>SUM($F$325:$F$326)</f>
        <v>9</v>
      </c>
      <c r="G327" s="24">
        <f>IF($E$327:$E$327 = 0, "Undefined",$F$327:$F$327*100 / $E$327:$E$327)</f>
        <v>1.5</v>
      </c>
      <c r="I327" s="25" t="s">
        <v>336</v>
      </c>
      <c r="J327" s="24">
        <f>SUM($J$325:$J$326)</f>
        <v>400</v>
      </c>
      <c r="K327" s="24">
        <f>SUM($K$325:$K$326)</f>
        <v>106</v>
      </c>
      <c r="L327" s="24">
        <f>IF($J$327:$J$327 = 0, "Undefined",$K$327:$K$327*100 / $J$327:$J$327)</f>
        <v>26.5</v>
      </c>
    </row>
    <row r="329" spans="2:12" ht="15.6" x14ac:dyDescent="0.3">
      <c r="B329" s="28" t="s">
        <v>351</v>
      </c>
      <c r="D329" s="59" t="s">
        <v>329</v>
      </c>
      <c r="E329" s="60"/>
      <c r="F329" s="61"/>
      <c r="I329" s="59" t="s">
        <v>329</v>
      </c>
      <c r="J329" s="60"/>
      <c r="K329" s="61"/>
    </row>
    <row r="330" spans="2:12" ht="13.8" x14ac:dyDescent="0.3">
      <c r="D330" s="26"/>
      <c r="E330" s="75" t="s">
        <v>330</v>
      </c>
      <c r="F330" s="76"/>
      <c r="I330" s="26"/>
      <c r="J330" s="75" t="s">
        <v>330</v>
      </c>
      <c r="K330" s="76"/>
    </row>
    <row r="331" spans="2:12" ht="13.8" x14ac:dyDescent="0.3">
      <c r="D331" s="25" t="s">
        <v>331</v>
      </c>
      <c r="E331" s="26">
        <v>0</v>
      </c>
      <c r="F331" s="26">
        <v>1</v>
      </c>
      <c r="I331" s="25" t="s">
        <v>331</v>
      </c>
      <c r="J331" s="26">
        <v>0</v>
      </c>
      <c r="K331" s="26">
        <v>1</v>
      </c>
    </row>
    <row r="332" spans="2:12" ht="13.8" x14ac:dyDescent="0.3">
      <c r="D332" s="25">
        <v>0</v>
      </c>
      <c r="E332" s="24">
        <v>158</v>
      </c>
      <c r="F332" s="24">
        <v>13</v>
      </c>
      <c r="I332" s="25">
        <v>0</v>
      </c>
      <c r="J332" s="24">
        <v>53</v>
      </c>
      <c r="K332" s="24">
        <v>76</v>
      </c>
    </row>
    <row r="333" spans="2:12" ht="13.8" x14ac:dyDescent="0.3">
      <c r="D333" s="25">
        <v>1</v>
      </c>
      <c r="E333" s="24">
        <v>2</v>
      </c>
      <c r="F333" s="24">
        <v>427</v>
      </c>
      <c r="I333" s="25">
        <v>1</v>
      </c>
      <c r="J333" s="24">
        <v>31</v>
      </c>
      <c r="K333" s="24">
        <v>240</v>
      </c>
    </row>
    <row r="335" spans="2:12" ht="15.6" x14ac:dyDescent="0.3">
      <c r="D335" s="59" t="s">
        <v>210</v>
      </c>
      <c r="E335" s="60"/>
      <c r="F335" s="60"/>
      <c r="G335" s="61"/>
      <c r="I335" s="59" t="s">
        <v>210</v>
      </c>
      <c r="J335" s="60"/>
      <c r="K335" s="60"/>
      <c r="L335" s="61"/>
    </row>
    <row r="336" spans="2:12" ht="13.8" x14ac:dyDescent="0.3">
      <c r="D336" s="26" t="s">
        <v>332</v>
      </c>
      <c r="E336" s="26" t="s">
        <v>333</v>
      </c>
      <c r="F336" s="26" t="s">
        <v>334</v>
      </c>
      <c r="G336" s="26" t="s">
        <v>335</v>
      </c>
      <c r="I336" s="26" t="s">
        <v>332</v>
      </c>
      <c r="J336" s="26" t="s">
        <v>333</v>
      </c>
      <c r="K336" s="26" t="s">
        <v>334</v>
      </c>
      <c r="L336" s="26" t="s">
        <v>335</v>
      </c>
    </row>
    <row r="337" spans="2:12" ht="13.8" x14ac:dyDescent="0.3">
      <c r="D337" s="25">
        <v>0</v>
      </c>
      <c r="E337" s="24">
        <f>SUM($E$332:$F$332)</f>
        <v>171</v>
      </c>
      <c r="F337" s="24">
        <f>SUM($E$332:$F$332) - $E$332:$E$332</f>
        <v>13</v>
      </c>
      <c r="G337" s="24">
        <f>IF($E$337:$E$337 = 0, "Undefined",$F$337:$F$337*100 / $E$337:$E$337)</f>
        <v>7.60233918128655</v>
      </c>
      <c r="I337" s="25">
        <v>0</v>
      </c>
      <c r="J337" s="24">
        <f>SUM($J$332:$K$332)</f>
        <v>129</v>
      </c>
      <c r="K337" s="24">
        <f>SUM($J$332:$K$332) - $J$332:$J$332</f>
        <v>76</v>
      </c>
      <c r="L337" s="24">
        <f>IF($J$337:$J$337 = 0, "Undefined",$K$337:$K$337*100 / $J$337:$J$337)</f>
        <v>58.914728682170541</v>
      </c>
    </row>
    <row r="338" spans="2:12" ht="13.8" x14ac:dyDescent="0.3">
      <c r="D338" s="25">
        <v>1</v>
      </c>
      <c r="E338" s="24">
        <f>SUM($E$333:$F$333)</f>
        <v>429</v>
      </c>
      <c r="F338" s="24">
        <f>SUM($E$333:$F$333) - $F$333:$F$333</f>
        <v>2</v>
      </c>
      <c r="G338" s="24">
        <f>IF($E$338:$E$338 = 0, "Undefined",$F$338:$F$338*100 / $E$338:$E$338)</f>
        <v>0.46620046620046618</v>
      </c>
      <c r="I338" s="25">
        <v>1</v>
      </c>
      <c r="J338" s="24">
        <f>SUM($J$333:$K$333)</f>
        <v>271</v>
      </c>
      <c r="K338" s="24">
        <f>SUM($J$333:$K$333) - $K$333:$K$333</f>
        <v>31</v>
      </c>
      <c r="L338" s="24">
        <f>IF($J$338:$J$338 = 0, "Undefined",$K$338:$K$338*100 / $J$338:$J$338)</f>
        <v>11.439114391143912</v>
      </c>
    </row>
    <row r="339" spans="2:12" ht="13.8" x14ac:dyDescent="0.3">
      <c r="D339" s="25" t="s">
        <v>336</v>
      </c>
      <c r="E339" s="24">
        <f>SUM($E$337:$E$338)</f>
        <v>600</v>
      </c>
      <c r="F339" s="24">
        <f>SUM($F$337:$F$338)</f>
        <v>15</v>
      </c>
      <c r="G339" s="24">
        <f>IF($E$339:$E$339 = 0, "Undefined",$F$339:$F$339*100 / $E$339:$E$339)</f>
        <v>2.5</v>
      </c>
      <c r="I339" s="25" t="s">
        <v>336</v>
      </c>
      <c r="J339" s="24">
        <f>SUM($J$337:$J$338)</f>
        <v>400</v>
      </c>
      <c r="K339" s="24">
        <f>SUM($K$337:$K$338)</f>
        <v>107</v>
      </c>
      <c r="L339" s="24">
        <f>IF($J$339:$J$339 = 0, "Undefined",$K$339:$K$339*100 / $J$339:$J$339)</f>
        <v>26.75</v>
      </c>
    </row>
    <row r="341" spans="2:12" ht="15.6" x14ac:dyDescent="0.3">
      <c r="B341" s="28" t="s">
        <v>352</v>
      </c>
      <c r="D341" s="59" t="s">
        <v>329</v>
      </c>
      <c r="E341" s="60"/>
      <c r="F341" s="61"/>
      <c r="I341" s="59" t="s">
        <v>329</v>
      </c>
      <c r="J341" s="60"/>
      <c r="K341" s="61"/>
    </row>
    <row r="342" spans="2:12" ht="13.8" x14ac:dyDescent="0.3">
      <c r="D342" s="26"/>
      <c r="E342" s="75" t="s">
        <v>330</v>
      </c>
      <c r="F342" s="76"/>
      <c r="I342" s="26"/>
      <c r="J342" s="75" t="s">
        <v>330</v>
      </c>
      <c r="K342" s="76"/>
    </row>
    <row r="343" spans="2:12" ht="13.8" x14ac:dyDescent="0.3">
      <c r="D343" s="25" t="s">
        <v>331</v>
      </c>
      <c r="E343" s="26">
        <v>0</v>
      </c>
      <c r="F343" s="26">
        <v>1</v>
      </c>
      <c r="I343" s="25" t="s">
        <v>331</v>
      </c>
      <c r="J343" s="26">
        <v>0</v>
      </c>
      <c r="K343" s="26">
        <v>1</v>
      </c>
    </row>
    <row r="344" spans="2:12" ht="13.8" x14ac:dyDescent="0.3">
      <c r="D344" s="25">
        <v>0</v>
      </c>
      <c r="E344" s="24">
        <v>159</v>
      </c>
      <c r="F344" s="24">
        <v>12</v>
      </c>
      <c r="I344" s="25">
        <v>0</v>
      </c>
      <c r="J344" s="24">
        <v>58</v>
      </c>
      <c r="K344" s="24">
        <v>71</v>
      </c>
    </row>
    <row r="345" spans="2:12" ht="13.8" x14ac:dyDescent="0.3">
      <c r="D345" s="25">
        <v>1</v>
      </c>
      <c r="E345" s="24">
        <v>1</v>
      </c>
      <c r="F345" s="24">
        <v>428</v>
      </c>
      <c r="I345" s="25">
        <v>1</v>
      </c>
      <c r="J345" s="24">
        <v>32</v>
      </c>
      <c r="K345" s="24">
        <v>239</v>
      </c>
    </row>
    <row r="347" spans="2:12" ht="15.6" x14ac:dyDescent="0.3">
      <c r="D347" s="59" t="s">
        <v>210</v>
      </c>
      <c r="E347" s="60"/>
      <c r="F347" s="60"/>
      <c r="G347" s="61"/>
      <c r="I347" s="59" t="s">
        <v>210</v>
      </c>
      <c r="J347" s="60"/>
      <c r="K347" s="60"/>
      <c r="L347" s="61"/>
    </row>
    <row r="348" spans="2:12" ht="13.8" x14ac:dyDescent="0.3">
      <c r="D348" s="26" t="s">
        <v>332</v>
      </c>
      <c r="E348" s="26" t="s">
        <v>333</v>
      </c>
      <c r="F348" s="26" t="s">
        <v>334</v>
      </c>
      <c r="G348" s="26" t="s">
        <v>335</v>
      </c>
      <c r="I348" s="26" t="s">
        <v>332</v>
      </c>
      <c r="J348" s="26" t="s">
        <v>333</v>
      </c>
      <c r="K348" s="26" t="s">
        <v>334</v>
      </c>
      <c r="L348" s="26" t="s">
        <v>335</v>
      </c>
    </row>
    <row r="349" spans="2:12" ht="13.8" x14ac:dyDescent="0.3">
      <c r="D349" s="25">
        <v>0</v>
      </c>
      <c r="E349" s="24">
        <f>SUM($E$344:$F$344)</f>
        <v>171</v>
      </c>
      <c r="F349" s="24">
        <f>SUM($E$344:$F$344) - $E$344:$E$344</f>
        <v>12</v>
      </c>
      <c r="G349" s="24">
        <f>IF($E$349:$E$349 = 0, "Undefined",$F$349:$F$349*100 / $E$349:$E$349)</f>
        <v>7.0175438596491224</v>
      </c>
      <c r="I349" s="25">
        <v>0</v>
      </c>
      <c r="J349" s="24">
        <f>SUM($J$344:$K$344)</f>
        <v>129</v>
      </c>
      <c r="K349" s="24">
        <f>SUM($J$344:$K$344) - $J$344:$J$344</f>
        <v>71</v>
      </c>
      <c r="L349" s="24">
        <f>IF($J$349:$J$349 = 0, "Undefined",$K$349:$K$349*100 / $J$349:$J$349)</f>
        <v>55.038759689922479</v>
      </c>
    </row>
    <row r="350" spans="2:12" ht="13.8" x14ac:dyDescent="0.3">
      <c r="D350" s="25">
        <v>1</v>
      </c>
      <c r="E350" s="24">
        <f>SUM($E$345:$F$345)</f>
        <v>429</v>
      </c>
      <c r="F350" s="24">
        <f>SUM($E$345:$F$345) - $F$345:$F$345</f>
        <v>1</v>
      </c>
      <c r="G350" s="24">
        <f>IF($E$350:$E$350 = 0, "Undefined",$F$350:$F$350*100 / $E$350:$E$350)</f>
        <v>0.23310023310023309</v>
      </c>
      <c r="I350" s="25">
        <v>1</v>
      </c>
      <c r="J350" s="24">
        <f>SUM($J$345:$K$345)</f>
        <v>271</v>
      </c>
      <c r="K350" s="24">
        <f>SUM($J$345:$K$345) - $K$345:$K$345</f>
        <v>32</v>
      </c>
      <c r="L350" s="24">
        <f>IF($J$350:$J$350 = 0, "Undefined",$K$350:$K$350*100 / $J$350:$J$350)</f>
        <v>11.808118081180812</v>
      </c>
    </row>
    <row r="351" spans="2:12" ht="13.8" x14ac:dyDescent="0.3">
      <c r="D351" s="25" t="s">
        <v>336</v>
      </c>
      <c r="E351" s="24">
        <f>SUM($E$349:$E$350)</f>
        <v>600</v>
      </c>
      <c r="F351" s="24">
        <f>SUM($F$349:$F$350)</f>
        <v>13</v>
      </c>
      <c r="G351" s="24">
        <f>IF($E$351:$E$351 = 0, "Undefined",$F$351:$F$351*100 / $E$351:$E$351)</f>
        <v>2.1666666666666665</v>
      </c>
      <c r="I351" s="25" t="s">
        <v>336</v>
      </c>
      <c r="J351" s="24">
        <f>SUM($J$349:$J$350)</f>
        <v>400</v>
      </c>
      <c r="K351" s="24">
        <f>SUM($K$349:$K$350)</f>
        <v>103</v>
      </c>
      <c r="L351" s="24">
        <f>IF($J$351:$J$351 = 0, "Undefined",$K$351:$K$351*100 / $J$351:$J$351)</f>
        <v>25.75</v>
      </c>
    </row>
    <row r="353" spans="2:12" ht="15.6" x14ac:dyDescent="0.3">
      <c r="B353" s="28" t="s">
        <v>353</v>
      </c>
      <c r="D353" s="59" t="s">
        <v>329</v>
      </c>
      <c r="E353" s="60"/>
      <c r="F353" s="61"/>
      <c r="I353" s="59" t="s">
        <v>329</v>
      </c>
      <c r="J353" s="60"/>
      <c r="K353" s="61"/>
    </row>
    <row r="354" spans="2:12" ht="13.8" x14ac:dyDescent="0.3">
      <c r="D354" s="26"/>
      <c r="E354" s="75" t="s">
        <v>330</v>
      </c>
      <c r="F354" s="76"/>
      <c r="I354" s="26"/>
      <c r="J354" s="75" t="s">
        <v>330</v>
      </c>
      <c r="K354" s="76"/>
    </row>
    <row r="355" spans="2:12" ht="13.8" x14ac:dyDescent="0.3">
      <c r="D355" s="25" t="s">
        <v>331</v>
      </c>
      <c r="E355" s="26">
        <v>0</v>
      </c>
      <c r="F355" s="26">
        <v>1</v>
      </c>
      <c r="I355" s="25" t="s">
        <v>331</v>
      </c>
      <c r="J355" s="26">
        <v>0</v>
      </c>
      <c r="K355" s="26">
        <v>1</v>
      </c>
    </row>
    <row r="356" spans="2:12" ht="13.8" x14ac:dyDescent="0.3">
      <c r="D356" s="25">
        <v>0</v>
      </c>
      <c r="E356" s="24">
        <v>161</v>
      </c>
      <c r="F356" s="24">
        <v>10</v>
      </c>
      <c r="I356" s="25">
        <v>0</v>
      </c>
      <c r="J356" s="24">
        <v>60</v>
      </c>
      <c r="K356" s="24">
        <v>69</v>
      </c>
    </row>
    <row r="357" spans="2:12" ht="13.8" x14ac:dyDescent="0.3">
      <c r="D357" s="25">
        <v>1</v>
      </c>
      <c r="E357" s="24">
        <v>4</v>
      </c>
      <c r="F357" s="24">
        <v>425</v>
      </c>
      <c r="I357" s="25">
        <v>1</v>
      </c>
      <c r="J357" s="24">
        <v>35</v>
      </c>
      <c r="K357" s="24">
        <v>236</v>
      </c>
    </row>
    <row r="359" spans="2:12" ht="15.6" x14ac:dyDescent="0.3">
      <c r="D359" s="59" t="s">
        <v>210</v>
      </c>
      <c r="E359" s="60"/>
      <c r="F359" s="60"/>
      <c r="G359" s="61"/>
      <c r="I359" s="59" t="s">
        <v>210</v>
      </c>
      <c r="J359" s="60"/>
      <c r="K359" s="60"/>
      <c r="L359" s="61"/>
    </row>
    <row r="360" spans="2:12" ht="13.8" x14ac:dyDescent="0.3">
      <c r="D360" s="26" t="s">
        <v>332</v>
      </c>
      <c r="E360" s="26" t="s">
        <v>333</v>
      </c>
      <c r="F360" s="26" t="s">
        <v>334</v>
      </c>
      <c r="G360" s="26" t="s">
        <v>335</v>
      </c>
      <c r="I360" s="26" t="s">
        <v>332</v>
      </c>
      <c r="J360" s="26" t="s">
        <v>333</v>
      </c>
      <c r="K360" s="26" t="s">
        <v>334</v>
      </c>
      <c r="L360" s="26" t="s">
        <v>335</v>
      </c>
    </row>
    <row r="361" spans="2:12" ht="13.8" x14ac:dyDescent="0.3">
      <c r="D361" s="25">
        <v>0</v>
      </c>
      <c r="E361" s="24">
        <f>SUM($E$356:$F$356)</f>
        <v>171</v>
      </c>
      <c r="F361" s="24">
        <f>SUM($E$356:$F$356) - $E$356:$E$356</f>
        <v>10</v>
      </c>
      <c r="G361" s="24">
        <f>IF($E$361:$E$361 = 0, "Undefined",$F$361:$F$361*100 / $E$361:$E$361)</f>
        <v>5.8479532163742691</v>
      </c>
      <c r="I361" s="25">
        <v>0</v>
      </c>
      <c r="J361" s="24">
        <f>SUM($J$356:$K$356)</f>
        <v>129</v>
      </c>
      <c r="K361" s="24">
        <f>SUM($J$356:$K$356) - $J$356:$J$356</f>
        <v>69</v>
      </c>
      <c r="L361" s="24">
        <f>IF($J$361:$J$361 = 0, "Undefined",$K$361:$K$361*100 / $J$361:$J$361)</f>
        <v>53.488372093023258</v>
      </c>
    </row>
    <row r="362" spans="2:12" ht="13.8" x14ac:dyDescent="0.3">
      <c r="D362" s="25">
        <v>1</v>
      </c>
      <c r="E362" s="24">
        <f>SUM($E$357:$F$357)</f>
        <v>429</v>
      </c>
      <c r="F362" s="24">
        <f>SUM($E$357:$F$357) - $F$357:$F$357</f>
        <v>4</v>
      </c>
      <c r="G362" s="24">
        <f>IF($E$362:$E$362 = 0, "Undefined",$F$362:$F$362*100 / $E$362:$E$362)</f>
        <v>0.93240093240093236</v>
      </c>
      <c r="I362" s="25">
        <v>1</v>
      </c>
      <c r="J362" s="24">
        <f>SUM($J$357:$K$357)</f>
        <v>271</v>
      </c>
      <c r="K362" s="24">
        <f>SUM($J$357:$K$357) - $K$357:$K$357</f>
        <v>35</v>
      </c>
      <c r="L362" s="24">
        <f>IF($J$362:$J$362 = 0, "Undefined",$K$362:$K$362*100 / $J$362:$J$362)</f>
        <v>12.915129151291513</v>
      </c>
    </row>
    <row r="363" spans="2:12" ht="13.8" x14ac:dyDescent="0.3">
      <c r="D363" s="25" t="s">
        <v>336</v>
      </c>
      <c r="E363" s="24">
        <f>SUM($E$361:$E$362)</f>
        <v>600</v>
      </c>
      <c r="F363" s="24">
        <f>SUM($F$361:$F$362)</f>
        <v>14</v>
      </c>
      <c r="G363" s="24">
        <f>IF($E$363:$E$363 = 0, "Undefined",$F$363:$F$363*100 / $E$363:$E$363)</f>
        <v>2.3333333333333335</v>
      </c>
      <c r="I363" s="25" t="s">
        <v>336</v>
      </c>
      <c r="J363" s="24">
        <f>SUM($J$361:$J$362)</f>
        <v>400</v>
      </c>
      <c r="K363" s="24">
        <f>SUM($K$361:$K$362)</f>
        <v>104</v>
      </c>
      <c r="L363" s="24">
        <f>IF($J$363:$J$363 = 0, "Undefined",$K$363:$K$363*100 / $J$363:$J$363)</f>
        <v>26</v>
      </c>
    </row>
    <row r="365" spans="2:12" ht="15.6" x14ac:dyDescent="0.3">
      <c r="B365" s="28" t="s">
        <v>354</v>
      </c>
      <c r="D365" s="59" t="s">
        <v>329</v>
      </c>
      <c r="E365" s="60"/>
      <c r="F365" s="61"/>
      <c r="I365" s="59" t="s">
        <v>329</v>
      </c>
      <c r="J365" s="60"/>
      <c r="K365" s="61"/>
    </row>
    <row r="366" spans="2:12" ht="13.8" x14ac:dyDescent="0.3">
      <c r="D366" s="26"/>
      <c r="E366" s="75" t="s">
        <v>330</v>
      </c>
      <c r="F366" s="76"/>
      <c r="I366" s="26"/>
      <c r="J366" s="75" t="s">
        <v>330</v>
      </c>
      <c r="K366" s="76"/>
    </row>
    <row r="367" spans="2:12" ht="13.8" x14ac:dyDescent="0.3">
      <c r="D367" s="25" t="s">
        <v>331</v>
      </c>
      <c r="E367" s="26">
        <v>0</v>
      </c>
      <c r="F367" s="26">
        <v>1</v>
      </c>
      <c r="I367" s="25" t="s">
        <v>331</v>
      </c>
      <c r="J367" s="26">
        <v>0</v>
      </c>
      <c r="K367" s="26">
        <v>1</v>
      </c>
    </row>
    <row r="368" spans="2:12" ht="13.8" x14ac:dyDescent="0.3">
      <c r="D368" s="25">
        <v>0</v>
      </c>
      <c r="E368" s="24">
        <v>161</v>
      </c>
      <c r="F368" s="24">
        <v>10</v>
      </c>
      <c r="I368" s="25">
        <v>0</v>
      </c>
      <c r="J368" s="24">
        <v>62</v>
      </c>
      <c r="K368" s="24">
        <v>67</v>
      </c>
    </row>
    <row r="369" spans="2:12" ht="13.8" x14ac:dyDescent="0.3">
      <c r="D369" s="25">
        <v>1</v>
      </c>
      <c r="E369" s="24">
        <v>0</v>
      </c>
      <c r="F369" s="24">
        <v>429</v>
      </c>
      <c r="I369" s="25">
        <v>1</v>
      </c>
      <c r="J369" s="24">
        <v>28</v>
      </c>
      <c r="K369" s="24">
        <v>243</v>
      </c>
    </row>
    <row r="371" spans="2:12" ht="15.6" x14ac:dyDescent="0.3">
      <c r="D371" s="59" t="s">
        <v>210</v>
      </c>
      <c r="E371" s="60"/>
      <c r="F371" s="60"/>
      <c r="G371" s="61"/>
      <c r="I371" s="59" t="s">
        <v>210</v>
      </c>
      <c r="J371" s="60"/>
      <c r="K371" s="60"/>
      <c r="L371" s="61"/>
    </row>
    <row r="372" spans="2:12" ht="13.8" x14ac:dyDescent="0.3">
      <c r="D372" s="26" t="s">
        <v>332</v>
      </c>
      <c r="E372" s="26" t="s">
        <v>333</v>
      </c>
      <c r="F372" s="26" t="s">
        <v>334</v>
      </c>
      <c r="G372" s="26" t="s">
        <v>335</v>
      </c>
      <c r="I372" s="26" t="s">
        <v>332</v>
      </c>
      <c r="J372" s="26" t="s">
        <v>333</v>
      </c>
      <c r="K372" s="26" t="s">
        <v>334</v>
      </c>
      <c r="L372" s="26" t="s">
        <v>335</v>
      </c>
    </row>
    <row r="373" spans="2:12" ht="13.8" x14ac:dyDescent="0.3">
      <c r="D373" s="25">
        <v>0</v>
      </c>
      <c r="E373" s="24">
        <f>SUM($E$368:$F$368)</f>
        <v>171</v>
      </c>
      <c r="F373" s="24">
        <f>SUM($E$368:$F$368) - $E$368:$E$368</f>
        <v>10</v>
      </c>
      <c r="G373" s="24">
        <f>IF($E$373:$E$373 = 0, "Undefined",$F$373:$F$373*100 / $E$373:$E$373)</f>
        <v>5.8479532163742691</v>
      </c>
      <c r="I373" s="25">
        <v>0</v>
      </c>
      <c r="J373" s="24">
        <f>SUM($J$368:$K$368)</f>
        <v>129</v>
      </c>
      <c r="K373" s="24">
        <f>SUM($J$368:$K$368) - $J$368:$J$368</f>
        <v>67</v>
      </c>
      <c r="L373" s="24">
        <f>IF($J$373:$J$373 = 0, "Undefined",$K$373:$K$373*100 / $J$373:$J$373)</f>
        <v>51.937984496124031</v>
      </c>
    </row>
    <row r="374" spans="2:12" ht="13.8" x14ac:dyDescent="0.3">
      <c r="D374" s="25">
        <v>1</v>
      </c>
      <c r="E374" s="24">
        <f>SUM($E$369:$F$369)</f>
        <v>429</v>
      </c>
      <c r="F374" s="24">
        <f>SUM($E$369:$F$369) - $F$369:$F$369</f>
        <v>0</v>
      </c>
      <c r="G374" s="24">
        <f>IF($E$374:$E$374 = 0, "Undefined",$F$374:$F$374*100 / $E$374:$E$374)</f>
        <v>0</v>
      </c>
      <c r="I374" s="25">
        <v>1</v>
      </c>
      <c r="J374" s="24">
        <f>SUM($J$369:$K$369)</f>
        <v>271</v>
      </c>
      <c r="K374" s="24">
        <f>SUM($J$369:$K$369) - $K$369:$K$369</f>
        <v>28</v>
      </c>
      <c r="L374" s="24">
        <f>IF($J$374:$J$374 = 0, "Undefined",$K$374:$K$374*100 / $J$374:$J$374)</f>
        <v>10.332103321033211</v>
      </c>
    </row>
    <row r="375" spans="2:12" ht="13.8" x14ac:dyDescent="0.3">
      <c r="D375" s="25" t="s">
        <v>336</v>
      </c>
      <c r="E375" s="24">
        <f>SUM($E$373:$E$374)</f>
        <v>600</v>
      </c>
      <c r="F375" s="24">
        <f>SUM($F$373:$F$374)</f>
        <v>10</v>
      </c>
      <c r="G375" s="24">
        <f>IF($E$375:$E$375 = 0, "Undefined",$F$375:$F$375*100 / $E$375:$E$375)</f>
        <v>1.6666666666666667</v>
      </c>
      <c r="I375" s="25" t="s">
        <v>336</v>
      </c>
      <c r="J375" s="24">
        <f>SUM($J$373:$J$374)</f>
        <v>400</v>
      </c>
      <c r="K375" s="24">
        <f>SUM($K$373:$K$374)</f>
        <v>95</v>
      </c>
      <c r="L375" s="24">
        <f>IF($J$375:$J$375 = 0, "Undefined",$K$375:$K$375*100 / $J$375:$J$375)</f>
        <v>23.75</v>
      </c>
    </row>
    <row r="377" spans="2:12" ht="15.6" x14ac:dyDescent="0.3">
      <c r="B377" s="28" t="s">
        <v>355</v>
      </c>
      <c r="D377" s="59" t="s">
        <v>329</v>
      </c>
      <c r="E377" s="60"/>
      <c r="F377" s="61"/>
      <c r="I377" s="59" t="s">
        <v>329</v>
      </c>
      <c r="J377" s="60"/>
      <c r="K377" s="61"/>
    </row>
    <row r="378" spans="2:12" ht="13.8" x14ac:dyDescent="0.3">
      <c r="D378" s="26"/>
      <c r="E378" s="75" t="s">
        <v>330</v>
      </c>
      <c r="F378" s="76"/>
      <c r="I378" s="26"/>
      <c r="J378" s="75" t="s">
        <v>330</v>
      </c>
      <c r="K378" s="76"/>
    </row>
    <row r="379" spans="2:12" ht="13.8" x14ac:dyDescent="0.3">
      <c r="D379" s="25" t="s">
        <v>331</v>
      </c>
      <c r="E379" s="26">
        <v>0</v>
      </c>
      <c r="F379" s="26">
        <v>1</v>
      </c>
      <c r="I379" s="25" t="s">
        <v>331</v>
      </c>
      <c r="J379" s="26">
        <v>0</v>
      </c>
      <c r="K379" s="26">
        <v>1</v>
      </c>
    </row>
    <row r="380" spans="2:12" ht="13.8" x14ac:dyDescent="0.3">
      <c r="D380" s="25">
        <v>0</v>
      </c>
      <c r="E380" s="24">
        <v>153</v>
      </c>
      <c r="F380" s="24">
        <v>18</v>
      </c>
      <c r="I380" s="25">
        <v>0</v>
      </c>
      <c r="J380" s="24">
        <v>62</v>
      </c>
      <c r="K380" s="24">
        <v>67</v>
      </c>
    </row>
    <row r="381" spans="2:12" ht="13.8" x14ac:dyDescent="0.3">
      <c r="D381" s="25">
        <v>1</v>
      </c>
      <c r="E381" s="24">
        <v>3</v>
      </c>
      <c r="F381" s="24">
        <v>426</v>
      </c>
      <c r="I381" s="25">
        <v>1</v>
      </c>
      <c r="J381" s="24">
        <v>37</v>
      </c>
      <c r="K381" s="24">
        <v>234</v>
      </c>
    </row>
    <row r="383" spans="2:12" ht="15.6" x14ac:dyDescent="0.3">
      <c r="D383" s="59" t="s">
        <v>210</v>
      </c>
      <c r="E383" s="60"/>
      <c r="F383" s="60"/>
      <c r="G383" s="61"/>
      <c r="I383" s="59" t="s">
        <v>210</v>
      </c>
      <c r="J383" s="60"/>
      <c r="K383" s="60"/>
      <c r="L383" s="61"/>
    </row>
    <row r="384" spans="2:12" ht="13.8" x14ac:dyDescent="0.3">
      <c r="D384" s="26" t="s">
        <v>332</v>
      </c>
      <c r="E384" s="26" t="s">
        <v>333</v>
      </c>
      <c r="F384" s="26" t="s">
        <v>334</v>
      </c>
      <c r="G384" s="26" t="s">
        <v>335</v>
      </c>
      <c r="I384" s="26" t="s">
        <v>332</v>
      </c>
      <c r="J384" s="26" t="s">
        <v>333</v>
      </c>
      <c r="K384" s="26" t="s">
        <v>334</v>
      </c>
      <c r="L384" s="26" t="s">
        <v>335</v>
      </c>
    </row>
    <row r="385" spans="2:12" ht="13.8" x14ac:dyDescent="0.3">
      <c r="D385" s="25">
        <v>0</v>
      </c>
      <c r="E385" s="24">
        <f>SUM($E$380:$F$380)</f>
        <v>171</v>
      </c>
      <c r="F385" s="24">
        <f>SUM($E$380:$F$380) - $E$380:$E$380</f>
        <v>18</v>
      </c>
      <c r="G385" s="24">
        <f>IF($E$385:$E$385 = 0, "Undefined",$F$385:$F$385*100 / $E$385:$E$385)</f>
        <v>10.526315789473685</v>
      </c>
      <c r="I385" s="25">
        <v>0</v>
      </c>
      <c r="J385" s="24">
        <f>SUM($J$380:$K$380)</f>
        <v>129</v>
      </c>
      <c r="K385" s="24">
        <f>SUM($J$380:$K$380) - $J$380:$J$380</f>
        <v>67</v>
      </c>
      <c r="L385" s="24">
        <f>IF($J$385:$J$385 = 0, "Undefined",$K$385:$K$385*100 / $J$385:$J$385)</f>
        <v>51.937984496124031</v>
      </c>
    </row>
    <row r="386" spans="2:12" ht="13.8" x14ac:dyDescent="0.3">
      <c r="D386" s="25">
        <v>1</v>
      </c>
      <c r="E386" s="24">
        <f>SUM($E$381:$F$381)</f>
        <v>429</v>
      </c>
      <c r="F386" s="24">
        <f>SUM($E$381:$F$381) - $F$381:$F$381</f>
        <v>3</v>
      </c>
      <c r="G386" s="24">
        <f>IF($E$386:$E$386 = 0, "Undefined",$F$386:$F$386*100 / $E$386:$E$386)</f>
        <v>0.69930069930069927</v>
      </c>
      <c r="I386" s="25">
        <v>1</v>
      </c>
      <c r="J386" s="24">
        <f>SUM($J$381:$K$381)</f>
        <v>271</v>
      </c>
      <c r="K386" s="24">
        <f>SUM($J$381:$K$381) - $K$381:$K$381</f>
        <v>37</v>
      </c>
      <c r="L386" s="24">
        <f>IF($J$386:$J$386 = 0, "Undefined",$K$386:$K$386*100 / $J$386:$J$386)</f>
        <v>13.653136531365314</v>
      </c>
    </row>
    <row r="387" spans="2:12" ht="13.8" x14ac:dyDescent="0.3">
      <c r="D387" s="25" t="s">
        <v>336</v>
      </c>
      <c r="E387" s="24">
        <f>SUM($E$385:$E$386)</f>
        <v>600</v>
      </c>
      <c r="F387" s="24">
        <f>SUM($F$385:$F$386)</f>
        <v>21</v>
      </c>
      <c r="G387" s="24">
        <f>IF($E$387:$E$387 = 0, "Undefined",$F$387:$F$387*100 / $E$387:$E$387)</f>
        <v>3.5</v>
      </c>
      <c r="I387" s="25" t="s">
        <v>336</v>
      </c>
      <c r="J387" s="24">
        <f>SUM($J$385:$J$386)</f>
        <v>400</v>
      </c>
      <c r="K387" s="24">
        <f>SUM($K$385:$K$386)</f>
        <v>104</v>
      </c>
      <c r="L387" s="24">
        <f>IF($J$387:$J$387 = 0, "Undefined",$K$387:$K$387*100 / $J$387:$J$387)</f>
        <v>26</v>
      </c>
    </row>
    <row r="389" spans="2:12" ht="15.6" x14ac:dyDescent="0.3">
      <c r="B389" s="28" t="s">
        <v>356</v>
      </c>
      <c r="D389" s="59" t="s">
        <v>329</v>
      </c>
      <c r="E389" s="60"/>
      <c r="F389" s="61"/>
      <c r="I389" s="59" t="s">
        <v>329</v>
      </c>
      <c r="J389" s="60"/>
      <c r="K389" s="61"/>
    </row>
    <row r="390" spans="2:12" ht="13.8" x14ac:dyDescent="0.3">
      <c r="D390" s="26"/>
      <c r="E390" s="75" t="s">
        <v>330</v>
      </c>
      <c r="F390" s="76"/>
      <c r="I390" s="26"/>
      <c r="J390" s="75" t="s">
        <v>330</v>
      </c>
      <c r="K390" s="76"/>
    </row>
    <row r="391" spans="2:12" ht="13.8" x14ac:dyDescent="0.3">
      <c r="D391" s="25" t="s">
        <v>331</v>
      </c>
      <c r="E391" s="26">
        <v>0</v>
      </c>
      <c r="F391" s="26">
        <v>1</v>
      </c>
      <c r="I391" s="25" t="s">
        <v>331</v>
      </c>
      <c r="J391" s="26">
        <v>0</v>
      </c>
      <c r="K391" s="26">
        <v>1</v>
      </c>
    </row>
    <row r="392" spans="2:12" ht="13.8" x14ac:dyDescent="0.3">
      <c r="D392" s="25">
        <v>0</v>
      </c>
      <c r="E392" s="24">
        <v>157</v>
      </c>
      <c r="F392" s="24">
        <v>14</v>
      </c>
      <c r="I392" s="25">
        <v>0</v>
      </c>
      <c r="J392" s="24">
        <v>58</v>
      </c>
      <c r="K392" s="24">
        <v>71</v>
      </c>
    </row>
    <row r="393" spans="2:12" ht="13.8" x14ac:dyDescent="0.3">
      <c r="D393" s="25">
        <v>1</v>
      </c>
      <c r="E393" s="24">
        <v>2</v>
      </c>
      <c r="F393" s="24">
        <v>427</v>
      </c>
      <c r="I393" s="25">
        <v>1</v>
      </c>
      <c r="J393" s="24">
        <v>37</v>
      </c>
      <c r="K393" s="24">
        <v>234</v>
      </c>
    </row>
    <row r="395" spans="2:12" ht="15.6" x14ac:dyDescent="0.3">
      <c r="D395" s="59" t="s">
        <v>210</v>
      </c>
      <c r="E395" s="60"/>
      <c r="F395" s="60"/>
      <c r="G395" s="61"/>
      <c r="I395" s="59" t="s">
        <v>210</v>
      </c>
      <c r="J395" s="60"/>
      <c r="K395" s="60"/>
      <c r="L395" s="61"/>
    </row>
    <row r="396" spans="2:12" ht="13.8" x14ac:dyDescent="0.3">
      <c r="D396" s="26" t="s">
        <v>332</v>
      </c>
      <c r="E396" s="26" t="s">
        <v>333</v>
      </c>
      <c r="F396" s="26" t="s">
        <v>334</v>
      </c>
      <c r="G396" s="26" t="s">
        <v>335</v>
      </c>
      <c r="I396" s="26" t="s">
        <v>332</v>
      </c>
      <c r="J396" s="26" t="s">
        <v>333</v>
      </c>
      <c r="K396" s="26" t="s">
        <v>334</v>
      </c>
      <c r="L396" s="26" t="s">
        <v>335</v>
      </c>
    </row>
    <row r="397" spans="2:12" ht="13.8" x14ac:dyDescent="0.3">
      <c r="D397" s="25">
        <v>0</v>
      </c>
      <c r="E397" s="24">
        <f>SUM($E$392:$F$392)</f>
        <v>171</v>
      </c>
      <c r="F397" s="24">
        <f>SUM($E$392:$F$392) - $E$392:$E$392</f>
        <v>14</v>
      </c>
      <c r="G397" s="24">
        <f>IF($E$397:$E$397 = 0, "Undefined",$F$397:$F$397*100 / $E$397:$E$397)</f>
        <v>8.1871345029239766</v>
      </c>
      <c r="I397" s="25">
        <v>0</v>
      </c>
      <c r="J397" s="24">
        <f>SUM($J$392:$K$392)</f>
        <v>129</v>
      </c>
      <c r="K397" s="24">
        <f>SUM($J$392:$K$392) - $J$392:$J$392</f>
        <v>71</v>
      </c>
      <c r="L397" s="24">
        <f>IF($J$397:$J$397 = 0, "Undefined",$K$397:$K$397*100 / $J$397:$J$397)</f>
        <v>55.038759689922479</v>
      </c>
    </row>
    <row r="398" spans="2:12" ht="13.8" x14ac:dyDescent="0.3">
      <c r="D398" s="25">
        <v>1</v>
      </c>
      <c r="E398" s="24">
        <f>SUM($E$393:$F$393)</f>
        <v>429</v>
      </c>
      <c r="F398" s="24">
        <f>SUM($E$393:$F$393) - $F$393:$F$393</f>
        <v>2</v>
      </c>
      <c r="G398" s="24">
        <f>IF($E$398:$E$398 = 0, "Undefined",$F$398:$F$398*100 / $E$398:$E$398)</f>
        <v>0.46620046620046618</v>
      </c>
      <c r="I398" s="25">
        <v>1</v>
      </c>
      <c r="J398" s="24">
        <f>SUM($J$393:$K$393)</f>
        <v>271</v>
      </c>
      <c r="K398" s="24">
        <f>SUM($J$393:$K$393) - $K$393:$K$393</f>
        <v>37</v>
      </c>
      <c r="L398" s="24">
        <f>IF($J$398:$J$398 = 0, "Undefined",$K$398:$K$398*100 / $J$398:$J$398)</f>
        <v>13.653136531365314</v>
      </c>
    </row>
    <row r="399" spans="2:12" ht="13.8" x14ac:dyDescent="0.3">
      <c r="D399" s="25" t="s">
        <v>336</v>
      </c>
      <c r="E399" s="24">
        <f>SUM($E$397:$E$398)</f>
        <v>600</v>
      </c>
      <c r="F399" s="24">
        <f>SUM($F$397:$F$398)</f>
        <v>16</v>
      </c>
      <c r="G399" s="24">
        <f>IF($E$399:$E$399 = 0, "Undefined",$F$399:$F$399*100 / $E$399:$E$399)</f>
        <v>2.6666666666666665</v>
      </c>
      <c r="I399" s="25" t="s">
        <v>336</v>
      </c>
      <c r="J399" s="24">
        <f>SUM($J$397:$J$398)</f>
        <v>400</v>
      </c>
      <c r="K399" s="24">
        <f>SUM($K$397:$K$398)</f>
        <v>108</v>
      </c>
      <c r="L399" s="24">
        <f>IF($J$399:$J$399 = 0, "Undefined",$K$399:$K$399*100 / $J$399:$J$399)</f>
        <v>27</v>
      </c>
    </row>
    <row r="401" spans="2:12" ht="15.6" x14ac:dyDescent="0.3">
      <c r="B401" s="28" t="s">
        <v>357</v>
      </c>
      <c r="D401" s="59" t="s">
        <v>329</v>
      </c>
      <c r="E401" s="60"/>
      <c r="F401" s="61"/>
      <c r="I401" s="59" t="s">
        <v>329</v>
      </c>
      <c r="J401" s="60"/>
      <c r="K401" s="61"/>
    </row>
    <row r="402" spans="2:12" ht="13.8" x14ac:dyDescent="0.3">
      <c r="D402" s="26"/>
      <c r="E402" s="75" t="s">
        <v>330</v>
      </c>
      <c r="F402" s="76"/>
      <c r="I402" s="26"/>
      <c r="J402" s="75" t="s">
        <v>330</v>
      </c>
      <c r="K402" s="76"/>
    </row>
    <row r="403" spans="2:12" ht="13.8" x14ac:dyDescent="0.3">
      <c r="D403" s="25" t="s">
        <v>331</v>
      </c>
      <c r="E403" s="26">
        <v>0</v>
      </c>
      <c r="F403" s="26">
        <v>1</v>
      </c>
      <c r="I403" s="25" t="s">
        <v>331</v>
      </c>
      <c r="J403" s="26">
        <v>0</v>
      </c>
      <c r="K403" s="26">
        <v>1</v>
      </c>
    </row>
    <row r="404" spans="2:12" ht="13.8" x14ac:dyDescent="0.3">
      <c r="D404" s="25">
        <v>0</v>
      </c>
      <c r="E404" s="24">
        <v>161</v>
      </c>
      <c r="F404" s="24">
        <v>10</v>
      </c>
      <c r="I404" s="25">
        <v>0</v>
      </c>
      <c r="J404" s="24">
        <v>64</v>
      </c>
      <c r="K404" s="24">
        <v>65</v>
      </c>
    </row>
    <row r="405" spans="2:12" ht="13.8" x14ac:dyDescent="0.3">
      <c r="D405" s="25">
        <v>1</v>
      </c>
      <c r="E405" s="24">
        <v>1</v>
      </c>
      <c r="F405" s="24">
        <v>428</v>
      </c>
      <c r="I405" s="25">
        <v>1</v>
      </c>
      <c r="J405" s="24">
        <v>36</v>
      </c>
      <c r="K405" s="24">
        <v>235</v>
      </c>
    </row>
    <row r="407" spans="2:12" ht="15.6" x14ac:dyDescent="0.3">
      <c r="D407" s="59" t="s">
        <v>210</v>
      </c>
      <c r="E407" s="60"/>
      <c r="F407" s="60"/>
      <c r="G407" s="61"/>
      <c r="I407" s="59" t="s">
        <v>210</v>
      </c>
      <c r="J407" s="60"/>
      <c r="K407" s="60"/>
      <c r="L407" s="61"/>
    </row>
    <row r="408" spans="2:12" ht="13.8" x14ac:dyDescent="0.3">
      <c r="D408" s="26" t="s">
        <v>332</v>
      </c>
      <c r="E408" s="26" t="s">
        <v>333</v>
      </c>
      <c r="F408" s="26" t="s">
        <v>334</v>
      </c>
      <c r="G408" s="26" t="s">
        <v>335</v>
      </c>
      <c r="I408" s="26" t="s">
        <v>332</v>
      </c>
      <c r="J408" s="26" t="s">
        <v>333</v>
      </c>
      <c r="K408" s="26" t="s">
        <v>334</v>
      </c>
      <c r="L408" s="26" t="s">
        <v>335</v>
      </c>
    </row>
    <row r="409" spans="2:12" ht="13.8" x14ac:dyDescent="0.3">
      <c r="D409" s="25">
        <v>0</v>
      </c>
      <c r="E409" s="24">
        <f>SUM($E$404:$F$404)</f>
        <v>171</v>
      </c>
      <c r="F409" s="24">
        <f>SUM($E$404:$F$404) - $E$404:$E$404</f>
        <v>10</v>
      </c>
      <c r="G409" s="24">
        <f>IF($E$409:$E$409 = 0, "Undefined",$F$409:$F$409*100 / $E$409:$E$409)</f>
        <v>5.8479532163742691</v>
      </c>
      <c r="I409" s="25">
        <v>0</v>
      </c>
      <c r="J409" s="24">
        <f>SUM($J$404:$K$404)</f>
        <v>129</v>
      </c>
      <c r="K409" s="24">
        <f>SUM($J$404:$K$404) - $J$404:$J$404</f>
        <v>65</v>
      </c>
      <c r="L409" s="24">
        <f>IF($J$409:$J$409 = 0, "Undefined",$K$409:$K$409*100 / $J$409:$J$409)</f>
        <v>50.387596899224803</v>
      </c>
    </row>
    <row r="410" spans="2:12" ht="13.8" x14ac:dyDescent="0.3">
      <c r="D410" s="25">
        <v>1</v>
      </c>
      <c r="E410" s="24">
        <f>SUM($E$405:$F$405)</f>
        <v>429</v>
      </c>
      <c r="F410" s="24">
        <f>SUM($E$405:$F$405) - $F$405:$F$405</f>
        <v>1</v>
      </c>
      <c r="G410" s="24">
        <f>IF($E$410:$E$410 = 0, "Undefined",$F$410:$F$410*100 / $E$410:$E$410)</f>
        <v>0.23310023310023309</v>
      </c>
      <c r="I410" s="25">
        <v>1</v>
      </c>
      <c r="J410" s="24">
        <f>SUM($J$405:$K$405)</f>
        <v>271</v>
      </c>
      <c r="K410" s="24">
        <f>SUM($J$405:$K$405) - $K$405:$K$405</f>
        <v>36</v>
      </c>
      <c r="L410" s="24">
        <f>IF($J$410:$J$410 = 0, "Undefined",$K$410:$K$410*100 / $J$410:$J$410)</f>
        <v>13.284132841328413</v>
      </c>
    </row>
    <row r="411" spans="2:12" ht="13.8" x14ac:dyDescent="0.3">
      <c r="D411" s="25" t="s">
        <v>336</v>
      </c>
      <c r="E411" s="24">
        <f>SUM($E$409:$E$410)</f>
        <v>600</v>
      </c>
      <c r="F411" s="24">
        <f>SUM($F$409:$F$410)</f>
        <v>11</v>
      </c>
      <c r="G411" s="24">
        <f>IF($E$411:$E$411 = 0, "Undefined",$F$411:$F$411*100 / $E$411:$E$411)</f>
        <v>1.8333333333333333</v>
      </c>
      <c r="I411" s="25" t="s">
        <v>336</v>
      </c>
      <c r="J411" s="24">
        <f>SUM($J$409:$J$410)</f>
        <v>400</v>
      </c>
      <c r="K411" s="24">
        <f>SUM($K$409:$K$410)</f>
        <v>101</v>
      </c>
      <c r="L411" s="24">
        <f>IF($J$411:$J$411 = 0, "Undefined",$K$411:$K$411*100 / $J$411:$J$411)</f>
        <v>25.25</v>
      </c>
    </row>
    <row r="413" spans="2:12" ht="15.6" x14ac:dyDescent="0.3">
      <c r="B413" s="28" t="s">
        <v>358</v>
      </c>
      <c r="D413" s="59" t="s">
        <v>329</v>
      </c>
      <c r="E413" s="60"/>
      <c r="F413" s="61"/>
      <c r="I413" s="59" t="s">
        <v>329</v>
      </c>
      <c r="J413" s="60"/>
      <c r="K413" s="61"/>
    </row>
    <row r="414" spans="2:12" ht="13.8" x14ac:dyDescent="0.3">
      <c r="D414" s="26"/>
      <c r="E414" s="75" t="s">
        <v>330</v>
      </c>
      <c r="F414" s="76"/>
      <c r="I414" s="26"/>
      <c r="J414" s="75" t="s">
        <v>330</v>
      </c>
      <c r="K414" s="76"/>
    </row>
    <row r="415" spans="2:12" ht="13.8" x14ac:dyDescent="0.3">
      <c r="D415" s="25" t="s">
        <v>331</v>
      </c>
      <c r="E415" s="26">
        <v>0</v>
      </c>
      <c r="F415" s="26">
        <v>1</v>
      </c>
      <c r="I415" s="25" t="s">
        <v>331</v>
      </c>
      <c r="J415" s="26">
        <v>0</v>
      </c>
      <c r="K415" s="26">
        <v>1</v>
      </c>
    </row>
    <row r="416" spans="2:12" ht="13.8" x14ac:dyDescent="0.3">
      <c r="D416" s="25">
        <v>0</v>
      </c>
      <c r="E416" s="24">
        <v>158</v>
      </c>
      <c r="F416" s="24">
        <v>13</v>
      </c>
      <c r="I416" s="25">
        <v>0</v>
      </c>
      <c r="J416" s="24">
        <v>52</v>
      </c>
      <c r="K416" s="24">
        <v>77</v>
      </c>
    </row>
    <row r="417" spans="2:12" ht="13.8" x14ac:dyDescent="0.3">
      <c r="D417" s="25">
        <v>1</v>
      </c>
      <c r="E417" s="24">
        <v>0</v>
      </c>
      <c r="F417" s="24">
        <v>429</v>
      </c>
      <c r="I417" s="25">
        <v>1</v>
      </c>
      <c r="J417" s="24">
        <v>26</v>
      </c>
      <c r="K417" s="24">
        <v>245</v>
      </c>
    </row>
    <row r="419" spans="2:12" ht="15.6" x14ac:dyDescent="0.3">
      <c r="D419" s="59" t="s">
        <v>210</v>
      </c>
      <c r="E419" s="60"/>
      <c r="F419" s="60"/>
      <c r="G419" s="61"/>
      <c r="I419" s="59" t="s">
        <v>210</v>
      </c>
      <c r="J419" s="60"/>
      <c r="K419" s="60"/>
      <c r="L419" s="61"/>
    </row>
    <row r="420" spans="2:12" ht="13.8" x14ac:dyDescent="0.3">
      <c r="D420" s="26" t="s">
        <v>332</v>
      </c>
      <c r="E420" s="26" t="s">
        <v>333</v>
      </c>
      <c r="F420" s="26" t="s">
        <v>334</v>
      </c>
      <c r="G420" s="26" t="s">
        <v>335</v>
      </c>
      <c r="I420" s="26" t="s">
        <v>332</v>
      </c>
      <c r="J420" s="26" t="s">
        <v>333</v>
      </c>
      <c r="K420" s="26" t="s">
        <v>334</v>
      </c>
      <c r="L420" s="26" t="s">
        <v>335</v>
      </c>
    </row>
    <row r="421" spans="2:12" ht="13.8" x14ac:dyDescent="0.3">
      <c r="D421" s="25">
        <v>0</v>
      </c>
      <c r="E421" s="24">
        <f>SUM($E$416:$F$416)</f>
        <v>171</v>
      </c>
      <c r="F421" s="24">
        <f>SUM($E$416:$F$416) - $E$416:$E$416</f>
        <v>13</v>
      </c>
      <c r="G421" s="24">
        <f>IF($E$421:$E$421 = 0, "Undefined",$F$421:$F$421*100 / $E$421:$E$421)</f>
        <v>7.60233918128655</v>
      </c>
      <c r="I421" s="25">
        <v>0</v>
      </c>
      <c r="J421" s="24">
        <f>SUM($J$416:$K$416)</f>
        <v>129</v>
      </c>
      <c r="K421" s="24">
        <f>SUM($J$416:$K$416) - $J$416:$J$416</f>
        <v>77</v>
      </c>
      <c r="L421" s="24">
        <f>IF($J$421:$J$421 = 0, "Undefined",$K$421:$K$421*100 / $J$421:$J$421)</f>
        <v>59.689922480620154</v>
      </c>
    </row>
    <row r="422" spans="2:12" ht="13.8" x14ac:dyDescent="0.3">
      <c r="D422" s="25">
        <v>1</v>
      </c>
      <c r="E422" s="24">
        <f>SUM($E$417:$F$417)</f>
        <v>429</v>
      </c>
      <c r="F422" s="24">
        <f>SUM($E$417:$F$417) - $F$417:$F$417</f>
        <v>0</v>
      </c>
      <c r="G422" s="24">
        <f>IF($E$422:$E$422 = 0, "Undefined",$F$422:$F$422*100 / $E$422:$E$422)</f>
        <v>0</v>
      </c>
      <c r="I422" s="25">
        <v>1</v>
      </c>
      <c r="J422" s="24">
        <f>SUM($J$417:$K$417)</f>
        <v>271</v>
      </c>
      <c r="K422" s="24">
        <f>SUM($J$417:$K$417) - $K$417:$K$417</f>
        <v>26</v>
      </c>
      <c r="L422" s="24">
        <f>IF($J$422:$J$422 = 0, "Undefined",$K$422:$K$422*100 / $J$422:$J$422)</f>
        <v>9.5940959409594093</v>
      </c>
    </row>
    <row r="423" spans="2:12" ht="13.8" x14ac:dyDescent="0.3">
      <c r="D423" s="25" t="s">
        <v>336</v>
      </c>
      <c r="E423" s="24">
        <f>SUM($E$421:$E$422)</f>
        <v>600</v>
      </c>
      <c r="F423" s="24">
        <f>SUM($F$421:$F$422)</f>
        <v>13</v>
      </c>
      <c r="G423" s="24">
        <f>IF($E$423:$E$423 = 0, "Undefined",$F$423:$F$423*100 / $E$423:$E$423)</f>
        <v>2.1666666666666665</v>
      </c>
      <c r="I423" s="25" t="s">
        <v>336</v>
      </c>
      <c r="J423" s="24">
        <f>SUM($J$421:$J$422)</f>
        <v>400</v>
      </c>
      <c r="K423" s="24">
        <f>SUM($K$421:$K$422)</f>
        <v>103</v>
      </c>
      <c r="L423" s="24">
        <f>IF($J$423:$J$423 = 0, "Undefined",$K$423:$K$423*100 / $J$423:$J$423)</f>
        <v>25.75</v>
      </c>
    </row>
    <row r="425" spans="2:12" ht="15.6" x14ac:dyDescent="0.3">
      <c r="B425" s="28" t="s">
        <v>359</v>
      </c>
      <c r="D425" s="59" t="s">
        <v>329</v>
      </c>
      <c r="E425" s="60"/>
      <c r="F425" s="61"/>
      <c r="I425" s="59" t="s">
        <v>329</v>
      </c>
      <c r="J425" s="60"/>
      <c r="K425" s="61"/>
    </row>
    <row r="426" spans="2:12" ht="13.8" x14ac:dyDescent="0.3">
      <c r="D426" s="26"/>
      <c r="E426" s="75" t="s">
        <v>330</v>
      </c>
      <c r="F426" s="76"/>
      <c r="I426" s="26"/>
      <c r="J426" s="75" t="s">
        <v>330</v>
      </c>
      <c r="K426" s="76"/>
    </row>
    <row r="427" spans="2:12" ht="13.8" x14ac:dyDescent="0.3">
      <c r="D427" s="25" t="s">
        <v>331</v>
      </c>
      <c r="E427" s="26">
        <v>0</v>
      </c>
      <c r="F427" s="26">
        <v>1</v>
      </c>
      <c r="I427" s="25" t="s">
        <v>331</v>
      </c>
      <c r="J427" s="26">
        <v>0</v>
      </c>
      <c r="K427" s="26">
        <v>1</v>
      </c>
    </row>
    <row r="428" spans="2:12" ht="13.8" x14ac:dyDescent="0.3">
      <c r="D428" s="25">
        <v>0</v>
      </c>
      <c r="E428" s="24">
        <v>162</v>
      </c>
      <c r="F428" s="24">
        <v>9</v>
      </c>
      <c r="I428" s="25">
        <v>0</v>
      </c>
      <c r="J428" s="24">
        <v>68</v>
      </c>
      <c r="K428" s="24">
        <v>61</v>
      </c>
    </row>
    <row r="429" spans="2:12" ht="13.8" x14ac:dyDescent="0.3">
      <c r="D429" s="25">
        <v>1</v>
      </c>
      <c r="E429" s="24">
        <v>2</v>
      </c>
      <c r="F429" s="24">
        <v>427</v>
      </c>
      <c r="I429" s="25">
        <v>1</v>
      </c>
      <c r="J429" s="24">
        <v>43</v>
      </c>
      <c r="K429" s="24">
        <v>228</v>
      </c>
    </row>
    <row r="431" spans="2:12" ht="15.6" x14ac:dyDescent="0.3">
      <c r="D431" s="59" t="s">
        <v>210</v>
      </c>
      <c r="E431" s="60"/>
      <c r="F431" s="60"/>
      <c r="G431" s="61"/>
      <c r="I431" s="59" t="s">
        <v>210</v>
      </c>
      <c r="J431" s="60"/>
      <c r="K431" s="60"/>
      <c r="L431" s="61"/>
    </row>
    <row r="432" spans="2:12" ht="13.8" x14ac:dyDescent="0.3">
      <c r="D432" s="26" t="s">
        <v>332</v>
      </c>
      <c r="E432" s="26" t="s">
        <v>333</v>
      </c>
      <c r="F432" s="26" t="s">
        <v>334</v>
      </c>
      <c r="G432" s="26" t="s">
        <v>335</v>
      </c>
      <c r="I432" s="26" t="s">
        <v>332</v>
      </c>
      <c r="J432" s="26" t="s">
        <v>333</v>
      </c>
      <c r="K432" s="26" t="s">
        <v>334</v>
      </c>
      <c r="L432" s="26" t="s">
        <v>335</v>
      </c>
    </row>
    <row r="433" spans="2:12" ht="13.8" x14ac:dyDescent="0.3">
      <c r="D433" s="25">
        <v>0</v>
      </c>
      <c r="E433" s="24">
        <f>SUM($E$428:$F$428)</f>
        <v>171</v>
      </c>
      <c r="F433" s="24">
        <f>SUM($E$428:$F$428) - $E$428:$E$428</f>
        <v>9</v>
      </c>
      <c r="G433" s="24">
        <f>IF($E$433:$E$433 = 0, "Undefined",$F$433:$F$433*100 / $E$433:$E$433)</f>
        <v>5.2631578947368425</v>
      </c>
      <c r="I433" s="25">
        <v>0</v>
      </c>
      <c r="J433" s="24">
        <f>SUM($J$428:$K$428)</f>
        <v>129</v>
      </c>
      <c r="K433" s="24">
        <f>SUM($J$428:$K$428) - $J$428:$J$428</f>
        <v>61</v>
      </c>
      <c r="L433" s="24">
        <f>IF($J$433:$J$433 = 0, "Undefined",$K$433:$K$433*100 / $J$433:$J$433)</f>
        <v>47.286821705426355</v>
      </c>
    </row>
    <row r="434" spans="2:12" ht="13.8" x14ac:dyDescent="0.3">
      <c r="D434" s="25">
        <v>1</v>
      </c>
      <c r="E434" s="24">
        <f>SUM($E$429:$F$429)</f>
        <v>429</v>
      </c>
      <c r="F434" s="24">
        <f>SUM($E$429:$F$429) - $F$429:$F$429</f>
        <v>2</v>
      </c>
      <c r="G434" s="24">
        <f>IF($E$434:$E$434 = 0, "Undefined",$F$434:$F$434*100 / $E$434:$E$434)</f>
        <v>0.46620046620046618</v>
      </c>
      <c r="I434" s="25">
        <v>1</v>
      </c>
      <c r="J434" s="24">
        <f>SUM($J$429:$K$429)</f>
        <v>271</v>
      </c>
      <c r="K434" s="24">
        <f>SUM($J$429:$K$429) - $K$429:$K$429</f>
        <v>43</v>
      </c>
      <c r="L434" s="24">
        <f>IF($J$434:$J$434 = 0, "Undefined",$K$434:$K$434*100 / $J$434:$J$434)</f>
        <v>15.867158671586715</v>
      </c>
    </row>
    <row r="435" spans="2:12" ht="13.8" x14ac:dyDescent="0.3">
      <c r="D435" s="25" t="s">
        <v>336</v>
      </c>
      <c r="E435" s="24">
        <f>SUM($E$433:$E$434)</f>
        <v>600</v>
      </c>
      <c r="F435" s="24">
        <f>SUM($F$433:$F$434)</f>
        <v>11</v>
      </c>
      <c r="G435" s="24">
        <f>IF($E$435:$E$435 = 0, "Undefined",$F$435:$F$435*100 / $E$435:$E$435)</f>
        <v>1.8333333333333333</v>
      </c>
      <c r="I435" s="25" t="s">
        <v>336</v>
      </c>
      <c r="J435" s="24">
        <f>SUM($J$433:$J$434)</f>
        <v>400</v>
      </c>
      <c r="K435" s="24">
        <f>SUM($K$433:$K$434)</f>
        <v>104</v>
      </c>
      <c r="L435" s="24">
        <f>IF($J$435:$J$435 = 0, "Undefined",$K$435:$K$435*100 / $J$435:$J$435)</f>
        <v>26</v>
      </c>
    </row>
    <row r="437" spans="2:12" ht="15.6" x14ac:dyDescent="0.3">
      <c r="B437" s="28" t="s">
        <v>360</v>
      </c>
      <c r="D437" s="59" t="s">
        <v>329</v>
      </c>
      <c r="E437" s="60"/>
      <c r="F437" s="61"/>
      <c r="I437" s="59" t="s">
        <v>329</v>
      </c>
      <c r="J437" s="60"/>
      <c r="K437" s="61"/>
    </row>
    <row r="438" spans="2:12" ht="13.8" x14ac:dyDescent="0.3">
      <c r="D438" s="26"/>
      <c r="E438" s="75" t="s">
        <v>330</v>
      </c>
      <c r="F438" s="76"/>
      <c r="I438" s="26"/>
      <c r="J438" s="75" t="s">
        <v>330</v>
      </c>
      <c r="K438" s="76"/>
    </row>
    <row r="439" spans="2:12" ht="13.8" x14ac:dyDescent="0.3">
      <c r="D439" s="25" t="s">
        <v>331</v>
      </c>
      <c r="E439" s="26">
        <v>0</v>
      </c>
      <c r="F439" s="26">
        <v>1</v>
      </c>
      <c r="I439" s="25" t="s">
        <v>331</v>
      </c>
      <c r="J439" s="26">
        <v>0</v>
      </c>
      <c r="K439" s="26">
        <v>1</v>
      </c>
    </row>
    <row r="440" spans="2:12" ht="13.8" x14ac:dyDescent="0.3">
      <c r="D440" s="25">
        <v>0</v>
      </c>
      <c r="E440" s="24">
        <v>159</v>
      </c>
      <c r="F440" s="24">
        <v>12</v>
      </c>
      <c r="I440" s="25">
        <v>0</v>
      </c>
      <c r="J440" s="24">
        <v>61</v>
      </c>
      <c r="K440" s="24">
        <v>68</v>
      </c>
    </row>
    <row r="441" spans="2:12" ht="13.8" x14ac:dyDescent="0.3">
      <c r="D441" s="25">
        <v>1</v>
      </c>
      <c r="E441" s="24">
        <v>0</v>
      </c>
      <c r="F441" s="24">
        <v>429</v>
      </c>
      <c r="I441" s="25">
        <v>1</v>
      </c>
      <c r="J441" s="24">
        <v>33</v>
      </c>
      <c r="K441" s="24">
        <v>238</v>
      </c>
    </row>
    <row r="443" spans="2:12" ht="15.6" x14ac:dyDescent="0.3">
      <c r="D443" s="59" t="s">
        <v>210</v>
      </c>
      <c r="E443" s="60"/>
      <c r="F443" s="60"/>
      <c r="G443" s="61"/>
      <c r="I443" s="59" t="s">
        <v>210</v>
      </c>
      <c r="J443" s="60"/>
      <c r="K443" s="60"/>
      <c r="L443" s="61"/>
    </row>
    <row r="444" spans="2:12" ht="13.8" x14ac:dyDescent="0.3">
      <c r="D444" s="26" t="s">
        <v>332</v>
      </c>
      <c r="E444" s="26" t="s">
        <v>333</v>
      </c>
      <c r="F444" s="26" t="s">
        <v>334</v>
      </c>
      <c r="G444" s="26" t="s">
        <v>335</v>
      </c>
      <c r="I444" s="26" t="s">
        <v>332</v>
      </c>
      <c r="J444" s="26" t="s">
        <v>333</v>
      </c>
      <c r="K444" s="26" t="s">
        <v>334</v>
      </c>
      <c r="L444" s="26" t="s">
        <v>335</v>
      </c>
    </row>
    <row r="445" spans="2:12" ht="13.8" x14ac:dyDescent="0.3">
      <c r="D445" s="25">
        <v>0</v>
      </c>
      <c r="E445" s="24">
        <f>SUM($E$440:$F$440)</f>
        <v>171</v>
      </c>
      <c r="F445" s="24">
        <f>SUM($E$440:$F$440) - $E$440:$E$440</f>
        <v>12</v>
      </c>
      <c r="G445" s="24">
        <f>IF($E$445:$E$445 = 0, "Undefined",$F$445:$F$445*100 / $E$445:$E$445)</f>
        <v>7.0175438596491224</v>
      </c>
      <c r="I445" s="25">
        <v>0</v>
      </c>
      <c r="J445" s="24">
        <f>SUM($J$440:$K$440)</f>
        <v>129</v>
      </c>
      <c r="K445" s="24">
        <f>SUM($J$440:$K$440) - $J$440:$J$440</f>
        <v>68</v>
      </c>
      <c r="L445" s="24">
        <f>IF($J$445:$J$445 = 0, "Undefined",$K$445:$K$445*100 / $J$445:$J$445)</f>
        <v>52.713178294573645</v>
      </c>
    </row>
    <row r="446" spans="2:12" ht="13.8" x14ac:dyDescent="0.3">
      <c r="D446" s="25">
        <v>1</v>
      </c>
      <c r="E446" s="24">
        <f>SUM($E$441:$F$441)</f>
        <v>429</v>
      </c>
      <c r="F446" s="24">
        <f>SUM($E$441:$F$441) - $F$441:$F$441</f>
        <v>0</v>
      </c>
      <c r="G446" s="24">
        <f>IF($E$446:$E$446 = 0, "Undefined",$F$446:$F$446*100 / $E$446:$E$446)</f>
        <v>0</v>
      </c>
      <c r="I446" s="25">
        <v>1</v>
      </c>
      <c r="J446" s="24">
        <f>SUM($J$441:$K$441)</f>
        <v>271</v>
      </c>
      <c r="K446" s="24">
        <f>SUM($J$441:$K$441) - $K$441:$K$441</f>
        <v>33</v>
      </c>
      <c r="L446" s="24">
        <f>IF($J$446:$J$446 = 0, "Undefined",$K$446:$K$446*100 / $J$446:$J$446)</f>
        <v>12.177121771217712</v>
      </c>
    </row>
    <row r="447" spans="2:12" ht="13.8" x14ac:dyDescent="0.3">
      <c r="D447" s="25" t="s">
        <v>336</v>
      </c>
      <c r="E447" s="24">
        <f>SUM($E$445:$E$446)</f>
        <v>600</v>
      </c>
      <c r="F447" s="24">
        <f>SUM($F$445:$F$446)</f>
        <v>12</v>
      </c>
      <c r="G447" s="24">
        <f>IF($E$447:$E$447 = 0, "Undefined",$F$447:$F$447*100 / $E$447:$E$447)</f>
        <v>2</v>
      </c>
      <c r="I447" s="25" t="s">
        <v>336</v>
      </c>
      <c r="J447" s="24">
        <f>SUM($J$445:$J$446)</f>
        <v>400</v>
      </c>
      <c r="K447" s="24">
        <f>SUM($K$445:$K$446)</f>
        <v>101</v>
      </c>
      <c r="L447" s="24">
        <f>IF($J$447:$J$447 = 0, "Undefined",$K$447:$K$447*100 / $J$447:$J$447)</f>
        <v>25.25</v>
      </c>
    </row>
    <row r="449" spans="2:12" ht="15.6" x14ac:dyDescent="0.3">
      <c r="B449" s="28" t="s">
        <v>361</v>
      </c>
      <c r="D449" s="59" t="s">
        <v>329</v>
      </c>
      <c r="E449" s="60"/>
      <c r="F449" s="61"/>
      <c r="I449" s="59" t="s">
        <v>329</v>
      </c>
      <c r="J449" s="60"/>
      <c r="K449" s="61"/>
    </row>
    <row r="450" spans="2:12" ht="13.8" x14ac:dyDescent="0.3">
      <c r="D450" s="26"/>
      <c r="E450" s="75" t="s">
        <v>330</v>
      </c>
      <c r="F450" s="76"/>
      <c r="I450" s="26"/>
      <c r="J450" s="75" t="s">
        <v>330</v>
      </c>
      <c r="K450" s="76"/>
    </row>
    <row r="451" spans="2:12" ht="13.8" x14ac:dyDescent="0.3">
      <c r="D451" s="25" t="s">
        <v>331</v>
      </c>
      <c r="E451" s="26">
        <v>0</v>
      </c>
      <c r="F451" s="26">
        <v>1</v>
      </c>
      <c r="I451" s="25" t="s">
        <v>331</v>
      </c>
      <c r="J451" s="26">
        <v>0</v>
      </c>
      <c r="K451" s="26">
        <v>1</v>
      </c>
    </row>
    <row r="452" spans="2:12" ht="13.8" x14ac:dyDescent="0.3">
      <c r="D452" s="25">
        <v>0</v>
      </c>
      <c r="E452" s="24">
        <v>161</v>
      </c>
      <c r="F452" s="24">
        <v>10</v>
      </c>
      <c r="I452" s="25">
        <v>0</v>
      </c>
      <c r="J452" s="24">
        <v>55</v>
      </c>
      <c r="K452" s="24">
        <v>74</v>
      </c>
    </row>
    <row r="453" spans="2:12" ht="13.8" x14ac:dyDescent="0.3">
      <c r="D453" s="25">
        <v>1</v>
      </c>
      <c r="E453" s="24">
        <v>3</v>
      </c>
      <c r="F453" s="24">
        <v>426</v>
      </c>
      <c r="I453" s="25">
        <v>1</v>
      </c>
      <c r="J453" s="24">
        <v>26</v>
      </c>
      <c r="K453" s="24">
        <v>245</v>
      </c>
    </row>
    <row r="455" spans="2:12" ht="15.6" x14ac:dyDescent="0.3">
      <c r="D455" s="59" t="s">
        <v>210</v>
      </c>
      <c r="E455" s="60"/>
      <c r="F455" s="60"/>
      <c r="G455" s="61"/>
      <c r="I455" s="59" t="s">
        <v>210</v>
      </c>
      <c r="J455" s="60"/>
      <c r="K455" s="60"/>
      <c r="L455" s="61"/>
    </row>
    <row r="456" spans="2:12" ht="13.8" x14ac:dyDescent="0.3">
      <c r="D456" s="26" t="s">
        <v>332</v>
      </c>
      <c r="E456" s="26" t="s">
        <v>333</v>
      </c>
      <c r="F456" s="26" t="s">
        <v>334</v>
      </c>
      <c r="G456" s="26" t="s">
        <v>335</v>
      </c>
      <c r="I456" s="26" t="s">
        <v>332</v>
      </c>
      <c r="J456" s="26" t="s">
        <v>333</v>
      </c>
      <c r="K456" s="26" t="s">
        <v>334</v>
      </c>
      <c r="L456" s="26" t="s">
        <v>335</v>
      </c>
    </row>
    <row r="457" spans="2:12" ht="13.8" x14ac:dyDescent="0.3">
      <c r="D457" s="25">
        <v>0</v>
      </c>
      <c r="E457" s="24">
        <f>SUM($E$452:$F$452)</f>
        <v>171</v>
      </c>
      <c r="F457" s="24">
        <f>SUM($E$452:$F$452) - $E$452:$E$452</f>
        <v>10</v>
      </c>
      <c r="G457" s="24">
        <f>IF($E$457:$E$457 = 0, "Undefined",$F$457:$F$457*100 / $E$457:$E$457)</f>
        <v>5.8479532163742691</v>
      </c>
      <c r="I457" s="25">
        <v>0</v>
      </c>
      <c r="J457" s="24">
        <f>SUM($J$452:$K$452)</f>
        <v>129</v>
      </c>
      <c r="K457" s="24">
        <f>SUM($J$452:$K$452) - $J$452:$J$452</f>
        <v>74</v>
      </c>
      <c r="L457" s="24">
        <f>IF($J$457:$J$457 = 0, "Undefined",$K$457:$K$457*100 / $J$457:$J$457)</f>
        <v>57.36434108527132</v>
      </c>
    </row>
    <row r="458" spans="2:12" ht="13.8" x14ac:dyDescent="0.3">
      <c r="D458" s="25">
        <v>1</v>
      </c>
      <c r="E458" s="24">
        <f>SUM($E$453:$F$453)</f>
        <v>429</v>
      </c>
      <c r="F458" s="24">
        <f>SUM($E$453:$F$453) - $F$453:$F$453</f>
        <v>3</v>
      </c>
      <c r="G458" s="24">
        <f>IF($E$458:$E$458 = 0, "Undefined",$F$458:$F$458*100 / $E$458:$E$458)</f>
        <v>0.69930069930069927</v>
      </c>
      <c r="I458" s="25">
        <v>1</v>
      </c>
      <c r="J458" s="24">
        <f>SUM($J$453:$K$453)</f>
        <v>271</v>
      </c>
      <c r="K458" s="24">
        <f>SUM($J$453:$K$453) - $K$453:$K$453</f>
        <v>26</v>
      </c>
      <c r="L458" s="24">
        <f>IF($J$458:$J$458 = 0, "Undefined",$K$458:$K$458*100 / $J$458:$J$458)</f>
        <v>9.5940959409594093</v>
      </c>
    </row>
    <row r="459" spans="2:12" ht="13.8" x14ac:dyDescent="0.3">
      <c r="D459" s="25" t="s">
        <v>336</v>
      </c>
      <c r="E459" s="24">
        <f>SUM($E$457:$E$458)</f>
        <v>600</v>
      </c>
      <c r="F459" s="24">
        <f>SUM($F$457:$F$458)</f>
        <v>13</v>
      </c>
      <c r="G459" s="24">
        <f>IF($E$459:$E$459 = 0, "Undefined",$F$459:$F$459*100 / $E$459:$E$459)</f>
        <v>2.1666666666666665</v>
      </c>
      <c r="I459" s="25" t="s">
        <v>336</v>
      </c>
      <c r="J459" s="24">
        <f>SUM($J$457:$J$458)</f>
        <v>400</v>
      </c>
      <c r="K459" s="24">
        <f>SUM($K$457:$K$458)</f>
        <v>100</v>
      </c>
      <c r="L459" s="24">
        <f>IF($J$459:$J$459 = 0, "Undefined",$K$459:$K$459*100 / $J$459:$J$459)</f>
        <v>25</v>
      </c>
    </row>
    <row r="461" spans="2:12" ht="15.6" x14ac:dyDescent="0.3">
      <c r="B461" s="28" t="s">
        <v>362</v>
      </c>
      <c r="D461" s="59" t="s">
        <v>329</v>
      </c>
      <c r="E461" s="60"/>
      <c r="F461" s="61"/>
      <c r="I461" s="59" t="s">
        <v>329</v>
      </c>
      <c r="J461" s="60"/>
      <c r="K461" s="61"/>
    </row>
    <row r="462" spans="2:12" ht="13.8" x14ac:dyDescent="0.3">
      <c r="D462" s="26"/>
      <c r="E462" s="75" t="s">
        <v>330</v>
      </c>
      <c r="F462" s="76"/>
      <c r="I462" s="26"/>
      <c r="J462" s="75" t="s">
        <v>330</v>
      </c>
      <c r="K462" s="76"/>
    </row>
    <row r="463" spans="2:12" ht="13.8" x14ac:dyDescent="0.3">
      <c r="D463" s="25" t="s">
        <v>331</v>
      </c>
      <c r="E463" s="26">
        <v>0</v>
      </c>
      <c r="F463" s="26">
        <v>1</v>
      </c>
      <c r="I463" s="25" t="s">
        <v>331</v>
      </c>
      <c r="J463" s="26">
        <v>0</v>
      </c>
      <c r="K463" s="26">
        <v>1</v>
      </c>
    </row>
    <row r="464" spans="2:12" ht="13.8" x14ac:dyDescent="0.3">
      <c r="D464" s="25">
        <v>0</v>
      </c>
      <c r="E464" s="24">
        <v>160</v>
      </c>
      <c r="F464" s="24">
        <v>11</v>
      </c>
      <c r="I464" s="25">
        <v>0</v>
      </c>
      <c r="J464" s="24">
        <v>54</v>
      </c>
      <c r="K464" s="24">
        <v>75</v>
      </c>
    </row>
    <row r="465" spans="2:12" ht="13.8" x14ac:dyDescent="0.3">
      <c r="D465" s="25">
        <v>1</v>
      </c>
      <c r="E465" s="24">
        <v>0</v>
      </c>
      <c r="F465" s="24">
        <v>429</v>
      </c>
      <c r="I465" s="25">
        <v>1</v>
      </c>
      <c r="J465" s="24">
        <v>36</v>
      </c>
      <c r="K465" s="24">
        <v>235</v>
      </c>
    </row>
    <row r="467" spans="2:12" ht="15.6" x14ac:dyDescent="0.3">
      <c r="D467" s="59" t="s">
        <v>210</v>
      </c>
      <c r="E467" s="60"/>
      <c r="F467" s="60"/>
      <c r="G467" s="61"/>
      <c r="I467" s="59" t="s">
        <v>210</v>
      </c>
      <c r="J467" s="60"/>
      <c r="K467" s="60"/>
      <c r="L467" s="61"/>
    </row>
    <row r="468" spans="2:12" ht="13.8" x14ac:dyDescent="0.3">
      <c r="D468" s="26" t="s">
        <v>332</v>
      </c>
      <c r="E468" s="26" t="s">
        <v>333</v>
      </c>
      <c r="F468" s="26" t="s">
        <v>334</v>
      </c>
      <c r="G468" s="26" t="s">
        <v>335</v>
      </c>
      <c r="I468" s="26" t="s">
        <v>332</v>
      </c>
      <c r="J468" s="26" t="s">
        <v>333</v>
      </c>
      <c r="K468" s="26" t="s">
        <v>334</v>
      </c>
      <c r="L468" s="26" t="s">
        <v>335</v>
      </c>
    </row>
    <row r="469" spans="2:12" ht="13.8" x14ac:dyDescent="0.3">
      <c r="D469" s="25">
        <v>0</v>
      </c>
      <c r="E469" s="24">
        <f>SUM($E$464:$F$464)</f>
        <v>171</v>
      </c>
      <c r="F469" s="24">
        <f>SUM($E$464:$F$464) - $E$464:$E$464</f>
        <v>11</v>
      </c>
      <c r="G469" s="24">
        <f>IF($E$469:$E$469 = 0, "Undefined",$F$469:$F$469*100 / $E$469:$E$469)</f>
        <v>6.4327485380116958</v>
      </c>
      <c r="I469" s="25">
        <v>0</v>
      </c>
      <c r="J469" s="24">
        <f>SUM($J$464:$K$464)</f>
        <v>129</v>
      </c>
      <c r="K469" s="24">
        <f>SUM($J$464:$K$464) - $J$464:$J$464</f>
        <v>75</v>
      </c>
      <c r="L469" s="24">
        <f>IF($J$469:$J$469 = 0, "Undefined",$K$469:$K$469*100 / $J$469:$J$469)</f>
        <v>58.139534883720927</v>
      </c>
    </row>
    <row r="470" spans="2:12" ht="13.8" x14ac:dyDescent="0.3">
      <c r="D470" s="25">
        <v>1</v>
      </c>
      <c r="E470" s="24">
        <f>SUM($E$465:$F$465)</f>
        <v>429</v>
      </c>
      <c r="F470" s="24">
        <f>SUM($E$465:$F$465) - $F$465:$F$465</f>
        <v>0</v>
      </c>
      <c r="G470" s="24">
        <f>IF($E$470:$E$470 = 0, "Undefined",$F$470:$F$470*100 / $E$470:$E$470)</f>
        <v>0</v>
      </c>
      <c r="I470" s="25">
        <v>1</v>
      </c>
      <c r="J470" s="24">
        <f>SUM($J$465:$K$465)</f>
        <v>271</v>
      </c>
      <c r="K470" s="24">
        <f>SUM($J$465:$K$465) - $K$465:$K$465</f>
        <v>36</v>
      </c>
      <c r="L470" s="24">
        <f>IF($J$470:$J$470 = 0, "Undefined",$K$470:$K$470*100 / $J$470:$J$470)</f>
        <v>13.284132841328413</v>
      </c>
    </row>
    <row r="471" spans="2:12" ht="13.8" x14ac:dyDescent="0.3">
      <c r="D471" s="25" t="s">
        <v>336</v>
      </c>
      <c r="E471" s="24">
        <f>SUM($E$469:$E$470)</f>
        <v>600</v>
      </c>
      <c r="F471" s="24">
        <f>SUM($F$469:$F$470)</f>
        <v>11</v>
      </c>
      <c r="G471" s="24">
        <f>IF($E$471:$E$471 = 0, "Undefined",$F$471:$F$471*100 / $E$471:$E$471)</f>
        <v>1.8333333333333333</v>
      </c>
      <c r="I471" s="25" t="s">
        <v>336</v>
      </c>
      <c r="J471" s="24">
        <f>SUM($J$469:$J$470)</f>
        <v>400</v>
      </c>
      <c r="K471" s="24">
        <f>SUM($K$469:$K$470)</f>
        <v>111</v>
      </c>
      <c r="L471" s="24">
        <f>IF($J$471:$J$471 = 0, "Undefined",$K$471:$K$471*100 / $J$471:$J$471)</f>
        <v>27.75</v>
      </c>
    </row>
    <row r="473" spans="2:12" ht="15.6" x14ac:dyDescent="0.3">
      <c r="B473" s="28" t="s">
        <v>363</v>
      </c>
      <c r="D473" s="59" t="s">
        <v>329</v>
      </c>
      <c r="E473" s="60"/>
      <c r="F473" s="61"/>
      <c r="I473" s="59" t="s">
        <v>329</v>
      </c>
      <c r="J473" s="60"/>
      <c r="K473" s="61"/>
    </row>
    <row r="474" spans="2:12" ht="13.8" x14ac:dyDescent="0.3">
      <c r="D474" s="26"/>
      <c r="E474" s="75" t="s">
        <v>330</v>
      </c>
      <c r="F474" s="76"/>
      <c r="I474" s="26"/>
      <c r="J474" s="75" t="s">
        <v>330</v>
      </c>
      <c r="K474" s="76"/>
    </row>
    <row r="475" spans="2:12" ht="13.8" x14ac:dyDescent="0.3">
      <c r="D475" s="25" t="s">
        <v>331</v>
      </c>
      <c r="E475" s="26">
        <v>0</v>
      </c>
      <c r="F475" s="26">
        <v>1</v>
      </c>
      <c r="I475" s="25" t="s">
        <v>331</v>
      </c>
      <c r="J475" s="26">
        <v>0</v>
      </c>
      <c r="K475" s="26">
        <v>1</v>
      </c>
    </row>
    <row r="476" spans="2:12" ht="13.8" x14ac:dyDescent="0.3">
      <c r="D476" s="25">
        <v>0</v>
      </c>
      <c r="E476" s="24">
        <v>161</v>
      </c>
      <c r="F476" s="24">
        <v>10</v>
      </c>
      <c r="I476" s="25">
        <v>0</v>
      </c>
      <c r="J476" s="24">
        <v>53</v>
      </c>
      <c r="K476" s="24">
        <v>76</v>
      </c>
    </row>
    <row r="477" spans="2:12" ht="13.8" x14ac:dyDescent="0.3">
      <c r="D477" s="25">
        <v>1</v>
      </c>
      <c r="E477" s="24">
        <v>1</v>
      </c>
      <c r="F477" s="24">
        <v>428</v>
      </c>
      <c r="I477" s="25">
        <v>1</v>
      </c>
      <c r="J477" s="24">
        <v>26</v>
      </c>
      <c r="K477" s="24">
        <v>245</v>
      </c>
    </row>
    <row r="479" spans="2:12" ht="15.6" x14ac:dyDescent="0.3">
      <c r="D479" s="59" t="s">
        <v>210</v>
      </c>
      <c r="E479" s="60"/>
      <c r="F479" s="60"/>
      <c r="G479" s="61"/>
      <c r="I479" s="59" t="s">
        <v>210</v>
      </c>
      <c r="J479" s="60"/>
      <c r="K479" s="60"/>
      <c r="L479" s="61"/>
    </row>
    <row r="480" spans="2:12" ht="13.8" x14ac:dyDescent="0.3">
      <c r="D480" s="26" t="s">
        <v>332</v>
      </c>
      <c r="E480" s="26" t="s">
        <v>333</v>
      </c>
      <c r="F480" s="26" t="s">
        <v>334</v>
      </c>
      <c r="G480" s="26" t="s">
        <v>335</v>
      </c>
      <c r="I480" s="26" t="s">
        <v>332</v>
      </c>
      <c r="J480" s="26" t="s">
        <v>333</v>
      </c>
      <c r="K480" s="26" t="s">
        <v>334</v>
      </c>
      <c r="L480" s="26" t="s">
        <v>335</v>
      </c>
    </row>
    <row r="481" spans="2:12" ht="13.8" x14ac:dyDescent="0.3">
      <c r="D481" s="25">
        <v>0</v>
      </c>
      <c r="E481" s="24">
        <f>SUM($E$476:$F$476)</f>
        <v>171</v>
      </c>
      <c r="F481" s="24">
        <f>SUM($E$476:$F$476) - $E$476:$E$476</f>
        <v>10</v>
      </c>
      <c r="G481" s="24">
        <f>IF($E$481:$E$481 = 0, "Undefined",$F$481:$F$481*100 / $E$481:$E$481)</f>
        <v>5.8479532163742691</v>
      </c>
      <c r="I481" s="25">
        <v>0</v>
      </c>
      <c r="J481" s="24">
        <f>SUM($J$476:$K$476)</f>
        <v>129</v>
      </c>
      <c r="K481" s="24">
        <f>SUM($J$476:$K$476) - $J$476:$J$476</f>
        <v>76</v>
      </c>
      <c r="L481" s="24">
        <f>IF($J$481:$J$481 = 0, "Undefined",$K$481:$K$481*100 / $J$481:$J$481)</f>
        <v>58.914728682170541</v>
      </c>
    </row>
    <row r="482" spans="2:12" ht="13.8" x14ac:dyDescent="0.3">
      <c r="D482" s="25">
        <v>1</v>
      </c>
      <c r="E482" s="24">
        <f>SUM($E$477:$F$477)</f>
        <v>429</v>
      </c>
      <c r="F482" s="24">
        <f>SUM($E$477:$F$477) - $F$477:$F$477</f>
        <v>1</v>
      </c>
      <c r="G482" s="24">
        <f>IF($E$482:$E$482 = 0, "Undefined",$F$482:$F$482*100 / $E$482:$E$482)</f>
        <v>0.23310023310023309</v>
      </c>
      <c r="I482" s="25">
        <v>1</v>
      </c>
      <c r="J482" s="24">
        <f>SUM($J$477:$K$477)</f>
        <v>271</v>
      </c>
      <c r="K482" s="24">
        <f>SUM($J$477:$K$477) - $K$477:$K$477</f>
        <v>26</v>
      </c>
      <c r="L482" s="24">
        <f>IF($J$482:$J$482 = 0, "Undefined",$K$482:$K$482*100 / $J$482:$J$482)</f>
        <v>9.5940959409594093</v>
      </c>
    </row>
    <row r="483" spans="2:12" ht="13.8" x14ac:dyDescent="0.3">
      <c r="D483" s="25" t="s">
        <v>336</v>
      </c>
      <c r="E483" s="24">
        <f>SUM($E$481:$E$482)</f>
        <v>600</v>
      </c>
      <c r="F483" s="24">
        <f>SUM($F$481:$F$482)</f>
        <v>11</v>
      </c>
      <c r="G483" s="24">
        <f>IF($E$483:$E$483 = 0, "Undefined",$F$483:$F$483*100 / $E$483:$E$483)</f>
        <v>1.8333333333333333</v>
      </c>
      <c r="I483" s="25" t="s">
        <v>336</v>
      </c>
      <c r="J483" s="24">
        <f>SUM($J$481:$J$482)</f>
        <v>400</v>
      </c>
      <c r="K483" s="24">
        <f>SUM($K$481:$K$482)</f>
        <v>102</v>
      </c>
      <c r="L483" s="24">
        <f>IF($J$483:$J$483 = 0, "Undefined",$K$483:$K$483*100 / $J$483:$J$483)</f>
        <v>25.5</v>
      </c>
    </row>
    <row r="485" spans="2:12" ht="15.6" x14ac:dyDescent="0.3">
      <c r="B485" s="28" t="s">
        <v>364</v>
      </c>
      <c r="D485" s="59" t="s">
        <v>329</v>
      </c>
      <c r="E485" s="60"/>
      <c r="F485" s="61"/>
      <c r="I485" s="59" t="s">
        <v>329</v>
      </c>
      <c r="J485" s="60"/>
      <c r="K485" s="61"/>
    </row>
    <row r="486" spans="2:12" ht="13.8" x14ac:dyDescent="0.3">
      <c r="D486" s="26"/>
      <c r="E486" s="75" t="s">
        <v>330</v>
      </c>
      <c r="F486" s="76"/>
      <c r="I486" s="26"/>
      <c r="J486" s="75" t="s">
        <v>330</v>
      </c>
      <c r="K486" s="76"/>
    </row>
    <row r="487" spans="2:12" ht="13.8" x14ac:dyDescent="0.3">
      <c r="D487" s="25" t="s">
        <v>331</v>
      </c>
      <c r="E487" s="26">
        <v>0</v>
      </c>
      <c r="F487" s="26">
        <v>1</v>
      </c>
      <c r="I487" s="25" t="s">
        <v>331</v>
      </c>
      <c r="J487" s="26">
        <v>0</v>
      </c>
      <c r="K487" s="26">
        <v>1</v>
      </c>
    </row>
    <row r="488" spans="2:12" ht="13.8" x14ac:dyDescent="0.3">
      <c r="D488" s="25">
        <v>0</v>
      </c>
      <c r="E488" s="24">
        <v>161</v>
      </c>
      <c r="F488" s="24">
        <v>10</v>
      </c>
      <c r="I488" s="25">
        <v>0</v>
      </c>
      <c r="J488" s="24">
        <v>55</v>
      </c>
      <c r="K488" s="24">
        <v>74</v>
      </c>
    </row>
    <row r="489" spans="2:12" ht="13.8" x14ac:dyDescent="0.3">
      <c r="D489" s="25">
        <v>1</v>
      </c>
      <c r="E489" s="24">
        <v>3</v>
      </c>
      <c r="F489" s="24">
        <v>426</v>
      </c>
      <c r="I489" s="25">
        <v>1</v>
      </c>
      <c r="J489" s="24">
        <v>31</v>
      </c>
      <c r="K489" s="24">
        <v>240</v>
      </c>
    </row>
    <row r="491" spans="2:12" ht="15.6" x14ac:dyDescent="0.3">
      <c r="D491" s="59" t="s">
        <v>210</v>
      </c>
      <c r="E491" s="60"/>
      <c r="F491" s="60"/>
      <c r="G491" s="61"/>
      <c r="I491" s="59" t="s">
        <v>210</v>
      </c>
      <c r="J491" s="60"/>
      <c r="K491" s="60"/>
      <c r="L491" s="61"/>
    </row>
    <row r="492" spans="2:12" ht="13.8" x14ac:dyDescent="0.3">
      <c r="D492" s="26" t="s">
        <v>332</v>
      </c>
      <c r="E492" s="26" t="s">
        <v>333</v>
      </c>
      <c r="F492" s="26" t="s">
        <v>334</v>
      </c>
      <c r="G492" s="26" t="s">
        <v>335</v>
      </c>
      <c r="I492" s="26" t="s">
        <v>332</v>
      </c>
      <c r="J492" s="26" t="s">
        <v>333</v>
      </c>
      <c r="K492" s="26" t="s">
        <v>334</v>
      </c>
      <c r="L492" s="26" t="s">
        <v>335</v>
      </c>
    </row>
    <row r="493" spans="2:12" ht="13.8" x14ac:dyDescent="0.3">
      <c r="D493" s="25">
        <v>0</v>
      </c>
      <c r="E493" s="24">
        <f>SUM($E$488:$F$488)</f>
        <v>171</v>
      </c>
      <c r="F493" s="24">
        <f>SUM($E$488:$F$488) - $E$488:$E$488</f>
        <v>10</v>
      </c>
      <c r="G493" s="24">
        <f>IF($E$493:$E$493 = 0, "Undefined",$F$493:$F$493*100 / $E$493:$E$493)</f>
        <v>5.8479532163742691</v>
      </c>
      <c r="I493" s="25">
        <v>0</v>
      </c>
      <c r="J493" s="24">
        <f>SUM($J$488:$K$488)</f>
        <v>129</v>
      </c>
      <c r="K493" s="24">
        <f>SUM($J$488:$K$488) - $J$488:$J$488</f>
        <v>74</v>
      </c>
      <c r="L493" s="24">
        <f>IF($J$493:$J$493 = 0, "Undefined",$K$493:$K$493*100 / $J$493:$J$493)</f>
        <v>57.36434108527132</v>
      </c>
    </row>
    <row r="494" spans="2:12" ht="13.8" x14ac:dyDescent="0.3">
      <c r="D494" s="25">
        <v>1</v>
      </c>
      <c r="E494" s="24">
        <f>SUM($E$489:$F$489)</f>
        <v>429</v>
      </c>
      <c r="F494" s="24">
        <f>SUM($E$489:$F$489) - $F$489:$F$489</f>
        <v>3</v>
      </c>
      <c r="G494" s="24">
        <f>IF($E$494:$E$494 = 0, "Undefined",$F$494:$F$494*100 / $E$494:$E$494)</f>
        <v>0.69930069930069927</v>
      </c>
      <c r="I494" s="25">
        <v>1</v>
      </c>
      <c r="J494" s="24">
        <f>SUM($J$489:$K$489)</f>
        <v>271</v>
      </c>
      <c r="K494" s="24">
        <f>SUM($J$489:$K$489) - $K$489:$K$489</f>
        <v>31</v>
      </c>
      <c r="L494" s="24">
        <f>IF($J$494:$J$494 = 0, "Undefined",$K$494:$K$494*100 / $J$494:$J$494)</f>
        <v>11.439114391143912</v>
      </c>
    </row>
    <row r="495" spans="2:12" ht="13.8" x14ac:dyDescent="0.3">
      <c r="D495" s="25" t="s">
        <v>336</v>
      </c>
      <c r="E495" s="24">
        <f>SUM($E$493:$E$494)</f>
        <v>600</v>
      </c>
      <c r="F495" s="24">
        <f>SUM($F$493:$F$494)</f>
        <v>13</v>
      </c>
      <c r="G495" s="24">
        <f>IF($E$495:$E$495 = 0, "Undefined",$F$495:$F$495*100 / $E$495:$E$495)</f>
        <v>2.1666666666666665</v>
      </c>
      <c r="I495" s="25" t="s">
        <v>336</v>
      </c>
      <c r="J495" s="24">
        <f>SUM($J$493:$J$494)</f>
        <v>400</v>
      </c>
      <c r="K495" s="24">
        <f>SUM($K$493:$K$494)</f>
        <v>105</v>
      </c>
      <c r="L495" s="24">
        <f>IF($J$495:$J$495 = 0, "Undefined",$K$495:$K$495*100 / $J$495:$J$495)</f>
        <v>26.25</v>
      </c>
    </row>
    <row r="497" spans="2:12" ht="15.6" x14ac:dyDescent="0.3">
      <c r="B497" s="28" t="s">
        <v>365</v>
      </c>
      <c r="D497" s="59" t="s">
        <v>329</v>
      </c>
      <c r="E497" s="60"/>
      <c r="F497" s="61"/>
      <c r="I497" s="59" t="s">
        <v>329</v>
      </c>
      <c r="J497" s="60"/>
      <c r="K497" s="61"/>
    </row>
    <row r="498" spans="2:12" ht="13.8" x14ac:dyDescent="0.3">
      <c r="D498" s="26"/>
      <c r="E498" s="75" t="s">
        <v>330</v>
      </c>
      <c r="F498" s="76"/>
      <c r="I498" s="26"/>
      <c r="J498" s="75" t="s">
        <v>330</v>
      </c>
      <c r="K498" s="76"/>
    </row>
    <row r="499" spans="2:12" ht="13.8" x14ac:dyDescent="0.3">
      <c r="D499" s="25" t="s">
        <v>331</v>
      </c>
      <c r="E499" s="26">
        <v>0</v>
      </c>
      <c r="F499" s="26">
        <v>1</v>
      </c>
      <c r="I499" s="25" t="s">
        <v>331</v>
      </c>
      <c r="J499" s="26">
        <v>0</v>
      </c>
      <c r="K499" s="26">
        <v>1</v>
      </c>
    </row>
    <row r="500" spans="2:12" ht="13.8" x14ac:dyDescent="0.3">
      <c r="D500" s="25">
        <v>0</v>
      </c>
      <c r="E500" s="24">
        <v>160</v>
      </c>
      <c r="F500" s="24">
        <v>11</v>
      </c>
      <c r="I500" s="25">
        <v>0</v>
      </c>
      <c r="J500" s="24">
        <v>54</v>
      </c>
      <c r="K500" s="24">
        <v>75</v>
      </c>
    </row>
    <row r="501" spans="2:12" ht="13.8" x14ac:dyDescent="0.3">
      <c r="D501" s="25">
        <v>1</v>
      </c>
      <c r="E501" s="24">
        <v>1</v>
      </c>
      <c r="F501" s="24">
        <v>428</v>
      </c>
      <c r="I501" s="25">
        <v>1</v>
      </c>
      <c r="J501" s="24">
        <v>36</v>
      </c>
      <c r="K501" s="24">
        <v>235</v>
      </c>
    </row>
    <row r="503" spans="2:12" ht="15.6" x14ac:dyDescent="0.3">
      <c r="D503" s="59" t="s">
        <v>210</v>
      </c>
      <c r="E503" s="60"/>
      <c r="F503" s="60"/>
      <c r="G503" s="61"/>
      <c r="I503" s="59" t="s">
        <v>210</v>
      </c>
      <c r="J503" s="60"/>
      <c r="K503" s="60"/>
      <c r="L503" s="61"/>
    </row>
    <row r="504" spans="2:12" ht="13.8" x14ac:dyDescent="0.3">
      <c r="D504" s="26" t="s">
        <v>332</v>
      </c>
      <c r="E504" s="26" t="s">
        <v>333</v>
      </c>
      <c r="F504" s="26" t="s">
        <v>334</v>
      </c>
      <c r="G504" s="26" t="s">
        <v>335</v>
      </c>
      <c r="I504" s="26" t="s">
        <v>332</v>
      </c>
      <c r="J504" s="26" t="s">
        <v>333</v>
      </c>
      <c r="K504" s="26" t="s">
        <v>334</v>
      </c>
      <c r="L504" s="26" t="s">
        <v>335</v>
      </c>
    </row>
    <row r="505" spans="2:12" ht="13.8" x14ac:dyDescent="0.3">
      <c r="D505" s="25">
        <v>0</v>
      </c>
      <c r="E505" s="24">
        <f>SUM($E$500:$F$500)</f>
        <v>171</v>
      </c>
      <c r="F505" s="24">
        <f>SUM($E$500:$F$500) - $E$500:$E$500</f>
        <v>11</v>
      </c>
      <c r="G505" s="24">
        <f>IF($E$505:$E$505 = 0, "Undefined",$F$505:$F$505*100 / $E$505:$E$505)</f>
        <v>6.4327485380116958</v>
      </c>
      <c r="I505" s="25">
        <v>0</v>
      </c>
      <c r="J505" s="24">
        <f>SUM($J$500:$K$500)</f>
        <v>129</v>
      </c>
      <c r="K505" s="24">
        <f>SUM($J$500:$K$500) - $J$500:$J$500</f>
        <v>75</v>
      </c>
      <c r="L505" s="24">
        <f>IF($J$505:$J$505 = 0, "Undefined",$K$505:$K$505*100 / $J$505:$J$505)</f>
        <v>58.139534883720927</v>
      </c>
    </row>
    <row r="506" spans="2:12" ht="13.8" x14ac:dyDescent="0.3">
      <c r="D506" s="25">
        <v>1</v>
      </c>
      <c r="E506" s="24">
        <f>SUM($E$501:$F$501)</f>
        <v>429</v>
      </c>
      <c r="F506" s="24">
        <f>SUM($E$501:$F$501) - $F$501:$F$501</f>
        <v>1</v>
      </c>
      <c r="G506" s="24">
        <f>IF($E$506:$E$506 = 0, "Undefined",$F$506:$F$506*100 / $E$506:$E$506)</f>
        <v>0.23310023310023309</v>
      </c>
      <c r="I506" s="25">
        <v>1</v>
      </c>
      <c r="J506" s="24">
        <f>SUM($J$501:$K$501)</f>
        <v>271</v>
      </c>
      <c r="K506" s="24">
        <f>SUM($J$501:$K$501) - $K$501:$K$501</f>
        <v>36</v>
      </c>
      <c r="L506" s="24">
        <f>IF($J$506:$J$506 = 0, "Undefined",$K$506:$K$506*100 / $J$506:$J$506)</f>
        <v>13.284132841328413</v>
      </c>
    </row>
    <row r="507" spans="2:12" ht="13.8" x14ac:dyDescent="0.3">
      <c r="D507" s="25" t="s">
        <v>336</v>
      </c>
      <c r="E507" s="24">
        <f>SUM($E$505:$E$506)</f>
        <v>600</v>
      </c>
      <c r="F507" s="24">
        <f>SUM($F$505:$F$506)</f>
        <v>12</v>
      </c>
      <c r="G507" s="24">
        <f>IF($E$507:$E$507 = 0, "Undefined",$F$507:$F$507*100 / $E$507:$E$507)</f>
        <v>2</v>
      </c>
      <c r="I507" s="25" t="s">
        <v>336</v>
      </c>
      <c r="J507" s="24">
        <f>SUM($J$505:$J$506)</f>
        <v>400</v>
      </c>
      <c r="K507" s="24">
        <f>SUM($K$505:$K$506)</f>
        <v>111</v>
      </c>
      <c r="L507" s="24">
        <f>IF($J$507:$J$507 = 0, "Undefined",$K$507:$K$507*100 / $J$507:$J$507)</f>
        <v>27.75</v>
      </c>
    </row>
    <row r="509" spans="2:12" ht="15.6" x14ac:dyDescent="0.3">
      <c r="B509" s="28" t="s">
        <v>366</v>
      </c>
      <c r="D509" s="59" t="s">
        <v>329</v>
      </c>
      <c r="E509" s="60"/>
      <c r="F509" s="61"/>
      <c r="I509" s="59" t="s">
        <v>329</v>
      </c>
      <c r="J509" s="60"/>
      <c r="K509" s="61"/>
    </row>
    <row r="510" spans="2:12" ht="13.8" x14ac:dyDescent="0.3">
      <c r="D510" s="26"/>
      <c r="E510" s="75" t="s">
        <v>330</v>
      </c>
      <c r="F510" s="76"/>
      <c r="I510" s="26"/>
      <c r="J510" s="75" t="s">
        <v>330</v>
      </c>
      <c r="K510" s="76"/>
    </row>
    <row r="511" spans="2:12" ht="13.8" x14ac:dyDescent="0.3">
      <c r="D511" s="25" t="s">
        <v>331</v>
      </c>
      <c r="E511" s="26">
        <v>0</v>
      </c>
      <c r="F511" s="26">
        <v>1</v>
      </c>
      <c r="I511" s="25" t="s">
        <v>331</v>
      </c>
      <c r="J511" s="26">
        <v>0</v>
      </c>
      <c r="K511" s="26">
        <v>1</v>
      </c>
    </row>
    <row r="512" spans="2:12" ht="13.8" x14ac:dyDescent="0.3">
      <c r="D512" s="25">
        <v>0</v>
      </c>
      <c r="E512" s="24">
        <v>158</v>
      </c>
      <c r="F512" s="24">
        <v>13</v>
      </c>
      <c r="I512" s="25">
        <v>0</v>
      </c>
      <c r="J512" s="24">
        <v>53</v>
      </c>
      <c r="K512" s="24">
        <v>76</v>
      </c>
    </row>
    <row r="513" spans="2:12" ht="13.8" x14ac:dyDescent="0.3">
      <c r="D513" s="25">
        <v>1</v>
      </c>
      <c r="E513" s="24">
        <v>1</v>
      </c>
      <c r="F513" s="24">
        <v>428</v>
      </c>
      <c r="I513" s="25">
        <v>1</v>
      </c>
      <c r="J513" s="24">
        <v>25</v>
      </c>
      <c r="K513" s="24">
        <v>246</v>
      </c>
    </row>
    <row r="515" spans="2:12" ht="15.6" x14ac:dyDescent="0.3">
      <c r="D515" s="59" t="s">
        <v>210</v>
      </c>
      <c r="E515" s="60"/>
      <c r="F515" s="60"/>
      <c r="G515" s="61"/>
      <c r="I515" s="59" t="s">
        <v>210</v>
      </c>
      <c r="J515" s="60"/>
      <c r="K515" s="60"/>
      <c r="L515" s="61"/>
    </row>
    <row r="516" spans="2:12" ht="13.8" x14ac:dyDescent="0.3">
      <c r="D516" s="26" t="s">
        <v>332</v>
      </c>
      <c r="E516" s="26" t="s">
        <v>333</v>
      </c>
      <c r="F516" s="26" t="s">
        <v>334</v>
      </c>
      <c r="G516" s="26" t="s">
        <v>335</v>
      </c>
      <c r="I516" s="26" t="s">
        <v>332</v>
      </c>
      <c r="J516" s="26" t="s">
        <v>333</v>
      </c>
      <c r="K516" s="26" t="s">
        <v>334</v>
      </c>
      <c r="L516" s="26" t="s">
        <v>335</v>
      </c>
    </row>
    <row r="517" spans="2:12" ht="13.8" x14ac:dyDescent="0.3">
      <c r="D517" s="25">
        <v>0</v>
      </c>
      <c r="E517" s="24">
        <f>SUM($E$512:$F$512)</f>
        <v>171</v>
      </c>
      <c r="F517" s="24">
        <f>SUM($E$512:$F$512) - $E$512:$E$512</f>
        <v>13</v>
      </c>
      <c r="G517" s="24">
        <f>IF($E$517:$E$517 = 0, "Undefined",$F$517:$F$517*100 / $E$517:$E$517)</f>
        <v>7.60233918128655</v>
      </c>
      <c r="I517" s="25">
        <v>0</v>
      </c>
      <c r="J517" s="24">
        <f>SUM($J$512:$K$512)</f>
        <v>129</v>
      </c>
      <c r="K517" s="24">
        <f>SUM($J$512:$K$512) - $J$512:$J$512</f>
        <v>76</v>
      </c>
      <c r="L517" s="24">
        <f>IF($J$517:$J$517 = 0, "Undefined",$K$517:$K$517*100 / $J$517:$J$517)</f>
        <v>58.914728682170541</v>
      </c>
    </row>
    <row r="518" spans="2:12" ht="13.8" x14ac:dyDescent="0.3">
      <c r="D518" s="25">
        <v>1</v>
      </c>
      <c r="E518" s="24">
        <f>SUM($E$513:$F$513)</f>
        <v>429</v>
      </c>
      <c r="F518" s="24">
        <f>SUM($E$513:$F$513) - $F$513:$F$513</f>
        <v>1</v>
      </c>
      <c r="G518" s="24">
        <f>IF($E$518:$E$518 = 0, "Undefined",$F$518:$F$518*100 / $E$518:$E$518)</f>
        <v>0.23310023310023309</v>
      </c>
      <c r="I518" s="25">
        <v>1</v>
      </c>
      <c r="J518" s="24">
        <f>SUM($J$513:$K$513)</f>
        <v>271</v>
      </c>
      <c r="K518" s="24">
        <f>SUM($J$513:$K$513) - $K$513:$K$513</f>
        <v>25</v>
      </c>
      <c r="L518" s="24">
        <f>IF($J$518:$J$518 = 0, "Undefined",$K$518:$K$518*100 / $J$518:$J$518)</f>
        <v>9.2250922509225095</v>
      </c>
    </row>
    <row r="519" spans="2:12" ht="13.8" x14ac:dyDescent="0.3">
      <c r="D519" s="25" t="s">
        <v>336</v>
      </c>
      <c r="E519" s="24">
        <f>SUM($E$517:$E$518)</f>
        <v>600</v>
      </c>
      <c r="F519" s="24">
        <f>SUM($F$517:$F$518)</f>
        <v>14</v>
      </c>
      <c r="G519" s="24">
        <f>IF($E$519:$E$519 = 0, "Undefined",$F$519:$F$519*100 / $E$519:$E$519)</f>
        <v>2.3333333333333335</v>
      </c>
      <c r="I519" s="25" t="s">
        <v>336</v>
      </c>
      <c r="J519" s="24">
        <f>SUM($J$517:$J$518)</f>
        <v>400</v>
      </c>
      <c r="K519" s="24">
        <f>SUM($K$517:$K$518)</f>
        <v>101</v>
      </c>
      <c r="L519" s="24">
        <f>IF($J$519:$J$519 = 0, "Undefined",$K$519:$K$519*100 / $J$519:$J$519)</f>
        <v>25.25</v>
      </c>
    </row>
    <row r="521" spans="2:12" ht="15.6" x14ac:dyDescent="0.3">
      <c r="B521" s="28" t="s">
        <v>367</v>
      </c>
      <c r="D521" s="59" t="s">
        <v>329</v>
      </c>
      <c r="E521" s="60"/>
      <c r="F521" s="61"/>
      <c r="I521" s="59" t="s">
        <v>329</v>
      </c>
      <c r="J521" s="60"/>
      <c r="K521" s="61"/>
    </row>
    <row r="522" spans="2:12" ht="13.8" x14ac:dyDescent="0.3">
      <c r="D522" s="26"/>
      <c r="E522" s="75" t="s">
        <v>330</v>
      </c>
      <c r="F522" s="76"/>
      <c r="I522" s="26"/>
      <c r="J522" s="75" t="s">
        <v>330</v>
      </c>
      <c r="K522" s="76"/>
    </row>
    <row r="523" spans="2:12" ht="13.8" x14ac:dyDescent="0.3">
      <c r="D523" s="25" t="s">
        <v>331</v>
      </c>
      <c r="E523" s="26">
        <v>0</v>
      </c>
      <c r="F523" s="26">
        <v>1</v>
      </c>
      <c r="I523" s="25" t="s">
        <v>331</v>
      </c>
      <c r="J523" s="26">
        <v>0</v>
      </c>
      <c r="K523" s="26">
        <v>1</v>
      </c>
    </row>
    <row r="524" spans="2:12" ht="13.8" x14ac:dyDescent="0.3">
      <c r="D524" s="25">
        <v>0</v>
      </c>
      <c r="E524" s="24">
        <v>141</v>
      </c>
      <c r="F524" s="24">
        <v>30</v>
      </c>
      <c r="I524" s="25">
        <v>0</v>
      </c>
      <c r="J524" s="24">
        <v>77</v>
      </c>
      <c r="K524" s="24">
        <v>52</v>
      </c>
    </row>
    <row r="525" spans="2:12" ht="13.8" x14ac:dyDescent="0.3">
      <c r="D525" s="25">
        <v>1</v>
      </c>
      <c r="E525" s="24">
        <v>82</v>
      </c>
      <c r="F525" s="24">
        <v>347</v>
      </c>
      <c r="I525" s="25">
        <v>1</v>
      </c>
      <c r="J525" s="24">
        <v>64</v>
      </c>
      <c r="K525" s="24">
        <v>207</v>
      </c>
    </row>
    <row r="527" spans="2:12" ht="15.6" x14ac:dyDescent="0.3">
      <c r="D527" s="59" t="s">
        <v>210</v>
      </c>
      <c r="E527" s="60"/>
      <c r="F527" s="60"/>
      <c r="G527" s="61"/>
      <c r="I527" s="59" t="s">
        <v>210</v>
      </c>
      <c r="J527" s="60"/>
      <c r="K527" s="60"/>
      <c r="L527" s="61"/>
    </row>
    <row r="528" spans="2:12" ht="13.8" x14ac:dyDescent="0.3">
      <c r="D528" s="26" t="s">
        <v>332</v>
      </c>
      <c r="E528" s="26" t="s">
        <v>333</v>
      </c>
      <c r="F528" s="26" t="s">
        <v>334</v>
      </c>
      <c r="G528" s="26" t="s">
        <v>335</v>
      </c>
      <c r="I528" s="26" t="s">
        <v>332</v>
      </c>
      <c r="J528" s="26" t="s">
        <v>333</v>
      </c>
      <c r="K528" s="26" t="s">
        <v>334</v>
      </c>
      <c r="L528" s="26" t="s">
        <v>335</v>
      </c>
    </row>
    <row r="529" spans="2:12" ht="13.8" x14ac:dyDescent="0.3">
      <c r="D529" s="25">
        <v>0</v>
      </c>
      <c r="E529" s="24">
        <f>SUM($E$524:$F$524)</f>
        <v>171</v>
      </c>
      <c r="F529" s="24">
        <f>SUM($E$524:$F$524) - $E$524:$E$524</f>
        <v>30</v>
      </c>
      <c r="G529" s="24">
        <f>IF($E$529:$E$529 = 0, "Undefined",$F$529:$F$529*100 / $E$529:$E$529)</f>
        <v>17.543859649122808</v>
      </c>
      <c r="I529" s="25">
        <v>0</v>
      </c>
      <c r="J529" s="24">
        <f>SUM($J$524:$K$524)</f>
        <v>129</v>
      </c>
      <c r="K529" s="24">
        <f>SUM($J$524:$K$524) - $J$524:$J$524</f>
        <v>52</v>
      </c>
      <c r="L529" s="24">
        <f>IF($J$529:$J$529 = 0, "Undefined",$K$529:$K$529*100 / $J$529:$J$529)</f>
        <v>40.310077519379846</v>
      </c>
    </row>
    <row r="530" spans="2:12" ht="13.8" x14ac:dyDescent="0.3">
      <c r="D530" s="25">
        <v>1</v>
      </c>
      <c r="E530" s="24">
        <f>SUM($E$525:$F$525)</f>
        <v>429</v>
      </c>
      <c r="F530" s="24">
        <f>SUM($E$525:$F$525) - $F$525:$F$525</f>
        <v>82</v>
      </c>
      <c r="G530" s="24">
        <f>IF($E$530:$E$530 = 0, "Undefined",$F$530:$F$530*100 / $E$530:$E$530)</f>
        <v>19.114219114219114</v>
      </c>
      <c r="I530" s="25">
        <v>1</v>
      </c>
      <c r="J530" s="24">
        <f>SUM($J$525:$K$525)</f>
        <v>271</v>
      </c>
      <c r="K530" s="24">
        <f>SUM($J$525:$K$525) - $K$525:$K$525</f>
        <v>64</v>
      </c>
      <c r="L530" s="24">
        <f>IF($J$530:$J$530 = 0, "Undefined",$K$530:$K$530*100 / $J$530:$J$530)</f>
        <v>23.616236162361623</v>
      </c>
    </row>
    <row r="531" spans="2:12" ht="13.8" x14ac:dyDescent="0.3">
      <c r="D531" s="25" t="s">
        <v>336</v>
      </c>
      <c r="E531" s="24">
        <f>SUM($E$529:$E$530)</f>
        <v>600</v>
      </c>
      <c r="F531" s="24">
        <f>SUM($F$529:$F$530)</f>
        <v>112</v>
      </c>
      <c r="G531" s="24">
        <f>IF($E$531:$E$531 = 0, "Undefined",$F$531:$F$531*100 / $E$531:$E$531)</f>
        <v>18.666666666666668</v>
      </c>
      <c r="I531" s="25" t="s">
        <v>336</v>
      </c>
      <c r="J531" s="24">
        <f>SUM($J$529:$J$530)</f>
        <v>400</v>
      </c>
      <c r="K531" s="24">
        <f>SUM($K$529:$K$530)</f>
        <v>116</v>
      </c>
      <c r="L531" s="24">
        <f>IF($J$531:$J$531 = 0, "Undefined",$K$531:$K$531*100 / $J$531:$J$531)</f>
        <v>29</v>
      </c>
    </row>
    <row r="533" spans="2:12" ht="15.6" x14ac:dyDescent="0.3">
      <c r="B533" s="28" t="s">
        <v>368</v>
      </c>
      <c r="D533" s="59" t="s">
        <v>329</v>
      </c>
      <c r="E533" s="60"/>
      <c r="F533" s="61"/>
      <c r="I533" s="59" t="s">
        <v>329</v>
      </c>
      <c r="J533" s="60"/>
      <c r="K533" s="61"/>
    </row>
    <row r="534" spans="2:12" ht="13.8" x14ac:dyDescent="0.3">
      <c r="D534" s="26"/>
      <c r="E534" s="75" t="s">
        <v>330</v>
      </c>
      <c r="F534" s="76"/>
      <c r="I534" s="26"/>
      <c r="J534" s="75" t="s">
        <v>330</v>
      </c>
      <c r="K534" s="76"/>
    </row>
    <row r="535" spans="2:12" ht="13.8" x14ac:dyDescent="0.3">
      <c r="D535" s="25" t="s">
        <v>331</v>
      </c>
      <c r="E535" s="26">
        <v>0</v>
      </c>
      <c r="F535" s="26">
        <v>1</v>
      </c>
      <c r="I535" s="25" t="s">
        <v>331</v>
      </c>
      <c r="J535" s="26">
        <v>0</v>
      </c>
      <c r="K535" s="26">
        <v>1</v>
      </c>
    </row>
    <row r="536" spans="2:12" ht="13.8" x14ac:dyDescent="0.3">
      <c r="D536" s="25">
        <v>0</v>
      </c>
      <c r="E536" s="24">
        <v>124</v>
      </c>
      <c r="F536" s="24">
        <v>47</v>
      </c>
      <c r="I536" s="25">
        <v>0</v>
      </c>
      <c r="J536" s="24">
        <v>68</v>
      </c>
      <c r="K536" s="24">
        <v>61</v>
      </c>
    </row>
    <row r="537" spans="2:12" ht="13.8" x14ac:dyDescent="0.3">
      <c r="D537" s="25">
        <v>1</v>
      </c>
      <c r="E537" s="24">
        <v>61</v>
      </c>
      <c r="F537" s="24">
        <v>368</v>
      </c>
      <c r="I537" s="25">
        <v>1</v>
      </c>
      <c r="J537" s="24">
        <v>49</v>
      </c>
      <c r="K537" s="24">
        <v>222</v>
      </c>
    </row>
    <row r="539" spans="2:12" ht="15.6" x14ac:dyDescent="0.3">
      <c r="D539" s="59" t="s">
        <v>210</v>
      </c>
      <c r="E539" s="60"/>
      <c r="F539" s="60"/>
      <c r="G539" s="61"/>
      <c r="I539" s="59" t="s">
        <v>210</v>
      </c>
      <c r="J539" s="60"/>
      <c r="K539" s="60"/>
      <c r="L539" s="61"/>
    </row>
    <row r="540" spans="2:12" ht="13.8" x14ac:dyDescent="0.3">
      <c r="D540" s="26" t="s">
        <v>332</v>
      </c>
      <c r="E540" s="26" t="s">
        <v>333</v>
      </c>
      <c r="F540" s="26" t="s">
        <v>334</v>
      </c>
      <c r="G540" s="26" t="s">
        <v>335</v>
      </c>
      <c r="I540" s="26" t="s">
        <v>332</v>
      </c>
      <c r="J540" s="26" t="s">
        <v>333</v>
      </c>
      <c r="K540" s="26" t="s">
        <v>334</v>
      </c>
      <c r="L540" s="26" t="s">
        <v>335</v>
      </c>
    </row>
    <row r="541" spans="2:12" ht="13.8" x14ac:dyDescent="0.3">
      <c r="D541" s="25">
        <v>0</v>
      </c>
      <c r="E541" s="24">
        <f>SUM($E$536:$F$536)</f>
        <v>171</v>
      </c>
      <c r="F541" s="24">
        <f>SUM($E$536:$F$536) - $E$536:$E$536</f>
        <v>47</v>
      </c>
      <c r="G541" s="24">
        <f>IF($E$541:$E$541 = 0, "Undefined",$F$541:$F$541*100 / $E$541:$E$541)</f>
        <v>27.485380116959064</v>
      </c>
      <c r="I541" s="25">
        <v>0</v>
      </c>
      <c r="J541" s="24">
        <f>SUM($J$536:$K$536)</f>
        <v>129</v>
      </c>
      <c r="K541" s="24">
        <f>SUM($J$536:$K$536) - $J$536:$J$536</f>
        <v>61</v>
      </c>
      <c r="L541" s="24">
        <f>IF($J$541:$J$541 = 0, "Undefined",$K$541:$K$541*100 / $J$541:$J$541)</f>
        <v>47.286821705426355</v>
      </c>
    </row>
    <row r="542" spans="2:12" ht="13.8" x14ac:dyDescent="0.3">
      <c r="D542" s="25">
        <v>1</v>
      </c>
      <c r="E542" s="24">
        <f>SUM($E$537:$F$537)</f>
        <v>429</v>
      </c>
      <c r="F542" s="24">
        <f>SUM($E$537:$F$537) - $F$537:$F$537</f>
        <v>61</v>
      </c>
      <c r="G542" s="24">
        <f>IF($E$542:$E$542 = 0, "Undefined",$F$542:$F$542*100 / $E$542:$E$542)</f>
        <v>14.219114219114219</v>
      </c>
      <c r="I542" s="25">
        <v>1</v>
      </c>
      <c r="J542" s="24">
        <f>SUM($J$537:$K$537)</f>
        <v>271</v>
      </c>
      <c r="K542" s="24">
        <f>SUM($J$537:$K$537) - $K$537:$K$537</f>
        <v>49</v>
      </c>
      <c r="L542" s="24">
        <f>IF($J$542:$J$542 = 0, "Undefined",$K$542:$K$542*100 / $J$542:$J$542)</f>
        <v>18.081180811808117</v>
      </c>
    </row>
    <row r="543" spans="2:12" ht="13.8" x14ac:dyDescent="0.3">
      <c r="D543" s="25" t="s">
        <v>336</v>
      </c>
      <c r="E543" s="24">
        <f>SUM($E$541:$E$542)</f>
        <v>600</v>
      </c>
      <c r="F543" s="24">
        <f>SUM($F$541:$F$542)</f>
        <v>108</v>
      </c>
      <c r="G543" s="24">
        <f>IF($E$543:$E$543 = 0, "Undefined",$F$543:$F$543*100 / $E$543:$E$543)</f>
        <v>18</v>
      </c>
      <c r="I543" s="25" t="s">
        <v>336</v>
      </c>
      <c r="J543" s="24">
        <f>SUM($J$541:$J$542)</f>
        <v>400</v>
      </c>
      <c r="K543" s="24">
        <f>SUM($K$541:$K$542)</f>
        <v>110</v>
      </c>
      <c r="L543" s="24">
        <f>IF($J$543:$J$543 = 0, "Undefined",$K$543:$K$543*100 / $J$543:$J$543)</f>
        <v>27.5</v>
      </c>
    </row>
    <row r="545" spans="2:12" ht="15.6" x14ac:dyDescent="0.3">
      <c r="B545" s="28" t="s">
        <v>369</v>
      </c>
      <c r="D545" s="59" t="s">
        <v>329</v>
      </c>
      <c r="E545" s="60"/>
      <c r="F545" s="61"/>
      <c r="I545" s="59" t="s">
        <v>329</v>
      </c>
      <c r="J545" s="60"/>
      <c r="K545" s="61"/>
    </row>
    <row r="546" spans="2:12" ht="13.8" x14ac:dyDescent="0.3">
      <c r="D546" s="26"/>
      <c r="E546" s="75" t="s">
        <v>330</v>
      </c>
      <c r="F546" s="76"/>
      <c r="I546" s="26"/>
      <c r="J546" s="75" t="s">
        <v>330</v>
      </c>
      <c r="K546" s="76"/>
    </row>
    <row r="547" spans="2:12" ht="13.8" x14ac:dyDescent="0.3">
      <c r="D547" s="25" t="s">
        <v>331</v>
      </c>
      <c r="E547" s="26">
        <v>0</v>
      </c>
      <c r="F547" s="26">
        <v>1</v>
      </c>
      <c r="I547" s="25" t="s">
        <v>331</v>
      </c>
      <c r="J547" s="26">
        <v>0</v>
      </c>
      <c r="K547" s="26">
        <v>1</v>
      </c>
    </row>
    <row r="548" spans="2:12" ht="13.8" x14ac:dyDescent="0.3">
      <c r="D548" s="25">
        <v>0</v>
      </c>
      <c r="E548" s="24">
        <v>132</v>
      </c>
      <c r="F548" s="24">
        <v>39</v>
      </c>
      <c r="I548" s="25">
        <v>0</v>
      </c>
      <c r="J548" s="24">
        <v>71</v>
      </c>
      <c r="K548" s="24">
        <v>58</v>
      </c>
    </row>
    <row r="549" spans="2:12" ht="13.8" x14ac:dyDescent="0.3">
      <c r="D549" s="25">
        <v>1</v>
      </c>
      <c r="E549" s="24">
        <v>61</v>
      </c>
      <c r="F549" s="24">
        <v>368</v>
      </c>
      <c r="I549" s="25">
        <v>1</v>
      </c>
      <c r="J549" s="24">
        <v>56</v>
      </c>
      <c r="K549" s="24">
        <v>215</v>
      </c>
    </row>
    <row r="551" spans="2:12" ht="15.6" x14ac:dyDescent="0.3">
      <c r="D551" s="59" t="s">
        <v>210</v>
      </c>
      <c r="E551" s="60"/>
      <c r="F551" s="60"/>
      <c r="G551" s="61"/>
      <c r="I551" s="59" t="s">
        <v>210</v>
      </c>
      <c r="J551" s="60"/>
      <c r="K551" s="60"/>
      <c r="L551" s="61"/>
    </row>
    <row r="552" spans="2:12" ht="13.8" x14ac:dyDescent="0.3">
      <c r="D552" s="26" t="s">
        <v>332</v>
      </c>
      <c r="E552" s="26" t="s">
        <v>333</v>
      </c>
      <c r="F552" s="26" t="s">
        <v>334</v>
      </c>
      <c r="G552" s="26" t="s">
        <v>335</v>
      </c>
      <c r="I552" s="26" t="s">
        <v>332</v>
      </c>
      <c r="J552" s="26" t="s">
        <v>333</v>
      </c>
      <c r="K552" s="26" t="s">
        <v>334</v>
      </c>
      <c r="L552" s="26" t="s">
        <v>335</v>
      </c>
    </row>
    <row r="553" spans="2:12" ht="13.8" x14ac:dyDescent="0.3">
      <c r="D553" s="25">
        <v>0</v>
      </c>
      <c r="E553" s="24">
        <f>SUM($E$548:$F$548)</f>
        <v>171</v>
      </c>
      <c r="F553" s="24">
        <f>SUM($E$548:$F$548) - $E$548:$E$548</f>
        <v>39</v>
      </c>
      <c r="G553" s="24">
        <f>IF($E$553:$E$553 = 0, "Undefined",$F$553:$F$553*100 / $E$553:$E$553)</f>
        <v>22.807017543859651</v>
      </c>
      <c r="I553" s="25">
        <v>0</v>
      </c>
      <c r="J553" s="24">
        <f>SUM($J$548:$K$548)</f>
        <v>129</v>
      </c>
      <c r="K553" s="24">
        <f>SUM($J$548:$K$548) - $J$548:$J$548</f>
        <v>58</v>
      </c>
      <c r="L553" s="24">
        <f>IF($J$553:$J$553 = 0, "Undefined",$K$553:$K$553*100 / $J$553:$J$553)</f>
        <v>44.961240310077521</v>
      </c>
    </row>
    <row r="554" spans="2:12" ht="13.8" x14ac:dyDescent="0.3">
      <c r="D554" s="25">
        <v>1</v>
      </c>
      <c r="E554" s="24">
        <f>SUM($E$549:$F$549)</f>
        <v>429</v>
      </c>
      <c r="F554" s="24">
        <f>SUM($E$549:$F$549) - $F$549:$F$549</f>
        <v>61</v>
      </c>
      <c r="G554" s="24">
        <f>IF($E$554:$E$554 = 0, "Undefined",$F$554:$F$554*100 / $E$554:$E$554)</f>
        <v>14.219114219114219</v>
      </c>
      <c r="I554" s="25">
        <v>1</v>
      </c>
      <c r="J554" s="24">
        <f>SUM($J$549:$K$549)</f>
        <v>271</v>
      </c>
      <c r="K554" s="24">
        <f>SUM($J$549:$K$549) - $K$549:$K$549</f>
        <v>56</v>
      </c>
      <c r="L554" s="24">
        <f>IF($J$554:$J$554 = 0, "Undefined",$K$554:$K$554*100 / $J$554:$J$554)</f>
        <v>20.664206642066421</v>
      </c>
    </row>
    <row r="555" spans="2:12" ht="13.8" x14ac:dyDescent="0.3">
      <c r="D555" s="25" t="s">
        <v>336</v>
      </c>
      <c r="E555" s="24">
        <f>SUM($E$553:$E$554)</f>
        <v>600</v>
      </c>
      <c r="F555" s="24">
        <f>SUM($F$553:$F$554)</f>
        <v>100</v>
      </c>
      <c r="G555" s="24">
        <f>IF($E$555:$E$555 = 0, "Undefined",$F$555:$F$555*100 / $E$555:$E$555)</f>
        <v>16.666666666666668</v>
      </c>
      <c r="I555" s="25" t="s">
        <v>336</v>
      </c>
      <c r="J555" s="24">
        <f>SUM($J$553:$J$554)</f>
        <v>400</v>
      </c>
      <c r="K555" s="24">
        <f>SUM($K$553:$K$554)</f>
        <v>114</v>
      </c>
      <c r="L555" s="24">
        <f>IF($J$555:$J$555 = 0, "Undefined",$K$555:$K$555*100 / $J$555:$J$555)</f>
        <v>28.5</v>
      </c>
    </row>
    <row r="557" spans="2:12" ht="15.6" x14ac:dyDescent="0.3">
      <c r="B557" s="28" t="s">
        <v>370</v>
      </c>
      <c r="D557" s="59" t="s">
        <v>329</v>
      </c>
      <c r="E557" s="60"/>
      <c r="F557" s="61"/>
      <c r="I557" s="59" t="s">
        <v>329</v>
      </c>
      <c r="J557" s="60"/>
      <c r="K557" s="61"/>
    </row>
    <row r="558" spans="2:12" ht="13.8" x14ac:dyDescent="0.3">
      <c r="D558" s="26"/>
      <c r="E558" s="75" t="s">
        <v>330</v>
      </c>
      <c r="F558" s="76"/>
      <c r="I558" s="26"/>
      <c r="J558" s="75" t="s">
        <v>330</v>
      </c>
      <c r="K558" s="76"/>
    </row>
    <row r="559" spans="2:12" ht="13.8" x14ac:dyDescent="0.3">
      <c r="D559" s="25" t="s">
        <v>331</v>
      </c>
      <c r="E559" s="26">
        <v>0</v>
      </c>
      <c r="F559" s="26">
        <v>1</v>
      </c>
      <c r="I559" s="25" t="s">
        <v>331</v>
      </c>
      <c r="J559" s="26">
        <v>0</v>
      </c>
      <c r="K559" s="26">
        <v>1</v>
      </c>
    </row>
    <row r="560" spans="2:12" ht="13.8" x14ac:dyDescent="0.3">
      <c r="D560" s="25">
        <v>0</v>
      </c>
      <c r="E560" s="24">
        <v>128</v>
      </c>
      <c r="F560" s="24">
        <v>43</v>
      </c>
      <c r="I560" s="25">
        <v>0</v>
      </c>
      <c r="J560" s="24">
        <v>67</v>
      </c>
      <c r="K560" s="24">
        <v>62</v>
      </c>
    </row>
    <row r="561" spans="2:12" ht="13.8" x14ac:dyDescent="0.3">
      <c r="D561" s="25">
        <v>1</v>
      </c>
      <c r="E561" s="24">
        <v>57</v>
      </c>
      <c r="F561" s="24">
        <v>372</v>
      </c>
      <c r="I561" s="25">
        <v>1</v>
      </c>
      <c r="J561" s="24">
        <v>55</v>
      </c>
      <c r="K561" s="24">
        <v>216</v>
      </c>
    </row>
    <row r="563" spans="2:12" ht="15.6" x14ac:dyDescent="0.3">
      <c r="D563" s="59" t="s">
        <v>210</v>
      </c>
      <c r="E563" s="60"/>
      <c r="F563" s="60"/>
      <c r="G563" s="61"/>
      <c r="I563" s="59" t="s">
        <v>210</v>
      </c>
      <c r="J563" s="60"/>
      <c r="K563" s="60"/>
      <c r="L563" s="61"/>
    </row>
    <row r="564" spans="2:12" ht="13.8" x14ac:dyDescent="0.3">
      <c r="D564" s="26" t="s">
        <v>332</v>
      </c>
      <c r="E564" s="26" t="s">
        <v>333</v>
      </c>
      <c r="F564" s="26" t="s">
        <v>334</v>
      </c>
      <c r="G564" s="26" t="s">
        <v>335</v>
      </c>
      <c r="I564" s="26" t="s">
        <v>332</v>
      </c>
      <c r="J564" s="26" t="s">
        <v>333</v>
      </c>
      <c r="K564" s="26" t="s">
        <v>334</v>
      </c>
      <c r="L564" s="26" t="s">
        <v>335</v>
      </c>
    </row>
    <row r="565" spans="2:12" ht="13.8" x14ac:dyDescent="0.3">
      <c r="D565" s="25">
        <v>0</v>
      </c>
      <c r="E565" s="24">
        <f>SUM($E$560:$F$560)</f>
        <v>171</v>
      </c>
      <c r="F565" s="24">
        <f>SUM($E$560:$F$560) - $E$560:$E$560</f>
        <v>43</v>
      </c>
      <c r="G565" s="24">
        <f>IF($E$565:$E$565 = 0, "Undefined",$F$565:$F$565*100 / $E$565:$E$565)</f>
        <v>25.146198830409357</v>
      </c>
      <c r="I565" s="25">
        <v>0</v>
      </c>
      <c r="J565" s="24">
        <f>SUM($J$560:$K$560)</f>
        <v>129</v>
      </c>
      <c r="K565" s="24">
        <f>SUM($J$560:$K$560) - $J$560:$J$560</f>
        <v>62</v>
      </c>
      <c r="L565" s="24">
        <f>IF($J$565:$J$565 = 0, "Undefined",$K$565:$K$565*100 / $J$565:$J$565)</f>
        <v>48.062015503875969</v>
      </c>
    </row>
    <row r="566" spans="2:12" ht="13.8" x14ac:dyDescent="0.3">
      <c r="D566" s="25">
        <v>1</v>
      </c>
      <c r="E566" s="24">
        <f>SUM($E$561:$F$561)</f>
        <v>429</v>
      </c>
      <c r="F566" s="24">
        <f>SUM($E$561:$F$561) - $F$561:$F$561</f>
        <v>57</v>
      </c>
      <c r="G566" s="24">
        <f>IF($E$566:$E$566 = 0, "Undefined",$F$566:$F$566*100 / $E$566:$E$566)</f>
        <v>13.286713286713287</v>
      </c>
      <c r="I566" s="25">
        <v>1</v>
      </c>
      <c r="J566" s="24">
        <f>SUM($J$561:$K$561)</f>
        <v>271</v>
      </c>
      <c r="K566" s="24">
        <f>SUM($J$561:$K$561) - $K$561:$K$561</f>
        <v>55</v>
      </c>
      <c r="L566" s="24">
        <f>IF($J$566:$J$566 = 0, "Undefined",$K$566:$K$566*100 / $J$566:$J$566)</f>
        <v>20.29520295202952</v>
      </c>
    </row>
    <row r="567" spans="2:12" ht="13.8" x14ac:dyDescent="0.3">
      <c r="D567" s="25" t="s">
        <v>336</v>
      </c>
      <c r="E567" s="24">
        <f>SUM($E$565:$E$566)</f>
        <v>600</v>
      </c>
      <c r="F567" s="24">
        <f>SUM($F$565:$F$566)</f>
        <v>100</v>
      </c>
      <c r="G567" s="24">
        <f>IF($E$567:$E$567 = 0, "Undefined",$F$567:$F$567*100 / $E$567:$E$567)</f>
        <v>16.666666666666668</v>
      </c>
      <c r="I567" s="25" t="s">
        <v>336</v>
      </c>
      <c r="J567" s="24">
        <f>SUM($J$565:$J$566)</f>
        <v>400</v>
      </c>
      <c r="K567" s="24">
        <f>SUM($K$565:$K$566)</f>
        <v>117</v>
      </c>
      <c r="L567" s="24">
        <f>IF($J$567:$J$567 = 0, "Undefined",$K$567:$K$567*100 / $J$567:$J$567)</f>
        <v>29.25</v>
      </c>
    </row>
    <row r="569" spans="2:12" ht="15.6" x14ac:dyDescent="0.3">
      <c r="B569" s="28" t="s">
        <v>371</v>
      </c>
      <c r="D569" s="59" t="s">
        <v>329</v>
      </c>
      <c r="E569" s="60"/>
      <c r="F569" s="61"/>
      <c r="I569" s="59" t="s">
        <v>329</v>
      </c>
      <c r="J569" s="60"/>
      <c r="K569" s="61"/>
    </row>
    <row r="570" spans="2:12" ht="13.8" x14ac:dyDescent="0.3">
      <c r="D570" s="26"/>
      <c r="E570" s="75" t="s">
        <v>330</v>
      </c>
      <c r="F570" s="76"/>
      <c r="I570" s="26"/>
      <c r="J570" s="75" t="s">
        <v>330</v>
      </c>
      <c r="K570" s="76"/>
    </row>
    <row r="571" spans="2:12" ht="13.8" x14ac:dyDescent="0.3">
      <c r="D571" s="25" t="s">
        <v>331</v>
      </c>
      <c r="E571" s="26">
        <v>0</v>
      </c>
      <c r="F571" s="26">
        <v>1</v>
      </c>
      <c r="I571" s="25" t="s">
        <v>331</v>
      </c>
      <c r="J571" s="26">
        <v>0</v>
      </c>
      <c r="K571" s="26">
        <v>1</v>
      </c>
    </row>
    <row r="572" spans="2:12" ht="13.8" x14ac:dyDescent="0.3">
      <c r="D572" s="25">
        <v>0</v>
      </c>
      <c r="E572" s="24">
        <v>135</v>
      </c>
      <c r="F572" s="24">
        <v>36</v>
      </c>
      <c r="I572" s="25">
        <v>0</v>
      </c>
      <c r="J572" s="24">
        <v>72</v>
      </c>
      <c r="K572" s="24">
        <v>57</v>
      </c>
    </row>
    <row r="573" spans="2:12" ht="13.8" x14ac:dyDescent="0.3">
      <c r="D573" s="25">
        <v>1</v>
      </c>
      <c r="E573" s="24">
        <v>59</v>
      </c>
      <c r="F573" s="24">
        <v>370</v>
      </c>
      <c r="I573" s="25">
        <v>1</v>
      </c>
      <c r="J573" s="24">
        <v>57</v>
      </c>
      <c r="K573" s="24">
        <v>214</v>
      </c>
    </row>
    <row r="575" spans="2:12" ht="15.6" x14ac:dyDescent="0.3">
      <c r="D575" s="59" t="s">
        <v>210</v>
      </c>
      <c r="E575" s="60"/>
      <c r="F575" s="60"/>
      <c r="G575" s="61"/>
      <c r="I575" s="59" t="s">
        <v>210</v>
      </c>
      <c r="J575" s="60"/>
      <c r="K575" s="60"/>
      <c r="L575" s="61"/>
    </row>
    <row r="576" spans="2:12" ht="13.8" x14ac:dyDescent="0.3">
      <c r="D576" s="26" t="s">
        <v>332</v>
      </c>
      <c r="E576" s="26" t="s">
        <v>333</v>
      </c>
      <c r="F576" s="26" t="s">
        <v>334</v>
      </c>
      <c r="G576" s="26" t="s">
        <v>335</v>
      </c>
      <c r="I576" s="26" t="s">
        <v>332</v>
      </c>
      <c r="J576" s="26" t="s">
        <v>333</v>
      </c>
      <c r="K576" s="26" t="s">
        <v>334</v>
      </c>
      <c r="L576" s="26" t="s">
        <v>335</v>
      </c>
    </row>
    <row r="577" spans="2:12" ht="13.8" x14ac:dyDescent="0.3">
      <c r="D577" s="25">
        <v>0</v>
      </c>
      <c r="E577" s="24">
        <f>SUM($E$572:$F$572)</f>
        <v>171</v>
      </c>
      <c r="F577" s="24">
        <f>SUM($E$572:$F$572) - $E$572:$E$572</f>
        <v>36</v>
      </c>
      <c r="G577" s="24">
        <f>IF($E$577:$E$577 = 0, "Undefined",$F$577:$F$577*100 / $E$577:$E$577)</f>
        <v>21.05263157894737</v>
      </c>
      <c r="I577" s="25">
        <v>0</v>
      </c>
      <c r="J577" s="24">
        <f>SUM($J$572:$K$572)</f>
        <v>129</v>
      </c>
      <c r="K577" s="24">
        <f>SUM($J$572:$K$572) - $J$572:$J$572</f>
        <v>57</v>
      </c>
      <c r="L577" s="24">
        <f>IF($J$577:$J$577 = 0, "Undefined",$K$577:$K$577*100 / $J$577:$J$577)</f>
        <v>44.186046511627907</v>
      </c>
    </row>
    <row r="578" spans="2:12" ht="13.8" x14ac:dyDescent="0.3">
      <c r="D578" s="25">
        <v>1</v>
      </c>
      <c r="E578" s="24">
        <f>SUM($E$573:$F$573)</f>
        <v>429</v>
      </c>
      <c r="F578" s="24">
        <f>SUM($E$573:$F$573) - $F$573:$F$573</f>
        <v>59</v>
      </c>
      <c r="G578" s="24">
        <f>IF($E$578:$E$578 = 0, "Undefined",$F$578:$F$578*100 / $E$578:$E$578)</f>
        <v>13.752913752913752</v>
      </c>
      <c r="I578" s="25">
        <v>1</v>
      </c>
      <c r="J578" s="24">
        <f>SUM($J$573:$K$573)</f>
        <v>271</v>
      </c>
      <c r="K578" s="24">
        <f>SUM($J$573:$K$573) - $K$573:$K$573</f>
        <v>57</v>
      </c>
      <c r="L578" s="24">
        <f>IF($J$578:$J$578 = 0, "Undefined",$K$578:$K$578*100 / $J$578:$J$578)</f>
        <v>21.033210332103319</v>
      </c>
    </row>
    <row r="579" spans="2:12" ht="13.8" x14ac:dyDescent="0.3">
      <c r="D579" s="25" t="s">
        <v>336</v>
      </c>
      <c r="E579" s="24">
        <f>SUM($E$577:$E$578)</f>
        <v>600</v>
      </c>
      <c r="F579" s="24">
        <f>SUM($F$577:$F$578)</f>
        <v>95</v>
      </c>
      <c r="G579" s="24">
        <f>IF($E$579:$E$579 = 0, "Undefined",$F$579:$F$579*100 / $E$579:$E$579)</f>
        <v>15.833333333333334</v>
      </c>
      <c r="I579" s="25" t="s">
        <v>336</v>
      </c>
      <c r="J579" s="24">
        <f>SUM($J$577:$J$578)</f>
        <v>400</v>
      </c>
      <c r="K579" s="24">
        <f>SUM($K$577:$K$578)</f>
        <v>114</v>
      </c>
      <c r="L579" s="24">
        <f>IF($J$579:$J$579 = 0, "Undefined",$K$579:$K$579*100 / $J$579:$J$579)</f>
        <v>28.5</v>
      </c>
    </row>
    <row r="581" spans="2:12" ht="15.6" x14ac:dyDescent="0.3">
      <c r="B581" s="28" t="s">
        <v>372</v>
      </c>
      <c r="D581" s="59" t="s">
        <v>329</v>
      </c>
      <c r="E581" s="60"/>
      <c r="F581" s="61"/>
      <c r="I581" s="59" t="s">
        <v>329</v>
      </c>
      <c r="J581" s="60"/>
      <c r="K581" s="61"/>
    </row>
    <row r="582" spans="2:12" ht="13.8" x14ac:dyDescent="0.3">
      <c r="D582" s="26"/>
      <c r="E582" s="75" t="s">
        <v>330</v>
      </c>
      <c r="F582" s="76"/>
      <c r="I582" s="26"/>
      <c r="J582" s="75" t="s">
        <v>330</v>
      </c>
      <c r="K582" s="76"/>
    </row>
    <row r="583" spans="2:12" ht="13.8" x14ac:dyDescent="0.3">
      <c r="D583" s="25" t="s">
        <v>331</v>
      </c>
      <c r="E583" s="26">
        <v>0</v>
      </c>
      <c r="F583" s="26">
        <v>1</v>
      </c>
      <c r="I583" s="25" t="s">
        <v>331</v>
      </c>
      <c r="J583" s="26">
        <v>0</v>
      </c>
      <c r="K583" s="26">
        <v>1</v>
      </c>
    </row>
    <row r="584" spans="2:12" ht="13.8" x14ac:dyDescent="0.3">
      <c r="D584" s="25">
        <v>0</v>
      </c>
      <c r="E584" s="24">
        <v>133</v>
      </c>
      <c r="F584" s="24">
        <v>38</v>
      </c>
      <c r="I584" s="25">
        <v>0</v>
      </c>
      <c r="J584" s="24">
        <v>74</v>
      </c>
      <c r="K584" s="24">
        <v>55</v>
      </c>
    </row>
    <row r="585" spans="2:12" ht="13.8" x14ac:dyDescent="0.3">
      <c r="D585" s="25">
        <v>1</v>
      </c>
      <c r="E585" s="24">
        <v>62</v>
      </c>
      <c r="F585" s="24">
        <v>367</v>
      </c>
      <c r="I585" s="25">
        <v>1</v>
      </c>
      <c r="J585" s="24">
        <v>56</v>
      </c>
      <c r="K585" s="24">
        <v>215</v>
      </c>
    </row>
    <row r="587" spans="2:12" ht="15.6" x14ac:dyDescent="0.3">
      <c r="D587" s="59" t="s">
        <v>210</v>
      </c>
      <c r="E587" s="60"/>
      <c r="F587" s="60"/>
      <c r="G587" s="61"/>
      <c r="I587" s="59" t="s">
        <v>210</v>
      </c>
      <c r="J587" s="60"/>
      <c r="K587" s="60"/>
      <c r="L587" s="61"/>
    </row>
    <row r="588" spans="2:12" ht="13.8" x14ac:dyDescent="0.3">
      <c r="D588" s="26" t="s">
        <v>332</v>
      </c>
      <c r="E588" s="26" t="s">
        <v>333</v>
      </c>
      <c r="F588" s="26" t="s">
        <v>334</v>
      </c>
      <c r="G588" s="26" t="s">
        <v>335</v>
      </c>
      <c r="I588" s="26" t="s">
        <v>332</v>
      </c>
      <c r="J588" s="26" t="s">
        <v>333</v>
      </c>
      <c r="K588" s="26" t="s">
        <v>334</v>
      </c>
      <c r="L588" s="26" t="s">
        <v>335</v>
      </c>
    </row>
    <row r="589" spans="2:12" ht="13.8" x14ac:dyDescent="0.3">
      <c r="D589" s="25">
        <v>0</v>
      </c>
      <c r="E589" s="24">
        <f>SUM($E$584:$F$584)</f>
        <v>171</v>
      </c>
      <c r="F589" s="24">
        <f>SUM($E$584:$F$584) - $E$584:$E$584</f>
        <v>38</v>
      </c>
      <c r="G589" s="24">
        <f>IF($E$589:$E$589 = 0, "Undefined",$F$589:$F$589*100 / $E$589:$E$589)</f>
        <v>22.222222222222221</v>
      </c>
      <c r="I589" s="25">
        <v>0</v>
      </c>
      <c r="J589" s="24">
        <f>SUM($J$584:$K$584)</f>
        <v>129</v>
      </c>
      <c r="K589" s="24">
        <f>SUM($J$584:$K$584) - $J$584:$J$584</f>
        <v>55</v>
      </c>
      <c r="L589" s="24">
        <f>IF($J$589:$J$589 = 0, "Undefined",$K$589:$K$589*100 / $J$589:$J$589)</f>
        <v>42.63565891472868</v>
      </c>
    </row>
    <row r="590" spans="2:12" ht="13.8" x14ac:dyDescent="0.3">
      <c r="D590" s="25">
        <v>1</v>
      </c>
      <c r="E590" s="24">
        <f>SUM($E$585:$F$585)</f>
        <v>429</v>
      </c>
      <c r="F590" s="24">
        <f>SUM($E$585:$F$585) - $F$585:$F$585</f>
        <v>62</v>
      </c>
      <c r="G590" s="24">
        <f>IF($E$590:$E$590 = 0, "Undefined",$F$590:$F$590*100 / $E$590:$E$590)</f>
        <v>14.452214452214452</v>
      </c>
      <c r="I590" s="25">
        <v>1</v>
      </c>
      <c r="J590" s="24">
        <f>SUM($J$585:$K$585)</f>
        <v>271</v>
      </c>
      <c r="K590" s="24">
        <f>SUM($J$585:$K$585) - $K$585:$K$585</f>
        <v>56</v>
      </c>
      <c r="L590" s="24">
        <f>IF($J$590:$J$590 = 0, "Undefined",$K$590:$K$590*100 / $J$590:$J$590)</f>
        <v>20.664206642066421</v>
      </c>
    </row>
    <row r="591" spans="2:12" ht="13.8" x14ac:dyDescent="0.3">
      <c r="D591" s="25" t="s">
        <v>336</v>
      </c>
      <c r="E591" s="24">
        <f>SUM($E$589:$E$590)</f>
        <v>600</v>
      </c>
      <c r="F591" s="24">
        <f>SUM($F$589:$F$590)</f>
        <v>100</v>
      </c>
      <c r="G591" s="24">
        <f>IF($E$591:$E$591 = 0, "Undefined",$F$591:$F$591*100 / $E$591:$E$591)</f>
        <v>16.666666666666668</v>
      </c>
      <c r="I591" s="25" t="s">
        <v>336</v>
      </c>
      <c r="J591" s="24">
        <f>SUM($J$589:$J$590)</f>
        <v>400</v>
      </c>
      <c r="K591" s="24">
        <f>SUM($K$589:$K$590)</f>
        <v>111</v>
      </c>
      <c r="L591" s="24">
        <f>IF($J$591:$J$591 = 0, "Undefined",$K$591:$K$591*100 / $J$591:$J$591)</f>
        <v>27.75</v>
      </c>
    </row>
    <row r="593" spans="2:12" ht="15.6" x14ac:dyDescent="0.3">
      <c r="B593" s="28" t="s">
        <v>373</v>
      </c>
      <c r="D593" s="59" t="s">
        <v>329</v>
      </c>
      <c r="E593" s="60"/>
      <c r="F593" s="61"/>
      <c r="I593" s="59" t="s">
        <v>329</v>
      </c>
      <c r="J593" s="60"/>
      <c r="K593" s="61"/>
    </row>
    <row r="594" spans="2:12" ht="13.8" x14ac:dyDescent="0.3">
      <c r="D594" s="26"/>
      <c r="E594" s="75" t="s">
        <v>330</v>
      </c>
      <c r="F594" s="76"/>
      <c r="I594" s="26"/>
      <c r="J594" s="75" t="s">
        <v>330</v>
      </c>
      <c r="K594" s="76"/>
    </row>
    <row r="595" spans="2:12" ht="13.8" x14ac:dyDescent="0.3">
      <c r="D595" s="25" t="s">
        <v>331</v>
      </c>
      <c r="E595" s="26">
        <v>0</v>
      </c>
      <c r="F595" s="26">
        <v>1</v>
      </c>
      <c r="I595" s="25" t="s">
        <v>331</v>
      </c>
      <c r="J595" s="26">
        <v>0</v>
      </c>
      <c r="K595" s="26">
        <v>1</v>
      </c>
    </row>
    <row r="596" spans="2:12" ht="13.8" x14ac:dyDescent="0.3">
      <c r="D596" s="25">
        <v>0</v>
      </c>
      <c r="E596" s="24">
        <v>127</v>
      </c>
      <c r="F596" s="24">
        <v>44</v>
      </c>
      <c r="I596" s="25">
        <v>0</v>
      </c>
      <c r="J596" s="24">
        <v>68</v>
      </c>
      <c r="K596" s="24">
        <v>61</v>
      </c>
    </row>
    <row r="597" spans="2:12" ht="13.8" x14ac:dyDescent="0.3">
      <c r="D597" s="25">
        <v>1</v>
      </c>
      <c r="E597" s="24">
        <v>56</v>
      </c>
      <c r="F597" s="24">
        <v>373</v>
      </c>
      <c r="I597" s="25">
        <v>1</v>
      </c>
      <c r="J597" s="24">
        <v>55</v>
      </c>
      <c r="K597" s="24">
        <v>216</v>
      </c>
    </row>
    <row r="599" spans="2:12" ht="15.6" x14ac:dyDescent="0.3">
      <c r="D599" s="59" t="s">
        <v>210</v>
      </c>
      <c r="E599" s="60"/>
      <c r="F599" s="60"/>
      <c r="G599" s="61"/>
      <c r="I599" s="59" t="s">
        <v>210</v>
      </c>
      <c r="J599" s="60"/>
      <c r="K599" s="60"/>
      <c r="L599" s="61"/>
    </row>
    <row r="600" spans="2:12" ht="13.8" x14ac:dyDescent="0.3">
      <c r="D600" s="26" t="s">
        <v>332</v>
      </c>
      <c r="E600" s="26" t="s">
        <v>333</v>
      </c>
      <c r="F600" s="26" t="s">
        <v>334</v>
      </c>
      <c r="G600" s="26" t="s">
        <v>335</v>
      </c>
      <c r="I600" s="26" t="s">
        <v>332</v>
      </c>
      <c r="J600" s="26" t="s">
        <v>333</v>
      </c>
      <c r="K600" s="26" t="s">
        <v>334</v>
      </c>
      <c r="L600" s="26" t="s">
        <v>335</v>
      </c>
    </row>
    <row r="601" spans="2:12" ht="13.8" x14ac:dyDescent="0.3">
      <c r="D601" s="25">
        <v>0</v>
      </c>
      <c r="E601" s="24">
        <f>SUM($E$596:$F$596)</f>
        <v>171</v>
      </c>
      <c r="F601" s="24">
        <f>SUM($E$596:$F$596) - $E$596:$E$596</f>
        <v>44</v>
      </c>
      <c r="G601" s="24">
        <f>IF($E$601:$E$601 = 0, "Undefined",$F$601:$F$601*100 / $E$601:$E$601)</f>
        <v>25.730994152046783</v>
      </c>
      <c r="I601" s="25">
        <v>0</v>
      </c>
      <c r="J601" s="24">
        <f>SUM($J$596:$K$596)</f>
        <v>129</v>
      </c>
      <c r="K601" s="24">
        <f>SUM($J$596:$K$596) - $J$596:$J$596</f>
        <v>61</v>
      </c>
      <c r="L601" s="24">
        <f>IF($J$601:$J$601 = 0, "Undefined",$K$601:$K$601*100 / $J$601:$J$601)</f>
        <v>47.286821705426355</v>
      </c>
    </row>
    <row r="602" spans="2:12" ht="13.8" x14ac:dyDescent="0.3">
      <c r="D602" s="25">
        <v>1</v>
      </c>
      <c r="E602" s="24">
        <f>SUM($E$597:$F$597)</f>
        <v>429</v>
      </c>
      <c r="F602" s="24">
        <f>SUM($E$597:$F$597) - $F$597:$F$597</f>
        <v>56</v>
      </c>
      <c r="G602" s="24">
        <f>IF($E$602:$E$602 = 0, "Undefined",$F$602:$F$602*100 / $E$602:$E$602)</f>
        <v>13.053613053613054</v>
      </c>
      <c r="I602" s="25">
        <v>1</v>
      </c>
      <c r="J602" s="24">
        <f>SUM($J$597:$K$597)</f>
        <v>271</v>
      </c>
      <c r="K602" s="24">
        <f>SUM($J$597:$K$597) - $K$597:$K$597</f>
        <v>55</v>
      </c>
      <c r="L602" s="24">
        <f>IF($J$602:$J$602 = 0, "Undefined",$K$602:$K$602*100 / $J$602:$J$602)</f>
        <v>20.29520295202952</v>
      </c>
    </row>
    <row r="603" spans="2:12" ht="13.8" x14ac:dyDescent="0.3">
      <c r="D603" s="25" t="s">
        <v>336</v>
      </c>
      <c r="E603" s="24">
        <f>SUM($E$601:$E$602)</f>
        <v>600</v>
      </c>
      <c r="F603" s="24">
        <f>SUM($F$601:$F$602)</f>
        <v>100</v>
      </c>
      <c r="G603" s="24">
        <f>IF($E$603:$E$603 = 0, "Undefined",$F$603:$F$603*100 / $E$603:$E$603)</f>
        <v>16.666666666666668</v>
      </c>
      <c r="I603" s="25" t="s">
        <v>336</v>
      </c>
      <c r="J603" s="24">
        <f>SUM($J$601:$J$602)</f>
        <v>400</v>
      </c>
      <c r="K603" s="24">
        <f>SUM($K$601:$K$602)</f>
        <v>116</v>
      </c>
      <c r="L603" s="24">
        <f>IF($J$603:$J$603 = 0, "Undefined",$K$603:$K$603*100 / $J$603:$J$603)</f>
        <v>29</v>
      </c>
    </row>
    <row r="605" spans="2:12" ht="15.6" x14ac:dyDescent="0.3">
      <c r="B605" s="28" t="s">
        <v>374</v>
      </c>
      <c r="D605" s="59" t="s">
        <v>329</v>
      </c>
      <c r="E605" s="60"/>
      <c r="F605" s="61"/>
      <c r="I605" s="59" t="s">
        <v>329</v>
      </c>
      <c r="J605" s="60"/>
      <c r="K605" s="61"/>
    </row>
    <row r="606" spans="2:12" ht="13.8" x14ac:dyDescent="0.3">
      <c r="D606" s="26"/>
      <c r="E606" s="75" t="s">
        <v>330</v>
      </c>
      <c r="F606" s="76"/>
      <c r="I606" s="26"/>
      <c r="J606" s="75" t="s">
        <v>330</v>
      </c>
      <c r="K606" s="76"/>
    </row>
    <row r="607" spans="2:12" ht="13.8" x14ac:dyDescent="0.3">
      <c r="D607" s="25" t="s">
        <v>331</v>
      </c>
      <c r="E607" s="26">
        <v>0</v>
      </c>
      <c r="F607" s="26">
        <v>1</v>
      </c>
      <c r="I607" s="25" t="s">
        <v>331</v>
      </c>
      <c r="J607" s="26">
        <v>0</v>
      </c>
      <c r="K607" s="26">
        <v>1</v>
      </c>
    </row>
    <row r="608" spans="2:12" ht="13.8" x14ac:dyDescent="0.3">
      <c r="D608" s="25">
        <v>0</v>
      </c>
      <c r="E608" s="24">
        <v>124</v>
      </c>
      <c r="F608" s="24">
        <v>47</v>
      </c>
      <c r="I608" s="25">
        <v>0</v>
      </c>
      <c r="J608" s="24">
        <v>70</v>
      </c>
      <c r="K608" s="24">
        <v>59</v>
      </c>
    </row>
    <row r="609" spans="2:12" ht="13.8" x14ac:dyDescent="0.3">
      <c r="D609" s="25">
        <v>1</v>
      </c>
      <c r="E609" s="24">
        <v>56</v>
      </c>
      <c r="F609" s="24">
        <v>373</v>
      </c>
      <c r="I609" s="25">
        <v>1</v>
      </c>
      <c r="J609" s="24">
        <v>52</v>
      </c>
      <c r="K609" s="24">
        <v>219</v>
      </c>
    </row>
    <row r="611" spans="2:12" ht="15.6" x14ac:dyDescent="0.3">
      <c r="D611" s="59" t="s">
        <v>210</v>
      </c>
      <c r="E611" s="60"/>
      <c r="F611" s="60"/>
      <c r="G611" s="61"/>
      <c r="I611" s="59" t="s">
        <v>210</v>
      </c>
      <c r="J611" s="60"/>
      <c r="K611" s="60"/>
      <c r="L611" s="61"/>
    </row>
    <row r="612" spans="2:12" ht="13.8" x14ac:dyDescent="0.3">
      <c r="D612" s="26" t="s">
        <v>332</v>
      </c>
      <c r="E612" s="26" t="s">
        <v>333</v>
      </c>
      <c r="F612" s="26" t="s">
        <v>334</v>
      </c>
      <c r="G612" s="26" t="s">
        <v>335</v>
      </c>
      <c r="I612" s="26" t="s">
        <v>332</v>
      </c>
      <c r="J612" s="26" t="s">
        <v>333</v>
      </c>
      <c r="K612" s="26" t="s">
        <v>334</v>
      </c>
      <c r="L612" s="26" t="s">
        <v>335</v>
      </c>
    </row>
    <row r="613" spans="2:12" ht="13.8" x14ac:dyDescent="0.3">
      <c r="D613" s="25">
        <v>0</v>
      </c>
      <c r="E613" s="24">
        <f>SUM($E$608:$F$608)</f>
        <v>171</v>
      </c>
      <c r="F613" s="24">
        <f>SUM($E$608:$F$608) - $E$608:$E$608</f>
        <v>47</v>
      </c>
      <c r="G613" s="24">
        <f>IF($E$613:$E$613 = 0, "Undefined",$F$613:$F$613*100 / $E$613:$E$613)</f>
        <v>27.485380116959064</v>
      </c>
      <c r="I613" s="25">
        <v>0</v>
      </c>
      <c r="J613" s="24">
        <f>SUM($J$608:$K$608)</f>
        <v>129</v>
      </c>
      <c r="K613" s="24">
        <f>SUM($J$608:$K$608) - $J$608:$J$608</f>
        <v>59</v>
      </c>
      <c r="L613" s="24">
        <f>IF($J$613:$J$613 = 0, "Undefined",$K$613:$K$613*100 / $J$613:$J$613)</f>
        <v>45.736434108527135</v>
      </c>
    </row>
    <row r="614" spans="2:12" ht="13.8" x14ac:dyDescent="0.3">
      <c r="D614" s="25">
        <v>1</v>
      </c>
      <c r="E614" s="24">
        <f>SUM($E$609:$F$609)</f>
        <v>429</v>
      </c>
      <c r="F614" s="24">
        <f>SUM($E$609:$F$609) - $F$609:$F$609</f>
        <v>56</v>
      </c>
      <c r="G614" s="24">
        <f>IF($E$614:$E$614 = 0, "Undefined",$F$614:$F$614*100 / $E$614:$E$614)</f>
        <v>13.053613053613054</v>
      </c>
      <c r="I614" s="25">
        <v>1</v>
      </c>
      <c r="J614" s="24">
        <f>SUM($J$609:$K$609)</f>
        <v>271</v>
      </c>
      <c r="K614" s="24">
        <f>SUM($J$609:$K$609) - $K$609:$K$609</f>
        <v>52</v>
      </c>
      <c r="L614" s="24">
        <f>IF($J$614:$J$614 = 0, "Undefined",$K$614:$K$614*100 / $J$614:$J$614)</f>
        <v>19.188191881918819</v>
      </c>
    </row>
    <row r="615" spans="2:12" ht="13.8" x14ac:dyDescent="0.3">
      <c r="D615" s="25" t="s">
        <v>336</v>
      </c>
      <c r="E615" s="24">
        <f>SUM($E$613:$E$614)</f>
        <v>600</v>
      </c>
      <c r="F615" s="24">
        <f>SUM($F$613:$F$614)</f>
        <v>103</v>
      </c>
      <c r="G615" s="24">
        <f>IF($E$615:$E$615 = 0, "Undefined",$F$615:$F$615*100 / $E$615:$E$615)</f>
        <v>17.166666666666668</v>
      </c>
      <c r="I615" s="25" t="s">
        <v>336</v>
      </c>
      <c r="J615" s="24">
        <f>SUM($J$613:$J$614)</f>
        <v>400</v>
      </c>
      <c r="K615" s="24">
        <f>SUM($K$613:$K$614)</f>
        <v>111</v>
      </c>
      <c r="L615" s="24">
        <f>IF($J$615:$J$615 = 0, "Undefined",$K$615:$K$615*100 / $J$615:$J$615)</f>
        <v>27.75</v>
      </c>
    </row>
    <row r="617" spans="2:12" ht="15.6" x14ac:dyDescent="0.3">
      <c r="B617" s="28" t="s">
        <v>375</v>
      </c>
      <c r="D617" s="59" t="s">
        <v>329</v>
      </c>
      <c r="E617" s="60"/>
      <c r="F617" s="61"/>
      <c r="I617" s="59" t="s">
        <v>329</v>
      </c>
      <c r="J617" s="60"/>
      <c r="K617" s="61"/>
    </row>
    <row r="618" spans="2:12" ht="13.8" x14ac:dyDescent="0.3">
      <c r="D618" s="26"/>
      <c r="E618" s="75" t="s">
        <v>330</v>
      </c>
      <c r="F618" s="76"/>
      <c r="I618" s="26"/>
      <c r="J618" s="75" t="s">
        <v>330</v>
      </c>
      <c r="K618" s="76"/>
    </row>
    <row r="619" spans="2:12" ht="13.8" x14ac:dyDescent="0.3">
      <c r="D619" s="25" t="s">
        <v>331</v>
      </c>
      <c r="E619" s="26">
        <v>0</v>
      </c>
      <c r="F619" s="26">
        <v>1</v>
      </c>
      <c r="I619" s="25" t="s">
        <v>331</v>
      </c>
      <c r="J619" s="26">
        <v>0</v>
      </c>
      <c r="K619" s="26">
        <v>1</v>
      </c>
    </row>
    <row r="620" spans="2:12" ht="13.8" x14ac:dyDescent="0.3">
      <c r="D620" s="25">
        <v>0</v>
      </c>
      <c r="E620" s="24">
        <v>131</v>
      </c>
      <c r="F620" s="24">
        <v>40</v>
      </c>
      <c r="I620" s="25">
        <v>0</v>
      </c>
      <c r="J620" s="24">
        <v>70</v>
      </c>
      <c r="K620" s="24">
        <v>59</v>
      </c>
    </row>
    <row r="621" spans="2:12" ht="13.8" x14ac:dyDescent="0.3">
      <c r="D621" s="25">
        <v>1</v>
      </c>
      <c r="E621" s="24">
        <v>59</v>
      </c>
      <c r="F621" s="24">
        <v>370</v>
      </c>
      <c r="I621" s="25">
        <v>1</v>
      </c>
      <c r="J621" s="24">
        <v>55</v>
      </c>
      <c r="K621" s="24">
        <v>216</v>
      </c>
    </row>
    <row r="623" spans="2:12" ht="15.6" x14ac:dyDescent="0.3">
      <c r="D623" s="59" t="s">
        <v>210</v>
      </c>
      <c r="E623" s="60"/>
      <c r="F623" s="60"/>
      <c r="G623" s="61"/>
      <c r="I623" s="59" t="s">
        <v>210</v>
      </c>
      <c r="J623" s="60"/>
      <c r="K623" s="60"/>
      <c r="L623" s="61"/>
    </row>
    <row r="624" spans="2:12" ht="13.8" x14ac:dyDescent="0.3">
      <c r="D624" s="26" t="s">
        <v>332</v>
      </c>
      <c r="E624" s="26" t="s">
        <v>333</v>
      </c>
      <c r="F624" s="26" t="s">
        <v>334</v>
      </c>
      <c r="G624" s="26" t="s">
        <v>335</v>
      </c>
      <c r="I624" s="26" t="s">
        <v>332</v>
      </c>
      <c r="J624" s="26" t="s">
        <v>333</v>
      </c>
      <c r="K624" s="26" t="s">
        <v>334</v>
      </c>
      <c r="L624" s="26" t="s">
        <v>335</v>
      </c>
    </row>
    <row r="625" spans="2:12" ht="13.8" x14ac:dyDescent="0.3">
      <c r="D625" s="25">
        <v>0</v>
      </c>
      <c r="E625" s="24">
        <f>SUM($E$620:$F$620)</f>
        <v>171</v>
      </c>
      <c r="F625" s="24">
        <f>SUM($E$620:$F$620) - $E$620:$E$620</f>
        <v>40</v>
      </c>
      <c r="G625" s="24">
        <f>IF($E$625:$E$625 = 0, "Undefined",$F$625:$F$625*100 / $E$625:$E$625)</f>
        <v>23.391812865497077</v>
      </c>
      <c r="I625" s="25">
        <v>0</v>
      </c>
      <c r="J625" s="24">
        <f>SUM($J$620:$K$620)</f>
        <v>129</v>
      </c>
      <c r="K625" s="24">
        <f>SUM($J$620:$K$620) - $J$620:$J$620</f>
        <v>59</v>
      </c>
      <c r="L625" s="24">
        <f>IF($J$625:$J$625 = 0, "Undefined",$K$625:$K$625*100 / $J$625:$J$625)</f>
        <v>45.736434108527135</v>
      </c>
    </row>
    <row r="626" spans="2:12" ht="13.8" x14ac:dyDescent="0.3">
      <c r="D626" s="25">
        <v>1</v>
      </c>
      <c r="E626" s="24">
        <f>SUM($E$621:$F$621)</f>
        <v>429</v>
      </c>
      <c r="F626" s="24">
        <f>SUM($E$621:$F$621) - $F$621:$F$621</f>
        <v>59</v>
      </c>
      <c r="G626" s="24">
        <f>IF($E$626:$E$626 = 0, "Undefined",$F$626:$F$626*100 / $E$626:$E$626)</f>
        <v>13.752913752913752</v>
      </c>
      <c r="I626" s="25">
        <v>1</v>
      </c>
      <c r="J626" s="24">
        <f>SUM($J$621:$K$621)</f>
        <v>271</v>
      </c>
      <c r="K626" s="24">
        <f>SUM($J$621:$K$621) - $K$621:$K$621</f>
        <v>55</v>
      </c>
      <c r="L626" s="24">
        <f>IF($J$626:$J$626 = 0, "Undefined",$K$626:$K$626*100 / $J$626:$J$626)</f>
        <v>20.29520295202952</v>
      </c>
    </row>
    <row r="627" spans="2:12" ht="13.8" x14ac:dyDescent="0.3">
      <c r="D627" s="25" t="s">
        <v>336</v>
      </c>
      <c r="E627" s="24">
        <f>SUM($E$625:$E$626)</f>
        <v>600</v>
      </c>
      <c r="F627" s="24">
        <f>SUM($F$625:$F$626)</f>
        <v>99</v>
      </c>
      <c r="G627" s="24">
        <f>IF($E$627:$E$627 = 0, "Undefined",$F$627:$F$627*100 / $E$627:$E$627)</f>
        <v>16.5</v>
      </c>
      <c r="I627" s="25" t="s">
        <v>336</v>
      </c>
      <c r="J627" s="24">
        <f>SUM($J$625:$J$626)</f>
        <v>400</v>
      </c>
      <c r="K627" s="24">
        <f>SUM($K$625:$K$626)</f>
        <v>114</v>
      </c>
      <c r="L627" s="24">
        <f>IF($J$627:$J$627 = 0, "Undefined",$K$627:$K$627*100 / $J$627:$J$627)</f>
        <v>28.5</v>
      </c>
    </row>
    <row r="629" spans="2:12" ht="15.6" x14ac:dyDescent="0.3">
      <c r="B629" s="28" t="s">
        <v>376</v>
      </c>
      <c r="D629" s="59" t="s">
        <v>329</v>
      </c>
      <c r="E629" s="60"/>
      <c r="F629" s="61"/>
      <c r="I629" s="59" t="s">
        <v>329</v>
      </c>
      <c r="J629" s="60"/>
      <c r="K629" s="61"/>
    </row>
    <row r="630" spans="2:12" ht="13.8" x14ac:dyDescent="0.3">
      <c r="D630" s="26"/>
      <c r="E630" s="75" t="s">
        <v>330</v>
      </c>
      <c r="F630" s="76"/>
      <c r="I630" s="26"/>
      <c r="J630" s="75" t="s">
        <v>330</v>
      </c>
      <c r="K630" s="76"/>
    </row>
    <row r="631" spans="2:12" ht="13.8" x14ac:dyDescent="0.3">
      <c r="D631" s="25" t="s">
        <v>331</v>
      </c>
      <c r="E631" s="26">
        <v>0</v>
      </c>
      <c r="F631" s="26">
        <v>1</v>
      </c>
      <c r="I631" s="25" t="s">
        <v>331</v>
      </c>
      <c r="J631" s="26">
        <v>0</v>
      </c>
      <c r="K631" s="26">
        <v>1</v>
      </c>
    </row>
    <row r="632" spans="2:12" ht="13.8" x14ac:dyDescent="0.3">
      <c r="D632" s="25">
        <v>0</v>
      </c>
      <c r="E632" s="24">
        <v>133</v>
      </c>
      <c r="F632" s="24">
        <v>38</v>
      </c>
      <c r="I632" s="25">
        <v>0</v>
      </c>
      <c r="J632" s="24">
        <v>71</v>
      </c>
      <c r="K632" s="24">
        <v>58</v>
      </c>
    </row>
    <row r="633" spans="2:12" ht="13.8" x14ac:dyDescent="0.3">
      <c r="D633" s="25">
        <v>1</v>
      </c>
      <c r="E633" s="24">
        <v>60</v>
      </c>
      <c r="F633" s="24">
        <v>369</v>
      </c>
      <c r="I633" s="25">
        <v>1</v>
      </c>
      <c r="J633" s="24">
        <v>55</v>
      </c>
      <c r="K633" s="24">
        <v>216</v>
      </c>
    </row>
    <row r="635" spans="2:12" ht="15.6" x14ac:dyDescent="0.3">
      <c r="D635" s="59" t="s">
        <v>210</v>
      </c>
      <c r="E635" s="60"/>
      <c r="F635" s="60"/>
      <c r="G635" s="61"/>
      <c r="I635" s="59" t="s">
        <v>210</v>
      </c>
      <c r="J635" s="60"/>
      <c r="K635" s="60"/>
      <c r="L635" s="61"/>
    </row>
    <row r="636" spans="2:12" ht="13.8" x14ac:dyDescent="0.3">
      <c r="D636" s="26" t="s">
        <v>332</v>
      </c>
      <c r="E636" s="26" t="s">
        <v>333</v>
      </c>
      <c r="F636" s="26" t="s">
        <v>334</v>
      </c>
      <c r="G636" s="26" t="s">
        <v>335</v>
      </c>
      <c r="I636" s="26" t="s">
        <v>332</v>
      </c>
      <c r="J636" s="26" t="s">
        <v>333</v>
      </c>
      <c r="K636" s="26" t="s">
        <v>334</v>
      </c>
      <c r="L636" s="26" t="s">
        <v>335</v>
      </c>
    </row>
    <row r="637" spans="2:12" ht="13.8" x14ac:dyDescent="0.3">
      <c r="D637" s="25">
        <v>0</v>
      </c>
      <c r="E637" s="24">
        <f>SUM($E$632:$F$632)</f>
        <v>171</v>
      </c>
      <c r="F637" s="24">
        <f>SUM($E$632:$F$632) - $E$632:$E$632</f>
        <v>38</v>
      </c>
      <c r="G637" s="24">
        <f>IF($E$637:$E$637 = 0, "Undefined",$F$637:$F$637*100 / $E$637:$E$637)</f>
        <v>22.222222222222221</v>
      </c>
      <c r="I637" s="25">
        <v>0</v>
      </c>
      <c r="J637" s="24">
        <f>SUM($J$632:$K$632)</f>
        <v>129</v>
      </c>
      <c r="K637" s="24">
        <f>SUM($J$632:$K$632) - $J$632:$J$632</f>
        <v>58</v>
      </c>
      <c r="L637" s="24">
        <f>IF($J$637:$J$637 = 0, "Undefined",$K$637:$K$637*100 / $J$637:$J$637)</f>
        <v>44.961240310077521</v>
      </c>
    </row>
    <row r="638" spans="2:12" ht="13.8" x14ac:dyDescent="0.3">
      <c r="D638" s="25">
        <v>1</v>
      </c>
      <c r="E638" s="24">
        <f>SUM($E$633:$F$633)</f>
        <v>429</v>
      </c>
      <c r="F638" s="24">
        <f>SUM($E$633:$F$633) - $F$633:$F$633</f>
        <v>60</v>
      </c>
      <c r="G638" s="24">
        <f>IF($E$638:$E$638 = 0, "Undefined",$F$638:$F$638*100 / $E$638:$E$638)</f>
        <v>13.986013986013987</v>
      </c>
      <c r="I638" s="25">
        <v>1</v>
      </c>
      <c r="J638" s="24">
        <f>SUM($J$633:$K$633)</f>
        <v>271</v>
      </c>
      <c r="K638" s="24">
        <f>SUM($J$633:$K$633) - $K$633:$K$633</f>
        <v>55</v>
      </c>
      <c r="L638" s="24">
        <f>IF($J$638:$J$638 = 0, "Undefined",$K$638:$K$638*100 / $J$638:$J$638)</f>
        <v>20.29520295202952</v>
      </c>
    </row>
    <row r="639" spans="2:12" ht="13.8" x14ac:dyDescent="0.3">
      <c r="D639" s="25" t="s">
        <v>336</v>
      </c>
      <c r="E639" s="24">
        <f>SUM($E$637:$E$638)</f>
        <v>600</v>
      </c>
      <c r="F639" s="24">
        <f>SUM($F$637:$F$638)</f>
        <v>98</v>
      </c>
      <c r="G639" s="24">
        <f>IF($E$639:$E$639 = 0, "Undefined",$F$639:$F$639*100 / $E$639:$E$639)</f>
        <v>16.333333333333332</v>
      </c>
      <c r="I639" s="25" t="s">
        <v>336</v>
      </c>
      <c r="J639" s="24">
        <f>SUM($J$637:$J$638)</f>
        <v>400</v>
      </c>
      <c r="K639" s="24">
        <f>SUM($K$637:$K$638)</f>
        <v>113</v>
      </c>
      <c r="L639" s="24">
        <f>IF($J$639:$J$639 = 0, "Undefined",$K$639:$K$639*100 / $J$639:$J$639)</f>
        <v>28.25</v>
      </c>
    </row>
    <row r="641" spans="2:12" ht="15.6" x14ac:dyDescent="0.3">
      <c r="B641" s="28" t="s">
        <v>377</v>
      </c>
      <c r="D641" s="59" t="s">
        <v>329</v>
      </c>
      <c r="E641" s="60"/>
      <c r="F641" s="61"/>
      <c r="I641" s="59" t="s">
        <v>329</v>
      </c>
      <c r="J641" s="60"/>
      <c r="K641" s="61"/>
    </row>
    <row r="642" spans="2:12" ht="13.8" x14ac:dyDescent="0.3">
      <c r="D642" s="26"/>
      <c r="E642" s="75" t="s">
        <v>330</v>
      </c>
      <c r="F642" s="76"/>
      <c r="I642" s="26"/>
      <c r="J642" s="75" t="s">
        <v>330</v>
      </c>
      <c r="K642" s="76"/>
    </row>
    <row r="643" spans="2:12" ht="13.8" x14ac:dyDescent="0.3">
      <c r="D643" s="25" t="s">
        <v>331</v>
      </c>
      <c r="E643" s="26">
        <v>0</v>
      </c>
      <c r="F643" s="26">
        <v>1</v>
      </c>
      <c r="I643" s="25" t="s">
        <v>331</v>
      </c>
      <c r="J643" s="26">
        <v>0</v>
      </c>
      <c r="K643" s="26">
        <v>1</v>
      </c>
    </row>
    <row r="644" spans="2:12" ht="13.8" x14ac:dyDescent="0.3">
      <c r="D644" s="25">
        <v>0</v>
      </c>
      <c r="E644" s="24">
        <v>133</v>
      </c>
      <c r="F644" s="24">
        <v>38</v>
      </c>
      <c r="I644" s="25">
        <v>0</v>
      </c>
      <c r="J644" s="24">
        <v>72</v>
      </c>
      <c r="K644" s="24">
        <v>57</v>
      </c>
    </row>
    <row r="645" spans="2:12" ht="13.8" x14ac:dyDescent="0.3">
      <c r="D645" s="25">
        <v>1</v>
      </c>
      <c r="E645" s="24">
        <v>59</v>
      </c>
      <c r="F645" s="24">
        <v>370</v>
      </c>
      <c r="I645" s="25">
        <v>1</v>
      </c>
      <c r="J645" s="24">
        <v>55</v>
      </c>
      <c r="K645" s="24">
        <v>216</v>
      </c>
    </row>
    <row r="647" spans="2:12" ht="15.6" x14ac:dyDescent="0.3">
      <c r="D647" s="59" t="s">
        <v>210</v>
      </c>
      <c r="E647" s="60"/>
      <c r="F647" s="60"/>
      <c r="G647" s="61"/>
      <c r="I647" s="59" t="s">
        <v>210</v>
      </c>
      <c r="J647" s="60"/>
      <c r="K647" s="60"/>
      <c r="L647" s="61"/>
    </row>
    <row r="648" spans="2:12" ht="13.8" x14ac:dyDescent="0.3">
      <c r="D648" s="26" t="s">
        <v>332</v>
      </c>
      <c r="E648" s="26" t="s">
        <v>333</v>
      </c>
      <c r="F648" s="26" t="s">
        <v>334</v>
      </c>
      <c r="G648" s="26" t="s">
        <v>335</v>
      </c>
      <c r="I648" s="26" t="s">
        <v>332</v>
      </c>
      <c r="J648" s="26" t="s">
        <v>333</v>
      </c>
      <c r="K648" s="26" t="s">
        <v>334</v>
      </c>
      <c r="L648" s="26" t="s">
        <v>335</v>
      </c>
    </row>
    <row r="649" spans="2:12" ht="13.8" x14ac:dyDescent="0.3">
      <c r="D649" s="25">
        <v>0</v>
      </c>
      <c r="E649" s="24">
        <f>SUM($E$644:$F$644)</f>
        <v>171</v>
      </c>
      <c r="F649" s="24">
        <f>SUM($E$644:$F$644) - $E$644:$E$644</f>
        <v>38</v>
      </c>
      <c r="G649" s="24">
        <f>IF($E$649:$E$649 = 0, "Undefined",$F$649:$F$649*100 / $E$649:$E$649)</f>
        <v>22.222222222222221</v>
      </c>
      <c r="I649" s="25">
        <v>0</v>
      </c>
      <c r="J649" s="24">
        <f>SUM($J$644:$K$644)</f>
        <v>129</v>
      </c>
      <c r="K649" s="24">
        <f>SUM($J$644:$K$644) - $J$644:$J$644</f>
        <v>57</v>
      </c>
      <c r="L649" s="24">
        <f>IF($J$649:$J$649 = 0, "Undefined",$K$649:$K$649*100 / $J$649:$J$649)</f>
        <v>44.186046511627907</v>
      </c>
    </row>
    <row r="650" spans="2:12" ht="13.8" x14ac:dyDescent="0.3">
      <c r="D650" s="25">
        <v>1</v>
      </c>
      <c r="E650" s="24">
        <f>SUM($E$645:$F$645)</f>
        <v>429</v>
      </c>
      <c r="F650" s="24">
        <f>SUM($E$645:$F$645) - $F$645:$F$645</f>
        <v>59</v>
      </c>
      <c r="G650" s="24">
        <f>IF($E$650:$E$650 = 0, "Undefined",$F$650:$F$650*100 / $E$650:$E$650)</f>
        <v>13.752913752913752</v>
      </c>
      <c r="I650" s="25">
        <v>1</v>
      </c>
      <c r="J650" s="24">
        <f>SUM($J$645:$K$645)</f>
        <v>271</v>
      </c>
      <c r="K650" s="24">
        <f>SUM($J$645:$K$645) - $K$645:$K$645</f>
        <v>55</v>
      </c>
      <c r="L650" s="24">
        <f>IF($J$650:$J$650 = 0, "Undefined",$K$650:$K$650*100 / $J$650:$J$650)</f>
        <v>20.29520295202952</v>
      </c>
    </row>
    <row r="651" spans="2:12" ht="13.8" x14ac:dyDescent="0.3">
      <c r="D651" s="25" t="s">
        <v>336</v>
      </c>
      <c r="E651" s="24">
        <f>SUM($E$649:$E$650)</f>
        <v>600</v>
      </c>
      <c r="F651" s="24">
        <f>SUM($F$649:$F$650)</f>
        <v>97</v>
      </c>
      <c r="G651" s="24">
        <f>IF($E$651:$E$651 = 0, "Undefined",$F$651:$F$651*100 / $E$651:$E$651)</f>
        <v>16.166666666666668</v>
      </c>
      <c r="I651" s="25" t="s">
        <v>336</v>
      </c>
      <c r="J651" s="24">
        <f>SUM($J$649:$J$650)</f>
        <v>400</v>
      </c>
      <c r="K651" s="24">
        <f>SUM($K$649:$K$650)</f>
        <v>112</v>
      </c>
      <c r="L651" s="24">
        <f>IF($J$651:$J$651 = 0, "Undefined",$K$651:$K$651*100 / $J$651:$J$651)</f>
        <v>28</v>
      </c>
    </row>
    <row r="653" spans="2:12" ht="15.6" x14ac:dyDescent="0.3">
      <c r="B653" s="28" t="s">
        <v>378</v>
      </c>
      <c r="D653" s="59" t="s">
        <v>329</v>
      </c>
      <c r="E653" s="60"/>
      <c r="F653" s="61"/>
      <c r="I653" s="59" t="s">
        <v>329</v>
      </c>
      <c r="J653" s="60"/>
      <c r="K653" s="61"/>
    </row>
    <row r="654" spans="2:12" ht="13.8" x14ac:dyDescent="0.3">
      <c r="D654" s="26"/>
      <c r="E654" s="75" t="s">
        <v>330</v>
      </c>
      <c r="F654" s="76"/>
      <c r="I654" s="26"/>
      <c r="J654" s="75" t="s">
        <v>330</v>
      </c>
      <c r="K654" s="76"/>
    </row>
    <row r="655" spans="2:12" ht="13.8" x14ac:dyDescent="0.3">
      <c r="D655" s="25" t="s">
        <v>331</v>
      </c>
      <c r="E655" s="26">
        <v>0</v>
      </c>
      <c r="F655" s="26">
        <v>1</v>
      </c>
      <c r="I655" s="25" t="s">
        <v>331</v>
      </c>
      <c r="J655" s="26">
        <v>0</v>
      </c>
      <c r="K655" s="26">
        <v>1</v>
      </c>
    </row>
    <row r="656" spans="2:12" ht="13.8" x14ac:dyDescent="0.3">
      <c r="D656" s="25">
        <v>0</v>
      </c>
      <c r="E656" s="24">
        <v>132</v>
      </c>
      <c r="F656" s="24">
        <v>39</v>
      </c>
      <c r="I656" s="25">
        <v>0</v>
      </c>
      <c r="J656" s="24">
        <v>72</v>
      </c>
      <c r="K656" s="24">
        <v>57</v>
      </c>
    </row>
    <row r="657" spans="2:12" ht="13.8" x14ac:dyDescent="0.3">
      <c r="D657" s="25">
        <v>1</v>
      </c>
      <c r="E657" s="24">
        <v>60</v>
      </c>
      <c r="F657" s="24">
        <v>369</v>
      </c>
      <c r="I657" s="25">
        <v>1</v>
      </c>
      <c r="J657" s="24">
        <v>55</v>
      </c>
      <c r="K657" s="24">
        <v>216</v>
      </c>
    </row>
    <row r="659" spans="2:12" ht="15.6" x14ac:dyDescent="0.3">
      <c r="D659" s="59" t="s">
        <v>210</v>
      </c>
      <c r="E659" s="60"/>
      <c r="F659" s="60"/>
      <c r="G659" s="61"/>
      <c r="I659" s="59" t="s">
        <v>210</v>
      </c>
      <c r="J659" s="60"/>
      <c r="K659" s="60"/>
      <c r="L659" s="61"/>
    </row>
    <row r="660" spans="2:12" ht="13.8" x14ac:dyDescent="0.3">
      <c r="D660" s="26" t="s">
        <v>332</v>
      </c>
      <c r="E660" s="26" t="s">
        <v>333</v>
      </c>
      <c r="F660" s="26" t="s">
        <v>334</v>
      </c>
      <c r="G660" s="26" t="s">
        <v>335</v>
      </c>
      <c r="I660" s="26" t="s">
        <v>332</v>
      </c>
      <c r="J660" s="26" t="s">
        <v>333</v>
      </c>
      <c r="K660" s="26" t="s">
        <v>334</v>
      </c>
      <c r="L660" s="26" t="s">
        <v>335</v>
      </c>
    </row>
    <row r="661" spans="2:12" ht="13.8" x14ac:dyDescent="0.3">
      <c r="D661" s="25">
        <v>0</v>
      </c>
      <c r="E661" s="24">
        <f>SUM($E$656:$F$656)</f>
        <v>171</v>
      </c>
      <c r="F661" s="24">
        <f>SUM($E$656:$F$656) - $E$656:$E$656</f>
        <v>39</v>
      </c>
      <c r="G661" s="24">
        <f>IF($E$661:$E$661 = 0, "Undefined",$F$661:$F$661*100 / $E$661:$E$661)</f>
        <v>22.807017543859651</v>
      </c>
      <c r="I661" s="25">
        <v>0</v>
      </c>
      <c r="J661" s="24">
        <f>SUM($J$656:$K$656)</f>
        <v>129</v>
      </c>
      <c r="K661" s="24">
        <f>SUM($J$656:$K$656) - $J$656:$J$656</f>
        <v>57</v>
      </c>
      <c r="L661" s="24">
        <f>IF($J$661:$J$661 = 0, "Undefined",$K$661:$K$661*100 / $J$661:$J$661)</f>
        <v>44.186046511627907</v>
      </c>
    </row>
    <row r="662" spans="2:12" ht="13.8" x14ac:dyDescent="0.3">
      <c r="D662" s="25">
        <v>1</v>
      </c>
      <c r="E662" s="24">
        <f>SUM($E$657:$F$657)</f>
        <v>429</v>
      </c>
      <c r="F662" s="24">
        <f>SUM($E$657:$F$657) - $F$657:$F$657</f>
        <v>60</v>
      </c>
      <c r="G662" s="24">
        <f>IF($E$662:$E$662 = 0, "Undefined",$F$662:$F$662*100 / $E$662:$E$662)</f>
        <v>13.986013986013987</v>
      </c>
      <c r="I662" s="25">
        <v>1</v>
      </c>
      <c r="J662" s="24">
        <f>SUM($J$657:$K$657)</f>
        <v>271</v>
      </c>
      <c r="K662" s="24">
        <f>SUM($J$657:$K$657) - $K$657:$K$657</f>
        <v>55</v>
      </c>
      <c r="L662" s="24">
        <f>IF($J$662:$J$662 = 0, "Undefined",$K$662:$K$662*100 / $J$662:$J$662)</f>
        <v>20.29520295202952</v>
      </c>
    </row>
    <row r="663" spans="2:12" ht="13.8" x14ac:dyDescent="0.3">
      <c r="D663" s="25" t="s">
        <v>336</v>
      </c>
      <c r="E663" s="24">
        <f>SUM($E$661:$E$662)</f>
        <v>600</v>
      </c>
      <c r="F663" s="24">
        <f>SUM($F$661:$F$662)</f>
        <v>99</v>
      </c>
      <c r="G663" s="24">
        <f>IF($E$663:$E$663 = 0, "Undefined",$F$663:$F$663*100 / $E$663:$E$663)</f>
        <v>16.5</v>
      </c>
      <c r="I663" s="25" t="s">
        <v>336</v>
      </c>
      <c r="J663" s="24">
        <f>SUM($J$661:$J$662)</f>
        <v>400</v>
      </c>
      <c r="K663" s="24">
        <f>SUM($K$661:$K$662)</f>
        <v>112</v>
      </c>
      <c r="L663" s="24">
        <f>IF($J$663:$J$663 = 0, "Undefined",$K$663:$K$663*100 / $J$663:$J$663)</f>
        <v>28</v>
      </c>
    </row>
    <row r="665" spans="2:12" ht="15.6" x14ac:dyDescent="0.3">
      <c r="B665" s="28" t="s">
        <v>379</v>
      </c>
      <c r="D665" s="59" t="s">
        <v>329</v>
      </c>
      <c r="E665" s="60"/>
      <c r="F665" s="61"/>
      <c r="I665" s="59" t="s">
        <v>329</v>
      </c>
      <c r="J665" s="60"/>
      <c r="K665" s="61"/>
    </row>
    <row r="666" spans="2:12" ht="13.8" x14ac:dyDescent="0.3">
      <c r="D666" s="26"/>
      <c r="E666" s="75" t="s">
        <v>330</v>
      </c>
      <c r="F666" s="76"/>
      <c r="I666" s="26"/>
      <c r="J666" s="75" t="s">
        <v>330</v>
      </c>
      <c r="K666" s="76"/>
    </row>
    <row r="667" spans="2:12" ht="13.8" x14ac:dyDescent="0.3">
      <c r="D667" s="25" t="s">
        <v>331</v>
      </c>
      <c r="E667" s="26">
        <v>0</v>
      </c>
      <c r="F667" s="26">
        <v>1</v>
      </c>
      <c r="I667" s="25" t="s">
        <v>331</v>
      </c>
      <c r="J667" s="26">
        <v>0</v>
      </c>
      <c r="K667" s="26">
        <v>1</v>
      </c>
    </row>
    <row r="668" spans="2:12" ht="13.8" x14ac:dyDescent="0.3">
      <c r="D668" s="25">
        <v>0</v>
      </c>
      <c r="E668" s="24">
        <v>126</v>
      </c>
      <c r="F668" s="24">
        <v>45</v>
      </c>
      <c r="I668" s="25">
        <v>0</v>
      </c>
      <c r="J668" s="24">
        <v>69</v>
      </c>
      <c r="K668" s="24">
        <v>60</v>
      </c>
    </row>
    <row r="669" spans="2:12" ht="13.8" x14ac:dyDescent="0.3">
      <c r="D669" s="25">
        <v>1</v>
      </c>
      <c r="E669" s="24">
        <v>57</v>
      </c>
      <c r="F669" s="24">
        <v>372</v>
      </c>
      <c r="I669" s="25">
        <v>1</v>
      </c>
      <c r="J669" s="24">
        <v>55</v>
      </c>
      <c r="K669" s="24">
        <v>216</v>
      </c>
    </row>
    <row r="671" spans="2:12" ht="15.6" x14ac:dyDescent="0.3">
      <c r="D671" s="59" t="s">
        <v>210</v>
      </c>
      <c r="E671" s="60"/>
      <c r="F671" s="60"/>
      <c r="G671" s="61"/>
      <c r="I671" s="59" t="s">
        <v>210</v>
      </c>
      <c r="J671" s="60"/>
      <c r="K671" s="60"/>
      <c r="L671" s="61"/>
    </row>
    <row r="672" spans="2:12" ht="13.8" x14ac:dyDescent="0.3">
      <c r="D672" s="26" t="s">
        <v>332</v>
      </c>
      <c r="E672" s="26" t="s">
        <v>333</v>
      </c>
      <c r="F672" s="26" t="s">
        <v>334</v>
      </c>
      <c r="G672" s="26" t="s">
        <v>335</v>
      </c>
      <c r="I672" s="26" t="s">
        <v>332</v>
      </c>
      <c r="J672" s="26" t="s">
        <v>333</v>
      </c>
      <c r="K672" s="26" t="s">
        <v>334</v>
      </c>
      <c r="L672" s="26" t="s">
        <v>335</v>
      </c>
    </row>
    <row r="673" spans="2:12" ht="13.8" x14ac:dyDescent="0.3">
      <c r="D673" s="25">
        <v>0</v>
      </c>
      <c r="E673" s="24">
        <f>SUM($E$668:$F$668)</f>
        <v>171</v>
      </c>
      <c r="F673" s="24">
        <f>SUM($E$668:$F$668) - $E$668:$E$668</f>
        <v>45</v>
      </c>
      <c r="G673" s="24">
        <f>IF($E$673:$E$673 = 0, "Undefined",$F$673:$F$673*100 / $E$673:$E$673)</f>
        <v>26.315789473684209</v>
      </c>
      <c r="I673" s="25">
        <v>0</v>
      </c>
      <c r="J673" s="24">
        <f>SUM($J$668:$K$668)</f>
        <v>129</v>
      </c>
      <c r="K673" s="24">
        <f>SUM($J$668:$K$668) - $J$668:$J$668</f>
        <v>60</v>
      </c>
      <c r="L673" s="24">
        <f>IF($J$673:$J$673 = 0, "Undefined",$K$673:$K$673*100 / $J$673:$J$673)</f>
        <v>46.511627906976742</v>
      </c>
    </row>
    <row r="674" spans="2:12" ht="13.8" x14ac:dyDescent="0.3">
      <c r="D674" s="25">
        <v>1</v>
      </c>
      <c r="E674" s="24">
        <f>SUM($E$669:$F$669)</f>
        <v>429</v>
      </c>
      <c r="F674" s="24">
        <f>SUM($E$669:$F$669) - $F$669:$F$669</f>
        <v>57</v>
      </c>
      <c r="G674" s="24">
        <f>IF($E$674:$E$674 = 0, "Undefined",$F$674:$F$674*100 / $E$674:$E$674)</f>
        <v>13.286713286713287</v>
      </c>
      <c r="I674" s="25">
        <v>1</v>
      </c>
      <c r="J674" s="24">
        <f>SUM($J$669:$K$669)</f>
        <v>271</v>
      </c>
      <c r="K674" s="24">
        <f>SUM($J$669:$K$669) - $K$669:$K$669</f>
        <v>55</v>
      </c>
      <c r="L674" s="24">
        <f>IF($J$674:$J$674 = 0, "Undefined",$K$674:$K$674*100 / $J$674:$J$674)</f>
        <v>20.29520295202952</v>
      </c>
    </row>
    <row r="675" spans="2:12" ht="13.8" x14ac:dyDescent="0.3">
      <c r="D675" s="25" t="s">
        <v>336</v>
      </c>
      <c r="E675" s="24">
        <f>SUM($E$673:$E$674)</f>
        <v>600</v>
      </c>
      <c r="F675" s="24">
        <f>SUM($F$673:$F$674)</f>
        <v>102</v>
      </c>
      <c r="G675" s="24">
        <f>IF($E$675:$E$675 = 0, "Undefined",$F$675:$F$675*100 / $E$675:$E$675)</f>
        <v>17</v>
      </c>
      <c r="I675" s="25" t="s">
        <v>336</v>
      </c>
      <c r="J675" s="24">
        <f>SUM($J$673:$J$674)</f>
        <v>400</v>
      </c>
      <c r="K675" s="24">
        <f>SUM($K$673:$K$674)</f>
        <v>115</v>
      </c>
      <c r="L675" s="24">
        <f>IF($J$675:$J$675 = 0, "Undefined",$K$675:$K$675*100 / $J$675:$J$675)</f>
        <v>28.75</v>
      </c>
    </row>
    <row r="677" spans="2:12" ht="15.6" x14ac:dyDescent="0.3">
      <c r="B677" s="28" t="s">
        <v>380</v>
      </c>
      <c r="D677" s="59" t="s">
        <v>329</v>
      </c>
      <c r="E677" s="60"/>
      <c r="F677" s="61"/>
      <c r="I677" s="59" t="s">
        <v>329</v>
      </c>
      <c r="J677" s="60"/>
      <c r="K677" s="61"/>
    </row>
    <row r="678" spans="2:12" ht="13.8" x14ac:dyDescent="0.3">
      <c r="D678" s="26"/>
      <c r="E678" s="75" t="s">
        <v>330</v>
      </c>
      <c r="F678" s="76"/>
      <c r="I678" s="26"/>
      <c r="J678" s="75" t="s">
        <v>330</v>
      </c>
      <c r="K678" s="76"/>
    </row>
    <row r="679" spans="2:12" ht="13.8" x14ac:dyDescent="0.3">
      <c r="D679" s="25" t="s">
        <v>331</v>
      </c>
      <c r="E679" s="26">
        <v>0</v>
      </c>
      <c r="F679" s="26">
        <v>1</v>
      </c>
      <c r="I679" s="25" t="s">
        <v>331</v>
      </c>
      <c r="J679" s="26">
        <v>0</v>
      </c>
      <c r="K679" s="26">
        <v>1</v>
      </c>
    </row>
    <row r="680" spans="2:12" ht="13.8" x14ac:dyDescent="0.3">
      <c r="D680" s="25">
        <v>0</v>
      </c>
      <c r="E680" s="24">
        <v>132</v>
      </c>
      <c r="F680" s="24">
        <v>39</v>
      </c>
      <c r="I680" s="25">
        <v>0</v>
      </c>
      <c r="J680" s="24">
        <v>72</v>
      </c>
      <c r="K680" s="24">
        <v>57</v>
      </c>
    </row>
    <row r="681" spans="2:12" ht="13.8" x14ac:dyDescent="0.3">
      <c r="D681" s="25">
        <v>1</v>
      </c>
      <c r="E681" s="24">
        <v>59</v>
      </c>
      <c r="F681" s="24">
        <v>370</v>
      </c>
      <c r="I681" s="25">
        <v>1</v>
      </c>
      <c r="J681" s="24">
        <v>54</v>
      </c>
      <c r="K681" s="24">
        <v>217</v>
      </c>
    </row>
    <row r="683" spans="2:12" ht="15.6" x14ac:dyDescent="0.3">
      <c r="D683" s="59" t="s">
        <v>210</v>
      </c>
      <c r="E683" s="60"/>
      <c r="F683" s="60"/>
      <c r="G683" s="61"/>
      <c r="I683" s="59" t="s">
        <v>210</v>
      </c>
      <c r="J683" s="60"/>
      <c r="K683" s="60"/>
      <c r="L683" s="61"/>
    </row>
    <row r="684" spans="2:12" ht="13.8" x14ac:dyDescent="0.3">
      <c r="D684" s="26" t="s">
        <v>332</v>
      </c>
      <c r="E684" s="26" t="s">
        <v>333</v>
      </c>
      <c r="F684" s="26" t="s">
        <v>334</v>
      </c>
      <c r="G684" s="26" t="s">
        <v>335</v>
      </c>
      <c r="I684" s="26" t="s">
        <v>332</v>
      </c>
      <c r="J684" s="26" t="s">
        <v>333</v>
      </c>
      <c r="K684" s="26" t="s">
        <v>334</v>
      </c>
      <c r="L684" s="26" t="s">
        <v>335</v>
      </c>
    </row>
    <row r="685" spans="2:12" ht="13.8" x14ac:dyDescent="0.3">
      <c r="D685" s="25">
        <v>0</v>
      </c>
      <c r="E685" s="24">
        <f>SUM($E$680:$F$680)</f>
        <v>171</v>
      </c>
      <c r="F685" s="24">
        <f>SUM($E$680:$F$680) - $E$680:$E$680</f>
        <v>39</v>
      </c>
      <c r="G685" s="24">
        <f>IF($E$685:$E$685 = 0, "Undefined",$F$685:$F$685*100 / $E$685:$E$685)</f>
        <v>22.807017543859651</v>
      </c>
      <c r="I685" s="25">
        <v>0</v>
      </c>
      <c r="J685" s="24">
        <f>SUM($J$680:$K$680)</f>
        <v>129</v>
      </c>
      <c r="K685" s="24">
        <f>SUM($J$680:$K$680) - $J$680:$J$680</f>
        <v>57</v>
      </c>
      <c r="L685" s="24">
        <f>IF($J$685:$J$685 = 0, "Undefined",$K$685:$K$685*100 / $J$685:$J$685)</f>
        <v>44.186046511627907</v>
      </c>
    </row>
    <row r="686" spans="2:12" ht="13.8" x14ac:dyDescent="0.3">
      <c r="D686" s="25">
        <v>1</v>
      </c>
      <c r="E686" s="24">
        <f>SUM($E$681:$F$681)</f>
        <v>429</v>
      </c>
      <c r="F686" s="24">
        <f>SUM($E$681:$F$681) - $F$681:$F$681</f>
        <v>59</v>
      </c>
      <c r="G686" s="24">
        <f>IF($E$686:$E$686 = 0, "Undefined",$F$686:$F$686*100 / $E$686:$E$686)</f>
        <v>13.752913752913752</v>
      </c>
      <c r="I686" s="25">
        <v>1</v>
      </c>
      <c r="J686" s="24">
        <f>SUM($J$681:$K$681)</f>
        <v>271</v>
      </c>
      <c r="K686" s="24">
        <f>SUM($J$681:$K$681) - $K$681:$K$681</f>
        <v>54</v>
      </c>
      <c r="L686" s="24">
        <f>IF($J$686:$J$686 = 0, "Undefined",$K$686:$K$686*100 / $J$686:$J$686)</f>
        <v>19.926199261992618</v>
      </c>
    </row>
    <row r="687" spans="2:12" ht="13.8" x14ac:dyDescent="0.3">
      <c r="D687" s="25" t="s">
        <v>336</v>
      </c>
      <c r="E687" s="24">
        <f>SUM($E$685:$E$686)</f>
        <v>600</v>
      </c>
      <c r="F687" s="24">
        <f>SUM($F$685:$F$686)</f>
        <v>98</v>
      </c>
      <c r="G687" s="24">
        <f>IF($E$687:$E$687 = 0, "Undefined",$F$687:$F$687*100 / $E$687:$E$687)</f>
        <v>16.333333333333332</v>
      </c>
      <c r="I687" s="25" t="s">
        <v>336</v>
      </c>
      <c r="J687" s="24">
        <f>SUM($J$685:$J$686)</f>
        <v>400</v>
      </c>
      <c r="K687" s="24">
        <f>SUM($K$685:$K$686)</f>
        <v>111</v>
      </c>
      <c r="L687" s="24">
        <f>IF($J$687:$J$687 = 0, "Undefined",$K$687:$K$687*100 / $J$687:$J$687)</f>
        <v>27.75</v>
      </c>
    </row>
    <row r="689" spans="2:12" ht="15.6" x14ac:dyDescent="0.3">
      <c r="B689" s="28" t="s">
        <v>381</v>
      </c>
      <c r="D689" s="59" t="s">
        <v>329</v>
      </c>
      <c r="E689" s="60"/>
      <c r="F689" s="61"/>
      <c r="I689" s="59" t="s">
        <v>329</v>
      </c>
      <c r="J689" s="60"/>
      <c r="K689" s="61"/>
    </row>
    <row r="690" spans="2:12" ht="13.8" x14ac:dyDescent="0.3">
      <c r="D690" s="26"/>
      <c r="E690" s="75" t="s">
        <v>330</v>
      </c>
      <c r="F690" s="76"/>
      <c r="I690" s="26"/>
      <c r="J690" s="75" t="s">
        <v>330</v>
      </c>
      <c r="K690" s="76"/>
    </row>
    <row r="691" spans="2:12" ht="13.8" x14ac:dyDescent="0.3">
      <c r="D691" s="25" t="s">
        <v>331</v>
      </c>
      <c r="E691" s="26">
        <v>0</v>
      </c>
      <c r="F691" s="26">
        <v>1</v>
      </c>
      <c r="I691" s="25" t="s">
        <v>331</v>
      </c>
      <c r="J691" s="26">
        <v>0</v>
      </c>
      <c r="K691" s="26">
        <v>1</v>
      </c>
    </row>
    <row r="692" spans="2:12" ht="13.8" x14ac:dyDescent="0.3">
      <c r="D692" s="25">
        <v>0</v>
      </c>
      <c r="E692" s="24">
        <v>129</v>
      </c>
      <c r="F692" s="24">
        <v>42</v>
      </c>
      <c r="I692" s="25">
        <v>0</v>
      </c>
      <c r="J692" s="24">
        <v>73</v>
      </c>
      <c r="K692" s="24">
        <v>56</v>
      </c>
    </row>
    <row r="693" spans="2:12" ht="13.8" x14ac:dyDescent="0.3">
      <c r="D693" s="25">
        <v>1</v>
      </c>
      <c r="E693" s="24">
        <v>58</v>
      </c>
      <c r="F693" s="24">
        <v>371</v>
      </c>
      <c r="I693" s="25">
        <v>1</v>
      </c>
      <c r="J693" s="24">
        <v>57</v>
      </c>
      <c r="K693" s="24">
        <v>214</v>
      </c>
    </row>
    <row r="695" spans="2:12" ht="15.6" x14ac:dyDescent="0.3">
      <c r="D695" s="59" t="s">
        <v>210</v>
      </c>
      <c r="E695" s="60"/>
      <c r="F695" s="60"/>
      <c r="G695" s="61"/>
      <c r="I695" s="59" t="s">
        <v>210</v>
      </c>
      <c r="J695" s="60"/>
      <c r="K695" s="60"/>
      <c r="L695" s="61"/>
    </row>
    <row r="696" spans="2:12" ht="13.8" x14ac:dyDescent="0.3">
      <c r="D696" s="26" t="s">
        <v>332</v>
      </c>
      <c r="E696" s="26" t="s">
        <v>333</v>
      </c>
      <c r="F696" s="26" t="s">
        <v>334</v>
      </c>
      <c r="G696" s="26" t="s">
        <v>335</v>
      </c>
      <c r="I696" s="26" t="s">
        <v>332</v>
      </c>
      <c r="J696" s="26" t="s">
        <v>333</v>
      </c>
      <c r="K696" s="26" t="s">
        <v>334</v>
      </c>
      <c r="L696" s="26" t="s">
        <v>335</v>
      </c>
    </row>
    <row r="697" spans="2:12" ht="13.8" x14ac:dyDescent="0.3">
      <c r="D697" s="25">
        <v>0</v>
      </c>
      <c r="E697" s="24">
        <f>SUM($E$692:$F$692)</f>
        <v>171</v>
      </c>
      <c r="F697" s="24">
        <f>SUM($E$692:$F$692) - $E$692:$E$692</f>
        <v>42</v>
      </c>
      <c r="G697" s="24">
        <f>IF($E$697:$E$697 = 0, "Undefined",$F$697:$F$697*100 / $E$697:$E$697)</f>
        <v>24.561403508771932</v>
      </c>
      <c r="I697" s="25">
        <v>0</v>
      </c>
      <c r="J697" s="24">
        <f>SUM($J$692:$K$692)</f>
        <v>129</v>
      </c>
      <c r="K697" s="24">
        <f>SUM($J$692:$K$692) - $J$692:$J$692</f>
        <v>56</v>
      </c>
      <c r="L697" s="24">
        <f>IF($J$697:$J$697 = 0, "Undefined",$K$697:$K$697*100 / $J$697:$J$697)</f>
        <v>43.410852713178294</v>
      </c>
    </row>
    <row r="698" spans="2:12" ht="13.8" x14ac:dyDescent="0.3">
      <c r="D698" s="25">
        <v>1</v>
      </c>
      <c r="E698" s="24">
        <f>SUM($E$693:$F$693)</f>
        <v>429</v>
      </c>
      <c r="F698" s="24">
        <f>SUM($E$693:$F$693) - $F$693:$F$693</f>
        <v>58</v>
      </c>
      <c r="G698" s="24">
        <f>IF($E$698:$E$698 = 0, "Undefined",$F$698:$F$698*100 / $E$698:$E$698)</f>
        <v>13.519813519813519</v>
      </c>
      <c r="I698" s="25">
        <v>1</v>
      </c>
      <c r="J698" s="24">
        <f>SUM($J$693:$K$693)</f>
        <v>271</v>
      </c>
      <c r="K698" s="24">
        <f>SUM($J$693:$K$693) - $K$693:$K$693</f>
        <v>57</v>
      </c>
      <c r="L698" s="24">
        <f>IF($J$698:$J$698 = 0, "Undefined",$K$698:$K$698*100 / $J$698:$J$698)</f>
        <v>21.033210332103319</v>
      </c>
    </row>
    <row r="699" spans="2:12" ht="13.8" x14ac:dyDescent="0.3">
      <c r="D699" s="25" t="s">
        <v>336</v>
      </c>
      <c r="E699" s="24">
        <f>SUM($E$697:$E$698)</f>
        <v>600</v>
      </c>
      <c r="F699" s="24">
        <f>SUM($F$697:$F$698)</f>
        <v>100</v>
      </c>
      <c r="G699" s="24">
        <f>IF($E$699:$E$699 = 0, "Undefined",$F$699:$F$699*100 / $E$699:$E$699)</f>
        <v>16.666666666666668</v>
      </c>
      <c r="I699" s="25" t="s">
        <v>336</v>
      </c>
      <c r="J699" s="24">
        <f>SUM($J$697:$J$698)</f>
        <v>400</v>
      </c>
      <c r="K699" s="24">
        <f>SUM($K$697:$K$698)</f>
        <v>113</v>
      </c>
      <c r="L699" s="24">
        <f>IF($J$699:$J$699 = 0, "Undefined",$K$699:$K$699*100 / $J$699:$J$699)</f>
        <v>28.25</v>
      </c>
    </row>
    <row r="701" spans="2:12" ht="15.6" x14ac:dyDescent="0.3">
      <c r="B701" s="28" t="s">
        <v>382</v>
      </c>
      <c r="D701" s="59" t="s">
        <v>329</v>
      </c>
      <c r="E701" s="60"/>
      <c r="F701" s="61"/>
      <c r="I701" s="59" t="s">
        <v>329</v>
      </c>
      <c r="J701" s="60"/>
      <c r="K701" s="61"/>
    </row>
    <row r="702" spans="2:12" ht="13.8" x14ac:dyDescent="0.3">
      <c r="D702" s="26"/>
      <c r="E702" s="75" t="s">
        <v>330</v>
      </c>
      <c r="F702" s="76"/>
      <c r="I702" s="26"/>
      <c r="J702" s="75" t="s">
        <v>330</v>
      </c>
      <c r="K702" s="76"/>
    </row>
    <row r="703" spans="2:12" ht="13.8" x14ac:dyDescent="0.3">
      <c r="D703" s="25" t="s">
        <v>331</v>
      </c>
      <c r="E703" s="26">
        <v>0</v>
      </c>
      <c r="F703" s="26">
        <v>1</v>
      </c>
      <c r="I703" s="25" t="s">
        <v>331</v>
      </c>
      <c r="J703" s="26">
        <v>0</v>
      </c>
      <c r="K703" s="26">
        <v>1</v>
      </c>
    </row>
    <row r="704" spans="2:12" ht="13.8" x14ac:dyDescent="0.3">
      <c r="D704" s="25">
        <v>0</v>
      </c>
      <c r="E704" s="24">
        <v>132</v>
      </c>
      <c r="F704" s="24">
        <v>39</v>
      </c>
      <c r="I704" s="25">
        <v>0</v>
      </c>
      <c r="J704" s="24">
        <v>72</v>
      </c>
      <c r="K704" s="24">
        <v>57</v>
      </c>
    </row>
    <row r="705" spans="2:12" ht="13.8" x14ac:dyDescent="0.3">
      <c r="D705" s="25">
        <v>1</v>
      </c>
      <c r="E705" s="24">
        <v>60</v>
      </c>
      <c r="F705" s="24">
        <v>369</v>
      </c>
      <c r="I705" s="25">
        <v>1</v>
      </c>
      <c r="J705" s="24">
        <v>54</v>
      </c>
      <c r="K705" s="24">
        <v>217</v>
      </c>
    </row>
    <row r="707" spans="2:12" ht="15.6" x14ac:dyDescent="0.3">
      <c r="D707" s="59" t="s">
        <v>210</v>
      </c>
      <c r="E707" s="60"/>
      <c r="F707" s="60"/>
      <c r="G707" s="61"/>
      <c r="I707" s="59" t="s">
        <v>210</v>
      </c>
      <c r="J707" s="60"/>
      <c r="K707" s="60"/>
      <c r="L707" s="61"/>
    </row>
    <row r="708" spans="2:12" ht="13.8" x14ac:dyDescent="0.3">
      <c r="D708" s="26" t="s">
        <v>332</v>
      </c>
      <c r="E708" s="26" t="s">
        <v>333</v>
      </c>
      <c r="F708" s="26" t="s">
        <v>334</v>
      </c>
      <c r="G708" s="26" t="s">
        <v>335</v>
      </c>
      <c r="I708" s="26" t="s">
        <v>332</v>
      </c>
      <c r="J708" s="26" t="s">
        <v>333</v>
      </c>
      <c r="K708" s="26" t="s">
        <v>334</v>
      </c>
      <c r="L708" s="26" t="s">
        <v>335</v>
      </c>
    </row>
    <row r="709" spans="2:12" ht="13.8" x14ac:dyDescent="0.3">
      <c r="D709" s="25">
        <v>0</v>
      </c>
      <c r="E709" s="24">
        <f>SUM($E$704:$F$704)</f>
        <v>171</v>
      </c>
      <c r="F709" s="24">
        <f>SUM($E$704:$F$704) - $E$704:$E$704</f>
        <v>39</v>
      </c>
      <c r="G709" s="24">
        <f>IF($E$709:$E$709 = 0, "Undefined",$F$709:$F$709*100 / $E$709:$E$709)</f>
        <v>22.807017543859651</v>
      </c>
      <c r="I709" s="25">
        <v>0</v>
      </c>
      <c r="J709" s="24">
        <f>SUM($J$704:$K$704)</f>
        <v>129</v>
      </c>
      <c r="K709" s="24">
        <f>SUM($J$704:$K$704) - $J$704:$J$704</f>
        <v>57</v>
      </c>
      <c r="L709" s="24">
        <f>IF($J$709:$J$709 = 0, "Undefined",$K$709:$K$709*100 / $J$709:$J$709)</f>
        <v>44.186046511627907</v>
      </c>
    </row>
    <row r="710" spans="2:12" ht="13.8" x14ac:dyDescent="0.3">
      <c r="D710" s="25">
        <v>1</v>
      </c>
      <c r="E710" s="24">
        <f>SUM($E$705:$F$705)</f>
        <v>429</v>
      </c>
      <c r="F710" s="24">
        <f>SUM($E$705:$F$705) - $F$705:$F$705</f>
        <v>60</v>
      </c>
      <c r="G710" s="24">
        <f>IF($E$710:$E$710 = 0, "Undefined",$F$710:$F$710*100 / $E$710:$E$710)</f>
        <v>13.986013986013987</v>
      </c>
      <c r="I710" s="25">
        <v>1</v>
      </c>
      <c r="J710" s="24">
        <f>SUM($J$705:$K$705)</f>
        <v>271</v>
      </c>
      <c r="K710" s="24">
        <f>SUM($J$705:$K$705) - $K$705:$K$705</f>
        <v>54</v>
      </c>
      <c r="L710" s="24">
        <f>IF($J$710:$J$710 = 0, "Undefined",$K$710:$K$710*100 / $J$710:$J$710)</f>
        <v>19.926199261992618</v>
      </c>
    </row>
    <row r="711" spans="2:12" ht="13.8" x14ac:dyDescent="0.3">
      <c r="D711" s="25" t="s">
        <v>336</v>
      </c>
      <c r="E711" s="24">
        <f>SUM($E$709:$E$710)</f>
        <v>600</v>
      </c>
      <c r="F711" s="24">
        <f>SUM($F$709:$F$710)</f>
        <v>99</v>
      </c>
      <c r="G711" s="24">
        <f>IF($E$711:$E$711 = 0, "Undefined",$F$711:$F$711*100 / $E$711:$E$711)</f>
        <v>16.5</v>
      </c>
      <c r="I711" s="25" t="s">
        <v>336</v>
      </c>
      <c r="J711" s="24">
        <f>SUM($J$709:$J$710)</f>
        <v>400</v>
      </c>
      <c r="K711" s="24">
        <f>SUM($K$709:$K$710)</f>
        <v>111</v>
      </c>
      <c r="L711" s="24">
        <f>IF($J$711:$J$711 = 0, "Undefined",$K$711:$K$711*100 / $J$711:$J$711)</f>
        <v>27.75</v>
      </c>
    </row>
    <row r="713" spans="2:12" ht="15.6" x14ac:dyDescent="0.3">
      <c r="B713" s="28" t="s">
        <v>383</v>
      </c>
      <c r="D713" s="59" t="s">
        <v>329</v>
      </c>
      <c r="E713" s="60"/>
      <c r="F713" s="61"/>
      <c r="I713" s="59" t="s">
        <v>329</v>
      </c>
      <c r="J713" s="60"/>
      <c r="K713" s="61"/>
    </row>
    <row r="714" spans="2:12" ht="13.8" x14ac:dyDescent="0.3">
      <c r="D714" s="26"/>
      <c r="E714" s="75" t="s">
        <v>330</v>
      </c>
      <c r="F714" s="76"/>
      <c r="I714" s="26"/>
      <c r="J714" s="75" t="s">
        <v>330</v>
      </c>
      <c r="K714" s="76"/>
    </row>
    <row r="715" spans="2:12" ht="13.8" x14ac:dyDescent="0.3">
      <c r="D715" s="25" t="s">
        <v>331</v>
      </c>
      <c r="E715" s="26">
        <v>0</v>
      </c>
      <c r="F715" s="26">
        <v>1</v>
      </c>
      <c r="I715" s="25" t="s">
        <v>331</v>
      </c>
      <c r="J715" s="26">
        <v>0</v>
      </c>
      <c r="K715" s="26">
        <v>1</v>
      </c>
    </row>
    <row r="716" spans="2:12" ht="13.8" x14ac:dyDescent="0.3">
      <c r="D716" s="25">
        <v>0</v>
      </c>
      <c r="E716" s="24">
        <v>129</v>
      </c>
      <c r="F716" s="24">
        <v>42</v>
      </c>
      <c r="I716" s="25">
        <v>0</v>
      </c>
      <c r="J716" s="24">
        <v>71</v>
      </c>
      <c r="K716" s="24">
        <v>58</v>
      </c>
    </row>
    <row r="717" spans="2:12" ht="13.8" x14ac:dyDescent="0.3">
      <c r="D717" s="25">
        <v>1</v>
      </c>
      <c r="E717" s="24">
        <v>59</v>
      </c>
      <c r="F717" s="24">
        <v>370</v>
      </c>
      <c r="I717" s="25">
        <v>1</v>
      </c>
      <c r="J717" s="24">
        <v>58</v>
      </c>
      <c r="K717" s="24">
        <v>213</v>
      </c>
    </row>
    <row r="719" spans="2:12" ht="15.6" x14ac:dyDescent="0.3">
      <c r="D719" s="59" t="s">
        <v>210</v>
      </c>
      <c r="E719" s="60"/>
      <c r="F719" s="60"/>
      <c r="G719" s="61"/>
      <c r="I719" s="59" t="s">
        <v>210</v>
      </c>
      <c r="J719" s="60"/>
      <c r="K719" s="60"/>
      <c r="L719" s="61"/>
    </row>
    <row r="720" spans="2:12" ht="13.8" x14ac:dyDescent="0.3">
      <c r="D720" s="26" t="s">
        <v>332</v>
      </c>
      <c r="E720" s="26" t="s">
        <v>333</v>
      </c>
      <c r="F720" s="26" t="s">
        <v>334</v>
      </c>
      <c r="G720" s="26" t="s">
        <v>335</v>
      </c>
      <c r="I720" s="26" t="s">
        <v>332</v>
      </c>
      <c r="J720" s="26" t="s">
        <v>333</v>
      </c>
      <c r="K720" s="26" t="s">
        <v>334</v>
      </c>
      <c r="L720" s="26" t="s">
        <v>335</v>
      </c>
    </row>
    <row r="721" spans="2:12" ht="13.8" x14ac:dyDescent="0.3">
      <c r="D721" s="25">
        <v>0</v>
      </c>
      <c r="E721" s="24">
        <f>SUM($E$716:$F$716)</f>
        <v>171</v>
      </c>
      <c r="F721" s="24">
        <f>SUM($E$716:$F$716) - $E$716:$E$716</f>
        <v>42</v>
      </c>
      <c r="G721" s="24">
        <f>IF($E$721:$E$721 = 0, "Undefined",$F$721:$F$721*100 / $E$721:$E$721)</f>
        <v>24.561403508771932</v>
      </c>
      <c r="I721" s="25">
        <v>0</v>
      </c>
      <c r="J721" s="24">
        <f>SUM($J$716:$K$716)</f>
        <v>129</v>
      </c>
      <c r="K721" s="24">
        <f>SUM($J$716:$K$716) - $J$716:$J$716</f>
        <v>58</v>
      </c>
      <c r="L721" s="24">
        <f>IF($J$721:$J$721 = 0, "Undefined",$K$721:$K$721*100 / $J$721:$J$721)</f>
        <v>44.961240310077521</v>
      </c>
    </row>
    <row r="722" spans="2:12" ht="13.8" x14ac:dyDescent="0.3">
      <c r="D722" s="25">
        <v>1</v>
      </c>
      <c r="E722" s="24">
        <f>SUM($E$717:$F$717)</f>
        <v>429</v>
      </c>
      <c r="F722" s="24">
        <f>SUM($E$717:$F$717) - $F$717:$F$717</f>
        <v>59</v>
      </c>
      <c r="G722" s="24">
        <f>IF($E$722:$E$722 = 0, "Undefined",$F$722:$F$722*100 / $E$722:$E$722)</f>
        <v>13.752913752913752</v>
      </c>
      <c r="I722" s="25">
        <v>1</v>
      </c>
      <c r="J722" s="24">
        <f>SUM($J$717:$K$717)</f>
        <v>271</v>
      </c>
      <c r="K722" s="24">
        <f>SUM($J$717:$K$717) - $K$717:$K$717</f>
        <v>58</v>
      </c>
      <c r="L722" s="24">
        <f>IF($J$722:$J$722 = 0, "Undefined",$K$722:$K$722*100 / $J$722:$J$722)</f>
        <v>21.402214022140221</v>
      </c>
    </row>
    <row r="723" spans="2:12" ht="13.8" x14ac:dyDescent="0.3">
      <c r="D723" s="25" t="s">
        <v>336</v>
      </c>
      <c r="E723" s="24">
        <f>SUM($E$721:$E$722)</f>
        <v>600</v>
      </c>
      <c r="F723" s="24">
        <f>SUM($F$721:$F$722)</f>
        <v>101</v>
      </c>
      <c r="G723" s="24">
        <f>IF($E$723:$E$723 = 0, "Undefined",$F$723:$F$723*100 / $E$723:$E$723)</f>
        <v>16.833333333333332</v>
      </c>
      <c r="I723" s="25" t="s">
        <v>336</v>
      </c>
      <c r="J723" s="24">
        <f>SUM($J$721:$J$722)</f>
        <v>400</v>
      </c>
      <c r="K723" s="24">
        <f>SUM($K$721:$K$722)</f>
        <v>116</v>
      </c>
      <c r="L723" s="24">
        <f>IF($J$723:$J$723 = 0, "Undefined",$K$723:$K$723*100 / $J$723:$J$723)</f>
        <v>29</v>
      </c>
    </row>
    <row r="725" spans="2:12" ht="15.6" x14ac:dyDescent="0.3">
      <c r="B725" s="28" t="s">
        <v>384</v>
      </c>
      <c r="D725" s="59" t="s">
        <v>329</v>
      </c>
      <c r="E725" s="60"/>
      <c r="F725" s="61"/>
      <c r="I725" s="59" t="s">
        <v>329</v>
      </c>
      <c r="J725" s="60"/>
      <c r="K725" s="61"/>
    </row>
    <row r="726" spans="2:12" ht="13.8" x14ac:dyDescent="0.3">
      <c r="D726" s="26"/>
      <c r="E726" s="75" t="s">
        <v>330</v>
      </c>
      <c r="F726" s="76"/>
      <c r="I726" s="26"/>
      <c r="J726" s="75" t="s">
        <v>330</v>
      </c>
      <c r="K726" s="76"/>
    </row>
    <row r="727" spans="2:12" ht="13.8" x14ac:dyDescent="0.3">
      <c r="D727" s="25" t="s">
        <v>331</v>
      </c>
      <c r="E727" s="26">
        <v>0</v>
      </c>
      <c r="F727" s="26">
        <v>1</v>
      </c>
      <c r="I727" s="25" t="s">
        <v>331</v>
      </c>
      <c r="J727" s="26">
        <v>0</v>
      </c>
      <c r="K727" s="26">
        <v>1</v>
      </c>
    </row>
    <row r="728" spans="2:12" ht="13.8" x14ac:dyDescent="0.3">
      <c r="D728" s="25">
        <v>0</v>
      </c>
      <c r="E728" s="24">
        <v>129</v>
      </c>
      <c r="F728" s="24">
        <v>42</v>
      </c>
      <c r="I728" s="25">
        <v>0</v>
      </c>
      <c r="J728" s="24">
        <v>71</v>
      </c>
      <c r="K728" s="24">
        <v>58</v>
      </c>
    </row>
    <row r="729" spans="2:12" ht="13.8" x14ac:dyDescent="0.3">
      <c r="D729" s="25">
        <v>1</v>
      </c>
      <c r="E729" s="24">
        <v>59</v>
      </c>
      <c r="F729" s="24">
        <v>370</v>
      </c>
      <c r="I729" s="25">
        <v>1</v>
      </c>
      <c r="J729" s="24">
        <v>57</v>
      </c>
      <c r="K729" s="24">
        <v>214</v>
      </c>
    </row>
    <row r="731" spans="2:12" ht="15.6" x14ac:dyDescent="0.3">
      <c r="D731" s="59" t="s">
        <v>210</v>
      </c>
      <c r="E731" s="60"/>
      <c r="F731" s="60"/>
      <c r="G731" s="61"/>
      <c r="I731" s="59" t="s">
        <v>210</v>
      </c>
      <c r="J731" s="60"/>
      <c r="K731" s="60"/>
      <c r="L731" s="61"/>
    </row>
    <row r="732" spans="2:12" ht="13.8" x14ac:dyDescent="0.3">
      <c r="D732" s="26" t="s">
        <v>332</v>
      </c>
      <c r="E732" s="26" t="s">
        <v>333</v>
      </c>
      <c r="F732" s="26" t="s">
        <v>334</v>
      </c>
      <c r="G732" s="26" t="s">
        <v>335</v>
      </c>
      <c r="I732" s="26" t="s">
        <v>332</v>
      </c>
      <c r="J732" s="26" t="s">
        <v>333</v>
      </c>
      <c r="K732" s="26" t="s">
        <v>334</v>
      </c>
      <c r="L732" s="26" t="s">
        <v>335</v>
      </c>
    </row>
    <row r="733" spans="2:12" ht="13.8" x14ac:dyDescent="0.3">
      <c r="D733" s="25">
        <v>0</v>
      </c>
      <c r="E733" s="24">
        <f>SUM($E$728:$F$728)</f>
        <v>171</v>
      </c>
      <c r="F733" s="24">
        <f>SUM($E$728:$F$728) - $E$728:$E$728</f>
        <v>42</v>
      </c>
      <c r="G733" s="24">
        <f>IF($E$733:$E$733 = 0, "Undefined",$F$733:$F$733*100 / $E$733:$E$733)</f>
        <v>24.561403508771932</v>
      </c>
      <c r="I733" s="25">
        <v>0</v>
      </c>
      <c r="J733" s="24">
        <f>SUM($J$728:$K$728)</f>
        <v>129</v>
      </c>
      <c r="K733" s="24">
        <f>SUM($J$728:$K$728) - $J$728:$J$728</f>
        <v>58</v>
      </c>
      <c r="L733" s="24">
        <f>IF($J$733:$J$733 = 0, "Undefined",$K$733:$K$733*100 / $J$733:$J$733)</f>
        <v>44.961240310077521</v>
      </c>
    </row>
    <row r="734" spans="2:12" ht="13.8" x14ac:dyDescent="0.3">
      <c r="D734" s="25">
        <v>1</v>
      </c>
      <c r="E734" s="24">
        <f>SUM($E$729:$F$729)</f>
        <v>429</v>
      </c>
      <c r="F734" s="24">
        <f>SUM($E$729:$F$729) - $F$729:$F$729</f>
        <v>59</v>
      </c>
      <c r="G734" s="24">
        <f>IF($E$734:$E$734 = 0, "Undefined",$F$734:$F$734*100 / $E$734:$E$734)</f>
        <v>13.752913752913752</v>
      </c>
      <c r="I734" s="25">
        <v>1</v>
      </c>
      <c r="J734" s="24">
        <f>SUM($J$729:$K$729)</f>
        <v>271</v>
      </c>
      <c r="K734" s="24">
        <f>SUM($J$729:$K$729) - $K$729:$K$729</f>
        <v>57</v>
      </c>
      <c r="L734" s="24">
        <f>IF($J$734:$J$734 = 0, "Undefined",$K$734:$K$734*100 / $J$734:$J$734)</f>
        <v>21.033210332103319</v>
      </c>
    </row>
    <row r="735" spans="2:12" ht="13.8" x14ac:dyDescent="0.3">
      <c r="D735" s="25" t="s">
        <v>336</v>
      </c>
      <c r="E735" s="24">
        <f>SUM($E$733:$E$734)</f>
        <v>600</v>
      </c>
      <c r="F735" s="24">
        <f>SUM($F$733:$F$734)</f>
        <v>101</v>
      </c>
      <c r="G735" s="24">
        <f>IF($E$735:$E$735 = 0, "Undefined",$F$735:$F$735*100 / $E$735:$E$735)</f>
        <v>16.833333333333332</v>
      </c>
      <c r="I735" s="25" t="s">
        <v>336</v>
      </c>
      <c r="J735" s="24">
        <f>SUM($J$733:$J$734)</f>
        <v>400</v>
      </c>
      <c r="K735" s="24">
        <f>SUM($K$733:$K$734)</f>
        <v>115</v>
      </c>
      <c r="L735" s="24">
        <f>IF($J$735:$J$735 = 0, "Undefined",$K$735:$K$735*100 / $J$735:$J$735)</f>
        <v>28.75</v>
      </c>
    </row>
    <row r="737" spans="2:12" ht="15.6" x14ac:dyDescent="0.3">
      <c r="B737" s="28" t="s">
        <v>385</v>
      </c>
      <c r="D737" s="59" t="s">
        <v>329</v>
      </c>
      <c r="E737" s="60"/>
      <c r="F737" s="61"/>
      <c r="I737" s="59" t="s">
        <v>329</v>
      </c>
      <c r="J737" s="60"/>
      <c r="K737" s="61"/>
    </row>
    <row r="738" spans="2:12" ht="13.8" x14ac:dyDescent="0.3">
      <c r="D738" s="26"/>
      <c r="E738" s="75" t="s">
        <v>330</v>
      </c>
      <c r="F738" s="76"/>
      <c r="I738" s="26"/>
      <c r="J738" s="75" t="s">
        <v>330</v>
      </c>
      <c r="K738" s="76"/>
    </row>
    <row r="739" spans="2:12" ht="13.8" x14ac:dyDescent="0.3">
      <c r="D739" s="25" t="s">
        <v>331</v>
      </c>
      <c r="E739" s="26">
        <v>0</v>
      </c>
      <c r="F739" s="26">
        <v>1</v>
      </c>
      <c r="I739" s="25" t="s">
        <v>331</v>
      </c>
      <c r="J739" s="26">
        <v>0</v>
      </c>
      <c r="K739" s="26">
        <v>1</v>
      </c>
    </row>
    <row r="740" spans="2:12" ht="13.8" x14ac:dyDescent="0.3">
      <c r="D740" s="25">
        <v>0</v>
      </c>
      <c r="E740" s="24">
        <v>131</v>
      </c>
      <c r="F740" s="24">
        <v>40</v>
      </c>
      <c r="I740" s="25">
        <v>0</v>
      </c>
      <c r="J740" s="24">
        <v>70</v>
      </c>
      <c r="K740" s="24">
        <v>59</v>
      </c>
    </row>
    <row r="741" spans="2:12" ht="13.8" x14ac:dyDescent="0.3">
      <c r="D741" s="25">
        <v>1</v>
      </c>
      <c r="E741" s="24">
        <v>58</v>
      </c>
      <c r="F741" s="24">
        <v>371</v>
      </c>
      <c r="I741" s="25">
        <v>1</v>
      </c>
      <c r="J741" s="24">
        <v>55</v>
      </c>
      <c r="K741" s="24">
        <v>216</v>
      </c>
    </row>
    <row r="743" spans="2:12" ht="15.6" x14ac:dyDescent="0.3">
      <c r="D743" s="59" t="s">
        <v>210</v>
      </c>
      <c r="E743" s="60"/>
      <c r="F743" s="60"/>
      <c r="G743" s="61"/>
      <c r="I743" s="59" t="s">
        <v>210</v>
      </c>
      <c r="J743" s="60"/>
      <c r="K743" s="60"/>
      <c r="L743" s="61"/>
    </row>
    <row r="744" spans="2:12" ht="13.8" x14ac:dyDescent="0.3">
      <c r="D744" s="26" t="s">
        <v>332</v>
      </c>
      <c r="E744" s="26" t="s">
        <v>333</v>
      </c>
      <c r="F744" s="26" t="s">
        <v>334</v>
      </c>
      <c r="G744" s="26" t="s">
        <v>335</v>
      </c>
      <c r="I744" s="26" t="s">
        <v>332</v>
      </c>
      <c r="J744" s="26" t="s">
        <v>333</v>
      </c>
      <c r="K744" s="26" t="s">
        <v>334</v>
      </c>
      <c r="L744" s="26" t="s">
        <v>335</v>
      </c>
    </row>
    <row r="745" spans="2:12" ht="13.8" x14ac:dyDescent="0.3">
      <c r="D745" s="25">
        <v>0</v>
      </c>
      <c r="E745" s="24">
        <f>SUM($E$740:$F$740)</f>
        <v>171</v>
      </c>
      <c r="F745" s="24">
        <f>SUM($E$740:$F$740) - $E$740:$E$740</f>
        <v>40</v>
      </c>
      <c r="G745" s="24">
        <f>IF($E$745:$E$745 = 0, "Undefined",$F$745:$F$745*100 / $E$745:$E$745)</f>
        <v>23.391812865497077</v>
      </c>
      <c r="I745" s="25">
        <v>0</v>
      </c>
      <c r="J745" s="24">
        <f>SUM($J$740:$K$740)</f>
        <v>129</v>
      </c>
      <c r="K745" s="24">
        <f>SUM($J$740:$K$740) - $J$740:$J$740</f>
        <v>59</v>
      </c>
      <c r="L745" s="24">
        <f>IF($J$745:$J$745 = 0, "Undefined",$K$745:$K$745*100 / $J$745:$J$745)</f>
        <v>45.736434108527135</v>
      </c>
    </row>
    <row r="746" spans="2:12" ht="13.8" x14ac:dyDescent="0.3">
      <c r="D746" s="25">
        <v>1</v>
      </c>
      <c r="E746" s="24">
        <f>SUM($E$741:$F$741)</f>
        <v>429</v>
      </c>
      <c r="F746" s="24">
        <f>SUM($E$741:$F$741) - $F$741:$F$741</f>
        <v>58</v>
      </c>
      <c r="G746" s="24">
        <f>IF($E$746:$E$746 = 0, "Undefined",$F$746:$F$746*100 / $E$746:$E$746)</f>
        <v>13.519813519813519</v>
      </c>
      <c r="I746" s="25">
        <v>1</v>
      </c>
      <c r="J746" s="24">
        <f>SUM($J$741:$K$741)</f>
        <v>271</v>
      </c>
      <c r="K746" s="24">
        <f>SUM($J$741:$K$741) - $K$741:$K$741</f>
        <v>55</v>
      </c>
      <c r="L746" s="24">
        <f>IF($J$746:$J$746 = 0, "Undefined",$K$746:$K$746*100 / $J$746:$J$746)</f>
        <v>20.29520295202952</v>
      </c>
    </row>
    <row r="747" spans="2:12" ht="13.8" x14ac:dyDescent="0.3">
      <c r="D747" s="25" t="s">
        <v>336</v>
      </c>
      <c r="E747" s="24">
        <f>SUM($E$745:$E$746)</f>
        <v>600</v>
      </c>
      <c r="F747" s="24">
        <f>SUM($F$745:$F$746)</f>
        <v>98</v>
      </c>
      <c r="G747" s="24">
        <f>IF($E$747:$E$747 = 0, "Undefined",$F$747:$F$747*100 / $E$747:$E$747)</f>
        <v>16.333333333333332</v>
      </c>
      <c r="I747" s="25" t="s">
        <v>336</v>
      </c>
      <c r="J747" s="24">
        <f>SUM($J$745:$J$746)</f>
        <v>400</v>
      </c>
      <c r="K747" s="24">
        <f>SUM($K$745:$K$746)</f>
        <v>114</v>
      </c>
      <c r="L747" s="24">
        <f>IF($J$747:$J$747 = 0, "Undefined",$K$747:$K$747*100 / $J$747:$J$747)</f>
        <v>28.5</v>
      </c>
    </row>
    <row r="749" spans="2:12" ht="15.6" x14ac:dyDescent="0.3">
      <c r="B749" s="28" t="s">
        <v>386</v>
      </c>
      <c r="D749" s="59" t="s">
        <v>329</v>
      </c>
      <c r="E749" s="60"/>
      <c r="F749" s="61"/>
      <c r="I749" s="59" t="s">
        <v>329</v>
      </c>
      <c r="J749" s="60"/>
      <c r="K749" s="61"/>
    </row>
    <row r="750" spans="2:12" ht="13.8" x14ac:dyDescent="0.3">
      <c r="D750" s="26"/>
      <c r="E750" s="75" t="s">
        <v>330</v>
      </c>
      <c r="F750" s="76"/>
      <c r="I750" s="26"/>
      <c r="J750" s="75" t="s">
        <v>330</v>
      </c>
      <c r="K750" s="76"/>
    </row>
    <row r="751" spans="2:12" ht="13.8" x14ac:dyDescent="0.3">
      <c r="D751" s="25" t="s">
        <v>331</v>
      </c>
      <c r="E751" s="26">
        <v>0</v>
      </c>
      <c r="F751" s="26">
        <v>1</v>
      </c>
      <c r="I751" s="25" t="s">
        <v>331</v>
      </c>
      <c r="J751" s="26">
        <v>0</v>
      </c>
      <c r="K751" s="26">
        <v>1</v>
      </c>
    </row>
    <row r="752" spans="2:12" ht="13.8" x14ac:dyDescent="0.3">
      <c r="D752" s="25">
        <v>0</v>
      </c>
      <c r="E752" s="24">
        <v>128</v>
      </c>
      <c r="F752" s="24">
        <v>43</v>
      </c>
      <c r="I752" s="25">
        <v>0</v>
      </c>
      <c r="J752" s="24">
        <v>70</v>
      </c>
      <c r="K752" s="24">
        <v>59</v>
      </c>
    </row>
    <row r="753" spans="2:12" ht="13.8" x14ac:dyDescent="0.3">
      <c r="D753" s="25">
        <v>1</v>
      </c>
      <c r="E753" s="24">
        <v>60</v>
      </c>
      <c r="F753" s="24">
        <v>369</v>
      </c>
      <c r="I753" s="25">
        <v>1</v>
      </c>
      <c r="J753" s="24">
        <v>58</v>
      </c>
      <c r="K753" s="24">
        <v>213</v>
      </c>
    </row>
    <row r="755" spans="2:12" ht="15.6" x14ac:dyDescent="0.3">
      <c r="D755" s="59" t="s">
        <v>210</v>
      </c>
      <c r="E755" s="60"/>
      <c r="F755" s="60"/>
      <c r="G755" s="61"/>
      <c r="I755" s="59" t="s">
        <v>210</v>
      </c>
      <c r="J755" s="60"/>
      <c r="K755" s="60"/>
      <c r="L755" s="61"/>
    </row>
    <row r="756" spans="2:12" ht="13.8" x14ac:dyDescent="0.3">
      <c r="D756" s="26" t="s">
        <v>332</v>
      </c>
      <c r="E756" s="26" t="s">
        <v>333</v>
      </c>
      <c r="F756" s="26" t="s">
        <v>334</v>
      </c>
      <c r="G756" s="26" t="s">
        <v>335</v>
      </c>
      <c r="I756" s="26" t="s">
        <v>332</v>
      </c>
      <c r="J756" s="26" t="s">
        <v>333</v>
      </c>
      <c r="K756" s="26" t="s">
        <v>334</v>
      </c>
      <c r="L756" s="26" t="s">
        <v>335</v>
      </c>
    </row>
    <row r="757" spans="2:12" ht="13.8" x14ac:dyDescent="0.3">
      <c r="D757" s="25">
        <v>0</v>
      </c>
      <c r="E757" s="24">
        <f>SUM($E$752:$F$752)</f>
        <v>171</v>
      </c>
      <c r="F757" s="24">
        <f>SUM($E$752:$F$752) - $E$752:$E$752</f>
        <v>43</v>
      </c>
      <c r="G757" s="24">
        <f>IF($E$757:$E$757 = 0, "Undefined",$F$757:$F$757*100 / $E$757:$E$757)</f>
        <v>25.146198830409357</v>
      </c>
      <c r="I757" s="25">
        <v>0</v>
      </c>
      <c r="J757" s="24">
        <f>SUM($J$752:$K$752)</f>
        <v>129</v>
      </c>
      <c r="K757" s="24">
        <f>SUM($J$752:$K$752) - $J$752:$J$752</f>
        <v>59</v>
      </c>
      <c r="L757" s="24">
        <f>IF($J$757:$J$757 = 0, "Undefined",$K$757:$K$757*100 / $J$757:$J$757)</f>
        <v>45.736434108527135</v>
      </c>
    </row>
    <row r="758" spans="2:12" ht="13.8" x14ac:dyDescent="0.3">
      <c r="D758" s="25">
        <v>1</v>
      </c>
      <c r="E758" s="24">
        <f>SUM($E$753:$F$753)</f>
        <v>429</v>
      </c>
      <c r="F758" s="24">
        <f>SUM($E$753:$F$753) - $F$753:$F$753</f>
        <v>60</v>
      </c>
      <c r="G758" s="24">
        <f>IF($E$758:$E$758 = 0, "Undefined",$F$758:$F$758*100 / $E$758:$E$758)</f>
        <v>13.986013986013987</v>
      </c>
      <c r="I758" s="25">
        <v>1</v>
      </c>
      <c r="J758" s="24">
        <f>SUM($J$753:$K$753)</f>
        <v>271</v>
      </c>
      <c r="K758" s="24">
        <f>SUM($J$753:$K$753) - $K$753:$K$753</f>
        <v>58</v>
      </c>
      <c r="L758" s="24">
        <f>IF($J$758:$J$758 = 0, "Undefined",$K$758:$K$758*100 / $J$758:$J$758)</f>
        <v>21.402214022140221</v>
      </c>
    </row>
    <row r="759" spans="2:12" ht="13.8" x14ac:dyDescent="0.3">
      <c r="D759" s="25" t="s">
        <v>336</v>
      </c>
      <c r="E759" s="24">
        <f>SUM($E$757:$E$758)</f>
        <v>600</v>
      </c>
      <c r="F759" s="24">
        <f>SUM($F$757:$F$758)</f>
        <v>103</v>
      </c>
      <c r="G759" s="24">
        <f>IF($E$759:$E$759 = 0, "Undefined",$F$759:$F$759*100 / $E$759:$E$759)</f>
        <v>17.166666666666668</v>
      </c>
      <c r="I759" s="25" t="s">
        <v>336</v>
      </c>
      <c r="J759" s="24">
        <f>SUM($J$757:$J$758)</f>
        <v>400</v>
      </c>
      <c r="K759" s="24">
        <f>SUM($K$757:$K$758)</f>
        <v>117</v>
      </c>
      <c r="L759" s="24">
        <f>IF($J$759:$J$759 = 0, "Undefined",$K$759:$K$759*100 / $J$759:$J$759)</f>
        <v>29.25</v>
      </c>
    </row>
    <row r="761" spans="2:12" ht="15.6" x14ac:dyDescent="0.3">
      <c r="B761" s="28" t="s">
        <v>387</v>
      </c>
      <c r="D761" s="59" t="s">
        <v>329</v>
      </c>
      <c r="E761" s="60"/>
      <c r="F761" s="61"/>
      <c r="I761" s="59" t="s">
        <v>329</v>
      </c>
      <c r="J761" s="60"/>
      <c r="K761" s="61"/>
    </row>
    <row r="762" spans="2:12" ht="13.8" x14ac:dyDescent="0.3">
      <c r="D762" s="26"/>
      <c r="E762" s="75" t="s">
        <v>330</v>
      </c>
      <c r="F762" s="76"/>
      <c r="I762" s="26"/>
      <c r="J762" s="75" t="s">
        <v>330</v>
      </c>
      <c r="K762" s="76"/>
    </row>
    <row r="763" spans="2:12" ht="13.8" x14ac:dyDescent="0.3">
      <c r="D763" s="25" t="s">
        <v>331</v>
      </c>
      <c r="E763" s="26">
        <v>0</v>
      </c>
      <c r="F763" s="26">
        <v>1</v>
      </c>
      <c r="I763" s="25" t="s">
        <v>331</v>
      </c>
      <c r="J763" s="26">
        <v>0</v>
      </c>
      <c r="K763" s="26">
        <v>1</v>
      </c>
    </row>
    <row r="764" spans="2:12" ht="13.8" x14ac:dyDescent="0.3">
      <c r="D764" s="25">
        <v>0</v>
      </c>
      <c r="E764" s="24">
        <v>130</v>
      </c>
      <c r="F764" s="24">
        <v>41</v>
      </c>
      <c r="I764" s="25">
        <v>0</v>
      </c>
      <c r="J764" s="24">
        <v>71</v>
      </c>
      <c r="K764" s="24">
        <v>58</v>
      </c>
    </row>
    <row r="765" spans="2:12" ht="13.8" x14ac:dyDescent="0.3">
      <c r="D765" s="25">
        <v>1</v>
      </c>
      <c r="E765" s="24">
        <v>60</v>
      </c>
      <c r="F765" s="24">
        <v>369</v>
      </c>
      <c r="I765" s="25">
        <v>1</v>
      </c>
      <c r="J765" s="24">
        <v>61</v>
      </c>
      <c r="K765" s="24">
        <v>210</v>
      </c>
    </row>
    <row r="767" spans="2:12" ht="15.6" x14ac:dyDescent="0.3">
      <c r="D767" s="59" t="s">
        <v>210</v>
      </c>
      <c r="E767" s="60"/>
      <c r="F767" s="60"/>
      <c r="G767" s="61"/>
      <c r="I767" s="59" t="s">
        <v>210</v>
      </c>
      <c r="J767" s="60"/>
      <c r="K767" s="60"/>
      <c r="L767" s="61"/>
    </row>
    <row r="768" spans="2:12" ht="13.8" x14ac:dyDescent="0.3">
      <c r="D768" s="26" t="s">
        <v>332</v>
      </c>
      <c r="E768" s="26" t="s">
        <v>333</v>
      </c>
      <c r="F768" s="26" t="s">
        <v>334</v>
      </c>
      <c r="G768" s="26" t="s">
        <v>335</v>
      </c>
      <c r="I768" s="26" t="s">
        <v>332</v>
      </c>
      <c r="J768" s="26" t="s">
        <v>333</v>
      </c>
      <c r="K768" s="26" t="s">
        <v>334</v>
      </c>
      <c r="L768" s="26" t="s">
        <v>335</v>
      </c>
    </row>
    <row r="769" spans="2:12" ht="13.8" x14ac:dyDescent="0.3">
      <c r="D769" s="25">
        <v>0</v>
      </c>
      <c r="E769" s="24">
        <f>SUM($E$764:$F$764)</f>
        <v>171</v>
      </c>
      <c r="F769" s="24">
        <f>SUM($E$764:$F$764) - $E$764:$E$764</f>
        <v>41</v>
      </c>
      <c r="G769" s="24">
        <f>IF($E$769:$E$769 = 0, "Undefined",$F$769:$F$769*100 / $E$769:$E$769)</f>
        <v>23.976608187134502</v>
      </c>
      <c r="I769" s="25">
        <v>0</v>
      </c>
      <c r="J769" s="24">
        <f>SUM($J$764:$K$764)</f>
        <v>129</v>
      </c>
      <c r="K769" s="24">
        <f>SUM($J$764:$K$764) - $J$764:$J$764</f>
        <v>58</v>
      </c>
      <c r="L769" s="24">
        <f>IF($J$769:$J$769 = 0, "Undefined",$K$769:$K$769*100 / $J$769:$J$769)</f>
        <v>44.961240310077521</v>
      </c>
    </row>
    <row r="770" spans="2:12" ht="13.8" x14ac:dyDescent="0.3">
      <c r="D770" s="25">
        <v>1</v>
      </c>
      <c r="E770" s="24">
        <f>SUM($E$765:$F$765)</f>
        <v>429</v>
      </c>
      <c r="F770" s="24">
        <f>SUM($E$765:$F$765) - $F$765:$F$765</f>
        <v>60</v>
      </c>
      <c r="G770" s="24">
        <f>IF($E$770:$E$770 = 0, "Undefined",$F$770:$F$770*100 / $E$770:$E$770)</f>
        <v>13.986013986013987</v>
      </c>
      <c r="I770" s="25">
        <v>1</v>
      </c>
      <c r="J770" s="24">
        <f>SUM($J$765:$K$765)</f>
        <v>271</v>
      </c>
      <c r="K770" s="24">
        <f>SUM($J$765:$K$765) - $K$765:$K$765</f>
        <v>61</v>
      </c>
      <c r="L770" s="24">
        <f>IF($J$770:$J$770 = 0, "Undefined",$K$770:$K$770*100 / $J$770:$J$770)</f>
        <v>22.509225092250922</v>
      </c>
    </row>
    <row r="771" spans="2:12" ht="13.8" x14ac:dyDescent="0.3">
      <c r="D771" s="25" t="s">
        <v>336</v>
      </c>
      <c r="E771" s="24">
        <f>SUM($E$769:$E$770)</f>
        <v>600</v>
      </c>
      <c r="F771" s="24">
        <f>SUM($F$769:$F$770)</f>
        <v>101</v>
      </c>
      <c r="G771" s="24">
        <f>IF($E$771:$E$771 = 0, "Undefined",$F$771:$F$771*100 / $E$771:$E$771)</f>
        <v>16.833333333333332</v>
      </c>
      <c r="I771" s="25" t="s">
        <v>336</v>
      </c>
      <c r="J771" s="24">
        <f>SUM($J$769:$J$770)</f>
        <v>400</v>
      </c>
      <c r="K771" s="24">
        <f>SUM($K$769:$K$770)</f>
        <v>119</v>
      </c>
      <c r="L771" s="24">
        <f>IF($J$771:$J$771 = 0, "Undefined",$K$771:$K$771*100 / $J$771:$J$771)</f>
        <v>29.75</v>
      </c>
    </row>
    <row r="773" spans="2:12" ht="15.6" x14ac:dyDescent="0.3">
      <c r="B773" s="28" t="s">
        <v>388</v>
      </c>
      <c r="D773" s="59" t="s">
        <v>329</v>
      </c>
      <c r="E773" s="60"/>
      <c r="F773" s="61"/>
      <c r="I773" s="59" t="s">
        <v>329</v>
      </c>
      <c r="J773" s="60"/>
      <c r="K773" s="61"/>
    </row>
    <row r="774" spans="2:12" ht="13.8" x14ac:dyDescent="0.3">
      <c r="D774" s="26"/>
      <c r="E774" s="75" t="s">
        <v>330</v>
      </c>
      <c r="F774" s="76"/>
      <c r="I774" s="26"/>
      <c r="J774" s="75" t="s">
        <v>330</v>
      </c>
      <c r="K774" s="76"/>
    </row>
    <row r="775" spans="2:12" ht="13.8" x14ac:dyDescent="0.3">
      <c r="D775" s="25" t="s">
        <v>331</v>
      </c>
      <c r="E775" s="26">
        <v>0</v>
      </c>
      <c r="F775" s="26">
        <v>1</v>
      </c>
      <c r="I775" s="25" t="s">
        <v>331</v>
      </c>
      <c r="J775" s="26">
        <v>0</v>
      </c>
      <c r="K775" s="26">
        <v>1</v>
      </c>
    </row>
    <row r="776" spans="2:12" ht="13.8" x14ac:dyDescent="0.3">
      <c r="D776" s="25">
        <v>0</v>
      </c>
      <c r="E776" s="24">
        <v>131</v>
      </c>
      <c r="F776" s="24">
        <v>40</v>
      </c>
      <c r="I776" s="25">
        <v>0</v>
      </c>
      <c r="J776" s="24">
        <v>69</v>
      </c>
      <c r="K776" s="24">
        <v>60</v>
      </c>
    </row>
    <row r="777" spans="2:12" ht="13.8" x14ac:dyDescent="0.3">
      <c r="D777" s="25">
        <v>1</v>
      </c>
      <c r="E777" s="24">
        <v>58</v>
      </c>
      <c r="F777" s="24">
        <v>371</v>
      </c>
      <c r="I777" s="25">
        <v>1</v>
      </c>
      <c r="J777" s="24">
        <v>53</v>
      </c>
      <c r="K777" s="24">
        <v>218</v>
      </c>
    </row>
    <row r="779" spans="2:12" ht="15.6" x14ac:dyDescent="0.3">
      <c r="D779" s="59" t="s">
        <v>210</v>
      </c>
      <c r="E779" s="60"/>
      <c r="F779" s="60"/>
      <c r="G779" s="61"/>
      <c r="I779" s="59" t="s">
        <v>210</v>
      </c>
      <c r="J779" s="60"/>
      <c r="K779" s="60"/>
      <c r="L779" s="61"/>
    </row>
    <row r="780" spans="2:12" ht="13.8" x14ac:dyDescent="0.3">
      <c r="D780" s="26" t="s">
        <v>332</v>
      </c>
      <c r="E780" s="26" t="s">
        <v>333</v>
      </c>
      <c r="F780" s="26" t="s">
        <v>334</v>
      </c>
      <c r="G780" s="26" t="s">
        <v>335</v>
      </c>
      <c r="I780" s="26" t="s">
        <v>332</v>
      </c>
      <c r="J780" s="26" t="s">
        <v>333</v>
      </c>
      <c r="K780" s="26" t="s">
        <v>334</v>
      </c>
      <c r="L780" s="26" t="s">
        <v>335</v>
      </c>
    </row>
    <row r="781" spans="2:12" ht="13.8" x14ac:dyDescent="0.3">
      <c r="D781" s="25">
        <v>0</v>
      </c>
      <c r="E781" s="24">
        <f>SUM($E$776:$F$776)</f>
        <v>171</v>
      </c>
      <c r="F781" s="24">
        <f>SUM($E$776:$F$776) - $E$776:$E$776</f>
        <v>40</v>
      </c>
      <c r="G781" s="24">
        <f>IF($E$781:$E$781 = 0, "Undefined",$F$781:$F$781*100 / $E$781:$E$781)</f>
        <v>23.391812865497077</v>
      </c>
      <c r="I781" s="25">
        <v>0</v>
      </c>
      <c r="J781" s="24">
        <f>SUM($J$776:$K$776)</f>
        <v>129</v>
      </c>
      <c r="K781" s="24">
        <f>SUM($J$776:$K$776) - $J$776:$J$776</f>
        <v>60</v>
      </c>
      <c r="L781" s="24">
        <f>IF($J$781:$J$781 = 0, "Undefined",$K$781:$K$781*100 / $J$781:$J$781)</f>
        <v>46.511627906976742</v>
      </c>
    </row>
    <row r="782" spans="2:12" ht="13.8" x14ac:dyDescent="0.3">
      <c r="D782" s="25">
        <v>1</v>
      </c>
      <c r="E782" s="24">
        <f>SUM($E$777:$F$777)</f>
        <v>429</v>
      </c>
      <c r="F782" s="24">
        <f>SUM($E$777:$F$777) - $F$777:$F$777</f>
        <v>58</v>
      </c>
      <c r="G782" s="24">
        <f>IF($E$782:$E$782 = 0, "Undefined",$F$782:$F$782*100 / $E$782:$E$782)</f>
        <v>13.519813519813519</v>
      </c>
      <c r="I782" s="25">
        <v>1</v>
      </c>
      <c r="J782" s="24">
        <f>SUM($J$777:$K$777)</f>
        <v>271</v>
      </c>
      <c r="K782" s="24">
        <f>SUM($J$777:$K$777) - $K$777:$K$777</f>
        <v>53</v>
      </c>
      <c r="L782" s="24">
        <f>IF($J$782:$J$782 = 0, "Undefined",$K$782:$K$782*100 / $J$782:$J$782)</f>
        <v>19.55719557195572</v>
      </c>
    </row>
    <row r="783" spans="2:12" ht="13.8" x14ac:dyDescent="0.3">
      <c r="D783" s="25" t="s">
        <v>336</v>
      </c>
      <c r="E783" s="24">
        <f>SUM($E$781:$E$782)</f>
        <v>600</v>
      </c>
      <c r="F783" s="24">
        <f>SUM($F$781:$F$782)</f>
        <v>98</v>
      </c>
      <c r="G783" s="24">
        <f>IF($E$783:$E$783 = 0, "Undefined",$F$783:$F$783*100 / $E$783:$E$783)</f>
        <v>16.333333333333332</v>
      </c>
      <c r="I783" s="25" t="s">
        <v>336</v>
      </c>
      <c r="J783" s="24">
        <f>SUM($J$781:$J$782)</f>
        <v>400</v>
      </c>
      <c r="K783" s="24">
        <f>SUM($K$781:$K$782)</f>
        <v>113</v>
      </c>
      <c r="L783" s="24">
        <f>IF($J$783:$J$783 = 0, "Undefined",$K$783:$K$783*100 / $J$783:$J$783)</f>
        <v>28.25</v>
      </c>
    </row>
    <row r="785" spans="2:12" ht="15.6" x14ac:dyDescent="0.3">
      <c r="B785" s="28" t="s">
        <v>389</v>
      </c>
      <c r="D785" s="59" t="s">
        <v>329</v>
      </c>
      <c r="E785" s="60"/>
      <c r="F785" s="61"/>
      <c r="I785" s="59" t="s">
        <v>329</v>
      </c>
      <c r="J785" s="60"/>
      <c r="K785" s="61"/>
    </row>
    <row r="786" spans="2:12" ht="13.8" x14ac:dyDescent="0.3">
      <c r="D786" s="26"/>
      <c r="E786" s="75" t="s">
        <v>330</v>
      </c>
      <c r="F786" s="76"/>
      <c r="I786" s="26"/>
      <c r="J786" s="75" t="s">
        <v>330</v>
      </c>
      <c r="K786" s="76"/>
    </row>
    <row r="787" spans="2:12" ht="13.8" x14ac:dyDescent="0.3">
      <c r="D787" s="25" t="s">
        <v>331</v>
      </c>
      <c r="E787" s="26">
        <v>0</v>
      </c>
      <c r="F787" s="26">
        <v>1</v>
      </c>
      <c r="I787" s="25" t="s">
        <v>331</v>
      </c>
      <c r="J787" s="26">
        <v>0</v>
      </c>
      <c r="K787" s="26">
        <v>1</v>
      </c>
    </row>
    <row r="788" spans="2:12" ht="13.8" x14ac:dyDescent="0.3">
      <c r="D788" s="25">
        <v>0</v>
      </c>
      <c r="E788" s="24">
        <v>111</v>
      </c>
      <c r="F788" s="24">
        <v>60</v>
      </c>
      <c r="I788" s="25">
        <v>0</v>
      </c>
      <c r="J788" s="24">
        <v>51</v>
      </c>
      <c r="K788" s="24">
        <v>78</v>
      </c>
    </row>
    <row r="789" spans="2:12" ht="13.8" x14ac:dyDescent="0.3">
      <c r="D789" s="25">
        <v>1</v>
      </c>
      <c r="E789" s="24">
        <v>17</v>
      </c>
      <c r="F789" s="24">
        <v>412</v>
      </c>
      <c r="I789" s="25">
        <v>1</v>
      </c>
      <c r="J789" s="24">
        <v>35</v>
      </c>
      <c r="K789" s="24">
        <v>236</v>
      </c>
    </row>
    <row r="791" spans="2:12" ht="15.6" x14ac:dyDescent="0.3">
      <c r="D791" s="59" t="s">
        <v>210</v>
      </c>
      <c r="E791" s="60"/>
      <c r="F791" s="60"/>
      <c r="G791" s="61"/>
      <c r="I791" s="59" t="s">
        <v>210</v>
      </c>
      <c r="J791" s="60"/>
      <c r="K791" s="60"/>
      <c r="L791" s="61"/>
    </row>
    <row r="792" spans="2:12" ht="13.8" x14ac:dyDescent="0.3">
      <c r="D792" s="26" t="s">
        <v>332</v>
      </c>
      <c r="E792" s="26" t="s">
        <v>333</v>
      </c>
      <c r="F792" s="26" t="s">
        <v>334</v>
      </c>
      <c r="G792" s="26" t="s">
        <v>335</v>
      </c>
      <c r="I792" s="26" t="s">
        <v>332</v>
      </c>
      <c r="J792" s="26" t="s">
        <v>333</v>
      </c>
      <c r="K792" s="26" t="s">
        <v>334</v>
      </c>
      <c r="L792" s="26" t="s">
        <v>335</v>
      </c>
    </row>
    <row r="793" spans="2:12" ht="13.8" x14ac:dyDescent="0.3">
      <c r="D793" s="25">
        <v>0</v>
      </c>
      <c r="E793" s="24">
        <f>SUM($E$788:$F$788)</f>
        <v>171</v>
      </c>
      <c r="F793" s="24">
        <f>SUM($E$788:$F$788) - $E$788:$E$788</f>
        <v>60</v>
      </c>
      <c r="G793" s="24">
        <f>IF($E$793:$E$793 = 0, "Undefined",$F$793:$F$793*100 / $E$793:$E$793)</f>
        <v>35.087719298245617</v>
      </c>
      <c r="I793" s="25">
        <v>0</v>
      </c>
      <c r="J793" s="24">
        <f>SUM($J$788:$K$788)</f>
        <v>129</v>
      </c>
      <c r="K793" s="24">
        <f>SUM($J$788:$K$788) - $J$788:$J$788</f>
        <v>78</v>
      </c>
      <c r="L793" s="24">
        <f>IF($J$793:$J$793 = 0, "Undefined",$K$793:$K$793*100 / $J$793:$J$793)</f>
        <v>60.465116279069768</v>
      </c>
    </row>
    <row r="794" spans="2:12" ht="13.8" x14ac:dyDescent="0.3">
      <c r="D794" s="25">
        <v>1</v>
      </c>
      <c r="E794" s="24">
        <f>SUM($E$789:$F$789)</f>
        <v>429</v>
      </c>
      <c r="F794" s="24">
        <f>SUM($E$789:$F$789) - $F$789:$F$789</f>
        <v>17</v>
      </c>
      <c r="G794" s="24">
        <f>IF($E$794:$E$794 = 0, "Undefined",$F$794:$F$794*100 / $E$794:$E$794)</f>
        <v>3.9627039627039626</v>
      </c>
      <c r="I794" s="25">
        <v>1</v>
      </c>
      <c r="J794" s="24">
        <f>SUM($J$789:$K$789)</f>
        <v>271</v>
      </c>
      <c r="K794" s="24">
        <f>SUM($J$789:$K$789) - $K$789:$K$789</f>
        <v>35</v>
      </c>
      <c r="L794" s="24">
        <f>IF($J$794:$J$794 = 0, "Undefined",$K$794:$K$794*100 / $J$794:$J$794)</f>
        <v>12.915129151291513</v>
      </c>
    </row>
    <row r="795" spans="2:12" ht="13.8" x14ac:dyDescent="0.3">
      <c r="D795" s="25" t="s">
        <v>336</v>
      </c>
      <c r="E795" s="24">
        <f>SUM($E$793:$E$794)</f>
        <v>600</v>
      </c>
      <c r="F795" s="24">
        <f>SUM($F$793:$F$794)</f>
        <v>77</v>
      </c>
      <c r="G795" s="24">
        <f>IF($E$795:$E$795 = 0, "Undefined",$F$795:$F$795*100 / $E$795:$E$795)</f>
        <v>12.833333333333334</v>
      </c>
      <c r="I795" s="25" t="s">
        <v>336</v>
      </c>
      <c r="J795" s="24">
        <f>SUM($J$793:$J$794)</f>
        <v>400</v>
      </c>
      <c r="K795" s="24">
        <f>SUM($K$793:$K$794)</f>
        <v>113</v>
      </c>
      <c r="L795" s="24">
        <f>IF($J$795:$J$795 = 0, "Undefined",$K$795:$K$795*100 / $J$795:$J$795)</f>
        <v>28.25</v>
      </c>
    </row>
    <row r="797" spans="2:12" ht="15.6" x14ac:dyDescent="0.3">
      <c r="B797" s="28" t="s">
        <v>390</v>
      </c>
      <c r="D797" s="59" t="s">
        <v>329</v>
      </c>
      <c r="E797" s="60"/>
      <c r="F797" s="61"/>
      <c r="I797" s="59" t="s">
        <v>329</v>
      </c>
      <c r="J797" s="60"/>
      <c r="K797" s="61"/>
    </row>
    <row r="798" spans="2:12" ht="13.8" x14ac:dyDescent="0.3">
      <c r="D798" s="26"/>
      <c r="E798" s="75" t="s">
        <v>330</v>
      </c>
      <c r="F798" s="76"/>
      <c r="I798" s="26"/>
      <c r="J798" s="75" t="s">
        <v>330</v>
      </c>
      <c r="K798" s="76"/>
    </row>
    <row r="799" spans="2:12" ht="13.8" x14ac:dyDescent="0.3">
      <c r="D799" s="25" t="s">
        <v>331</v>
      </c>
      <c r="E799" s="26">
        <v>0</v>
      </c>
      <c r="F799" s="26">
        <v>1</v>
      </c>
      <c r="I799" s="25" t="s">
        <v>331</v>
      </c>
      <c r="J799" s="26">
        <v>0</v>
      </c>
      <c r="K799" s="26">
        <v>1</v>
      </c>
    </row>
    <row r="800" spans="2:12" ht="13.8" x14ac:dyDescent="0.3">
      <c r="D800" s="25">
        <v>0</v>
      </c>
      <c r="E800" s="24">
        <v>116</v>
      </c>
      <c r="F800" s="24">
        <v>55</v>
      </c>
      <c r="I800" s="25">
        <v>0</v>
      </c>
      <c r="J800" s="24">
        <v>42</v>
      </c>
      <c r="K800" s="24">
        <v>87</v>
      </c>
    </row>
    <row r="801" spans="2:12" ht="13.8" x14ac:dyDescent="0.3">
      <c r="D801" s="25">
        <v>1</v>
      </c>
      <c r="E801" s="24">
        <v>12</v>
      </c>
      <c r="F801" s="24">
        <v>417</v>
      </c>
      <c r="I801" s="25">
        <v>1</v>
      </c>
      <c r="J801" s="24">
        <v>26</v>
      </c>
      <c r="K801" s="24">
        <v>245</v>
      </c>
    </row>
    <row r="803" spans="2:12" ht="15.6" x14ac:dyDescent="0.3">
      <c r="D803" s="59" t="s">
        <v>210</v>
      </c>
      <c r="E803" s="60"/>
      <c r="F803" s="60"/>
      <c r="G803" s="61"/>
      <c r="I803" s="59" t="s">
        <v>210</v>
      </c>
      <c r="J803" s="60"/>
      <c r="K803" s="60"/>
      <c r="L803" s="61"/>
    </row>
    <row r="804" spans="2:12" ht="13.8" x14ac:dyDescent="0.3">
      <c r="D804" s="26" t="s">
        <v>332</v>
      </c>
      <c r="E804" s="26" t="s">
        <v>333</v>
      </c>
      <c r="F804" s="26" t="s">
        <v>334</v>
      </c>
      <c r="G804" s="26" t="s">
        <v>335</v>
      </c>
      <c r="I804" s="26" t="s">
        <v>332</v>
      </c>
      <c r="J804" s="26" t="s">
        <v>333</v>
      </c>
      <c r="K804" s="26" t="s">
        <v>334</v>
      </c>
      <c r="L804" s="26" t="s">
        <v>335</v>
      </c>
    </row>
    <row r="805" spans="2:12" ht="13.8" x14ac:dyDescent="0.3">
      <c r="D805" s="25">
        <v>0</v>
      </c>
      <c r="E805" s="24">
        <f>SUM($E$800:$F$800)</f>
        <v>171</v>
      </c>
      <c r="F805" s="24">
        <f>SUM($E$800:$F$800) - $E$800:$E$800</f>
        <v>55</v>
      </c>
      <c r="G805" s="24">
        <f>IF($E$805:$E$805 = 0, "Undefined",$F$805:$F$805*100 / $E$805:$E$805)</f>
        <v>32.163742690058477</v>
      </c>
      <c r="I805" s="25">
        <v>0</v>
      </c>
      <c r="J805" s="24">
        <f>SUM($J$800:$K$800)</f>
        <v>129</v>
      </c>
      <c r="K805" s="24">
        <f>SUM($J$800:$K$800) - $J$800:$J$800</f>
        <v>87</v>
      </c>
      <c r="L805" s="24">
        <f>IF($J$805:$J$805 = 0, "Undefined",$K$805:$K$805*100 / $J$805:$J$805)</f>
        <v>67.441860465116278</v>
      </c>
    </row>
    <row r="806" spans="2:12" ht="13.8" x14ac:dyDescent="0.3">
      <c r="D806" s="25">
        <v>1</v>
      </c>
      <c r="E806" s="24">
        <f>SUM($E$801:$F$801)</f>
        <v>429</v>
      </c>
      <c r="F806" s="24">
        <f>SUM($E$801:$F$801) - $F$801:$F$801</f>
        <v>12</v>
      </c>
      <c r="G806" s="24">
        <f>IF($E$806:$E$806 = 0, "Undefined",$F$806:$F$806*100 / $E$806:$E$806)</f>
        <v>2.7972027972027971</v>
      </c>
      <c r="I806" s="25">
        <v>1</v>
      </c>
      <c r="J806" s="24">
        <f>SUM($J$801:$K$801)</f>
        <v>271</v>
      </c>
      <c r="K806" s="24">
        <f>SUM($J$801:$K$801) - $K$801:$K$801</f>
        <v>26</v>
      </c>
      <c r="L806" s="24">
        <f>IF($J$806:$J$806 = 0, "Undefined",$K$806:$K$806*100 / $J$806:$J$806)</f>
        <v>9.5940959409594093</v>
      </c>
    </row>
    <row r="807" spans="2:12" ht="13.8" x14ac:dyDescent="0.3">
      <c r="D807" s="25" t="s">
        <v>336</v>
      </c>
      <c r="E807" s="24">
        <f>SUM($E$805:$E$806)</f>
        <v>600</v>
      </c>
      <c r="F807" s="24">
        <f>SUM($F$805:$F$806)</f>
        <v>67</v>
      </c>
      <c r="G807" s="24">
        <f>IF($E$807:$E$807 = 0, "Undefined",$F$807:$F$807*100 / $E$807:$E$807)</f>
        <v>11.166666666666666</v>
      </c>
      <c r="I807" s="25" t="s">
        <v>336</v>
      </c>
      <c r="J807" s="24">
        <f>SUM($J$805:$J$806)</f>
        <v>400</v>
      </c>
      <c r="K807" s="24">
        <f>SUM($K$805:$K$806)</f>
        <v>113</v>
      </c>
      <c r="L807" s="24">
        <f>IF($J$807:$J$807 = 0, "Undefined",$K$807:$K$807*100 / $J$807:$J$807)</f>
        <v>28.25</v>
      </c>
    </row>
    <row r="809" spans="2:12" ht="15.6" x14ac:dyDescent="0.3">
      <c r="B809" s="28" t="s">
        <v>391</v>
      </c>
      <c r="D809" s="59" t="s">
        <v>329</v>
      </c>
      <c r="E809" s="60"/>
      <c r="F809" s="61"/>
      <c r="I809" s="59" t="s">
        <v>329</v>
      </c>
      <c r="J809" s="60"/>
      <c r="K809" s="61"/>
    </row>
    <row r="810" spans="2:12" ht="13.8" x14ac:dyDescent="0.3">
      <c r="D810" s="26"/>
      <c r="E810" s="75" t="s">
        <v>330</v>
      </c>
      <c r="F810" s="76"/>
      <c r="I810" s="26"/>
      <c r="J810" s="75" t="s">
        <v>330</v>
      </c>
      <c r="K810" s="76"/>
    </row>
    <row r="811" spans="2:12" ht="13.8" x14ac:dyDescent="0.3">
      <c r="D811" s="25" t="s">
        <v>331</v>
      </c>
      <c r="E811" s="26">
        <v>0</v>
      </c>
      <c r="F811" s="26">
        <v>1</v>
      </c>
      <c r="I811" s="25" t="s">
        <v>331</v>
      </c>
      <c r="J811" s="26">
        <v>0</v>
      </c>
      <c r="K811" s="26">
        <v>1</v>
      </c>
    </row>
    <row r="812" spans="2:12" ht="13.8" x14ac:dyDescent="0.3">
      <c r="D812" s="25">
        <v>0</v>
      </c>
      <c r="E812" s="24">
        <v>110</v>
      </c>
      <c r="F812" s="24">
        <v>61</v>
      </c>
      <c r="I812" s="25">
        <v>0</v>
      </c>
      <c r="J812" s="24">
        <v>59</v>
      </c>
      <c r="K812" s="24">
        <v>70</v>
      </c>
    </row>
    <row r="813" spans="2:12" ht="13.8" x14ac:dyDescent="0.3">
      <c r="D813" s="25">
        <v>1</v>
      </c>
      <c r="E813" s="24">
        <v>22</v>
      </c>
      <c r="F813" s="24">
        <v>407</v>
      </c>
      <c r="I813" s="25">
        <v>1</v>
      </c>
      <c r="J813" s="24">
        <v>36</v>
      </c>
      <c r="K813" s="24">
        <v>235</v>
      </c>
    </row>
    <row r="815" spans="2:12" ht="15.6" x14ac:dyDescent="0.3">
      <c r="D815" s="59" t="s">
        <v>210</v>
      </c>
      <c r="E815" s="60"/>
      <c r="F815" s="60"/>
      <c r="G815" s="61"/>
      <c r="I815" s="59" t="s">
        <v>210</v>
      </c>
      <c r="J815" s="60"/>
      <c r="K815" s="60"/>
      <c r="L815" s="61"/>
    </row>
    <row r="816" spans="2:12" ht="13.8" x14ac:dyDescent="0.3">
      <c r="D816" s="26" t="s">
        <v>332</v>
      </c>
      <c r="E816" s="26" t="s">
        <v>333</v>
      </c>
      <c r="F816" s="26" t="s">
        <v>334</v>
      </c>
      <c r="G816" s="26" t="s">
        <v>335</v>
      </c>
      <c r="I816" s="26" t="s">
        <v>332</v>
      </c>
      <c r="J816" s="26" t="s">
        <v>333</v>
      </c>
      <c r="K816" s="26" t="s">
        <v>334</v>
      </c>
      <c r="L816" s="26" t="s">
        <v>335</v>
      </c>
    </row>
    <row r="817" spans="2:12" ht="13.8" x14ac:dyDescent="0.3">
      <c r="D817" s="25">
        <v>0</v>
      </c>
      <c r="E817" s="24">
        <f>SUM($E$812:$F$812)</f>
        <v>171</v>
      </c>
      <c r="F817" s="24">
        <f>SUM($E$812:$F$812) - $E$812:$E$812</f>
        <v>61</v>
      </c>
      <c r="G817" s="24">
        <f>IF($E$817:$E$817 = 0, "Undefined",$F$817:$F$817*100 / $E$817:$E$817)</f>
        <v>35.672514619883039</v>
      </c>
      <c r="I817" s="25">
        <v>0</v>
      </c>
      <c r="J817" s="24">
        <f>SUM($J$812:$K$812)</f>
        <v>129</v>
      </c>
      <c r="K817" s="24">
        <f>SUM($J$812:$K$812) - $J$812:$J$812</f>
        <v>70</v>
      </c>
      <c r="L817" s="24">
        <f>IF($J$817:$J$817 = 0, "Undefined",$K$817:$K$817*100 / $J$817:$J$817)</f>
        <v>54.263565891472865</v>
      </c>
    </row>
    <row r="818" spans="2:12" ht="13.8" x14ac:dyDescent="0.3">
      <c r="D818" s="25">
        <v>1</v>
      </c>
      <c r="E818" s="24">
        <f>SUM($E$813:$F$813)</f>
        <v>429</v>
      </c>
      <c r="F818" s="24">
        <f>SUM($E$813:$F$813) - $F$813:$F$813</f>
        <v>22</v>
      </c>
      <c r="G818" s="24">
        <f>IF($E$818:$E$818 = 0, "Undefined",$F$818:$F$818*100 / $E$818:$E$818)</f>
        <v>5.1282051282051286</v>
      </c>
      <c r="I818" s="25">
        <v>1</v>
      </c>
      <c r="J818" s="24">
        <f>SUM($J$813:$K$813)</f>
        <v>271</v>
      </c>
      <c r="K818" s="24">
        <f>SUM($J$813:$K$813) - $K$813:$K$813</f>
        <v>36</v>
      </c>
      <c r="L818" s="24">
        <f>IF($J$818:$J$818 = 0, "Undefined",$K$818:$K$818*100 / $J$818:$J$818)</f>
        <v>13.284132841328413</v>
      </c>
    </row>
    <row r="819" spans="2:12" ht="13.8" x14ac:dyDescent="0.3">
      <c r="D819" s="25" t="s">
        <v>336</v>
      </c>
      <c r="E819" s="24">
        <f>SUM($E$817:$E$818)</f>
        <v>600</v>
      </c>
      <c r="F819" s="24">
        <f>SUM($F$817:$F$818)</f>
        <v>83</v>
      </c>
      <c r="G819" s="24">
        <f>IF($E$819:$E$819 = 0, "Undefined",$F$819:$F$819*100 / $E$819:$E$819)</f>
        <v>13.833333333333334</v>
      </c>
      <c r="I819" s="25" t="s">
        <v>336</v>
      </c>
      <c r="J819" s="24">
        <f>SUM($J$817:$J$818)</f>
        <v>400</v>
      </c>
      <c r="K819" s="24">
        <f>SUM($K$817:$K$818)</f>
        <v>106</v>
      </c>
      <c r="L819" s="24">
        <f>IF($J$819:$J$819 = 0, "Undefined",$K$819:$K$819*100 / $J$819:$J$819)</f>
        <v>26.5</v>
      </c>
    </row>
    <row r="821" spans="2:12" ht="15.6" x14ac:dyDescent="0.3">
      <c r="B821" s="28" t="s">
        <v>392</v>
      </c>
      <c r="D821" s="59" t="s">
        <v>329</v>
      </c>
      <c r="E821" s="60"/>
      <c r="F821" s="61"/>
      <c r="I821" s="59" t="s">
        <v>329</v>
      </c>
      <c r="J821" s="60"/>
      <c r="K821" s="61"/>
    </row>
    <row r="822" spans="2:12" ht="13.8" x14ac:dyDescent="0.3">
      <c r="D822" s="26"/>
      <c r="E822" s="75" t="s">
        <v>330</v>
      </c>
      <c r="F822" s="76"/>
      <c r="I822" s="26"/>
      <c r="J822" s="75" t="s">
        <v>330</v>
      </c>
      <c r="K822" s="76"/>
    </row>
    <row r="823" spans="2:12" ht="13.8" x14ac:dyDescent="0.3">
      <c r="D823" s="25" t="s">
        <v>331</v>
      </c>
      <c r="E823" s="26">
        <v>0</v>
      </c>
      <c r="F823" s="26">
        <v>1</v>
      </c>
      <c r="I823" s="25" t="s">
        <v>331</v>
      </c>
      <c r="J823" s="26">
        <v>0</v>
      </c>
      <c r="K823" s="26">
        <v>1</v>
      </c>
    </row>
    <row r="824" spans="2:12" ht="13.8" x14ac:dyDescent="0.3">
      <c r="D824" s="25">
        <v>0</v>
      </c>
      <c r="E824" s="24">
        <v>111</v>
      </c>
      <c r="F824" s="24">
        <v>60</v>
      </c>
      <c r="I824" s="25">
        <v>0</v>
      </c>
      <c r="J824" s="24">
        <v>58</v>
      </c>
      <c r="K824" s="24">
        <v>71</v>
      </c>
    </row>
    <row r="825" spans="2:12" ht="13.8" x14ac:dyDescent="0.3">
      <c r="D825" s="25">
        <v>1</v>
      </c>
      <c r="E825" s="24">
        <v>28</v>
      </c>
      <c r="F825" s="24">
        <v>401</v>
      </c>
      <c r="I825" s="25">
        <v>1</v>
      </c>
      <c r="J825" s="24">
        <v>42</v>
      </c>
      <c r="K825" s="24">
        <v>229</v>
      </c>
    </row>
    <row r="827" spans="2:12" ht="15.6" x14ac:dyDescent="0.3">
      <c r="D827" s="59" t="s">
        <v>210</v>
      </c>
      <c r="E827" s="60"/>
      <c r="F827" s="60"/>
      <c r="G827" s="61"/>
      <c r="I827" s="59" t="s">
        <v>210</v>
      </c>
      <c r="J827" s="60"/>
      <c r="K827" s="60"/>
      <c r="L827" s="61"/>
    </row>
    <row r="828" spans="2:12" ht="13.8" x14ac:dyDescent="0.3">
      <c r="D828" s="26" t="s">
        <v>332</v>
      </c>
      <c r="E828" s="26" t="s">
        <v>333</v>
      </c>
      <c r="F828" s="26" t="s">
        <v>334</v>
      </c>
      <c r="G828" s="26" t="s">
        <v>335</v>
      </c>
      <c r="I828" s="26" t="s">
        <v>332</v>
      </c>
      <c r="J828" s="26" t="s">
        <v>333</v>
      </c>
      <c r="K828" s="26" t="s">
        <v>334</v>
      </c>
      <c r="L828" s="26" t="s">
        <v>335</v>
      </c>
    </row>
    <row r="829" spans="2:12" ht="13.8" x14ac:dyDescent="0.3">
      <c r="D829" s="25">
        <v>0</v>
      </c>
      <c r="E829" s="24">
        <f>SUM($E$824:$F$824)</f>
        <v>171</v>
      </c>
      <c r="F829" s="24">
        <f>SUM($E$824:$F$824) - $E$824:$E$824</f>
        <v>60</v>
      </c>
      <c r="G829" s="24">
        <f>IF($E$829:$E$829 = 0, "Undefined",$F$829:$F$829*100 / $E$829:$E$829)</f>
        <v>35.087719298245617</v>
      </c>
      <c r="I829" s="25">
        <v>0</v>
      </c>
      <c r="J829" s="24">
        <f>SUM($J$824:$K$824)</f>
        <v>129</v>
      </c>
      <c r="K829" s="24">
        <f>SUM($J$824:$K$824) - $J$824:$J$824</f>
        <v>71</v>
      </c>
      <c r="L829" s="24">
        <f>IF($J$829:$J$829 = 0, "Undefined",$K$829:$K$829*100 / $J$829:$J$829)</f>
        <v>55.038759689922479</v>
      </c>
    </row>
    <row r="830" spans="2:12" ht="13.8" x14ac:dyDescent="0.3">
      <c r="D830" s="25">
        <v>1</v>
      </c>
      <c r="E830" s="24">
        <f>SUM($E$825:$F$825)</f>
        <v>429</v>
      </c>
      <c r="F830" s="24">
        <f>SUM($E$825:$F$825) - $F$825:$F$825</f>
        <v>28</v>
      </c>
      <c r="G830" s="24">
        <f>IF($E$830:$E$830 = 0, "Undefined",$F$830:$F$830*100 / $E$830:$E$830)</f>
        <v>6.526806526806527</v>
      </c>
      <c r="I830" s="25">
        <v>1</v>
      </c>
      <c r="J830" s="24">
        <f>SUM($J$825:$K$825)</f>
        <v>271</v>
      </c>
      <c r="K830" s="24">
        <f>SUM($J$825:$K$825) - $K$825:$K$825</f>
        <v>42</v>
      </c>
      <c r="L830" s="24">
        <f>IF($J$830:$J$830 = 0, "Undefined",$K$830:$K$830*100 / $J$830:$J$830)</f>
        <v>15.498154981549815</v>
      </c>
    </row>
    <row r="831" spans="2:12" ht="13.8" x14ac:dyDescent="0.3">
      <c r="D831" s="25" t="s">
        <v>336</v>
      </c>
      <c r="E831" s="24">
        <f>SUM($E$829:$E$830)</f>
        <v>600</v>
      </c>
      <c r="F831" s="24">
        <f>SUM($F$829:$F$830)</f>
        <v>88</v>
      </c>
      <c r="G831" s="24">
        <f>IF($E$831:$E$831 = 0, "Undefined",$F$831:$F$831*100 / $E$831:$E$831)</f>
        <v>14.666666666666666</v>
      </c>
      <c r="I831" s="25" t="s">
        <v>336</v>
      </c>
      <c r="J831" s="24">
        <f>SUM($J$829:$J$830)</f>
        <v>400</v>
      </c>
      <c r="K831" s="24">
        <f>SUM($K$829:$K$830)</f>
        <v>113</v>
      </c>
      <c r="L831" s="24">
        <f>IF($J$831:$J$831 = 0, "Undefined",$K$831:$K$831*100 / $J$831:$J$831)</f>
        <v>28.25</v>
      </c>
    </row>
    <row r="833" spans="2:12" ht="15.6" x14ac:dyDescent="0.3">
      <c r="B833" s="28" t="s">
        <v>393</v>
      </c>
      <c r="D833" s="59" t="s">
        <v>329</v>
      </c>
      <c r="E833" s="60"/>
      <c r="F833" s="61"/>
      <c r="I833" s="59" t="s">
        <v>329</v>
      </c>
      <c r="J833" s="60"/>
      <c r="K833" s="61"/>
    </row>
    <row r="834" spans="2:12" ht="13.8" x14ac:dyDescent="0.3">
      <c r="D834" s="26"/>
      <c r="E834" s="75" t="s">
        <v>330</v>
      </c>
      <c r="F834" s="76"/>
      <c r="I834" s="26"/>
      <c r="J834" s="75" t="s">
        <v>330</v>
      </c>
      <c r="K834" s="76"/>
    </row>
    <row r="835" spans="2:12" ht="13.8" x14ac:dyDescent="0.3">
      <c r="D835" s="25" t="s">
        <v>331</v>
      </c>
      <c r="E835" s="26">
        <v>0</v>
      </c>
      <c r="F835" s="26">
        <v>1</v>
      </c>
      <c r="I835" s="25" t="s">
        <v>331</v>
      </c>
      <c r="J835" s="26">
        <v>0</v>
      </c>
      <c r="K835" s="26">
        <v>1</v>
      </c>
    </row>
    <row r="836" spans="2:12" ht="13.8" x14ac:dyDescent="0.3">
      <c r="D836" s="25">
        <v>0</v>
      </c>
      <c r="E836" s="24">
        <v>112</v>
      </c>
      <c r="F836" s="24">
        <v>59</v>
      </c>
      <c r="I836" s="25">
        <v>0</v>
      </c>
      <c r="J836" s="24">
        <v>57</v>
      </c>
      <c r="K836" s="24">
        <v>72</v>
      </c>
    </row>
    <row r="837" spans="2:12" ht="13.8" x14ac:dyDescent="0.3">
      <c r="D837" s="25">
        <v>1</v>
      </c>
      <c r="E837" s="24">
        <v>22</v>
      </c>
      <c r="F837" s="24">
        <v>407</v>
      </c>
      <c r="I837" s="25">
        <v>1</v>
      </c>
      <c r="J837" s="24">
        <v>35</v>
      </c>
      <c r="K837" s="24">
        <v>236</v>
      </c>
    </row>
    <row r="839" spans="2:12" ht="15.6" x14ac:dyDescent="0.3">
      <c r="D839" s="59" t="s">
        <v>210</v>
      </c>
      <c r="E839" s="60"/>
      <c r="F839" s="60"/>
      <c r="G839" s="61"/>
      <c r="I839" s="59" t="s">
        <v>210</v>
      </c>
      <c r="J839" s="60"/>
      <c r="K839" s="60"/>
      <c r="L839" s="61"/>
    </row>
    <row r="840" spans="2:12" ht="13.8" x14ac:dyDescent="0.3">
      <c r="D840" s="26" t="s">
        <v>332</v>
      </c>
      <c r="E840" s="26" t="s">
        <v>333</v>
      </c>
      <c r="F840" s="26" t="s">
        <v>334</v>
      </c>
      <c r="G840" s="26" t="s">
        <v>335</v>
      </c>
      <c r="I840" s="26" t="s">
        <v>332</v>
      </c>
      <c r="J840" s="26" t="s">
        <v>333</v>
      </c>
      <c r="K840" s="26" t="s">
        <v>334</v>
      </c>
      <c r="L840" s="26" t="s">
        <v>335</v>
      </c>
    </row>
    <row r="841" spans="2:12" ht="13.8" x14ac:dyDescent="0.3">
      <c r="D841" s="25">
        <v>0</v>
      </c>
      <c r="E841" s="24">
        <f>SUM($E$836:$F$836)</f>
        <v>171</v>
      </c>
      <c r="F841" s="24">
        <f>SUM($E$836:$F$836) - $E$836:$E$836</f>
        <v>59</v>
      </c>
      <c r="G841" s="24">
        <f>IF($E$841:$E$841 = 0, "Undefined",$F$841:$F$841*100 / $E$841:$E$841)</f>
        <v>34.502923976608187</v>
      </c>
      <c r="I841" s="25">
        <v>0</v>
      </c>
      <c r="J841" s="24">
        <f>SUM($J$836:$K$836)</f>
        <v>129</v>
      </c>
      <c r="K841" s="24">
        <f>SUM($J$836:$K$836) - $J$836:$J$836</f>
        <v>72</v>
      </c>
      <c r="L841" s="24">
        <f>IF($J$841:$J$841 = 0, "Undefined",$K$841:$K$841*100 / $J$841:$J$841)</f>
        <v>55.813953488372093</v>
      </c>
    </row>
    <row r="842" spans="2:12" ht="13.8" x14ac:dyDescent="0.3">
      <c r="D842" s="25">
        <v>1</v>
      </c>
      <c r="E842" s="24">
        <f>SUM($E$837:$F$837)</f>
        <v>429</v>
      </c>
      <c r="F842" s="24">
        <f>SUM($E$837:$F$837) - $F$837:$F$837</f>
        <v>22</v>
      </c>
      <c r="G842" s="24">
        <f>IF($E$842:$E$842 = 0, "Undefined",$F$842:$F$842*100 / $E$842:$E$842)</f>
        <v>5.1282051282051286</v>
      </c>
      <c r="I842" s="25">
        <v>1</v>
      </c>
      <c r="J842" s="24">
        <f>SUM($J$837:$K$837)</f>
        <v>271</v>
      </c>
      <c r="K842" s="24">
        <f>SUM($J$837:$K$837) - $K$837:$K$837</f>
        <v>35</v>
      </c>
      <c r="L842" s="24">
        <f>IF($J$842:$J$842 = 0, "Undefined",$K$842:$K$842*100 / $J$842:$J$842)</f>
        <v>12.915129151291513</v>
      </c>
    </row>
    <row r="843" spans="2:12" ht="13.8" x14ac:dyDescent="0.3">
      <c r="D843" s="25" t="s">
        <v>336</v>
      </c>
      <c r="E843" s="24">
        <f>SUM($E$841:$E$842)</f>
        <v>600</v>
      </c>
      <c r="F843" s="24">
        <f>SUM($F$841:$F$842)</f>
        <v>81</v>
      </c>
      <c r="G843" s="24">
        <f>IF($E$843:$E$843 = 0, "Undefined",$F$843:$F$843*100 / $E$843:$E$843)</f>
        <v>13.5</v>
      </c>
      <c r="I843" s="25" t="s">
        <v>336</v>
      </c>
      <c r="J843" s="24">
        <f>SUM($J$841:$J$842)</f>
        <v>400</v>
      </c>
      <c r="K843" s="24">
        <f>SUM($K$841:$K$842)</f>
        <v>107</v>
      </c>
      <c r="L843" s="24">
        <f>IF($J$843:$J$843 = 0, "Undefined",$K$843:$K$843*100 / $J$843:$J$843)</f>
        <v>26.75</v>
      </c>
    </row>
    <row r="845" spans="2:12" ht="15.6" x14ac:dyDescent="0.3">
      <c r="B845" s="28" t="s">
        <v>394</v>
      </c>
      <c r="D845" s="59" t="s">
        <v>329</v>
      </c>
      <c r="E845" s="60"/>
      <c r="F845" s="61"/>
      <c r="I845" s="59" t="s">
        <v>329</v>
      </c>
      <c r="J845" s="60"/>
      <c r="K845" s="61"/>
    </row>
    <row r="846" spans="2:12" ht="13.8" x14ac:dyDescent="0.3">
      <c r="D846" s="26"/>
      <c r="E846" s="75" t="s">
        <v>330</v>
      </c>
      <c r="F846" s="76"/>
      <c r="I846" s="26"/>
      <c r="J846" s="75" t="s">
        <v>330</v>
      </c>
      <c r="K846" s="76"/>
    </row>
    <row r="847" spans="2:12" ht="13.8" x14ac:dyDescent="0.3">
      <c r="D847" s="25" t="s">
        <v>331</v>
      </c>
      <c r="E847" s="26">
        <v>0</v>
      </c>
      <c r="F847" s="26">
        <v>1</v>
      </c>
      <c r="I847" s="25" t="s">
        <v>331</v>
      </c>
      <c r="J847" s="26">
        <v>0</v>
      </c>
      <c r="K847" s="26">
        <v>1</v>
      </c>
    </row>
    <row r="848" spans="2:12" ht="13.8" x14ac:dyDescent="0.3">
      <c r="D848" s="25">
        <v>0</v>
      </c>
      <c r="E848" s="24">
        <v>122</v>
      </c>
      <c r="F848" s="24">
        <v>49</v>
      </c>
      <c r="I848" s="25">
        <v>0</v>
      </c>
      <c r="J848" s="24">
        <v>54</v>
      </c>
      <c r="K848" s="24">
        <v>75</v>
      </c>
    </row>
    <row r="849" spans="2:12" ht="13.8" x14ac:dyDescent="0.3">
      <c r="D849" s="25">
        <v>1</v>
      </c>
      <c r="E849" s="24">
        <v>28</v>
      </c>
      <c r="F849" s="24">
        <v>401</v>
      </c>
      <c r="I849" s="25">
        <v>1</v>
      </c>
      <c r="J849" s="24">
        <v>38</v>
      </c>
      <c r="K849" s="24">
        <v>233</v>
      </c>
    </row>
    <row r="851" spans="2:12" ht="15.6" x14ac:dyDescent="0.3">
      <c r="D851" s="59" t="s">
        <v>210</v>
      </c>
      <c r="E851" s="60"/>
      <c r="F851" s="60"/>
      <c r="G851" s="61"/>
      <c r="I851" s="59" t="s">
        <v>210</v>
      </c>
      <c r="J851" s="60"/>
      <c r="K851" s="60"/>
      <c r="L851" s="61"/>
    </row>
    <row r="852" spans="2:12" ht="13.8" x14ac:dyDescent="0.3">
      <c r="D852" s="26" t="s">
        <v>332</v>
      </c>
      <c r="E852" s="26" t="s">
        <v>333</v>
      </c>
      <c r="F852" s="26" t="s">
        <v>334</v>
      </c>
      <c r="G852" s="26" t="s">
        <v>335</v>
      </c>
      <c r="I852" s="26" t="s">
        <v>332</v>
      </c>
      <c r="J852" s="26" t="s">
        <v>333</v>
      </c>
      <c r="K852" s="26" t="s">
        <v>334</v>
      </c>
      <c r="L852" s="26" t="s">
        <v>335</v>
      </c>
    </row>
    <row r="853" spans="2:12" ht="13.8" x14ac:dyDescent="0.3">
      <c r="D853" s="25">
        <v>0</v>
      </c>
      <c r="E853" s="24">
        <f>SUM($E$848:$F$848)</f>
        <v>171</v>
      </c>
      <c r="F853" s="24">
        <f>SUM($E$848:$F$848) - $E$848:$E$848</f>
        <v>49</v>
      </c>
      <c r="G853" s="24">
        <f>IF($E$853:$E$853 = 0, "Undefined",$F$853:$F$853*100 / $E$853:$E$853)</f>
        <v>28.654970760233919</v>
      </c>
      <c r="I853" s="25">
        <v>0</v>
      </c>
      <c r="J853" s="24">
        <f>SUM($J$848:$K$848)</f>
        <v>129</v>
      </c>
      <c r="K853" s="24">
        <f>SUM($J$848:$K$848) - $J$848:$J$848</f>
        <v>75</v>
      </c>
      <c r="L853" s="24">
        <f>IF($J$853:$J$853 = 0, "Undefined",$K$853:$K$853*100 / $J$853:$J$853)</f>
        <v>58.139534883720927</v>
      </c>
    </row>
    <row r="854" spans="2:12" ht="13.8" x14ac:dyDescent="0.3">
      <c r="D854" s="25">
        <v>1</v>
      </c>
      <c r="E854" s="24">
        <f>SUM($E$849:$F$849)</f>
        <v>429</v>
      </c>
      <c r="F854" s="24">
        <f>SUM($E$849:$F$849) - $F$849:$F$849</f>
        <v>28</v>
      </c>
      <c r="G854" s="24">
        <f>IF($E$854:$E$854 = 0, "Undefined",$F$854:$F$854*100 / $E$854:$E$854)</f>
        <v>6.526806526806527</v>
      </c>
      <c r="I854" s="25">
        <v>1</v>
      </c>
      <c r="J854" s="24">
        <f>SUM($J$849:$K$849)</f>
        <v>271</v>
      </c>
      <c r="K854" s="24">
        <f>SUM($J$849:$K$849) - $K$849:$K$849</f>
        <v>38</v>
      </c>
      <c r="L854" s="24">
        <f>IF($J$854:$J$854 = 0, "Undefined",$K$854:$K$854*100 / $J$854:$J$854)</f>
        <v>14.022140221402214</v>
      </c>
    </row>
    <row r="855" spans="2:12" ht="13.8" x14ac:dyDescent="0.3">
      <c r="D855" s="25" t="s">
        <v>336</v>
      </c>
      <c r="E855" s="24">
        <f>SUM($E$853:$E$854)</f>
        <v>600</v>
      </c>
      <c r="F855" s="24">
        <f>SUM($F$853:$F$854)</f>
        <v>77</v>
      </c>
      <c r="G855" s="24">
        <f>IF($E$855:$E$855 = 0, "Undefined",$F$855:$F$855*100 / $E$855:$E$855)</f>
        <v>12.833333333333334</v>
      </c>
      <c r="I855" s="25" t="s">
        <v>336</v>
      </c>
      <c r="J855" s="24">
        <f>SUM($J$853:$J$854)</f>
        <v>400</v>
      </c>
      <c r="K855" s="24">
        <f>SUM($K$853:$K$854)</f>
        <v>113</v>
      </c>
      <c r="L855" s="24">
        <f>IF($J$855:$J$855 = 0, "Undefined",$K$855:$K$855*100 / $J$855:$J$855)</f>
        <v>28.25</v>
      </c>
    </row>
    <row r="857" spans="2:12" ht="15.6" x14ac:dyDescent="0.3">
      <c r="B857" s="28" t="s">
        <v>395</v>
      </c>
      <c r="D857" s="59" t="s">
        <v>329</v>
      </c>
      <c r="E857" s="60"/>
      <c r="F857" s="61"/>
      <c r="I857" s="59" t="s">
        <v>329</v>
      </c>
      <c r="J857" s="60"/>
      <c r="K857" s="61"/>
    </row>
    <row r="858" spans="2:12" ht="13.8" x14ac:dyDescent="0.3">
      <c r="D858" s="26"/>
      <c r="E858" s="75" t="s">
        <v>330</v>
      </c>
      <c r="F858" s="76"/>
      <c r="I858" s="26"/>
      <c r="J858" s="75" t="s">
        <v>330</v>
      </c>
      <c r="K858" s="76"/>
    </row>
    <row r="859" spans="2:12" ht="13.8" x14ac:dyDescent="0.3">
      <c r="D859" s="25" t="s">
        <v>331</v>
      </c>
      <c r="E859" s="26">
        <v>0</v>
      </c>
      <c r="F859" s="26">
        <v>1</v>
      </c>
      <c r="I859" s="25" t="s">
        <v>331</v>
      </c>
      <c r="J859" s="26">
        <v>0</v>
      </c>
      <c r="K859" s="26">
        <v>1</v>
      </c>
    </row>
    <row r="860" spans="2:12" ht="13.8" x14ac:dyDescent="0.3">
      <c r="D860" s="25">
        <v>0</v>
      </c>
      <c r="E860" s="24">
        <v>109</v>
      </c>
      <c r="F860" s="24">
        <v>62</v>
      </c>
      <c r="I860" s="25">
        <v>0</v>
      </c>
      <c r="J860" s="24">
        <v>56</v>
      </c>
      <c r="K860" s="24">
        <v>73</v>
      </c>
    </row>
    <row r="861" spans="2:12" ht="13.8" x14ac:dyDescent="0.3">
      <c r="D861" s="25">
        <v>1</v>
      </c>
      <c r="E861" s="24">
        <v>27</v>
      </c>
      <c r="F861" s="24">
        <v>402</v>
      </c>
      <c r="I861" s="25">
        <v>1</v>
      </c>
      <c r="J861" s="24">
        <v>38</v>
      </c>
      <c r="K861" s="24">
        <v>233</v>
      </c>
    </row>
    <row r="863" spans="2:12" ht="15.6" x14ac:dyDescent="0.3">
      <c r="D863" s="59" t="s">
        <v>210</v>
      </c>
      <c r="E863" s="60"/>
      <c r="F863" s="60"/>
      <c r="G863" s="61"/>
      <c r="I863" s="59" t="s">
        <v>210</v>
      </c>
      <c r="J863" s="60"/>
      <c r="K863" s="60"/>
      <c r="L863" s="61"/>
    </row>
    <row r="864" spans="2:12" ht="13.8" x14ac:dyDescent="0.3">
      <c r="D864" s="26" t="s">
        <v>332</v>
      </c>
      <c r="E864" s="26" t="s">
        <v>333</v>
      </c>
      <c r="F864" s="26" t="s">
        <v>334</v>
      </c>
      <c r="G864" s="26" t="s">
        <v>335</v>
      </c>
      <c r="I864" s="26" t="s">
        <v>332</v>
      </c>
      <c r="J864" s="26" t="s">
        <v>333</v>
      </c>
      <c r="K864" s="26" t="s">
        <v>334</v>
      </c>
      <c r="L864" s="26" t="s">
        <v>335</v>
      </c>
    </row>
    <row r="865" spans="2:12" ht="13.8" x14ac:dyDescent="0.3">
      <c r="D865" s="25">
        <v>0</v>
      </c>
      <c r="E865" s="24">
        <f>SUM($E$860:$F$860)</f>
        <v>171</v>
      </c>
      <c r="F865" s="24">
        <f>SUM($E$860:$F$860) - $E$860:$E$860</f>
        <v>62</v>
      </c>
      <c r="G865" s="24">
        <f>IF($E$865:$E$865 = 0, "Undefined",$F$865:$F$865*100 / $E$865:$E$865)</f>
        <v>36.257309941520468</v>
      </c>
      <c r="I865" s="25">
        <v>0</v>
      </c>
      <c r="J865" s="24">
        <f>SUM($J$860:$K$860)</f>
        <v>129</v>
      </c>
      <c r="K865" s="24">
        <f>SUM($J$860:$K$860) - $J$860:$J$860</f>
        <v>73</v>
      </c>
      <c r="L865" s="24">
        <f>IF($J$865:$J$865 = 0, "Undefined",$K$865:$K$865*100 / $J$865:$J$865)</f>
        <v>56.589147286821706</v>
      </c>
    </row>
    <row r="866" spans="2:12" ht="13.8" x14ac:dyDescent="0.3">
      <c r="D866" s="25">
        <v>1</v>
      </c>
      <c r="E866" s="24">
        <f>SUM($E$861:$F$861)</f>
        <v>429</v>
      </c>
      <c r="F866" s="24">
        <f>SUM($E$861:$F$861) - $F$861:$F$861</f>
        <v>27</v>
      </c>
      <c r="G866" s="24">
        <f>IF($E$866:$E$866 = 0, "Undefined",$F$866:$F$866*100 / $E$866:$E$866)</f>
        <v>6.2937062937062933</v>
      </c>
      <c r="I866" s="25">
        <v>1</v>
      </c>
      <c r="J866" s="24">
        <f>SUM($J$861:$K$861)</f>
        <v>271</v>
      </c>
      <c r="K866" s="24">
        <f>SUM($J$861:$K$861) - $K$861:$K$861</f>
        <v>38</v>
      </c>
      <c r="L866" s="24">
        <f>IF($J$866:$J$866 = 0, "Undefined",$K$866:$K$866*100 / $J$866:$J$866)</f>
        <v>14.022140221402214</v>
      </c>
    </row>
    <row r="867" spans="2:12" ht="13.8" x14ac:dyDescent="0.3">
      <c r="D867" s="25" t="s">
        <v>336</v>
      </c>
      <c r="E867" s="24">
        <f>SUM($E$865:$E$866)</f>
        <v>600</v>
      </c>
      <c r="F867" s="24">
        <f>SUM($F$865:$F$866)</f>
        <v>89</v>
      </c>
      <c r="G867" s="24">
        <f>IF($E$867:$E$867 = 0, "Undefined",$F$867:$F$867*100 / $E$867:$E$867)</f>
        <v>14.833333333333334</v>
      </c>
      <c r="I867" s="25" t="s">
        <v>336</v>
      </c>
      <c r="J867" s="24">
        <f>SUM($J$865:$J$866)</f>
        <v>400</v>
      </c>
      <c r="K867" s="24">
        <f>SUM($K$865:$K$866)</f>
        <v>111</v>
      </c>
      <c r="L867" s="24">
        <f>IF($J$867:$J$867 = 0, "Undefined",$K$867:$K$867*100 / $J$867:$J$867)</f>
        <v>27.75</v>
      </c>
    </row>
    <row r="869" spans="2:12" ht="15.6" x14ac:dyDescent="0.3">
      <c r="B869" s="28" t="s">
        <v>396</v>
      </c>
      <c r="D869" s="59" t="s">
        <v>329</v>
      </c>
      <c r="E869" s="60"/>
      <c r="F869" s="61"/>
      <c r="I869" s="59" t="s">
        <v>329</v>
      </c>
      <c r="J869" s="60"/>
      <c r="K869" s="61"/>
    </row>
    <row r="870" spans="2:12" ht="13.8" x14ac:dyDescent="0.3">
      <c r="D870" s="26"/>
      <c r="E870" s="75" t="s">
        <v>330</v>
      </c>
      <c r="F870" s="76"/>
      <c r="I870" s="26"/>
      <c r="J870" s="75" t="s">
        <v>330</v>
      </c>
      <c r="K870" s="76"/>
    </row>
    <row r="871" spans="2:12" ht="13.8" x14ac:dyDescent="0.3">
      <c r="D871" s="25" t="s">
        <v>331</v>
      </c>
      <c r="E871" s="26">
        <v>0</v>
      </c>
      <c r="F871" s="26">
        <v>1</v>
      </c>
      <c r="I871" s="25" t="s">
        <v>331</v>
      </c>
      <c r="J871" s="26">
        <v>0</v>
      </c>
      <c r="K871" s="26">
        <v>1</v>
      </c>
    </row>
    <row r="872" spans="2:12" ht="13.8" x14ac:dyDescent="0.3">
      <c r="D872" s="25">
        <v>0</v>
      </c>
      <c r="E872" s="24">
        <v>115</v>
      </c>
      <c r="F872" s="24">
        <v>56</v>
      </c>
      <c r="I872" s="25">
        <v>0</v>
      </c>
      <c r="J872" s="24">
        <v>62</v>
      </c>
      <c r="K872" s="24">
        <v>67</v>
      </c>
    </row>
    <row r="873" spans="2:12" ht="13.8" x14ac:dyDescent="0.3">
      <c r="D873" s="25">
        <v>1</v>
      </c>
      <c r="E873" s="24">
        <v>50</v>
      </c>
      <c r="F873" s="24">
        <v>379</v>
      </c>
      <c r="I873" s="25">
        <v>1</v>
      </c>
      <c r="J873" s="24">
        <v>47</v>
      </c>
      <c r="K873" s="24">
        <v>224</v>
      </c>
    </row>
    <row r="875" spans="2:12" ht="15.6" x14ac:dyDescent="0.3">
      <c r="D875" s="59" t="s">
        <v>210</v>
      </c>
      <c r="E875" s="60"/>
      <c r="F875" s="60"/>
      <c r="G875" s="61"/>
      <c r="I875" s="59" t="s">
        <v>210</v>
      </c>
      <c r="J875" s="60"/>
      <c r="K875" s="60"/>
      <c r="L875" s="61"/>
    </row>
    <row r="876" spans="2:12" ht="13.8" x14ac:dyDescent="0.3">
      <c r="D876" s="26" t="s">
        <v>332</v>
      </c>
      <c r="E876" s="26" t="s">
        <v>333</v>
      </c>
      <c r="F876" s="26" t="s">
        <v>334</v>
      </c>
      <c r="G876" s="26" t="s">
        <v>335</v>
      </c>
      <c r="I876" s="26" t="s">
        <v>332</v>
      </c>
      <c r="J876" s="26" t="s">
        <v>333</v>
      </c>
      <c r="K876" s="26" t="s">
        <v>334</v>
      </c>
      <c r="L876" s="26" t="s">
        <v>335</v>
      </c>
    </row>
    <row r="877" spans="2:12" ht="13.8" x14ac:dyDescent="0.3">
      <c r="D877" s="25">
        <v>0</v>
      </c>
      <c r="E877" s="24">
        <f>SUM($E$872:$F$872)</f>
        <v>171</v>
      </c>
      <c r="F877" s="24">
        <f>SUM($E$872:$F$872) - $E$872:$E$872</f>
        <v>56</v>
      </c>
      <c r="G877" s="24">
        <f>IF($E$877:$E$877 = 0, "Undefined",$F$877:$F$877*100 / $E$877:$E$877)</f>
        <v>32.748538011695906</v>
      </c>
      <c r="I877" s="25">
        <v>0</v>
      </c>
      <c r="J877" s="24">
        <f>SUM($J$872:$K$872)</f>
        <v>129</v>
      </c>
      <c r="K877" s="24">
        <f>SUM($J$872:$K$872) - $J$872:$J$872</f>
        <v>67</v>
      </c>
      <c r="L877" s="24">
        <f>IF($J$877:$J$877 = 0, "Undefined",$K$877:$K$877*100 / $J$877:$J$877)</f>
        <v>51.937984496124031</v>
      </c>
    </row>
    <row r="878" spans="2:12" ht="13.8" x14ac:dyDescent="0.3">
      <c r="D878" s="25">
        <v>1</v>
      </c>
      <c r="E878" s="24">
        <f>SUM($E$873:$F$873)</f>
        <v>429</v>
      </c>
      <c r="F878" s="24">
        <f>SUM($E$873:$F$873) - $F$873:$F$873</f>
        <v>50</v>
      </c>
      <c r="G878" s="24">
        <f>IF($E$878:$E$878 = 0, "Undefined",$F$878:$F$878*100 / $E$878:$E$878)</f>
        <v>11.655011655011656</v>
      </c>
      <c r="I878" s="25">
        <v>1</v>
      </c>
      <c r="J878" s="24">
        <f>SUM($J$873:$K$873)</f>
        <v>271</v>
      </c>
      <c r="K878" s="24">
        <f>SUM($J$873:$K$873) - $K$873:$K$873</f>
        <v>47</v>
      </c>
      <c r="L878" s="24">
        <f>IF($J$878:$J$878 = 0, "Undefined",$K$878:$K$878*100 / $J$878:$J$878)</f>
        <v>17.343173431734318</v>
      </c>
    </row>
    <row r="879" spans="2:12" ht="13.8" x14ac:dyDescent="0.3">
      <c r="D879" s="25" t="s">
        <v>336</v>
      </c>
      <c r="E879" s="24">
        <f>SUM($E$877:$E$878)</f>
        <v>600</v>
      </c>
      <c r="F879" s="24">
        <f>SUM($F$877:$F$878)</f>
        <v>106</v>
      </c>
      <c r="G879" s="24">
        <f>IF($E$879:$E$879 = 0, "Undefined",$F$879:$F$879*100 / $E$879:$E$879)</f>
        <v>17.666666666666668</v>
      </c>
      <c r="I879" s="25" t="s">
        <v>336</v>
      </c>
      <c r="J879" s="24">
        <f>SUM($J$877:$J$878)</f>
        <v>400</v>
      </c>
      <c r="K879" s="24">
        <f>SUM($K$877:$K$878)</f>
        <v>114</v>
      </c>
      <c r="L879" s="24">
        <f>IF($J$879:$J$879 = 0, "Undefined",$K$879:$K$879*100 / $J$879:$J$879)</f>
        <v>28.5</v>
      </c>
    </row>
    <row r="881" spans="2:12" ht="15.6" x14ac:dyDescent="0.3">
      <c r="B881" s="28" t="s">
        <v>397</v>
      </c>
      <c r="D881" s="59" t="s">
        <v>329</v>
      </c>
      <c r="E881" s="60"/>
      <c r="F881" s="61"/>
      <c r="I881" s="59" t="s">
        <v>329</v>
      </c>
      <c r="J881" s="60"/>
      <c r="K881" s="61"/>
    </row>
    <row r="882" spans="2:12" ht="13.8" x14ac:dyDescent="0.3">
      <c r="D882" s="26"/>
      <c r="E882" s="75" t="s">
        <v>330</v>
      </c>
      <c r="F882" s="76"/>
      <c r="I882" s="26"/>
      <c r="J882" s="75" t="s">
        <v>330</v>
      </c>
      <c r="K882" s="76"/>
    </row>
    <row r="883" spans="2:12" ht="13.8" x14ac:dyDescent="0.3">
      <c r="D883" s="25" t="s">
        <v>331</v>
      </c>
      <c r="E883" s="26">
        <v>0</v>
      </c>
      <c r="F883" s="26">
        <v>1</v>
      </c>
      <c r="I883" s="25" t="s">
        <v>331</v>
      </c>
      <c r="J883" s="26">
        <v>0</v>
      </c>
      <c r="K883" s="26">
        <v>1</v>
      </c>
    </row>
    <row r="884" spans="2:12" ht="13.8" x14ac:dyDescent="0.3">
      <c r="D884" s="25">
        <v>0</v>
      </c>
      <c r="E884" s="24">
        <v>118</v>
      </c>
      <c r="F884" s="24">
        <v>53</v>
      </c>
      <c r="I884" s="25">
        <v>0</v>
      </c>
      <c r="J884" s="24">
        <v>55</v>
      </c>
      <c r="K884" s="24">
        <v>74</v>
      </c>
    </row>
    <row r="885" spans="2:12" ht="13.8" x14ac:dyDescent="0.3">
      <c r="D885" s="25">
        <v>1</v>
      </c>
      <c r="E885" s="24">
        <v>26</v>
      </c>
      <c r="F885" s="24">
        <v>403</v>
      </c>
      <c r="I885" s="25">
        <v>1</v>
      </c>
      <c r="J885" s="24">
        <v>37</v>
      </c>
      <c r="K885" s="24">
        <v>234</v>
      </c>
    </row>
    <row r="887" spans="2:12" ht="15.6" x14ac:dyDescent="0.3">
      <c r="D887" s="59" t="s">
        <v>210</v>
      </c>
      <c r="E887" s="60"/>
      <c r="F887" s="60"/>
      <c r="G887" s="61"/>
      <c r="I887" s="59" t="s">
        <v>210</v>
      </c>
      <c r="J887" s="60"/>
      <c r="K887" s="60"/>
      <c r="L887" s="61"/>
    </row>
    <row r="888" spans="2:12" ht="13.8" x14ac:dyDescent="0.3">
      <c r="D888" s="26" t="s">
        <v>332</v>
      </c>
      <c r="E888" s="26" t="s">
        <v>333</v>
      </c>
      <c r="F888" s="26" t="s">
        <v>334</v>
      </c>
      <c r="G888" s="26" t="s">
        <v>335</v>
      </c>
      <c r="I888" s="26" t="s">
        <v>332</v>
      </c>
      <c r="J888" s="26" t="s">
        <v>333</v>
      </c>
      <c r="K888" s="26" t="s">
        <v>334</v>
      </c>
      <c r="L888" s="26" t="s">
        <v>335</v>
      </c>
    </row>
    <row r="889" spans="2:12" ht="13.8" x14ac:dyDescent="0.3">
      <c r="D889" s="25">
        <v>0</v>
      </c>
      <c r="E889" s="24">
        <f>SUM($E$884:$F$884)</f>
        <v>171</v>
      </c>
      <c r="F889" s="24">
        <f>SUM($E$884:$F$884) - $E$884:$E$884</f>
        <v>53</v>
      </c>
      <c r="G889" s="24">
        <f>IF($E$889:$E$889 = 0, "Undefined",$F$889:$F$889*100 / $E$889:$E$889)</f>
        <v>30.994152046783626</v>
      </c>
      <c r="I889" s="25">
        <v>0</v>
      </c>
      <c r="J889" s="24">
        <f>SUM($J$884:$K$884)</f>
        <v>129</v>
      </c>
      <c r="K889" s="24">
        <f>SUM($J$884:$K$884) - $J$884:$J$884</f>
        <v>74</v>
      </c>
      <c r="L889" s="24">
        <f>IF($J$889:$J$889 = 0, "Undefined",$K$889:$K$889*100 / $J$889:$J$889)</f>
        <v>57.36434108527132</v>
      </c>
    </row>
    <row r="890" spans="2:12" ht="13.8" x14ac:dyDescent="0.3">
      <c r="D890" s="25">
        <v>1</v>
      </c>
      <c r="E890" s="24">
        <f>SUM($E$885:$F$885)</f>
        <v>429</v>
      </c>
      <c r="F890" s="24">
        <f>SUM($E$885:$F$885) - $F$885:$F$885</f>
        <v>26</v>
      </c>
      <c r="G890" s="24">
        <f>IF($E$890:$E$890 = 0, "Undefined",$F$890:$F$890*100 / $E$890:$E$890)</f>
        <v>6.0606060606060606</v>
      </c>
      <c r="I890" s="25">
        <v>1</v>
      </c>
      <c r="J890" s="24">
        <f>SUM($J$885:$K$885)</f>
        <v>271</v>
      </c>
      <c r="K890" s="24">
        <f>SUM($J$885:$K$885) - $K$885:$K$885</f>
        <v>37</v>
      </c>
      <c r="L890" s="24">
        <f>IF($J$890:$J$890 = 0, "Undefined",$K$890:$K$890*100 / $J$890:$J$890)</f>
        <v>13.653136531365314</v>
      </c>
    </row>
    <row r="891" spans="2:12" ht="13.8" x14ac:dyDescent="0.3">
      <c r="D891" s="25" t="s">
        <v>336</v>
      </c>
      <c r="E891" s="24">
        <f>SUM($E$889:$E$890)</f>
        <v>600</v>
      </c>
      <c r="F891" s="24">
        <f>SUM($F$889:$F$890)</f>
        <v>79</v>
      </c>
      <c r="G891" s="24">
        <f>IF($E$891:$E$891 = 0, "Undefined",$F$891:$F$891*100 / $E$891:$E$891)</f>
        <v>13.166666666666666</v>
      </c>
      <c r="I891" s="25" t="s">
        <v>336</v>
      </c>
      <c r="J891" s="24">
        <f>SUM($J$889:$J$890)</f>
        <v>400</v>
      </c>
      <c r="K891" s="24">
        <f>SUM($K$889:$K$890)</f>
        <v>111</v>
      </c>
      <c r="L891" s="24">
        <f>IF($J$891:$J$891 = 0, "Undefined",$K$891:$K$891*100 / $J$891:$J$891)</f>
        <v>27.75</v>
      </c>
    </row>
    <row r="893" spans="2:12" ht="15.6" x14ac:dyDescent="0.3">
      <c r="B893" s="28" t="s">
        <v>398</v>
      </c>
      <c r="D893" s="59" t="s">
        <v>329</v>
      </c>
      <c r="E893" s="60"/>
      <c r="F893" s="61"/>
      <c r="I893" s="59" t="s">
        <v>329</v>
      </c>
      <c r="J893" s="60"/>
      <c r="K893" s="61"/>
    </row>
    <row r="894" spans="2:12" ht="13.8" x14ac:dyDescent="0.3">
      <c r="D894" s="26"/>
      <c r="E894" s="75" t="s">
        <v>330</v>
      </c>
      <c r="F894" s="76"/>
      <c r="I894" s="26"/>
      <c r="J894" s="75" t="s">
        <v>330</v>
      </c>
      <c r="K894" s="76"/>
    </row>
    <row r="895" spans="2:12" ht="13.8" x14ac:dyDescent="0.3">
      <c r="D895" s="25" t="s">
        <v>331</v>
      </c>
      <c r="E895" s="26">
        <v>0</v>
      </c>
      <c r="F895" s="26">
        <v>1</v>
      </c>
      <c r="I895" s="25" t="s">
        <v>331</v>
      </c>
      <c r="J895" s="26">
        <v>0</v>
      </c>
      <c r="K895" s="26">
        <v>1</v>
      </c>
    </row>
    <row r="896" spans="2:12" ht="13.8" x14ac:dyDescent="0.3">
      <c r="D896" s="25">
        <v>0</v>
      </c>
      <c r="E896" s="24">
        <v>113</v>
      </c>
      <c r="F896" s="24">
        <v>58</v>
      </c>
      <c r="I896" s="25">
        <v>0</v>
      </c>
      <c r="J896" s="24">
        <v>64</v>
      </c>
      <c r="K896" s="24">
        <v>65</v>
      </c>
    </row>
    <row r="897" spans="2:12" ht="13.8" x14ac:dyDescent="0.3">
      <c r="D897" s="25">
        <v>1</v>
      </c>
      <c r="E897" s="24">
        <v>40</v>
      </c>
      <c r="F897" s="24">
        <v>389</v>
      </c>
      <c r="I897" s="25">
        <v>1</v>
      </c>
      <c r="J897" s="24">
        <v>47</v>
      </c>
      <c r="K897" s="24">
        <v>224</v>
      </c>
    </row>
    <row r="899" spans="2:12" ht="15.6" x14ac:dyDescent="0.3">
      <c r="D899" s="59" t="s">
        <v>210</v>
      </c>
      <c r="E899" s="60"/>
      <c r="F899" s="60"/>
      <c r="G899" s="61"/>
      <c r="I899" s="59" t="s">
        <v>210</v>
      </c>
      <c r="J899" s="60"/>
      <c r="K899" s="60"/>
      <c r="L899" s="61"/>
    </row>
    <row r="900" spans="2:12" ht="13.8" x14ac:dyDescent="0.3">
      <c r="D900" s="26" t="s">
        <v>332</v>
      </c>
      <c r="E900" s="26" t="s">
        <v>333</v>
      </c>
      <c r="F900" s="26" t="s">
        <v>334</v>
      </c>
      <c r="G900" s="26" t="s">
        <v>335</v>
      </c>
      <c r="I900" s="26" t="s">
        <v>332</v>
      </c>
      <c r="J900" s="26" t="s">
        <v>333</v>
      </c>
      <c r="K900" s="26" t="s">
        <v>334</v>
      </c>
      <c r="L900" s="26" t="s">
        <v>335</v>
      </c>
    </row>
    <row r="901" spans="2:12" ht="13.8" x14ac:dyDescent="0.3">
      <c r="D901" s="25">
        <v>0</v>
      </c>
      <c r="E901" s="24">
        <f>SUM($E$896:$F$896)</f>
        <v>171</v>
      </c>
      <c r="F901" s="24">
        <f>SUM($E$896:$F$896) - $E$896:$E$896</f>
        <v>58</v>
      </c>
      <c r="G901" s="24">
        <f>IF($E$901:$E$901 = 0, "Undefined",$F$901:$F$901*100 / $E$901:$E$901)</f>
        <v>33.918128654970758</v>
      </c>
      <c r="I901" s="25">
        <v>0</v>
      </c>
      <c r="J901" s="24">
        <f>SUM($J$896:$K$896)</f>
        <v>129</v>
      </c>
      <c r="K901" s="24">
        <f>SUM($J$896:$K$896) - $J$896:$J$896</f>
        <v>65</v>
      </c>
      <c r="L901" s="24">
        <f>IF($J$901:$J$901 = 0, "Undefined",$K$901:$K$901*100 / $J$901:$J$901)</f>
        <v>50.387596899224803</v>
      </c>
    </row>
    <row r="902" spans="2:12" ht="13.8" x14ac:dyDescent="0.3">
      <c r="D902" s="25">
        <v>1</v>
      </c>
      <c r="E902" s="24">
        <f>SUM($E$897:$F$897)</f>
        <v>429</v>
      </c>
      <c r="F902" s="24">
        <f>SUM($E$897:$F$897) - $F$897:$F$897</f>
        <v>40</v>
      </c>
      <c r="G902" s="24">
        <f>IF($E$902:$E$902 = 0, "Undefined",$F$902:$F$902*100 / $E$902:$E$902)</f>
        <v>9.3240093240093245</v>
      </c>
      <c r="I902" s="25">
        <v>1</v>
      </c>
      <c r="J902" s="24">
        <f>SUM($J$897:$K$897)</f>
        <v>271</v>
      </c>
      <c r="K902" s="24">
        <f>SUM($J$897:$K$897) - $K$897:$K$897</f>
        <v>47</v>
      </c>
      <c r="L902" s="24">
        <f>IF($J$902:$J$902 = 0, "Undefined",$K$902:$K$902*100 / $J$902:$J$902)</f>
        <v>17.343173431734318</v>
      </c>
    </row>
    <row r="903" spans="2:12" ht="13.8" x14ac:dyDescent="0.3">
      <c r="D903" s="25" t="s">
        <v>336</v>
      </c>
      <c r="E903" s="24">
        <f>SUM($E$901:$E$902)</f>
        <v>600</v>
      </c>
      <c r="F903" s="24">
        <f>SUM($F$901:$F$902)</f>
        <v>98</v>
      </c>
      <c r="G903" s="24">
        <f>IF($E$903:$E$903 = 0, "Undefined",$F$903:$F$903*100 / $E$903:$E$903)</f>
        <v>16.333333333333332</v>
      </c>
      <c r="I903" s="25" t="s">
        <v>336</v>
      </c>
      <c r="J903" s="24">
        <f>SUM($J$901:$J$902)</f>
        <v>400</v>
      </c>
      <c r="K903" s="24">
        <f>SUM($K$901:$K$902)</f>
        <v>112</v>
      </c>
      <c r="L903" s="24">
        <f>IF($J$903:$J$903 = 0, "Undefined",$K$903:$K$903*100 / $J$903:$J$903)</f>
        <v>28</v>
      </c>
    </row>
    <row r="905" spans="2:12" ht="15.6" x14ac:dyDescent="0.3">
      <c r="B905" s="28" t="s">
        <v>399</v>
      </c>
      <c r="D905" s="59" t="s">
        <v>329</v>
      </c>
      <c r="E905" s="60"/>
      <c r="F905" s="61"/>
      <c r="I905" s="59" t="s">
        <v>329</v>
      </c>
      <c r="J905" s="60"/>
      <c r="K905" s="61"/>
    </row>
    <row r="906" spans="2:12" ht="13.8" x14ac:dyDescent="0.3">
      <c r="D906" s="26"/>
      <c r="E906" s="75" t="s">
        <v>330</v>
      </c>
      <c r="F906" s="76"/>
      <c r="I906" s="26"/>
      <c r="J906" s="75" t="s">
        <v>330</v>
      </c>
      <c r="K906" s="76"/>
    </row>
    <row r="907" spans="2:12" ht="13.8" x14ac:dyDescent="0.3">
      <c r="D907" s="25" t="s">
        <v>331</v>
      </c>
      <c r="E907" s="26">
        <v>0</v>
      </c>
      <c r="F907" s="26">
        <v>1</v>
      </c>
      <c r="I907" s="25" t="s">
        <v>331</v>
      </c>
      <c r="J907" s="26">
        <v>0</v>
      </c>
      <c r="K907" s="26">
        <v>1</v>
      </c>
    </row>
    <row r="908" spans="2:12" ht="13.8" x14ac:dyDescent="0.3">
      <c r="D908" s="25">
        <v>0</v>
      </c>
      <c r="E908" s="24">
        <v>113</v>
      </c>
      <c r="F908" s="24">
        <v>58</v>
      </c>
      <c r="I908" s="25">
        <v>0</v>
      </c>
      <c r="J908" s="24">
        <v>48</v>
      </c>
      <c r="K908" s="24">
        <v>81</v>
      </c>
    </row>
    <row r="909" spans="2:12" ht="13.8" x14ac:dyDescent="0.3">
      <c r="D909" s="25">
        <v>1</v>
      </c>
      <c r="E909" s="24">
        <v>12</v>
      </c>
      <c r="F909" s="24">
        <v>417</v>
      </c>
      <c r="I909" s="25">
        <v>1</v>
      </c>
      <c r="J909" s="24">
        <v>32</v>
      </c>
      <c r="K909" s="24">
        <v>239</v>
      </c>
    </row>
    <row r="911" spans="2:12" ht="15.6" x14ac:dyDescent="0.3">
      <c r="D911" s="59" t="s">
        <v>210</v>
      </c>
      <c r="E911" s="60"/>
      <c r="F911" s="60"/>
      <c r="G911" s="61"/>
      <c r="I911" s="59" t="s">
        <v>210</v>
      </c>
      <c r="J911" s="60"/>
      <c r="K911" s="60"/>
      <c r="L911" s="61"/>
    </row>
    <row r="912" spans="2:12" ht="13.8" x14ac:dyDescent="0.3">
      <c r="D912" s="26" t="s">
        <v>332</v>
      </c>
      <c r="E912" s="26" t="s">
        <v>333</v>
      </c>
      <c r="F912" s="26" t="s">
        <v>334</v>
      </c>
      <c r="G912" s="26" t="s">
        <v>335</v>
      </c>
      <c r="I912" s="26" t="s">
        <v>332</v>
      </c>
      <c r="J912" s="26" t="s">
        <v>333</v>
      </c>
      <c r="K912" s="26" t="s">
        <v>334</v>
      </c>
      <c r="L912" s="26" t="s">
        <v>335</v>
      </c>
    </row>
    <row r="913" spans="2:12" ht="13.8" x14ac:dyDescent="0.3">
      <c r="D913" s="25">
        <v>0</v>
      </c>
      <c r="E913" s="24">
        <f>SUM($E$908:$F$908)</f>
        <v>171</v>
      </c>
      <c r="F913" s="24">
        <f>SUM($E$908:$F$908) - $E$908:$E$908</f>
        <v>58</v>
      </c>
      <c r="G913" s="24">
        <f>IF($E$913:$E$913 = 0, "Undefined",$F$913:$F$913*100 / $E$913:$E$913)</f>
        <v>33.918128654970758</v>
      </c>
      <c r="I913" s="25">
        <v>0</v>
      </c>
      <c r="J913" s="24">
        <f>SUM($J$908:$K$908)</f>
        <v>129</v>
      </c>
      <c r="K913" s="24">
        <f>SUM($J$908:$K$908) - $J$908:$J$908</f>
        <v>81</v>
      </c>
      <c r="L913" s="24">
        <f>IF($J$913:$J$913 = 0, "Undefined",$K$913:$K$913*100 / $J$913:$J$913)</f>
        <v>62.790697674418603</v>
      </c>
    </row>
    <row r="914" spans="2:12" ht="13.8" x14ac:dyDescent="0.3">
      <c r="D914" s="25">
        <v>1</v>
      </c>
      <c r="E914" s="24">
        <f>SUM($E$909:$F$909)</f>
        <v>429</v>
      </c>
      <c r="F914" s="24">
        <f>SUM($E$909:$F$909) - $F$909:$F$909</f>
        <v>12</v>
      </c>
      <c r="G914" s="24">
        <f>IF($E$914:$E$914 = 0, "Undefined",$F$914:$F$914*100 / $E$914:$E$914)</f>
        <v>2.7972027972027971</v>
      </c>
      <c r="I914" s="25">
        <v>1</v>
      </c>
      <c r="J914" s="24">
        <f>SUM($J$909:$K$909)</f>
        <v>271</v>
      </c>
      <c r="K914" s="24">
        <f>SUM($J$909:$K$909) - $K$909:$K$909</f>
        <v>32</v>
      </c>
      <c r="L914" s="24">
        <f>IF($J$914:$J$914 = 0, "Undefined",$K$914:$K$914*100 / $J$914:$J$914)</f>
        <v>11.808118081180812</v>
      </c>
    </row>
    <row r="915" spans="2:12" ht="13.8" x14ac:dyDescent="0.3">
      <c r="D915" s="25" t="s">
        <v>336</v>
      </c>
      <c r="E915" s="24">
        <f>SUM($E$913:$E$914)</f>
        <v>600</v>
      </c>
      <c r="F915" s="24">
        <f>SUM($F$913:$F$914)</f>
        <v>70</v>
      </c>
      <c r="G915" s="24">
        <f>IF($E$915:$E$915 = 0, "Undefined",$F$915:$F$915*100 / $E$915:$E$915)</f>
        <v>11.666666666666666</v>
      </c>
      <c r="I915" s="25" t="s">
        <v>336</v>
      </c>
      <c r="J915" s="24">
        <f>SUM($J$913:$J$914)</f>
        <v>400</v>
      </c>
      <c r="K915" s="24">
        <f>SUM($K$913:$K$914)</f>
        <v>113</v>
      </c>
      <c r="L915" s="24">
        <f>IF($J$915:$J$915 = 0, "Undefined",$K$915:$K$915*100 / $J$915:$J$915)</f>
        <v>28.25</v>
      </c>
    </row>
    <row r="917" spans="2:12" ht="15.6" x14ac:dyDescent="0.3">
      <c r="B917" s="28" t="s">
        <v>400</v>
      </c>
      <c r="D917" s="59" t="s">
        <v>329</v>
      </c>
      <c r="E917" s="60"/>
      <c r="F917" s="61"/>
      <c r="I917" s="59" t="s">
        <v>329</v>
      </c>
      <c r="J917" s="60"/>
      <c r="K917" s="61"/>
    </row>
    <row r="918" spans="2:12" ht="13.8" x14ac:dyDescent="0.3">
      <c r="D918" s="26"/>
      <c r="E918" s="75" t="s">
        <v>330</v>
      </c>
      <c r="F918" s="76"/>
      <c r="I918" s="26"/>
      <c r="J918" s="75" t="s">
        <v>330</v>
      </c>
      <c r="K918" s="76"/>
    </row>
    <row r="919" spans="2:12" ht="13.8" x14ac:dyDescent="0.3">
      <c r="D919" s="25" t="s">
        <v>331</v>
      </c>
      <c r="E919" s="26">
        <v>0</v>
      </c>
      <c r="F919" s="26">
        <v>1</v>
      </c>
      <c r="I919" s="25" t="s">
        <v>331</v>
      </c>
      <c r="J919" s="26">
        <v>0</v>
      </c>
      <c r="K919" s="26">
        <v>1</v>
      </c>
    </row>
    <row r="920" spans="2:12" ht="13.8" x14ac:dyDescent="0.3">
      <c r="D920" s="25">
        <v>0</v>
      </c>
      <c r="E920" s="24">
        <v>120</v>
      </c>
      <c r="F920" s="24">
        <v>51</v>
      </c>
      <c r="I920" s="25">
        <v>0</v>
      </c>
      <c r="J920" s="24">
        <v>56</v>
      </c>
      <c r="K920" s="24">
        <v>73</v>
      </c>
    </row>
    <row r="921" spans="2:12" ht="13.8" x14ac:dyDescent="0.3">
      <c r="D921" s="25">
        <v>1</v>
      </c>
      <c r="E921" s="24">
        <v>27</v>
      </c>
      <c r="F921" s="24">
        <v>402</v>
      </c>
      <c r="I921" s="25">
        <v>1</v>
      </c>
      <c r="J921" s="24">
        <v>40</v>
      </c>
      <c r="K921" s="24">
        <v>231</v>
      </c>
    </row>
    <row r="923" spans="2:12" ht="15.6" x14ac:dyDescent="0.3">
      <c r="D923" s="59" t="s">
        <v>210</v>
      </c>
      <c r="E923" s="60"/>
      <c r="F923" s="60"/>
      <c r="G923" s="61"/>
      <c r="I923" s="59" t="s">
        <v>210</v>
      </c>
      <c r="J923" s="60"/>
      <c r="K923" s="60"/>
      <c r="L923" s="61"/>
    </row>
    <row r="924" spans="2:12" ht="13.8" x14ac:dyDescent="0.3">
      <c r="D924" s="26" t="s">
        <v>332</v>
      </c>
      <c r="E924" s="26" t="s">
        <v>333</v>
      </c>
      <c r="F924" s="26" t="s">
        <v>334</v>
      </c>
      <c r="G924" s="26" t="s">
        <v>335</v>
      </c>
      <c r="I924" s="26" t="s">
        <v>332</v>
      </c>
      <c r="J924" s="26" t="s">
        <v>333</v>
      </c>
      <c r="K924" s="26" t="s">
        <v>334</v>
      </c>
      <c r="L924" s="26" t="s">
        <v>335</v>
      </c>
    </row>
    <row r="925" spans="2:12" ht="13.8" x14ac:dyDescent="0.3">
      <c r="D925" s="25">
        <v>0</v>
      </c>
      <c r="E925" s="24">
        <f>SUM($E$920:$F$920)</f>
        <v>171</v>
      </c>
      <c r="F925" s="24">
        <f>SUM($E$920:$F$920) - $E$920:$E$920</f>
        <v>51</v>
      </c>
      <c r="G925" s="24">
        <f>IF($E$925:$E$925 = 0, "Undefined",$F$925:$F$925*100 / $E$925:$E$925)</f>
        <v>29.82456140350877</v>
      </c>
      <c r="I925" s="25">
        <v>0</v>
      </c>
      <c r="J925" s="24">
        <f>SUM($J$920:$K$920)</f>
        <v>129</v>
      </c>
      <c r="K925" s="24">
        <f>SUM($J$920:$K$920) - $J$920:$J$920</f>
        <v>73</v>
      </c>
      <c r="L925" s="24">
        <f>IF($J$925:$J$925 = 0, "Undefined",$K$925:$K$925*100 / $J$925:$J$925)</f>
        <v>56.589147286821706</v>
      </c>
    </row>
    <row r="926" spans="2:12" ht="13.8" x14ac:dyDescent="0.3">
      <c r="D926" s="25">
        <v>1</v>
      </c>
      <c r="E926" s="24">
        <f>SUM($E$921:$F$921)</f>
        <v>429</v>
      </c>
      <c r="F926" s="24">
        <f>SUM($E$921:$F$921) - $F$921:$F$921</f>
        <v>27</v>
      </c>
      <c r="G926" s="24">
        <f>IF($E$926:$E$926 = 0, "Undefined",$F$926:$F$926*100 / $E$926:$E$926)</f>
        <v>6.2937062937062933</v>
      </c>
      <c r="I926" s="25">
        <v>1</v>
      </c>
      <c r="J926" s="24">
        <f>SUM($J$921:$K$921)</f>
        <v>271</v>
      </c>
      <c r="K926" s="24">
        <f>SUM($J$921:$K$921) - $K$921:$K$921</f>
        <v>40</v>
      </c>
      <c r="L926" s="24">
        <f>IF($J$926:$J$926 = 0, "Undefined",$K$926:$K$926*100 / $J$926:$J$926)</f>
        <v>14.760147601476016</v>
      </c>
    </row>
    <row r="927" spans="2:12" ht="13.8" x14ac:dyDescent="0.3">
      <c r="D927" s="25" t="s">
        <v>336</v>
      </c>
      <c r="E927" s="24">
        <f>SUM($E$925:$E$926)</f>
        <v>600</v>
      </c>
      <c r="F927" s="24">
        <f>SUM($F$925:$F$926)</f>
        <v>78</v>
      </c>
      <c r="G927" s="24">
        <f>IF($E$927:$E$927 = 0, "Undefined",$F$927:$F$927*100 / $E$927:$E$927)</f>
        <v>13</v>
      </c>
      <c r="I927" s="25" t="s">
        <v>336</v>
      </c>
      <c r="J927" s="24">
        <f>SUM($J$925:$J$926)</f>
        <v>400</v>
      </c>
      <c r="K927" s="24">
        <f>SUM($K$925:$K$926)</f>
        <v>113</v>
      </c>
      <c r="L927" s="24">
        <f>IF($J$927:$J$927 = 0, "Undefined",$K$927:$K$927*100 / $J$927:$J$927)</f>
        <v>28.25</v>
      </c>
    </row>
    <row r="929" spans="2:12" ht="15.6" x14ac:dyDescent="0.3">
      <c r="B929" s="28" t="s">
        <v>401</v>
      </c>
      <c r="D929" s="59" t="s">
        <v>329</v>
      </c>
      <c r="E929" s="60"/>
      <c r="F929" s="61"/>
      <c r="I929" s="59" t="s">
        <v>329</v>
      </c>
      <c r="J929" s="60"/>
      <c r="K929" s="61"/>
    </row>
    <row r="930" spans="2:12" ht="13.8" x14ac:dyDescent="0.3">
      <c r="D930" s="26"/>
      <c r="E930" s="75" t="s">
        <v>330</v>
      </c>
      <c r="F930" s="76"/>
      <c r="I930" s="26"/>
      <c r="J930" s="75" t="s">
        <v>330</v>
      </c>
      <c r="K930" s="76"/>
    </row>
    <row r="931" spans="2:12" ht="13.8" x14ac:dyDescent="0.3">
      <c r="D931" s="25" t="s">
        <v>331</v>
      </c>
      <c r="E931" s="26">
        <v>0</v>
      </c>
      <c r="F931" s="26">
        <v>1</v>
      </c>
      <c r="I931" s="25" t="s">
        <v>331</v>
      </c>
      <c r="J931" s="26">
        <v>0</v>
      </c>
      <c r="K931" s="26">
        <v>1</v>
      </c>
    </row>
    <row r="932" spans="2:12" ht="13.8" x14ac:dyDescent="0.3">
      <c r="D932" s="25">
        <v>0</v>
      </c>
      <c r="E932" s="24">
        <v>112</v>
      </c>
      <c r="F932" s="24">
        <v>59</v>
      </c>
      <c r="I932" s="25">
        <v>0</v>
      </c>
      <c r="J932" s="24">
        <v>53</v>
      </c>
      <c r="K932" s="24">
        <v>76</v>
      </c>
    </row>
    <row r="933" spans="2:12" ht="13.8" x14ac:dyDescent="0.3">
      <c r="D933" s="25">
        <v>1</v>
      </c>
      <c r="E933" s="24">
        <v>13</v>
      </c>
      <c r="F933" s="24">
        <v>416</v>
      </c>
      <c r="I933" s="25">
        <v>1</v>
      </c>
      <c r="J933" s="24">
        <v>31</v>
      </c>
      <c r="K933" s="24">
        <v>240</v>
      </c>
    </row>
    <row r="935" spans="2:12" ht="15.6" x14ac:dyDescent="0.3">
      <c r="D935" s="59" t="s">
        <v>210</v>
      </c>
      <c r="E935" s="60"/>
      <c r="F935" s="60"/>
      <c r="G935" s="61"/>
      <c r="I935" s="59" t="s">
        <v>210</v>
      </c>
      <c r="J935" s="60"/>
      <c r="K935" s="60"/>
      <c r="L935" s="61"/>
    </row>
    <row r="936" spans="2:12" ht="13.8" x14ac:dyDescent="0.3">
      <c r="D936" s="26" t="s">
        <v>332</v>
      </c>
      <c r="E936" s="26" t="s">
        <v>333</v>
      </c>
      <c r="F936" s="26" t="s">
        <v>334</v>
      </c>
      <c r="G936" s="26" t="s">
        <v>335</v>
      </c>
      <c r="I936" s="26" t="s">
        <v>332</v>
      </c>
      <c r="J936" s="26" t="s">
        <v>333</v>
      </c>
      <c r="K936" s="26" t="s">
        <v>334</v>
      </c>
      <c r="L936" s="26" t="s">
        <v>335</v>
      </c>
    </row>
    <row r="937" spans="2:12" ht="13.8" x14ac:dyDescent="0.3">
      <c r="D937" s="25">
        <v>0</v>
      </c>
      <c r="E937" s="24">
        <f>SUM($E$932:$F$932)</f>
        <v>171</v>
      </c>
      <c r="F937" s="24">
        <f>SUM($E$932:$F$932) - $E$932:$E$932</f>
        <v>59</v>
      </c>
      <c r="G937" s="24">
        <f>IF($E$937:$E$937 = 0, "Undefined",$F$937:$F$937*100 / $E$937:$E$937)</f>
        <v>34.502923976608187</v>
      </c>
      <c r="I937" s="25">
        <v>0</v>
      </c>
      <c r="J937" s="24">
        <f>SUM($J$932:$K$932)</f>
        <v>129</v>
      </c>
      <c r="K937" s="24">
        <f>SUM($J$932:$K$932) - $J$932:$J$932</f>
        <v>76</v>
      </c>
      <c r="L937" s="24">
        <f>IF($J$937:$J$937 = 0, "Undefined",$K$937:$K$937*100 / $J$937:$J$937)</f>
        <v>58.914728682170541</v>
      </c>
    </row>
    <row r="938" spans="2:12" ht="13.8" x14ac:dyDescent="0.3">
      <c r="D938" s="25">
        <v>1</v>
      </c>
      <c r="E938" s="24">
        <f>SUM($E$933:$F$933)</f>
        <v>429</v>
      </c>
      <c r="F938" s="24">
        <f>SUM($E$933:$F$933) - $F$933:$F$933</f>
        <v>13</v>
      </c>
      <c r="G938" s="24">
        <f>IF($E$938:$E$938 = 0, "Undefined",$F$938:$F$938*100 / $E$938:$E$938)</f>
        <v>3.0303030303030303</v>
      </c>
      <c r="I938" s="25">
        <v>1</v>
      </c>
      <c r="J938" s="24">
        <f>SUM($J$933:$K$933)</f>
        <v>271</v>
      </c>
      <c r="K938" s="24">
        <f>SUM($J$933:$K$933) - $K$933:$K$933</f>
        <v>31</v>
      </c>
      <c r="L938" s="24">
        <f>IF($J$938:$J$938 = 0, "Undefined",$K$938:$K$938*100 / $J$938:$J$938)</f>
        <v>11.439114391143912</v>
      </c>
    </row>
    <row r="939" spans="2:12" ht="13.8" x14ac:dyDescent="0.3">
      <c r="D939" s="25" t="s">
        <v>336</v>
      </c>
      <c r="E939" s="24">
        <f>SUM($E$937:$E$938)</f>
        <v>600</v>
      </c>
      <c r="F939" s="24">
        <f>SUM($F$937:$F$938)</f>
        <v>72</v>
      </c>
      <c r="G939" s="24">
        <f>IF($E$939:$E$939 = 0, "Undefined",$F$939:$F$939*100 / $E$939:$E$939)</f>
        <v>12</v>
      </c>
      <c r="I939" s="25" t="s">
        <v>336</v>
      </c>
      <c r="J939" s="24">
        <f>SUM($J$937:$J$938)</f>
        <v>400</v>
      </c>
      <c r="K939" s="24">
        <f>SUM($K$937:$K$938)</f>
        <v>107</v>
      </c>
      <c r="L939" s="24">
        <f>IF($J$939:$J$939 = 0, "Undefined",$K$939:$K$939*100 / $J$939:$J$939)</f>
        <v>26.75</v>
      </c>
    </row>
    <row r="941" spans="2:12" ht="15.6" x14ac:dyDescent="0.3">
      <c r="B941" s="28" t="s">
        <v>402</v>
      </c>
      <c r="D941" s="59" t="s">
        <v>329</v>
      </c>
      <c r="E941" s="60"/>
      <c r="F941" s="61"/>
      <c r="I941" s="59" t="s">
        <v>329</v>
      </c>
      <c r="J941" s="60"/>
      <c r="K941" s="61"/>
    </row>
    <row r="942" spans="2:12" ht="13.8" x14ac:dyDescent="0.3">
      <c r="D942" s="26"/>
      <c r="E942" s="75" t="s">
        <v>330</v>
      </c>
      <c r="F942" s="76"/>
      <c r="I942" s="26"/>
      <c r="J942" s="75" t="s">
        <v>330</v>
      </c>
      <c r="K942" s="76"/>
    </row>
    <row r="943" spans="2:12" ht="13.8" x14ac:dyDescent="0.3">
      <c r="D943" s="25" t="s">
        <v>331</v>
      </c>
      <c r="E943" s="26">
        <v>0</v>
      </c>
      <c r="F943" s="26">
        <v>1</v>
      </c>
      <c r="I943" s="25" t="s">
        <v>331</v>
      </c>
      <c r="J943" s="26">
        <v>0</v>
      </c>
      <c r="K943" s="26">
        <v>1</v>
      </c>
    </row>
    <row r="944" spans="2:12" ht="13.8" x14ac:dyDescent="0.3">
      <c r="D944" s="25">
        <v>0</v>
      </c>
      <c r="E944" s="24">
        <v>122</v>
      </c>
      <c r="F944" s="24">
        <v>49</v>
      </c>
      <c r="I944" s="25">
        <v>0</v>
      </c>
      <c r="J944" s="24">
        <v>54</v>
      </c>
      <c r="K944" s="24">
        <v>75</v>
      </c>
    </row>
    <row r="945" spans="2:12" ht="13.8" x14ac:dyDescent="0.3">
      <c r="D945" s="25">
        <v>1</v>
      </c>
      <c r="E945" s="24">
        <v>28</v>
      </c>
      <c r="F945" s="24">
        <v>401</v>
      </c>
      <c r="I945" s="25">
        <v>1</v>
      </c>
      <c r="J945" s="24">
        <v>40</v>
      </c>
      <c r="K945" s="24">
        <v>231</v>
      </c>
    </row>
    <row r="947" spans="2:12" ht="15.6" x14ac:dyDescent="0.3">
      <c r="D947" s="59" t="s">
        <v>210</v>
      </c>
      <c r="E947" s="60"/>
      <c r="F947" s="60"/>
      <c r="G947" s="61"/>
      <c r="I947" s="59" t="s">
        <v>210</v>
      </c>
      <c r="J947" s="60"/>
      <c r="K947" s="60"/>
      <c r="L947" s="61"/>
    </row>
    <row r="948" spans="2:12" ht="13.8" x14ac:dyDescent="0.3">
      <c r="D948" s="26" t="s">
        <v>332</v>
      </c>
      <c r="E948" s="26" t="s">
        <v>333</v>
      </c>
      <c r="F948" s="26" t="s">
        <v>334</v>
      </c>
      <c r="G948" s="26" t="s">
        <v>335</v>
      </c>
      <c r="I948" s="26" t="s">
        <v>332</v>
      </c>
      <c r="J948" s="26" t="s">
        <v>333</v>
      </c>
      <c r="K948" s="26" t="s">
        <v>334</v>
      </c>
      <c r="L948" s="26" t="s">
        <v>335</v>
      </c>
    </row>
    <row r="949" spans="2:12" ht="13.8" x14ac:dyDescent="0.3">
      <c r="D949" s="25">
        <v>0</v>
      </c>
      <c r="E949" s="24">
        <f>SUM($E$944:$F$944)</f>
        <v>171</v>
      </c>
      <c r="F949" s="24">
        <f>SUM($E$944:$F$944) - $E$944:$E$944</f>
        <v>49</v>
      </c>
      <c r="G949" s="24">
        <f>IF($E$949:$E$949 = 0, "Undefined",$F$949:$F$949*100 / $E$949:$E$949)</f>
        <v>28.654970760233919</v>
      </c>
      <c r="I949" s="25">
        <v>0</v>
      </c>
      <c r="J949" s="24">
        <f>SUM($J$944:$K$944)</f>
        <v>129</v>
      </c>
      <c r="K949" s="24">
        <f>SUM($J$944:$K$944) - $J$944:$J$944</f>
        <v>75</v>
      </c>
      <c r="L949" s="24">
        <f>IF($J$949:$J$949 = 0, "Undefined",$K$949:$K$949*100 / $J$949:$J$949)</f>
        <v>58.139534883720927</v>
      </c>
    </row>
    <row r="950" spans="2:12" ht="13.8" x14ac:dyDescent="0.3">
      <c r="D950" s="25">
        <v>1</v>
      </c>
      <c r="E950" s="24">
        <f>SUM($E$945:$F$945)</f>
        <v>429</v>
      </c>
      <c r="F950" s="24">
        <f>SUM($E$945:$F$945) - $F$945:$F$945</f>
        <v>28</v>
      </c>
      <c r="G950" s="24">
        <f>IF($E$950:$E$950 = 0, "Undefined",$F$950:$F$950*100 / $E$950:$E$950)</f>
        <v>6.526806526806527</v>
      </c>
      <c r="I950" s="25">
        <v>1</v>
      </c>
      <c r="J950" s="24">
        <f>SUM($J$945:$K$945)</f>
        <v>271</v>
      </c>
      <c r="K950" s="24">
        <f>SUM($J$945:$K$945) - $K$945:$K$945</f>
        <v>40</v>
      </c>
      <c r="L950" s="24">
        <f>IF($J$950:$J$950 = 0, "Undefined",$K$950:$K$950*100 / $J$950:$J$950)</f>
        <v>14.760147601476016</v>
      </c>
    </row>
    <row r="951" spans="2:12" ht="13.8" x14ac:dyDescent="0.3">
      <c r="D951" s="25" t="s">
        <v>336</v>
      </c>
      <c r="E951" s="24">
        <f>SUM($E$949:$E$950)</f>
        <v>600</v>
      </c>
      <c r="F951" s="24">
        <f>SUM($F$949:$F$950)</f>
        <v>77</v>
      </c>
      <c r="G951" s="24">
        <f>IF($E$951:$E$951 = 0, "Undefined",$F$951:$F$951*100 / $E$951:$E$951)</f>
        <v>12.833333333333334</v>
      </c>
      <c r="I951" s="25" t="s">
        <v>336</v>
      </c>
      <c r="J951" s="24">
        <f>SUM($J$949:$J$950)</f>
        <v>400</v>
      </c>
      <c r="K951" s="24">
        <f>SUM($K$949:$K$950)</f>
        <v>115</v>
      </c>
      <c r="L951" s="24">
        <f>IF($J$951:$J$951 = 0, "Undefined",$K$951:$K$951*100 / $J$951:$J$951)</f>
        <v>28.75</v>
      </c>
    </row>
    <row r="953" spans="2:12" ht="15.6" x14ac:dyDescent="0.3">
      <c r="B953" s="28" t="s">
        <v>403</v>
      </c>
      <c r="D953" s="59" t="s">
        <v>329</v>
      </c>
      <c r="E953" s="60"/>
      <c r="F953" s="61"/>
      <c r="I953" s="59" t="s">
        <v>329</v>
      </c>
      <c r="J953" s="60"/>
      <c r="K953" s="61"/>
    </row>
    <row r="954" spans="2:12" ht="13.8" x14ac:dyDescent="0.3">
      <c r="D954" s="26"/>
      <c r="E954" s="75" t="s">
        <v>330</v>
      </c>
      <c r="F954" s="76"/>
      <c r="I954" s="26"/>
      <c r="J954" s="75" t="s">
        <v>330</v>
      </c>
      <c r="K954" s="76"/>
    </row>
    <row r="955" spans="2:12" ht="13.8" x14ac:dyDescent="0.3">
      <c r="D955" s="25" t="s">
        <v>331</v>
      </c>
      <c r="E955" s="26">
        <v>0</v>
      </c>
      <c r="F955" s="26">
        <v>1</v>
      </c>
      <c r="I955" s="25" t="s">
        <v>331</v>
      </c>
      <c r="J955" s="26">
        <v>0</v>
      </c>
      <c r="K955" s="26">
        <v>1</v>
      </c>
    </row>
    <row r="956" spans="2:12" ht="13.8" x14ac:dyDescent="0.3">
      <c r="D956" s="25">
        <v>0</v>
      </c>
      <c r="E956" s="24">
        <v>111</v>
      </c>
      <c r="F956" s="24">
        <v>60</v>
      </c>
      <c r="I956" s="25">
        <v>0</v>
      </c>
      <c r="J956" s="24">
        <v>47</v>
      </c>
      <c r="K956" s="24">
        <v>82</v>
      </c>
    </row>
    <row r="957" spans="2:12" ht="13.8" x14ac:dyDescent="0.3">
      <c r="D957" s="25">
        <v>1</v>
      </c>
      <c r="E957" s="24">
        <v>12</v>
      </c>
      <c r="F957" s="24">
        <v>417</v>
      </c>
      <c r="I957" s="25">
        <v>1</v>
      </c>
      <c r="J957" s="24">
        <v>30</v>
      </c>
      <c r="K957" s="24">
        <v>241</v>
      </c>
    </row>
    <row r="959" spans="2:12" ht="15.6" x14ac:dyDescent="0.3">
      <c r="D959" s="59" t="s">
        <v>210</v>
      </c>
      <c r="E959" s="60"/>
      <c r="F959" s="60"/>
      <c r="G959" s="61"/>
      <c r="I959" s="59" t="s">
        <v>210</v>
      </c>
      <c r="J959" s="60"/>
      <c r="K959" s="60"/>
      <c r="L959" s="61"/>
    </row>
    <row r="960" spans="2:12" ht="13.8" x14ac:dyDescent="0.3">
      <c r="D960" s="26" t="s">
        <v>332</v>
      </c>
      <c r="E960" s="26" t="s">
        <v>333</v>
      </c>
      <c r="F960" s="26" t="s">
        <v>334</v>
      </c>
      <c r="G960" s="26" t="s">
        <v>335</v>
      </c>
      <c r="I960" s="26" t="s">
        <v>332</v>
      </c>
      <c r="J960" s="26" t="s">
        <v>333</v>
      </c>
      <c r="K960" s="26" t="s">
        <v>334</v>
      </c>
      <c r="L960" s="26" t="s">
        <v>335</v>
      </c>
    </row>
    <row r="961" spans="2:12" ht="13.8" x14ac:dyDescent="0.3">
      <c r="D961" s="25">
        <v>0</v>
      </c>
      <c r="E961" s="24">
        <f>SUM($E$956:$F$956)</f>
        <v>171</v>
      </c>
      <c r="F961" s="24">
        <f>SUM($E$956:$F$956) - $E$956:$E$956</f>
        <v>60</v>
      </c>
      <c r="G961" s="24">
        <f>IF($E$961:$E$961 = 0, "Undefined",$F$961:$F$961*100 / $E$961:$E$961)</f>
        <v>35.087719298245617</v>
      </c>
      <c r="I961" s="25">
        <v>0</v>
      </c>
      <c r="J961" s="24">
        <f>SUM($J$956:$K$956)</f>
        <v>129</v>
      </c>
      <c r="K961" s="24">
        <f>SUM($J$956:$K$956) - $J$956:$J$956</f>
        <v>82</v>
      </c>
      <c r="L961" s="24">
        <f>IF($J$961:$J$961 = 0, "Undefined",$K$961:$K$961*100 / $J$961:$J$961)</f>
        <v>63.565891472868216</v>
      </c>
    </row>
    <row r="962" spans="2:12" ht="13.8" x14ac:dyDescent="0.3">
      <c r="D962" s="25">
        <v>1</v>
      </c>
      <c r="E962" s="24">
        <f>SUM($E$957:$F$957)</f>
        <v>429</v>
      </c>
      <c r="F962" s="24">
        <f>SUM($E$957:$F$957) - $F$957:$F$957</f>
        <v>12</v>
      </c>
      <c r="G962" s="24">
        <f>IF($E$962:$E$962 = 0, "Undefined",$F$962:$F$962*100 / $E$962:$E$962)</f>
        <v>2.7972027972027971</v>
      </c>
      <c r="I962" s="25">
        <v>1</v>
      </c>
      <c r="J962" s="24">
        <f>SUM($J$957:$K$957)</f>
        <v>271</v>
      </c>
      <c r="K962" s="24">
        <f>SUM($J$957:$K$957) - $K$957:$K$957</f>
        <v>30</v>
      </c>
      <c r="L962" s="24">
        <f>IF($J$962:$J$962 = 0, "Undefined",$K$962:$K$962*100 / $J$962:$J$962)</f>
        <v>11.07011070110701</v>
      </c>
    </row>
    <row r="963" spans="2:12" ht="13.8" x14ac:dyDescent="0.3">
      <c r="D963" s="25" t="s">
        <v>336</v>
      </c>
      <c r="E963" s="24">
        <f>SUM($E$961:$E$962)</f>
        <v>600</v>
      </c>
      <c r="F963" s="24">
        <f>SUM($F$961:$F$962)</f>
        <v>72</v>
      </c>
      <c r="G963" s="24">
        <f>IF($E$963:$E$963 = 0, "Undefined",$F$963:$F$963*100 / $E$963:$E$963)</f>
        <v>12</v>
      </c>
      <c r="I963" s="25" t="s">
        <v>336</v>
      </c>
      <c r="J963" s="24">
        <f>SUM($J$961:$J$962)</f>
        <v>400</v>
      </c>
      <c r="K963" s="24">
        <f>SUM($K$961:$K$962)</f>
        <v>112</v>
      </c>
      <c r="L963" s="24">
        <f>IF($J$963:$J$963 = 0, "Undefined",$K$963:$K$963*100 / $J$963:$J$963)</f>
        <v>28</v>
      </c>
    </row>
    <row r="965" spans="2:12" ht="15.6" x14ac:dyDescent="0.3">
      <c r="B965" s="28" t="s">
        <v>404</v>
      </c>
      <c r="D965" s="59" t="s">
        <v>329</v>
      </c>
      <c r="E965" s="60"/>
      <c r="F965" s="61"/>
      <c r="I965" s="59" t="s">
        <v>329</v>
      </c>
      <c r="J965" s="60"/>
      <c r="K965" s="61"/>
    </row>
    <row r="966" spans="2:12" ht="13.8" x14ac:dyDescent="0.3">
      <c r="D966" s="26"/>
      <c r="E966" s="75" t="s">
        <v>330</v>
      </c>
      <c r="F966" s="76"/>
      <c r="I966" s="26"/>
      <c r="J966" s="75" t="s">
        <v>330</v>
      </c>
      <c r="K966" s="76"/>
    </row>
    <row r="967" spans="2:12" ht="13.8" x14ac:dyDescent="0.3">
      <c r="D967" s="25" t="s">
        <v>331</v>
      </c>
      <c r="E967" s="26">
        <v>0</v>
      </c>
      <c r="F967" s="26">
        <v>1</v>
      </c>
      <c r="I967" s="25" t="s">
        <v>331</v>
      </c>
      <c r="J967" s="26">
        <v>0</v>
      </c>
      <c r="K967" s="26">
        <v>1</v>
      </c>
    </row>
    <row r="968" spans="2:12" ht="13.8" x14ac:dyDescent="0.3">
      <c r="D968" s="25">
        <v>0</v>
      </c>
      <c r="E968" s="24">
        <v>119</v>
      </c>
      <c r="F968" s="24">
        <v>52</v>
      </c>
      <c r="I968" s="25">
        <v>0</v>
      </c>
      <c r="J968" s="24">
        <v>60</v>
      </c>
      <c r="K968" s="24">
        <v>69</v>
      </c>
    </row>
    <row r="969" spans="2:12" ht="13.8" x14ac:dyDescent="0.3">
      <c r="D969" s="25">
        <v>1</v>
      </c>
      <c r="E969" s="24">
        <v>28</v>
      </c>
      <c r="F969" s="24">
        <v>401</v>
      </c>
      <c r="I969" s="25">
        <v>1</v>
      </c>
      <c r="J969" s="24">
        <v>35</v>
      </c>
      <c r="K969" s="24">
        <v>236</v>
      </c>
    </row>
    <row r="971" spans="2:12" ht="15.6" x14ac:dyDescent="0.3">
      <c r="D971" s="59" t="s">
        <v>210</v>
      </c>
      <c r="E971" s="60"/>
      <c r="F971" s="60"/>
      <c r="G971" s="61"/>
      <c r="I971" s="59" t="s">
        <v>210</v>
      </c>
      <c r="J971" s="60"/>
      <c r="K971" s="60"/>
      <c r="L971" s="61"/>
    </row>
    <row r="972" spans="2:12" ht="13.8" x14ac:dyDescent="0.3">
      <c r="D972" s="26" t="s">
        <v>332</v>
      </c>
      <c r="E972" s="26" t="s">
        <v>333</v>
      </c>
      <c r="F972" s="26" t="s">
        <v>334</v>
      </c>
      <c r="G972" s="26" t="s">
        <v>335</v>
      </c>
      <c r="I972" s="26" t="s">
        <v>332</v>
      </c>
      <c r="J972" s="26" t="s">
        <v>333</v>
      </c>
      <c r="K972" s="26" t="s">
        <v>334</v>
      </c>
      <c r="L972" s="26" t="s">
        <v>335</v>
      </c>
    </row>
    <row r="973" spans="2:12" ht="13.8" x14ac:dyDescent="0.3">
      <c r="D973" s="25">
        <v>0</v>
      </c>
      <c r="E973" s="24">
        <f>SUM($E$968:$F$968)</f>
        <v>171</v>
      </c>
      <c r="F973" s="24">
        <f>SUM($E$968:$F$968) - $E$968:$E$968</f>
        <v>52</v>
      </c>
      <c r="G973" s="24">
        <f>IF($E$973:$E$973 = 0, "Undefined",$F$973:$F$973*100 / $E$973:$E$973)</f>
        <v>30.4093567251462</v>
      </c>
      <c r="I973" s="25">
        <v>0</v>
      </c>
      <c r="J973" s="24">
        <f>SUM($J$968:$K$968)</f>
        <v>129</v>
      </c>
      <c r="K973" s="24">
        <f>SUM($J$968:$K$968) - $J$968:$J$968</f>
        <v>69</v>
      </c>
      <c r="L973" s="24">
        <f>IF($J$973:$J$973 = 0, "Undefined",$K$973:$K$973*100 / $J$973:$J$973)</f>
        <v>53.488372093023258</v>
      </c>
    </row>
    <row r="974" spans="2:12" ht="13.8" x14ac:dyDescent="0.3">
      <c r="D974" s="25">
        <v>1</v>
      </c>
      <c r="E974" s="24">
        <f>SUM($E$969:$F$969)</f>
        <v>429</v>
      </c>
      <c r="F974" s="24">
        <f>SUM($E$969:$F$969) - $F$969:$F$969</f>
        <v>28</v>
      </c>
      <c r="G974" s="24">
        <f>IF($E$974:$E$974 = 0, "Undefined",$F$974:$F$974*100 / $E$974:$E$974)</f>
        <v>6.526806526806527</v>
      </c>
      <c r="I974" s="25">
        <v>1</v>
      </c>
      <c r="J974" s="24">
        <f>SUM($J$969:$K$969)</f>
        <v>271</v>
      </c>
      <c r="K974" s="24">
        <f>SUM($J$969:$K$969) - $K$969:$K$969</f>
        <v>35</v>
      </c>
      <c r="L974" s="24">
        <f>IF($J$974:$J$974 = 0, "Undefined",$K$974:$K$974*100 / $J$974:$J$974)</f>
        <v>12.915129151291513</v>
      </c>
    </row>
    <row r="975" spans="2:12" ht="13.8" x14ac:dyDescent="0.3">
      <c r="D975" s="25" t="s">
        <v>336</v>
      </c>
      <c r="E975" s="24">
        <f>SUM($E$973:$E$974)</f>
        <v>600</v>
      </c>
      <c r="F975" s="24">
        <f>SUM($F$973:$F$974)</f>
        <v>80</v>
      </c>
      <c r="G975" s="24">
        <f>IF($E$975:$E$975 = 0, "Undefined",$F$975:$F$975*100 / $E$975:$E$975)</f>
        <v>13.333333333333334</v>
      </c>
      <c r="I975" s="25" t="s">
        <v>336</v>
      </c>
      <c r="J975" s="24">
        <f>SUM($J$973:$J$974)</f>
        <v>400</v>
      </c>
      <c r="K975" s="24">
        <f>SUM($K$973:$K$974)</f>
        <v>104</v>
      </c>
      <c r="L975" s="24">
        <f>IF($J$975:$J$975 = 0, "Undefined",$K$975:$K$975*100 / $J$975:$J$975)</f>
        <v>26</v>
      </c>
    </row>
    <row r="977" spans="2:12" ht="15.6" x14ac:dyDescent="0.3">
      <c r="B977" s="28" t="s">
        <v>405</v>
      </c>
      <c r="D977" s="59" t="s">
        <v>329</v>
      </c>
      <c r="E977" s="60"/>
      <c r="F977" s="61"/>
      <c r="I977" s="59" t="s">
        <v>329</v>
      </c>
      <c r="J977" s="60"/>
      <c r="K977" s="61"/>
    </row>
    <row r="978" spans="2:12" ht="13.8" x14ac:dyDescent="0.3">
      <c r="D978" s="26"/>
      <c r="E978" s="75" t="s">
        <v>330</v>
      </c>
      <c r="F978" s="76"/>
      <c r="I978" s="26"/>
      <c r="J978" s="75" t="s">
        <v>330</v>
      </c>
      <c r="K978" s="76"/>
    </row>
    <row r="979" spans="2:12" ht="13.8" x14ac:dyDescent="0.3">
      <c r="D979" s="25" t="s">
        <v>331</v>
      </c>
      <c r="E979" s="26">
        <v>0</v>
      </c>
      <c r="F979" s="26">
        <v>1</v>
      </c>
      <c r="I979" s="25" t="s">
        <v>331</v>
      </c>
      <c r="J979" s="26">
        <v>0</v>
      </c>
      <c r="K979" s="26">
        <v>1</v>
      </c>
    </row>
    <row r="980" spans="2:12" ht="13.8" x14ac:dyDescent="0.3">
      <c r="D980" s="25">
        <v>0</v>
      </c>
      <c r="E980" s="24">
        <v>114</v>
      </c>
      <c r="F980" s="24">
        <v>57</v>
      </c>
      <c r="I980" s="25">
        <v>0</v>
      </c>
      <c r="J980" s="24">
        <v>53</v>
      </c>
      <c r="K980" s="24">
        <v>76</v>
      </c>
    </row>
    <row r="981" spans="2:12" ht="13.8" x14ac:dyDescent="0.3">
      <c r="D981" s="25">
        <v>1</v>
      </c>
      <c r="E981" s="24">
        <v>28</v>
      </c>
      <c r="F981" s="24">
        <v>401</v>
      </c>
      <c r="I981" s="25">
        <v>1</v>
      </c>
      <c r="J981" s="24">
        <v>37</v>
      </c>
      <c r="K981" s="24">
        <v>234</v>
      </c>
    </row>
    <row r="983" spans="2:12" ht="15.6" x14ac:dyDescent="0.3">
      <c r="D983" s="59" t="s">
        <v>210</v>
      </c>
      <c r="E983" s="60"/>
      <c r="F983" s="60"/>
      <c r="G983" s="61"/>
      <c r="I983" s="59" t="s">
        <v>210</v>
      </c>
      <c r="J983" s="60"/>
      <c r="K983" s="60"/>
      <c r="L983" s="61"/>
    </row>
    <row r="984" spans="2:12" ht="13.8" x14ac:dyDescent="0.3">
      <c r="D984" s="26" t="s">
        <v>332</v>
      </c>
      <c r="E984" s="26" t="s">
        <v>333</v>
      </c>
      <c r="F984" s="26" t="s">
        <v>334</v>
      </c>
      <c r="G984" s="26" t="s">
        <v>335</v>
      </c>
      <c r="I984" s="26" t="s">
        <v>332</v>
      </c>
      <c r="J984" s="26" t="s">
        <v>333</v>
      </c>
      <c r="K984" s="26" t="s">
        <v>334</v>
      </c>
      <c r="L984" s="26" t="s">
        <v>335</v>
      </c>
    </row>
    <row r="985" spans="2:12" ht="13.8" x14ac:dyDescent="0.3">
      <c r="D985" s="25">
        <v>0</v>
      </c>
      <c r="E985" s="24">
        <f>SUM($E$980:$F$980)</f>
        <v>171</v>
      </c>
      <c r="F985" s="24">
        <f>SUM($E$980:$F$980) - $E$980:$E$980</f>
        <v>57</v>
      </c>
      <c r="G985" s="24">
        <f>IF($E$985:$E$985 = 0, "Undefined",$F$985:$F$985*100 / $E$985:$E$985)</f>
        <v>33.333333333333336</v>
      </c>
      <c r="I985" s="25">
        <v>0</v>
      </c>
      <c r="J985" s="24">
        <f>SUM($J$980:$K$980)</f>
        <v>129</v>
      </c>
      <c r="K985" s="24">
        <f>SUM($J$980:$K$980) - $J$980:$J$980</f>
        <v>76</v>
      </c>
      <c r="L985" s="24">
        <f>IF($J$985:$J$985 = 0, "Undefined",$K$985:$K$985*100 / $J$985:$J$985)</f>
        <v>58.914728682170541</v>
      </c>
    </row>
    <row r="986" spans="2:12" ht="13.8" x14ac:dyDescent="0.3">
      <c r="D986" s="25">
        <v>1</v>
      </c>
      <c r="E986" s="24">
        <f>SUM($E$981:$F$981)</f>
        <v>429</v>
      </c>
      <c r="F986" s="24">
        <f>SUM($E$981:$F$981) - $F$981:$F$981</f>
        <v>28</v>
      </c>
      <c r="G986" s="24">
        <f>IF($E$986:$E$986 = 0, "Undefined",$F$986:$F$986*100 / $E$986:$E$986)</f>
        <v>6.526806526806527</v>
      </c>
      <c r="I986" s="25">
        <v>1</v>
      </c>
      <c r="J986" s="24">
        <f>SUM($J$981:$K$981)</f>
        <v>271</v>
      </c>
      <c r="K986" s="24">
        <f>SUM($J$981:$K$981) - $K$981:$K$981</f>
        <v>37</v>
      </c>
      <c r="L986" s="24">
        <f>IF($J$986:$J$986 = 0, "Undefined",$K$986:$K$986*100 / $J$986:$J$986)</f>
        <v>13.653136531365314</v>
      </c>
    </row>
    <row r="987" spans="2:12" ht="13.8" x14ac:dyDescent="0.3">
      <c r="D987" s="25" t="s">
        <v>336</v>
      </c>
      <c r="E987" s="24">
        <f>SUM($E$985:$E$986)</f>
        <v>600</v>
      </c>
      <c r="F987" s="24">
        <f>SUM($F$985:$F$986)</f>
        <v>85</v>
      </c>
      <c r="G987" s="24">
        <f>IF($E$987:$E$987 = 0, "Undefined",$F$987:$F$987*100 / $E$987:$E$987)</f>
        <v>14.166666666666666</v>
      </c>
      <c r="I987" s="25" t="s">
        <v>336</v>
      </c>
      <c r="J987" s="24">
        <f>SUM($J$985:$J$986)</f>
        <v>400</v>
      </c>
      <c r="K987" s="24">
        <f>SUM($K$985:$K$986)</f>
        <v>113</v>
      </c>
      <c r="L987" s="24">
        <f>IF($J$987:$J$987 = 0, "Undefined",$K$987:$K$987*100 / $J$987:$J$987)</f>
        <v>28.25</v>
      </c>
    </row>
    <row r="989" spans="2:12" ht="15.6" x14ac:dyDescent="0.3">
      <c r="B989" s="28" t="s">
        <v>406</v>
      </c>
      <c r="D989" s="59" t="s">
        <v>329</v>
      </c>
      <c r="E989" s="60"/>
      <c r="F989" s="61"/>
      <c r="I989" s="59" t="s">
        <v>329</v>
      </c>
      <c r="J989" s="60"/>
      <c r="K989" s="61"/>
    </row>
    <row r="990" spans="2:12" ht="13.8" x14ac:dyDescent="0.3">
      <c r="D990" s="26"/>
      <c r="E990" s="75" t="s">
        <v>330</v>
      </c>
      <c r="F990" s="76"/>
      <c r="I990" s="26"/>
      <c r="J990" s="75" t="s">
        <v>330</v>
      </c>
      <c r="K990" s="76"/>
    </row>
    <row r="991" spans="2:12" ht="13.8" x14ac:dyDescent="0.3">
      <c r="D991" s="25" t="s">
        <v>331</v>
      </c>
      <c r="E991" s="26">
        <v>0</v>
      </c>
      <c r="F991" s="26">
        <v>1</v>
      </c>
      <c r="I991" s="25" t="s">
        <v>331</v>
      </c>
      <c r="J991" s="26">
        <v>0</v>
      </c>
      <c r="K991" s="26">
        <v>1</v>
      </c>
    </row>
    <row r="992" spans="2:12" ht="13.8" x14ac:dyDescent="0.3">
      <c r="D992" s="25">
        <v>0</v>
      </c>
      <c r="E992" s="24">
        <v>118</v>
      </c>
      <c r="F992" s="24">
        <v>53</v>
      </c>
      <c r="I992" s="25">
        <v>0</v>
      </c>
      <c r="J992" s="24">
        <v>61</v>
      </c>
      <c r="K992" s="24">
        <v>68</v>
      </c>
    </row>
    <row r="993" spans="2:12" ht="13.8" x14ac:dyDescent="0.3">
      <c r="D993" s="25">
        <v>1</v>
      </c>
      <c r="E993" s="24">
        <v>27</v>
      </c>
      <c r="F993" s="24">
        <v>402</v>
      </c>
      <c r="I993" s="25">
        <v>1</v>
      </c>
      <c r="J993" s="24">
        <v>36</v>
      </c>
      <c r="K993" s="24">
        <v>235</v>
      </c>
    </row>
    <row r="995" spans="2:12" ht="15.6" x14ac:dyDescent="0.3">
      <c r="D995" s="59" t="s">
        <v>210</v>
      </c>
      <c r="E995" s="60"/>
      <c r="F995" s="60"/>
      <c r="G995" s="61"/>
      <c r="I995" s="59" t="s">
        <v>210</v>
      </c>
      <c r="J995" s="60"/>
      <c r="K995" s="60"/>
      <c r="L995" s="61"/>
    </row>
    <row r="996" spans="2:12" ht="13.8" x14ac:dyDescent="0.3">
      <c r="D996" s="26" t="s">
        <v>332</v>
      </c>
      <c r="E996" s="26" t="s">
        <v>333</v>
      </c>
      <c r="F996" s="26" t="s">
        <v>334</v>
      </c>
      <c r="G996" s="26" t="s">
        <v>335</v>
      </c>
      <c r="I996" s="26" t="s">
        <v>332</v>
      </c>
      <c r="J996" s="26" t="s">
        <v>333</v>
      </c>
      <c r="K996" s="26" t="s">
        <v>334</v>
      </c>
      <c r="L996" s="26" t="s">
        <v>335</v>
      </c>
    </row>
    <row r="997" spans="2:12" ht="13.8" x14ac:dyDescent="0.3">
      <c r="D997" s="25">
        <v>0</v>
      </c>
      <c r="E997" s="24">
        <f>SUM($E$992:$F$992)</f>
        <v>171</v>
      </c>
      <c r="F997" s="24">
        <f>SUM($E$992:$F$992) - $E$992:$E$992</f>
        <v>53</v>
      </c>
      <c r="G997" s="24">
        <f>IF($E$997:$E$997 = 0, "Undefined",$F$997:$F$997*100 / $E$997:$E$997)</f>
        <v>30.994152046783626</v>
      </c>
      <c r="I997" s="25">
        <v>0</v>
      </c>
      <c r="J997" s="24">
        <f>SUM($J$992:$K$992)</f>
        <v>129</v>
      </c>
      <c r="K997" s="24">
        <f>SUM($J$992:$K$992) - $J$992:$J$992</f>
        <v>68</v>
      </c>
      <c r="L997" s="24">
        <f>IF($J$997:$J$997 = 0, "Undefined",$K$997:$K$997*100 / $J$997:$J$997)</f>
        <v>52.713178294573645</v>
      </c>
    </row>
    <row r="998" spans="2:12" ht="13.8" x14ac:dyDescent="0.3">
      <c r="D998" s="25">
        <v>1</v>
      </c>
      <c r="E998" s="24">
        <f>SUM($E$993:$F$993)</f>
        <v>429</v>
      </c>
      <c r="F998" s="24">
        <f>SUM($E$993:$F$993) - $F$993:$F$993</f>
        <v>27</v>
      </c>
      <c r="G998" s="24">
        <f>IF($E$998:$E$998 = 0, "Undefined",$F$998:$F$998*100 / $E$998:$E$998)</f>
        <v>6.2937062937062933</v>
      </c>
      <c r="I998" s="25">
        <v>1</v>
      </c>
      <c r="J998" s="24">
        <f>SUM($J$993:$K$993)</f>
        <v>271</v>
      </c>
      <c r="K998" s="24">
        <f>SUM($J$993:$K$993) - $K$993:$K$993</f>
        <v>36</v>
      </c>
      <c r="L998" s="24">
        <f>IF($J$998:$J$998 = 0, "Undefined",$K$998:$K$998*100 / $J$998:$J$998)</f>
        <v>13.284132841328413</v>
      </c>
    </row>
    <row r="999" spans="2:12" ht="13.8" x14ac:dyDescent="0.3">
      <c r="D999" s="25" t="s">
        <v>336</v>
      </c>
      <c r="E999" s="24">
        <f>SUM($E$997:$E$998)</f>
        <v>600</v>
      </c>
      <c r="F999" s="24">
        <f>SUM($F$997:$F$998)</f>
        <v>80</v>
      </c>
      <c r="G999" s="24">
        <f>IF($E$999:$E$999 = 0, "Undefined",$F$999:$F$999*100 / $E$999:$E$999)</f>
        <v>13.333333333333334</v>
      </c>
      <c r="I999" s="25" t="s">
        <v>336</v>
      </c>
      <c r="J999" s="24">
        <f>SUM($J$997:$J$998)</f>
        <v>400</v>
      </c>
      <c r="K999" s="24">
        <f>SUM($K$997:$K$998)</f>
        <v>104</v>
      </c>
      <c r="L999" s="24">
        <f>IF($J$999:$J$999 = 0, "Undefined",$K$999:$K$999*100 / $J$999:$J$999)</f>
        <v>26</v>
      </c>
    </row>
    <row r="1001" spans="2:12" ht="15.6" x14ac:dyDescent="0.3">
      <c r="B1001" s="28" t="s">
        <v>407</v>
      </c>
      <c r="D1001" s="59" t="s">
        <v>329</v>
      </c>
      <c r="E1001" s="60"/>
      <c r="F1001" s="61"/>
      <c r="I1001" s="59" t="s">
        <v>329</v>
      </c>
      <c r="J1001" s="60"/>
      <c r="K1001" s="61"/>
    </row>
    <row r="1002" spans="2:12" ht="13.8" x14ac:dyDescent="0.3">
      <c r="D1002" s="26"/>
      <c r="E1002" s="75" t="s">
        <v>330</v>
      </c>
      <c r="F1002" s="76"/>
      <c r="I1002" s="26"/>
      <c r="J1002" s="75" t="s">
        <v>330</v>
      </c>
      <c r="K1002" s="76"/>
    </row>
    <row r="1003" spans="2:12" ht="13.8" x14ac:dyDescent="0.3">
      <c r="D1003" s="25" t="s">
        <v>331</v>
      </c>
      <c r="E1003" s="26">
        <v>0</v>
      </c>
      <c r="F1003" s="26">
        <v>1</v>
      </c>
      <c r="I1003" s="25" t="s">
        <v>331</v>
      </c>
      <c r="J1003" s="26">
        <v>0</v>
      </c>
      <c r="K1003" s="26">
        <v>1</v>
      </c>
    </row>
    <row r="1004" spans="2:12" ht="13.8" x14ac:dyDescent="0.3">
      <c r="D1004" s="25">
        <v>0</v>
      </c>
      <c r="E1004" s="24">
        <v>110</v>
      </c>
      <c r="F1004" s="24">
        <v>61</v>
      </c>
      <c r="I1004" s="25">
        <v>0</v>
      </c>
      <c r="J1004" s="24">
        <v>51</v>
      </c>
      <c r="K1004" s="24">
        <v>78</v>
      </c>
    </row>
    <row r="1005" spans="2:12" ht="13.8" x14ac:dyDescent="0.3">
      <c r="D1005" s="25">
        <v>1</v>
      </c>
      <c r="E1005" s="24">
        <v>12</v>
      </c>
      <c r="F1005" s="24">
        <v>417</v>
      </c>
      <c r="I1005" s="25">
        <v>1</v>
      </c>
      <c r="J1005" s="24">
        <v>29</v>
      </c>
      <c r="K1005" s="24">
        <v>242</v>
      </c>
    </row>
    <row r="1007" spans="2:12" ht="15.6" x14ac:dyDescent="0.3">
      <c r="D1007" s="59" t="s">
        <v>210</v>
      </c>
      <c r="E1007" s="60"/>
      <c r="F1007" s="60"/>
      <c r="G1007" s="61"/>
      <c r="I1007" s="59" t="s">
        <v>210</v>
      </c>
      <c r="J1007" s="60"/>
      <c r="K1007" s="60"/>
      <c r="L1007" s="61"/>
    </row>
    <row r="1008" spans="2:12" ht="13.8" x14ac:dyDescent="0.3">
      <c r="D1008" s="26" t="s">
        <v>332</v>
      </c>
      <c r="E1008" s="26" t="s">
        <v>333</v>
      </c>
      <c r="F1008" s="26" t="s">
        <v>334</v>
      </c>
      <c r="G1008" s="26" t="s">
        <v>335</v>
      </c>
      <c r="I1008" s="26" t="s">
        <v>332</v>
      </c>
      <c r="J1008" s="26" t="s">
        <v>333</v>
      </c>
      <c r="K1008" s="26" t="s">
        <v>334</v>
      </c>
      <c r="L1008" s="26" t="s">
        <v>335</v>
      </c>
    </row>
    <row r="1009" spans="2:12" ht="13.8" x14ac:dyDescent="0.3">
      <c r="D1009" s="25">
        <v>0</v>
      </c>
      <c r="E1009" s="24">
        <f>SUM($E$1004:$F$1004)</f>
        <v>171</v>
      </c>
      <c r="F1009" s="24">
        <f>SUM($E$1004:$F$1004) - $E$1004:$E$1004</f>
        <v>61</v>
      </c>
      <c r="G1009" s="24">
        <f>IF($E$1009:$E$1009 = 0, "Undefined",$F$1009:$F$1009*100 / $E$1009:$E$1009)</f>
        <v>35.672514619883039</v>
      </c>
      <c r="I1009" s="25">
        <v>0</v>
      </c>
      <c r="J1009" s="24">
        <f>SUM($J$1004:$K$1004)</f>
        <v>129</v>
      </c>
      <c r="K1009" s="24">
        <f>SUM($J$1004:$K$1004) - $J$1004:$J$1004</f>
        <v>78</v>
      </c>
      <c r="L1009" s="24">
        <f>IF($J$1009:$J$1009 = 0, "Undefined",$K$1009:$K$1009*100 / $J$1009:$J$1009)</f>
        <v>60.465116279069768</v>
      </c>
    </row>
    <row r="1010" spans="2:12" ht="13.8" x14ac:dyDescent="0.3">
      <c r="D1010" s="25">
        <v>1</v>
      </c>
      <c r="E1010" s="24">
        <f>SUM($E$1005:$F$1005)</f>
        <v>429</v>
      </c>
      <c r="F1010" s="24">
        <f>SUM($E$1005:$F$1005) - $F$1005:$F$1005</f>
        <v>12</v>
      </c>
      <c r="G1010" s="24">
        <f>IF($E$1010:$E$1010 = 0, "Undefined",$F$1010:$F$1010*100 / $E$1010:$E$1010)</f>
        <v>2.7972027972027971</v>
      </c>
      <c r="I1010" s="25">
        <v>1</v>
      </c>
      <c r="J1010" s="24">
        <f>SUM($J$1005:$K$1005)</f>
        <v>271</v>
      </c>
      <c r="K1010" s="24">
        <f>SUM($J$1005:$K$1005) - $K$1005:$K$1005</f>
        <v>29</v>
      </c>
      <c r="L1010" s="24">
        <f>IF($J$1010:$J$1010 = 0, "Undefined",$K$1010:$K$1010*100 / $J$1010:$J$1010)</f>
        <v>10.701107011070111</v>
      </c>
    </row>
    <row r="1011" spans="2:12" ht="13.8" x14ac:dyDescent="0.3">
      <c r="D1011" s="25" t="s">
        <v>336</v>
      </c>
      <c r="E1011" s="24">
        <f>SUM($E$1009:$E$1010)</f>
        <v>600</v>
      </c>
      <c r="F1011" s="24">
        <f>SUM($F$1009:$F$1010)</f>
        <v>73</v>
      </c>
      <c r="G1011" s="24">
        <f>IF($E$1011:$E$1011 = 0, "Undefined",$F$1011:$F$1011*100 / $E$1011:$E$1011)</f>
        <v>12.166666666666666</v>
      </c>
      <c r="I1011" s="25" t="s">
        <v>336</v>
      </c>
      <c r="J1011" s="24">
        <f>SUM($J$1009:$J$1010)</f>
        <v>400</v>
      </c>
      <c r="K1011" s="24">
        <f>SUM($K$1009:$K$1010)</f>
        <v>107</v>
      </c>
      <c r="L1011" s="24">
        <f>IF($J$1011:$J$1011 = 0, "Undefined",$K$1011:$K$1011*100 / $J$1011:$J$1011)</f>
        <v>26.75</v>
      </c>
    </row>
    <row r="1013" spans="2:12" ht="15.6" x14ac:dyDescent="0.3">
      <c r="B1013" s="28" t="s">
        <v>408</v>
      </c>
      <c r="D1013" s="59" t="s">
        <v>329</v>
      </c>
      <c r="E1013" s="60"/>
      <c r="F1013" s="61"/>
      <c r="I1013" s="59" t="s">
        <v>329</v>
      </c>
      <c r="J1013" s="60"/>
      <c r="K1013" s="61"/>
    </row>
    <row r="1014" spans="2:12" ht="13.8" x14ac:dyDescent="0.3">
      <c r="D1014" s="26"/>
      <c r="E1014" s="75" t="s">
        <v>330</v>
      </c>
      <c r="F1014" s="76"/>
      <c r="I1014" s="26"/>
      <c r="J1014" s="75" t="s">
        <v>330</v>
      </c>
      <c r="K1014" s="76"/>
    </row>
    <row r="1015" spans="2:12" ht="13.8" x14ac:dyDescent="0.3">
      <c r="D1015" s="25" t="s">
        <v>331</v>
      </c>
      <c r="E1015" s="26">
        <v>0</v>
      </c>
      <c r="F1015" s="26">
        <v>1</v>
      </c>
      <c r="I1015" s="25" t="s">
        <v>331</v>
      </c>
      <c r="J1015" s="26">
        <v>0</v>
      </c>
      <c r="K1015" s="26">
        <v>1</v>
      </c>
    </row>
    <row r="1016" spans="2:12" ht="13.8" x14ac:dyDescent="0.3">
      <c r="D1016" s="25">
        <v>0</v>
      </c>
      <c r="E1016" s="24">
        <v>107</v>
      </c>
      <c r="F1016" s="24">
        <v>64</v>
      </c>
      <c r="I1016" s="25">
        <v>0</v>
      </c>
      <c r="J1016" s="24">
        <v>56</v>
      </c>
      <c r="K1016" s="24">
        <v>73</v>
      </c>
    </row>
    <row r="1017" spans="2:12" ht="13.8" x14ac:dyDescent="0.3">
      <c r="D1017" s="25">
        <v>1</v>
      </c>
      <c r="E1017" s="24">
        <v>28</v>
      </c>
      <c r="F1017" s="24">
        <v>401</v>
      </c>
      <c r="I1017" s="25">
        <v>1</v>
      </c>
      <c r="J1017" s="24">
        <v>35</v>
      </c>
      <c r="K1017" s="24">
        <v>236</v>
      </c>
    </row>
    <row r="1019" spans="2:12" ht="15.6" x14ac:dyDescent="0.3">
      <c r="D1019" s="59" t="s">
        <v>210</v>
      </c>
      <c r="E1019" s="60"/>
      <c r="F1019" s="60"/>
      <c r="G1019" s="61"/>
      <c r="I1019" s="59" t="s">
        <v>210</v>
      </c>
      <c r="J1019" s="60"/>
      <c r="K1019" s="60"/>
      <c r="L1019" s="61"/>
    </row>
    <row r="1020" spans="2:12" ht="13.8" x14ac:dyDescent="0.3">
      <c r="D1020" s="26" t="s">
        <v>332</v>
      </c>
      <c r="E1020" s="26" t="s">
        <v>333</v>
      </c>
      <c r="F1020" s="26" t="s">
        <v>334</v>
      </c>
      <c r="G1020" s="26" t="s">
        <v>335</v>
      </c>
      <c r="I1020" s="26" t="s">
        <v>332</v>
      </c>
      <c r="J1020" s="26" t="s">
        <v>333</v>
      </c>
      <c r="K1020" s="26" t="s">
        <v>334</v>
      </c>
      <c r="L1020" s="26" t="s">
        <v>335</v>
      </c>
    </row>
    <row r="1021" spans="2:12" ht="13.8" x14ac:dyDescent="0.3">
      <c r="D1021" s="25">
        <v>0</v>
      </c>
      <c r="E1021" s="24">
        <f>SUM($E$1016:$F$1016)</f>
        <v>171</v>
      </c>
      <c r="F1021" s="24">
        <f>SUM($E$1016:$F$1016) - $E$1016:$E$1016</f>
        <v>64</v>
      </c>
      <c r="G1021" s="24">
        <f>IF($E$1021:$E$1021 = 0, "Undefined",$F$1021:$F$1021*100 / $E$1021:$E$1021)</f>
        <v>37.42690058479532</v>
      </c>
      <c r="I1021" s="25">
        <v>0</v>
      </c>
      <c r="J1021" s="24">
        <f>SUM($J$1016:$K$1016)</f>
        <v>129</v>
      </c>
      <c r="K1021" s="24">
        <f>SUM($J$1016:$K$1016) - $J$1016:$J$1016</f>
        <v>73</v>
      </c>
      <c r="L1021" s="24">
        <f>IF($J$1021:$J$1021 = 0, "Undefined",$K$1021:$K$1021*100 / $J$1021:$J$1021)</f>
        <v>56.589147286821706</v>
      </c>
    </row>
    <row r="1022" spans="2:12" ht="13.8" x14ac:dyDescent="0.3">
      <c r="D1022" s="25">
        <v>1</v>
      </c>
      <c r="E1022" s="24">
        <f>SUM($E$1017:$F$1017)</f>
        <v>429</v>
      </c>
      <c r="F1022" s="24">
        <f>SUM($E$1017:$F$1017) - $F$1017:$F$1017</f>
        <v>28</v>
      </c>
      <c r="G1022" s="24">
        <f>IF($E$1022:$E$1022 = 0, "Undefined",$F$1022:$F$1022*100 / $E$1022:$E$1022)</f>
        <v>6.526806526806527</v>
      </c>
      <c r="I1022" s="25">
        <v>1</v>
      </c>
      <c r="J1022" s="24">
        <f>SUM($J$1017:$K$1017)</f>
        <v>271</v>
      </c>
      <c r="K1022" s="24">
        <f>SUM($J$1017:$K$1017) - $K$1017:$K$1017</f>
        <v>35</v>
      </c>
      <c r="L1022" s="24">
        <f>IF($J$1022:$J$1022 = 0, "Undefined",$K$1022:$K$1022*100 / $J$1022:$J$1022)</f>
        <v>12.915129151291513</v>
      </c>
    </row>
    <row r="1023" spans="2:12" ht="13.8" x14ac:dyDescent="0.3">
      <c r="D1023" s="25" t="s">
        <v>336</v>
      </c>
      <c r="E1023" s="24">
        <f>SUM($E$1021:$E$1022)</f>
        <v>600</v>
      </c>
      <c r="F1023" s="24">
        <f>SUM($F$1021:$F$1022)</f>
        <v>92</v>
      </c>
      <c r="G1023" s="24">
        <f>IF($E$1023:$E$1023 = 0, "Undefined",$F$1023:$F$1023*100 / $E$1023:$E$1023)</f>
        <v>15.333333333333334</v>
      </c>
      <c r="I1023" s="25" t="s">
        <v>336</v>
      </c>
      <c r="J1023" s="24">
        <f>SUM($J$1021:$J$1022)</f>
        <v>400</v>
      </c>
      <c r="K1023" s="24">
        <f>SUM($K$1021:$K$1022)</f>
        <v>108</v>
      </c>
      <c r="L1023" s="24">
        <f>IF($J$1023:$J$1023 = 0, "Undefined",$K$1023:$K$1023*100 / $J$1023:$J$1023)</f>
        <v>27</v>
      </c>
    </row>
    <row r="1025" spans="2:12" ht="15.6" x14ac:dyDescent="0.3">
      <c r="B1025" s="28" t="s">
        <v>409</v>
      </c>
      <c r="D1025" s="59" t="s">
        <v>329</v>
      </c>
      <c r="E1025" s="60"/>
      <c r="F1025" s="61"/>
      <c r="I1025" s="59" t="s">
        <v>329</v>
      </c>
      <c r="J1025" s="60"/>
      <c r="K1025" s="61"/>
    </row>
    <row r="1026" spans="2:12" ht="13.8" x14ac:dyDescent="0.3">
      <c r="D1026" s="26"/>
      <c r="E1026" s="75" t="s">
        <v>330</v>
      </c>
      <c r="F1026" s="76"/>
      <c r="I1026" s="26"/>
      <c r="J1026" s="75" t="s">
        <v>330</v>
      </c>
      <c r="K1026" s="76"/>
    </row>
    <row r="1027" spans="2:12" ht="13.8" x14ac:dyDescent="0.3">
      <c r="D1027" s="25" t="s">
        <v>331</v>
      </c>
      <c r="E1027" s="26">
        <v>0</v>
      </c>
      <c r="F1027" s="26">
        <v>1</v>
      </c>
      <c r="I1027" s="25" t="s">
        <v>331</v>
      </c>
      <c r="J1027" s="26">
        <v>0</v>
      </c>
      <c r="K1027" s="26">
        <v>1</v>
      </c>
    </row>
    <row r="1028" spans="2:12" ht="13.8" x14ac:dyDescent="0.3">
      <c r="D1028" s="25">
        <v>0</v>
      </c>
      <c r="E1028" s="24">
        <v>114</v>
      </c>
      <c r="F1028" s="24">
        <v>57</v>
      </c>
      <c r="I1028" s="25">
        <v>0</v>
      </c>
      <c r="J1028" s="24">
        <v>53</v>
      </c>
      <c r="K1028" s="24">
        <v>76</v>
      </c>
    </row>
    <row r="1029" spans="2:12" ht="13.8" x14ac:dyDescent="0.3">
      <c r="D1029" s="25">
        <v>1</v>
      </c>
      <c r="E1029" s="24">
        <v>21</v>
      </c>
      <c r="F1029" s="24">
        <v>408</v>
      </c>
      <c r="I1029" s="25">
        <v>1</v>
      </c>
      <c r="J1029" s="24">
        <v>36</v>
      </c>
      <c r="K1029" s="24">
        <v>235</v>
      </c>
    </row>
    <row r="1031" spans="2:12" ht="15.6" x14ac:dyDescent="0.3">
      <c r="D1031" s="59" t="s">
        <v>210</v>
      </c>
      <c r="E1031" s="60"/>
      <c r="F1031" s="60"/>
      <c r="G1031" s="61"/>
      <c r="I1031" s="59" t="s">
        <v>210</v>
      </c>
      <c r="J1031" s="60"/>
      <c r="K1031" s="60"/>
      <c r="L1031" s="61"/>
    </row>
    <row r="1032" spans="2:12" ht="13.8" x14ac:dyDescent="0.3">
      <c r="D1032" s="26" t="s">
        <v>332</v>
      </c>
      <c r="E1032" s="26" t="s">
        <v>333</v>
      </c>
      <c r="F1032" s="26" t="s">
        <v>334</v>
      </c>
      <c r="G1032" s="26" t="s">
        <v>335</v>
      </c>
      <c r="I1032" s="26" t="s">
        <v>332</v>
      </c>
      <c r="J1032" s="26" t="s">
        <v>333</v>
      </c>
      <c r="K1032" s="26" t="s">
        <v>334</v>
      </c>
      <c r="L1032" s="26" t="s">
        <v>335</v>
      </c>
    </row>
    <row r="1033" spans="2:12" ht="13.8" x14ac:dyDescent="0.3">
      <c r="D1033" s="25">
        <v>0</v>
      </c>
      <c r="E1033" s="24">
        <f>SUM($E$1028:$F$1028)</f>
        <v>171</v>
      </c>
      <c r="F1033" s="24">
        <f>SUM($E$1028:$F$1028) - $E$1028:$E$1028</f>
        <v>57</v>
      </c>
      <c r="G1033" s="24">
        <f>IF($E$1033:$E$1033 = 0, "Undefined",$F$1033:$F$1033*100 / $E$1033:$E$1033)</f>
        <v>33.333333333333336</v>
      </c>
      <c r="I1033" s="25">
        <v>0</v>
      </c>
      <c r="J1033" s="24">
        <f>SUM($J$1028:$K$1028)</f>
        <v>129</v>
      </c>
      <c r="K1033" s="24">
        <f>SUM($J$1028:$K$1028) - $J$1028:$J$1028</f>
        <v>76</v>
      </c>
      <c r="L1033" s="24">
        <f>IF($J$1033:$J$1033 = 0, "Undefined",$K$1033:$K$1033*100 / $J$1033:$J$1033)</f>
        <v>58.914728682170541</v>
      </c>
    </row>
    <row r="1034" spans="2:12" ht="13.8" x14ac:dyDescent="0.3">
      <c r="D1034" s="25">
        <v>1</v>
      </c>
      <c r="E1034" s="24">
        <f>SUM($E$1029:$F$1029)</f>
        <v>429</v>
      </c>
      <c r="F1034" s="24">
        <f>SUM($E$1029:$F$1029) - $F$1029:$F$1029</f>
        <v>21</v>
      </c>
      <c r="G1034" s="24">
        <f>IF($E$1034:$E$1034 = 0, "Undefined",$F$1034:$F$1034*100 / $E$1034:$E$1034)</f>
        <v>4.895104895104895</v>
      </c>
      <c r="I1034" s="25">
        <v>1</v>
      </c>
      <c r="J1034" s="24">
        <f>SUM($J$1029:$K$1029)</f>
        <v>271</v>
      </c>
      <c r="K1034" s="24">
        <f>SUM($J$1029:$K$1029) - $K$1029:$K$1029</f>
        <v>36</v>
      </c>
      <c r="L1034" s="24">
        <f>IF($J$1034:$J$1034 = 0, "Undefined",$K$1034:$K$1034*100 / $J$1034:$J$1034)</f>
        <v>13.284132841328413</v>
      </c>
    </row>
    <row r="1035" spans="2:12" ht="13.8" x14ac:dyDescent="0.3">
      <c r="D1035" s="25" t="s">
        <v>336</v>
      </c>
      <c r="E1035" s="24">
        <f>SUM($E$1033:$E$1034)</f>
        <v>600</v>
      </c>
      <c r="F1035" s="24">
        <f>SUM($F$1033:$F$1034)</f>
        <v>78</v>
      </c>
      <c r="G1035" s="24">
        <f>IF($E$1035:$E$1035 = 0, "Undefined",$F$1035:$F$1035*100 / $E$1035:$E$1035)</f>
        <v>13</v>
      </c>
      <c r="I1035" s="25" t="s">
        <v>336</v>
      </c>
      <c r="J1035" s="24">
        <f>SUM($J$1033:$J$1034)</f>
        <v>400</v>
      </c>
      <c r="K1035" s="24">
        <f>SUM($K$1033:$K$1034)</f>
        <v>112</v>
      </c>
      <c r="L1035" s="24">
        <f>IF($J$1035:$J$1035 = 0, "Undefined",$K$1035:$K$1035*100 / $J$1035:$J$1035)</f>
        <v>28</v>
      </c>
    </row>
    <row r="1037" spans="2:12" ht="15.6" x14ac:dyDescent="0.3">
      <c r="B1037" s="28" t="s">
        <v>410</v>
      </c>
      <c r="D1037" s="59" t="s">
        <v>329</v>
      </c>
      <c r="E1037" s="60"/>
      <c r="F1037" s="61"/>
      <c r="I1037" s="59" t="s">
        <v>329</v>
      </c>
      <c r="J1037" s="60"/>
      <c r="K1037" s="61"/>
    </row>
    <row r="1038" spans="2:12" ht="13.8" x14ac:dyDescent="0.3">
      <c r="D1038" s="26"/>
      <c r="E1038" s="75" t="s">
        <v>330</v>
      </c>
      <c r="F1038" s="76"/>
      <c r="I1038" s="26"/>
      <c r="J1038" s="75" t="s">
        <v>330</v>
      </c>
      <c r="K1038" s="76"/>
    </row>
    <row r="1039" spans="2:12" ht="13.8" x14ac:dyDescent="0.3">
      <c r="D1039" s="25" t="s">
        <v>331</v>
      </c>
      <c r="E1039" s="26">
        <v>0</v>
      </c>
      <c r="F1039" s="26">
        <v>1</v>
      </c>
      <c r="I1039" s="25" t="s">
        <v>331</v>
      </c>
      <c r="J1039" s="26">
        <v>0</v>
      </c>
      <c r="K1039" s="26">
        <v>1</v>
      </c>
    </row>
    <row r="1040" spans="2:12" ht="13.8" x14ac:dyDescent="0.3">
      <c r="D1040" s="25">
        <v>0</v>
      </c>
      <c r="E1040" s="24">
        <v>116</v>
      </c>
      <c r="F1040" s="24">
        <v>55</v>
      </c>
      <c r="I1040" s="25">
        <v>0</v>
      </c>
      <c r="J1040" s="24">
        <v>56</v>
      </c>
      <c r="K1040" s="24">
        <v>73</v>
      </c>
    </row>
    <row r="1041" spans="2:12" ht="13.8" x14ac:dyDescent="0.3">
      <c r="D1041" s="25">
        <v>1</v>
      </c>
      <c r="E1041" s="24">
        <v>26</v>
      </c>
      <c r="F1041" s="24">
        <v>403</v>
      </c>
      <c r="I1041" s="25">
        <v>1</v>
      </c>
      <c r="J1041" s="24">
        <v>37</v>
      </c>
      <c r="K1041" s="24">
        <v>234</v>
      </c>
    </row>
    <row r="1043" spans="2:12" ht="15.6" x14ac:dyDescent="0.3">
      <c r="D1043" s="59" t="s">
        <v>210</v>
      </c>
      <c r="E1043" s="60"/>
      <c r="F1043" s="60"/>
      <c r="G1043" s="61"/>
      <c r="I1043" s="59" t="s">
        <v>210</v>
      </c>
      <c r="J1043" s="60"/>
      <c r="K1043" s="60"/>
      <c r="L1043" s="61"/>
    </row>
    <row r="1044" spans="2:12" ht="13.8" x14ac:dyDescent="0.3">
      <c r="D1044" s="26" t="s">
        <v>332</v>
      </c>
      <c r="E1044" s="26" t="s">
        <v>333</v>
      </c>
      <c r="F1044" s="26" t="s">
        <v>334</v>
      </c>
      <c r="G1044" s="26" t="s">
        <v>335</v>
      </c>
      <c r="I1044" s="26" t="s">
        <v>332</v>
      </c>
      <c r="J1044" s="26" t="s">
        <v>333</v>
      </c>
      <c r="K1044" s="26" t="s">
        <v>334</v>
      </c>
      <c r="L1044" s="26" t="s">
        <v>335</v>
      </c>
    </row>
    <row r="1045" spans="2:12" ht="13.8" x14ac:dyDescent="0.3">
      <c r="D1045" s="25">
        <v>0</v>
      </c>
      <c r="E1045" s="24">
        <f>SUM($E$1040:$F$1040)</f>
        <v>171</v>
      </c>
      <c r="F1045" s="24">
        <f>SUM($E$1040:$F$1040) - $E$1040:$E$1040</f>
        <v>55</v>
      </c>
      <c r="G1045" s="24">
        <f>IF($E$1045:$E$1045 = 0, "Undefined",$F$1045:$F$1045*100 / $E$1045:$E$1045)</f>
        <v>32.163742690058477</v>
      </c>
      <c r="I1045" s="25">
        <v>0</v>
      </c>
      <c r="J1045" s="24">
        <f>SUM($J$1040:$K$1040)</f>
        <v>129</v>
      </c>
      <c r="K1045" s="24">
        <f>SUM($J$1040:$K$1040) - $J$1040:$J$1040</f>
        <v>73</v>
      </c>
      <c r="L1045" s="24">
        <f>IF($J$1045:$J$1045 = 0, "Undefined",$K$1045:$K$1045*100 / $J$1045:$J$1045)</f>
        <v>56.589147286821706</v>
      </c>
    </row>
    <row r="1046" spans="2:12" ht="13.8" x14ac:dyDescent="0.3">
      <c r="D1046" s="25">
        <v>1</v>
      </c>
      <c r="E1046" s="24">
        <f>SUM($E$1041:$F$1041)</f>
        <v>429</v>
      </c>
      <c r="F1046" s="24">
        <f>SUM($E$1041:$F$1041) - $F$1041:$F$1041</f>
        <v>26</v>
      </c>
      <c r="G1046" s="24">
        <f>IF($E$1046:$E$1046 = 0, "Undefined",$F$1046:$F$1046*100 / $E$1046:$E$1046)</f>
        <v>6.0606060606060606</v>
      </c>
      <c r="I1046" s="25">
        <v>1</v>
      </c>
      <c r="J1046" s="24">
        <f>SUM($J$1041:$K$1041)</f>
        <v>271</v>
      </c>
      <c r="K1046" s="24">
        <f>SUM($J$1041:$K$1041) - $K$1041:$K$1041</f>
        <v>37</v>
      </c>
      <c r="L1046" s="24">
        <f>IF($J$1046:$J$1046 = 0, "Undefined",$K$1046:$K$1046*100 / $J$1046:$J$1046)</f>
        <v>13.653136531365314</v>
      </c>
    </row>
    <row r="1047" spans="2:12" ht="13.8" x14ac:dyDescent="0.3">
      <c r="D1047" s="25" t="s">
        <v>336</v>
      </c>
      <c r="E1047" s="24">
        <f>SUM($E$1045:$E$1046)</f>
        <v>600</v>
      </c>
      <c r="F1047" s="24">
        <f>SUM($F$1045:$F$1046)</f>
        <v>81</v>
      </c>
      <c r="G1047" s="24">
        <f>IF($E$1047:$E$1047 = 0, "Undefined",$F$1047:$F$1047*100 / $E$1047:$E$1047)</f>
        <v>13.5</v>
      </c>
      <c r="I1047" s="25" t="s">
        <v>336</v>
      </c>
      <c r="J1047" s="24">
        <f>SUM($J$1045:$J$1046)</f>
        <v>400</v>
      </c>
      <c r="K1047" s="24">
        <f>SUM($K$1045:$K$1046)</f>
        <v>110</v>
      </c>
      <c r="L1047" s="24">
        <f>IF($J$1047:$J$1047 = 0, "Undefined",$K$1047:$K$1047*100 / $J$1047:$J$1047)</f>
        <v>27.5</v>
      </c>
    </row>
    <row r="1049" spans="2:12" ht="15.6" x14ac:dyDescent="0.3">
      <c r="B1049" s="28" t="s">
        <v>411</v>
      </c>
      <c r="D1049" s="59" t="s">
        <v>329</v>
      </c>
      <c r="E1049" s="60"/>
      <c r="F1049" s="61"/>
      <c r="I1049" s="59" t="s">
        <v>329</v>
      </c>
      <c r="J1049" s="60"/>
      <c r="K1049" s="61"/>
    </row>
    <row r="1050" spans="2:12" ht="13.8" x14ac:dyDescent="0.3">
      <c r="D1050" s="26"/>
      <c r="E1050" s="75" t="s">
        <v>330</v>
      </c>
      <c r="F1050" s="76"/>
      <c r="I1050" s="26"/>
      <c r="J1050" s="75" t="s">
        <v>330</v>
      </c>
      <c r="K1050" s="76"/>
    </row>
    <row r="1051" spans="2:12" ht="13.8" x14ac:dyDescent="0.3">
      <c r="D1051" s="25" t="s">
        <v>331</v>
      </c>
      <c r="E1051" s="26">
        <v>0</v>
      </c>
      <c r="F1051" s="26">
        <v>1</v>
      </c>
      <c r="I1051" s="25" t="s">
        <v>331</v>
      </c>
      <c r="J1051" s="26">
        <v>0</v>
      </c>
      <c r="K1051" s="26">
        <v>1</v>
      </c>
    </row>
    <row r="1052" spans="2:12" ht="13.8" x14ac:dyDescent="0.3">
      <c r="D1052" s="25">
        <v>0</v>
      </c>
      <c r="E1052" s="24">
        <v>128</v>
      </c>
      <c r="F1052" s="24">
        <v>43</v>
      </c>
      <c r="I1052" s="25">
        <v>0</v>
      </c>
      <c r="J1052" s="24">
        <v>59</v>
      </c>
      <c r="K1052" s="24">
        <v>70</v>
      </c>
    </row>
    <row r="1053" spans="2:12" ht="13.8" x14ac:dyDescent="0.3">
      <c r="D1053" s="25">
        <v>1</v>
      </c>
      <c r="E1053" s="24">
        <v>36</v>
      </c>
      <c r="F1053" s="24">
        <v>393</v>
      </c>
      <c r="I1053" s="25">
        <v>1</v>
      </c>
      <c r="J1053" s="24">
        <v>37</v>
      </c>
      <c r="K1053" s="24">
        <v>234</v>
      </c>
    </row>
    <row r="1055" spans="2:12" ht="15.6" x14ac:dyDescent="0.3">
      <c r="D1055" s="59" t="s">
        <v>210</v>
      </c>
      <c r="E1055" s="60"/>
      <c r="F1055" s="60"/>
      <c r="G1055" s="61"/>
      <c r="I1055" s="59" t="s">
        <v>210</v>
      </c>
      <c r="J1055" s="60"/>
      <c r="K1055" s="60"/>
      <c r="L1055" s="61"/>
    </row>
    <row r="1056" spans="2:12" ht="13.8" x14ac:dyDescent="0.3">
      <c r="D1056" s="26" t="s">
        <v>332</v>
      </c>
      <c r="E1056" s="26" t="s">
        <v>333</v>
      </c>
      <c r="F1056" s="26" t="s">
        <v>334</v>
      </c>
      <c r="G1056" s="26" t="s">
        <v>335</v>
      </c>
      <c r="I1056" s="26" t="s">
        <v>332</v>
      </c>
      <c r="J1056" s="26" t="s">
        <v>333</v>
      </c>
      <c r="K1056" s="26" t="s">
        <v>334</v>
      </c>
      <c r="L1056" s="26" t="s">
        <v>335</v>
      </c>
    </row>
    <row r="1057" spans="2:12" ht="13.8" x14ac:dyDescent="0.3">
      <c r="D1057" s="25">
        <v>0</v>
      </c>
      <c r="E1057" s="24">
        <f>SUM($E$1052:$F$1052)</f>
        <v>171</v>
      </c>
      <c r="F1057" s="24">
        <f>SUM($E$1052:$F$1052) - $E$1052:$E$1052</f>
        <v>43</v>
      </c>
      <c r="G1057" s="24">
        <f>IF($E$1057:$E$1057 = 0, "Undefined",$F$1057:$F$1057*100 / $E$1057:$E$1057)</f>
        <v>25.146198830409357</v>
      </c>
      <c r="I1057" s="25">
        <v>0</v>
      </c>
      <c r="J1057" s="24">
        <f>SUM($J$1052:$K$1052)</f>
        <v>129</v>
      </c>
      <c r="K1057" s="24">
        <f>SUM($J$1052:$K$1052) - $J$1052:$J$1052</f>
        <v>70</v>
      </c>
      <c r="L1057" s="24">
        <f>IF($J$1057:$J$1057 = 0, "Undefined",$K$1057:$K$1057*100 / $J$1057:$J$1057)</f>
        <v>54.263565891472865</v>
      </c>
    </row>
    <row r="1058" spans="2:12" ht="13.8" x14ac:dyDescent="0.3">
      <c r="D1058" s="25">
        <v>1</v>
      </c>
      <c r="E1058" s="24">
        <f>SUM($E$1053:$F$1053)</f>
        <v>429</v>
      </c>
      <c r="F1058" s="24">
        <f>SUM($E$1053:$F$1053) - $F$1053:$F$1053</f>
        <v>36</v>
      </c>
      <c r="G1058" s="24">
        <f>IF($E$1058:$E$1058 = 0, "Undefined",$F$1058:$F$1058*100 / $E$1058:$E$1058)</f>
        <v>8.3916083916083917</v>
      </c>
      <c r="I1058" s="25">
        <v>1</v>
      </c>
      <c r="J1058" s="24">
        <f>SUM($J$1053:$K$1053)</f>
        <v>271</v>
      </c>
      <c r="K1058" s="24">
        <f>SUM($J$1053:$K$1053) - $K$1053:$K$1053</f>
        <v>37</v>
      </c>
      <c r="L1058" s="24">
        <f>IF($J$1058:$J$1058 = 0, "Undefined",$K$1058:$K$1058*100 / $J$1058:$J$1058)</f>
        <v>13.653136531365314</v>
      </c>
    </row>
    <row r="1059" spans="2:12" ht="13.8" x14ac:dyDescent="0.3">
      <c r="D1059" s="25" t="s">
        <v>336</v>
      </c>
      <c r="E1059" s="24">
        <f>SUM($E$1057:$E$1058)</f>
        <v>600</v>
      </c>
      <c r="F1059" s="24">
        <f>SUM($F$1057:$F$1058)</f>
        <v>79</v>
      </c>
      <c r="G1059" s="24">
        <f>IF($E$1059:$E$1059 = 0, "Undefined",$F$1059:$F$1059*100 / $E$1059:$E$1059)</f>
        <v>13.166666666666666</v>
      </c>
      <c r="I1059" s="25" t="s">
        <v>336</v>
      </c>
      <c r="J1059" s="24">
        <f>SUM($J$1057:$J$1058)</f>
        <v>400</v>
      </c>
      <c r="K1059" s="24">
        <f>SUM($K$1057:$K$1058)</f>
        <v>107</v>
      </c>
      <c r="L1059" s="24">
        <f>IF($J$1059:$J$1059 = 0, "Undefined",$K$1059:$K$1059*100 / $J$1059:$J$1059)</f>
        <v>26.75</v>
      </c>
    </row>
    <row r="1061" spans="2:12" ht="15.6" x14ac:dyDescent="0.3">
      <c r="B1061" s="28" t="s">
        <v>412</v>
      </c>
      <c r="D1061" s="59" t="s">
        <v>329</v>
      </c>
      <c r="E1061" s="60"/>
      <c r="F1061" s="61"/>
      <c r="I1061" s="59" t="s">
        <v>329</v>
      </c>
      <c r="J1061" s="60"/>
      <c r="K1061" s="61"/>
    </row>
    <row r="1062" spans="2:12" ht="13.8" x14ac:dyDescent="0.3">
      <c r="D1062" s="26"/>
      <c r="E1062" s="75" t="s">
        <v>330</v>
      </c>
      <c r="F1062" s="76"/>
      <c r="I1062" s="26"/>
      <c r="J1062" s="75" t="s">
        <v>330</v>
      </c>
      <c r="K1062" s="76"/>
    </row>
    <row r="1063" spans="2:12" ht="13.8" x14ac:dyDescent="0.3">
      <c r="D1063" s="25" t="s">
        <v>331</v>
      </c>
      <c r="E1063" s="26">
        <v>0</v>
      </c>
      <c r="F1063" s="26">
        <v>1</v>
      </c>
      <c r="I1063" s="25" t="s">
        <v>331</v>
      </c>
      <c r="J1063" s="26">
        <v>0</v>
      </c>
      <c r="K1063" s="26">
        <v>1</v>
      </c>
    </row>
    <row r="1064" spans="2:12" ht="13.8" x14ac:dyDescent="0.3">
      <c r="D1064" s="25">
        <v>0</v>
      </c>
      <c r="E1064" s="24">
        <v>143</v>
      </c>
      <c r="F1064" s="24">
        <v>28</v>
      </c>
      <c r="I1064" s="25">
        <v>0</v>
      </c>
      <c r="J1064" s="24">
        <v>68</v>
      </c>
      <c r="K1064" s="24">
        <v>61</v>
      </c>
    </row>
    <row r="1065" spans="2:12" ht="13.8" x14ac:dyDescent="0.3">
      <c r="D1065" s="25">
        <v>1</v>
      </c>
      <c r="E1065" s="24">
        <v>33</v>
      </c>
      <c r="F1065" s="24">
        <v>396</v>
      </c>
      <c r="I1065" s="25">
        <v>1</v>
      </c>
      <c r="J1065" s="24">
        <v>53</v>
      </c>
      <c r="K1065" s="24">
        <v>218</v>
      </c>
    </row>
    <row r="1067" spans="2:12" ht="15.6" x14ac:dyDescent="0.3">
      <c r="D1067" s="59" t="s">
        <v>210</v>
      </c>
      <c r="E1067" s="60"/>
      <c r="F1067" s="60"/>
      <c r="G1067" s="61"/>
      <c r="I1067" s="59" t="s">
        <v>210</v>
      </c>
      <c r="J1067" s="60"/>
      <c r="K1067" s="60"/>
      <c r="L1067" s="61"/>
    </row>
    <row r="1068" spans="2:12" ht="13.8" x14ac:dyDescent="0.3">
      <c r="D1068" s="26" t="s">
        <v>332</v>
      </c>
      <c r="E1068" s="26" t="s">
        <v>333</v>
      </c>
      <c r="F1068" s="26" t="s">
        <v>334</v>
      </c>
      <c r="G1068" s="26" t="s">
        <v>335</v>
      </c>
      <c r="I1068" s="26" t="s">
        <v>332</v>
      </c>
      <c r="J1068" s="26" t="s">
        <v>333</v>
      </c>
      <c r="K1068" s="26" t="s">
        <v>334</v>
      </c>
      <c r="L1068" s="26" t="s">
        <v>335</v>
      </c>
    </row>
    <row r="1069" spans="2:12" ht="13.8" x14ac:dyDescent="0.3">
      <c r="D1069" s="25">
        <v>0</v>
      </c>
      <c r="E1069" s="24">
        <f>SUM($E$1064:$F$1064)</f>
        <v>171</v>
      </c>
      <c r="F1069" s="24">
        <f>SUM($E$1064:$F$1064) - $E$1064:$E$1064</f>
        <v>28</v>
      </c>
      <c r="G1069" s="24">
        <f>IF($E$1069:$E$1069 = 0, "Undefined",$F$1069:$F$1069*100 / $E$1069:$E$1069)</f>
        <v>16.374269005847953</v>
      </c>
      <c r="I1069" s="25">
        <v>0</v>
      </c>
      <c r="J1069" s="24">
        <f>SUM($J$1064:$K$1064)</f>
        <v>129</v>
      </c>
      <c r="K1069" s="24">
        <f>SUM($J$1064:$K$1064) - $J$1064:$J$1064</f>
        <v>61</v>
      </c>
      <c r="L1069" s="24">
        <f>IF($J$1069:$J$1069 = 0, "Undefined",$K$1069:$K$1069*100 / $J$1069:$J$1069)</f>
        <v>47.286821705426355</v>
      </c>
    </row>
    <row r="1070" spans="2:12" ht="13.8" x14ac:dyDescent="0.3">
      <c r="D1070" s="25">
        <v>1</v>
      </c>
      <c r="E1070" s="24">
        <f>SUM($E$1065:$F$1065)</f>
        <v>429</v>
      </c>
      <c r="F1070" s="24">
        <f>SUM($E$1065:$F$1065) - $F$1065:$F$1065</f>
        <v>33</v>
      </c>
      <c r="G1070" s="24">
        <f>IF($E$1070:$E$1070 = 0, "Undefined",$F$1070:$F$1070*100 / $E$1070:$E$1070)</f>
        <v>7.6923076923076925</v>
      </c>
      <c r="I1070" s="25">
        <v>1</v>
      </c>
      <c r="J1070" s="24">
        <f>SUM($J$1065:$K$1065)</f>
        <v>271</v>
      </c>
      <c r="K1070" s="24">
        <f>SUM($J$1065:$K$1065) - $K$1065:$K$1065</f>
        <v>53</v>
      </c>
      <c r="L1070" s="24">
        <f>IF($J$1070:$J$1070 = 0, "Undefined",$K$1070:$K$1070*100 / $J$1070:$J$1070)</f>
        <v>19.55719557195572</v>
      </c>
    </row>
    <row r="1071" spans="2:12" ht="13.8" x14ac:dyDescent="0.3">
      <c r="D1071" s="25" t="s">
        <v>336</v>
      </c>
      <c r="E1071" s="24">
        <f>SUM($E$1069:$E$1070)</f>
        <v>600</v>
      </c>
      <c r="F1071" s="24">
        <f>SUM($F$1069:$F$1070)</f>
        <v>61</v>
      </c>
      <c r="G1071" s="24">
        <f>IF($E$1071:$E$1071 = 0, "Undefined",$F$1071:$F$1071*100 / $E$1071:$E$1071)</f>
        <v>10.166666666666666</v>
      </c>
      <c r="I1071" s="25" t="s">
        <v>336</v>
      </c>
      <c r="J1071" s="24">
        <f>SUM($J$1069:$J$1070)</f>
        <v>400</v>
      </c>
      <c r="K1071" s="24">
        <f>SUM($K$1069:$K$1070)</f>
        <v>114</v>
      </c>
      <c r="L1071" s="24">
        <f>IF($J$1071:$J$1071 = 0, "Undefined",$K$1071:$K$1071*100 / $J$1071:$J$1071)</f>
        <v>28.5</v>
      </c>
    </row>
    <row r="1073" spans="2:12" ht="15.6" x14ac:dyDescent="0.3">
      <c r="B1073" s="28" t="s">
        <v>413</v>
      </c>
      <c r="D1073" s="59" t="s">
        <v>329</v>
      </c>
      <c r="E1073" s="60"/>
      <c r="F1073" s="61"/>
      <c r="I1073" s="59" t="s">
        <v>329</v>
      </c>
      <c r="J1073" s="60"/>
      <c r="K1073" s="61"/>
    </row>
    <row r="1074" spans="2:12" ht="13.8" x14ac:dyDescent="0.3">
      <c r="D1074" s="26"/>
      <c r="E1074" s="75" t="s">
        <v>330</v>
      </c>
      <c r="F1074" s="76"/>
      <c r="I1074" s="26"/>
      <c r="J1074" s="75" t="s">
        <v>330</v>
      </c>
      <c r="K1074" s="76"/>
    </row>
    <row r="1075" spans="2:12" ht="13.8" x14ac:dyDescent="0.3">
      <c r="D1075" s="25" t="s">
        <v>331</v>
      </c>
      <c r="E1075" s="26">
        <v>0</v>
      </c>
      <c r="F1075" s="26">
        <v>1</v>
      </c>
      <c r="I1075" s="25" t="s">
        <v>331</v>
      </c>
      <c r="J1075" s="26">
        <v>0</v>
      </c>
      <c r="K1075" s="26">
        <v>1</v>
      </c>
    </row>
    <row r="1076" spans="2:12" ht="13.8" x14ac:dyDescent="0.3">
      <c r="D1076" s="25">
        <v>0</v>
      </c>
      <c r="E1076" s="24">
        <v>126</v>
      </c>
      <c r="F1076" s="24">
        <v>45</v>
      </c>
      <c r="I1076" s="25">
        <v>0</v>
      </c>
      <c r="J1076" s="24">
        <v>65</v>
      </c>
      <c r="K1076" s="24">
        <v>64</v>
      </c>
    </row>
    <row r="1077" spans="2:12" ht="13.8" x14ac:dyDescent="0.3">
      <c r="D1077" s="25">
        <v>1</v>
      </c>
      <c r="E1077" s="24">
        <v>39</v>
      </c>
      <c r="F1077" s="24">
        <v>390</v>
      </c>
      <c r="I1077" s="25">
        <v>1</v>
      </c>
      <c r="J1077" s="24">
        <v>46</v>
      </c>
      <c r="K1077" s="24">
        <v>225</v>
      </c>
    </row>
    <row r="1079" spans="2:12" ht="15.6" x14ac:dyDescent="0.3">
      <c r="D1079" s="59" t="s">
        <v>210</v>
      </c>
      <c r="E1079" s="60"/>
      <c r="F1079" s="60"/>
      <c r="G1079" s="61"/>
      <c r="I1079" s="59" t="s">
        <v>210</v>
      </c>
      <c r="J1079" s="60"/>
      <c r="K1079" s="60"/>
      <c r="L1079" s="61"/>
    </row>
    <row r="1080" spans="2:12" ht="13.8" x14ac:dyDescent="0.3">
      <c r="D1080" s="26" t="s">
        <v>332</v>
      </c>
      <c r="E1080" s="26" t="s">
        <v>333</v>
      </c>
      <c r="F1080" s="26" t="s">
        <v>334</v>
      </c>
      <c r="G1080" s="26" t="s">
        <v>335</v>
      </c>
      <c r="I1080" s="26" t="s">
        <v>332</v>
      </c>
      <c r="J1080" s="26" t="s">
        <v>333</v>
      </c>
      <c r="K1080" s="26" t="s">
        <v>334</v>
      </c>
      <c r="L1080" s="26" t="s">
        <v>335</v>
      </c>
    </row>
    <row r="1081" spans="2:12" ht="13.8" x14ac:dyDescent="0.3">
      <c r="D1081" s="25">
        <v>0</v>
      </c>
      <c r="E1081" s="24">
        <f>SUM($E$1076:$F$1076)</f>
        <v>171</v>
      </c>
      <c r="F1081" s="24">
        <f>SUM($E$1076:$F$1076) - $E$1076:$E$1076</f>
        <v>45</v>
      </c>
      <c r="G1081" s="24">
        <f>IF($E$1081:$E$1081 = 0, "Undefined",$F$1081:$F$1081*100 / $E$1081:$E$1081)</f>
        <v>26.315789473684209</v>
      </c>
      <c r="I1081" s="25">
        <v>0</v>
      </c>
      <c r="J1081" s="24">
        <f>SUM($J$1076:$K$1076)</f>
        <v>129</v>
      </c>
      <c r="K1081" s="24">
        <f>SUM($J$1076:$K$1076) - $J$1076:$J$1076</f>
        <v>64</v>
      </c>
      <c r="L1081" s="24">
        <f>IF($J$1081:$J$1081 = 0, "Undefined",$K$1081:$K$1081*100 / $J$1081:$J$1081)</f>
        <v>49.612403100775197</v>
      </c>
    </row>
    <row r="1082" spans="2:12" ht="13.8" x14ac:dyDescent="0.3">
      <c r="D1082" s="25">
        <v>1</v>
      </c>
      <c r="E1082" s="24">
        <f>SUM($E$1077:$F$1077)</f>
        <v>429</v>
      </c>
      <c r="F1082" s="24">
        <f>SUM($E$1077:$F$1077) - $F$1077:$F$1077</f>
        <v>39</v>
      </c>
      <c r="G1082" s="24">
        <f>IF($E$1082:$E$1082 = 0, "Undefined",$F$1082:$F$1082*100 / $E$1082:$E$1082)</f>
        <v>9.0909090909090917</v>
      </c>
      <c r="I1082" s="25">
        <v>1</v>
      </c>
      <c r="J1082" s="24">
        <f>SUM($J$1077:$K$1077)</f>
        <v>271</v>
      </c>
      <c r="K1082" s="24">
        <f>SUM($J$1077:$K$1077) - $K$1077:$K$1077</f>
        <v>46</v>
      </c>
      <c r="L1082" s="24">
        <f>IF($J$1082:$J$1082 = 0, "Undefined",$K$1082:$K$1082*100 / $J$1082:$J$1082)</f>
        <v>16.974169741697416</v>
      </c>
    </row>
    <row r="1083" spans="2:12" ht="13.8" x14ac:dyDescent="0.3">
      <c r="D1083" s="25" t="s">
        <v>336</v>
      </c>
      <c r="E1083" s="24">
        <f>SUM($E$1081:$E$1082)</f>
        <v>600</v>
      </c>
      <c r="F1083" s="24">
        <f>SUM($F$1081:$F$1082)</f>
        <v>84</v>
      </c>
      <c r="G1083" s="24">
        <f>IF($E$1083:$E$1083 = 0, "Undefined",$F$1083:$F$1083*100 / $E$1083:$E$1083)</f>
        <v>14</v>
      </c>
      <c r="I1083" s="25" t="s">
        <v>336</v>
      </c>
      <c r="J1083" s="24">
        <f>SUM($J$1081:$J$1082)</f>
        <v>400</v>
      </c>
      <c r="K1083" s="24">
        <f>SUM($K$1081:$K$1082)</f>
        <v>110</v>
      </c>
      <c r="L1083" s="24">
        <f>IF($J$1083:$J$1083 = 0, "Undefined",$K$1083:$K$1083*100 / $J$1083:$J$1083)</f>
        <v>27.5</v>
      </c>
    </row>
    <row r="1085" spans="2:12" ht="15.6" x14ac:dyDescent="0.3">
      <c r="B1085" s="28" t="s">
        <v>414</v>
      </c>
      <c r="D1085" s="59" t="s">
        <v>329</v>
      </c>
      <c r="E1085" s="60"/>
      <c r="F1085" s="61"/>
      <c r="I1085" s="59" t="s">
        <v>329</v>
      </c>
      <c r="J1085" s="60"/>
      <c r="K1085" s="61"/>
    </row>
    <row r="1086" spans="2:12" ht="13.8" x14ac:dyDescent="0.3">
      <c r="D1086" s="26"/>
      <c r="E1086" s="75" t="s">
        <v>330</v>
      </c>
      <c r="F1086" s="76"/>
      <c r="I1086" s="26"/>
      <c r="J1086" s="75" t="s">
        <v>330</v>
      </c>
      <c r="K1086" s="76"/>
    </row>
    <row r="1087" spans="2:12" ht="13.8" x14ac:dyDescent="0.3">
      <c r="D1087" s="25" t="s">
        <v>331</v>
      </c>
      <c r="E1087" s="26">
        <v>0</v>
      </c>
      <c r="F1087" s="26">
        <v>1</v>
      </c>
      <c r="I1087" s="25" t="s">
        <v>331</v>
      </c>
      <c r="J1087" s="26">
        <v>0</v>
      </c>
      <c r="K1087" s="26">
        <v>1</v>
      </c>
    </row>
    <row r="1088" spans="2:12" ht="13.8" x14ac:dyDescent="0.3">
      <c r="D1088" s="25">
        <v>0</v>
      </c>
      <c r="E1088" s="24">
        <v>141</v>
      </c>
      <c r="F1088" s="24">
        <v>30</v>
      </c>
      <c r="I1088" s="25">
        <v>0</v>
      </c>
      <c r="J1088" s="24">
        <v>65</v>
      </c>
      <c r="K1088" s="24">
        <v>64</v>
      </c>
    </row>
    <row r="1089" spans="2:12" ht="13.8" x14ac:dyDescent="0.3">
      <c r="D1089" s="25">
        <v>1</v>
      </c>
      <c r="E1089" s="24">
        <v>28</v>
      </c>
      <c r="F1089" s="24">
        <v>401</v>
      </c>
      <c r="I1089" s="25">
        <v>1</v>
      </c>
      <c r="J1089" s="24">
        <v>50</v>
      </c>
      <c r="K1089" s="24">
        <v>221</v>
      </c>
    </row>
    <row r="1091" spans="2:12" ht="15.6" x14ac:dyDescent="0.3">
      <c r="D1091" s="59" t="s">
        <v>210</v>
      </c>
      <c r="E1091" s="60"/>
      <c r="F1091" s="60"/>
      <c r="G1091" s="61"/>
      <c r="I1091" s="59" t="s">
        <v>210</v>
      </c>
      <c r="J1091" s="60"/>
      <c r="K1091" s="60"/>
      <c r="L1091" s="61"/>
    </row>
    <row r="1092" spans="2:12" ht="13.8" x14ac:dyDescent="0.3">
      <c r="D1092" s="26" t="s">
        <v>332</v>
      </c>
      <c r="E1092" s="26" t="s">
        <v>333</v>
      </c>
      <c r="F1092" s="26" t="s">
        <v>334</v>
      </c>
      <c r="G1092" s="26" t="s">
        <v>335</v>
      </c>
      <c r="I1092" s="26" t="s">
        <v>332</v>
      </c>
      <c r="J1092" s="26" t="s">
        <v>333</v>
      </c>
      <c r="K1092" s="26" t="s">
        <v>334</v>
      </c>
      <c r="L1092" s="26" t="s">
        <v>335</v>
      </c>
    </row>
    <row r="1093" spans="2:12" ht="13.8" x14ac:dyDescent="0.3">
      <c r="D1093" s="25">
        <v>0</v>
      </c>
      <c r="E1093" s="24">
        <f>SUM($E$1088:$F$1088)</f>
        <v>171</v>
      </c>
      <c r="F1093" s="24">
        <f>SUM($E$1088:$F$1088) - $E$1088:$E$1088</f>
        <v>30</v>
      </c>
      <c r="G1093" s="24">
        <f>IF($E$1093:$E$1093 = 0, "Undefined",$F$1093:$F$1093*100 / $E$1093:$E$1093)</f>
        <v>17.543859649122808</v>
      </c>
      <c r="I1093" s="25">
        <v>0</v>
      </c>
      <c r="J1093" s="24">
        <f>SUM($J$1088:$K$1088)</f>
        <v>129</v>
      </c>
      <c r="K1093" s="24">
        <f>SUM($J$1088:$K$1088) - $J$1088:$J$1088</f>
        <v>64</v>
      </c>
      <c r="L1093" s="24">
        <f>IF($J$1093:$J$1093 = 0, "Undefined",$K$1093:$K$1093*100 / $J$1093:$J$1093)</f>
        <v>49.612403100775197</v>
      </c>
    </row>
    <row r="1094" spans="2:12" ht="13.8" x14ac:dyDescent="0.3">
      <c r="D1094" s="25">
        <v>1</v>
      </c>
      <c r="E1094" s="24">
        <f>SUM($E$1089:$F$1089)</f>
        <v>429</v>
      </c>
      <c r="F1094" s="24">
        <f>SUM($E$1089:$F$1089) - $F$1089:$F$1089</f>
        <v>28</v>
      </c>
      <c r="G1094" s="24">
        <f>IF($E$1094:$E$1094 = 0, "Undefined",$F$1094:$F$1094*100 / $E$1094:$E$1094)</f>
        <v>6.526806526806527</v>
      </c>
      <c r="I1094" s="25">
        <v>1</v>
      </c>
      <c r="J1094" s="24">
        <f>SUM($J$1089:$K$1089)</f>
        <v>271</v>
      </c>
      <c r="K1094" s="24">
        <f>SUM($J$1089:$K$1089) - $K$1089:$K$1089</f>
        <v>50</v>
      </c>
      <c r="L1094" s="24">
        <f>IF($J$1094:$J$1094 = 0, "Undefined",$K$1094:$K$1094*100 / $J$1094:$J$1094)</f>
        <v>18.450184501845019</v>
      </c>
    </row>
    <row r="1095" spans="2:12" ht="13.8" x14ac:dyDescent="0.3">
      <c r="D1095" s="25" t="s">
        <v>336</v>
      </c>
      <c r="E1095" s="24">
        <f>SUM($E$1093:$E$1094)</f>
        <v>600</v>
      </c>
      <c r="F1095" s="24">
        <f>SUM($F$1093:$F$1094)</f>
        <v>58</v>
      </c>
      <c r="G1095" s="24">
        <f>IF($E$1095:$E$1095 = 0, "Undefined",$F$1095:$F$1095*100 / $E$1095:$E$1095)</f>
        <v>9.6666666666666661</v>
      </c>
      <c r="I1095" s="25" t="s">
        <v>336</v>
      </c>
      <c r="J1095" s="24">
        <f>SUM($J$1093:$J$1094)</f>
        <v>400</v>
      </c>
      <c r="K1095" s="24">
        <f>SUM($K$1093:$K$1094)</f>
        <v>114</v>
      </c>
      <c r="L1095" s="24">
        <f>IF($J$1095:$J$1095 = 0, "Undefined",$K$1095:$K$1095*100 / $J$1095:$J$1095)</f>
        <v>28.5</v>
      </c>
    </row>
    <row r="1097" spans="2:12" ht="15.6" x14ac:dyDescent="0.3">
      <c r="B1097" s="28" t="s">
        <v>415</v>
      </c>
      <c r="D1097" s="59" t="s">
        <v>329</v>
      </c>
      <c r="E1097" s="60"/>
      <c r="F1097" s="61"/>
      <c r="I1097" s="59" t="s">
        <v>329</v>
      </c>
      <c r="J1097" s="60"/>
      <c r="K1097" s="61"/>
    </row>
    <row r="1098" spans="2:12" ht="13.8" x14ac:dyDescent="0.3">
      <c r="D1098" s="26"/>
      <c r="E1098" s="75" t="s">
        <v>330</v>
      </c>
      <c r="F1098" s="76"/>
      <c r="I1098" s="26"/>
      <c r="J1098" s="75" t="s">
        <v>330</v>
      </c>
      <c r="K1098" s="76"/>
    </row>
    <row r="1099" spans="2:12" ht="13.8" x14ac:dyDescent="0.3">
      <c r="D1099" s="25" t="s">
        <v>331</v>
      </c>
      <c r="E1099" s="26">
        <v>0</v>
      </c>
      <c r="F1099" s="26">
        <v>1</v>
      </c>
      <c r="I1099" s="25" t="s">
        <v>331</v>
      </c>
      <c r="J1099" s="26">
        <v>0</v>
      </c>
      <c r="K1099" s="26">
        <v>1</v>
      </c>
    </row>
    <row r="1100" spans="2:12" ht="13.8" x14ac:dyDescent="0.3">
      <c r="D1100" s="25">
        <v>0</v>
      </c>
      <c r="E1100" s="24">
        <v>138</v>
      </c>
      <c r="F1100" s="24">
        <v>33</v>
      </c>
      <c r="I1100" s="25">
        <v>0</v>
      </c>
      <c r="J1100" s="24">
        <v>63</v>
      </c>
      <c r="K1100" s="24">
        <v>66</v>
      </c>
    </row>
    <row r="1101" spans="2:12" ht="13.8" x14ac:dyDescent="0.3">
      <c r="D1101" s="25">
        <v>1</v>
      </c>
      <c r="E1101" s="24">
        <v>28</v>
      </c>
      <c r="F1101" s="24">
        <v>401</v>
      </c>
      <c r="I1101" s="25">
        <v>1</v>
      </c>
      <c r="J1101" s="24">
        <v>45</v>
      </c>
      <c r="K1101" s="24">
        <v>226</v>
      </c>
    </row>
    <row r="1103" spans="2:12" ht="15.6" x14ac:dyDescent="0.3">
      <c r="D1103" s="59" t="s">
        <v>210</v>
      </c>
      <c r="E1103" s="60"/>
      <c r="F1103" s="60"/>
      <c r="G1103" s="61"/>
      <c r="I1103" s="59" t="s">
        <v>210</v>
      </c>
      <c r="J1103" s="60"/>
      <c r="K1103" s="60"/>
      <c r="L1103" s="61"/>
    </row>
    <row r="1104" spans="2:12" ht="13.8" x14ac:dyDescent="0.3">
      <c r="D1104" s="26" t="s">
        <v>332</v>
      </c>
      <c r="E1104" s="26" t="s">
        <v>333</v>
      </c>
      <c r="F1104" s="26" t="s">
        <v>334</v>
      </c>
      <c r="G1104" s="26" t="s">
        <v>335</v>
      </c>
      <c r="I1104" s="26" t="s">
        <v>332</v>
      </c>
      <c r="J1104" s="26" t="s">
        <v>333</v>
      </c>
      <c r="K1104" s="26" t="s">
        <v>334</v>
      </c>
      <c r="L1104" s="26" t="s">
        <v>335</v>
      </c>
    </row>
    <row r="1105" spans="2:12" ht="13.8" x14ac:dyDescent="0.3">
      <c r="D1105" s="25">
        <v>0</v>
      </c>
      <c r="E1105" s="24">
        <f>SUM($E$1100:$F$1100)</f>
        <v>171</v>
      </c>
      <c r="F1105" s="24">
        <f>SUM($E$1100:$F$1100) - $E$1100:$E$1100</f>
        <v>33</v>
      </c>
      <c r="G1105" s="24">
        <f>IF($E$1105:$E$1105 = 0, "Undefined",$F$1105:$F$1105*100 / $E$1105:$E$1105)</f>
        <v>19.298245614035089</v>
      </c>
      <c r="I1105" s="25">
        <v>0</v>
      </c>
      <c r="J1105" s="24">
        <f>SUM($J$1100:$K$1100)</f>
        <v>129</v>
      </c>
      <c r="K1105" s="24">
        <f>SUM($J$1100:$K$1100) - $J$1100:$J$1100</f>
        <v>66</v>
      </c>
      <c r="L1105" s="24">
        <f>IF($J$1105:$J$1105 = 0, "Undefined",$K$1105:$K$1105*100 / $J$1105:$J$1105)</f>
        <v>51.162790697674417</v>
      </c>
    </row>
    <row r="1106" spans="2:12" ht="13.8" x14ac:dyDescent="0.3">
      <c r="D1106" s="25">
        <v>1</v>
      </c>
      <c r="E1106" s="24">
        <f>SUM($E$1101:$F$1101)</f>
        <v>429</v>
      </c>
      <c r="F1106" s="24">
        <f>SUM($E$1101:$F$1101) - $F$1101:$F$1101</f>
        <v>28</v>
      </c>
      <c r="G1106" s="24">
        <f>IF($E$1106:$E$1106 = 0, "Undefined",$F$1106:$F$1106*100 / $E$1106:$E$1106)</f>
        <v>6.526806526806527</v>
      </c>
      <c r="I1106" s="25">
        <v>1</v>
      </c>
      <c r="J1106" s="24">
        <f>SUM($J$1101:$K$1101)</f>
        <v>271</v>
      </c>
      <c r="K1106" s="24">
        <f>SUM($J$1101:$K$1101) - $K$1101:$K$1101</f>
        <v>45</v>
      </c>
      <c r="L1106" s="24">
        <f>IF($J$1106:$J$1106 = 0, "Undefined",$K$1106:$K$1106*100 / $J$1106:$J$1106)</f>
        <v>16.605166051660518</v>
      </c>
    </row>
    <row r="1107" spans="2:12" ht="13.8" x14ac:dyDescent="0.3">
      <c r="D1107" s="25" t="s">
        <v>336</v>
      </c>
      <c r="E1107" s="24">
        <f>SUM($E$1105:$E$1106)</f>
        <v>600</v>
      </c>
      <c r="F1107" s="24">
        <f>SUM($F$1105:$F$1106)</f>
        <v>61</v>
      </c>
      <c r="G1107" s="24">
        <f>IF($E$1107:$E$1107 = 0, "Undefined",$F$1107:$F$1107*100 / $E$1107:$E$1107)</f>
        <v>10.166666666666666</v>
      </c>
      <c r="I1107" s="25" t="s">
        <v>336</v>
      </c>
      <c r="J1107" s="24">
        <f>SUM($J$1105:$J$1106)</f>
        <v>400</v>
      </c>
      <c r="K1107" s="24">
        <f>SUM($K$1105:$K$1106)</f>
        <v>111</v>
      </c>
      <c r="L1107" s="24">
        <f>IF($J$1107:$J$1107 = 0, "Undefined",$K$1107:$K$1107*100 / $J$1107:$J$1107)</f>
        <v>27.75</v>
      </c>
    </row>
    <row r="1109" spans="2:12" ht="15.6" x14ac:dyDescent="0.3">
      <c r="B1109" s="28" t="s">
        <v>416</v>
      </c>
      <c r="D1109" s="59" t="s">
        <v>329</v>
      </c>
      <c r="E1109" s="60"/>
      <c r="F1109" s="61"/>
      <c r="I1109" s="59" t="s">
        <v>329</v>
      </c>
      <c r="J1109" s="60"/>
      <c r="K1109" s="61"/>
    </row>
    <row r="1110" spans="2:12" ht="13.8" x14ac:dyDescent="0.3">
      <c r="D1110" s="26"/>
      <c r="E1110" s="75" t="s">
        <v>330</v>
      </c>
      <c r="F1110" s="76"/>
      <c r="I1110" s="26"/>
      <c r="J1110" s="75" t="s">
        <v>330</v>
      </c>
      <c r="K1110" s="76"/>
    </row>
    <row r="1111" spans="2:12" ht="13.8" x14ac:dyDescent="0.3">
      <c r="D1111" s="25" t="s">
        <v>331</v>
      </c>
      <c r="E1111" s="26">
        <v>0</v>
      </c>
      <c r="F1111" s="26">
        <v>1</v>
      </c>
      <c r="I1111" s="25" t="s">
        <v>331</v>
      </c>
      <c r="J1111" s="26">
        <v>0</v>
      </c>
      <c r="K1111" s="26">
        <v>1</v>
      </c>
    </row>
    <row r="1112" spans="2:12" ht="13.8" x14ac:dyDescent="0.3">
      <c r="D1112" s="25">
        <v>0</v>
      </c>
      <c r="E1112" s="24">
        <v>124</v>
      </c>
      <c r="F1112" s="24">
        <v>47</v>
      </c>
      <c r="I1112" s="25">
        <v>0</v>
      </c>
      <c r="J1112" s="24">
        <v>57</v>
      </c>
      <c r="K1112" s="24">
        <v>72</v>
      </c>
    </row>
    <row r="1113" spans="2:12" ht="13.8" x14ac:dyDescent="0.3">
      <c r="D1113" s="25">
        <v>1</v>
      </c>
      <c r="E1113" s="24">
        <v>27</v>
      </c>
      <c r="F1113" s="24">
        <v>402</v>
      </c>
      <c r="I1113" s="25">
        <v>1</v>
      </c>
      <c r="J1113" s="24">
        <v>32</v>
      </c>
      <c r="K1113" s="24">
        <v>239</v>
      </c>
    </row>
    <row r="1115" spans="2:12" ht="15.6" x14ac:dyDescent="0.3">
      <c r="D1115" s="59" t="s">
        <v>210</v>
      </c>
      <c r="E1115" s="60"/>
      <c r="F1115" s="60"/>
      <c r="G1115" s="61"/>
      <c r="I1115" s="59" t="s">
        <v>210</v>
      </c>
      <c r="J1115" s="60"/>
      <c r="K1115" s="60"/>
      <c r="L1115" s="61"/>
    </row>
    <row r="1116" spans="2:12" ht="13.8" x14ac:dyDescent="0.3">
      <c r="D1116" s="26" t="s">
        <v>332</v>
      </c>
      <c r="E1116" s="26" t="s">
        <v>333</v>
      </c>
      <c r="F1116" s="26" t="s">
        <v>334</v>
      </c>
      <c r="G1116" s="26" t="s">
        <v>335</v>
      </c>
      <c r="I1116" s="26" t="s">
        <v>332</v>
      </c>
      <c r="J1116" s="26" t="s">
        <v>333</v>
      </c>
      <c r="K1116" s="26" t="s">
        <v>334</v>
      </c>
      <c r="L1116" s="26" t="s">
        <v>335</v>
      </c>
    </row>
    <row r="1117" spans="2:12" ht="13.8" x14ac:dyDescent="0.3">
      <c r="D1117" s="25">
        <v>0</v>
      </c>
      <c r="E1117" s="24">
        <f>SUM($E$1112:$F$1112)</f>
        <v>171</v>
      </c>
      <c r="F1117" s="24">
        <f>SUM($E$1112:$F$1112) - $E$1112:$E$1112</f>
        <v>47</v>
      </c>
      <c r="G1117" s="24">
        <f>IF($E$1117:$E$1117 = 0, "Undefined",$F$1117:$F$1117*100 / $E$1117:$E$1117)</f>
        <v>27.485380116959064</v>
      </c>
      <c r="I1117" s="25">
        <v>0</v>
      </c>
      <c r="J1117" s="24">
        <f>SUM($J$1112:$K$1112)</f>
        <v>129</v>
      </c>
      <c r="K1117" s="24">
        <f>SUM($J$1112:$K$1112) - $J$1112:$J$1112</f>
        <v>72</v>
      </c>
      <c r="L1117" s="24">
        <f>IF($J$1117:$J$1117 = 0, "Undefined",$K$1117:$K$1117*100 / $J$1117:$J$1117)</f>
        <v>55.813953488372093</v>
      </c>
    </row>
    <row r="1118" spans="2:12" ht="13.8" x14ac:dyDescent="0.3">
      <c r="D1118" s="25">
        <v>1</v>
      </c>
      <c r="E1118" s="24">
        <f>SUM($E$1113:$F$1113)</f>
        <v>429</v>
      </c>
      <c r="F1118" s="24">
        <f>SUM($E$1113:$F$1113) - $F$1113:$F$1113</f>
        <v>27</v>
      </c>
      <c r="G1118" s="24">
        <f>IF($E$1118:$E$1118 = 0, "Undefined",$F$1118:$F$1118*100 / $E$1118:$E$1118)</f>
        <v>6.2937062937062933</v>
      </c>
      <c r="I1118" s="25">
        <v>1</v>
      </c>
      <c r="J1118" s="24">
        <f>SUM($J$1113:$K$1113)</f>
        <v>271</v>
      </c>
      <c r="K1118" s="24">
        <f>SUM($J$1113:$K$1113) - $K$1113:$K$1113</f>
        <v>32</v>
      </c>
      <c r="L1118" s="24">
        <f>IF($J$1118:$J$1118 = 0, "Undefined",$K$1118:$K$1118*100 / $J$1118:$J$1118)</f>
        <v>11.808118081180812</v>
      </c>
    </row>
    <row r="1119" spans="2:12" ht="13.8" x14ac:dyDescent="0.3">
      <c r="D1119" s="25" t="s">
        <v>336</v>
      </c>
      <c r="E1119" s="24">
        <f>SUM($E$1117:$E$1118)</f>
        <v>600</v>
      </c>
      <c r="F1119" s="24">
        <f>SUM($F$1117:$F$1118)</f>
        <v>74</v>
      </c>
      <c r="G1119" s="24">
        <f>IF($E$1119:$E$1119 = 0, "Undefined",$F$1119:$F$1119*100 / $E$1119:$E$1119)</f>
        <v>12.333333333333334</v>
      </c>
      <c r="I1119" s="25" t="s">
        <v>336</v>
      </c>
      <c r="J1119" s="24">
        <f>SUM($J$1117:$J$1118)</f>
        <v>400</v>
      </c>
      <c r="K1119" s="24">
        <f>SUM($K$1117:$K$1118)</f>
        <v>104</v>
      </c>
      <c r="L1119" s="24">
        <f>IF($J$1119:$J$1119 = 0, "Undefined",$K$1119:$K$1119*100 / $J$1119:$J$1119)</f>
        <v>26</v>
      </c>
    </row>
    <row r="1121" spans="2:12" ht="15.6" x14ac:dyDescent="0.3">
      <c r="B1121" s="28" t="s">
        <v>417</v>
      </c>
      <c r="D1121" s="59" t="s">
        <v>329</v>
      </c>
      <c r="E1121" s="60"/>
      <c r="F1121" s="61"/>
      <c r="I1121" s="59" t="s">
        <v>329</v>
      </c>
      <c r="J1121" s="60"/>
      <c r="K1121" s="61"/>
    </row>
    <row r="1122" spans="2:12" ht="13.8" x14ac:dyDescent="0.3">
      <c r="D1122" s="26"/>
      <c r="E1122" s="75" t="s">
        <v>330</v>
      </c>
      <c r="F1122" s="76"/>
      <c r="I1122" s="26"/>
      <c r="J1122" s="75" t="s">
        <v>330</v>
      </c>
      <c r="K1122" s="76"/>
    </row>
    <row r="1123" spans="2:12" ht="13.8" x14ac:dyDescent="0.3">
      <c r="D1123" s="25" t="s">
        <v>331</v>
      </c>
      <c r="E1123" s="26">
        <v>0</v>
      </c>
      <c r="F1123" s="26">
        <v>1</v>
      </c>
      <c r="I1123" s="25" t="s">
        <v>331</v>
      </c>
      <c r="J1123" s="26">
        <v>0</v>
      </c>
      <c r="K1123" s="26">
        <v>1</v>
      </c>
    </row>
    <row r="1124" spans="2:12" ht="13.8" x14ac:dyDescent="0.3">
      <c r="D1124" s="25">
        <v>0</v>
      </c>
      <c r="E1124" s="24">
        <v>134</v>
      </c>
      <c r="F1124" s="24">
        <v>37</v>
      </c>
      <c r="I1124" s="25">
        <v>0</v>
      </c>
      <c r="J1124" s="24">
        <v>68</v>
      </c>
      <c r="K1124" s="24">
        <v>61</v>
      </c>
    </row>
    <row r="1125" spans="2:12" ht="13.8" x14ac:dyDescent="0.3">
      <c r="D1125" s="25">
        <v>1</v>
      </c>
      <c r="E1125" s="24">
        <v>48</v>
      </c>
      <c r="F1125" s="24">
        <v>381</v>
      </c>
      <c r="I1125" s="25">
        <v>1</v>
      </c>
      <c r="J1125" s="24">
        <v>44</v>
      </c>
      <c r="K1125" s="24">
        <v>227</v>
      </c>
    </row>
    <row r="1127" spans="2:12" ht="15.6" x14ac:dyDescent="0.3">
      <c r="D1127" s="59" t="s">
        <v>210</v>
      </c>
      <c r="E1127" s="60"/>
      <c r="F1127" s="60"/>
      <c r="G1127" s="61"/>
      <c r="I1127" s="59" t="s">
        <v>210</v>
      </c>
      <c r="J1127" s="60"/>
      <c r="K1127" s="60"/>
      <c r="L1127" s="61"/>
    </row>
    <row r="1128" spans="2:12" ht="13.8" x14ac:dyDescent="0.3">
      <c r="D1128" s="26" t="s">
        <v>332</v>
      </c>
      <c r="E1128" s="26" t="s">
        <v>333</v>
      </c>
      <c r="F1128" s="26" t="s">
        <v>334</v>
      </c>
      <c r="G1128" s="26" t="s">
        <v>335</v>
      </c>
      <c r="I1128" s="26" t="s">
        <v>332</v>
      </c>
      <c r="J1128" s="26" t="s">
        <v>333</v>
      </c>
      <c r="K1128" s="26" t="s">
        <v>334</v>
      </c>
      <c r="L1128" s="26" t="s">
        <v>335</v>
      </c>
    </row>
    <row r="1129" spans="2:12" ht="13.8" x14ac:dyDescent="0.3">
      <c r="D1129" s="25">
        <v>0</v>
      </c>
      <c r="E1129" s="24">
        <f>SUM($E$1124:$F$1124)</f>
        <v>171</v>
      </c>
      <c r="F1129" s="24">
        <f>SUM($E$1124:$F$1124) - $E$1124:$E$1124</f>
        <v>37</v>
      </c>
      <c r="G1129" s="24">
        <f>IF($E$1129:$E$1129 = 0, "Undefined",$F$1129:$F$1129*100 / $E$1129:$E$1129)</f>
        <v>21.637426900584796</v>
      </c>
      <c r="I1129" s="25">
        <v>0</v>
      </c>
      <c r="J1129" s="24">
        <f>SUM($J$1124:$K$1124)</f>
        <v>129</v>
      </c>
      <c r="K1129" s="24">
        <f>SUM($J$1124:$K$1124) - $J$1124:$J$1124</f>
        <v>61</v>
      </c>
      <c r="L1129" s="24">
        <f>IF($J$1129:$J$1129 = 0, "Undefined",$K$1129:$K$1129*100 / $J$1129:$J$1129)</f>
        <v>47.286821705426355</v>
      </c>
    </row>
    <row r="1130" spans="2:12" ht="13.8" x14ac:dyDescent="0.3">
      <c r="D1130" s="25">
        <v>1</v>
      </c>
      <c r="E1130" s="24">
        <f>SUM($E$1125:$F$1125)</f>
        <v>429</v>
      </c>
      <c r="F1130" s="24">
        <f>SUM($E$1125:$F$1125) - $F$1125:$F$1125</f>
        <v>48</v>
      </c>
      <c r="G1130" s="24">
        <f>IF($E$1130:$E$1130 = 0, "Undefined",$F$1130:$F$1130*100 / $E$1130:$E$1130)</f>
        <v>11.188811188811188</v>
      </c>
      <c r="I1130" s="25">
        <v>1</v>
      </c>
      <c r="J1130" s="24">
        <f>SUM($J$1125:$K$1125)</f>
        <v>271</v>
      </c>
      <c r="K1130" s="24">
        <f>SUM($J$1125:$K$1125) - $K$1125:$K$1125</f>
        <v>44</v>
      </c>
      <c r="L1130" s="24">
        <f>IF($J$1130:$J$1130 = 0, "Undefined",$K$1130:$K$1130*100 / $J$1130:$J$1130)</f>
        <v>16.236162361623617</v>
      </c>
    </row>
    <row r="1131" spans="2:12" ht="13.8" x14ac:dyDescent="0.3">
      <c r="D1131" s="25" t="s">
        <v>336</v>
      </c>
      <c r="E1131" s="24">
        <f>SUM($E$1129:$E$1130)</f>
        <v>600</v>
      </c>
      <c r="F1131" s="24">
        <f>SUM($F$1129:$F$1130)</f>
        <v>85</v>
      </c>
      <c r="G1131" s="24">
        <f>IF($E$1131:$E$1131 = 0, "Undefined",$F$1131:$F$1131*100 / $E$1131:$E$1131)</f>
        <v>14.166666666666666</v>
      </c>
      <c r="I1131" s="25" t="s">
        <v>336</v>
      </c>
      <c r="J1131" s="24">
        <f>SUM($J$1129:$J$1130)</f>
        <v>400</v>
      </c>
      <c r="K1131" s="24">
        <f>SUM($K$1129:$K$1130)</f>
        <v>105</v>
      </c>
      <c r="L1131" s="24">
        <f>IF($J$1131:$J$1131 = 0, "Undefined",$K$1131:$K$1131*100 / $J$1131:$J$1131)</f>
        <v>26.25</v>
      </c>
    </row>
    <row r="1133" spans="2:12" ht="15.6" x14ac:dyDescent="0.3">
      <c r="B1133" s="28" t="s">
        <v>418</v>
      </c>
      <c r="D1133" s="59" t="s">
        <v>329</v>
      </c>
      <c r="E1133" s="60"/>
      <c r="F1133" s="61"/>
      <c r="I1133" s="59" t="s">
        <v>329</v>
      </c>
      <c r="J1133" s="60"/>
      <c r="K1133" s="61"/>
    </row>
    <row r="1134" spans="2:12" ht="13.8" x14ac:dyDescent="0.3">
      <c r="D1134" s="26"/>
      <c r="E1134" s="75" t="s">
        <v>330</v>
      </c>
      <c r="F1134" s="76"/>
      <c r="I1134" s="26"/>
      <c r="J1134" s="75" t="s">
        <v>330</v>
      </c>
      <c r="K1134" s="76"/>
    </row>
    <row r="1135" spans="2:12" ht="13.8" x14ac:dyDescent="0.3">
      <c r="D1135" s="25" t="s">
        <v>331</v>
      </c>
      <c r="E1135" s="26">
        <v>0</v>
      </c>
      <c r="F1135" s="26">
        <v>1</v>
      </c>
      <c r="I1135" s="25" t="s">
        <v>331</v>
      </c>
      <c r="J1135" s="26">
        <v>0</v>
      </c>
      <c r="K1135" s="26">
        <v>1</v>
      </c>
    </row>
    <row r="1136" spans="2:12" ht="13.8" x14ac:dyDescent="0.3">
      <c r="D1136" s="25">
        <v>0</v>
      </c>
      <c r="E1136" s="24">
        <v>145</v>
      </c>
      <c r="F1136" s="24">
        <v>26</v>
      </c>
      <c r="I1136" s="25">
        <v>0</v>
      </c>
      <c r="J1136" s="24">
        <v>70</v>
      </c>
      <c r="K1136" s="24">
        <v>59</v>
      </c>
    </row>
    <row r="1137" spans="2:12" ht="13.8" x14ac:dyDescent="0.3">
      <c r="D1137" s="25">
        <v>1</v>
      </c>
      <c r="E1137" s="24">
        <v>39</v>
      </c>
      <c r="F1137" s="24">
        <v>390</v>
      </c>
      <c r="I1137" s="25">
        <v>1</v>
      </c>
      <c r="J1137" s="24">
        <v>53</v>
      </c>
      <c r="K1137" s="24">
        <v>218</v>
      </c>
    </row>
    <row r="1139" spans="2:12" ht="15.6" x14ac:dyDescent="0.3">
      <c r="D1139" s="59" t="s">
        <v>210</v>
      </c>
      <c r="E1139" s="60"/>
      <c r="F1139" s="60"/>
      <c r="G1139" s="61"/>
      <c r="I1139" s="59" t="s">
        <v>210</v>
      </c>
      <c r="J1139" s="60"/>
      <c r="K1139" s="60"/>
      <c r="L1139" s="61"/>
    </row>
    <row r="1140" spans="2:12" ht="13.8" x14ac:dyDescent="0.3">
      <c r="D1140" s="26" t="s">
        <v>332</v>
      </c>
      <c r="E1140" s="26" t="s">
        <v>333</v>
      </c>
      <c r="F1140" s="26" t="s">
        <v>334</v>
      </c>
      <c r="G1140" s="26" t="s">
        <v>335</v>
      </c>
      <c r="I1140" s="26" t="s">
        <v>332</v>
      </c>
      <c r="J1140" s="26" t="s">
        <v>333</v>
      </c>
      <c r="K1140" s="26" t="s">
        <v>334</v>
      </c>
      <c r="L1140" s="26" t="s">
        <v>335</v>
      </c>
    </row>
    <row r="1141" spans="2:12" ht="13.8" x14ac:dyDescent="0.3">
      <c r="D1141" s="25">
        <v>0</v>
      </c>
      <c r="E1141" s="24">
        <f>SUM($E$1136:$F$1136)</f>
        <v>171</v>
      </c>
      <c r="F1141" s="24">
        <f>SUM($E$1136:$F$1136) - $E$1136:$E$1136</f>
        <v>26</v>
      </c>
      <c r="G1141" s="24">
        <f>IF($E$1141:$E$1141 = 0, "Undefined",$F$1141:$F$1141*100 / $E$1141:$E$1141)</f>
        <v>15.2046783625731</v>
      </c>
      <c r="I1141" s="25">
        <v>0</v>
      </c>
      <c r="J1141" s="24">
        <f>SUM($J$1136:$K$1136)</f>
        <v>129</v>
      </c>
      <c r="K1141" s="24">
        <f>SUM($J$1136:$K$1136) - $J$1136:$J$1136</f>
        <v>59</v>
      </c>
      <c r="L1141" s="24">
        <f>IF($J$1141:$J$1141 = 0, "Undefined",$K$1141:$K$1141*100 / $J$1141:$J$1141)</f>
        <v>45.736434108527135</v>
      </c>
    </row>
    <row r="1142" spans="2:12" ht="13.8" x14ac:dyDescent="0.3">
      <c r="D1142" s="25">
        <v>1</v>
      </c>
      <c r="E1142" s="24">
        <f>SUM($E$1137:$F$1137)</f>
        <v>429</v>
      </c>
      <c r="F1142" s="24">
        <f>SUM($E$1137:$F$1137) - $F$1137:$F$1137</f>
        <v>39</v>
      </c>
      <c r="G1142" s="24">
        <f>IF($E$1142:$E$1142 = 0, "Undefined",$F$1142:$F$1142*100 / $E$1142:$E$1142)</f>
        <v>9.0909090909090917</v>
      </c>
      <c r="I1142" s="25">
        <v>1</v>
      </c>
      <c r="J1142" s="24">
        <f>SUM($J$1137:$K$1137)</f>
        <v>271</v>
      </c>
      <c r="K1142" s="24">
        <f>SUM($J$1137:$K$1137) - $K$1137:$K$1137</f>
        <v>53</v>
      </c>
      <c r="L1142" s="24">
        <f>IF($J$1142:$J$1142 = 0, "Undefined",$K$1142:$K$1142*100 / $J$1142:$J$1142)</f>
        <v>19.55719557195572</v>
      </c>
    </row>
    <row r="1143" spans="2:12" ht="13.8" x14ac:dyDescent="0.3">
      <c r="D1143" s="25" t="s">
        <v>336</v>
      </c>
      <c r="E1143" s="24">
        <f>SUM($E$1141:$E$1142)</f>
        <v>600</v>
      </c>
      <c r="F1143" s="24">
        <f>SUM($F$1141:$F$1142)</f>
        <v>65</v>
      </c>
      <c r="G1143" s="24">
        <f>IF($E$1143:$E$1143 = 0, "Undefined",$F$1143:$F$1143*100 / $E$1143:$E$1143)</f>
        <v>10.833333333333334</v>
      </c>
      <c r="I1143" s="25" t="s">
        <v>336</v>
      </c>
      <c r="J1143" s="24">
        <f>SUM($J$1141:$J$1142)</f>
        <v>400</v>
      </c>
      <c r="K1143" s="24">
        <f>SUM($K$1141:$K$1142)</f>
        <v>112</v>
      </c>
      <c r="L1143" s="24">
        <f>IF($J$1143:$J$1143 = 0, "Undefined",$K$1143:$K$1143*100 / $J$1143:$J$1143)</f>
        <v>28</v>
      </c>
    </row>
    <row r="1145" spans="2:12" ht="15.6" x14ac:dyDescent="0.3">
      <c r="B1145" s="28" t="s">
        <v>419</v>
      </c>
      <c r="D1145" s="59" t="s">
        <v>329</v>
      </c>
      <c r="E1145" s="60"/>
      <c r="F1145" s="61"/>
      <c r="I1145" s="59" t="s">
        <v>329</v>
      </c>
      <c r="J1145" s="60"/>
      <c r="K1145" s="61"/>
    </row>
    <row r="1146" spans="2:12" ht="13.8" x14ac:dyDescent="0.3">
      <c r="D1146" s="26"/>
      <c r="E1146" s="75" t="s">
        <v>330</v>
      </c>
      <c r="F1146" s="76"/>
      <c r="I1146" s="26"/>
      <c r="J1146" s="75" t="s">
        <v>330</v>
      </c>
      <c r="K1146" s="76"/>
    </row>
    <row r="1147" spans="2:12" ht="13.8" x14ac:dyDescent="0.3">
      <c r="D1147" s="25" t="s">
        <v>331</v>
      </c>
      <c r="E1147" s="26">
        <v>0</v>
      </c>
      <c r="F1147" s="26">
        <v>1</v>
      </c>
      <c r="I1147" s="25" t="s">
        <v>331</v>
      </c>
      <c r="J1147" s="26">
        <v>0</v>
      </c>
      <c r="K1147" s="26">
        <v>1</v>
      </c>
    </row>
    <row r="1148" spans="2:12" ht="13.8" x14ac:dyDescent="0.3">
      <c r="D1148" s="25">
        <v>0</v>
      </c>
      <c r="E1148" s="24">
        <v>148</v>
      </c>
      <c r="F1148" s="24">
        <v>23</v>
      </c>
      <c r="I1148" s="25">
        <v>0</v>
      </c>
      <c r="J1148" s="24">
        <v>64</v>
      </c>
      <c r="K1148" s="24">
        <v>65</v>
      </c>
    </row>
    <row r="1149" spans="2:12" ht="13.8" x14ac:dyDescent="0.3">
      <c r="D1149" s="25">
        <v>1</v>
      </c>
      <c r="E1149" s="24">
        <v>40</v>
      </c>
      <c r="F1149" s="24">
        <v>389</v>
      </c>
      <c r="I1149" s="25">
        <v>1</v>
      </c>
      <c r="J1149" s="24">
        <v>53</v>
      </c>
      <c r="K1149" s="24">
        <v>218</v>
      </c>
    </row>
    <row r="1151" spans="2:12" ht="15.6" x14ac:dyDescent="0.3">
      <c r="D1151" s="59" t="s">
        <v>210</v>
      </c>
      <c r="E1151" s="60"/>
      <c r="F1151" s="60"/>
      <c r="G1151" s="61"/>
      <c r="I1151" s="59" t="s">
        <v>210</v>
      </c>
      <c r="J1151" s="60"/>
      <c r="K1151" s="60"/>
      <c r="L1151" s="61"/>
    </row>
    <row r="1152" spans="2:12" ht="13.8" x14ac:dyDescent="0.3">
      <c r="D1152" s="26" t="s">
        <v>332</v>
      </c>
      <c r="E1152" s="26" t="s">
        <v>333</v>
      </c>
      <c r="F1152" s="26" t="s">
        <v>334</v>
      </c>
      <c r="G1152" s="26" t="s">
        <v>335</v>
      </c>
      <c r="I1152" s="26" t="s">
        <v>332</v>
      </c>
      <c r="J1152" s="26" t="s">
        <v>333</v>
      </c>
      <c r="K1152" s="26" t="s">
        <v>334</v>
      </c>
      <c r="L1152" s="26" t="s">
        <v>335</v>
      </c>
    </row>
    <row r="1153" spans="2:12" ht="13.8" x14ac:dyDescent="0.3">
      <c r="D1153" s="25">
        <v>0</v>
      </c>
      <c r="E1153" s="24">
        <f>SUM($E$1148:$F$1148)</f>
        <v>171</v>
      </c>
      <c r="F1153" s="24">
        <f>SUM($E$1148:$F$1148) - $E$1148:$E$1148</f>
        <v>23</v>
      </c>
      <c r="G1153" s="24">
        <f>IF($E$1153:$E$1153 = 0, "Undefined",$F$1153:$F$1153*100 / $E$1153:$E$1153)</f>
        <v>13.450292397660819</v>
      </c>
      <c r="I1153" s="25">
        <v>0</v>
      </c>
      <c r="J1153" s="24">
        <f>SUM($J$1148:$K$1148)</f>
        <v>129</v>
      </c>
      <c r="K1153" s="24">
        <f>SUM($J$1148:$K$1148) - $J$1148:$J$1148</f>
        <v>65</v>
      </c>
      <c r="L1153" s="24">
        <f>IF($J$1153:$J$1153 = 0, "Undefined",$K$1153:$K$1153*100 / $J$1153:$J$1153)</f>
        <v>50.387596899224803</v>
      </c>
    </row>
    <row r="1154" spans="2:12" ht="13.8" x14ac:dyDescent="0.3">
      <c r="D1154" s="25">
        <v>1</v>
      </c>
      <c r="E1154" s="24">
        <f>SUM($E$1149:$F$1149)</f>
        <v>429</v>
      </c>
      <c r="F1154" s="24">
        <f>SUM($E$1149:$F$1149) - $F$1149:$F$1149</f>
        <v>40</v>
      </c>
      <c r="G1154" s="24">
        <f>IF($E$1154:$E$1154 = 0, "Undefined",$F$1154:$F$1154*100 / $E$1154:$E$1154)</f>
        <v>9.3240093240093245</v>
      </c>
      <c r="I1154" s="25">
        <v>1</v>
      </c>
      <c r="J1154" s="24">
        <f>SUM($J$1149:$K$1149)</f>
        <v>271</v>
      </c>
      <c r="K1154" s="24">
        <f>SUM($J$1149:$K$1149) - $K$1149:$K$1149</f>
        <v>53</v>
      </c>
      <c r="L1154" s="24">
        <f>IF($J$1154:$J$1154 = 0, "Undefined",$K$1154:$K$1154*100 / $J$1154:$J$1154)</f>
        <v>19.55719557195572</v>
      </c>
    </row>
    <row r="1155" spans="2:12" ht="13.8" x14ac:dyDescent="0.3">
      <c r="D1155" s="25" t="s">
        <v>336</v>
      </c>
      <c r="E1155" s="24">
        <f>SUM($E$1153:$E$1154)</f>
        <v>600</v>
      </c>
      <c r="F1155" s="24">
        <f>SUM($F$1153:$F$1154)</f>
        <v>63</v>
      </c>
      <c r="G1155" s="24">
        <f>IF($E$1155:$E$1155 = 0, "Undefined",$F$1155:$F$1155*100 / $E$1155:$E$1155)</f>
        <v>10.5</v>
      </c>
      <c r="I1155" s="25" t="s">
        <v>336</v>
      </c>
      <c r="J1155" s="24">
        <f>SUM($J$1153:$J$1154)</f>
        <v>400</v>
      </c>
      <c r="K1155" s="24">
        <f>SUM($K$1153:$K$1154)</f>
        <v>118</v>
      </c>
      <c r="L1155" s="24">
        <f>IF($J$1155:$J$1155 = 0, "Undefined",$K$1155:$K$1155*100 / $J$1155:$J$1155)</f>
        <v>29.5</v>
      </c>
    </row>
    <row r="1157" spans="2:12" ht="15.6" x14ac:dyDescent="0.3">
      <c r="B1157" s="28" t="s">
        <v>420</v>
      </c>
      <c r="D1157" s="59" t="s">
        <v>329</v>
      </c>
      <c r="E1157" s="60"/>
      <c r="F1157" s="61"/>
      <c r="I1157" s="59" t="s">
        <v>329</v>
      </c>
      <c r="J1157" s="60"/>
      <c r="K1157" s="61"/>
    </row>
    <row r="1158" spans="2:12" ht="13.8" x14ac:dyDescent="0.3">
      <c r="D1158" s="26"/>
      <c r="E1158" s="75" t="s">
        <v>330</v>
      </c>
      <c r="F1158" s="76"/>
      <c r="I1158" s="26"/>
      <c r="J1158" s="75" t="s">
        <v>330</v>
      </c>
      <c r="K1158" s="76"/>
    </row>
    <row r="1159" spans="2:12" ht="13.8" x14ac:dyDescent="0.3">
      <c r="D1159" s="25" t="s">
        <v>331</v>
      </c>
      <c r="E1159" s="26">
        <v>0</v>
      </c>
      <c r="F1159" s="26">
        <v>1</v>
      </c>
      <c r="I1159" s="25" t="s">
        <v>331</v>
      </c>
      <c r="J1159" s="26">
        <v>0</v>
      </c>
      <c r="K1159" s="26">
        <v>1</v>
      </c>
    </row>
    <row r="1160" spans="2:12" ht="13.8" x14ac:dyDescent="0.3">
      <c r="D1160" s="25">
        <v>0</v>
      </c>
      <c r="E1160" s="24">
        <v>126</v>
      </c>
      <c r="F1160" s="24">
        <v>45</v>
      </c>
      <c r="I1160" s="25">
        <v>0</v>
      </c>
      <c r="J1160" s="24">
        <v>58</v>
      </c>
      <c r="K1160" s="24">
        <v>71</v>
      </c>
    </row>
    <row r="1161" spans="2:12" ht="13.8" x14ac:dyDescent="0.3">
      <c r="D1161" s="25">
        <v>1</v>
      </c>
      <c r="E1161" s="24">
        <v>29</v>
      </c>
      <c r="F1161" s="24">
        <v>400</v>
      </c>
      <c r="I1161" s="25">
        <v>1</v>
      </c>
      <c r="J1161" s="24">
        <v>44</v>
      </c>
      <c r="K1161" s="24">
        <v>227</v>
      </c>
    </row>
    <row r="1163" spans="2:12" ht="15.6" x14ac:dyDescent="0.3">
      <c r="D1163" s="59" t="s">
        <v>210</v>
      </c>
      <c r="E1163" s="60"/>
      <c r="F1163" s="60"/>
      <c r="G1163" s="61"/>
      <c r="I1163" s="59" t="s">
        <v>210</v>
      </c>
      <c r="J1163" s="60"/>
      <c r="K1163" s="60"/>
      <c r="L1163" s="61"/>
    </row>
    <row r="1164" spans="2:12" ht="13.8" x14ac:dyDescent="0.3">
      <c r="D1164" s="26" t="s">
        <v>332</v>
      </c>
      <c r="E1164" s="26" t="s">
        <v>333</v>
      </c>
      <c r="F1164" s="26" t="s">
        <v>334</v>
      </c>
      <c r="G1164" s="26" t="s">
        <v>335</v>
      </c>
      <c r="I1164" s="26" t="s">
        <v>332</v>
      </c>
      <c r="J1164" s="26" t="s">
        <v>333</v>
      </c>
      <c r="K1164" s="26" t="s">
        <v>334</v>
      </c>
      <c r="L1164" s="26" t="s">
        <v>335</v>
      </c>
    </row>
    <row r="1165" spans="2:12" ht="13.8" x14ac:dyDescent="0.3">
      <c r="D1165" s="25">
        <v>0</v>
      </c>
      <c r="E1165" s="24">
        <f>SUM($E$1160:$F$1160)</f>
        <v>171</v>
      </c>
      <c r="F1165" s="24">
        <f>SUM($E$1160:$F$1160) - $E$1160:$E$1160</f>
        <v>45</v>
      </c>
      <c r="G1165" s="24">
        <f>IF($E$1165:$E$1165 = 0, "Undefined",$F$1165:$F$1165*100 / $E$1165:$E$1165)</f>
        <v>26.315789473684209</v>
      </c>
      <c r="I1165" s="25">
        <v>0</v>
      </c>
      <c r="J1165" s="24">
        <f>SUM($J$1160:$K$1160)</f>
        <v>129</v>
      </c>
      <c r="K1165" s="24">
        <f>SUM($J$1160:$K$1160) - $J$1160:$J$1160</f>
        <v>71</v>
      </c>
      <c r="L1165" s="24">
        <f>IF($J$1165:$J$1165 = 0, "Undefined",$K$1165:$K$1165*100 / $J$1165:$J$1165)</f>
        <v>55.038759689922479</v>
      </c>
    </row>
    <row r="1166" spans="2:12" ht="13.8" x14ac:dyDescent="0.3">
      <c r="D1166" s="25">
        <v>1</v>
      </c>
      <c r="E1166" s="24">
        <f>SUM($E$1161:$F$1161)</f>
        <v>429</v>
      </c>
      <c r="F1166" s="24">
        <f>SUM($E$1161:$F$1161) - $F$1161:$F$1161</f>
        <v>29</v>
      </c>
      <c r="G1166" s="24">
        <f>IF($E$1166:$E$1166 = 0, "Undefined",$F$1166:$F$1166*100 / $E$1166:$E$1166)</f>
        <v>6.7599067599067597</v>
      </c>
      <c r="I1166" s="25">
        <v>1</v>
      </c>
      <c r="J1166" s="24">
        <f>SUM($J$1161:$K$1161)</f>
        <v>271</v>
      </c>
      <c r="K1166" s="24">
        <f>SUM($J$1161:$K$1161) - $K$1161:$K$1161</f>
        <v>44</v>
      </c>
      <c r="L1166" s="24">
        <f>IF($J$1166:$J$1166 = 0, "Undefined",$K$1166:$K$1166*100 / $J$1166:$J$1166)</f>
        <v>16.236162361623617</v>
      </c>
    </row>
    <row r="1167" spans="2:12" ht="13.8" x14ac:dyDescent="0.3">
      <c r="D1167" s="25" t="s">
        <v>336</v>
      </c>
      <c r="E1167" s="24">
        <f>SUM($E$1165:$E$1166)</f>
        <v>600</v>
      </c>
      <c r="F1167" s="24">
        <f>SUM($F$1165:$F$1166)</f>
        <v>74</v>
      </c>
      <c r="G1167" s="24">
        <f>IF($E$1167:$E$1167 = 0, "Undefined",$F$1167:$F$1167*100 / $E$1167:$E$1167)</f>
        <v>12.333333333333334</v>
      </c>
      <c r="I1167" s="25" t="s">
        <v>336</v>
      </c>
      <c r="J1167" s="24">
        <f>SUM($J$1165:$J$1166)</f>
        <v>400</v>
      </c>
      <c r="K1167" s="24">
        <f>SUM($K$1165:$K$1166)</f>
        <v>115</v>
      </c>
      <c r="L1167" s="24">
        <f>IF($J$1167:$J$1167 = 0, "Undefined",$K$1167:$K$1167*100 / $J$1167:$J$1167)</f>
        <v>28.75</v>
      </c>
    </row>
    <row r="1169" spans="2:12" ht="15.6" x14ac:dyDescent="0.3">
      <c r="B1169" s="28" t="s">
        <v>421</v>
      </c>
      <c r="D1169" s="59" t="s">
        <v>329</v>
      </c>
      <c r="E1169" s="60"/>
      <c r="F1169" s="61"/>
      <c r="I1169" s="59" t="s">
        <v>329</v>
      </c>
      <c r="J1169" s="60"/>
      <c r="K1169" s="61"/>
    </row>
    <row r="1170" spans="2:12" ht="13.8" x14ac:dyDescent="0.3">
      <c r="D1170" s="26"/>
      <c r="E1170" s="75" t="s">
        <v>330</v>
      </c>
      <c r="F1170" s="76"/>
      <c r="I1170" s="26"/>
      <c r="J1170" s="75" t="s">
        <v>330</v>
      </c>
      <c r="K1170" s="76"/>
    </row>
    <row r="1171" spans="2:12" ht="13.8" x14ac:dyDescent="0.3">
      <c r="D1171" s="25" t="s">
        <v>331</v>
      </c>
      <c r="E1171" s="26">
        <v>0</v>
      </c>
      <c r="F1171" s="26">
        <v>1</v>
      </c>
      <c r="I1171" s="25" t="s">
        <v>331</v>
      </c>
      <c r="J1171" s="26">
        <v>0</v>
      </c>
      <c r="K1171" s="26">
        <v>1</v>
      </c>
    </row>
    <row r="1172" spans="2:12" ht="13.8" x14ac:dyDescent="0.3">
      <c r="D1172" s="25">
        <v>0</v>
      </c>
      <c r="E1172" s="24">
        <v>118</v>
      </c>
      <c r="F1172" s="24">
        <v>53</v>
      </c>
      <c r="I1172" s="25">
        <v>0</v>
      </c>
      <c r="J1172" s="24">
        <v>55</v>
      </c>
      <c r="K1172" s="24">
        <v>74</v>
      </c>
    </row>
    <row r="1173" spans="2:12" ht="13.8" x14ac:dyDescent="0.3">
      <c r="D1173" s="25">
        <v>1</v>
      </c>
      <c r="E1173" s="24">
        <v>25</v>
      </c>
      <c r="F1173" s="24">
        <v>404</v>
      </c>
      <c r="I1173" s="25">
        <v>1</v>
      </c>
      <c r="J1173" s="24">
        <v>43</v>
      </c>
      <c r="K1173" s="24">
        <v>228</v>
      </c>
    </row>
    <row r="1175" spans="2:12" ht="15.6" x14ac:dyDescent="0.3">
      <c r="D1175" s="59" t="s">
        <v>210</v>
      </c>
      <c r="E1175" s="60"/>
      <c r="F1175" s="60"/>
      <c r="G1175" s="61"/>
      <c r="I1175" s="59" t="s">
        <v>210</v>
      </c>
      <c r="J1175" s="60"/>
      <c r="K1175" s="60"/>
      <c r="L1175" s="61"/>
    </row>
    <row r="1176" spans="2:12" ht="13.8" x14ac:dyDescent="0.3">
      <c r="D1176" s="26" t="s">
        <v>332</v>
      </c>
      <c r="E1176" s="26" t="s">
        <v>333</v>
      </c>
      <c r="F1176" s="26" t="s">
        <v>334</v>
      </c>
      <c r="G1176" s="26" t="s">
        <v>335</v>
      </c>
      <c r="I1176" s="26" t="s">
        <v>332</v>
      </c>
      <c r="J1176" s="26" t="s">
        <v>333</v>
      </c>
      <c r="K1176" s="26" t="s">
        <v>334</v>
      </c>
      <c r="L1176" s="26" t="s">
        <v>335</v>
      </c>
    </row>
    <row r="1177" spans="2:12" ht="13.8" x14ac:dyDescent="0.3">
      <c r="D1177" s="25">
        <v>0</v>
      </c>
      <c r="E1177" s="24">
        <f>SUM($E$1172:$F$1172)</f>
        <v>171</v>
      </c>
      <c r="F1177" s="24">
        <f>SUM($E$1172:$F$1172) - $E$1172:$E$1172</f>
        <v>53</v>
      </c>
      <c r="G1177" s="24">
        <f>IF($E$1177:$E$1177 = 0, "Undefined",$F$1177:$F$1177*100 / $E$1177:$E$1177)</f>
        <v>30.994152046783626</v>
      </c>
      <c r="I1177" s="25">
        <v>0</v>
      </c>
      <c r="J1177" s="24">
        <f>SUM($J$1172:$K$1172)</f>
        <v>129</v>
      </c>
      <c r="K1177" s="24">
        <f>SUM($J$1172:$K$1172) - $J$1172:$J$1172</f>
        <v>74</v>
      </c>
      <c r="L1177" s="24">
        <f>IF($J$1177:$J$1177 = 0, "Undefined",$K$1177:$K$1177*100 / $J$1177:$J$1177)</f>
        <v>57.36434108527132</v>
      </c>
    </row>
    <row r="1178" spans="2:12" ht="13.8" x14ac:dyDescent="0.3">
      <c r="D1178" s="25">
        <v>1</v>
      </c>
      <c r="E1178" s="24">
        <f>SUM($E$1173:$F$1173)</f>
        <v>429</v>
      </c>
      <c r="F1178" s="24">
        <f>SUM($E$1173:$F$1173) - $F$1173:$F$1173</f>
        <v>25</v>
      </c>
      <c r="G1178" s="24">
        <f>IF($E$1178:$E$1178 = 0, "Undefined",$F$1178:$F$1178*100 / $E$1178:$E$1178)</f>
        <v>5.8275058275058278</v>
      </c>
      <c r="I1178" s="25">
        <v>1</v>
      </c>
      <c r="J1178" s="24">
        <f>SUM($J$1173:$K$1173)</f>
        <v>271</v>
      </c>
      <c r="K1178" s="24">
        <f>SUM($J$1173:$K$1173) - $K$1173:$K$1173</f>
        <v>43</v>
      </c>
      <c r="L1178" s="24">
        <f>IF($J$1178:$J$1178 = 0, "Undefined",$K$1178:$K$1178*100 / $J$1178:$J$1178)</f>
        <v>15.867158671586715</v>
      </c>
    </row>
    <row r="1179" spans="2:12" ht="13.8" x14ac:dyDescent="0.3">
      <c r="D1179" s="25" t="s">
        <v>336</v>
      </c>
      <c r="E1179" s="24">
        <f>SUM($E$1177:$E$1178)</f>
        <v>600</v>
      </c>
      <c r="F1179" s="24">
        <f>SUM($F$1177:$F$1178)</f>
        <v>78</v>
      </c>
      <c r="G1179" s="24">
        <f>IF($E$1179:$E$1179 = 0, "Undefined",$F$1179:$F$1179*100 / $E$1179:$E$1179)</f>
        <v>13</v>
      </c>
      <c r="I1179" s="25" t="s">
        <v>336</v>
      </c>
      <c r="J1179" s="24">
        <f>SUM($J$1177:$J$1178)</f>
        <v>400</v>
      </c>
      <c r="K1179" s="24">
        <f>SUM($K$1177:$K$1178)</f>
        <v>117</v>
      </c>
      <c r="L1179" s="24">
        <f>IF($J$1179:$J$1179 = 0, "Undefined",$K$1179:$K$1179*100 / $J$1179:$J$1179)</f>
        <v>29.25</v>
      </c>
    </row>
    <row r="1181" spans="2:12" ht="15.6" x14ac:dyDescent="0.3">
      <c r="B1181" s="28" t="s">
        <v>422</v>
      </c>
      <c r="D1181" s="59" t="s">
        <v>329</v>
      </c>
      <c r="E1181" s="60"/>
      <c r="F1181" s="61"/>
      <c r="I1181" s="59" t="s">
        <v>329</v>
      </c>
      <c r="J1181" s="60"/>
      <c r="K1181" s="61"/>
    </row>
    <row r="1182" spans="2:12" ht="13.8" x14ac:dyDescent="0.3">
      <c r="D1182" s="26"/>
      <c r="E1182" s="75" t="s">
        <v>330</v>
      </c>
      <c r="F1182" s="76"/>
      <c r="I1182" s="26"/>
      <c r="J1182" s="75" t="s">
        <v>330</v>
      </c>
      <c r="K1182" s="76"/>
    </row>
    <row r="1183" spans="2:12" ht="13.8" x14ac:dyDescent="0.3">
      <c r="D1183" s="25" t="s">
        <v>331</v>
      </c>
      <c r="E1183" s="26">
        <v>0</v>
      </c>
      <c r="F1183" s="26">
        <v>1</v>
      </c>
      <c r="I1183" s="25" t="s">
        <v>331</v>
      </c>
      <c r="J1183" s="26">
        <v>0</v>
      </c>
      <c r="K1183" s="26">
        <v>1</v>
      </c>
    </row>
    <row r="1184" spans="2:12" ht="13.8" x14ac:dyDescent="0.3">
      <c r="D1184" s="25">
        <v>0</v>
      </c>
      <c r="E1184" s="24">
        <v>135</v>
      </c>
      <c r="F1184" s="24">
        <v>36</v>
      </c>
      <c r="I1184" s="25">
        <v>0</v>
      </c>
      <c r="J1184" s="24">
        <v>70</v>
      </c>
      <c r="K1184" s="24">
        <v>59</v>
      </c>
    </row>
    <row r="1185" spans="2:12" ht="13.8" x14ac:dyDescent="0.3">
      <c r="D1185" s="25">
        <v>1</v>
      </c>
      <c r="E1185" s="24">
        <v>43</v>
      </c>
      <c r="F1185" s="24">
        <v>386</v>
      </c>
      <c r="I1185" s="25">
        <v>1</v>
      </c>
      <c r="J1185" s="24">
        <v>55</v>
      </c>
      <c r="K1185" s="24">
        <v>216</v>
      </c>
    </row>
    <row r="1187" spans="2:12" ht="15.6" x14ac:dyDescent="0.3">
      <c r="D1187" s="59" t="s">
        <v>210</v>
      </c>
      <c r="E1187" s="60"/>
      <c r="F1187" s="60"/>
      <c r="G1187" s="61"/>
      <c r="I1187" s="59" t="s">
        <v>210</v>
      </c>
      <c r="J1187" s="60"/>
      <c r="K1187" s="60"/>
      <c r="L1187" s="61"/>
    </row>
    <row r="1188" spans="2:12" ht="13.8" x14ac:dyDescent="0.3">
      <c r="D1188" s="26" t="s">
        <v>332</v>
      </c>
      <c r="E1188" s="26" t="s">
        <v>333</v>
      </c>
      <c r="F1188" s="26" t="s">
        <v>334</v>
      </c>
      <c r="G1188" s="26" t="s">
        <v>335</v>
      </c>
      <c r="I1188" s="26" t="s">
        <v>332</v>
      </c>
      <c r="J1188" s="26" t="s">
        <v>333</v>
      </c>
      <c r="K1188" s="26" t="s">
        <v>334</v>
      </c>
      <c r="L1188" s="26" t="s">
        <v>335</v>
      </c>
    </row>
    <row r="1189" spans="2:12" ht="13.8" x14ac:dyDescent="0.3">
      <c r="D1189" s="25">
        <v>0</v>
      </c>
      <c r="E1189" s="24">
        <f>SUM($E$1184:$F$1184)</f>
        <v>171</v>
      </c>
      <c r="F1189" s="24">
        <f>SUM($E$1184:$F$1184) - $E$1184:$E$1184</f>
        <v>36</v>
      </c>
      <c r="G1189" s="24">
        <f>IF($E$1189:$E$1189 = 0, "Undefined",$F$1189:$F$1189*100 / $E$1189:$E$1189)</f>
        <v>21.05263157894737</v>
      </c>
      <c r="I1189" s="25">
        <v>0</v>
      </c>
      <c r="J1189" s="24">
        <f>SUM($J$1184:$K$1184)</f>
        <v>129</v>
      </c>
      <c r="K1189" s="24">
        <f>SUM($J$1184:$K$1184) - $J$1184:$J$1184</f>
        <v>59</v>
      </c>
      <c r="L1189" s="24">
        <f>IF($J$1189:$J$1189 = 0, "Undefined",$K$1189:$K$1189*100 / $J$1189:$J$1189)</f>
        <v>45.736434108527135</v>
      </c>
    </row>
    <row r="1190" spans="2:12" ht="13.8" x14ac:dyDescent="0.3">
      <c r="D1190" s="25">
        <v>1</v>
      </c>
      <c r="E1190" s="24">
        <f>SUM($E$1185:$F$1185)</f>
        <v>429</v>
      </c>
      <c r="F1190" s="24">
        <f>SUM($E$1185:$F$1185) - $F$1185:$F$1185</f>
        <v>43</v>
      </c>
      <c r="G1190" s="24">
        <f>IF($E$1190:$E$1190 = 0, "Undefined",$F$1190:$F$1190*100 / $E$1190:$E$1190)</f>
        <v>10.023310023310023</v>
      </c>
      <c r="I1190" s="25">
        <v>1</v>
      </c>
      <c r="J1190" s="24">
        <f>SUM($J$1185:$K$1185)</f>
        <v>271</v>
      </c>
      <c r="K1190" s="24">
        <f>SUM($J$1185:$K$1185) - $K$1185:$K$1185</f>
        <v>55</v>
      </c>
      <c r="L1190" s="24">
        <f>IF($J$1190:$J$1190 = 0, "Undefined",$K$1190:$K$1190*100 / $J$1190:$J$1190)</f>
        <v>20.29520295202952</v>
      </c>
    </row>
    <row r="1191" spans="2:12" ht="13.8" x14ac:dyDescent="0.3">
      <c r="D1191" s="25" t="s">
        <v>336</v>
      </c>
      <c r="E1191" s="24">
        <f>SUM($E$1189:$E$1190)</f>
        <v>600</v>
      </c>
      <c r="F1191" s="24">
        <f>SUM($F$1189:$F$1190)</f>
        <v>79</v>
      </c>
      <c r="G1191" s="24">
        <f>IF($E$1191:$E$1191 = 0, "Undefined",$F$1191:$F$1191*100 / $E$1191:$E$1191)</f>
        <v>13.166666666666666</v>
      </c>
      <c r="I1191" s="25" t="s">
        <v>336</v>
      </c>
      <c r="J1191" s="24">
        <f>SUM($J$1189:$J$1190)</f>
        <v>400</v>
      </c>
      <c r="K1191" s="24">
        <f>SUM($K$1189:$K$1190)</f>
        <v>114</v>
      </c>
      <c r="L1191" s="24">
        <f>IF($J$1191:$J$1191 = 0, "Undefined",$K$1191:$K$1191*100 / $J$1191:$J$1191)</f>
        <v>28.5</v>
      </c>
    </row>
    <row r="1193" spans="2:12" ht="15.6" x14ac:dyDescent="0.3">
      <c r="B1193" s="28" t="s">
        <v>423</v>
      </c>
      <c r="D1193" s="59" t="s">
        <v>329</v>
      </c>
      <c r="E1193" s="60"/>
      <c r="F1193" s="61"/>
      <c r="I1193" s="59" t="s">
        <v>329</v>
      </c>
      <c r="J1193" s="60"/>
      <c r="K1193" s="61"/>
    </row>
    <row r="1194" spans="2:12" ht="13.8" x14ac:dyDescent="0.3">
      <c r="D1194" s="26"/>
      <c r="E1194" s="75" t="s">
        <v>330</v>
      </c>
      <c r="F1194" s="76"/>
      <c r="I1194" s="26"/>
      <c r="J1194" s="75" t="s">
        <v>330</v>
      </c>
      <c r="K1194" s="76"/>
    </row>
    <row r="1195" spans="2:12" ht="13.8" x14ac:dyDescent="0.3">
      <c r="D1195" s="25" t="s">
        <v>331</v>
      </c>
      <c r="E1195" s="26">
        <v>0</v>
      </c>
      <c r="F1195" s="26">
        <v>1</v>
      </c>
      <c r="I1195" s="25" t="s">
        <v>331</v>
      </c>
      <c r="J1195" s="26">
        <v>0</v>
      </c>
      <c r="K1195" s="26">
        <v>1</v>
      </c>
    </row>
    <row r="1196" spans="2:12" ht="13.8" x14ac:dyDescent="0.3">
      <c r="D1196" s="25">
        <v>0</v>
      </c>
      <c r="E1196" s="24">
        <v>139</v>
      </c>
      <c r="F1196" s="24">
        <v>32</v>
      </c>
      <c r="I1196" s="25">
        <v>0</v>
      </c>
      <c r="J1196" s="24">
        <v>63</v>
      </c>
      <c r="K1196" s="24">
        <v>66</v>
      </c>
    </row>
    <row r="1197" spans="2:12" ht="13.8" x14ac:dyDescent="0.3">
      <c r="D1197" s="25">
        <v>1</v>
      </c>
      <c r="E1197" s="24">
        <v>45</v>
      </c>
      <c r="F1197" s="24">
        <v>384</v>
      </c>
      <c r="I1197" s="25">
        <v>1</v>
      </c>
      <c r="J1197" s="24">
        <v>56</v>
      </c>
      <c r="K1197" s="24">
        <v>215</v>
      </c>
    </row>
    <row r="1199" spans="2:12" ht="15.6" x14ac:dyDescent="0.3">
      <c r="D1199" s="59" t="s">
        <v>210</v>
      </c>
      <c r="E1199" s="60"/>
      <c r="F1199" s="60"/>
      <c r="G1199" s="61"/>
      <c r="I1199" s="59" t="s">
        <v>210</v>
      </c>
      <c r="J1199" s="60"/>
      <c r="K1199" s="60"/>
      <c r="L1199" s="61"/>
    </row>
    <row r="1200" spans="2:12" ht="13.8" x14ac:dyDescent="0.3">
      <c r="D1200" s="26" t="s">
        <v>332</v>
      </c>
      <c r="E1200" s="26" t="s">
        <v>333</v>
      </c>
      <c r="F1200" s="26" t="s">
        <v>334</v>
      </c>
      <c r="G1200" s="26" t="s">
        <v>335</v>
      </c>
      <c r="I1200" s="26" t="s">
        <v>332</v>
      </c>
      <c r="J1200" s="26" t="s">
        <v>333</v>
      </c>
      <c r="K1200" s="26" t="s">
        <v>334</v>
      </c>
      <c r="L1200" s="26" t="s">
        <v>335</v>
      </c>
    </row>
    <row r="1201" spans="2:12" ht="13.8" x14ac:dyDescent="0.3">
      <c r="D1201" s="25">
        <v>0</v>
      </c>
      <c r="E1201" s="24">
        <f>SUM($E$1196:$F$1196)</f>
        <v>171</v>
      </c>
      <c r="F1201" s="24">
        <f>SUM($E$1196:$F$1196) - $E$1196:$E$1196</f>
        <v>32</v>
      </c>
      <c r="G1201" s="24">
        <f>IF($E$1201:$E$1201 = 0, "Undefined",$F$1201:$F$1201*100 / $E$1201:$E$1201)</f>
        <v>18.71345029239766</v>
      </c>
      <c r="I1201" s="25">
        <v>0</v>
      </c>
      <c r="J1201" s="24">
        <f>SUM($J$1196:$K$1196)</f>
        <v>129</v>
      </c>
      <c r="K1201" s="24">
        <f>SUM($J$1196:$K$1196) - $J$1196:$J$1196</f>
        <v>66</v>
      </c>
      <c r="L1201" s="24">
        <f>IF($J$1201:$J$1201 = 0, "Undefined",$K$1201:$K$1201*100 / $J$1201:$J$1201)</f>
        <v>51.162790697674417</v>
      </c>
    </row>
    <row r="1202" spans="2:12" ht="13.8" x14ac:dyDescent="0.3">
      <c r="D1202" s="25">
        <v>1</v>
      </c>
      <c r="E1202" s="24">
        <f>SUM($E$1197:$F$1197)</f>
        <v>429</v>
      </c>
      <c r="F1202" s="24">
        <f>SUM($E$1197:$F$1197) - $F$1197:$F$1197</f>
        <v>45</v>
      </c>
      <c r="G1202" s="24">
        <f>IF($E$1202:$E$1202 = 0, "Undefined",$F$1202:$F$1202*100 / $E$1202:$E$1202)</f>
        <v>10.48951048951049</v>
      </c>
      <c r="I1202" s="25">
        <v>1</v>
      </c>
      <c r="J1202" s="24">
        <f>SUM($J$1197:$K$1197)</f>
        <v>271</v>
      </c>
      <c r="K1202" s="24">
        <f>SUM($J$1197:$K$1197) - $K$1197:$K$1197</f>
        <v>56</v>
      </c>
      <c r="L1202" s="24">
        <f>IF($J$1202:$J$1202 = 0, "Undefined",$K$1202:$K$1202*100 / $J$1202:$J$1202)</f>
        <v>20.664206642066421</v>
      </c>
    </row>
    <row r="1203" spans="2:12" ht="13.8" x14ac:dyDescent="0.3">
      <c r="D1203" s="25" t="s">
        <v>336</v>
      </c>
      <c r="E1203" s="24">
        <f>SUM($E$1201:$E$1202)</f>
        <v>600</v>
      </c>
      <c r="F1203" s="24">
        <f>SUM($F$1201:$F$1202)</f>
        <v>77</v>
      </c>
      <c r="G1203" s="24">
        <f>IF($E$1203:$E$1203 = 0, "Undefined",$F$1203:$F$1203*100 / $E$1203:$E$1203)</f>
        <v>12.833333333333334</v>
      </c>
      <c r="I1203" s="25" t="s">
        <v>336</v>
      </c>
      <c r="J1203" s="24">
        <f>SUM($J$1201:$J$1202)</f>
        <v>400</v>
      </c>
      <c r="K1203" s="24">
        <f>SUM($K$1201:$K$1202)</f>
        <v>122</v>
      </c>
      <c r="L1203" s="24">
        <f>IF($J$1203:$J$1203 = 0, "Undefined",$K$1203:$K$1203*100 / $J$1203:$J$1203)</f>
        <v>30.5</v>
      </c>
    </row>
    <row r="1205" spans="2:12" ht="15.6" x14ac:dyDescent="0.3">
      <c r="B1205" s="28" t="s">
        <v>424</v>
      </c>
      <c r="D1205" s="59" t="s">
        <v>329</v>
      </c>
      <c r="E1205" s="60"/>
      <c r="F1205" s="61"/>
      <c r="I1205" s="59" t="s">
        <v>329</v>
      </c>
      <c r="J1205" s="60"/>
      <c r="K1205" s="61"/>
    </row>
    <row r="1206" spans="2:12" ht="13.8" x14ac:dyDescent="0.3">
      <c r="D1206" s="26"/>
      <c r="E1206" s="75" t="s">
        <v>330</v>
      </c>
      <c r="F1206" s="76"/>
      <c r="I1206" s="26"/>
      <c r="J1206" s="75" t="s">
        <v>330</v>
      </c>
      <c r="K1206" s="76"/>
    </row>
    <row r="1207" spans="2:12" ht="13.8" x14ac:dyDescent="0.3">
      <c r="D1207" s="25" t="s">
        <v>331</v>
      </c>
      <c r="E1207" s="26">
        <v>0</v>
      </c>
      <c r="F1207" s="26">
        <v>1</v>
      </c>
      <c r="I1207" s="25" t="s">
        <v>331</v>
      </c>
      <c r="J1207" s="26">
        <v>0</v>
      </c>
      <c r="K1207" s="26">
        <v>1</v>
      </c>
    </row>
    <row r="1208" spans="2:12" ht="13.8" x14ac:dyDescent="0.3">
      <c r="D1208" s="25">
        <v>0</v>
      </c>
      <c r="E1208" s="24">
        <v>124</v>
      </c>
      <c r="F1208" s="24">
        <v>47</v>
      </c>
      <c r="I1208" s="25">
        <v>0</v>
      </c>
      <c r="J1208" s="24">
        <v>65</v>
      </c>
      <c r="K1208" s="24">
        <v>64</v>
      </c>
    </row>
    <row r="1209" spans="2:12" ht="13.8" x14ac:dyDescent="0.3">
      <c r="D1209" s="25">
        <v>1</v>
      </c>
      <c r="E1209" s="24">
        <v>32</v>
      </c>
      <c r="F1209" s="24">
        <v>397</v>
      </c>
      <c r="I1209" s="25">
        <v>1</v>
      </c>
      <c r="J1209" s="24">
        <v>41</v>
      </c>
      <c r="K1209" s="24">
        <v>230</v>
      </c>
    </row>
    <row r="1211" spans="2:12" ht="15.6" x14ac:dyDescent="0.3">
      <c r="D1211" s="59" t="s">
        <v>210</v>
      </c>
      <c r="E1211" s="60"/>
      <c r="F1211" s="60"/>
      <c r="G1211" s="61"/>
      <c r="I1211" s="59" t="s">
        <v>210</v>
      </c>
      <c r="J1211" s="60"/>
      <c r="K1211" s="60"/>
      <c r="L1211" s="61"/>
    </row>
    <row r="1212" spans="2:12" ht="13.8" x14ac:dyDescent="0.3">
      <c r="D1212" s="26" t="s">
        <v>332</v>
      </c>
      <c r="E1212" s="26" t="s">
        <v>333</v>
      </c>
      <c r="F1212" s="26" t="s">
        <v>334</v>
      </c>
      <c r="G1212" s="26" t="s">
        <v>335</v>
      </c>
      <c r="I1212" s="26" t="s">
        <v>332</v>
      </c>
      <c r="J1212" s="26" t="s">
        <v>333</v>
      </c>
      <c r="K1212" s="26" t="s">
        <v>334</v>
      </c>
      <c r="L1212" s="26" t="s">
        <v>335</v>
      </c>
    </row>
    <row r="1213" spans="2:12" ht="13.8" x14ac:dyDescent="0.3">
      <c r="D1213" s="25">
        <v>0</v>
      </c>
      <c r="E1213" s="24">
        <f>SUM($E$1208:$F$1208)</f>
        <v>171</v>
      </c>
      <c r="F1213" s="24">
        <f>SUM($E$1208:$F$1208) - $E$1208:$E$1208</f>
        <v>47</v>
      </c>
      <c r="G1213" s="24">
        <f>IF($E$1213:$E$1213 = 0, "Undefined",$F$1213:$F$1213*100 / $E$1213:$E$1213)</f>
        <v>27.485380116959064</v>
      </c>
      <c r="I1213" s="25">
        <v>0</v>
      </c>
      <c r="J1213" s="24">
        <f>SUM($J$1208:$K$1208)</f>
        <v>129</v>
      </c>
      <c r="K1213" s="24">
        <f>SUM($J$1208:$K$1208) - $J$1208:$J$1208</f>
        <v>64</v>
      </c>
      <c r="L1213" s="24">
        <f>IF($J$1213:$J$1213 = 0, "Undefined",$K$1213:$K$1213*100 / $J$1213:$J$1213)</f>
        <v>49.612403100775197</v>
      </c>
    </row>
    <row r="1214" spans="2:12" ht="13.8" x14ac:dyDescent="0.3">
      <c r="D1214" s="25">
        <v>1</v>
      </c>
      <c r="E1214" s="24">
        <f>SUM($E$1209:$F$1209)</f>
        <v>429</v>
      </c>
      <c r="F1214" s="24">
        <f>SUM($E$1209:$F$1209) - $F$1209:$F$1209</f>
        <v>32</v>
      </c>
      <c r="G1214" s="24">
        <f>IF($E$1214:$E$1214 = 0, "Undefined",$F$1214:$F$1214*100 / $E$1214:$E$1214)</f>
        <v>7.4592074592074589</v>
      </c>
      <c r="I1214" s="25">
        <v>1</v>
      </c>
      <c r="J1214" s="24">
        <f>SUM($J$1209:$K$1209)</f>
        <v>271</v>
      </c>
      <c r="K1214" s="24">
        <f>SUM($J$1209:$K$1209) - $K$1209:$K$1209</f>
        <v>41</v>
      </c>
      <c r="L1214" s="24">
        <f>IF($J$1214:$J$1214 = 0, "Undefined",$K$1214:$K$1214*100 / $J$1214:$J$1214)</f>
        <v>15.129151291512915</v>
      </c>
    </row>
    <row r="1215" spans="2:12" ht="13.8" x14ac:dyDescent="0.3">
      <c r="D1215" s="25" t="s">
        <v>336</v>
      </c>
      <c r="E1215" s="24">
        <f>SUM($E$1213:$E$1214)</f>
        <v>600</v>
      </c>
      <c r="F1215" s="24">
        <f>SUM($F$1213:$F$1214)</f>
        <v>79</v>
      </c>
      <c r="G1215" s="24">
        <f>IF($E$1215:$E$1215 = 0, "Undefined",$F$1215:$F$1215*100 / $E$1215:$E$1215)</f>
        <v>13.166666666666666</v>
      </c>
      <c r="I1215" s="25" t="s">
        <v>336</v>
      </c>
      <c r="J1215" s="24">
        <f>SUM($J$1213:$J$1214)</f>
        <v>400</v>
      </c>
      <c r="K1215" s="24">
        <f>SUM($K$1213:$K$1214)</f>
        <v>105</v>
      </c>
      <c r="L1215" s="24">
        <f>IF($J$1215:$J$1215 = 0, "Undefined",$K$1215:$K$1215*100 / $J$1215:$J$1215)</f>
        <v>26.25</v>
      </c>
    </row>
    <row r="1217" spans="2:12" ht="15.6" x14ac:dyDescent="0.3">
      <c r="B1217" s="28" t="s">
        <v>425</v>
      </c>
      <c r="D1217" s="59" t="s">
        <v>329</v>
      </c>
      <c r="E1217" s="60"/>
      <c r="F1217" s="61"/>
      <c r="I1217" s="59" t="s">
        <v>329</v>
      </c>
      <c r="J1217" s="60"/>
      <c r="K1217" s="61"/>
    </row>
    <row r="1218" spans="2:12" ht="13.8" x14ac:dyDescent="0.3">
      <c r="D1218" s="26"/>
      <c r="E1218" s="75" t="s">
        <v>330</v>
      </c>
      <c r="F1218" s="76"/>
      <c r="I1218" s="26"/>
      <c r="J1218" s="75" t="s">
        <v>330</v>
      </c>
      <c r="K1218" s="76"/>
    </row>
    <row r="1219" spans="2:12" ht="13.8" x14ac:dyDescent="0.3">
      <c r="D1219" s="25" t="s">
        <v>331</v>
      </c>
      <c r="E1219" s="26">
        <v>0</v>
      </c>
      <c r="F1219" s="26">
        <v>1</v>
      </c>
      <c r="I1219" s="25" t="s">
        <v>331</v>
      </c>
      <c r="J1219" s="26">
        <v>0</v>
      </c>
      <c r="K1219" s="26">
        <v>1</v>
      </c>
    </row>
    <row r="1220" spans="2:12" ht="13.8" x14ac:dyDescent="0.3">
      <c r="D1220" s="25">
        <v>0</v>
      </c>
      <c r="E1220" s="24">
        <v>113</v>
      </c>
      <c r="F1220" s="24">
        <v>58</v>
      </c>
      <c r="I1220" s="25">
        <v>0</v>
      </c>
      <c r="J1220" s="24">
        <v>52</v>
      </c>
      <c r="K1220" s="24">
        <v>77</v>
      </c>
    </row>
    <row r="1221" spans="2:12" ht="13.8" x14ac:dyDescent="0.3">
      <c r="D1221" s="25">
        <v>1</v>
      </c>
      <c r="E1221" s="24">
        <v>24</v>
      </c>
      <c r="F1221" s="24">
        <v>405</v>
      </c>
      <c r="I1221" s="25">
        <v>1</v>
      </c>
      <c r="J1221" s="24">
        <v>35</v>
      </c>
      <c r="K1221" s="24">
        <v>236</v>
      </c>
    </row>
    <row r="1223" spans="2:12" ht="15.6" x14ac:dyDescent="0.3">
      <c r="D1223" s="59" t="s">
        <v>210</v>
      </c>
      <c r="E1223" s="60"/>
      <c r="F1223" s="60"/>
      <c r="G1223" s="61"/>
      <c r="I1223" s="59" t="s">
        <v>210</v>
      </c>
      <c r="J1223" s="60"/>
      <c r="K1223" s="60"/>
      <c r="L1223" s="61"/>
    </row>
    <row r="1224" spans="2:12" ht="13.8" x14ac:dyDescent="0.3">
      <c r="D1224" s="26" t="s">
        <v>332</v>
      </c>
      <c r="E1224" s="26" t="s">
        <v>333</v>
      </c>
      <c r="F1224" s="26" t="s">
        <v>334</v>
      </c>
      <c r="G1224" s="26" t="s">
        <v>335</v>
      </c>
      <c r="I1224" s="26" t="s">
        <v>332</v>
      </c>
      <c r="J1224" s="26" t="s">
        <v>333</v>
      </c>
      <c r="K1224" s="26" t="s">
        <v>334</v>
      </c>
      <c r="L1224" s="26" t="s">
        <v>335</v>
      </c>
    </row>
    <row r="1225" spans="2:12" ht="13.8" x14ac:dyDescent="0.3">
      <c r="D1225" s="25">
        <v>0</v>
      </c>
      <c r="E1225" s="24">
        <f>SUM($E$1220:$F$1220)</f>
        <v>171</v>
      </c>
      <c r="F1225" s="24">
        <f>SUM($E$1220:$F$1220) - $E$1220:$E$1220</f>
        <v>58</v>
      </c>
      <c r="G1225" s="24">
        <f>IF($E$1225:$E$1225 = 0, "Undefined",$F$1225:$F$1225*100 / $E$1225:$E$1225)</f>
        <v>33.918128654970758</v>
      </c>
      <c r="I1225" s="25">
        <v>0</v>
      </c>
      <c r="J1225" s="24">
        <f>SUM($J$1220:$K$1220)</f>
        <v>129</v>
      </c>
      <c r="K1225" s="24">
        <f>SUM($J$1220:$K$1220) - $J$1220:$J$1220</f>
        <v>77</v>
      </c>
      <c r="L1225" s="24">
        <f>IF($J$1225:$J$1225 = 0, "Undefined",$K$1225:$K$1225*100 / $J$1225:$J$1225)</f>
        <v>59.689922480620154</v>
      </c>
    </row>
    <row r="1226" spans="2:12" ht="13.8" x14ac:dyDescent="0.3">
      <c r="D1226" s="25">
        <v>1</v>
      </c>
      <c r="E1226" s="24">
        <f>SUM($E$1221:$F$1221)</f>
        <v>429</v>
      </c>
      <c r="F1226" s="24">
        <f>SUM($E$1221:$F$1221) - $F$1221:$F$1221</f>
        <v>24</v>
      </c>
      <c r="G1226" s="24">
        <f>IF($E$1226:$E$1226 = 0, "Undefined",$F$1226:$F$1226*100 / $E$1226:$E$1226)</f>
        <v>5.5944055944055942</v>
      </c>
      <c r="I1226" s="25">
        <v>1</v>
      </c>
      <c r="J1226" s="24">
        <f>SUM($J$1221:$K$1221)</f>
        <v>271</v>
      </c>
      <c r="K1226" s="24">
        <f>SUM($J$1221:$K$1221) - $K$1221:$K$1221</f>
        <v>35</v>
      </c>
      <c r="L1226" s="24">
        <f>IF($J$1226:$J$1226 = 0, "Undefined",$K$1226:$K$1226*100 / $J$1226:$J$1226)</f>
        <v>12.915129151291513</v>
      </c>
    </row>
    <row r="1227" spans="2:12" ht="13.8" x14ac:dyDescent="0.3">
      <c r="D1227" s="25" t="s">
        <v>336</v>
      </c>
      <c r="E1227" s="24">
        <f>SUM($E$1225:$E$1226)</f>
        <v>600</v>
      </c>
      <c r="F1227" s="24">
        <f>SUM($F$1225:$F$1226)</f>
        <v>82</v>
      </c>
      <c r="G1227" s="24">
        <f>IF($E$1227:$E$1227 = 0, "Undefined",$F$1227:$F$1227*100 / $E$1227:$E$1227)</f>
        <v>13.666666666666666</v>
      </c>
      <c r="I1227" s="25" t="s">
        <v>336</v>
      </c>
      <c r="J1227" s="24">
        <f>SUM($J$1225:$J$1226)</f>
        <v>400</v>
      </c>
      <c r="K1227" s="24">
        <f>SUM($K$1225:$K$1226)</f>
        <v>112</v>
      </c>
      <c r="L1227" s="24">
        <f>IF($J$1227:$J$1227 = 0, "Undefined",$K$1227:$K$1227*100 / $J$1227:$J$1227)</f>
        <v>28</v>
      </c>
    </row>
    <row r="1229" spans="2:12" ht="15.6" x14ac:dyDescent="0.3">
      <c r="B1229" s="28" t="s">
        <v>426</v>
      </c>
      <c r="D1229" s="59" t="s">
        <v>329</v>
      </c>
      <c r="E1229" s="60"/>
      <c r="F1229" s="61"/>
      <c r="I1229" s="59" t="s">
        <v>329</v>
      </c>
      <c r="J1229" s="60"/>
      <c r="K1229" s="61"/>
    </row>
    <row r="1230" spans="2:12" ht="13.8" x14ac:dyDescent="0.3">
      <c r="D1230" s="26"/>
      <c r="E1230" s="75" t="s">
        <v>330</v>
      </c>
      <c r="F1230" s="76"/>
      <c r="I1230" s="26"/>
      <c r="J1230" s="75" t="s">
        <v>330</v>
      </c>
      <c r="K1230" s="76"/>
    </row>
    <row r="1231" spans="2:12" ht="13.8" x14ac:dyDescent="0.3">
      <c r="D1231" s="25" t="s">
        <v>331</v>
      </c>
      <c r="E1231" s="26">
        <v>0</v>
      </c>
      <c r="F1231" s="26">
        <v>1</v>
      </c>
      <c r="I1231" s="25" t="s">
        <v>331</v>
      </c>
      <c r="J1231" s="26">
        <v>0</v>
      </c>
      <c r="K1231" s="26">
        <v>1</v>
      </c>
    </row>
    <row r="1232" spans="2:12" ht="13.8" x14ac:dyDescent="0.3">
      <c r="D1232" s="25">
        <v>0</v>
      </c>
      <c r="E1232" s="24">
        <v>148</v>
      </c>
      <c r="F1232" s="24">
        <v>23</v>
      </c>
      <c r="I1232" s="25">
        <v>0</v>
      </c>
      <c r="J1232" s="24">
        <v>75</v>
      </c>
      <c r="K1232" s="24">
        <v>54</v>
      </c>
    </row>
    <row r="1233" spans="2:12" ht="13.8" x14ac:dyDescent="0.3">
      <c r="D1233" s="25">
        <v>1</v>
      </c>
      <c r="E1233" s="24">
        <v>48</v>
      </c>
      <c r="F1233" s="24">
        <v>381</v>
      </c>
      <c r="I1233" s="25">
        <v>1</v>
      </c>
      <c r="J1233" s="24">
        <v>63</v>
      </c>
      <c r="K1233" s="24">
        <v>208</v>
      </c>
    </row>
    <row r="1235" spans="2:12" ht="15.6" x14ac:dyDescent="0.3">
      <c r="D1235" s="59" t="s">
        <v>210</v>
      </c>
      <c r="E1235" s="60"/>
      <c r="F1235" s="60"/>
      <c r="G1235" s="61"/>
      <c r="I1235" s="59" t="s">
        <v>210</v>
      </c>
      <c r="J1235" s="60"/>
      <c r="K1235" s="60"/>
      <c r="L1235" s="61"/>
    </row>
    <row r="1236" spans="2:12" ht="13.8" x14ac:dyDescent="0.3">
      <c r="D1236" s="26" t="s">
        <v>332</v>
      </c>
      <c r="E1236" s="26" t="s">
        <v>333</v>
      </c>
      <c r="F1236" s="26" t="s">
        <v>334</v>
      </c>
      <c r="G1236" s="26" t="s">
        <v>335</v>
      </c>
      <c r="I1236" s="26" t="s">
        <v>332</v>
      </c>
      <c r="J1236" s="26" t="s">
        <v>333</v>
      </c>
      <c r="K1236" s="26" t="s">
        <v>334</v>
      </c>
      <c r="L1236" s="26" t="s">
        <v>335</v>
      </c>
    </row>
    <row r="1237" spans="2:12" ht="13.8" x14ac:dyDescent="0.3">
      <c r="D1237" s="25">
        <v>0</v>
      </c>
      <c r="E1237" s="24">
        <f>SUM($E$1232:$F$1232)</f>
        <v>171</v>
      </c>
      <c r="F1237" s="24">
        <f>SUM($E$1232:$F$1232) - $E$1232:$E$1232</f>
        <v>23</v>
      </c>
      <c r="G1237" s="24">
        <f>IF($E$1237:$E$1237 = 0, "Undefined",$F$1237:$F$1237*100 / $E$1237:$E$1237)</f>
        <v>13.450292397660819</v>
      </c>
      <c r="I1237" s="25">
        <v>0</v>
      </c>
      <c r="J1237" s="24">
        <f>SUM($J$1232:$K$1232)</f>
        <v>129</v>
      </c>
      <c r="K1237" s="24">
        <f>SUM($J$1232:$K$1232) - $J$1232:$J$1232</f>
        <v>54</v>
      </c>
      <c r="L1237" s="24">
        <f>IF($J$1237:$J$1237 = 0, "Undefined",$K$1237:$K$1237*100 / $J$1237:$J$1237)</f>
        <v>41.860465116279073</v>
      </c>
    </row>
    <row r="1238" spans="2:12" ht="13.8" x14ac:dyDescent="0.3">
      <c r="D1238" s="25">
        <v>1</v>
      </c>
      <c r="E1238" s="24">
        <f>SUM($E$1233:$F$1233)</f>
        <v>429</v>
      </c>
      <c r="F1238" s="24">
        <f>SUM($E$1233:$F$1233) - $F$1233:$F$1233</f>
        <v>48</v>
      </c>
      <c r="G1238" s="24">
        <f>IF($E$1238:$E$1238 = 0, "Undefined",$F$1238:$F$1238*100 / $E$1238:$E$1238)</f>
        <v>11.188811188811188</v>
      </c>
      <c r="I1238" s="25">
        <v>1</v>
      </c>
      <c r="J1238" s="24">
        <f>SUM($J$1233:$K$1233)</f>
        <v>271</v>
      </c>
      <c r="K1238" s="24">
        <f>SUM($J$1233:$K$1233) - $K$1233:$K$1233</f>
        <v>63</v>
      </c>
      <c r="L1238" s="24">
        <f>IF($J$1238:$J$1238 = 0, "Undefined",$K$1238:$K$1238*100 / $J$1238:$J$1238)</f>
        <v>23.247232472324722</v>
      </c>
    </row>
    <row r="1239" spans="2:12" ht="13.8" x14ac:dyDescent="0.3">
      <c r="D1239" s="25" t="s">
        <v>336</v>
      </c>
      <c r="E1239" s="24">
        <f>SUM($E$1237:$E$1238)</f>
        <v>600</v>
      </c>
      <c r="F1239" s="24">
        <f>SUM($F$1237:$F$1238)</f>
        <v>71</v>
      </c>
      <c r="G1239" s="24">
        <f>IF($E$1239:$E$1239 = 0, "Undefined",$F$1239:$F$1239*100 / $E$1239:$E$1239)</f>
        <v>11.833333333333334</v>
      </c>
      <c r="I1239" s="25" t="s">
        <v>336</v>
      </c>
      <c r="J1239" s="24">
        <f>SUM($J$1237:$J$1238)</f>
        <v>400</v>
      </c>
      <c r="K1239" s="24">
        <f>SUM($K$1237:$K$1238)</f>
        <v>117</v>
      </c>
      <c r="L1239" s="24">
        <f>IF($J$1239:$J$1239 = 0, "Undefined",$K$1239:$K$1239*100 / $J$1239:$J$1239)</f>
        <v>29.25</v>
      </c>
    </row>
    <row r="1241" spans="2:12" ht="15.6" x14ac:dyDescent="0.3">
      <c r="B1241" s="28" t="s">
        <v>427</v>
      </c>
      <c r="D1241" s="59" t="s">
        <v>329</v>
      </c>
      <c r="E1241" s="60"/>
      <c r="F1241" s="61"/>
      <c r="I1241" s="59" t="s">
        <v>329</v>
      </c>
      <c r="J1241" s="60"/>
      <c r="K1241" s="61"/>
    </row>
    <row r="1242" spans="2:12" ht="13.8" x14ac:dyDescent="0.3">
      <c r="D1242" s="26"/>
      <c r="E1242" s="75" t="s">
        <v>330</v>
      </c>
      <c r="F1242" s="76"/>
      <c r="I1242" s="26"/>
      <c r="J1242" s="75" t="s">
        <v>330</v>
      </c>
      <c r="K1242" s="76"/>
    </row>
    <row r="1243" spans="2:12" ht="13.8" x14ac:dyDescent="0.3">
      <c r="D1243" s="25" t="s">
        <v>331</v>
      </c>
      <c r="E1243" s="26">
        <v>0</v>
      </c>
      <c r="F1243" s="26">
        <v>1</v>
      </c>
      <c r="I1243" s="25" t="s">
        <v>331</v>
      </c>
      <c r="J1243" s="26">
        <v>0</v>
      </c>
      <c r="K1243" s="26">
        <v>1</v>
      </c>
    </row>
    <row r="1244" spans="2:12" ht="13.8" x14ac:dyDescent="0.3">
      <c r="D1244" s="25">
        <v>0</v>
      </c>
      <c r="E1244" s="24">
        <v>146</v>
      </c>
      <c r="F1244" s="24">
        <v>25</v>
      </c>
      <c r="I1244" s="25">
        <v>0</v>
      </c>
      <c r="J1244" s="24">
        <v>70</v>
      </c>
      <c r="K1244" s="24">
        <v>59</v>
      </c>
    </row>
    <row r="1245" spans="2:12" ht="13.8" x14ac:dyDescent="0.3">
      <c r="D1245" s="25">
        <v>1</v>
      </c>
      <c r="E1245" s="24">
        <v>50</v>
      </c>
      <c r="F1245" s="24">
        <v>379</v>
      </c>
      <c r="I1245" s="25">
        <v>1</v>
      </c>
      <c r="J1245" s="24">
        <v>60</v>
      </c>
      <c r="K1245" s="24">
        <v>211</v>
      </c>
    </row>
    <row r="1247" spans="2:12" ht="15.6" x14ac:dyDescent="0.3">
      <c r="D1247" s="59" t="s">
        <v>210</v>
      </c>
      <c r="E1247" s="60"/>
      <c r="F1247" s="60"/>
      <c r="G1247" s="61"/>
      <c r="I1247" s="59" t="s">
        <v>210</v>
      </c>
      <c r="J1247" s="60"/>
      <c r="K1247" s="60"/>
      <c r="L1247" s="61"/>
    </row>
    <row r="1248" spans="2:12" ht="13.8" x14ac:dyDescent="0.3">
      <c r="D1248" s="26" t="s">
        <v>332</v>
      </c>
      <c r="E1248" s="26" t="s">
        <v>333</v>
      </c>
      <c r="F1248" s="26" t="s">
        <v>334</v>
      </c>
      <c r="G1248" s="26" t="s">
        <v>335</v>
      </c>
      <c r="I1248" s="26" t="s">
        <v>332</v>
      </c>
      <c r="J1248" s="26" t="s">
        <v>333</v>
      </c>
      <c r="K1248" s="26" t="s">
        <v>334</v>
      </c>
      <c r="L1248" s="26" t="s">
        <v>335</v>
      </c>
    </row>
    <row r="1249" spans="2:12" ht="13.8" x14ac:dyDescent="0.3">
      <c r="D1249" s="25">
        <v>0</v>
      </c>
      <c r="E1249" s="24">
        <f>SUM($E$1244:$F$1244)</f>
        <v>171</v>
      </c>
      <c r="F1249" s="24">
        <f>SUM($E$1244:$F$1244) - $E$1244:$E$1244</f>
        <v>25</v>
      </c>
      <c r="G1249" s="24">
        <f>IF($E$1249:$E$1249 = 0, "Undefined",$F$1249:$F$1249*100 / $E$1249:$E$1249)</f>
        <v>14.619883040935672</v>
      </c>
      <c r="I1249" s="25">
        <v>0</v>
      </c>
      <c r="J1249" s="24">
        <f>SUM($J$1244:$K$1244)</f>
        <v>129</v>
      </c>
      <c r="K1249" s="24">
        <f>SUM($J$1244:$K$1244) - $J$1244:$J$1244</f>
        <v>59</v>
      </c>
      <c r="L1249" s="24">
        <f>IF($J$1249:$J$1249 = 0, "Undefined",$K$1249:$K$1249*100 / $J$1249:$J$1249)</f>
        <v>45.736434108527135</v>
      </c>
    </row>
    <row r="1250" spans="2:12" ht="13.8" x14ac:dyDescent="0.3">
      <c r="D1250" s="25">
        <v>1</v>
      </c>
      <c r="E1250" s="24">
        <f>SUM($E$1245:$F$1245)</f>
        <v>429</v>
      </c>
      <c r="F1250" s="24">
        <f>SUM($E$1245:$F$1245) - $F$1245:$F$1245</f>
        <v>50</v>
      </c>
      <c r="G1250" s="24">
        <f>IF($E$1250:$E$1250 = 0, "Undefined",$F$1250:$F$1250*100 / $E$1250:$E$1250)</f>
        <v>11.655011655011656</v>
      </c>
      <c r="I1250" s="25">
        <v>1</v>
      </c>
      <c r="J1250" s="24">
        <f>SUM($J$1245:$K$1245)</f>
        <v>271</v>
      </c>
      <c r="K1250" s="24">
        <f>SUM($J$1245:$K$1245) - $K$1245:$K$1245</f>
        <v>60</v>
      </c>
      <c r="L1250" s="24">
        <f>IF($J$1250:$J$1250 = 0, "Undefined",$K$1250:$K$1250*100 / $J$1250:$J$1250)</f>
        <v>22.140221402214021</v>
      </c>
    </row>
    <row r="1251" spans="2:12" ht="13.8" x14ac:dyDescent="0.3">
      <c r="D1251" s="25" t="s">
        <v>336</v>
      </c>
      <c r="E1251" s="24">
        <f>SUM($E$1249:$E$1250)</f>
        <v>600</v>
      </c>
      <c r="F1251" s="24">
        <f>SUM($F$1249:$F$1250)</f>
        <v>75</v>
      </c>
      <c r="G1251" s="24">
        <f>IF($E$1251:$E$1251 = 0, "Undefined",$F$1251:$F$1251*100 / $E$1251:$E$1251)</f>
        <v>12.5</v>
      </c>
      <c r="I1251" s="25" t="s">
        <v>336</v>
      </c>
      <c r="J1251" s="24">
        <f>SUM($J$1249:$J$1250)</f>
        <v>400</v>
      </c>
      <c r="K1251" s="24">
        <f>SUM($K$1249:$K$1250)</f>
        <v>119</v>
      </c>
      <c r="L1251" s="24">
        <f>IF($J$1251:$J$1251 = 0, "Undefined",$K$1251:$K$1251*100 / $J$1251:$J$1251)</f>
        <v>29.75</v>
      </c>
    </row>
    <row r="1253" spans="2:12" ht="15.6" x14ac:dyDescent="0.3">
      <c r="B1253" s="28" t="s">
        <v>428</v>
      </c>
      <c r="D1253" s="59" t="s">
        <v>329</v>
      </c>
      <c r="E1253" s="60"/>
      <c r="F1253" s="61"/>
      <c r="I1253" s="59" t="s">
        <v>329</v>
      </c>
      <c r="J1253" s="60"/>
      <c r="K1253" s="61"/>
    </row>
    <row r="1254" spans="2:12" ht="13.8" x14ac:dyDescent="0.3">
      <c r="D1254" s="26"/>
      <c r="E1254" s="75" t="s">
        <v>330</v>
      </c>
      <c r="F1254" s="76"/>
      <c r="I1254" s="26"/>
      <c r="J1254" s="75" t="s">
        <v>330</v>
      </c>
      <c r="K1254" s="76"/>
    </row>
    <row r="1255" spans="2:12" ht="13.8" x14ac:dyDescent="0.3">
      <c r="D1255" s="25" t="s">
        <v>331</v>
      </c>
      <c r="E1255" s="26">
        <v>0</v>
      </c>
      <c r="F1255" s="26">
        <v>1</v>
      </c>
      <c r="I1255" s="25" t="s">
        <v>331</v>
      </c>
      <c r="J1255" s="26">
        <v>0</v>
      </c>
      <c r="K1255" s="26">
        <v>1</v>
      </c>
    </row>
    <row r="1256" spans="2:12" ht="13.8" x14ac:dyDescent="0.3">
      <c r="D1256" s="25">
        <v>0</v>
      </c>
      <c r="E1256" s="24">
        <v>121</v>
      </c>
      <c r="F1256" s="24">
        <v>50</v>
      </c>
      <c r="I1256" s="25">
        <v>0</v>
      </c>
      <c r="J1256" s="24">
        <v>56</v>
      </c>
      <c r="K1256" s="24">
        <v>73</v>
      </c>
    </row>
    <row r="1257" spans="2:12" ht="13.8" x14ac:dyDescent="0.3">
      <c r="D1257" s="25">
        <v>1</v>
      </c>
      <c r="E1257" s="24">
        <v>27</v>
      </c>
      <c r="F1257" s="24">
        <v>402</v>
      </c>
      <c r="I1257" s="25">
        <v>1</v>
      </c>
      <c r="J1257" s="24">
        <v>34</v>
      </c>
      <c r="K1257" s="24">
        <v>237</v>
      </c>
    </row>
    <row r="1259" spans="2:12" ht="15.6" x14ac:dyDescent="0.3">
      <c r="D1259" s="59" t="s">
        <v>210</v>
      </c>
      <c r="E1259" s="60"/>
      <c r="F1259" s="60"/>
      <c r="G1259" s="61"/>
      <c r="I1259" s="59" t="s">
        <v>210</v>
      </c>
      <c r="J1259" s="60"/>
      <c r="K1259" s="60"/>
      <c r="L1259" s="61"/>
    </row>
    <row r="1260" spans="2:12" ht="13.8" x14ac:dyDescent="0.3">
      <c r="D1260" s="26" t="s">
        <v>332</v>
      </c>
      <c r="E1260" s="26" t="s">
        <v>333</v>
      </c>
      <c r="F1260" s="26" t="s">
        <v>334</v>
      </c>
      <c r="G1260" s="26" t="s">
        <v>335</v>
      </c>
      <c r="I1260" s="26" t="s">
        <v>332</v>
      </c>
      <c r="J1260" s="26" t="s">
        <v>333</v>
      </c>
      <c r="K1260" s="26" t="s">
        <v>334</v>
      </c>
      <c r="L1260" s="26" t="s">
        <v>335</v>
      </c>
    </row>
    <row r="1261" spans="2:12" ht="13.8" x14ac:dyDescent="0.3">
      <c r="D1261" s="25">
        <v>0</v>
      </c>
      <c r="E1261" s="24">
        <f>SUM($E$1256:$F$1256)</f>
        <v>171</v>
      </c>
      <c r="F1261" s="24">
        <f>SUM($E$1256:$F$1256) - $E$1256:$E$1256</f>
        <v>50</v>
      </c>
      <c r="G1261" s="24">
        <f>IF($E$1261:$E$1261 = 0, "Undefined",$F$1261:$F$1261*100 / $E$1261:$E$1261)</f>
        <v>29.239766081871345</v>
      </c>
      <c r="I1261" s="25">
        <v>0</v>
      </c>
      <c r="J1261" s="24">
        <f>SUM($J$1256:$K$1256)</f>
        <v>129</v>
      </c>
      <c r="K1261" s="24">
        <f>SUM($J$1256:$K$1256) - $J$1256:$J$1256</f>
        <v>73</v>
      </c>
      <c r="L1261" s="24">
        <f>IF($J$1261:$J$1261 = 0, "Undefined",$K$1261:$K$1261*100 / $J$1261:$J$1261)</f>
        <v>56.589147286821706</v>
      </c>
    </row>
    <row r="1262" spans="2:12" ht="13.8" x14ac:dyDescent="0.3">
      <c r="D1262" s="25">
        <v>1</v>
      </c>
      <c r="E1262" s="24">
        <f>SUM($E$1257:$F$1257)</f>
        <v>429</v>
      </c>
      <c r="F1262" s="24">
        <f>SUM($E$1257:$F$1257) - $F$1257:$F$1257</f>
        <v>27</v>
      </c>
      <c r="G1262" s="24">
        <f>IF($E$1262:$E$1262 = 0, "Undefined",$F$1262:$F$1262*100 / $E$1262:$E$1262)</f>
        <v>6.2937062937062933</v>
      </c>
      <c r="I1262" s="25">
        <v>1</v>
      </c>
      <c r="J1262" s="24">
        <f>SUM($J$1257:$K$1257)</f>
        <v>271</v>
      </c>
      <c r="K1262" s="24">
        <f>SUM($J$1257:$K$1257) - $K$1257:$K$1257</f>
        <v>34</v>
      </c>
      <c r="L1262" s="24">
        <f>IF($J$1262:$J$1262 = 0, "Undefined",$K$1262:$K$1262*100 / $J$1262:$J$1262)</f>
        <v>12.546125461254613</v>
      </c>
    </row>
    <row r="1263" spans="2:12" ht="13.8" x14ac:dyDescent="0.3">
      <c r="D1263" s="25" t="s">
        <v>336</v>
      </c>
      <c r="E1263" s="24">
        <f>SUM($E$1261:$E$1262)</f>
        <v>600</v>
      </c>
      <c r="F1263" s="24">
        <f>SUM($F$1261:$F$1262)</f>
        <v>77</v>
      </c>
      <c r="G1263" s="24">
        <f>IF($E$1263:$E$1263 = 0, "Undefined",$F$1263:$F$1263*100 / $E$1263:$E$1263)</f>
        <v>12.833333333333334</v>
      </c>
      <c r="I1263" s="25" t="s">
        <v>336</v>
      </c>
      <c r="J1263" s="24">
        <f>SUM($J$1261:$J$1262)</f>
        <v>400</v>
      </c>
      <c r="K1263" s="24">
        <f>SUM($K$1261:$K$1262)</f>
        <v>107</v>
      </c>
      <c r="L1263" s="24">
        <f>IF($J$1263:$J$1263 = 0, "Undefined",$K$1263:$K$1263*100 / $J$1263:$J$1263)</f>
        <v>26.75</v>
      </c>
    </row>
    <row r="1265" spans="2:12" ht="15.6" x14ac:dyDescent="0.3">
      <c r="B1265" s="28" t="s">
        <v>429</v>
      </c>
      <c r="D1265" s="59" t="s">
        <v>329</v>
      </c>
      <c r="E1265" s="60"/>
      <c r="F1265" s="61"/>
      <c r="I1265" s="59" t="s">
        <v>329</v>
      </c>
      <c r="J1265" s="60"/>
      <c r="K1265" s="61"/>
    </row>
    <row r="1266" spans="2:12" ht="13.8" x14ac:dyDescent="0.3">
      <c r="D1266" s="26"/>
      <c r="E1266" s="75" t="s">
        <v>330</v>
      </c>
      <c r="F1266" s="76"/>
      <c r="I1266" s="26"/>
      <c r="J1266" s="75" t="s">
        <v>330</v>
      </c>
      <c r="K1266" s="76"/>
    </row>
    <row r="1267" spans="2:12" ht="13.8" x14ac:dyDescent="0.3">
      <c r="D1267" s="25" t="s">
        <v>331</v>
      </c>
      <c r="E1267" s="26">
        <v>0</v>
      </c>
      <c r="F1267" s="26">
        <v>1</v>
      </c>
      <c r="I1267" s="25" t="s">
        <v>331</v>
      </c>
      <c r="J1267" s="26">
        <v>0</v>
      </c>
      <c r="K1267" s="26">
        <v>1</v>
      </c>
    </row>
    <row r="1268" spans="2:12" ht="13.8" x14ac:dyDescent="0.3">
      <c r="D1268" s="25">
        <v>0</v>
      </c>
      <c r="E1268" s="24">
        <v>146</v>
      </c>
      <c r="F1268" s="24">
        <v>25</v>
      </c>
      <c r="I1268" s="25">
        <v>0</v>
      </c>
      <c r="J1268" s="24">
        <v>68</v>
      </c>
      <c r="K1268" s="24">
        <v>61</v>
      </c>
    </row>
    <row r="1269" spans="2:12" ht="13.8" x14ac:dyDescent="0.3">
      <c r="D1269" s="25">
        <v>1</v>
      </c>
      <c r="E1269" s="24">
        <v>39</v>
      </c>
      <c r="F1269" s="24">
        <v>390</v>
      </c>
      <c r="I1269" s="25">
        <v>1</v>
      </c>
      <c r="J1269" s="24">
        <v>55</v>
      </c>
      <c r="K1269" s="24">
        <v>216</v>
      </c>
    </row>
    <row r="1271" spans="2:12" ht="15.6" x14ac:dyDescent="0.3">
      <c r="D1271" s="59" t="s">
        <v>210</v>
      </c>
      <c r="E1271" s="60"/>
      <c r="F1271" s="60"/>
      <c r="G1271" s="61"/>
      <c r="I1271" s="59" t="s">
        <v>210</v>
      </c>
      <c r="J1271" s="60"/>
      <c r="K1271" s="60"/>
      <c r="L1271" s="61"/>
    </row>
    <row r="1272" spans="2:12" ht="13.8" x14ac:dyDescent="0.3">
      <c r="D1272" s="26" t="s">
        <v>332</v>
      </c>
      <c r="E1272" s="26" t="s">
        <v>333</v>
      </c>
      <c r="F1272" s="26" t="s">
        <v>334</v>
      </c>
      <c r="G1272" s="26" t="s">
        <v>335</v>
      </c>
      <c r="I1272" s="26" t="s">
        <v>332</v>
      </c>
      <c r="J1272" s="26" t="s">
        <v>333</v>
      </c>
      <c r="K1272" s="26" t="s">
        <v>334</v>
      </c>
      <c r="L1272" s="26" t="s">
        <v>335</v>
      </c>
    </row>
    <row r="1273" spans="2:12" ht="13.8" x14ac:dyDescent="0.3">
      <c r="D1273" s="25">
        <v>0</v>
      </c>
      <c r="E1273" s="24">
        <f>SUM($E$1268:$F$1268)</f>
        <v>171</v>
      </c>
      <c r="F1273" s="24">
        <f>SUM($E$1268:$F$1268) - $E$1268:$E$1268</f>
        <v>25</v>
      </c>
      <c r="G1273" s="24">
        <f>IF($E$1273:$E$1273 = 0, "Undefined",$F$1273:$F$1273*100 / $E$1273:$E$1273)</f>
        <v>14.619883040935672</v>
      </c>
      <c r="I1273" s="25">
        <v>0</v>
      </c>
      <c r="J1273" s="24">
        <f>SUM($J$1268:$K$1268)</f>
        <v>129</v>
      </c>
      <c r="K1273" s="24">
        <f>SUM($J$1268:$K$1268) - $J$1268:$J$1268</f>
        <v>61</v>
      </c>
      <c r="L1273" s="24">
        <f>IF($J$1273:$J$1273 = 0, "Undefined",$K$1273:$K$1273*100 / $J$1273:$J$1273)</f>
        <v>47.286821705426355</v>
      </c>
    </row>
    <row r="1274" spans="2:12" ht="13.8" x14ac:dyDescent="0.3">
      <c r="D1274" s="25">
        <v>1</v>
      </c>
      <c r="E1274" s="24">
        <f>SUM($E$1269:$F$1269)</f>
        <v>429</v>
      </c>
      <c r="F1274" s="24">
        <f>SUM($E$1269:$F$1269) - $F$1269:$F$1269</f>
        <v>39</v>
      </c>
      <c r="G1274" s="24">
        <f>IF($E$1274:$E$1274 = 0, "Undefined",$F$1274:$F$1274*100 / $E$1274:$E$1274)</f>
        <v>9.0909090909090917</v>
      </c>
      <c r="I1274" s="25">
        <v>1</v>
      </c>
      <c r="J1274" s="24">
        <f>SUM($J$1269:$K$1269)</f>
        <v>271</v>
      </c>
      <c r="K1274" s="24">
        <f>SUM($J$1269:$K$1269) - $K$1269:$K$1269</f>
        <v>55</v>
      </c>
      <c r="L1274" s="24">
        <f>IF($J$1274:$J$1274 = 0, "Undefined",$K$1274:$K$1274*100 / $J$1274:$J$1274)</f>
        <v>20.29520295202952</v>
      </c>
    </row>
    <row r="1275" spans="2:12" ht="13.8" x14ac:dyDescent="0.3">
      <c r="D1275" s="25" t="s">
        <v>336</v>
      </c>
      <c r="E1275" s="24">
        <f>SUM($E$1273:$E$1274)</f>
        <v>600</v>
      </c>
      <c r="F1275" s="24">
        <f>SUM($F$1273:$F$1274)</f>
        <v>64</v>
      </c>
      <c r="G1275" s="24">
        <f>IF($E$1275:$E$1275 = 0, "Undefined",$F$1275:$F$1275*100 / $E$1275:$E$1275)</f>
        <v>10.666666666666666</v>
      </c>
      <c r="I1275" s="25" t="s">
        <v>336</v>
      </c>
      <c r="J1275" s="24">
        <f>SUM($J$1273:$J$1274)</f>
        <v>400</v>
      </c>
      <c r="K1275" s="24">
        <f>SUM($K$1273:$K$1274)</f>
        <v>116</v>
      </c>
      <c r="L1275" s="24">
        <f>IF($J$1275:$J$1275 = 0, "Undefined",$K$1275:$K$1275*100 / $J$1275:$J$1275)</f>
        <v>29</v>
      </c>
    </row>
    <row r="1277" spans="2:12" ht="15.6" x14ac:dyDescent="0.3">
      <c r="B1277" s="28" t="s">
        <v>430</v>
      </c>
      <c r="D1277" s="59" t="s">
        <v>329</v>
      </c>
      <c r="E1277" s="60"/>
      <c r="F1277" s="61"/>
      <c r="I1277" s="59" t="s">
        <v>329</v>
      </c>
      <c r="J1277" s="60"/>
      <c r="K1277" s="61"/>
    </row>
    <row r="1278" spans="2:12" ht="13.8" x14ac:dyDescent="0.3">
      <c r="D1278" s="26"/>
      <c r="E1278" s="75" t="s">
        <v>330</v>
      </c>
      <c r="F1278" s="76"/>
      <c r="I1278" s="26"/>
      <c r="J1278" s="75" t="s">
        <v>330</v>
      </c>
      <c r="K1278" s="76"/>
    </row>
    <row r="1279" spans="2:12" ht="13.8" x14ac:dyDescent="0.3">
      <c r="D1279" s="25" t="s">
        <v>331</v>
      </c>
      <c r="E1279" s="26">
        <v>0</v>
      </c>
      <c r="F1279" s="26">
        <v>1</v>
      </c>
      <c r="I1279" s="25" t="s">
        <v>331</v>
      </c>
      <c r="J1279" s="26">
        <v>0</v>
      </c>
      <c r="K1279" s="26">
        <v>1</v>
      </c>
    </row>
    <row r="1280" spans="2:12" ht="13.8" x14ac:dyDescent="0.3">
      <c r="D1280" s="25">
        <v>0</v>
      </c>
      <c r="E1280" s="24">
        <v>148</v>
      </c>
      <c r="F1280" s="24">
        <v>23</v>
      </c>
      <c r="I1280" s="25">
        <v>0</v>
      </c>
      <c r="J1280" s="24">
        <v>75</v>
      </c>
      <c r="K1280" s="24">
        <v>54</v>
      </c>
    </row>
    <row r="1281" spans="2:12" ht="13.8" x14ac:dyDescent="0.3">
      <c r="D1281" s="25">
        <v>1</v>
      </c>
      <c r="E1281" s="24">
        <v>46</v>
      </c>
      <c r="F1281" s="24">
        <v>383</v>
      </c>
      <c r="I1281" s="25">
        <v>1</v>
      </c>
      <c r="J1281" s="24">
        <v>58</v>
      </c>
      <c r="K1281" s="24">
        <v>213</v>
      </c>
    </row>
    <row r="1283" spans="2:12" ht="15.6" x14ac:dyDescent="0.3">
      <c r="D1283" s="59" t="s">
        <v>210</v>
      </c>
      <c r="E1283" s="60"/>
      <c r="F1283" s="60"/>
      <c r="G1283" s="61"/>
      <c r="I1283" s="59" t="s">
        <v>210</v>
      </c>
      <c r="J1283" s="60"/>
      <c r="K1283" s="60"/>
      <c r="L1283" s="61"/>
    </row>
    <row r="1284" spans="2:12" ht="13.8" x14ac:dyDescent="0.3">
      <c r="D1284" s="26" t="s">
        <v>332</v>
      </c>
      <c r="E1284" s="26" t="s">
        <v>333</v>
      </c>
      <c r="F1284" s="26" t="s">
        <v>334</v>
      </c>
      <c r="G1284" s="26" t="s">
        <v>335</v>
      </c>
      <c r="I1284" s="26" t="s">
        <v>332</v>
      </c>
      <c r="J1284" s="26" t="s">
        <v>333</v>
      </c>
      <c r="K1284" s="26" t="s">
        <v>334</v>
      </c>
      <c r="L1284" s="26" t="s">
        <v>335</v>
      </c>
    </row>
    <row r="1285" spans="2:12" ht="13.8" x14ac:dyDescent="0.3">
      <c r="D1285" s="25">
        <v>0</v>
      </c>
      <c r="E1285" s="24">
        <f>SUM($E$1280:$F$1280)</f>
        <v>171</v>
      </c>
      <c r="F1285" s="24">
        <f>SUM($E$1280:$F$1280) - $E$1280:$E$1280</f>
        <v>23</v>
      </c>
      <c r="G1285" s="24">
        <f>IF($E$1285:$E$1285 = 0, "Undefined",$F$1285:$F$1285*100 / $E$1285:$E$1285)</f>
        <v>13.450292397660819</v>
      </c>
      <c r="I1285" s="25">
        <v>0</v>
      </c>
      <c r="J1285" s="24">
        <f>SUM($J$1280:$K$1280)</f>
        <v>129</v>
      </c>
      <c r="K1285" s="24">
        <f>SUM($J$1280:$K$1280) - $J$1280:$J$1280</f>
        <v>54</v>
      </c>
      <c r="L1285" s="24">
        <f>IF($J$1285:$J$1285 = 0, "Undefined",$K$1285:$K$1285*100 / $J$1285:$J$1285)</f>
        <v>41.860465116279073</v>
      </c>
    </row>
    <row r="1286" spans="2:12" ht="13.8" x14ac:dyDescent="0.3">
      <c r="D1286" s="25">
        <v>1</v>
      </c>
      <c r="E1286" s="24">
        <f>SUM($E$1281:$F$1281)</f>
        <v>429</v>
      </c>
      <c r="F1286" s="24">
        <f>SUM($E$1281:$F$1281) - $F$1281:$F$1281</f>
        <v>46</v>
      </c>
      <c r="G1286" s="24">
        <f>IF($E$1286:$E$1286 = 0, "Undefined",$F$1286:$F$1286*100 / $E$1286:$E$1286)</f>
        <v>10.722610722610723</v>
      </c>
      <c r="I1286" s="25">
        <v>1</v>
      </c>
      <c r="J1286" s="24">
        <f>SUM($J$1281:$K$1281)</f>
        <v>271</v>
      </c>
      <c r="K1286" s="24">
        <f>SUM($J$1281:$K$1281) - $K$1281:$K$1281</f>
        <v>58</v>
      </c>
      <c r="L1286" s="24">
        <f>IF($J$1286:$J$1286 = 0, "Undefined",$K$1286:$K$1286*100 / $J$1286:$J$1286)</f>
        <v>21.402214022140221</v>
      </c>
    </row>
    <row r="1287" spans="2:12" ht="13.8" x14ac:dyDescent="0.3">
      <c r="D1287" s="25" t="s">
        <v>336</v>
      </c>
      <c r="E1287" s="24">
        <f>SUM($E$1285:$E$1286)</f>
        <v>600</v>
      </c>
      <c r="F1287" s="24">
        <f>SUM($F$1285:$F$1286)</f>
        <v>69</v>
      </c>
      <c r="G1287" s="24">
        <f>IF($E$1287:$E$1287 = 0, "Undefined",$F$1287:$F$1287*100 / $E$1287:$E$1287)</f>
        <v>11.5</v>
      </c>
      <c r="I1287" s="25" t="s">
        <v>336</v>
      </c>
      <c r="J1287" s="24">
        <f>SUM($J$1285:$J$1286)</f>
        <v>400</v>
      </c>
      <c r="K1287" s="24">
        <f>SUM($K$1285:$K$1286)</f>
        <v>112</v>
      </c>
      <c r="L1287" s="24">
        <f>IF($J$1287:$J$1287 = 0, "Undefined",$K$1287:$K$1287*100 / $J$1287:$J$1287)</f>
        <v>28</v>
      </c>
    </row>
    <row r="1289" spans="2:12" ht="15.6" x14ac:dyDescent="0.3">
      <c r="B1289" s="28" t="s">
        <v>431</v>
      </c>
      <c r="D1289" s="59" t="s">
        <v>329</v>
      </c>
      <c r="E1289" s="60"/>
      <c r="F1289" s="61"/>
      <c r="I1289" s="59" t="s">
        <v>329</v>
      </c>
      <c r="J1289" s="60"/>
      <c r="K1289" s="61"/>
    </row>
    <row r="1290" spans="2:12" ht="13.8" x14ac:dyDescent="0.3">
      <c r="D1290" s="26"/>
      <c r="E1290" s="75" t="s">
        <v>330</v>
      </c>
      <c r="F1290" s="76"/>
      <c r="I1290" s="26"/>
      <c r="J1290" s="75" t="s">
        <v>330</v>
      </c>
      <c r="K1290" s="76"/>
    </row>
    <row r="1291" spans="2:12" ht="13.8" x14ac:dyDescent="0.3">
      <c r="D1291" s="25" t="s">
        <v>331</v>
      </c>
      <c r="E1291" s="26">
        <v>0</v>
      </c>
      <c r="F1291" s="26">
        <v>1</v>
      </c>
      <c r="I1291" s="25" t="s">
        <v>331</v>
      </c>
      <c r="J1291" s="26">
        <v>0</v>
      </c>
      <c r="K1291" s="26">
        <v>1</v>
      </c>
    </row>
    <row r="1292" spans="2:12" ht="13.8" x14ac:dyDescent="0.3">
      <c r="D1292" s="25">
        <v>0</v>
      </c>
      <c r="E1292" s="24">
        <v>149</v>
      </c>
      <c r="F1292" s="24">
        <v>22</v>
      </c>
      <c r="I1292" s="25">
        <v>0</v>
      </c>
      <c r="J1292" s="24">
        <v>72</v>
      </c>
      <c r="K1292" s="24">
        <v>57</v>
      </c>
    </row>
    <row r="1293" spans="2:12" ht="13.8" x14ac:dyDescent="0.3">
      <c r="D1293" s="25">
        <v>1</v>
      </c>
      <c r="E1293" s="24">
        <v>46</v>
      </c>
      <c r="F1293" s="24">
        <v>383</v>
      </c>
      <c r="I1293" s="25">
        <v>1</v>
      </c>
      <c r="J1293" s="24">
        <v>60</v>
      </c>
      <c r="K1293" s="24">
        <v>211</v>
      </c>
    </row>
    <row r="1295" spans="2:12" ht="15.6" x14ac:dyDescent="0.3">
      <c r="D1295" s="59" t="s">
        <v>210</v>
      </c>
      <c r="E1295" s="60"/>
      <c r="F1295" s="60"/>
      <c r="G1295" s="61"/>
      <c r="I1295" s="59" t="s">
        <v>210</v>
      </c>
      <c r="J1295" s="60"/>
      <c r="K1295" s="60"/>
      <c r="L1295" s="61"/>
    </row>
    <row r="1296" spans="2:12" ht="13.8" x14ac:dyDescent="0.3">
      <c r="D1296" s="26" t="s">
        <v>332</v>
      </c>
      <c r="E1296" s="26" t="s">
        <v>333</v>
      </c>
      <c r="F1296" s="26" t="s">
        <v>334</v>
      </c>
      <c r="G1296" s="26" t="s">
        <v>335</v>
      </c>
      <c r="I1296" s="26" t="s">
        <v>332</v>
      </c>
      <c r="J1296" s="26" t="s">
        <v>333</v>
      </c>
      <c r="K1296" s="26" t="s">
        <v>334</v>
      </c>
      <c r="L1296" s="26" t="s">
        <v>335</v>
      </c>
    </row>
    <row r="1297" spans="2:12" ht="13.8" x14ac:dyDescent="0.3">
      <c r="D1297" s="25">
        <v>0</v>
      </c>
      <c r="E1297" s="24">
        <f>SUM($E$1292:$F$1292)</f>
        <v>171</v>
      </c>
      <c r="F1297" s="24">
        <f>SUM($E$1292:$F$1292) - $E$1292:$E$1292</f>
        <v>22</v>
      </c>
      <c r="G1297" s="24">
        <f>IF($E$1297:$E$1297 = 0, "Undefined",$F$1297:$F$1297*100 / $E$1297:$E$1297)</f>
        <v>12.865497076023392</v>
      </c>
      <c r="I1297" s="25">
        <v>0</v>
      </c>
      <c r="J1297" s="24">
        <f>SUM($J$1292:$K$1292)</f>
        <v>129</v>
      </c>
      <c r="K1297" s="24">
        <f>SUM($J$1292:$K$1292) - $J$1292:$J$1292</f>
        <v>57</v>
      </c>
      <c r="L1297" s="24">
        <f>IF($J$1297:$J$1297 = 0, "Undefined",$K$1297:$K$1297*100 / $J$1297:$J$1297)</f>
        <v>44.186046511627907</v>
      </c>
    </row>
    <row r="1298" spans="2:12" ht="13.8" x14ac:dyDescent="0.3">
      <c r="D1298" s="25">
        <v>1</v>
      </c>
      <c r="E1298" s="24">
        <f>SUM($E$1293:$F$1293)</f>
        <v>429</v>
      </c>
      <c r="F1298" s="24">
        <f>SUM($E$1293:$F$1293) - $F$1293:$F$1293</f>
        <v>46</v>
      </c>
      <c r="G1298" s="24">
        <f>IF($E$1298:$E$1298 = 0, "Undefined",$F$1298:$F$1298*100 / $E$1298:$E$1298)</f>
        <v>10.722610722610723</v>
      </c>
      <c r="I1298" s="25">
        <v>1</v>
      </c>
      <c r="J1298" s="24">
        <f>SUM($J$1293:$K$1293)</f>
        <v>271</v>
      </c>
      <c r="K1298" s="24">
        <f>SUM($J$1293:$K$1293) - $K$1293:$K$1293</f>
        <v>60</v>
      </c>
      <c r="L1298" s="24">
        <f>IF($J$1298:$J$1298 = 0, "Undefined",$K$1298:$K$1298*100 / $J$1298:$J$1298)</f>
        <v>22.140221402214021</v>
      </c>
    </row>
    <row r="1299" spans="2:12" ht="13.8" x14ac:dyDescent="0.3">
      <c r="D1299" s="25" t="s">
        <v>336</v>
      </c>
      <c r="E1299" s="24">
        <f>SUM($E$1297:$E$1298)</f>
        <v>600</v>
      </c>
      <c r="F1299" s="24">
        <f>SUM($F$1297:$F$1298)</f>
        <v>68</v>
      </c>
      <c r="G1299" s="24">
        <f>IF($E$1299:$E$1299 = 0, "Undefined",$F$1299:$F$1299*100 / $E$1299:$E$1299)</f>
        <v>11.333333333333334</v>
      </c>
      <c r="I1299" s="25" t="s">
        <v>336</v>
      </c>
      <c r="J1299" s="24">
        <f>SUM($J$1297:$J$1298)</f>
        <v>400</v>
      </c>
      <c r="K1299" s="24">
        <f>SUM($K$1297:$K$1298)</f>
        <v>117</v>
      </c>
      <c r="L1299" s="24">
        <f>IF($J$1299:$J$1299 = 0, "Undefined",$K$1299:$K$1299*100 / $J$1299:$J$1299)</f>
        <v>29.25</v>
      </c>
    </row>
    <row r="1301" spans="2:12" ht="15.6" x14ac:dyDescent="0.3">
      <c r="B1301" s="28" t="s">
        <v>432</v>
      </c>
      <c r="D1301" s="59" t="s">
        <v>329</v>
      </c>
      <c r="E1301" s="60"/>
      <c r="F1301" s="61"/>
      <c r="I1301" s="59" t="s">
        <v>329</v>
      </c>
      <c r="J1301" s="60"/>
      <c r="K1301" s="61"/>
    </row>
    <row r="1302" spans="2:12" ht="13.8" x14ac:dyDescent="0.3">
      <c r="D1302" s="26"/>
      <c r="E1302" s="75" t="s">
        <v>330</v>
      </c>
      <c r="F1302" s="76"/>
      <c r="I1302" s="26"/>
      <c r="J1302" s="75" t="s">
        <v>330</v>
      </c>
      <c r="K1302" s="76"/>
    </row>
    <row r="1303" spans="2:12" ht="13.8" x14ac:dyDescent="0.3">
      <c r="D1303" s="25" t="s">
        <v>331</v>
      </c>
      <c r="E1303" s="26">
        <v>0</v>
      </c>
      <c r="F1303" s="26">
        <v>1</v>
      </c>
      <c r="I1303" s="25" t="s">
        <v>331</v>
      </c>
      <c r="J1303" s="26">
        <v>0</v>
      </c>
      <c r="K1303" s="26">
        <v>1</v>
      </c>
    </row>
    <row r="1304" spans="2:12" ht="13.8" x14ac:dyDescent="0.3">
      <c r="D1304" s="25">
        <v>0</v>
      </c>
      <c r="E1304" s="24">
        <v>149</v>
      </c>
      <c r="F1304" s="24">
        <v>22</v>
      </c>
      <c r="I1304" s="25">
        <v>0</v>
      </c>
      <c r="J1304" s="24">
        <v>76</v>
      </c>
      <c r="K1304" s="24">
        <v>53</v>
      </c>
    </row>
    <row r="1305" spans="2:12" ht="13.8" x14ac:dyDescent="0.3">
      <c r="D1305" s="25">
        <v>1</v>
      </c>
      <c r="E1305" s="24">
        <v>44</v>
      </c>
      <c r="F1305" s="24">
        <v>385</v>
      </c>
      <c r="I1305" s="25">
        <v>1</v>
      </c>
      <c r="J1305" s="24">
        <v>52</v>
      </c>
      <c r="K1305" s="24">
        <v>219</v>
      </c>
    </row>
    <row r="1307" spans="2:12" ht="15.6" x14ac:dyDescent="0.3">
      <c r="D1307" s="59" t="s">
        <v>210</v>
      </c>
      <c r="E1307" s="60"/>
      <c r="F1307" s="60"/>
      <c r="G1307" s="61"/>
      <c r="I1307" s="59" t="s">
        <v>210</v>
      </c>
      <c r="J1307" s="60"/>
      <c r="K1307" s="60"/>
      <c r="L1307" s="61"/>
    </row>
    <row r="1308" spans="2:12" ht="13.8" x14ac:dyDescent="0.3">
      <c r="D1308" s="26" t="s">
        <v>332</v>
      </c>
      <c r="E1308" s="26" t="s">
        <v>333</v>
      </c>
      <c r="F1308" s="26" t="s">
        <v>334</v>
      </c>
      <c r="G1308" s="26" t="s">
        <v>335</v>
      </c>
      <c r="I1308" s="26" t="s">
        <v>332</v>
      </c>
      <c r="J1308" s="26" t="s">
        <v>333</v>
      </c>
      <c r="K1308" s="26" t="s">
        <v>334</v>
      </c>
      <c r="L1308" s="26" t="s">
        <v>335</v>
      </c>
    </row>
    <row r="1309" spans="2:12" ht="13.8" x14ac:dyDescent="0.3">
      <c r="D1309" s="25">
        <v>0</v>
      </c>
      <c r="E1309" s="24">
        <f>SUM($E$1304:$F$1304)</f>
        <v>171</v>
      </c>
      <c r="F1309" s="24">
        <f>SUM($E$1304:$F$1304) - $E$1304:$E$1304</f>
        <v>22</v>
      </c>
      <c r="G1309" s="24">
        <f>IF($E$1309:$E$1309 = 0, "Undefined",$F$1309:$F$1309*100 / $E$1309:$E$1309)</f>
        <v>12.865497076023392</v>
      </c>
      <c r="I1309" s="25">
        <v>0</v>
      </c>
      <c r="J1309" s="24">
        <f>SUM($J$1304:$K$1304)</f>
        <v>129</v>
      </c>
      <c r="K1309" s="24">
        <f>SUM($J$1304:$K$1304) - $J$1304:$J$1304</f>
        <v>53</v>
      </c>
      <c r="L1309" s="24">
        <f>IF($J$1309:$J$1309 = 0, "Undefined",$K$1309:$K$1309*100 / $J$1309:$J$1309)</f>
        <v>41.085271317829459</v>
      </c>
    </row>
    <row r="1310" spans="2:12" ht="13.8" x14ac:dyDescent="0.3">
      <c r="D1310" s="25">
        <v>1</v>
      </c>
      <c r="E1310" s="24">
        <f>SUM($E$1305:$F$1305)</f>
        <v>429</v>
      </c>
      <c r="F1310" s="24">
        <f>SUM($E$1305:$F$1305) - $F$1305:$F$1305</f>
        <v>44</v>
      </c>
      <c r="G1310" s="24">
        <f>IF($E$1310:$E$1310 = 0, "Undefined",$F$1310:$F$1310*100 / $E$1310:$E$1310)</f>
        <v>10.256410256410257</v>
      </c>
      <c r="I1310" s="25">
        <v>1</v>
      </c>
      <c r="J1310" s="24">
        <f>SUM($J$1305:$K$1305)</f>
        <v>271</v>
      </c>
      <c r="K1310" s="24">
        <f>SUM($J$1305:$K$1305) - $K$1305:$K$1305</f>
        <v>52</v>
      </c>
      <c r="L1310" s="24">
        <f>IF($J$1310:$J$1310 = 0, "Undefined",$K$1310:$K$1310*100 / $J$1310:$J$1310)</f>
        <v>19.188191881918819</v>
      </c>
    </row>
    <row r="1311" spans="2:12" ht="13.8" x14ac:dyDescent="0.3">
      <c r="D1311" s="25" t="s">
        <v>336</v>
      </c>
      <c r="E1311" s="24">
        <f>SUM($E$1309:$E$1310)</f>
        <v>600</v>
      </c>
      <c r="F1311" s="24">
        <f>SUM($F$1309:$F$1310)</f>
        <v>66</v>
      </c>
      <c r="G1311" s="24">
        <f>IF($E$1311:$E$1311 = 0, "Undefined",$F$1311:$F$1311*100 / $E$1311:$E$1311)</f>
        <v>11</v>
      </c>
      <c r="I1311" s="25" t="s">
        <v>336</v>
      </c>
      <c r="J1311" s="24">
        <f>SUM($J$1309:$J$1310)</f>
        <v>400</v>
      </c>
      <c r="K1311" s="24">
        <f>SUM($K$1309:$K$1310)</f>
        <v>105</v>
      </c>
      <c r="L1311" s="24">
        <f>IF($J$1311:$J$1311 = 0, "Undefined",$K$1311:$K$1311*100 / $J$1311:$J$1311)</f>
        <v>26.25</v>
      </c>
    </row>
    <row r="1313" spans="2:12" ht="15.6" x14ac:dyDescent="0.3">
      <c r="B1313" s="28" t="s">
        <v>433</v>
      </c>
      <c r="D1313" s="59" t="s">
        <v>329</v>
      </c>
      <c r="E1313" s="60"/>
      <c r="F1313" s="61"/>
      <c r="I1313" s="59" t="s">
        <v>329</v>
      </c>
      <c r="J1313" s="60"/>
      <c r="K1313" s="61"/>
    </row>
    <row r="1314" spans="2:12" ht="13.8" x14ac:dyDescent="0.3">
      <c r="D1314" s="26"/>
      <c r="E1314" s="75" t="s">
        <v>330</v>
      </c>
      <c r="F1314" s="76"/>
      <c r="I1314" s="26"/>
      <c r="J1314" s="75" t="s">
        <v>330</v>
      </c>
      <c r="K1314" s="76"/>
    </row>
    <row r="1315" spans="2:12" ht="13.8" x14ac:dyDescent="0.3">
      <c r="D1315" s="25" t="s">
        <v>331</v>
      </c>
      <c r="E1315" s="26">
        <v>0</v>
      </c>
      <c r="F1315" s="26">
        <v>1</v>
      </c>
      <c r="I1315" s="25" t="s">
        <v>331</v>
      </c>
      <c r="J1315" s="26">
        <v>0</v>
      </c>
      <c r="K1315" s="26">
        <v>1</v>
      </c>
    </row>
    <row r="1316" spans="2:12" ht="13.8" x14ac:dyDescent="0.3">
      <c r="D1316" s="25">
        <v>0</v>
      </c>
      <c r="E1316" s="24">
        <v>145</v>
      </c>
      <c r="F1316" s="24">
        <v>26</v>
      </c>
      <c r="I1316" s="25">
        <v>0</v>
      </c>
      <c r="J1316" s="24">
        <v>58</v>
      </c>
      <c r="K1316" s="24">
        <v>71</v>
      </c>
    </row>
    <row r="1317" spans="2:12" ht="13.8" x14ac:dyDescent="0.3">
      <c r="D1317" s="25">
        <v>1</v>
      </c>
      <c r="E1317" s="24">
        <v>16</v>
      </c>
      <c r="F1317" s="24">
        <v>413</v>
      </c>
      <c r="I1317" s="25">
        <v>1</v>
      </c>
      <c r="J1317" s="24">
        <v>40</v>
      </c>
      <c r="K1317" s="24">
        <v>231</v>
      </c>
    </row>
    <row r="1319" spans="2:12" ht="15.6" x14ac:dyDescent="0.3">
      <c r="D1319" s="59" t="s">
        <v>210</v>
      </c>
      <c r="E1319" s="60"/>
      <c r="F1319" s="60"/>
      <c r="G1319" s="61"/>
      <c r="I1319" s="59" t="s">
        <v>210</v>
      </c>
      <c r="J1319" s="60"/>
      <c r="K1319" s="60"/>
      <c r="L1319" s="61"/>
    </row>
    <row r="1320" spans="2:12" ht="13.8" x14ac:dyDescent="0.3">
      <c r="D1320" s="26" t="s">
        <v>332</v>
      </c>
      <c r="E1320" s="26" t="s">
        <v>333</v>
      </c>
      <c r="F1320" s="26" t="s">
        <v>334</v>
      </c>
      <c r="G1320" s="26" t="s">
        <v>335</v>
      </c>
      <c r="I1320" s="26" t="s">
        <v>332</v>
      </c>
      <c r="J1320" s="26" t="s">
        <v>333</v>
      </c>
      <c r="K1320" s="26" t="s">
        <v>334</v>
      </c>
      <c r="L1320" s="26" t="s">
        <v>335</v>
      </c>
    </row>
    <row r="1321" spans="2:12" ht="13.8" x14ac:dyDescent="0.3">
      <c r="D1321" s="25">
        <v>0</v>
      </c>
      <c r="E1321" s="24">
        <f>SUM($E$1316:$F$1316)</f>
        <v>171</v>
      </c>
      <c r="F1321" s="24">
        <f>SUM($E$1316:$F$1316) - $E$1316:$E$1316</f>
        <v>26</v>
      </c>
      <c r="G1321" s="24">
        <f>IF($E$1321:$E$1321 = 0, "Undefined",$F$1321:$F$1321*100 / $E$1321:$E$1321)</f>
        <v>15.2046783625731</v>
      </c>
      <c r="I1321" s="25">
        <v>0</v>
      </c>
      <c r="J1321" s="24">
        <f>SUM($J$1316:$K$1316)</f>
        <v>129</v>
      </c>
      <c r="K1321" s="24">
        <f>SUM($J$1316:$K$1316) - $J$1316:$J$1316</f>
        <v>71</v>
      </c>
      <c r="L1321" s="24">
        <f>IF($J$1321:$J$1321 = 0, "Undefined",$K$1321:$K$1321*100 / $J$1321:$J$1321)</f>
        <v>55.038759689922479</v>
      </c>
    </row>
    <row r="1322" spans="2:12" ht="13.8" x14ac:dyDescent="0.3">
      <c r="D1322" s="25">
        <v>1</v>
      </c>
      <c r="E1322" s="24">
        <f>SUM($E$1317:$F$1317)</f>
        <v>429</v>
      </c>
      <c r="F1322" s="24">
        <f>SUM($E$1317:$F$1317) - $F$1317:$F$1317</f>
        <v>16</v>
      </c>
      <c r="G1322" s="24">
        <f>IF($E$1322:$E$1322 = 0, "Undefined",$F$1322:$F$1322*100 / $E$1322:$E$1322)</f>
        <v>3.7296037296037294</v>
      </c>
      <c r="I1322" s="25">
        <v>1</v>
      </c>
      <c r="J1322" s="24">
        <f>SUM($J$1317:$K$1317)</f>
        <v>271</v>
      </c>
      <c r="K1322" s="24">
        <f>SUM($J$1317:$K$1317) - $K$1317:$K$1317</f>
        <v>40</v>
      </c>
      <c r="L1322" s="24">
        <f>IF($J$1322:$J$1322 = 0, "Undefined",$K$1322:$K$1322*100 / $J$1322:$J$1322)</f>
        <v>14.760147601476016</v>
      </c>
    </row>
    <row r="1323" spans="2:12" ht="13.8" x14ac:dyDescent="0.3">
      <c r="D1323" s="25" t="s">
        <v>336</v>
      </c>
      <c r="E1323" s="24">
        <f>SUM($E$1321:$E$1322)</f>
        <v>600</v>
      </c>
      <c r="F1323" s="24">
        <f>SUM($F$1321:$F$1322)</f>
        <v>42</v>
      </c>
      <c r="G1323" s="24">
        <f>IF($E$1323:$E$1323 = 0, "Undefined",$F$1323:$F$1323*100 / $E$1323:$E$1323)</f>
        <v>7</v>
      </c>
      <c r="I1323" s="25" t="s">
        <v>336</v>
      </c>
      <c r="J1323" s="24">
        <f>SUM($J$1321:$J$1322)</f>
        <v>400</v>
      </c>
      <c r="K1323" s="24">
        <f>SUM($K$1321:$K$1322)</f>
        <v>111</v>
      </c>
      <c r="L1323" s="24">
        <f>IF($J$1323:$J$1323 = 0, "Undefined",$K$1323:$K$1323*100 / $J$1323:$J$1323)</f>
        <v>27.75</v>
      </c>
    </row>
    <row r="1325" spans="2:12" ht="15.6" x14ac:dyDescent="0.3">
      <c r="B1325" s="28" t="s">
        <v>434</v>
      </c>
      <c r="D1325" s="59" t="s">
        <v>329</v>
      </c>
      <c r="E1325" s="60"/>
      <c r="F1325" s="61"/>
      <c r="I1325" s="59" t="s">
        <v>329</v>
      </c>
      <c r="J1325" s="60"/>
      <c r="K1325" s="61"/>
    </row>
    <row r="1326" spans="2:12" ht="13.8" x14ac:dyDescent="0.3">
      <c r="D1326" s="26"/>
      <c r="E1326" s="75" t="s">
        <v>330</v>
      </c>
      <c r="F1326" s="76"/>
      <c r="I1326" s="26"/>
      <c r="J1326" s="75" t="s">
        <v>330</v>
      </c>
      <c r="K1326" s="76"/>
    </row>
    <row r="1327" spans="2:12" ht="13.8" x14ac:dyDescent="0.3">
      <c r="D1327" s="25" t="s">
        <v>331</v>
      </c>
      <c r="E1327" s="26">
        <v>0</v>
      </c>
      <c r="F1327" s="26">
        <v>1</v>
      </c>
      <c r="I1327" s="25" t="s">
        <v>331</v>
      </c>
      <c r="J1327" s="26">
        <v>0</v>
      </c>
      <c r="K1327" s="26">
        <v>1</v>
      </c>
    </row>
    <row r="1328" spans="2:12" ht="13.8" x14ac:dyDescent="0.3">
      <c r="D1328" s="25">
        <v>0</v>
      </c>
      <c r="E1328" s="24">
        <v>136</v>
      </c>
      <c r="F1328" s="24">
        <v>35</v>
      </c>
      <c r="I1328" s="25">
        <v>0</v>
      </c>
      <c r="J1328" s="24">
        <v>67</v>
      </c>
      <c r="K1328" s="24">
        <v>62</v>
      </c>
    </row>
    <row r="1329" spans="2:12" ht="13.8" x14ac:dyDescent="0.3">
      <c r="D1329" s="25">
        <v>1</v>
      </c>
      <c r="E1329" s="24">
        <v>23</v>
      </c>
      <c r="F1329" s="24">
        <v>406</v>
      </c>
      <c r="I1329" s="25">
        <v>1</v>
      </c>
      <c r="J1329" s="24">
        <v>38</v>
      </c>
      <c r="K1329" s="24">
        <v>233</v>
      </c>
    </row>
    <row r="1331" spans="2:12" ht="15.6" x14ac:dyDescent="0.3">
      <c r="D1331" s="59" t="s">
        <v>210</v>
      </c>
      <c r="E1331" s="60"/>
      <c r="F1331" s="60"/>
      <c r="G1331" s="61"/>
      <c r="I1331" s="59" t="s">
        <v>210</v>
      </c>
      <c r="J1331" s="60"/>
      <c r="K1331" s="60"/>
      <c r="L1331" s="61"/>
    </row>
    <row r="1332" spans="2:12" ht="13.8" x14ac:dyDescent="0.3">
      <c r="D1332" s="26" t="s">
        <v>332</v>
      </c>
      <c r="E1332" s="26" t="s">
        <v>333</v>
      </c>
      <c r="F1332" s="26" t="s">
        <v>334</v>
      </c>
      <c r="G1332" s="26" t="s">
        <v>335</v>
      </c>
      <c r="I1332" s="26" t="s">
        <v>332</v>
      </c>
      <c r="J1332" s="26" t="s">
        <v>333</v>
      </c>
      <c r="K1332" s="26" t="s">
        <v>334</v>
      </c>
      <c r="L1332" s="26" t="s">
        <v>335</v>
      </c>
    </row>
    <row r="1333" spans="2:12" ht="13.8" x14ac:dyDescent="0.3">
      <c r="D1333" s="25">
        <v>0</v>
      </c>
      <c r="E1333" s="24">
        <f>SUM($E$1328:$F$1328)</f>
        <v>171</v>
      </c>
      <c r="F1333" s="24">
        <f>SUM($E$1328:$F$1328) - $E$1328:$E$1328</f>
        <v>35</v>
      </c>
      <c r="G1333" s="24">
        <f>IF($E$1333:$E$1333 = 0, "Undefined",$F$1333:$F$1333*100 / $E$1333:$E$1333)</f>
        <v>20.467836257309941</v>
      </c>
      <c r="I1333" s="25">
        <v>0</v>
      </c>
      <c r="J1333" s="24">
        <f>SUM($J$1328:$K$1328)</f>
        <v>129</v>
      </c>
      <c r="K1333" s="24">
        <f>SUM($J$1328:$K$1328) - $J$1328:$J$1328</f>
        <v>62</v>
      </c>
      <c r="L1333" s="24">
        <f>IF($J$1333:$J$1333 = 0, "Undefined",$K$1333:$K$1333*100 / $J$1333:$J$1333)</f>
        <v>48.062015503875969</v>
      </c>
    </row>
    <row r="1334" spans="2:12" ht="13.8" x14ac:dyDescent="0.3">
      <c r="D1334" s="25">
        <v>1</v>
      </c>
      <c r="E1334" s="24">
        <f>SUM($E$1329:$F$1329)</f>
        <v>429</v>
      </c>
      <c r="F1334" s="24">
        <f>SUM($E$1329:$F$1329) - $F$1329:$F$1329</f>
        <v>23</v>
      </c>
      <c r="G1334" s="24">
        <f>IF($E$1334:$E$1334 = 0, "Undefined",$F$1334:$F$1334*100 / $E$1334:$E$1334)</f>
        <v>5.3613053613053614</v>
      </c>
      <c r="I1334" s="25">
        <v>1</v>
      </c>
      <c r="J1334" s="24">
        <f>SUM($J$1329:$K$1329)</f>
        <v>271</v>
      </c>
      <c r="K1334" s="24">
        <f>SUM($J$1329:$K$1329) - $K$1329:$K$1329</f>
        <v>38</v>
      </c>
      <c r="L1334" s="24">
        <f>IF($J$1334:$J$1334 = 0, "Undefined",$K$1334:$K$1334*100 / $J$1334:$J$1334)</f>
        <v>14.022140221402214</v>
      </c>
    </row>
    <row r="1335" spans="2:12" ht="13.8" x14ac:dyDescent="0.3">
      <c r="D1335" s="25" t="s">
        <v>336</v>
      </c>
      <c r="E1335" s="24">
        <f>SUM($E$1333:$E$1334)</f>
        <v>600</v>
      </c>
      <c r="F1335" s="24">
        <f>SUM($F$1333:$F$1334)</f>
        <v>58</v>
      </c>
      <c r="G1335" s="24">
        <f>IF($E$1335:$E$1335 = 0, "Undefined",$F$1335:$F$1335*100 / $E$1335:$E$1335)</f>
        <v>9.6666666666666661</v>
      </c>
      <c r="I1335" s="25" t="s">
        <v>336</v>
      </c>
      <c r="J1335" s="24">
        <f>SUM($J$1333:$J$1334)</f>
        <v>400</v>
      </c>
      <c r="K1335" s="24">
        <f>SUM($K$1333:$K$1334)</f>
        <v>100</v>
      </c>
      <c r="L1335" s="24">
        <f>IF($J$1335:$J$1335 = 0, "Undefined",$K$1335:$K$1335*100 / $J$1335:$J$1335)</f>
        <v>25</v>
      </c>
    </row>
    <row r="1337" spans="2:12" ht="15.6" x14ac:dyDescent="0.3">
      <c r="B1337" s="28" t="s">
        <v>435</v>
      </c>
      <c r="D1337" s="59" t="s">
        <v>329</v>
      </c>
      <c r="E1337" s="60"/>
      <c r="F1337" s="61"/>
      <c r="I1337" s="59" t="s">
        <v>329</v>
      </c>
      <c r="J1337" s="60"/>
      <c r="K1337" s="61"/>
    </row>
    <row r="1338" spans="2:12" ht="13.8" x14ac:dyDescent="0.3">
      <c r="D1338" s="26"/>
      <c r="E1338" s="75" t="s">
        <v>330</v>
      </c>
      <c r="F1338" s="76"/>
      <c r="I1338" s="26"/>
      <c r="J1338" s="75" t="s">
        <v>330</v>
      </c>
      <c r="K1338" s="76"/>
    </row>
    <row r="1339" spans="2:12" ht="13.8" x14ac:dyDescent="0.3">
      <c r="D1339" s="25" t="s">
        <v>331</v>
      </c>
      <c r="E1339" s="26">
        <v>0</v>
      </c>
      <c r="F1339" s="26">
        <v>1</v>
      </c>
      <c r="I1339" s="25" t="s">
        <v>331</v>
      </c>
      <c r="J1339" s="26">
        <v>0</v>
      </c>
      <c r="K1339" s="26">
        <v>1</v>
      </c>
    </row>
    <row r="1340" spans="2:12" ht="13.8" x14ac:dyDescent="0.3">
      <c r="D1340" s="25">
        <v>0</v>
      </c>
      <c r="E1340" s="24">
        <v>129</v>
      </c>
      <c r="F1340" s="24">
        <v>42</v>
      </c>
      <c r="I1340" s="25">
        <v>0</v>
      </c>
      <c r="J1340" s="24">
        <v>51</v>
      </c>
      <c r="K1340" s="24">
        <v>78</v>
      </c>
    </row>
    <row r="1341" spans="2:12" ht="13.8" x14ac:dyDescent="0.3">
      <c r="D1341" s="25">
        <v>1</v>
      </c>
      <c r="E1341" s="24">
        <v>20</v>
      </c>
      <c r="F1341" s="24">
        <v>409</v>
      </c>
      <c r="I1341" s="25">
        <v>1</v>
      </c>
      <c r="J1341" s="24">
        <v>34</v>
      </c>
      <c r="K1341" s="24">
        <v>237</v>
      </c>
    </row>
    <row r="1343" spans="2:12" ht="15.6" x14ac:dyDescent="0.3">
      <c r="D1343" s="59" t="s">
        <v>210</v>
      </c>
      <c r="E1343" s="60"/>
      <c r="F1343" s="60"/>
      <c r="G1343" s="61"/>
      <c r="I1343" s="59" t="s">
        <v>210</v>
      </c>
      <c r="J1343" s="60"/>
      <c r="K1343" s="60"/>
      <c r="L1343" s="61"/>
    </row>
    <row r="1344" spans="2:12" ht="13.8" x14ac:dyDescent="0.3">
      <c r="D1344" s="26" t="s">
        <v>332</v>
      </c>
      <c r="E1344" s="26" t="s">
        <v>333</v>
      </c>
      <c r="F1344" s="26" t="s">
        <v>334</v>
      </c>
      <c r="G1344" s="26" t="s">
        <v>335</v>
      </c>
      <c r="I1344" s="26" t="s">
        <v>332</v>
      </c>
      <c r="J1344" s="26" t="s">
        <v>333</v>
      </c>
      <c r="K1344" s="26" t="s">
        <v>334</v>
      </c>
      <c r="L1344" s="26" t="s">
        <v>335</v>
      </c>
    </row>
    <row r="1345" spans="4:12" ht="13.8" x14ac:dyDescent="0.3">
      <c r="D1345" s="25">
        <v>0</v>
      </c>
      <c r="E1345" s="24">
        <f>SUM($E$1340:$F$1340)</f>
        <v>171</v>
      </c>
      <c r="F1345" s="24">
        <f>SUM($E$1340:$F$1340) - $E$1340:$E$1340</f>
        <v>42</v>
      </c>
      <c r="G1345" s="24">
        <f>IF($E$1345:$E$1345 = 0, "Undefined",$F$1345:$F$1345*100 / $E$1345:$E$1345)</f>
        <v>24.561403508771932</v>
      </c>
      <c r="I1345" s="25">
        <v>0</v>
      </c>
      <c r="J1345" s="24">
        <f>SUM($J$1340:$K$1340)</f>
        <v>129</v>
      </c>
      <c r="K1345" s="24">
        <f>SUM($J$1340:$K$1340) - $J$1340:$J$1340</f>
        <v>78</v>
      </c>
      <c r="L1345" s="24">
        <f>IF($J$1345:$J$1345 = 0, "Undefined",$K$1345:$K$1345*100 / $J$1345:$J$1345)</f>
        <v>60.465116279069768</v>
      </c>
    </row>
    <row r="1346" spans="4:12" ht="13.8" x14ac:dyDescent="0.3">
      <c r="D1346" s="25">
        <v>1</v>
      </c>
      <c r="E1346" s="24">
        <f>SUM($E$1341:$F$1341)</f>
        <v>429</v>
      </c>
      <c r="F1346" s="24">
        <f>SUM($E$1341:$F$1341) - $F$1341:$F$1341</f>
        <v>20</v>
      </c>
      <c r="G1346" s="24">
        <f>IF($E$1346:$E$1346 = 0, "Undefined",$F$1346:$F$1346*100 / $E$1346:$E$1346)</f>
        <v>4.6620046620046622</v>
      </c>
      <c r="I1346" s="25">
        <v>1</v>
      </c>
      <c r="J1346" s="24">
        <f>SUM($J$1341:$K$1341)</f>
        <v>271</v>
      </c>
      <c r="K1346" s="24">
        <f>SUM($J$1341:$K$1341) - $K$1341:$K$1341</f>
        <v>34</v>
      </c>
      <c r="L1346" s="24">
        <f>IF($J$1346:$J$1346 = 0, "Undefined",$K$1346:$K$1346*100 / $J$1346:$J$1346)</f>
        <v>12.546125461254613</v>
      </c>
    </row>
    <row r="1347" spans="4:12" ht="13.8" x14ac:dyDescent="0.3">
      <c r="D1347" s="25" t="s">
        <v>336</v>
      </c>
      <c r="E1347" s="24">
        <f>SUM($E$1345:$E$1346)</f>
        <v>600</v>
      </c>
      <c r="F1347" s="24">
        <f>SUM($F$1345:$F$1346)</f>
        <v>62</v>
      </c>
      <c r="G1347" s="24">
        <f>IF($E$1347:$E$1347 = 0, "Undefined",$F$1347:$F$1347*100 / $E$1347:$E$1347)</f>
        <v>10.333333333333334</v>
      </c>
      <c r="I1347" s="25" t="s">
        <v>336</v>
      </c>
      <c r="J1347" s="24">
        <f>SUM($J$1345:$J$1346)</f>
        <v>400</v>
      </c>
      <c r="K1347" s="24">
        <f>SUM($K$1345:$K$1346)</f>
        <v>112</v>
      </c>
      <c r="L1347" s="24">
        <f>IF($J$1347:$J$1347 = 0, "Undefined",$K$1347:$K$1347*100 / $J$1347:$J$1347)</f>
        <v>28</v>
      </c>
    </row>
  </sheetData>
  <mergeCells count="653">
    <mergeCell ref="D1337:F1337"/>
    <mergeCell ref="B3:G3"/>
    <mergeCell ref="J3:M3"/>
    <mergeCell ref="E1338:F1338"/>
    <mergeCell ref="D1343:G1343"/>
    <mergeCell ref="I1337:K1337"/>
    <mergeCell ref="J1338:K1338"/>
    <mergeCell ref="I1343:L1343"/>
    <mergeCell ref="B4:C4"/>
    <mergeCell ref="D4:E4"/>
    <mergeCell ref="F4:G4"/>
    <mergeCell ref="D1313:F1313"/>
    <mergeCell ref="E1314:F1314"/>
    <mergeCell ref="D1319:G1319"/>
    <mergeCell ref="I1313:K1313"/>
    <mergeCell ref="J1314:K1314"/>
    <mergeCell ref="I1319:L1319"/>
    <mergeCell ref="D1325:F1325"/>
    <mergeCell ref="E1326:F1326"/>
    <mergeCell ref="D1331:G1331"/>
    <mergeCell ref="I1325:K1325"/>
    <mergeCell ref="J1326:K1326"/>
    <mergeCell ref="I1331:L1331"/>
    <mergeCell ref="D1289:F1289"/>
    <mergeCell ref="E1290:F1290"/>
    <mergeCell ref="D1295:G1295"/>
    <mergeCell ref="I1289:K1289"/>
    <mergeCell ref="J1290:K1290"/>
    <mergeCell ref="I1295:L1295"/>
    <mergeCell ref="D1301:F1301"/>
    <mergeCell ref="E1302:F1302"/>
    <mergeCell ref="D1307:G1307"/>
    <mergeCell ref="I1301:K1301"/>
    <mergeCell ref="J1302:K1302"/>
    <mergeCell ref="I1307:L1307"/>
    <mergeCell ref="D1265:F1265"/>
    <mergeCell ref="E1266:F1266"/>
    <mergeCell ref="D1271:G1271"/>
    <mergeCell ref="I1265:K1265"/>
    <mergeCell ref="J1266:K1266"/>
    <mergeCell ref="I1271:L1271"/>
    <mergeCell ref="D1277:F1277"/>
    <mergeCell ref="E1278:F1278"/>
    <mergeCell ref="D1283:G1283"/>
    <mergeCell ref="I1277:K1277"/>
    <mergeCell ref="J1278:K1278"/>
    <mergeCell ref="I1283:L1283"/>
    <mergeCell ref="D1241:F1241"/>
    <mergeCell ref="E1242:F1242"/>
    <mergeCell ref="D1247:G1247"/>
    <mergeCell ref="I1241:K1241"/>
    <mergeCell ref="J1242:K1242"/>
    <mergeCell ref="I1247:L1247"/>
    <mergeCell ref="D1253:F1253"/>
    <mergeCell ref="E1254:F1254"/>
    <mergeCell ref="D1259:G1259"/>
    <mergeCell ref="I1253:K1253"/>
    <mergeCell ref="J1254:K1254"/>
    <mergeCell ref="I1259:L1259"/>
    <mergeCell ref="D1217:F1217"/>
    <mergeCell ref="E1218:F1218"/>
    <mergeCell ref="D1223:G1223"/>
    <mergeCell ref="I1217:K1217"/>
    <mergeCell ref="J1218:K1218"/>
    <mergeCell ref="I1223:L1223"/>
    <mergeCell ref="D1229:F1229"/>
    <mergeCell ref="E1230:F1230"/>
    <mergeCell ref="D1235:G1235"/>
    <mergeCell ref="I1229:K1229"/>
    <mergeCell ref="J1230:K1230"/>
    <mergeCell ref="I1235:L1235"/>
    <mergeCell ref="D1193:F1193"/>
    <mergeCell ref="E1194:F1194"/>
    <mergeCell ref="D1199:G1199"/>
    <mergeCell ref="I1193:K1193"/>
    <mergeCell ref="J1194:K1194"/>
    <mergeCell ref="I1199:L1199"/>
    <mergeCell ref="D1205:F1205"/>
    <mergeCell ref="E1206:F1206"/>
    <mergeCell ref="D1211:G1211"/>
    <mergeCell ref="I1205:K1205"/>
    <mergeCell ref="J1206:K1206"/>
    <mergeCell ref="I1211:L1211"/>
    <mergeCell ref="D1169:F1169"/>
    <mergeCell ref="E1170:F1170"/>
    <mergeCell ref="D1175:G1175"/>
    <mergeCell ref="I1169:K1169"/>
    <mergeCell ref="J1170:K1170"/>
    <mergeCell ref="I1175:L1175"/>
    <mergeCell ref="D1181:F1181"/>
    <mergeCell ref="E1182:F1182"/>
    <mergeCell ref="D1187:G1187"/>
    <mergeCell ref="I1181:K1181"/>
    <mergeCell ref="J1182:K1182"/>
    <mergeCell ref="I1187:L1187"/>
    <mergeCell ref="D1145:F1145"/>
    <mergeCell ref="E1146:F1146"/>
    <mergeCell ref="D1151:G1151"/>
    <mergeCell ref="I1145:K1145"/>
    <mergeCell ref="J1146:K1146"/>
    <mergeCell ref="I1151:L1151"/>
    <mergeCell ref="D1157:F1157"/>
    <mergeCell ref="E1158:F1158"/>
    <mergeCell ref="D1163:G1163"/>
    <mergeCell ref="I1157:K1157"/>
    <mergeCell ref="J1158:K1158"/>
    <mergeCell ref="I1163:L1163"/>
    <mergeCell ref="D1121:F1121"/>
    <mergeCell ref="E1122:F1122"/>
    <mergeCell ref="D1127:G1127"/>
    <mergeCell ref="I1121:K1121"/>
    <mergeCell ref="J1122:K1122"/>
    <mergeCell ref="I1127:L1127"/>
    <mergeCell ref="D1133:F1133"/>
    <mergeCell ref="E1134:F1134"/>
    <mergeCell ref="D1139:G1139"/>
    <mergeCell ref="I1133:K1133"/>
    <mergeCell ref="J1134:K1134"/>
    <mergeCell ref="I1139:L1139"/>
    <mergeCell ref="D1097:F1097"/>
    <mergeCell ref="E1098:F1098"/>
    <mergeCell ref="D1103:G1103"/>
    <mergeCell ref="I1097:K1097"/>
    <mergeCell ref="J1098:K1098"/>
    <mergeCell ref="I1103:L1103"/>
    <mergeCell ref="D1109:F1109"/>
    <mergeCell ref="E1110:F1110"/>
    <mergeCell ref="D1115:G1115"/>
    <mergeCell ref="I1109:K1109"/>
    <mergeCell ref="J1110:K1110"/>
    <mergeCell ref="I1115:L1115"/>
    <mergeCell ref="D1073:F1073"/>
    <mergeCell ref="E1074:F1074"/>
    <mergeCell ref="D1079:G1079"/>
    <mergeCell ref="I1073:K1073"/>
    <mergeCell ref="J1074:K1074"/>
    <mergeCell ref="I1079:L1079"/>
    <mergeCell ref="D1085:F1085"/>
    <mergeCell ref="E1086:F1086"/>
    <mergeCell ref="D1091:G1091"/>
    <mergeCell ref="I1085:K1085"/>
    <mergeCell ref="J1086:K1086"/>
    <mergeCell ref="I1091:L1091"/>
    <mergeCell ref="D1049:F1049"/>
    <mergeCell ref="E1050:F1050"/>
    <mergeCell ref="D1055:G1055"/>
    <mergeCell ref="I1049:K1049"/>
    <mergeCell ref="J1050:K1050"/>
    <mergeCell ref="I1055:L1055"/>
    <mergeCell ref="D1061:F1061"/>
    <mergeCell ref="E1062:F1062"/>
    <mergeCell ref="D1067:G1067"/>
    <mergeCell ref="I1061:K1061"/>
    <mergeCell ref="J1062:K1062"/>
    <mergeCell ref="I1067:L1067"/>
    <mergeCell ref="D1025:F1025"/>
    <mergeCell ref="E1026:F1026"/>
    <mergeCell ref="D1031:G1031"/>
    <mergeCell ref="I1025:K1025"/>
    <mergeCell ref="J1026:K1026"/>
    <mergeCell ref="I1031:L1031"/>
    <mergeCell ref="D1037:F1037"/>
    <mergeCell ref="E1038:F1038"/>
    <mergeCell ref="D1043:G1043"/>
    <mergeCell ref="I1037:K1037"/>
    <mergeCell ref="J1038:K1038"/>
    <mergeCell ref="I1043:L1043"/>
    <mergeCell ref="D1001:F1001"/>
    <mergeCell ref="E1002:F1002"/>
    <mergeCell ref="D1007:G1007"/>
    <mergeCell ref="I1001:K1001"/>
    <mergeCell ref="J1002:K1002"/>
    <mergeCell ref="I1007:L1007"/>
    <mergeCell ref="D1013:F1013"/>
    <mergeCell ref="E1014:F1014"/>
    <mergeCell ref="D1019:G1019"/>
    <mergeCell ref="I1013:K1013"/>
    <mergeCell ref="J1014:K1014"/>
    <mergeCell ref="I1019:L1019"/>
    <mergeCell ref="D977:F977"/>
    <mergeCell ref="E978:F978"/>
    <mergeCell ref="D983:G983"/>
    <mergeCell ref="I977:K977"/>
    <mergeCell ref="J978:K978"/>
    <mergeCell ref="I983:L983"/>
    <mergeCell ref="D989:F989"/>
    <mergeCell ref="E990:F990"/>
    <mergeCell ref="D995:G995"/>
    <mergeCell ref="I989:K989"/>
    <mergeCell ref="J990:K990"/>
    <mergeCell ref="I995:L995"/>
    <mergeCell ref="D953:F953"/>
    <mergeCell ref="E954:F954"/>
    <mergeCell ref="D959:G959"/>
    <mergeCell ref="I953:K953"/>
    <mergeCell ref="J954:K954"/>
    <mergeCell ref="I959:L959"/>
    <mergeCell ref="D965:F965"/>
    <mergeCell ref="E966:F966"/>
    <mergeCell ref="D971:G971"/>
    <mergeCell ref="I965:K965"/>
    <mergeCell ref="J966:K966"/>
    <mergeCell ref="I971:L971"/>
    <mergeCell ref="D929:F929"/>
    <mergeCell ref="E930:F930"/>
    <mergeCell ref="D935:G935"/>
    <mergeCell ref="I929:K929"/>
    <mergeCell ref="J930:K930"/>
    <mergeCell ref="I935:L935"/>
    <mergeCell ref="D941:F941"/>
    <mergeCell ref="E942:F942"/>
    <mergeCell ref="D947:G947"/>
    <mergeCell ref="I941:K941"/>
    <mergeCell ref="J942:K942"/>
    <mergeCell ref="I947:L947"/>
    <mergeCell ref="D905:F905"/>
    <mergeCell ref="E906:F906"/>
    <mergeCell ref="D911:G911"/>
    <mergeCell ref="I905:K905"/>
    <mergeCell ref="J906:K906"/>
    <mergeCell ref="I911:L911"/>
    <mergeCell ref="D917:F917"/>
    <mergeCell ref="E918:F918"/>
    <mergeCell ref="D923:G923"/>
    <mergeCell ref="I917:K917"/>
    <mergeCell ref="J918:K918"/>
    <mergeCell ref="I923:L923"/>
    <mergeCell ref="D881:F881"/>
    <mergeCell ref="E882:F882"/>
    <mergeCell ref="D887:G887"/>
    <mergeCell ref="I881:K881"/>
    <mergeCell ref="J882:K882"/>
    <mergeCell ref="I887:L887"/>
    <mergeCell ref="D893:F893"/>
    <mergeCell ref="E894:F894"/>
    <mergeCell ref="D899:G899"/>
    <mergeCell ref="I893:K893"/>
    <mergeCell ref="J894:K894"/>
    <mergeCell ref="I899:L899"/>
    <mergeCell ref="D857:F857"/>
    <mergeCell ref="E858:F858"/>
    <mergeCell ref="D863:G863"/>
    <mergeCell ref="I857:K857"/>
    <mergeCell ref="J858:K858"/>
    <mergeCell ref="I863:L863"/>
    <mergeCell ref="D869:F869"/>
    <mergeCell ref="E870:F870"/>
    <mergeCell ref="D875:G875"/>
    <mergeCell ref="I869:K869"/>
    <mergeCell ref="J870:K870"/>
    <mergeCell ref="I875:L875"/>
    <mergeCell ref="D833:F833"/>
    <mergeCell ref="E834:F834"/>
    <mergeCell ref="D839:G839"/>
    <mergeCell ref="I833:K833"/>
    <mergeCell ref="J834:K834"/>
    <mergeCell ref="I839:L839"/>
    <mergeCell ref="D845:F845"/>
    <mergeCell ref="E846:F846"/>
    <mergeCell ref="D851:G851"/>
    <mergeCell ref="I845:K845"/>
    <mergeCell ref="J846:K846"/>
    <mergeCell ref="I851:L851"/>
    <mergeCell ref="D809:F809"/>
    <mergeCell ref="E810:F810"/>
    <mergeCell ref="D815:G815"/>
    <mergeCell ref="I809:K809"/>
    <mergeCell ref="J810:K810"/>
    <mergeCell ref="I815:L815"/>
    <mergeCell ref="D821:F821"/>
    <mergeCell ref="E822:F822"/>
    <mergeCell ref="D827:G827"/>
    <mergeCell ref="I821:K821"/>
    <mergeCell ref="J822:K822"/>
    <mergeCell ref="I827:L827"/>
    <mergeCell ref="D785:F785"/>
    <mergeCell ref="E786:F786"/>
    <mergeCell ref="D791:G791"/>
    <mergeCell ref="I785:K785"/>
    <mergeCell ref="J786:K786"/>
    <mergeCell ref="I791:L791"/>
    <mergeCell ref="D797:F797"/>
    <mergeCell ref="E798:F798"/>
    <mergeCell ref="D803:G803"/>
    <mergeCell ref="I797:K797"/>
    <mergeCell ref="J798:K798"/>
    <mergeCell ref="I803:L803"/>
    <mergeCell ref="D761:F761"/>
    <mergeCell ref="E762:F762"/>
    <mergeCell ref="D767:G767"/>
    <mergeCell ref="I761:K761"/>
    <mergeCell ref="J762:K762"/>
    <mergeCell ref="I767:L767"/>
    <mergeCell ref="D773:F773"/>
    <mergeCell ref="E774:F774"/>
    <mergeCell ref="D779:G779"/>
    <mergeCell ref="I773:K773"/>
    <mergeCell ref="J774:K774"/>
    <mergeCell ref="I779:L779"/>
    <mergeCell ref="D737:F737"/>
    <mergeCell ref="E738:F738"/>
    <mergeCell ref="D743:G743"/>
    <mergeCell ref="I737:K737"/>
    <mergeCell ref="J738:K738"/>
    <mergeCell ref="I743:L743"/>
    <mergeCell ref="D749:F749"/>
    <mergeCell ref="E750:F750"/>
    <mergeCell ref="D755:G755"/>
    <mergeCell ref="I749:K749"/>
    <mergeCell ref="J750:K750"/>
    <mergeCell ref="I755:L755"/>
    <mergeCell ref="D713:F713"/>
    <mergeCell ref="E714:F714"/>
    <mergeCell ref="D719:G719"/>
    <mergeCell ref="I713:K713"/>
    <mergeCell ref="J714:K714"/>
    <mergeCell ref="I719:L719"/>
    <mergeCell ref="D725:F725"/>
    <mergeCell ref="E726:F726"/>
    <mergeCell ref="D731:G731"/>
    <mergeCell ref="I725:K725"/>
    <mergeCell ref="J726:K726"/>
    <mergeCell ref="I731:L731"/>
    <mergeCell ref="D689:F689"/>
    <mergeCell ref="E690:F690"/>
    <mergeCell ref="D695:G695"/>
    <mergeCell ref="I689:K689"/>
    <mergeCell ref="J690:K690"/>
    <mergeCell ref="I695:L695"/>
    <mergeCell ref="D701:F701"/>
    <mergeCell ref="E702:F702"/>
    <mergeCell ref="D707:G707"/>
    <mergeCell ref="I701:K701"/>
    <mergeCell ref="J702:K702"/>
    <mergeCell ref="I707:L707"/>
    <mergeCell ref="D665:F665"/>
    <mergeCell ref="E666:F666"/>
    <mergeCell ref="D671:G671"/>
    <mergeCell ref="I665:K665"/>
    <mergeCell ref="J666:K666"/>
    <mergeCell ref="I671:L671"/>
    <mergeCell ref="D677:F677"/>
    <mergeCell ref="E678:F678"/>
    <mergeCell ref="D683:G683"/>
    <mergeCell ref="I677:K677"/>
    <mergeCell ref="J678:K678"/>
    <mergeCell ref="I683:L683"/>
    <mergeCell ref="D641:F641"/>
    <mergeCell ref="E642:F642"/>
    <mergeCell ref="D647:G647"/>
    <mergeCell ref="I641:K641"/>
    <mergeCell ref="J642:K642"/>
    <mergeCell ref="I647:L647"/>
    <mergeCell ref="D653:F653"/>
    <mergeCell ref="E654:F654"/>
    <mergeCell ref="D659:G659"/>
    <mergeCell ref="I653:K653"/>
    <mergeCell ref="J654:K654"/>
    <mergeCell ref="I659:L659"/>
    <mergeCell ref="D617:F617"/>
    <mergeCell ref="E618:F618"/>
    <mergeCell ref="D623:G623"/>
    <mergeCell ref="I617:K617"/>
    <mergeCell ref="J618:K618"/>
    <mergeCell ref="I623:L623"/>
    <mergeCell ref="D629:F629"/>
    <mergeCell ref="E630:F630"/>
    <mergeCell ref="D635:G635"/>
    <mergeCell ref="I629:K629"/>
    <mergeCell ref="J630:K630"/>
    <mergeCell ref="I635:L635"/>
    <mergeCell ref="D593:F593"/>
    <mergeCell ref="E594:F594"/>
    <mergeCell ref="D599:G599"/>
    <mergeCell ref="I593:K593"/>
    <mergeCell ref="J594:K594"/>
    <mergeCell ref="I599:L599"/>
    <mergeCell ref="D605:F605"/>
    <mergeCell ref="E606:F606"/>
    <mergeCell ref="D611:G611"/>
    <mergeCell ref="I605:K605"/>
    <mergeCell ref="J606:K606"/>
    <mergeCell ref="I611:L611"/>
    <mergeCell ref="D569:F569"/>
    <mergeCell ref="E570:F570"/>
    <mergeCell ref="D575:G575"/>
    <mergeCell ref="I569:K569"/>
    <mergeCell ref="J570:K570"/>
    <mergeCell ref="I575:L575"/>
    <mergeCell ref="D581:F581"/>
    <mergeCell ref="E582:F582"/>
    <mergeCell ref="D587:G587"/>
    <mergeCell ref="I581:K581"/>
    <mergeCell ref="J582:K582"/>
    <mergeCell ref="I587:L587"/>
    <mergeCell ref="D545:F545"/>
    <mergeCell ref="E546:F546"/>
    <mergeCell ref="D551:G551"/>
    <mergeCell ref="I545:K545"/>
    <mergeCell ref="J546:K546"/>
    <mergeCell ref="I551:L551"/>
    <mergeCell ref="D557:F557"/>
    <mergeCell ref="E558:F558"/>
    <mergeCell ref="D563:G563"/>
    <mergeCell ref="I557:K557"/>
    <mergeCell ref="J558:K558"/>
    <mergeCell ref="I563:L563"/>
    <mergeCell ref="D521:F521"/>
    <mergeCell ref="E522:F522"/>
    <mergeCell ref="D527:G527"/>
    <mergeCell ref="I521:K521"/>
    <mergeCell ref="J522:K522"/>
    <mergeCell ref="I527:L527"/>
    <mergeCell ref="D533:F533"/>
    <mergeCell ref="E534:F534"/>
    <mergeCell ref="D539:G539"/>
    <mergeCell ref="I533:K533"/>
    <mergeCell ref="J534:K534"/>
    <mergeCell ref="I539:L539"/>
    <mergeCell ref="D497:F497"/>
    <mergeCell ref="E498:F498"/>
    <mergeCell ref="D503:G503"/>
    <mergeCell ref="I497:K497"/>
    <mergeCell ref="J498:K498"/>
    <mergeCell ref="I503:L503"/>
    <mergeCell ref="D509:F509"/>
    <mergeCell ref="E510:F510"/>
    <mergeCell ref="D515:G515"/>
    <mergeCell ref="I509:K509"/>
    <mergeCell ref="J510:K510"/>
    <mergeCell ref="I515:L515"/>
    <mergeCell ref="D473:F473"/>
    <mergeCell ref="E474:F474"/>
    <mergeCell ref="D479:G479"/>
    <mergeCell ref="I473:K473"/>
    <mergeCell ref="J474:K474"/>
    <mergeCell ref="I479:L479"/>
    <mergeCell ref="D485:F485"/>
    <mergeCell ref="E486:F486"/>
    <mergeCell ref="D491:G491"/>
    <mergeCell ref="I485:K485"/>
    <mergeCell ref="J486:K486"/>
    <mergeCell ref="I491:L491"/>
    <mergeCell ref="D449:F449"/>
    <mergeCell ref="E450:F450"/>
    <mergeCell ref="D455:G455"/>
    <mergeCell ref="I449:K449"/>
    <mergeCell ref="J450:K450"/>
    <mergeCell ref="I455:L455"/>
    <mergeCell ref="D461:F461"/>
    <mergeCell ref="E462:F462"/>
    <mergeCell ref="D467:G467"/>
    <mergeCell ref="I461:K461"/>
    <mergeCell ref="J462:K462"/>
    <mergeCell ref="I467:L467"/>
    <mergeCell ref="D425:F425"/>
    <mergeCell ref="E426:F426"/>
    <mergeCell ref="D431:G431"/>
    <mergeCell ref="I425:K425"/>
    <mergeCell ref="J426:K426"/>
    <mergeCell ref="I431:L431"/>
    <mergeCell ref="D437:F437"/>
    <mergeCell ref="E438:F438"/>
    <mergeCell ref="D443:G443"/>
    <mergeCell ref="I437:K437"/>
    <mergeCell ref="J438:K438"/>
    <mergeCell ref="I443:L443"/>
    <mergeCell ref="D401:F401"/>
    <mergeCell ref="E402:F402"/>
    <mergeCell ref="D407:G407"/>
    <mergeCell ref="I401:K401"/>
    <mergeCell ref="J402:K402"/>
    <mergeCell ref="I407:L407"/>
    <mergeCell ref="D413:F413"/>
    <mergeCell ref="E414:F414"/>
    <mergeCell ref="D419:G419"/>
    <mergeCell ref="I413:K413"/>
    <mergeCell ref="J414:K414"/>
    <mergeCell ref="I419:L419"/>
    <mergeCell ref="D377:F377"/>
    <mergeCell ref="E378:F378"/>
    <mergeCell ref="D383:G383"/>
    <mergeCell ref="I377:K377"/>
    <mergeCell ref="J378:K378"/>
    <mergeCell ref="I383:L383"/>
    <mergeCell ref="D389:F389"/>
    <mergeCell ref="E390:F390"/>
    <mergeCell ref="D395:G395"/>
    <mergeCell ref="I389:K389"/>
    <mergeCell ref="J390:K390"/>
    <mergeCell ref="I395:L395"/>
    <mergeCell ref="D353:F353"/>
    <mergeCell ref="E354:F354"/>
    <mergeCell ref="D359:G359"/>
    <mergeCell ref="I353:K353"/>
    <mergeCell ref="J354:K354"/>
    <mergeCell ref="I359:L359"/>
    <mergeCell ref="D365:F365"/>
    <mergeCell ref="E366:F366"/>
    <mergeCell ref="D371:G371"/>
    <mergeCell ref="I365:K365"/>
    <mergeCell ref="J366:K366"/>
    <mergeCell ref="I371:L371"/>
    <mergeCell ref="D329:F329"/>
    <mergeCell ref="E330:F330"/>
    <mergeCell ref="D335:G335"/>
    <mergeCell ref="I329:K329"/>
    <mergeCell ref="J330:K330"/>
    <mergeCell ref="I335:L335"/>
    <mergeCell ref="D341:F341"/>
    <mergeCell ref="E342:F342"/>
    <mergeCell ref="D347:G347"/>
    <mergeCell ref="I341:K341"/>
    <mergeCell ref="J342:K342"/>
    <mergeCell ref="I347:L347"/>
    <mergeCell ref="D305:F305"/>
    <mergeCell ref="E306:F306"/>
    <mergeCell ref="D311:G311"/>
    <mergeCell ref="I305:K305"/>
    <mergeCell ref="J306:K306"/>
    <mergeCell ref="I311:L311"/>
    <mergeCell ref="D317:F317"/>
    <mergeCell ref="E318:F318"/>
    <mergeCell ref="D323:G323"/>
    <mergeCell ref="I317:K317"/>
    <mergeCell ref="J318:K318"/>
    <mergeCell ref="I323:L323"/>
    <mergeCell ref="D281:F281"/>
    <mergeCell ref="E282:F282"/>
    <mergeCell ref="D287:G287"/>
    <mergeCell ref="I281:K281"/>
    <mergeCell ref="J282:K282"/>
    <mergeCell ref="I287:L287"/>
    <mergeCell ref="D293:F293"/>
    <mergeCell ref="E294:F294"/>
    <mergeCell ref="D299:G299"/>
    <mergeCell ref="I293:K293"/>
    <mergeCell ref="J294:K294"/>
    <mergeCell ref="I299:L299"/>
    <mergeCell ref="D257:F257"/>
    <mergeCell ref="E258:F258"/>
    <mergeCell ref="D263:G263"/>
    <mergeCell ref="I257:K257"/>
    <mergeCell ref="J258:K258"/>
    <mergeCell ref="I263:L263"/>
    <mergeCell ref="D269:F269"/>
    <mergeCell ref="E270:F270"/>
    <mergeCell ref="D275:G275"/>
    <mergeCell ref="I269:K269"/>
    <mergeCell ref="J270:K270"/>
    <mergeCell ref="I275:L275"/>
    <mergeCell ref="D233:F233"/>
    <mergeCell ref="E234:F234"/>
    <mergeCell ref="D239:G239"/>
    <mergeCell ref="I233:K233"/>
    <mergeCell ref="J234:K234"/>
    <mergeCell ref="I239:L239"/>
    <mergeCell ref="D245:F245"/>
    <mergeCell ref="E246:F246"/>
    <mergeCell ref="D251:G251"/>
    <mergeCell ref="I245:K245"/>
    <mergeCell ref="J246:K246"/>
    <mergeCell ref="I251:L251"/>
    <mergeCell ref="D209:F209"/>
    <mergeCell ref="E210:F210"/>
    <mergeCell ref="D215:G215"/>
    <mergeCell ref="I209:K209"/>
    <mergeCell ref="J210:K210"/>
    <mergeCell ref="I215:L215"/>
    <mergeCell ref="D221:F221"/>
    <mergeCell ref="E222:F222"/>
    <mergeCell ref="D227:G227"/>
    <mergeCell ref="I221:K221"/>
    <mergeCell ref="J222:K222"/>
    <mergeCell ref="I227:L227"/>
    <mergeCell ref="D185:F185"/>
    <mergeCell ref="E186:F186"/>
    <mergeCell ref="D191:G191"/>
    <mergeCell ref="I185:K185"/>
    <mergeCell ref="J186:K186"/>
    <mergeCell ref="I191:L191"/>
    <mergeCell ref="D197:F197"/>
    <mergeCell ref="E198:F198"/>
    <mergeCell ref="D203:G203"/>
    <mergeCell ref="I197:K197"/>
    <mergeCell ref="J198:K198"/>
    <mergeCell ref="I203:L203"/>
    <mergeCell ref="D161:F161"/>
    <mergeCell ref="E162:F162"/>
    <mergeCell ref="D167:G167"/>
    <mergeCell ref="I161:K161"/>
    <mergeCell ref="J162:K162"/>
    <mergeCell ref="I167:L167"/>
    <mergeCell ref="D173:F173"/>
    <mergeCell ref="E174:F174"/>
    <mergeCell ref="D179:G179"/>
    <mergeCell ref="I173:K173"/>
    <mergeCell ref="J174:K174"/>
    <mergeCell ref="I179:L179"/>
    <mergeCell ref="G41:J41"/>
    <mergeCell ref="K41:N41"/>
    <mergeCell ref="D147:G147"/>
    <mergeCell ref="I147:L147"/>
    <mergeCell ref="D149:F149"/>
    <mergeCell ref="E150:F150"/>
    <mergeCell ref="D155:G155"/>
    <mergeCell ref="I149:K149"/>
    <mergeCell ref="J150:K150"/>
    <mergeCell ref="I155:L155"/>
    <mergeCell ref="C35:F35"/>
    <mergeCell ref="C36:F36"/>
    <mergeCell ref="C37:F37"/>
    <mergeCell ref="G24:J24"/>
    <mergeCell ref="G25:J25"/>
    <mergeCell ref="G26:J26"/>
    <mergeCell ref="G27:J27"/>
    <mergeCell ref="G28:J28"/>
    <mergeCell ref="G29:J29"/>
    <mergeCell ref="G30:J30"/>
    <mergeCell ref="G31:J31"/>
    <mergeCell ref="G32:J32"/>
    <mergeCell ref="G33:J33"/>
    <mergeCell ref="G34:J34"/>
    <mergeCell ref="G35:J35"/>
    <mergeCell ref="G36:J36"/>
    <mergeCell ref="G37:J37"/>
    <mergeCell ref="C26:F26"/>
    <mergeCell ref="C27:F27"/>
    <mergeCell ref="C28:F28"/>
    <mergeCell ref="C29:F29"/>
    <mergeCell ref="C30:F30"/>
    <mergeCell ref="C31:F31"/>
    <mergeCell ref="C32:F32"/>
    <mergeCell ref="C33:F33"/>
    <mergeCell ref="C34:F34"/>
    <mergeCell ref="C18:AW18"/>
    <mergeCell ref="C19:D19"/>
    <mergeCell ref="C20:D20"/>
    <mergeCell ref="C21:D21"/>
    <mergeCell ref="E19:AW19"/>
    <mergeCell ref="E21:AW21"/>
    <mergeCell ref="C23:J23"/>
    <mergeCell ref="C24:F24"/>
    <mergeCell ref="C25:F25"/>
    <mergeCell ref="C12:K12"/>
    <mergeCell ref="C13:F13"/>
    <mergeCell ref="C14:F14"/>
    <mergeCell ref="C15:F15"/>
    <mergeCell ref="C16:F16"/>
    <mergeCell ref="G13:K13"/>
    <mergeCell ref="G14:K14"/>
    <mergeCell ref="G15:K15"/>
    <mergeCell ref="G16:K16"/>
  </mergeCells>
  <hyperlinks>
    <hyperlink ref="C126" location="B43:B43" tooltip="605" display="Net 1"/>
    <hyperlink ref="C79" location="B44:B44" tooltip="605" display="Net 2"/>
    <hyperlink ref="C81" location="B45:B45" tooltip="605" display="Net 3"/>
    <hyperlink ref="C141" location="B46:B46" tooltip="605" display="Net 4"/>
    <hyperlink ref="C60" location="B47:B47" tooltip="605" display="Net 5"/>
    <hyperlink ref="C47" location="B48:B48" tooltip="605" display="Net 6"/>
    <hyperlink ref="C57" location="B49:B49" tooltip="605" display="Net 7"/>
    <hyperlink ref="C46" location="B50:B50" tooltip="605" display="Net 8"/>
    <hyperlink ref="C55" location="B51:B51" tooltip="605" display="Net 9"/>
    <hyperlink ref="C83" location="B52:B52" tooltip="605" display="Net 10"/>
    <hyperlink ref="C59" location="B53:B53" tooltip="605" display="Net 11"/>
    <hyperlink ref="C45" location="B54:B54" tooltip="605" display="Net 12"/>
    <hyperlink ref="C43" location="B55:B55" tooltip="605" display="Net 13"/>
    <hyperlink ref="C54" location="B56:B56" tooltip="605" display="Net 14"/>
    <hyperlink ref="C72" location="B57:B57" tooltip="605" display="Net 15"/>
    <hyperlink ref="C74" location="B58:B58" tooltip="605" display="Net 16"/>
    <hyperlink ref="C58" location="B59:B59" tooltip="605" display="Net 17"/>
    <hyperlink ref="C62" location="B60:B60" tooltip="605" display="Net 18"/>
    <hyperlink ref="C44" location="B61:B61" tooltip="605" display="Net 19"/>
    <hyperlink ref="C65" location="B62:B62" tooltip="605" display="Net 20"/>
    <hyperlink ref="C82" location="B63:B63" tooltip="605" display="Net 21"/>
    <hyperlink ref="C52" location="B64:B64" tooltip="605" display="Net 22"/>
    <hyperlink ref="C56" location="B65:B65" tooltip="605" display="Net 23"/>
    <hyperlink ref="C66" location="B66:B66" tooltip="605" display="Net 24"/>
    <hyperlink ref="C51" location="B67:B67" tooltip="605" display="Net 25"/>
    <hyperlink ref="C48" location="B68:B68" tooltip="605" display="Net 26"/>
    <hyperlink ref="C87" location="B69:B69" tooltip="605" display="Net 27"/>
    <hyperlink ref="C53" location="B70:B70" tooltip="605" display="Net 28"/>
    <hyperlink ref="C67" location="B71:B71" tooltip="605" display="Net 29"/>
    <hyperlink ref="C88" location="B72:B72" tooltip="605" display="Net 30"/>
    <hyperlink ref="C50" location="B73:B73" tooltip="605" display="Net 31"/>
    <hyperlink ref="C132" location="B74:B74" tooltip="605" display="Net 32"/>
    <hyperlink ref="C86" location="B75:B75" tooltip="605" display="Net 33"/>
    <hyperlink ref="C122" location="B76:B76" tooltip="605" display="Net 34"/>
    <hyperlink ref="C134" location="B77:B77" tooltip="605" display="Net 35"/>
    <hyperlink ref="C123" location="B78:B78" tooltip="605" display="Net 36"/>
    <hyperlink ref="C96" location="B79:B79" tooltip="605" display="Net 37"/>
    <hyperlink ref="C130" location="B80:B80" tooltip="605" display="Net 38"/>
    <hyperlink ref="C93" location="B81:B81" tooltip="605" display="Net 39"/>
    <hyperlink ref="C121" location="B82:B82" tooltip="605" display="Net 40"/>
    <hyperlink ref="C114" location="B83:B83" tooltip="605" display="Net 41"/>
    <hyperlink ref="C103" location="B84:B84" tooltip="605" display="Net 42"/>
    <hyperlink ref="C104" location="B85:B85" tooltip="605" display="Net 43"/>
    <hyperlink ref="C127" location="B86:B86" tooltip="605" display="Net 44"/>
    <hyperlink ref="C94" location="B87:B87" tooltip="605" display="Net 45"/>
    <hyperlink ref="C115" location="B88:B88" tooltip="605" display="Net 46"/>
    <hyperlink ref="C95" location="B89:B89" tooltip="605" display="Net 47"/>
    <hyperlink ref="C131" location="B90:B90" tooltip="605" display="Net 48"/>
    <hyperlink ref="C128" location="B91:B91" tooltip="605" display="Net 49"/>
    <hyperlink ref="C120" location="B92:B92" tooltip="605" display="Net 50"/>
    <hyperlink ref="C135" location="B93:B93" tooltip="605" display="Net 51"/>
    <hyperlink ref="C140" location="B94:B94" tooltip="605" display="Net 52"/>
    <hyperlink ref="C113" location="B95:B95" tooltip="605" display="Net 53"/>
    <hyperlink ref="C108" location="B96:B96" tooltip="605" display="Net 54"/>
    <hyperlink ref="C106" location="B97:B97" tooltip="605" display="Net 55"/>
    <hyperlink ref="C71" location="B98:B98" tooltip="605" display="Net 56"/>
    <hyperlink ref="C112" location="B99:B99" tooltip="605" display="Net 57"/>
    <hyperlink ref="C77" location="B100:B100" tooltip="605" display="Net 58"/>
    <hyperlink ref="C110" location="B101:B101" tooltip="605" display="Net 59"/>
    <hyperlink ref="C90" location="B102:B102" tooltip="605" display="Net 60"/>
    <hyperlink ref="C116" location="B103:B103" tooltip="605" display="Net 61"/>
    <hyperlink ref="C89" location="B104:B104" tooltip="605" display="Net 62"/>
    <hyperlink ref="C101" location="B105:B105" tooltip="605" display="Net 63"/>
    <hyperlink ref="C107" location="B106:B106" tooltip="605" display="Net 64"/>
    <hyperlink ref="C111" location="B107:B107" tooltip="605" display="Net 65"/>
    <hyperlink ref="C75" location="B108:B108" tooltip="605" display="Net 66"/>
    <hyperlink ref="C124" location="B109:B109" tooltip="605" display="Net 67"/>
    <hyperlink ref="C97" location="B110:B110" tooltip="605" display="Net 68"/>
    <hyperlink ref="C63" location="B111:B111" tooltip="605" display="Net 69"/>
    <hyperlink ref="C109" location="B112:B112" tooltip="605" display="Net 70"/>
    <hyperlink ref="C64" location="B113:B113" tooltip="605" display="Net 71"/>
    <hyperlink ref="C73" location="B114:B114" tooltip="605" display="Net 72"/>
    <hyperlink ref="C80" location="B115:B115" tooltip="605" display="Net 73"/>
    <hyperlink ref="C100" location="B116:B116" tooltip="605" display="Net 74"/>
    <hyperlink ref="C84" location="B117:B117" tooltip="605" display="Net 75"/>
    <hyperlink ref="C78" location="B118:B118" tooltip="605" display="Net 76"/>
    <hyperlink ref="C118" location="B119:B119" tooltip="605" display="Net 77"/>
    <hyperlink ref="C85" location="B120:B120" tooltip="605" display="Net 78"/>
    <hyperlink ref="C117" location="B121:B121" tooltip="605" display="Net 79"/>
    <hyperlink ref="C92" location="B122:B122" tooltip="605" display="Net 80"/>
    <hyperlink ref="C61" location="B123:B123" tooltip="605" display="Net 81"/>
    <hyperlink ref="C69" location="B124:B124" tooltip="605" display="Net 82"/>
    <hyperlink ref="C102" location="B125:B125" tooltip="605" display="Net 83"/>
    <hyperlink ref="C138" location="B126:B126" tooltip="605" display="Net 84"/>
    <hyperlink ref="C125" location="B127:B127" tooltip="605" display="Net 85"/>
    <hyperlink ref="C133" location="B128:B128" tooltip="605" display="Net 86"/>
    <hyperlink ref="C119" location="B129:B129" tooltip="605" display="Net 87"/>
    <hyperlink ref="C142" location="B130:B130" tooltip="605" display="Net 88"/>
    <hyperlink ref="C68" location="B131:B131" tooltip="605" display="Net 89"/>
    <hyperlink ref="C99" location="B132:B132" tooltip="605" display="Net 90"/>
    <hyperlink ref="C137" location="B133:B133" tooltip="605" display="Net 91"/>
    <hyperlink ref="C139" location="B134:B134" tooltip="605" display="Net 92"/>
    <hyperlink ref="C76" location="B135:B135" tooltip="605" display="Net 93"/>
    <hyperlink ref="C129" location="B136:B136" tooltip="605" display="Net 94"/>
    <hyperlink ref="C105" location="B137:B137" tooltip="605" display="Net 95"/>
    <hyperlink ref="C136" location="B138:B138" tooltip="605" display="Net 96"/>
    <hyperlink ref="C70" location="B139:B139" tooltip="605" display="Net 97"/>
    <hyperlink ref="C91" location="B140:B140" tooltip="605" display="Net 98"/>
    <hyperlink ref="C49" location="B141:B141" tooltip="605" display="Net 99"/>
    <hyperlink ref="C98" location="B142:B142" tooltip="605" display="Net 100"/>
    <hyperlink ref="B4" location="'NNCAuto_Output'!$B$10:$B$10" display="Inputs"/>
    <hyperlink ref="D4" location="'NNCAuto_Output'!$B$39:$B$39" display="Error Report"/>
    <hyperlink ref="F4" location="'NNCAuto_Output'!$B$145:$B$145" display="Classification Summary"/>
  </hyperlink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W1347"/>
  <sheetViews>
    <sheetView showGridLines="0" topLeftCell="A31" workbookViewId="0">
      <selection activeCell="L43" sqref="L43"/>
    </sheetView>
  </sheetViews>
  <sheetFormatPr defaultRowHeight="13.2" x14ac:dyDescent="0.25"/>
  <cols>
    <col min="3" max="3" width="8.21875" customWidth="1"/>
    <col min="4" max="4" width="10.33203125" customWidth="1"/>
    <col min="5" max="6" width="8.5546875" customWidth="1"/>
    <col min="7" max="7" width="12.44140625" customWidth="1"/>
    <col min="8" max="8" width="13.21875" customWidth="1"/>
    <col min="9" max="9" width="16.5546875" customWidth="1"/>
    <col min="10" max="10" width="16.44140625" customWidth="1"/>
    <col min="11" max="11" width="12.5546875" customWidth="1"/>
    <col min="12" max="12" width="13.33203125" customWidth="1"/>
    <col min="13" max="13" width="16.6640625" customWidth="1"/>
    <col min="14" max="14" width="16.5546875" customWidth="1"/>
  </cols>
  <sheetData>
    <row r="1" spans="2:14" ht="18" x14ac:dyDescent="0.35">
      <c r="B1" s="23" t="s">
        <v>180</v>
      </c>
      <c r="N1" t="s">
        <v>181</v>
      </c>
    </row>
    <row r="3" spans="2:14" ht="15.6" x14ac:dyDescent="0.3">
      <c r="B3" s="59" t="s">
        <v>136</v>
      </c>
      <c r="C3" s="60"/>
      <c r="D3" s="60"/>
      <c r="E3" s="60"/>
      <c r="F3" s="60"/>
      <c r="G3" s="61"/>
      <c r="J3" s="59" t="s">
        <v>137</v>
      </c>
      <c r="K3" s="60"/>
      <c r="L3" s="60"/>
      <c r="M3" s="61"/>
    </row>
    <row r="4" spans="2:14" ht="13.8" x14ac:dyDescent="0.3">
      <c r="B4" s="65" t="s">
        <v>141</v>
      </c>
      <c r="C4" s="66"/>
      <c r="D4" s="65" t="s">
        <v>210</v>
      </c>
      <c r="E4" s="66"/>
      <c r="F4" s="65" t="s">
        <v>325</v>
      </c>
      <c r="G4" s="66"/>
      <c r="J4" s="26" t="s">
        <v>182</v>
      </c>
      <c r="K4" s="26" t="s">
        <v>183</v>
      </c>
      <c r="L4" s="26" t="s">
        <v>139</v>
      </c>
      <c r="M4" s="26" t="s">
        <v>140</v>
      </c>
    </row>
    <row r="5" spans="2:14" ht="13.8" x14ac:dyDescent="0.3">
      <c r="J5" s="24">
        <v>31</v>
      </c>
      <c r="K5" s="24">
        <v>18918</v>
      </c>
      <c r="L5" s="24">
        <v>110</v>
      </c>
      <c r="M5" s="24">
        <v>19059</v>
      </c>
    </row>
    <row r="10" spans="2:14" ht="18" x14ac:dyDescent="0.35">
      <c r="B10" s="22" t="s">
        <v>141</v>
      </c>
    </row>
    <row r="12" spans="2:14" ht="15.6" x14ac:dyDescent="0.3">
      <c r="C12" s="59" t="s">
        <v>142</v>
      </c>
      <c r="D12" s="60"/>
      <c r="E12" s="60"/>
      <c r="F12" s="60"/>
      <c r="G12" s="60"/>
      <c r="H12" s="60"/>
      <c r="I12" s="60"/>
      <c r="J12" s="60"/>
      <c r="K12" s="61"/>
    </row>
    <row r="13" spans="2:14" ht="13.8" x14ac:dyDescent="0.3">
      <c r="C13" s="62" t="s">
        <v>143</v>
      </c>
      <c r="D13" s="63"/>
      <c r="E13" s="63"/>
      <c r="F13" s="64"/>
      <c r="G13" s="69" t="s">
        <v>144</v>
      </c>
      <c r="H13" s="70"/>
      <c r="I13" s="70"/>
      <c r="J13" s="70"/>
      <c r="K13" s="71"/>
    </row>
    <row r="14" spans="2:14" ht="13.8" x14ac:dyDescent="0.3">
      <c r="C14" s="62" t="s">
        <v>145</v>
      </c>
      <c r="D14" s="63"/>
      <c r="E14" s="63"/>
      <c r="F14" s="64"/>
      <c r="G14" s="69" t="s">
        <v>184</v>
      </c>
      <c r="H14" s="70"/>
      <c r="I14" s="70"/>
      <c r="J14" s="70"/>
      <c r="K14" s="71"/>
    </row>
    <row r="15" spans="2:14" ht="13.8" x14ac:dyDescent="0.3">
      <c r="C15" s="62" t="s">
        <v>185</v>
      </c>
      <c r="D15" s="63"/>
      <c r="E15" s="63"/>
      <c r="F15" s="64"/>
      <c r="G15" s="69">
        <v>500</v>
      </c>
      <c r="H15" s="70"/>
      <c r="I15" s="70"/>
      <c r="J15" s="70"/>
      <c r="K15" s="71"/>
    </row>
    <row r="16" spans="2:14" ht="13.8" x14ac:dyDescent="0.3">
      <c r="C16" s="62" t="s">
        <v>186</v>
      </c>
      <c r="D16" s="63"/>
      <c r="E16" s="63"/>
      <c r="F16" s="64"/>
      <c r="G16" s="69">
        <v>500</v>
      </c>
      <c r="H16" s="70"/>
      <c r="I16" s="70"/>
      <c r="J16" s="70"/>
      <c r="K16" s="71"/>
    </row>
    <row r="18" spans="3:49" ht="15.6" x14ac:dyDescent="0.3">
      <c r="C18" s="59" t="s">
        <v>187</v>
      </c>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1"/>
    </row>
    <row r="19" spans="3:49" ht="13.8" x14ac:dyDescent="0.3">
      <c r="C19" s="62" t="s">
        <v>188</v>
      </c>
      <c r="D19" s="64"/>
      <c r="E19" s="69">
        <v>45</v>
      </c>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1"/>
    </row>
    <row r="20" spans="3:49" ht="13.8" x14ac:dyDescent="0.3">
      <c r="C20" s="62" t="s">
        <v>189</v>
      </c>
      <c r="D20" s="64"/>
      <c r="E20" s="24" t="s">
        <v>0</v>
      </c>
      <c r="F20" s="24" t="s">
        <v>68</v>
      </c>
      <c r="G20" s="24" t="s">
        <v>69</v>
      </c>
      <c r="H20" s="24" t="s">
        <v>70</v>
      </c>
      <c r="I20" s="24" t="s">
        <v>71</v>
      </c>
      <c r="J20" s="24" t="s">
        <v>81</v>
      </c>
      <c r="K20" s="24" t="s">
        <v>72</v>
      </c>
      <c r="L20" s="24" t="s">
        <v>2</v>
      </c>
      <c r="M20" s="24" t="s">
        <v>6</v>
      </c>
      <c r="N20" s="24" t="s">
        <v>74</v>
      </c>
      <c r="O20" s="24" t="s">
        <v>75</v>
      </c>
      <c r="P20" s="24" t="s">
        <v>76</v>
      </c>
      <c r="Q20" s="24" t="s">
        <v>73</v>
      </c>
      <c r="R20" s="24" t="s">
        <v>77</v>
      </c>
      <c r="S20" s="24" t="s">
        <v>78</v>
      </c>
      <c r="T20" s="24" t="s">
        <v>82</v>
      </c>
      <c r="U20" s="24" t="s">
        <v>8</v>
      </c>
      <c r="V20" s="24" t="s">
        <v>79</v>
      </c>
      <c r="W20" s="24" t="s">
        <v>80</v>
      </c>
      <c r="X20" s="24" t="s">
        <v>83</v>
      </c>
      <c r="Y20" s="24" t="s">
        <v>9</v>
      </c>
      <c r="Z20" s="24" t="s">
        <v>11</v>
      </c>
      <c r="AA20" s="24" t="s">
        <v>12</v>
      </c>
      <c r="AB20" s="24" t="s">
        <v>13</v>
      </c>
      <c r="AC20" s="24" t="s">
        <v>152</v>
      </c>
      <c r="AD20" s="24" t="s">
        <v>153</v>
      </c>
      <c r="AE20" s="24" t="s">
        <v>154</v>
      </c>
      <c r="AF20" s="24" t="s">
        <v>156</v>
      </c>
      <c r="AG20" s="24" t="s">
        <v>157</v>
      </c>
      <c r="AH20" s="24" t="s">
        <v>158</v>
      </c>
      <c r="AI20" s="24" t="s">
        <v>159</v>
      </c>
      <c r="AJ20" s="24" t="s">
        <v>161</v>
      </c>
      <c r="AK20" s="24" t="s">
        <v>162</v>
      </c>
      <c r="AL20" s="24" t="s">
        <v>163</v>
      </c>
      <c r="AM20" s="24" t="s">
        <v>164</v>
      </c>
      <c r="AN20" s="24" t="s">
        <v>166</v>
      </c>
      <c r="AO20" s="24" t="s">
        <v>167</v>
      </c>
      <c r="AP20" s="24" t="s">
        <v>168</v>
      </c>
      <c r="AQ20" s="24" t="s">
        <v>169</v>
      </c>
      <c r="AR20" s="24" t="s">
        <v>171</v>
      </c>
      <c r="AS20" s="24" t="s">
        <v>172</v>
      </c>
      <c r="AT20" s="24" t="s">
        <v>173</v>
      </c>
      <c r="AU20" s="24" t="s">
        <v>176</v>
      </c>
      <c r="AV20" s="24" t="s">
        <v>177</v>
      </c>
      <c r="AW20" s="24" t="s">
        <v>178</v>
      </c>
    </row>
    <row r="21" spans="3:49" ht="13.8" x14ac:dyDescent="0.3">
      <c r="C21" s="62" t="s">
        <v>190</v>
      </c>
      <c r="D21" s="64"/>
      <c r="E21" s="67" t="s">
        <v>14</v>
      </c>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6"/>
    </row>
    <row r="23" spans="3:49" ht="15.6" x14ac:dyDescent="0.3">
      <c r="C23" s="59" t="s">
        <v>191</v>
      </c>
      <c r="D23" s="60"/>
      <c r="E23" s="60"/>
      <c r="F23" s="60"/>
      <c r="G23" s="60"/>
      <c r="H23" s="60"/>
      <c r="I23" s="60"/>
      <c r="J23" s="61"/>
    </row>
    <row r="24" spans="3:49" ht="13.8" x14ac:dyDescent="0.3">
      <c r="C24" s="62" t="s">
        <v>192</v>
      </c>
      <c r="D24" s="63"/>
      <c r="E24" s="63"/>
      <c r="F24" s="64"/>
      <c r="G24" s="69" t="s">
        <v>193</v>
      </c>
      <c r="H24" s="70"/>
      <c r="I24" s="70"/>
      <c r="J24" s="71"/>
    </row>
    <row r="25" spans="3:49" ht="13.8" x14ac:dyDescent="0.3">
      <c r="C25" s="62" t="s">
        <v>194</v>
      </c>
      <c r="D25" s="63"/>
      <c r="E25" s="63"/>
      <c r="F25" s="64"/>
      <c r="G25" s="69" t="s">
        <v>195</v>
      </c>
      <c r="H25" s="70"/>
      <c r="I25" s="70"/>
      <c r="J25" s="71"/>
    </row>
    <row r="26" spans="3:49" ht="13.8" x14ac:dyDescent="0.3">
      <c r="C26" s="62" t="s">
        <v>196</v>
      </c>
      <c r="D26" s="63"/>
      <c r="E26" s="63"/>
      <c r="F26" s="64"/>
      <c r="G26" s="69">
        <v>12345</v>
      </c>
      <c r="H26" s="70"/>
      <c r="I26" s="70"/>
      <c r="J26" s="71"/>
    </row>
    <row r="27" spans="3:49" ht="13.8" x14ac:dyDescent="0.3">
      <c r="C27" s="62" t="s">
        <v>197</v>
      </c>
      <c r="D27" s="63"/>
      <c r="E27" s="63"/>
      <c r="F27" s="64"/>
      <c r="G27" s="69">
        <v>2</v>
      </c>
      <c r="H27" s="70"/>
      <c r="I27" s="70"/>
      <c r="J27" s="71"/>
    </row>
    <row r="28" spans="3:49" ht="13.8" x14ac:dyDescent="0.3">
      <c r="C28" s="62" t="s">
        <v>198</v>
      </c>
      <c r="D28" s="63"/>
      <c r="E28" s="63"/>
      <c r="F28" s="64"/>
      <c r="G28" s="69">
        <v>31</v>
      </c>
      <c r="H28" s="70"/>
      <c r="I28" s="70"/>
      <c r="J28" s="71"/>
    </row>
    <row r="29" spans="3:49" ht="13.8" x14ac:dyDescent="0.3">
      <c r="C29" s="62" t="s">
        <v>199</v>
      </c>
      <c r="D29" s="63"/>
      <c r="E29" s="63"/>
      <c r="F29" s="64"/>
      <c r="G29" s="69">
        <v>22</v>
      </c>
      <c r="H29" s="70"/>
      <c r="I29" s="70"/>
      <c r="J29" s="71"/>
    </row>
    <row r="30" spans="3:49" ht="13.8" x14ac:dyDescent="0.3">
      <c r="C30" s="62" t="s">
        <v>200</v>
      </c>
      <c r="D30" s="63"/>
      <c r="E30" s="63"/>
      <c r="F30" s="64"/>
      <c r="G30" s="69">
        <v>30</v>
      </c>
      <c r="H30" s="70"/>
      <c r="I30" s="70"/>
      <c r="J30" s="71"/>
    </row>
    <row r="31" spans="3:49" ht="13.8" x14ac:dyDescent="0.3">
      <c r="C31" s="62" t="s">
        <v>201</v>
      </c>
      <c r="D31" s="63"/>
      <c r="E31" s="63"/>
      <c r="F31" s="64"/>
      <c r="G31" s="69">
        <v>0.1</v>
      </c>
      <c r="H31" s="70"/>
      <c r="I31" s="70"/>
      <c r="J31" s="71"/>
    </row>
    <row r="32" spans="3:49" ht="13.8" x14ac:dyDescent="0.3">
      <c r="C32" s="62" t="s">
        <v>202</v>
      </c>
      <c r="D32" s="63"/>
      <c r="E32" s="63"/>
      <c r="F32" s="64"/>
      <c r="G32" s="69">
        <v>0.6</v>
      </c>
      <c r="H32" s="70"/>
      <c r="I32" s="70"/>
      <c r="J32" s="71"/>
    </row>
    <row r="33" spans="2:15" ht="13.8" x14ac:dyDescent="0.3">
      <c r="C33" s="62" t="s">
        <v>203</v>
      </c>
      <c r="D33" s="63"/>
      <c r="E33" s="63"/>
      <c r="F33" s="64"/>
      <c r="G33" s="69">
        <v>0.01</v>
      </c>
      <c r="H33" s="70"/>
      <c r="I33" s="70"/>
      <c r="J33" s="71"/>
    </row>
    <row r="34" spans="2:15" ht="13.8" x14ac:dyDescent="0.3">
      <c r="C34" s="62" t="s">
        <v>204</v>
      </c>
      <c r="D34" s="63"/>
      <c r="E34" s="63"/>
      <c r="F34" s="64"/>
      <c r="G34" s="69">
        <v>0</v>
      </c>
      <c r="H34" s="70"/>
      <c r="I34" s="70"/>
      <c r="J34" s="71"/>
    </row>
    <row r="35" spans="2:15" ht="13.8" x14ac:dyDescent="0.3">
      <c r="C35" s="62" t="s">
        <v>205</v>
      </c>
      <c r="D35" s="63"/>
      <c r="E35" s="63"/>
      <c r="F35" s="64"/>
      <c r="G35" s="69" t="s">
        <v>206</v>
      </c>
      <c r="H35" s="70"/>
      <c r="I35" s="70"/>
      <c r="J35" s="71"/>
    </row>
    <row r="36" spans="2:15" ht="13.8" x14ac:dyDescent="0.3">
      <c r="C36" s="62" t="s">
        <v>207</v>
      </c>
      <c r="D36" s="63"/>
      <c r="E36" s="63"/>
      <c r="F36" s="64"/>
      <c r="G36" s="69" t="s">
        <v>208</v>
      </c>
      <c r="H36" s="70"/>
      <c r="I36" s="70"/>
      <c r="J36" s="71"/>
    </row>
    <row r="37" spans="2:15" ht="13.8" x14ac:dyDescent="0.3">
      <c r="C37" s="62" t="s">
        <v>209</v>
      </c>
      <c r="D37" s="63"/>
      <c r="E37" s="63"/>
      <c r="F37" s="64"/>
      <c r="G37" s="69" t="s">
        <v>208</v>
      </c>
      <c r="H37" s="70"/>
      <c r="I37" s="70"/>
      <c r="J37" s="71"/>
    </row>
    <row r="39" spans="2:15" ht="18" x14ac:dyDescent="0.35">
      <c r="B39" s="22" t="s">
        <v>210</v>
      </c>
    </row>
    <row r="41" spans="2:15" ht="15.6" x14ac:dyDescent="0.3">
      <c r="G41" s="59" t="s">
        <v>211</v>
      </c>
      <c r="H41" s="60"/>
      <c r="I41" s="60"/>
      <c r="J41" s="61"/>
      <c r="K41" s="59" t="s">
        <v>212</v>
      </c>
      <c r="L41" s="60"/>
      <c r="M41" s="60"/>
      <c r="N41" s="61"/>
    </row>
    <row r="42" spans="2:15" ht="39.6" x14ac:dyDescent="0.25">
      <c r="C42" s="20" t="s">
        <v>213</v>
      </c>
      <c r="D42" s="20" t="s">
        <v>214</v>
      </c>
      <c r="E42" s="27" t="s">
        <v>215</v>
      </c>
      <c r="F42" s="27" t="s">
        <v>216</v>
      </c>
      <c r="G42" s="20" t="s">
        <v>217</v>
      </c>
      <c r="H42" s="20" t="s">
        <v>218</v>
      </c>
      <c r="I42" s="20" t="s">
        <v>219</v>
      </c>
      <c r="J42" s="20" t="s">
        <v>220</v>
      </c>
      <c r="K42" s="20" t="s">
        <v>221</v>
      </c>
      <c r="L42" s="20" t="s">
        <v>222</v>
      </c>
      <c r="M42" s="20" t="s">
        <v>223</v>
      </c>
      <c r="N42" s="20" t="s">
        <v>224</v>
      </c>
      <c r="O42" s="20" t="s">
        <v>733</v>
      </c>
    </row>
    <row r="43" spans="2:15" x14ac:dyDescent="0.25">
      <c r="B43" s="29" t="s">
        <v>225</v>
      </c>
      <c r="C43" s="30" t="s">
        <v>516</v>
      </c>
      <c r="D43">
        <v>2</v>
      </c>
      <c r="E43">
        <v>3</v>
      </c>
      <c r="F43">
        <v>6</v>
      </c>
      <c r="G43">
        <v>54</v>
      </c>
      <c r="H43">
        <v>10.8</v>
      </c>
      <c r="I43">
        <v>94.44</v>
      </c>
      <c r="J43">
        <v>75.709999999999994</v>
      </c>
      <c r="K43">
        <v>125</v>
      </c>
      <c r="L43">
        <v>25</v>
      </c>
      <c r="M43">
        <v>87.06</v>
      </c>
      <c r="N43">
        <v>49.38</v>
      </c>
      <c r="O43">
        <f t="shared" ref="O43:O74" si="0">SUM(L43,-H43)</f>
        <v>14.2</v>
      </c>
    </row>
    <row r="44" spans="2:15" x14ac:dyDescent="0.25">
      <c r="B44" s="29" t="s">
        <v>226</v>
      </c>
      <c r="C44" s="30" t="s">
        <v>442</v>
      </c>
      <c r="D44">
        <v>1</v>
      </c>
      <c r="E44">
        <v>7</v>
      </c>
      <c r="G44">
        <v>10</v>
      </c>
      <c r="H44">
        <v>2</v>
      </c>
      <c r="I44">
        <v>99.72</v>
      </c>
      <c r="J44">
        <v>93.57</v>
      </c>
      <c r="K44">
        <v>126</v>
      </c>
      <c r="L44">
        <v>25.2</v>
      </c>
      <c r="M44">
        <v>84.41</v>
      </c>
      <c r="N44">
        <v>54.37</v>
      </c>
      <c r="O44">
        <f t="shared" si="0"/>
        <v>23.2</v>
      </c>
    </row>
    <row r="45" spans="2:15" x14ac:dyDescent="0.25">
      <c r="B45" s="29" t="s">
        <v>227</v>
      </c>
      <c r="C45" s="30" t="s">
        <v>461</v>
      </c>
      <c r="D45">
        <v>1</v>
      </c>
      <c r="E45">
        <v>26</v>
      </c>
      <c r="G45">
        <v>10</v>
      </c>
      <c r="H45">
        <v>2</v>
      </c>
      <c r="I45">
        <v>99.44</v>
      </c>
      <c r="J45">
        <v>94.29</v>
      </c>
      <c r="K45">
        <v>128</v>
      </c>
      <c r="L45">
        <v>25.6</v>
      </c>
      <c r="M45">
        <v>86.76</v>
      </c>
      <c r="N45">
        <v>48.13</v>
      </c>
      <c r="O45">
        <f t="shared" si="0"/>
        <v>23.6</v>
      </c>
    </row>
    <row r="46" spans="2:15" x14ac:dyDescent="0.25">
      <c r="B46" s="29" t="s">
        <v>228</v>
      </c>
      <c r="C46" s="30" t="s">
        <v>446</v>
      </c>
      <c r="D46">
        <v>1</v>
      </c>
      <c r="E46">
        <v>11</v>
      </c>
      <c r="G46">
        <v>8</v>
      </c>
      <c r="H46">
        <v>1.6</v>
      </c>
      <c r="I46">
        <v>99.17</v>
      </c>
      <c r="J46">
        <v>96.43</v>
      </c>
      <c r="K46">
        <v>128</v>
      </c>
      <c r="L46">
        <v>25.6</v>
      </c>
      <c r="M46">
        <v>83.24</v>
      </c>
      <c r="N46">
        <v>55.63</v>
      </c>
      <c r="O46">
        <f t="shared" si="0"/>
        <v>24</v>
      </c>
    </row>
    <row r="47" spans="2:15" x14ac:dyDescent="0.25">
      <c r="B47" s="29" t="s">
        <v>229</v>
      </c>
      <c r="C47" s="30" t="s">
        <v>496</v>
      </c>
      <c r="D47">
        <v>2</v>
      </c>
      <c r="E47">
        <v>2</v>
      </c>
      <c r="F47">
        <v>8</v>
      </c>
      <c r="G47">
        <v>64</v>
      </c>
      <c r="H47">
        <v>12.8</v>
      </c>
      <c r="I47">
        <v>95</v>
      </c>
      <c r="J47">
        <v>67.14</v>
      </c>
      <c r="K47">
        <v>128</v>
      </c>
      <c r="L47">
        <v>25.6</v>
      </c>
      <c r="M47">
        <v>85.59</v>
      </c>
      <c r="N47">
        <v>50.63</v>
      </c>
      <c r="O47">
        <f t="shared" si="0"/>
        <v>12.8</v>
      </c>
    </row>
    <row r="48" spans="2:15" x14ac:dyDescent="0.25">
      <c r="B48" s="29" t="s">
        <v>230</v>
      </c>
      <c r="C48" s="30" t="s">
        <v>453</v>
      </c>
      <c r="D48">
        <v>1</v>
      </c>
      <c r="E48">
        <v>18</v>
      </c>
      <c r="G48">
        <v>4</v>
      </c>
      <c r="H48">
        <v>0.8</v>
      </c>
      <c r="I48">
        <v>99.44</v>
      </c>
      <c r="J48">
        <v>98.57</v>
      </c>
      <c r="K48">
        <v>129</v>
      </c>
      <c r="L48">
        <v>25.8</v>
      </c>
      <c r="M48">
        <v>84.41</v>
      </c>
      <c r="N48">
        <v>52.5</v>
      </c>
      <c r="O48">
        <f t="shared" si="0"/>
        <v>25</v>
      </c>
    </row>
    <row r="49" spans="2:15" x14ac:dyDescent="0.25">
      <c r="B49" s="29" t="s">
        <v>231</v>
      </c>
      <c r="C49" s="30" t="s">
        <v>463</v>
      </c>
      <c r="D49">
        <v>1</v>
      </c>
      <c r="E49">
        <v>28</v>
      </c>
      <c r="G49">
        <v>8</v>
      </c>
      <c r="H49">
        <v>1.6</v>
      </c>
      <c r="I49">
        <v>99.44</v>
      </c>
      <c r="J49">
        <v>95.71</v>
      </c>
      <c r="K49">
        <v>130</v>
      </c>
      <c r="L49">
        <v>26</v>
      </c>
      <c r="M49">
        <v>85.59</v>
      </c>
      <c r="N49">
        <v>49.38</v>
      </c>
      <c r="O49">
        <f t="shared" si="0"/>
        <v>24.4</v>
      </c>
    </row>
    <row r="50" spans="2:15" x14ac:dyDescent="0.25">
      <c r="B50" s="29" t="s">
        <v>232</v>
      </c>
      <c r="C50" s="30" t="s">
        <v>443</v>
      </c>
      <c r="D50">
        <v>1</v>
      </c>
      <c r="E50">
        <v>8</v>
      </c>
      <c r="G50">
        <v>8</v>
      </c>
      <c r="H50">
        <v>1.6</v>
      </c>
      <c r="I50">
        <v>99.17</v>
      </c>
      <c r="J50">
        <v>96.43</v>
      </c>
      <c r="K50">
        <v>131</v>
      </c>
      <c r="L50">
        <v>26.2</v>
      </c>
      <c r="M50">
        <v>83.82</v>
      </c>
      <c r="N50">
        <v>52.5</v>
      </c>
      <c r="O50">
        <f t="shared" si="0"/>
        <v>24.599999999999998</v>
      </c>
    </row>
    <row r="51" spans="2:15" x14ac:dyDescent="0.25">
      <c r="B51" s="29" t="s">
        <v>233</v>
      </c>
      <c r="C51" s="30" t="s">
        <v>492</v>
      </c>
      <c r="D51">
        <v>2</v>
      </c>
      <c r="E51">
        <v>2</v>
      </c>
      <c r="F51">
        <v>4</v>
      </c>
      <c r="G51">
        <v>68</v>
      </c>
      <c r="H51">
        <v>13.6</v>
      </c>
      <c r="I51">
        <v>95</v>
      </c>
      <c r="J51">
        <v>64.290000000000006</v>
      </c>
      <c r="K51">
        <v>131</v>
      </c>
      <c r="L51">
        <v>26.2</v>
      </c>
      <c r="M51">
        <v>85.88</v>
      </c>
      <c r="N51">
        <v>48.13</v>
      </c>
      <c r="O51">
        <f t="shared" si="0"/>
        <v>12.6</v>
      </c>
    </row>
    <row r="52" spans="2:15" x14ac:dyDescent="0.25">
      <c r="B52" s="29" t="s">
        <v>234</v>
      </c>
      <c r="C52" s="30" t="s">
        <v>466</v>
      </c>
      <c r="D52">
        <v>1</v>
      </c>
      <c r="E52">
        <v>31</v>
      </c>
      <c r="G52">
        <v>6</v>
      </c>
      <c r="H52">
        <v>1.2</v>
      </c>
      <c r="I52">
        <v>99.72</v>
      </c>
      <c r="J52">
        <v>96.43</v>
      </c>
      <c r="K52">
        <v>133</v>
      </c>
      <c r="L52">
        <v>26.6</v>
      </c>
      <c r="M52">
        <v>83.82</v>
      </c>
      <c r="N52">
        <v>51.25</v>
      </c>
      <c r="O52">
        <f t="shared" si="0"/>
        <v>25.400000000000002</v>
      </c>
    </row>
    <row r="53" spans="2:15" x14ac:dyDescent="0.25">
      <c r="B53" s="29" t="s">
        <v>235</v>
      </c>
      <c r="C53" s="30" t="s">
        <v>515</v>
      </c>
      <c r="D53">
        <v>2</v>
      </c>
      <c r="E53">
        <v>3</v>
      </c>
      <c r="F53">
        <v>5</v>
      </c>
      <c r="G53">
        <v>59</v>
      </c>
      <c r="H53">
        <v>11.8</v>
      </c>
      <c r="I53">
        <v>96.94</v>
      </c>
      <c r="J53">
        <v>65.709999999999994</v>
      </c>
      <c r="K53">
        <v>133</v>
      </c>
      <c r="L53">
        <v>26.6</v>
      </c>
      <c r="M53">
        <v>86.76</v>
      </c>
      <c r="N53">
        <v>45</v>
      </c>
      <c r="O53">
        <f t="shared" si="0"/>
        <v>14.8</v>
      </c>
    </row>
    <row r="54" spans="2:15" x14ac:dyDescent="0.25">
      <c r="B54" s="29" t="s">
        <v>236</v>
      </c>
      <c r="C54" s="30" t="s">
        <v>514</v>
      </c>
      <c r="D54">
        <v>2</v>
      </c>
      <c r="E54">
        <v>3</v>
      </c>
      <c r="F54">
        <v>4</v>
      </c>
      <c r="G54">
        <v>53</v>
      </c>
      <c r="H54">
        <v>10.6</v>
      </c>
      <c r="I54">
        <v>95.28</v>
      </c>
      <c r="J54">
        <v>74.290000000000006</v>
      </c>
      <c r="K54">
        <v>133</v>
      </c>
      <c r="L54">
        <v>26.6</v>
      </c>
      <c r="M54">
        <v>86.47</v>
      </c>
      <c r="N54">
        <v>45.63</v>
      </c>
      <c r="O54">
        <f t="shared" si="0"/>
        <v>16</v>
      </c>
    </row>
    <row r="55" spans="2:15" x14ac:dyDescent="0.25">
      <c r="B55" s="29" t="s">
        <v>237</v>
      </c>
      <c r="C55" s="30" t="s">
        <v>495</v>
      </c>
      <c r="D55">
        <v>2</v>
      </c>
      <c r="E55">
        <v>2</v>
      </c>
      <c r="F55">
        <v>7</v>
      </c>
      <c r="G55">
        <v>67</v>
      </c>
      <c r="H55">
        <v>13.4</v>
      </c>
      <c r="I55">
        <v>94.44</v>
      </c>
      <c r="J55">
        <v>66.430000000000007</v>
      </c>
      <c r="K55">
        <v>133</v>
      </c>
      <c r="L55">
        <v>26.6</v>
      </c>
      <c r="M55">
        <v>86.47</v>
      </c>
      <c r="N55">
        <v>45.63</v>
      </c>
      <c r="O55">
        <f t="shared" si="0"/>
        <v>13.200000000000001</v>
      </c>
    </row>
    <row r="56" spans="2:15" x14ac:dyDescent="0.25">
      <c r="B56" s="29" t="s">
        <v>238</v>
      </c>
      <c r="C56" s="30" t="s">
        <v>511</v>
      </c>
      <c r="D56">
        <v>2</v>
      </c>
      <c r="E56">
        <v>3</v>
      </c>
      <c r="F56">
        <v>1</v>
      </c>
      <c r="G56">
        <v>58</v>
      </c>
      <c r="H56">
        <v>11.6</v>
      </c>
      <c r="I56">
        <v>94.44</v>
      </c>
      <c r="J56">
        <v>72.86</v>
      </c>
      <c r="K56">
        <v>133</v>
      </c>
      <c r="L56">
        <v>26.6</v>
      </c>
      <c r="M56">
        <v>84.71</v>
      </c>
      <c r="N56">
        <v>49.38</v>
      </c>
      <c r="O56">
        <f t="shared" si="0"/>
        <v>15.000000000000002</v>
      </c>
    </row>
    <row r="57" spans="2:15" x14ac:dyDescent="0.25">
      <c r="B57" s="29" t="s">
        <v>239</v>
      </c>
      <c r="C57" s="30" t="s">
        <v>462</v>
      </c>
      <c r="D57">
        <v>1</v>
      </c>
      <c r="E57">
        <v>27</v>
      </c>
      <c r="G57">
        <v>10</v>
      </c>
      <c r="H57">
        <v>2</v>
      </c>
      <c r="I57">
        <v>99.44</v>
      </c>
      <c r="J57">
        <v>94.29</v>
      </c>
      <c r="K57">
        <v>134</v>
      </c>
      <c r="L57">
        <v>26.8</v>
      </c>
      <c r="M57">
        <v>83.82</v>
      </c>
      <c r="N57">
        <v>50.63</v>
      </c>
      <c r="O57">
        <f t="shared" si="0"/>
        <v>24.8</v>
      </c>
    </row>
    <row r="58" spans="2:15" x14ac:dyDescent="0.25">
      <c r="B58" s="29" t="s">
        <v>240</v>
      </c>
      <c r="C58" s="30" t="s">
        <v>534</v>
      </c>
      <c r="D58">
        <v>2</v>
      </c>
      <c r="E58">
        <v>4</v>
      </c>
      <c r="F58">
        <v>2</v>
      </c>
      <c r="G58">
        <v>39</v>
      </c>
      <c r="H58">
        <v>7.8</v>
      </c>
      <c r="I58">
        <v>96.67</v>
      </c>
      <c r="J58">
        <v>80.709999999999994</v>
      </c>
      <c r="K58">
        <v>134</v>
      </c>
      <c r="L58">
        <v>26.8</v>
      </c>
      <c r="M58">
        <v>85</v>
      </c>
      <c r="N58">
        <v>48.13</v>
      </c>
      <c r="O58">
        <f t="shared" si="0"/>
        <v>19</v>
      </c>
    </row>
    <row r="59" spans="2:15" x14ac:dyDescent="0.25">
      <c r="B59" s="29" t="s">
        <v>241</v>
      </c>
      <c r="C59" s="30" t="s">
        <v>437</v>
      </c>
      <c r="D59">
        <v>1</v>
      </c>
      <c r="E59">
        <v>2</v>
      </c>
      <c r="G59">
        <v>63</v>
      </c>
      <c r="H59">
        <v>12.6</v>
      </c>
      <c r="I59">
        <v>96.11</v>
      </c>
      <c r="J59">
        <v>65</v>
      </c>
      <c r="K59">
        <v>134</v>
      </c>
      <c r="L59">
        <v>26.8</v>
      </c>
      <c r="M59">
        <v>86.47</v>
      </c>
      <c r="N59">
        <v>45</v>
      </c>
      <c r="O59">
        <f t="shared" si="0"/>
        <v>14.200000000000001</v>
      </c>
    </row>
    <row r="60" spans="2:15" x14ac:dyDescent="0.25">
      <c r="B60" s="29" t="s">
        <v>242</v>
      </c>
      <c r="C60" s="30" t="s">
        <v>502</v>
      </c>
      <c r="D60">
        <v>2</v>
      </c>
      <c r="E60">
        <v>2</v>
      </c>
      <c r="F60">
        <v>14</v>
      </c>
      <c r="G60">
        <v>53</v>
      </c>
      <c r="H60">
        <v>10.6</v>
      </c>
      <c r="I60">
        <v>96.11</v>
      </c>
      <c r="J60">
        <v>72.14</v>
      </c>
      <c r="K60">
        <v>134</v>
      </c>
      <c r="L60">
        <v>26.8</v>
      </c>
      <c r="M60">
        <v>83.24</v>
      </c>
      <c r="N60">
        <v>51.88</v>
      </c>
      <c r="O60">
        <f t="shared" si="0"/>
        <v>16.200000000000003</v>
      </c>
    </row>
    <row r="61" spans="2:15" x14ac:dyDescent="0.25">
      <c r="B61" s="29" t="s">
        <v>243</v>
      </c>
      <c r="C61" s="30" t="s">
        <v>448</v>
      </c>
      <c r="D61">
        <v>1</v>
      </c>
      <c r="E61">
        <v>13</v>
      </c>
      <c r="G61">
        <v>6</v>
      </c>
      <c r="H61">
        <v>1.2</v>
      </c>
      <c r="I61">
        <v>100</v>
      </c>
      <c r="J61">
        <v>95.71</v>
      </c>
      <c r="K61">
        <v>135</v>
      </c>
      <c r="L61">
        <v>27</v>
      </c>
      <c r="M61">
        <v>83.24</v>
      </c>
      <c r="N61">
        <v>51.25</v>
      </c>
      <c r="O61">
        <f t="shared" si="0"/>
        <v>25.8</v>
      </c>
    </row>
    <row r="62" spans="2:15" x14ac:dyDescent="0.25">
      <c r="B62" s="29" t="s">
        <v>244</v>
      </c>
      <c r="C62" s="30" t="s">
        <v>457</v>
      </c>
      <c r="D62">
        <v>1</v>
      </c>
      <c r="E62">
        <v>22</v>
      </c>
      <c r="G62">
        <v>10</v>
      </c>
      <c r="H62">
        <v>2</v>
      </c>
      <c r="I62">
        <v>99.17</v>
      </c>
      <c r="J62">
        <v>95</v>
      </c>
      <c r="K62">
        <v>135</v>
      </c>
      <c r="L62">
        <v>27</v>
      </c>
      <c r="M62">
        <v>83.24</v>
      </c>
      <c r="N62">
        <v>51.25</v>
      </c>
      <c r="O62">
        <f t="shared" si="0"/>
        <v>25</v>
      </c>
    </row>
    <row r="63" spans="2:15" x14ac:dyDescent="0.25">
      <c r="B63" s="29" t="s">
        <v>245</v>
      </c>
      <c r="C63" s="30" t="s">
        <v>440</v>
      </c>
      <c r="D63">
        <v>1</v>
      </c>
      <c r="E63">
        <v>5</v>
      </c>
      <c r="G63">
        <v>26</v>
      </c>
      <c r="H63">
        <v>5.2</v>
      </c>
      <c r="I63">
        <v>97.5</v>
      </c>
      <c r="J63">
        <v>87.86</v>
      </c>
      <c r="K63">
        <v>135</v>
      </c>
      <c r="L63">
        <v>27</v>
      </c>
      <c r="M63">
        <v>83.82</v>
      </c>
      <c r="N63">
        <v>50</v>
      </c>
      <c r="O63">
        <f t="shared" si="0"/>
        <v>21.8</v>
      </c>
    </row>
    <row r="64" spans="2:15" x14ac:dyDescent="0.25">
      <c r="B64" s="29" t="s">
        <v>246</v>
      </c>
      <c r="C64" s="30" t="s">
        <v>494</v>
      </c>
      <c r="D64">
        <v>2</v>
      </c>
      <c r="E64">
        <v>2</v>
      </c>
      <c r="F64">
        <v>6</v>
      </c>
      <c r="G64">
        <v>53</v>
      </c>
      <c r="H64">
        <v>10.6</v>
      </c>
      <c r="I64">
        <v>96.67</v>
      </c>
      <c r="J64">
        <v>70.709999999999994</v>
      </c>
      <c r="K64">
        <v>135</v>
      </c>
      <c r="L64">
        <v>27</v>
      </c>
      <c r="M64">
        <v>82.35</v>
      </c>
      <c r="N64">
        <v>53.13</v>
      </c>
      <c r="O64">
        <f t="shared" si="0"/>
        <v>16.399999999999999</v>
      </c>
    </row>
    <row r="65" spans="2:15" x14ac:dyDescent="0.25">
      <c r="B65" s="29" t="s">
        <v>247</v>
      </c>
      <c r="C65" s="30" t="s">
        <v>500</v>
      </c>
      <c r="D65">
        <v>2</v>
      </c>
      <c r="E65">
        <v>2</v>
      </c>
      <c r="F65">
        <v>12</v>
      </c>
      <c r="G65">
        <v>51</v>
      </c>
      <c r="H65">
        <v>10.199999999999999</v>
      </c>
      <c r="I65">
        <v>96.39</v>
      </c>
      <c r="J65">
        <v>72.86</v>
      </c>
      <c r="K65">
        <v>136</v>
      </c>
      <c r="L65">
        <v>27.2</v>
      </c>
      <c r="M65">
        <v>82.94</v>
      </c>
      <c r="N65">
        <v>51.25</v>
      </c>
      <c r="O65">
        <f t="shared" si="0"/>
        <v>17</v>
      </c>
    </row>
    <row r="66" spans="2:15" x14ac:dyDescent="0.25">
      <c r="B66" s="29" t="s">
        <v>248</v>
      </c>
      <c r="C66" s="30" t="s">
        <v>535</v>
      </c>
      <c r="D66">
        <v>2</v>
      </c>
      <c r="E66">
        <v>4</v>
      </c>
      <c r="F66">
        <v>3</v>
      </c>
      <c r="G66">
        <v>44</v>
      </c>
      <c r="H66">
        <v>8.8000000000000007</v>
      </c>
      <c r="I66">
        <v>94.44</v>
      </c>
      <c r="J66">
        <v>82.86</v>
      </c>
      <c r="K66">
        <v>136</v>
      </c>
      <c r="L66">
        <v>27.2</v>
      </c>
      <c r="M66">
        <v>82.65</v>
      </c>
      <c r="N66">
        <v>51.88</v>
      </c>
      <c r="O66">
        <f t="shared" si="0"/>
        <v>18.399999999999999</v>
      </c>
    </row>
    <row r="67" spans="2:15" x14ac:dyDescent="0.25">
      <c r="B67" s="29" t="s">
        <v>249</v>
      </c>
      <c r="C67" s="30" t="s">
        <v>503</v>
      </c>
      <c r="D67">
        <v>2</v>
      </c>
      <c r="E67">
        <v>2</v>
      </c>
      <c r="F67">
        <v>15</v>
      </c>
      <c r="G67">
        <v>54</v>
      </c>
      <c r="H67">
        <v>10.8</v>
      </c>
      <c r="I67">
        <v>96.11</v>
      </c>
      <c r="J67">
        <v>71.430000000000007</v>
      </c>
      <c r="K67">
        <v>137</v>
      </c>
      <c r="L67">
        <v>27.4</v>
      </c>
      <c r="M67">
        <v>82.94</v>
      </c>
      <c r="N67">
        <v>50.63</v>
      </c>
      <c r="O67">
        <f t="shared" si="0"/>
        <v>16.599999999999998</v>
      </c>
    </row>
    <row r="68" spans="2:15" x14ac:dyDescent="0.25">
      <c r="B68" s="29" t="s">
        <v>250</v>
      </c>
      <c r="C68" s="30" t="s">
        <v>491</v>
      </c>
      <c r="D68">
        <v>2</v>
      </c>
      <c r="E68">
        <v>2</v>
      </c>
      <c r="F68">
        <v>3</v>
      </c>
      <c r="G68">
        <v>63</v>
      </c>
      <c r="H68">
        <v>12.6</v>
      </c>
      <c r="I68">
        <v>95.56</v>
      </c>
      <c r="J68">
        <v>66.430000000000007</v>
      </c>
      <c r="K68">
        <v>137</v>
      </c>
      <c r="L68">
        <v>27.4</v>
      </c>
      <c r="M68">
        <v>85</v>
      </c>
      <c r="N68">
        <v>46.25</v>
      </c>
      <c r="O68">
        <f t="shared" si="0"/>
        <v>14.799999999999999</v>
      </c>
    </row>
    <row r="69" spans="2:15" x14ac:dyDescent="0.25">
      <c r="B69" s="29" t="s">
        <v>251</v>
      </c>
      <c r="C69" s="30" t="s">
        <v>529</v>
      </c>
      <c r="D69">
        <v>2</v>
      </c>
      <c r="E69">
        <v>3</v>
      </c>
      <c r="F69">
        <v>19</v>
      </c>
      <c r="G69">
        <v>45</v>
      </c>
      <c r="H69">
        <v>9</v>
      </c>
      <c r="I69">
        <v>93.33</v>
      </c>
      <c r="J69">
        <v>85</v>
      </c>
      <c r="K69">
        <v>137</v>
      </c>
      <c r="L69">
        <v>27.4</v>
      </c>
      <c r="M69">
        <v>82.65</v>
      </c>
      <c r="N69">
        <v>51.25</v>
      </c>
      <c r="O69">
        <f t="shared" si="0"/>
        <v>18.399999999999999</v>
      </c>
    </row>
    <row r="70" spans="2:15" x14ac:dyDescent="0.25">
      <c r="B70" s="29" t="s">
        <v>252</v>
      </c>
      <c r="C70" s="30" t="s">
        <v>493</v>
      </c>
      <c r="D70">
        <v>2</v>
      </c>
      <c r="E70">
        <v>2</v>
      </c>
      <c r="F70">
        <v>5</v>
      </c>
      <c r="G70">
        <v>58</v>
      </c>
      <c r="H70">
        <v>11.6</v>
      </c>
      <c r="I70">
        <v>97.22</v>
      </c>
      <c r="J70">
        <v>65.709999999999994</v>
      </c>
      <c r="K70">
        <v>138</v>
      </c>
      <c r="L70">
        <v>27.6</v>
      </c>
      <c r="M70">
        <v>87.06</v>
      </c>
      <c r="N70">
        <v>41.25</v>
      </c>
      <c r="O70">
        <f t="shared" si="0"/>
        <v>16</v>
      </c>
    </row>
    <row r="71" spans="2:15" x14ac:dyDescent="0.25">
      <c r="B71" s="29" t="s">
        <v>253</v>
      </c>
      <c r="C71" s="30" t="s">
        <v>490</v>
      </c>
      <c r="D71">
        <v>2</v>
      </c>
      <c r="E71">
        <v>2</v>
      </c>
      <c r="F71">
        <v>2</v>
      </c>
      <c r="G71">
        <v>60</v>
      </c>
      <c r="H71">
        <v>12</v>
      </c>
      <c r="I71">
        <v>93.33</v>
      </c>
      <c r="J71">
        <v>74.290000000000006</v>
      </c>
      <c r="K71">
        <v>138</v>
      </c>
      <c r="L71">
        <v>27.6</v>
      </c>
      <c r="M71">
        <v>82.35</v>
      </c>
      <c r="N71">
        <v>51.25</v>
      </c>
      <c r="O71">
        <f t="shared" si="0"/>
        <v>15.600000000000001</v>
      </c>
    </row>
    <row r="72" spans="2:15" x14ac:dyDescent="0.25">
      <c r="B72" s="29" t="s">
        <v>254</v>
      </c>
      <c r="C72" s="30" t="s">
        <v>513</v>
      </c>
      <c r="D72">
        <v>2</v>
      </c>
      <c r="E72">
        <v>3</v>
      </c>
      <c r="F72">
        <v>3</v>
      </c>
      <c r="G72">
        <v>56</v>
      </c>
      <c r="H72">
        <v>11.2</v>
      </c>
      <c r="I72">
        <v>90.56</v>
      </c>
      <c r="J72">
        <v>84.29</v>
      </c>
      <c r="K72">
        <v>138</v>
      </c>
      <c r="L72">
        <v>27.6</v>
      </c>
      <c r="M72">
        <v>78.239999999999995</v>
      </c>
      <c r="N72">
        <v>60</v>
      </c>
      <c r="O72">
        <f t="shared" si="0"/>
        <v>16.400000000000002</v>
      </c>
    </row>
    <row r="73" spans="2:15" x14ac:dyDescent="0.25">
      <c r="B73" s="29" t="s">
        <v>255</v>
      </c>
      <c r="C73" s="30" t="s">
        <v>465</v>
      </c>
      <c r="D73">
        <v>1</v>
      </c>
      <c r="E73">
        <v>30</v>
      </c>
      <c r="G73">
        <v>7</v>
      </c>
      <c r="H73">
        <v>1.4</v>
      </c>
      <c r="I73">
        <v>99.72</v>
      </c>
      <c r="J73">
        <v>95.71</v>
      </c>
      <c r="K73">
        <v>139</v>
      </c>
      <c r="L73">
        <v>27.8</v>
      </c>
      <c r="M73">
        <v>84.41</v>
      </c>
      <c r="N73">
        <v>46.25</v>
      </c>
      <c r="O73">
        <f t="shared" si="0"/>
        <v>26.400000000000002</v>
      </c>
    </row>
    <row r="74" spans="2:15" x14ac:dyDescent="0.25">
      <c r="B74" s="29" t="s">
        <v>256</v>
      </c>
      <c r="C74" s="30" t="s">
        <v>464</v>
      </c>
      <c r="D74">
        <v>1</v>
      </c>
      <c r="E74">
        <v>29</v>
      </c>
      <c r="G74">
        <v>6</v>
      </c>
      <c r="H74">
        <v>1.2</v>
      </c>
      <c r="I74">
        <v>99.44</v>
      </c>
      <c r="J74">
        <v>97.14</v>
      </c>
      <c r="K74">
        <v>139</v>
      </c>
      <c r="L74">
        <v>27.8</v>
      </c>
      <c r="M74">
        <v>82.35</v>
      </c>
      <c r="N74">
        <v>50.63</v>
      </c>
      <c r="O74">
        <f t="shared" si="0"/>
        <v>26.6</v>
      </c>
    </row>
    <row r="75" spans="2:15" x14ac:dyDescent="0.25">
      <c r="B75" s="29" t="s">
        <v>257</v>
      </c>
      <c r="C75" s="30" t="s">
        <v>459</v>
      </c>
      <c r="D75">
        <v>1</v>
      </c>
      <c r="E75">
        <v>24</v>
      </c>
      <c r="G75">
        <v>8</v>
      </c>
      <c r="H75">
        <v>1.6</v>
      </c>
      <c r="I75">
        <v>99.17</v>
      </c>
      <c r="J75">
        <v>96.43</v>
      </c>
      <c r="K75">
        <v>139</v>
      </c>
      <c r="L75">
        <v>27.8</v>
      </c>
      <c r="M75">
        <v>82.35</v>
      </c>
      <c r="N75">
        <v>50.63</v>
      </c>
      <c r="O75">
        <f t="shared" ref="O75:O106" si="1">SUM(L75,-H75)</f>
        <v>26.2</v>
      </c>
    </row>
    <row r="76" spans="2:15" x14ac:dyDescent="0.25">
      <c r="B76" s="29" t="s">
        <v>258</v>
      </c>
      <c r="C76" s="30" t="s">
        <v>445</v>
      </c>
      <c r="D76">
        <v>1</v>
      </c>
      <c r="E76">
        <v>10</v>
      </c>
      <c r="G76">
        <v>13</v>
      </c>
      <c r="H76">
        <v>2.6</v>
      </c>
      <c r="I76">
        <v>99.17</v>
      </c>
      <c r="J76">
        <v>92.86</v>
      </c>
      <c r="K76">
        <v>139</v>
      </c>
      <c r="L76">
        <v>27.8</v>
      </c>
      <c r="M76">
        <v>80.88</v>
      </c>
      <c r="N76">
        <v>53.75</v>
      </c>
      <c r="O76">
        <f t="shared" si="1"/>
        <v>25.2</v>
      </c>
    </row>
    <row r="77" spans="2:15" x14ac:dyDescent="0.25">
      <c r="B77" s="29" t="s">
        <v>259</v>
      </c>
      <c r="C77" s="30" t="s">
        <v>454</v>
      </c>
      <c r="D77">
        <v>1</v>
      </c>
      <c r="E77">
        <v>19</v>
      </c>
      <c r="G77">
        <v>11</v>
      </c>
      <c r="H77">
        <v>2.2000000000000002</v>
      </c>
      <c r="I77">
        <v>98.89</v>
      </c>
      <c r="J77">
        <v>95</v>
      </c>
      <c r="K77">
        <v>139</v>
      </c>
      <c r="L77">
        <v>27.8</v>
      </c>
      <c r="M77">
        <v>82.94</v>
      </c>
      <c r="N77">
        <v>49.38</v>
      </c>
      <c r="O77">
        <f t="shared" si="1"/>
        <v>25.6</v>
      </c>
    </row>
    <row r="78" spans="2:15" x14ac:dyDescent="0.25">
      <c r="B78" s="29" t="s">
        <v>260</v>
      </c>
      <c r="C78" s="30" t="s">
        <v>499</v>
      </c>
      <c r="D78">
        <v>2</v>
      </c>
      <c r="E78">
        <v>2</v>
      </c>
      <c r="F78">
        <v>11</v>
      </c>
      <c r="G78">
        <v>54</v>
      </c>
      <c r="H78">
        <v>10.8</v>
      </c>
      <c r="I78">
        <v>96.11</v>
      </c>
      <c r="J78">
        <v>71.430000000000007</v>
      </c>
      <c r="K78">
        <v>139</v>
      </c>
      <c r="L78">
        <v>27.8</v>
      </c>
      <c r="M78">
        <v>84.41</v>
      </c>
      <c r="N78">
        <v>46.25</v>
      </c>
      <c r="O78">
        <f t="shared" si="1"/>
        <v>17</v>
      </c>
    </row>
    <row r="79" spans="2:15" x14ac:dyDescent="0.25">
      <c r="B79" s="29" t="s">
        <v>261</v>
      </c>
      <c r="C79" s="30" t="s">
        <v>507</v>
      </c>
      <c r="D79">
        <v>2</v>
      </c>
      <c r="E79">
        <v>2</v>
      </c>
      <c r="F79">
        <v>19</v>
      </c>
      <c r="G79">
        <v>52</v>
      </c>
      <c r="H79">
        <v>10.4</v>
      </c>
      <c r="I79">
        <v>96.11</v>
      </c>
      <c r="J79">
        <v>72.86</v>
      </c>
      <c r="K79">
        <v>139</v>
      </c>
      <c r="L79">
        <v>27.8</v>
      </c>
      <c r="M79">
        <v>82.35</v>
      </c>
      <c r="N79">
        <v>50.63</v>
      </c>
      <c r="O79">
        <f t="shared" si="1"/>
        <v>17.399999999999999</v>
      </c>
    </row>
    <row r="80" spans="2:15" x14ac:dyDescent="0.25">
      <c r="B80" s="29" t="s">
        <v>262</v>
      </c>
      <c r="C80" s="30" t="s">
        <v>509</v>
      </c>
      <c r="D80">
        <v>2</v>
      </c>
      <c r="E80">
        <v>2</v>
      </c>
      <c r="F80">
        <v>21</v>
      </c>
      <c r="G80">
        <v>58</v>
      </c>
      <c r="H80">
        <v>11.6</v>
      </c>
      <c r="I80">
        <v>95</v>
      </c>
      <c r="J80">
        <v>71.430000000000007</v>
      </c>
      <c r="K80">
        <v>139</v>
      </c>
      <c r="L80">
        <v>27.8</v>
      </c>
      <c r="M80">
        <v>84.12</v>
      </c>
      <c r="N80">
        <v>46.88</v>
      </c>
      <c r="O80">
        <f t="shared" si="1"/>
        <v>16.200000000000003</v>
      </c>
    </row>
    <row r="81" spans="2:15" x14ac:dyDescent="0.25">
      <c r="B81" s="29" t="s">
        <v>263</v>
      </c>
      <c r="C81" s="30" t="s">
        <v>519</v>
      </c>
      <c r="D81">
        <v>2</v>
      </c>
      <c r="E81">
        <v>3</v>
      </c>
      <c r="F81">
        <v>9</v>
      </c>
      <c r="G81">
        <v>55</v>
      </c>
      <c r="H81">
        <v>11</v>
      </c>
      <c r="I81">
        <v>91.11</v>
      </c>
      <c r="J81">
        <v>83.57</v>
      </c>
      <c r="K81">
        <v>139</v>
      </c>
      <c r="L81">
        <v>27.8</v>
      </c>
      <c r="M81">
        <v>81.47</v>
      </c>
      <c r="N81">
        <v>52.5</v>
      </c>
      <c r="O81">
        <f t="shared" si="1"/>
        <v>16.8</v>
      </c>
    </row>
    <row r="82" spans="2:15" x14ac:dyDescent="0.25">
      <c r="B82" s="29" t="s">
        <v>264</v>
      </c>
      <c r="C82" s="30" t="s">
        <v>468</v>
      </c>
      <c r="D82">
        <v>2</v>
      </c>
      <c r="E82">
        <v>1</v>
      </c>
      <c r="F82">
        <v>2</v>
      </c>
      <c r="G82">
        <v>83</v>
      </c>
      <c r="H82">
        <v>16.600000000000001</v>
      </c>
      <c r="I82">
        <v>86.11</v>
      </c>
      <c r="J82">
        <v>76.430000000000007</v>
      </c>
      <c r="K82">
        <v>139</v>
      </c>
      <c r="L82">
        <v>27.8</v>
      </c>
      <c r="M82">
        <v>78.239999999999995</v>
      </c>
      <c r="N82">
        <v>59.38</v>
      </c>
      <c r="O82">
        <f t="shared" si="1"/>
        <v>11.2</v>
      </c>
    </row>
    <row r="83" spans="2:15" x14ac:dyDescent="0.25">
      <c r="B83" s="29" t="s">
        <v>265</v>
      </c>
      <c r="C83" s="30" t="s">
        <v>480</v>
      </c>
      <c r="D83">
        <v>2</v>
      </c>
      <c r="E83">
        <v>1</v>
      </c>
      <c r="F83">
        <v>14</v>
      </c>
      <c r="G83">
        <v>80</v>
      </c>
      <c r="H83">
        <v>16</v>
      </c>
      <c r="I83">
        <v>85.28</v>
      </c>
      <c r="J83">
        <v>80.709999999999994</v>
      </c>
      <c r="K83">
        <v>139</v>
      </c>
      <c r="L83">
        <v>27.8</v>
      </c>
      <c r="M83">
        <v>77.650000000000006</v>
      </c>
      <c r="N83">
        <v>60.62</v>
      </c>
      <c r="O83">
        <f t="shared" si="1"/>
        <v>11.8</v>
      </c>
    </row>
    <row r="84" spans="2:15" x14ac:dyDescent="0.25">
      <c r="B84" s="29" t="s">
        <v>266</v>
      </c>
      <c r="C84" s="30" t="s">
        <v>481</v>
      </c>
      <c r="D84">
        <v>2</v>
      </c>
      <c r="E84">
        <v>1</v>
      </c>
      <c r="F84">
        <v>15</v>
      </c>
      <c r="G84">
        <v>80</v>
      </c>
      <c r="H84">
        <v>16</v>
      </c>
      <c r="I84">
        <v>85.28</v>
      </c>
      <c r="J84">
        <v>80.709999999999994</v>
      </c>
      <c r="K84">
        <v>139</v>
      </c>
      <c r="L84">
        <v>27.8</v>
      </c>
      <c r="M84">
        <v>77.650000000000006</v>
      </c>
      <c r="N84">
        <v>60.62</v>
      </c>
      <c r="O84">
        <f t="shared" si="1"/>
        <v>11.8</v>
      </c>
    </row>
    <row r="85" spans="2:15" x14ac:dyDescent="0.25">
      <c r="B85" s="29" t="s">
        <v>267</v>
      </c>
      <c r="C85" s="30" t="s">
        <v>487</v>
      </c>
      <c r="D85">
        <v>2</v>
      </c>
      <c r="E85">
        <v>1</v>
      </c>
      <c r="F85">
        <v>21</v>
      </c>
      <c r="G85">
        <v>80</v>
      </c>
      <c r="H85">
        <v>16</v>
      </c>
      <c r="I85">
        <v>85.28</v>
      </c>
      <c r="J85">
        <v>80.709999999999994</v>
      </c>
      <c r="K85">
        <v>139</v>
      </c>
      <c r="L85">
        <v>27.8</v>
      </c>
      <c r="M85">
        <v>77.349999999999994</v>
      </c>
      <c r="N85">
        <v>61.25</v>
      </c>
      <c r="O85">
        <f t="shared" si="1"/>
        <v>11.8</v>
      </c>
    </row>
    <row r="86" spans="2:15" x14ac:dyDescent="0.25">
      <c r="B86" s="29" t="s">
        <v>268</v>
      </c>
      <c r="C86" s="30" t="s">
        <v>478</v>
      </c>
      <c r="D86">
        <v>2</v>
      </c>
      <c r="E86">
        <v>1</v>
      </c>
      <c r="F86">
        <v>12</v>
      </c>
      <c r="G86">
        <v>84</v>
      </c>
      <c r="H86">
        <v>16.8</v>
      </c>
      <c r="I86">
        <v>84.72</v>
      </c>
      <c r="J86">
        <v>79.290000000000006</v>
      </c>
      <c r="K86">
        <v>139</v>
      </c>
      <c r="L86">
        <v>27.8</v>
      </c>
      <c r="M86">
        <v>77.650000000000006</v>
      </c>
      <c r="N86">
        <v>60.62</v>
      </c>
      <c r="O86">
        <f t="shared" si="1"/>
        <v>11</v>
      </c>
    </row>
    <row r="87" spans="2:15" x14ac:dyDescent="0.25">
      <c r="B87" s="29" t="s">
        <v>269</v>
      </c>
      <c r="C87" s="30" t="s">
        <v>473</v>
      </c>
      <c r="D87">
        <v>2</v>
      </c>
      <c r="E87">
        <v>1</v>
      </c>
      <c r="F87">
        <v>7</v>
      </c>
      <c r="G87">
        <v>81</v>
      </c>
      <c r="H87">
        <v>16.2</v>
      </c>
      <c r="I87">
        <v>84.72</v>
      </c>
      <c r="J87">
        <v>81.430000000000007</v>
      </c>
      <c r="K87">
        <v>139</v>
      </c>
      <c r="L87">
        <v>27.8</v>
      </c>
      <c r="M87">
        <v>76.760000000000005</v>
      </c>
      <c r="N87">
        <v>62.5</v>
      </c>
      <c r="O87">
        <f t="shared" si="1"/>
        <v>11.600000000000001</v>
      </c>
    </row>
    <row r="88" spans="2:15" x14ac:dyDescent="0.25">
      <c r="B88" s="29" t="s">
        <v>270</v>
      </c>
      <c r="C88" s="30" t="s">
        <v>455</v>
      </c>
      <c r="D88">
        <v>1</v>
      </c>
      <c r="E88">
        <v>20</v>
      </c>
      <c r="G88">
        <v>9</v>
      </c>
      <c r="H88">
        <v>1.8</v>
      </c>
      <c r="I88">
        <v>99.44</v>
      </c>
      <c r="J88">
        <v>95</v>
      </c>
      <c r="K88">
        <v>140</v>
      </c>
      <c r="L88">
        <v>28</v>
      </c>
      <c r="M88">
        <v>83.24</v>
      </c>
      <c r="N88">
        <v>48.13</v>
      </c>
      <c r="O88">
        <f t="shared" si="1"/>
        <v>26.2</v>
      </c>
    </row>
    <row r="89" spans="2:15" x14ac:dyDescent="0.25">
      <c r="B89" s="29" t="s">
        <v>271</v>
      </c>
      <c r="C89" s="30" t="s">
        <v>527</v>
      </c>
      <c r="D89">
        <v>2</v>
      </c>
      <c r="E89">
        <v>3</v>
      </c>
      <c r="F89">
        <v>17</v>
      </c>
      <c r="G89">
        <v>50</v>
      </c>
      <c r="H89">
        <v>10</v>
      </c>
      <c r="I89">
        <v>95.56</v>
      </c>
      <c r="J89">
        <v>75.709999999999994</v>
      </c>
      <c r="K89">
        <v>140</v>
      </c>
      <c r="L89">
        <v>28</v>
      </c>
      <c r="M89">
        <v>84.12</v>
      </c>
      <c r="N89">
        <v>46.25</v>
      </c>
      <c r="O89">
        <f t="shared" si="1"/>
        <v>18</v>
      </c>
    </row>
    <row r="90" spans="2:15" x14ac:dyDescent="0.25">
      <c r="B90" s="29" t="s">
        <v>272</v>
      </c>
      <c r="C90" s="30" t="s">
        <v>477</v>
      </c>
      <c r="D90">
        <v>2</v>
      </c>
      <c r="E90">
        <v>1</v>
      </c>
      <c r="F90">
        <v>11</v>
      </c>
      <c r="G90">
        <v>82</v>
      </c>
      <c r="H90">
        <v>16.399999999999999</v>
      </c>
      <c r="I90">
        <v>85.28</v>
      </c>
      <c r="J90">
        <v>79.290000000000006</v>
      </c>
      <c r="K90">
        <v>140</v>
      </c>
      <c r="L90">
        <v>28</v>
      </c>
      <c r="M90">
        <v>77.94</v>
      </c>
      <c r="N90">
        <v>59.38</v>
      </c>
      <c r="O90">
        <f t="shared" si="1"/>
        <v>11.600000000000001</v>
      </c>
    </row>
    <row r="91" spans="2:15" x14ac:dyDescent="0.25">
      <c r="B91" s="29" t="s">
        <v>273</v>
      </c>
      <c r="C91" s="30" t="s">
        <v>486</v>
      </c>
      <c r="D91">
        <v>2</v>
      </c>
      <c r="E91">
        <v>1</v>
      </c>
      <c r="F91">
        <v>20</v>
      </c>
      <c r="G91">
        <v>83</v>
      </c>
      <c r="H91">
        <v>16.600000000000001</v>
      </c>
      <c r="I91">
        <v>85.28</v>
      </c>
      <c r="J91">
        <v>78.569999999999993</v>
      </c>
      <c r="K91">
        <v>140</v>
      </c>
      <c r="L91">
        <v>28</v>
      </c>
      <c r="M91">
        <v>77.94</v>
      </c>
      <c r="N91">
        <v>59.38</v>
      </c>
      <c r="O91">
        <f t="shared" si="1"/>
        <v>11.399999999999999</v>
      </c>
    </row>
    <row r="92" spans="2:15" x14ac:dyDescent="0.25">
      <c r="B92" s="29" t="s">
        <v>274</v>
      </c>
      <c r="C92" s="30" t="s">
        <v>482</v>
      </c>
      <c r="D92">
        <v>2</v>
      </c>
      <c r="E92">
        <v>1</v>
      </c>
      <c r="F92">
        <v>16</v>
      </c>
      <c r="G92">
        <v>80</v>
      </c>
      <c r="H92">
        <v>16</v>
      </c>
      <c r="I92">
        <v>85.28</v>
      </c>
      <c r="J92">
        <v>80.709999999999994</v>
      </c>
      <c r="K92">
        <v>140</v>
      </c>
      <c r="L92">
        <v>28</v>
      </c>
      <c r="M92">
        <v>77.349999999999994</v>
      </c>
      <c r="N92">
        <v>60.62</v>
      </c>
      <c r="O92">
        <f t="shared" si="1"/>
        <v>12</v>
      </c>
    </row>
    <row r="93" spans="2:15" x14ac:dyDescent="0.25">
      <c r="B93" s="29" t="s">
        <v>275</v>
      </c>
      <c r="C93" s="30" t="s">
        <v>485</v>
      </c>
      <c r="D93">
        <v>2</v>
      </c>
      <c r="E93">
        <v>1</v>
      </c>
      <c r="F93">
        <v>19</v>
      </c>
      <c r="G93">
        <v>80</v>
      </c>
      <c r="H93">
        <v>16</v>
      </c>
      <c r="I93">
        <v>85.28</v>
      </c>
      <c r="J93">
        <v>80.709999999999994</v>
      </c>
      <c r="K93">
        <v>140</v>
      </c>
      <c r="L93">
        <v>28</v>
      </c>
      <c r="M93">
        <v>77.06</v>
      </c>
      <c r="N93">
        <v>61.25</v>
      </c>
      <c r="O93">
        <f t="shared" si="1"/>
        <v>12</v>
      </c>
    </row>
    <row r="94" spans="2:15" x14ac:dyDescent="0.25">
      <c r="B94" s="29" t="s">
        <v>276</v>
      </c>
      <c r="C94" s="30" t="s">
        <v>510</v>
      </c>
      <c r="D94">
        <v>2</v>
      </c>
      <c r="E94">
        <v>2</v>
      </c>
      <c r="F94">
        <v>22</v>
      </c>
      <c r="G94">
        <v>50</v>
      </c>
      <c r="H94">
        <v>10</v>
      </c>
      <c r="I94">
        <v>97.22</v>
      </c>
      <c r="J94">
        <v>71.430000000000007</v>
      </c>
      <c r="K94">
        <v>141</v>
      </c>
      <c r="L94">
        <v>28.2</v>
      </c>
      <c r="M94">
        <v>83.24</v>
      </c>
      <c r="N94">
        <v>47.5</v>
      </c>
      <c r="O94">
        <f t="shared" si="1"/>
        <v>18.2</v>
      </c>
    </row>
    <row r="95" spans="2:15" x14ac:dyDescent="0.25">
      <c r="B95" s="29" t="s">
        <v>277</v>
      </c>
      <c r="C95" s="30" t="s">
        <v>505</v>
      </c>
      <c r="D95">
        <v>2</v>
      </c>
      <c r="E95">
        <v>2</v>
      </c>
      <c r="F95">
        <v>17</v>
      </c>
      <c r="G95">
        <v>52</v>
      </c>
      <c r="H95">
        <v>10.4</v>
      </c>
      <c r="I95">
        <v>96.94</v>
      </c>
      <c r="J95">
        <v>70.709999999999994</v>
      </c>
      <c r="K95">
        <v>141</v>
      </c>
      <c r="L95">
        <v>28.2</v>
      </c>
      <c r="M95">
        <v>84.41</v>
      </c>
      <c r="N95">
        <v>45</v>
      </c>
      <c r="O95">
        <f t="shared" si="1"/>
        <v>17.799999999999997</v>
      </c>
    </row>
    <row r="96" spans="2:15" x14ac:dyDescent="0.25">
      <c r="B96" s="29" t="s">
        <v>278</v>
      </c>
      <c r="C96" s="30" t="s">
        <v>526</v>
      </c>
      <c r="D96">
        <v>2</v>
      </c>
      <c r="E96">
        <v>3</v>
      </c>
      <c r="F96">
        <v>16</v>
      </c>
      <c r="G96">
        <v>53</v>
      </c>
      <c r="H96">
        <v>10.6</v>
      </c>
      <c r="I96">
        <v>96.11</v>
      </c>
      <c r="J96">
        <v>72.14</v>
      </c>
      <c r="K96">
        <v>141</v>
      </c>
      <c r="L96">
        <v>28.2</v>
      </c>
      <c r="M96">
        <v>84.71</v>
      </c>
      <c r="N96">
        <v>44.38</v>
      </c>
      <c r="O96">
        <f t="shared" si="1"/>
        <v>17.600000000000001</v>
      </c>
    </row>
    <row r="97" spans="2:15" x14ac:dyDescent="0.25">
      <c r="B97" s="29" t="s">
        <v>279</v>
      </c>
      <c r="C97" s="30" t="s">
        <v>501</v>
      </c>
      <c r="D97">
        <v>2</v>
      </c>
      <c r="E97">
        <v>2</v>
      </c>
      <c r="F97">
        <v>13</v>
      </c>
      <c r="G97">
        <v>52</v>
      </c>
      <c r="H97">
        <v>10.4</v>
      </c>
      <c r="I97">
        <v>96.11</v>
      </c>
      <c r="J97">
        <v>72.86</v>
      </c>
      <c r="K97">
        <v>141</v>
      </c>
      <c r="L97">
        <v>28.2</v>
      </c>
      <c r="M97">
        <v>81.47</v>
      </c>
      <c r="N97">
        <v>51.25</v>
      </c>
      <c r="O97">
        <f t="shared" si="1"/>
        <v>17.799999999999997</v>
      </c>
    </row>
    <row r="98" spans="2:15" x14ac:dyDescent="0.25">
      <c r="B98" s="29" t="s">
        <v>280</v>
      </c>
      <c r="C98" s="30" t="s">
        <v>525</v>
      </c>
      <c r="D98">
        <v>2</v>
      </c>
      <c r="E98">
        <v>3</v>
      </c>
      <c r="F98">
        <v>15</v>
      </c>
      <c r="G98">
        <v>48</v>
      </c>
      <c r="H98">
        <v>9.6</v>
      </c>
      <c r="I98">
        <v>93.33</v>
      </c>
      <c r="J98">
        <v>82.86</v>
      </c>
      <c r="K98">
        <v>141</v>
      </c>
      <c r="L98">
        <v>28.2</v>
      </c>
      <c r="M98">
        <v>80.88</v>
      </c>
      <c r="N98">
        <v>52.5</v>
      </c>
      <c r="O98">
        <f t="shared" si="1"/>
        <v>18.600000000000001</v>
      </c>
    </row>
    <row r="99" spans="2:15" x14ac:dyDescent="0.25">
      <c r="B99" s="29" t="s">
        <v>281</v>
      </c>
      <c r="C99" s="30" t="s">
        <v>532</v>
      </c>
      <c r="D99">
        <v>2</v>
      </c>
      <c r="E99">
        <v>3</v>
      </c>
      <c r="F99">
        <v>22</v>
      </c>
      <c r="G99">
        <v>64</v>
      </c>
      <c r="H99">
        <v>12.8</v>
      </c>
      <c r="I99">
        <v>91.67</v>
      </c>
      <c r="J99">
        <v>75.709999999999994</v>
      </c>
      <c r="K99">
        <v>141</v>
      </c>
      <c r="L99">
        <v>28.2</v>
      </c>
      <c r="M99">
        <v>82.06</v>
      </c>
      <c r="N99">
        <v>50</v>
      </c>
      <c r="O99">
        <f t="shared" si="1"/>
        <v>15.399999999999999</v>
      </c>
    </row>
    <row r="100" spans="2:15" x14ac:dyDescent="0.25">
      <c r="B100" s="29" t="s">
        <v>282</v>
      </c>
      <c r="C100" s="30" t="s">
        <v>469</v>
      </c>
      <c r="D100">
        <v>2</v>
      </c>
      <c r="E100">
        <v>1</v>
      </c>
      <c r="F100">
        <v>3</v>
      </c>
      <c r="G100">
        <v>84</v>
      </c>
      <c r="H100">
        <v>16.8</v>
      </c>
      <c r="I100">
        <v>85.56</v>
      </c>
      <c r="J100">
        <v>77.14</v>
      </c>
      <c r="K100">
        <v>141</v>
      </c>
      <c r="L100">
        <v>28.2</v>
      </c>
      <c r="M100">
        <v>77.349999999999994</v>
      </c>
      <c r="N100">
        <v>60</v>
      </c>
      <c r="O100">
        <f t="shared" si="1"/>
        <v>11.399999999999999</v>
      </c>
    </row>
    <row r="101" spans="2:15" x14ac:dyDescent="0.25">
      <c r="B101" s="29" t="s">
        <v>283</v>
      </c>
      <c r="C101" s="30" t="s">
        <v>483</v>
      </c>
      <c r="D101">
        <v>2</v>
      </c>
      <c r="E101">
        <v>1</v>
      </c>
      <c r="F101">
        <v>17</v>
      </c>
      <c r="G101">
        <v>80</v>
      </c>
      <c r="H101">
        <v>16</v>
      </c>
      <c r="I101">
        <v>85.28</v>
      </c>
      <c r="J101">
        <v>80.709999999999994</v>
      </c>
      <c r="K101">
        <v>141</v>
      </c>
      <c r="L101">
        <v>28.2</v>
      </c>
      <c r="M101">
        <v>77.06</v>
      </c>
      <c r="N101">
        <v>60.62</v>
      </c>
      <c r="O101">
        <f t="shared" si="1"/>
        <v>12.2</v>
      </c>
    </row>
    <row r="102" spans="2:15" x14ac:dyDescent="0.25">
      <c r="B102" s="29" t="s">
        <v>284</v>
      </c>
      <c r="C102" s="30" t="s">
        <v>484</v>
      </c>
      <c r="D102">
        <v>2</v>
      </c>
      <c r="E102">
        <v>1</v>
      </c>
      <c r="F102">
        <v>18</v>
      </c>
      <c r="G102">
        <v>80</v>
      </c>
      <c r="H102">
        <v>16</v>
      </c>
      <c r="I102">
        <v>85.28</v>
      </c>
      <c r="J102">
        <v>80.709999999999994</v>
      </c>
      <c r="K102">
        <v>141</v>
      </c>
      <c r="L102">
        <v>28.2</v>
      </c>
      <c r="M102">
        <v>77.06</v>
      </c>
      <c r="N102">
        <v>60.62</v>
      </c>
      <c r="O102">
        <f t="shared" si="1"/>
        <v>12.2</v>
      </c>
    </row>
    <row r="103" spans="2:15" x14ac:dyDescent="0.25">
      <c r="B103" s="29" t="s">
        <v>285</v>
      </c>
      <c r="C103" s="30" t="s">
        <v>488</v>
      </c>
      <c r="D103">
        <v>2</v>
      </c>
      <c r="E103">
        <v>1</v>
      </c>
      <c r="F103">
        <v>22</v>
      </c>
      <c r="G103">
        <v>80</v>
      </c>
      <c r="H103">
        <v>16</v>
      </c>
      <c r="I103">
        <v>85.28</v>
      </c>
      <c r="J103">
        <v>80.709999999999994</v>
      </c>
      <c r="K103">
        <v>141</v>
      </c>
      <c r="L103">
        <v>28.2</v>
      </c>
      <c r="M103">
        <v>76.760000000000005</v>
      </c>
      <c r="N103">
        <v>61.25</v>
      </c>
      <c r="O103">
        <f t="shared" si="1"/>
        <v>12.2</v>
      </c>
    </row>
    <row r="104" spans="2:15" x14ac:dyDescent="0.25">
      <c r="B104" s="29" t="s">
        <v>286</v>
      </c>
      <c r="C104" s="30" t="s">
        <v>444</v>
      </c>
      <c r="D104">
        <v>1</v>
      </c>
      <c r="E104">
        <v>9</v>
      </c>
      <c r="G104">
        <v>16</v>
      </c>
      <c r="H104">
        <v>3.2</v>
      </c>
      <c r="I104">
        <v>99.17</v>
      </c>
      <c r="J104">
        <v>90.71</v>
      </c>
      <c r="K104">
        <v>142</v>
      </c>
      <c r="L104">
        <v>28.4</v>
      </c>
      <c r="M104">
        <v>80.88</v>
      </c>
      <c r="N104">
        <v>51.88</v>
      </c>
      <c r="O104">
        <f t="shared" si="1"/>
        <v>25.2</v>
      </c>
    </row>
    <row r="105" spans="2:15" x14ac:dyDescent="0.25">
      <c r="B105" s="29" t="s">
        <v>287</v>
      </c>
      <c r="C105" s="30" t="s">
        <v>451</v>
      </c>
      <c r="D105">
        <v>1</v>
      </c>
      <c r="E105">
        <v>16</v>
      </c>
      <c r="G105">
        <v>13</v>
      </c>
      <c r="H105">
        <v>2.6</v>
      </c>
      <c r="I105">
        <v>98.89</v>
      </c>
      <c r="J105">
        <v>93.57</v>
      </c>
      <c r="K105">
        <v>142</v>
      </c>
      <c r="L105">
        <v>28.4</v>
      </c>
      <c r="M105">
        <v>82.94</v>
      </c>
      <c r="N105">
        <v>47.5</v>
      </c>
      <c r="O105">
        <f t="shared" si="1"/>
        <v>25.799999999999997</v>
      </c>
    </row>
    <row r="106" spans="2:15" x14ac:dyDescent="0.25">
      <c r="B106" s="29" t="s">
        <v>288</v>
      </c>
      <c r="C106" s="30" t="s">
        <v>504</v>
      </c>
      <c r="D106">
        <v>2</v>
      </c>
      <c r="E106">
        <v>2</v>
      </c>
      <c r="F106">
        <v>16</v>
      </c>
      <c r="G106">
        <v>51</v>
      </c>
      <c r="H106">
        <v>10.199999999999999</v>
      </c>
      <c r="I106">
        <v>97.5</v>
      </c>
      <c r="J106">
        <v>70</v>
      </c>
      <c r="K106">
        <v>142</v>
      </c>
      <c r="L106">
        <v>28.4</v>
      </c>
      <c r="M106">
        <v>82.94</v>
      </c>
      <c r="N106">
        <v>47.5</v>
      </c>
      <c r="O106">
        <f t="shared" si="1"/>
        <v>18.2</v>
      </c>
    </row>
    <row r="107" spans="2:15" x14ac:dyDescent="0.25">
      <c r="B107" s="29" t="s">
        <v>289</v>
      </c>
      <c r="C107" s="30" t="s">
        <v>506</v>
      </c>
      <c r="D107">
        <v>2</v>
      </c>
      <c r="E107">
        <v>2</v>
      </c>
      <c r="F107">
        <v>18</v>
      </c>
      <c r="G107">
        <v>52</v>
      </c>
      <c r="H107">
        <v>10.4</v>
      </c>
      <c r="I107">
        <v>97.22</v>
      </c>
      <c r="J107">
        <v>70</v>
      </c>
      <c r="K107">
        <v>142</v>
      </c>
      <c r="L107">
        <v>28.4</v>
      </c>
      <c r="M107">
        <v>82.94</v>
      </c>
      <c r="N107">
        <v>47.5</v>
      </c>
      <c r="O107">
        <f t="shared" ref="O107:O142" si="2">SUM(L107,-H107)</f>
        <v>18</v>
      </c>
    </row>
    <row r="108" spans="2:15" x14ac:dyDescent="0.25">
      <c r="B108" s="29" t="s">
        <v>290</v>
      </c>
      <c r="C108" s="30" t="s">
        <v>522</v>
      </c>
      <c r="D108">
        <v>2</v>
      </c>
      <c r="E108">
        <v>3</v>
      </c>
      <c r="F108">
        <v>12</v>
      </c>
      <c r="G108">
        <v>40</v>
      </c>
      <c r="H108">
        <v>8</v>
      </c>
      <c r="I108">
        <v>93.89</v>
      </c>
      <c r="J108">
        <v>87.14</v>
      </c>
      <c r="K108">
        <v>142</v>
      </c>
      <c r="L108">
        <v>28.4</v>
      </c>
      <c r="M108">
        <v>79.709999999999994</v>
      </c>
      <c r="N108">
        <v>54.37</v>
      </c>
      <c r="O108">
        <f t="shared" si="2"/>
        <v>20.399999999999999</v>
      </c>
    </row>
    <row r="109" spans="2:15" x14ac:dyDescent="0.25">
      <c r="B109" s="29" t="s">
        <v>291</v>
      </c>
      <c r="C109" s="30" t="s">
        <v>498</v>
      </c>
      <c r="D109">
        <v>2</v>
      </c>
      <c r="E109">
        <v>2</v>
      </c>
      <c r="F109">
        <v>10</v>
      </c>
      <c r="G109">
        <v>83</v>
      </c>
      <c r="H109">
        <v>16.600000000000001</v>
      </c>
      <c r="I109">
        <v>87.78</v>
      </c>
      <c r="J109">
        <v>72.14</v>
      </c>
      <c r="K109">
        <v>142</v>
      </c>
      <c r="L109">
        <v>28.4</v>
      </c>
      <c r="M109">
        <v>80.290000000000006</v>
      </c>
      <c r="N109">
        <v>53.13</v>
      </c>
      <c r="O109">
        <f t="shared" si="2"/>
        <v>11.799999999999997</v>
      </c>
    </row>
    <row r="110" spans="2:15" x14ac:dyDescent="0.25">
      <c r="B110" s="29" t="s">
        <v>292</v>
      </c>
      <c r="C110" s="30" t="s">
        <v>472</v>
      </c>
      <c r="D110">
        <v>2</v>
      </c>
      <c r="E110">
        <v>1</v>
      </c>
      <c r="F110">
        <v>6</v>
      </c>
      <c r="G110">
        <v>81</v>
      </c>
      <c r="H110">
        <v>16.2</v>
      </c>
      <c r="I110">
        <v>86.11</v>
      </c>
      <c r="J110">
        <v>77.86</v>
      </c>
      <c r="K110">
        <v>142</v>
      </c>
      <c r="L110">
        <v>28.4</v>
      </c>
      <c r="M110">
        <v>77.650000000000006</v>
      </c>
      <c r="N110">
        <v>58.75</v>
      </c>
      <c r="O110">
        <f t="shared" si="2"/>
        <v>12.2</v>
      </c>
    </row>
    <row r="111" spans="2:15" x14ac:dyDescent="0.25">
      <c r="B111" s="29" t="s">
        <v>293</v>
      </c>
      <c r="C111" s="30" t="s">
        <v>470</v>
      </c>
      <c r="D111">
        <v>2</v>
      </c>
      <c r="E111">
        <v>1</v>
      </c>
      <c r="F111">
        <v>4</v>
      </c>
      <c r="G111">
        <v>81</v>
      </c>
      <c r="H111">
        <v>16.2</v>
      </c>
      <c r="I111">
        <v>85</v>
      </c>
      <c r="J111">
        <v>80.709999999999994</v>
      </c>
      <c r="K111">
        <v>142</v>
      </c>
      <c r="L111">
        <v>28.4</v>
      </c>
      <c r="M111">
        <v>76.760000000000005</v>
      </c>
      <c r="N111">
        <v>60.62</v>
      </c>
      <c r="O111">
        <f t="shared" si="2"/>
        <v>12.2</v>
      </c>
    </row>
    <row r="112" spans="2:15" x14ac:dyDescent="0.25">
      <c r="B112" s="29" t="s">
        <v>294</v>
      </c>
      <c r="C112" s="30" t="s">
        <v>439</v>
      </c>
      <c r="D112">
        <v>1</v>
      </c>
      <c r="E112">
        <v>4</v>
      </c>
      <c r="G112">
        <v>37</v>
      </c>
      <c r="H112">
        <v>7.4</v>
      </c>
      <c r="I112">
        <v>96.94</v>
      </c>
      <c r="J112">
        <v>81.430000000000007</v>
      </c>
      <c r="K112">
        <v>143</v>
      </c>
      <c r="L112">
        <v>28.6</v>
      </c>
      <c r="M112">
        <v>81.760000000000005</v>
      </c>
      <c r="N112">
        <v>49.38</v>
      </c>
      <c r="O112">
        <f t="shared" si="2"/>
        <v>21.200000000000003</v>
      </c>
    </row>
    <row r="113" spans="2:15" x14ac:dyDescent="0.25">
      <c r="B113" s="29" t="s">
        <v>295</v>
      </c>
      <c r="C113" s="30" t="s">
        <v>530</v>
      </c>
      <c r="D113">
        <v>2</v>
      </c>
      <c r="E113">
        <v>3</v>
      </c>
      <c r="F113">
        <v>20</v>
      </c>
      <c r="G113">
        <v>46</v>
      </c>
      <c r="H113">
        <v>9.1999999999999993</v>
      </c>
      <c r="I113">
        <v>95.28</v>
      </c>
      <c r="J113">
        <v>79.290000000000006</v>
      </c>
      <c r="K113">
        <v>143</v>
      </c>
      <c r="L113">
        <v>28.6</v>
      </c>
      <c r="M113">
        <v>81.760000000000005</v>
      </c>
      <c r="N113">
        <v>49.38</v>
      </c>
      <c r="O113">
        <f t="shared" si="2"/>
        <v>19.400000000000002</v>
      </c>
    </row>
    <row r="114" spans="2:15" x14ac:dyDescent="0.25">
      <c r="B114" s="29" t="s">
        <v>296</v>
      </c>
      <c r="C114" s="30" t="s">
        <v>489</v>
      </c>
      <c r="D114">
        <v>2</v>
      </c>
      <c r="E114">
        <v>2</v>
      </c>
      <c r="F114">
        <v>1</v>
      </c>
      <c r="G114">
        <v>61</v>
      </c>
      <c r="H114">
        <v>12.2</v>
      </c>
      <c r="I114">
        <v>94.17</v>
      </c>
      <c r="J114">
        <v>71.430000000000007</v>
      </c>
      <c r="K114">
        <v>143</v>
      </c>
      <c r="L114">
        <v>28.6</v>
      </c>
      <c r="M114">
        <v>82.65</v>
      </c>
      <c r="N114">
        <v>47.5</v>
      </c>
      <c r="O114">
        <f t="shared" si="2"/>
        <v>16.400000000000002</v>
      </c>
    </row>
    <row r="115" spans="2:15" x14ac:dyDescent="0.25">
      <c r="B115" s="29" t="s">
        <v>297</v>
      </c>
      <c r="C115" s="30" t="s">
        <v>524</v>
      </c>
      <c r="D115">
        <v>2</v>
      </c>
      <c r="E115">
        <v>3</v>
      </c>
      <c r="F115">
        <v>14</v>
      </c>
      <c r="G115">
        <v>42</v>
      </c>
      <c r="H115">
        <v>8.4</v>
      </c>
      <c r="I115">
        <v>93.61</v>
      </c>
      <c r="J115">
        <v>86.43</v>
      </c>
      <c r="K115">
        <v>143</v>
      </c>
      <c r="L115">
        <v>28.6</v>
      </c>
      <c r="M115">
        <v>79.41</v>
      </c>
      <c r="N115">
        <v>54.37</v>
      </c>
      <c r="O115">
        <f t="shared" si="2"/>
        <v>20.200000000000003</v>
      </c>
    </row>
    <row r="116" spans="2:15" x14ac:dyDescent="0.25">
      <c r="B116" s="29" t="s">
        <v>298</v>
      </c>
      <c r="C116" s="30" t="s">
        <v>518</v>
      </c>
      <c r="D116">
        <v>2</v>
      </c>
      <c r="E116">
        <v>3</v>
      </c>
      <c r="F116">
        <v>8</v>
      </c>
      <c r="G116">
        <v>41</v>
      </c>
      <c r="H116">
        <v>8.1999999999999993</v>
      </c>
      <c r="I116">
        <v>93.06</v>
      </c>
      <c r="J116">
        <v>88.57</v>
      </c>
      <c r="K116">
        <v>143</v>
      </c>
      <c r="L116">
        <v>28.6</v>
      </c>
      <c r="M116">
        <v>80</v>
      </c>
      <c r="N116">
        <v>53.13</v>
      </c>
      <c r="O116">
        <f t="shared" si="2"/>
        <v>20.400000000000002</v>
      </c>
    </row>
    <row r="117" spans="2:15" x14ac:dyDescent="0.25">
      <c r="B117" s="29" t="s">
        <v>299</v>
      </c>
      <c r="C117" s="30" t="s">
        <v>512</v>
      </c>
      <c r="D117">
        <v>2</v>
      </c>
      <c r="E117">
        <v>3</v>
      </c>
      <c r="F117">
        <v>2</v>
      </c>
      <c r="G117">
        <v>50</v>
      </c>
      <c r="H117">
        <v>10</v>
      </c>
      <c r="I117">
        <v>91.94</v>
      </c>
      <c r="J117">
        <v>85</v>
      </c>
      <c r="K117">
        <v>143</v>
      </c>
      <c r="L117">
        <v>28.6</v>
      </c>
      <c r="M117">
        <v>81.180000000000007</v>
      </c>
      <c r="N117">
        <v>50.63</v>
      </c>
      <c r="O117">
        <f t="shared" si="2"/>
        <v>18.600000000000001</v>
      </c>
    </row>
    <row r="118" spans="2:15" x14ac:dyDescent="0.25">
      <c r="B118" s="29" t="s">
        <v>300</v>
      </c>
      <c r="C118" s="31" t="s">
        <v>438</v>
      </c>
      <c r="D118">
        <v>1</v>
      </c>
      <c r="E118">
        <v>3</v>
      </c>
      <c r="G118">
        <v>52</v>
      </c>
      <c r="H118">
        <v>10.4</v>
      </c>
      <c r="I118">
        <v>91.94</v>
      </c>
      <c r="J118">
        <v>83.57</v>
      </c>
      <c r="K118">
        <v>143</v>
      </c>
      <c r="L118">
        <v>28.6</v>
      </c>
      <c r="M118">
        <v>80.290000000000006</v>
      </c>
      <c r="N118">
        <v>52.5</v>
      </c>
      <c r="O118">
        <f t="shared" si="2"/>
        <v>18.200000000000003</v>
      </c>
    </row>
    <row r="119" spans="2:15" x14ac:dyDescent="0.25">
      <c r="B119" s="29" t="s">
        <v>301</v>
      </c>
      <c r="C119" s="30" t="s">
        <v>479</v>
      </c>
      <c r="D119">
        <v>2</v>
      </c>
      <c r="E119">
        <v>1</v>
      </c>
      <c r="F119">
        <v>13</v>
      </c>
      <c r="G119">
        <v>82</v>
      </c>
      <c r="H119">
        <v>16.399999999999999</v>
      </c>
      <c r="I119">
        <v>85</v>
      </c>
      <c r="J119">
        <v>80</v>
      </c>
      <c r="K119">
        <v>143</v>
      </c>
      <c r="L119">
        <v>28.6</v>
      </c>
      <c r="M119">
        <v>77.06</v>
      </c>
      <c r="N119">
        <v>59.38</v>
      </c>
      <c r="O119">
        <f t="shared" si="2"/>
        <v>12.200000000000003</v>
      </c>
    </row>
    <row r="120" spans="2:15" x14ac:dyDescent="0.25">
      <c r="B120" s="29" t="s">
        <v>302</v>
      </c>
      <c r="C120" s="30" t="s">
        <v>474</v>
      </c>
      <c r="D120">
        <v>2</v>
      </c>
      <c r="E120">
        <v>1</v>
      </c>
      <c r="F120">
        <v>8</v>
      </c>
      <c r="G120">
        <v>83</v>
      </c>
      <c r="H120">
        <v>16.600000000000001</v>
      </c>
      <c r="I120">
        <v>84.72</v>
      </c>
      <c r="J120">
        <v>80</v>
      </c>
      <c r="K120">
        <v>143</v>
      </c>
      <c r="L120">
        <v>28.6</v>
      </c>
      <c r="M120">
        <v>76.760000000000005</v>
      </c>
      <c r="N120">
        <v>60</v>
      </c>
      <c r="O120">
        <f t="shared" si="2"/>
        <v>12</v>
      </c>
    </row>
    <row r="121" spans="2:15" x14ac:dyDescent="0.25">
      <c r="B121" s="29" t="s">
        <v>303</v>
      </c>
      <c r="C121" s="30" t="s">
        <v>452</v>
      </c>
      <c r="D121">
        <v>1</v>
      </c>
      <c r="E121">
        <v>17</v>
      </c>
      <c r="G121">
        <v>5</v>
      </c>
      <c r="H121">
        <v>1</v>
      </c>
      <c r="I121">
        <v>99.44</v>
      </c>
      <c r="J121">
        <v>97.86</v>
      </c>
      <c r="K121">
        <v>144</v>
      </c>
      <c r="L121">
        <v>28.8</v>
      </c>
      <c r="M121">
        <v>80.88</v>
      </c>
      <c r="N121">
        <v>50.63</v>
      </c>
      <c r="O121">
        <f t="shared" si="2"/>
        <v>27.8</v>
      </c>
    </row>
    <row r="122" spans="2:15" x14ac:dyDescent="0.25">
      <c r="B122" s="29" t="s">
        <v>304</v>
      </c>
      <c r="C122" s="30" t="s">
        <v>508</v>
      </c>
      <c r="D122">
        <v>2</v>
      </c>
      <c r="E122">
        <v>2</v>
      </c>
      <c r="F122">
        <v>20</v>
      </c>
      <c r="G122">
        <v>53</v>
      </c>
      <c r="H122">
        <v>10.6</v>
      </c>
      <c r="I122">
        <v>97.22</v>
      </c>
      <c r="J122">
        <v>69.290000000000006</v>
      </c>
      <c r="K122">
        <v>144</v>
      </c>
      <c r="L122">
        <v>28.8</v>
      </c>
      <c r="M122">
        <v>83.24</v>
      </c>
      <c r="N122">
        <v>45.63</v>
      </c>
      <c r="O122">
        <f t="shared" si="2"/>
        <v>18.200000000000003</v>
      </c>
    </row>
    <row r="123" spans="2:15" x14ac:dyDescent="0.25">
      <c r="B123" s="29" t="s">
        <v>305</v>
      </c>
      <c r="C123" s="30" t="s">
        <v>533</v>
      </c>
      <c r="D123">
        <v>2</v>
      </c>
      <c r="E123">
        <v>4</v>
      </c>
      <c r="F123">
        <v>1</v>
      </c>
      <c r="G123">
        <v>33</v>
      </c>
      <c r="H123">
        <v>6.6</v>
      </c>
      <c r="I123">
        <v>96.39</v>
      </c>
      <c r="J123">
        <v>85.71</v>
      </c>
      <c r="K123">
        <v>144</v>
      </c>
      <c r="L123">
        <v>28.8</v>
      </c>
      <c r="M123">
        <v>82.65</v>
      </c>
      <c r="N123">
        <v>46.88</v>
      </c>
      <c r="O123">
        <f t="shared" si="2"/>
        <v>22.200000000000003</v>
      </c>
    </row>
    <row r="124" spans="2:15" x14ac:dyDescent="0.25">
      <c r="B124" s="29" t="s">
        <v>306</v>
      </c>
      <c r="C124" s="30" t="s">
        <v>497</v>
      </c>
      <c r="D124">
        <v>2</v>
      </c>
      <c r="E124">
        <v>2</v>
      </c>
      <c r="F124">
        <v>9</v>
      </c>
      <c r="G124">
        <v>54</v>
      </c>
      <c r="H124">
        <v>10.8</v>
      </c>
      <c r="I124">
        <v>95.83</v>
      </c>
      <c r="J124">
        <v>72.14</v>
      </c>
      <c r="K124">
        <v>144</v>
      </c>
      <c r="L124">
        <v>28.8</v>
      </c>
      <c r="M124">
        <v>82.06</v>
      </c>
      <c r="N124">
        <v>48.13</v>
      </c>
      <c r="O124">
        <f t="shared" si="2"/>
        <v>18</v>
      </c>
    </row>
    <row r="125" spans="2:15" x14ac:dyDescent="0.25">
      <c r="B125" s="29" t="s">
        <v>307</v>
      </c>
      <c r="C125" s="30" t="s">
        <v>450</v>
      </c>
      <c r="D125">
        <v>1</v>
      </c>
      <c r="E125">
        <v>15</v>
      </c>
      <c r="G125">
        <v>6</v>
      </c>
      <c r="H125">
        <v>1.2</v>
      </c>
      <c r="I125">
        <v>99.44</v>
      </c>
      <c r="J125">
        <v>97.14</v>
      </c>
      <c r="K125">
        <v>145</v>
      </c>
      <c r="L125">
        <v>29</v>
      </c>
      <c r="M125">
        <v>82.35</v>
      </c>
      <c r="N125">
        <v>46.88</v>
      </c>
      <c r="O125">
        <f t="shared" si="2"/>
        <v>27.8</v>
      </c>
    </row>
    <row r="126" spans="2:15" x14ac:dyDescent="0.25">
      <c r="B126" s="29" t="s">
        <v>308</v>
      </c>
      <c r="C126" s="30" t="s">
        <v>460</v>
      </c>
      <c r="D126">
        <v>1</v>
      </c>
      <c r="E126">
        <v>25</v>
      </c>
      <c r="G126">
        <v>7</v>
      </c>
      <c r="H126">
        <v>1.4</v>
      </c>
      <c r="I126">
        <v>99.44</v>
      </c>
      <c r="J126">
        <v>96.43</v>
      </c>
      <c r="K126">
        <v>145</v>
      </c>
      <c r="L126">
        <v>29</v>
      </c>
      <c r="M126">
        <v>82.35</v>
      </c>
      <c r="N126">
        <v>46.88</v>
      </c>
      <c r="O126">
        <f t="shared" si="2"/>
        <v>27.6</v>
      </c>
    </row>
    <row r="127" spans="2:15" x14ac:dyDescent="0.25">
      <c r="B127" s="29" t="s">
        <v>309</v>
      </c>
      <c r="C127" s="30" t="s">
        <v>449</v>
      </c>
      <c r="D127">
        <v>1</v>
      </c>
      <c r="E127">
        <v>14</v>
      </c>
      <c r="G127">
        <v>14</v>
      </c>
      <c r="H127">
        <v>2.8</v>
      </c>
      <c r="I127">
        <v>98.89</v>
      </c>
      <c r="J127">
        <v>92.86</v>
      </c>
      <c r="K127">
        <v>145</v>
      </c>
      <c r="L127">
        <v>29</v>
      </c>
      <c r="M127">
        <v>80.290000000000006</v>
      </c>
      <c r="N127">
        <v>51.25</v>
      </c>
      <c r="O127">
        <f t="shared" si="2"/>
        <v>26.2</v>
      </c>
    </row>
    <row r="128" spans="2:15" x14ac:dyDescent="0.25">
      <c r="B128" s="29" t="s">
        <v>310</v>
      </c>
      <c r="C128" s="30" t="s">
        <v>521</v>
      </c>
      <c r="D128">
        <v>2</v>
      </c>
      <c r="E128">
        <v>3</v>
      </c>
      <c r="F128">
        <v>11</v>
      </c>
      <c r="G128">
        <v>45</v>
      </c>
      <c r="H128">
        <v>9</v>
      </c>
      <c r="I128">
        <v>92.78</v>
      </c>
      <c r="J128">
        <v>86.43</v>
      </c>
      <c r="K128">
        <v>145</v>
      </c>
      <c r="L128">
        <v>29</v>
      </c>
      <c r="M128">
        <v>78.239999999999995</v>
      </c>
      <c r="N128">
        <v>55.63</v>
      </c>
      <c r="O128">
        <f t="shared" si="2"/>
        <v>20</v>
      </c>
    </row>
    <row r="129" spans="2:15" x14ac:dyDescent="0.25">
      <c r="B129" s="29" t="s">
        <v>311</v>
      </c>
      <c r="C129" s="30" t="s">
        <v>458</v>
      </c>
      <c r="D129">
        <v>1</v>
      </c>
      <c r="E129">
        <v>23</v>
      </c>
      <c r="G129">
        <v>7</v>
      </c>
      <c r="H129">
        <v>1.4</v>
      </c>
      <c r="I129">
        <v>99.44</v>
      </c>
      <c r="J129">
        <v>96.43</v>
      </c>
      <c r="K129">
        <v>146</v>
      </c>
      <c r="L129">
        <v>29.2</v>
      </c>
      <c r="M129">
        <v>85.29</v>
      </c>
      <c r="N129">
        <v>40</v>
      </c>
      <c r="O129">
        <f t="shared" si="2"/>
        <v>27.8</v>
      </c>
    </row>
    <row r="130" spans="2:15" x14ac:dyDescent="0.25">
      <c r="B130" s="29" t="s">
        <v>312</v>
      </c>
      <c r="C130" s="30" t="s">
        <v>436</v>
      </c>
      <c r="D130">
        <v>1</v>
      </c>
      <c r="E130">
        <v>1</v>
      </c>
      <c r="G130">
        <v>77</v>
      </c>
      <c r="H130">
        <v>15.4</v>
      </c>
      <c r="I130">
        <v>87.5</v>
      </c>
      <c r="J130">
        <v>77.14</v>
      </c>
      <c r="K130">
        <v>146</v>
      </c>
      <c r="L130">
        <v>29.2</v>
      </c>
      <c r="M130">
        <v>77.94</v>
      </c>
      <c r="N130">
        <v>55.63</v>
      </c>
      <c r="O130">
        <f t="shared" si="2"/>
        <v>13.799999999999999</v>
      </c>
    </row>
    <row r="131" spans="2:15" x14ac:dyDescent="0.25">
      <c r="B131" s="29" t="s">
        <v>313</v>
      </c>
      <c r="C131" s="30" t="s">
        <v>471</v>
      </c>
      <c r="D131">
        <v>2</v>
      </c>
      <c r="E131">
        <v>1</v>
      </c>
      <c r="F131">
        <v>5</v>
      </c>
      <c r="G131">
        <v>80</v>
      </c>
      <c r="H131">
        <v>16</v>
      </c>
      <c r="I131">
        <v>86.39</v>
      </c>
      <c r="J131">
        <v>77.86</v>
      </c>
      <c r="K131">
        <v>146</v>
      </c>
      <c r="L131">
        <v>29.2</v>
      </c>
      <c r="M131">
        <v>77.94</v>
      </c>
      <c r="N131">
        <v>55.63</v>
      </c>
      <c r="O131">
        <f t="shared" si="2"/>
        <v>13.2</v>
      </c>
    </row>
    <row r="132" spans="2:15" x14ac:dyDescent="0.25">
      <c r="B132" s="29" t="s">
        <v>314</v>
      </c>
      <c r="C132" s="30" t="s">
        <v>476</v>
      </c>
      <c r="D132">
        <v>2</v>
      </c>
      <c r="E132">
        <v>1</v>
      </c>
      <c r="F132">
        <v>10</v>
      </c>
      <c r="G132">
        <v>80</v>
      </c>
      <c r="H132">
        <v>16</v>
      </c>
      <c r="I132">
        <v>86.11</v>
      </c>
      <c r="J132">
        <v>78.569999999999993</v>
      </c>
      <c r="K132">
        <v>146</v>
      </c>
      <c r="L132">
        <v>29.2</v>
      </c>
      <c r="M132">
        <v>77.650000000000006</v>
      </c>
      <c r="N132">
        <v>56.25</v>
      </c>
      <c r="O132">
        <f t="shared" si="2"/>
        <v>13.2</v>
      </c>
    </row>
    <row r="133" spans="2:15" x14ac:dyDescent="0.25">
      <c r="B133" s="29" t="s">
        <v>315</v>
      </c>
      <c r="C133" s="30" t="s">
        <v>475</v>
      </c>
      <c r="D133">
        <v>2</v>
      </c>
      <c r="E133">
        <v>1</v>
      </c>
      <c r="F133">
        <v>9</v>
      </c>
      <c r="G133">
        <v>82</v>
      </c>
      <c r="H133">
        <v>16.399999999999999</v>
      </c>
      <c r="I133">
        <v>86.11</v>
      </c>
      <c r="J133">
        <v>77.14</v>
      </c>
      <c r="K133">
        <v>146</v>
      </c>
      <c r="L133">
        <v>29.2</v>
      </c>
      <c r="M133">
        <v>77.349999999999994</v>
      </c>
      <c r="N133">
        <v>56.88</v>
      </c>
      <c r="O133">
        <f t="shared" si="2"/>
        <v>12.8</v>
      </c>
    </row>
    <row r="134" spans="2:15" x14ac:dyDescent="0.25">
      <c r="B134" s="29" t="s">
        <v>316</v>
      </c>
      <c r="C134" s="30" t="s">
        <v>531</v>
      </c>
      <c r="D134">
        <v>2</v>
      </c>
      <c r="E134">
        <v>3</v>
      </c>
      <c r="F134">
        <v>21</v>
      </c>
      <c r="G134">
        <v>45</v>
      </c>
      <c r="H134">
        <v>9</v>
      </c>
      <c r="I134">
        <v>95</v>
      </c>
      <c r="J134">
        <v>80.709999999999994</v>
      </c>
      <c r="K134">
        <v>147</v>
      </c>
      <c r="L134">
        <v>29.4</v>
      </c>
      <c r="M134">
        <v>80.59</v>
      </c>
      <c r="N134">
        <v>49.38</v>
      </c>
      <c r="O134">
        <f t="shared" si="2"/>
        <v>20.399999999999999</v>
      </c>
    </row>
    <row r="135" spans="2:15" x14ac:dyDescent="0.25">
      <c r="B135" s="29" t="s">
        <v>317</v>
      </c>
      <c r="C135" s="30" t="s">
        <v>520</v>
      </c>
      <c r="D135">
        <v>2</v>
      </c>
      <c r="E135">
        <v>3</v>
      </c>
      <c r="F135">
        <v>10</v>
      </c>
      <c r="G135">
        <v>42</v>
      </c>
      <c r="H135">
        <v>8.4</v>
      </c>
      <c r="I135">
        <v>93.06</v>
      </c>
      <c r="J135">
        <v>87.86</v>
      </c>
      <c r="K135">
        <v>147</v>
      </c>
      <c r="L135">
        <v>29.4</v>
      </c>
      <c r="M135">
        <v>78.819999999999993</v>
      </c>
      <c r="N135">
        <v>53.13</v>
      </c>
      <c r="O135">
        <f t="shared" si="2"/>
        <v>21</v>
      </c>
    </row>
    <row r="136" spans="2:15" x14ac:dyDescent="0.25">
      <c r="B136" s="29" t="s">
        <v>318</v>
      </c>
      <c r="C136" s="30" t="s">
        <v>523</v>
      </c>
      <c r="D136">
        <v>2</v>
      </c>
      <c r="E136">
        <v>3</v>
      </c>
      <c r="F136">
        <v>13</v>
      </c>
      <c r="G136">
        <v>47</v>
      </c>
      <c r="H136">
        <v>9.4</v>
      </c>
      <c r="I136">
        <v>92.22</v>
      </c>
      <c r="J136">
        <v>86.43</v>
      </c>
      <c r="K136">
        <v>147</v>
      </c>
      <c r="L136">
        <v>29.4</v>
      </c>
      <c r="M136">
        <v>78.239999999999995</v>
      </c>
      <c r="N136">
        <v>54.37</v>
      </c>
      <c r="O136">
        <f t="shared" si="2"/>
        <v>20</v>
      </c>
    </row>
    <row r="137" spans="2:15" x14ac:dyDescent="0.25">
      <c r="B137" s="29" t="s">
        <v>319</v>
      </c>
      <c r="C137" s="30" t="s">
        <v>517</v>
      </c>
      <c r="D137">
        <v>2</v>
      </c>
      <c r="E137">
        <v>3</v>
      </c>
      <c r="F137">
        <v>7</v>
      </c>
      <c r="G137">
        <v>46</v>
      </c>
      <c r="H137">
        <v>9.1999999999999993</v>
      </c>
      <c r="I137">
        <v>93.89</v>
      </c>
      <c r="J137">
        <v>82.86</v>
      </c>
      <c r="K137">
        <v>148</v>
      </c>
      <c r="L137">
        <v>29.6</v>
      </c>
      <c r="M137">
        <v>79.41</v>
      </c>
      <c r="N137">
        <v>51.25</v>
      </c>
      <c r="O137">
        <f t="shared" si="2"/>
        <v>20.400000000000002</v>
      </c>
    </row>
    <row r="138" spans="2:15" x14ac:dyDescent="0.25">
      <c r="B138" s="29" t="s">
        <v>320</v>
      </c>
      <c r="C138" s="30" t="s">
        <v>528</v>
      </c>
      <c r="D138">
        <v>2</v>
      </c>
      <c r="E138">
        <v>3</v>
      </c>
      <c r="F138">
        <v>18</v>
      </c>
      <c r="G138">
        <v>49</v>
      </c>
      <c r="H138">
        <v>9.8000000000000007</v>
      </c>
      <c r="I138">
        <v>91.94</v>
      </c>
      <c r="J138">
        <v>85.71</v>
      </c>
      <c r="K138">
        <v>148</v>
      </c>
      <c r="L138">
        <v>29.6</v>
      </c>
      <c r="M138">
        <v>78.239999999999995</v>
      </c>
      <c r="N138">
        <v>53.75</v>
      </c>
      <c r="O138">
        <f t="shared" si="2"/>
        <v>19.8</v>
      </c>
    </row>
    <row r="139" spans="2:15" x14ac:dyDescent="0.25">
      <c r="B139" s="29" t="s">
        <v>321</v>
      </c>
      <c r="C139" s="30" t="s">
        <v>467</v>
      </c>
      <c r="D139">
        <v>2</v>
      </c>
      <c r="E139">
        <v>1</v>
      </c>
      <c r="F139">
        <v>1</v>
      </c>
      <c r="G139">
        <v>79</v>
      </c>
      <c r="H139">
        <v>15.8</v>
      </c>
      <c r="I139">
        <v>85</v>
      </c>
      <c r="J139">
        <v>82.14</v>
      </c>
      <c r="K139">
        <v>148</v>
      </c>
      <c r="L139">
        <v>29.6</v>
      </c>
      <c r="M139">
        <v>75</v>
      </c>
      <c r="N139">
        <v>60.62</v>
      </c>
      <c r="O139">
        <f t="shared" si="2"/>
        <v>13.8</v>
      </c>
    </row>
    <row r="140" spans="2:15" x14ac:dyDescent="0.25">
      <c r="B140" s="29" t="s">
        <v>322</v>
      </c>
      <c r="C140" s="30" t="s">
        <v>447</v>
      </c>
      <c r="D140">
        <v>1</v>
      </c>
      <c r="E140">
        <v>12</v>
      </c>
      <c r="G140">
        <v>7</v>
      </c>
      <c r="H140">
        <v>1.4</v>
      </c>
      <c r="I140">
        <v>99.72</v>
      </c>
      <c r="J140">
        <v>95.71</v>
      </c>
      <c r="K140">
        <v>153</v>
      </c>
      <c r="L140">
        <v>30.6</v>
      </c>
      <c r="M140">
        <v>78.819999999999993</v>
      </c>
      <c r="N140">
        <v>49.38</v>
      </c>
      <c r="O140">
        <f t="shared" si="2"/>
        <v>29.200000000000003</v>
      </c>
    </row>
    <row r="141" spans="2:15" x14ac:dyDescent="0.25">
      <c r="B141" s="29" t="s">
        <v>323</v>
      </c>
      <c r="C141" s="30" t="s">
        <v>441</v>
      </c>
      <c r="D141">
        <v>1</v>
      </c>
      <c r="E141">
        <v>6</v>
      </c>
      <c r="G141">
        <v>13</v>
      </c>
      <c r="H141">
        <v>2.6</v>
      </c>
      <c r="I141">
        <v>99.17</v>
      </c>
      <c r="J141">
        <v>92.86</v>
      </c>
      <c r="K141">
        <v>156</v>
      </c>
      <c r="L141">
        <v>31.2</v>
      </c>
      <c r="M141">
        <v>79.41</v>
      </c>
      <c r="N141">
        <v>46.25</v>
      </c>
      <c r="O141">
        <f t="shared" si="2"/>
        <v>28.599999999999998</v>
      </c>
    </row>
    <row r="142" spans="2:15" x14ac:dyDescent="0.25">
      <c r="B142" s="29" t="s">
        <v>324</v>
      </c>
      <c r="C142" s="30" t="s">
        <v>456</v>
      </c>
      <c r="D142">
        <v>1</v>
      </c>
      <c r="E142">
        <v>21</v>
      </c>
      <c r="G142">
        <v>8</v>
      </c>
      <c r="H142">
        <v>1.6</v>
      </c>
      <c r="I142">
        <v>99.72</v>
      </c>
      <c r="J142">
        <v>95</v>
      </c>
      <c r="K142">
        <v>157</v>
      </c>
      <c r="L142">
        <v>31.4</v>
      </c>
      <c r="M142">
        <v>78.53</v>
      </c>
      <c r="N142">
        <v>47.5</v>
      </c>
      <c r="O142">
        <f t="shared" si="2"/>
        <v>29.799999999999997</v>
      </c>
    </row>
    <row r="145" spans="2:12" ht="18" x14ac:dyDescent="0.35">
      <c r="B145" s="22" t="s">
        <v>325</v>
      </c>
    </row>
    <row r="147" spans="2:12" x14ac:dyDescent="0.25">
      <c r="D147" s="78" t="s">
        <v>326</v>
      </c>
      <c r="E147" s="78"/>
      <c r="F147" s="78"/>
      <c r="G147" s="78"/>
      <c r="I147" s="78" t="s">
        <v>327</v>
      </c>
      <c r="J147" s="78"/>
      <c r="K147" s="78"/>
      <c r="L147" s="78"/>
    </row>
    <row r="149" spans="2:12" ht="15.6" x14ac:dyDescent="0.3">
      <c r="B149" s="28" t="s">
        <v>328</v>
      </c>
      <c r="D149" s="59" t="s">
        <v>329</v>
      </c>
      <c r="E149" s="60"/>
      <c r="F149" s="61"/>
      <c r="I149" s="59" t="s">
        <v>329</v>
      </c>
      <c r="J149" s="60"/>
      <c r="K149" s="61"/>
    </row>
    <row r="150" spans="2:12" ht="13.8" x14ac:dyDescent="0.3">
      <c r="D150" s="26"/>
      <c r="E150" s="75" t="s">
        <v>330</v>
      </c>
      <c r="F150" s="76"/>
      <c r="I150" s="26"/>
      <c r="J150" s="75" t="s">
        <v>330</v>
      </c>
      <c r="K150" s="76"/>
    </row>
    <row r="151" spans="2:12" ht="13.8" x14ac:dyDescent="0.3">
      <c r="D151" s="25" t="s">
        <v>331</v>
      </c>
      <c r="E151" s="26">
        <v>0</v>
      </c>
      <c r="F151" s="26">
        <v>1</v>
      </c>
      <c r="I151" s="25" t="s">
        <v>331</v>
      </c>
      <c r="J151" s="26">
        <v>0</v>
      </c>
      <c r="K151" s="26">
        <v>1</v>
      </c>
    </row>
    <row r="152" spans="2:12" ht="13.8" x14ac:dyDescent="0.3">
      <c r="D152" s="25">
        <v>0</v>
      </c>
      <c r="E152" s="24">
        <v>108</v>
      </c>
      <c r="F152" s="24">
        <v>32</v>
      </c>
      <c r="I152" s="25">
        <v>0</v>
      </c>
      <c r="J152" s="24">
        <v>89</v>
      </c>
      <c r="K152" s="24">
        <v>71</v>
      </c>
    </row>
    <row r="153" spans="2:12" ht="13.8" x14ac:dyDescent="0.3">
      <c r="D153" s="25">
        <v>1</v>
      </c>
      <c r="E153" s="24">
        <v>45</v>
      </c>
      <c r="F153" s="24">
        <v>315</v>
      </c>
      <c r="I153" s="25">
        <v>1</v>
      </c>
      <c r="J153" s="24">
        <v>75</v>
      </c>
      <c r="K153" s="24">
        <v>265</v>
      </c>
    </row>
    <row r="155" spans="2:12" ht="15.6" x14ac:dyDescent="0.3">
      <c r="D155" s="59" t="s">
        <v>210</v>
      </c>
      <c r="E155" s="60"/>
      <c r="F155" s="60"/>
      <c r="G155" s="61"/>
      <c r="I155" s="59" t="s">
        <v>210</v>
      </c>
      <c r="J155" s="60"/>
      <c r="K155" s="60"/>
      <c r="L155" s="61"/>
    </row>
    <row r="156" spans="2:12" ht="13.8" x14ac:dyDescent="0.3">
      <c r="D156" s="26" t="s">
        <v>332</v>
      </c>
      <c r="E156" s="26" t="s">
        <v>333</v>
      </c>
      <c r="F156" s="26" t="s">
        <v>334</v>
      </c>
      <c r="G156" s="26" t="s">
        <v>335</v>
      </c>
      <c r="I156" s="26" t="s">
        <v>332</v>
      </c>
      <c r="J156" s="26" t="s">
        <v>333</v>
      </c>
      <c r="K156" s="26" t="s">
        <v>334</v>
      </c>
      <c r="L156" s="26" t="s">
        <v>335</v>
      </c>
    </row>
    <row r="157" spans="2:12" ht="13.8" x14ac:dyDescent="0.3">
      <c r="D157" s="25">
        <v>0</v>
      </c>
      <c r="E157" s="24">
        <f>SUM($E$152:$F$152)</f>
        <v>140</v>
      </c>
      <c r="F157" s="24">
        <f>SUM($E$152:$F$152) - $E$152:$E$152</f>
        <v>32</v>
      </c>
      <c r="G157" s="24">
        <f>IF($E$157:$E$157 = 0, "Undefined",$F$157:$F$157*100 / $E$157:$E$157)</f>
        <v>22.857142857142858</v>
      </c>
      <c r="I157" s="25">
        <v>0</v>
      </c>
      <c r="J157" s="24">
        <f>SUM($J$152:$K$152)</f>
        <v>160</v>
      </c>
      <c r="K157" s="24">
        <f>SUM($J$152:$K$152) - $J$152:$J$152</f>
        <v>71</v>
      </c>
      <c r="L157" s="24">
        <f>IF($J$157:$J$157 = 0, "Undefined",$K$157:$K$157*100 / $J$157:$J$157)</f>
        <v>44.375</v>
      </c>
    </row>
    <row r="158" spans="2:12" ht="13.8" x14ac:dyDescent="0.3">
      <c r="D158" s="25">
        <v>1</v>
      </c>
      <c r="E158" s="24">
        <f>SUM($E$153:$F$153)</f>
        <v>360</v>
      </c>
      <c r="F158" s="24">
        <f>SUM($E$153:$F$153) - $F$153:$F$153</f>
        <v>45</v>
      </c>
      <c r="G158" s="24">
        <f>IF($E$158:$E$158 = 0, "Undefined",$F$158:$F$158*100 / $E$158:$E$158)</f>
        <v>12.5</v>
      </c>
      <c r="I158" s="25">
        <v>1</v>
      </c>
      <c r="J158" s="24">
        <f>SUM($J$153:$K$153)</f>
        <v>340</v>
      </c>
      <c r="K158" s="24">
        <f>SUM($J$153:$K$153) - $K$153:$K$153</f>
        <v>75</v>
      </c>
      <c r="L158" s="24">
        <f>IF($J$158:$J$158 = 0, "Undefined",$K$158:$K$158*100 / $J$158:$J$158)</f>
        <v>22.058823529411764</v>
      </c>
    </row>
    <row r="159" spans="2:12" ht="13.8" x14ac:dyDescent="0.3">
      <c r="D159" s="25" t="s">
        <v>336</v>
      </c>
      <c r="E159" s="24">
        <f>SUM($E$157:$E$158)</f>
        <v>500</v>
      </c>
      <c r="F159" s="24">
        <f>SUM($F$157:$F$158)</f>
        <v>77</v>
      </c>
      <c r="G159" s="24">
        <f>IF($E$159:$E$159 = 0, "Undefined",$F$159:$F$159*100 / $E$159:$E$159)</f>
        <v>15.4</v>
      </c>
      <c r="I159" s="25" t="s">
        <v>336</v>
      </c>
      <c r="J159" s="24">
        <f>SUM($J$157:$J$158)</f>
        <v>500</v>
      </c>
      <c r="K159" s="24">
        <f>SUM($K$157:$K$158)</f>
        <v>146</v>
      </c>
      <c r="L159" s="24">
        <f>IF($J$159:$J$159 = 0, "Undefined",$K$159:$K$159*100 / $J$159:$J$159)</f>
        <v>29.2</v>
      </c>
    </row>
    <row r="161" spans="2:12" ht="15.6" x14ac:dyDescent="0.3">
      <c r="B161" s="28" t="s">
        <v>337</v>
      </c>
      <c r="D161" s="59" t="s">
        <v>329</v>
      </c>
      <c r="E161" s="60"/>
      <c r="F161" s="61"/>
      <c r="I161" s="59" t="s">
        <v>329</v>
      </c>
      <c r="J161" s="60"/>
      <c r="K161" s="61"/>
    </row>
    <row r="162" spans="2:12" ht="13.8" x14ac:dyDescent="0.3">
      <c r="D162" s="26"/>
      <c r="E162" s="75" t="s">
        <v>330</v>
      </c>
      <c r="F162" s="76"/>
      <c r="I162" s="26"/>
      <c r="J162" s="75" t="s">
        <v>330</v>
      </c>
      <c r="K162" s="76"/>
    </row>
    <row r="163" spans="2:12" ht="13.8" x14ac:dyDescent="0.3">
      <c r="D163" s="25" t="s">
        <v>331</v>
      </c>
      <c r="E163" s="26">
        <v>0</v>
      </c>
      <c r="F163" s="26">
        <v>1</v>
      </c>
      <c r="I163" s="25" t="s">
        <v>331</v>
      </c>
      <c r="J163" s="26">
        <v>0</v>
      </c>
      <c r="K163" s="26">
        <v>1</v>
      </c>
    </row>
    <row r="164" spans="2:12" ht="13.8" x14ac:dyDescent="0.3">
      <c r="D164" s="25">
        <v>0</v>
      </c>
      <c r="E164" s="24">
        <v>91</v>
      </c>
      <c r="F164" s="24">
        <v>49</v>
      </c>
      <c r="I164" s="25">
        <v>0</v>
      </c>
      <c r="J164" s="24">
        <v>72</v>
      </c>
      <c r="K164" s="24">
        <v>88</v>
      </c>
    </row>
    <row r="165" spans="2:12" ht="13.8" x14ac:dyDescent="0.3">
      <c r="D165" s="25">
        <v>1</v>
      </c>
      <c r="E165" s="24">
        <v>14</v>
      </c>
      <c r="F165" s="24">
        <v>346</v>
      </c>
      <c r="I165" s="25">
        <v>1</v>
      </c>
      <c r="J165" s="24">
        <v>46</v>
      </c>
      <c r="K165" s="24">
        <v>294</v>
      </c>
    </row>
    <row r="167" spans="2:12" ht="15.6" x14ac:dyDescent="0.3">
      <c r="D167" s="59" t="s">
        <v>210</v>
      </c>
      <c r="E167" s="60"/>
      <c r="F167" s="60"/>
      <c r="G167" s="61"/>
      <c r="I167" s="59" t="s">
        <v>210</v>
      </c>
      <c r="J167" s="60"/>
      <c r="K167" s="60"/>
      <c r="L167" s="61"/>
    </row>
    <row r="168" spans="2:12" ht="13.8" x14ac:dyDescent="0.3">
      <c r="D168" s="26" t="s">
        <v>332</v>
      </c>
      <c r="E168" s="26" t="s">
        <v>333</v>
      </c>
      <c r="F168" s="26" t="s">
        <v>334</v>
      </c>
      <c r="G168" s="26" t="s">
        <v>335</v>
      </c>
      <c r="I168" s="26" t="s">
        <v>332</v>
      </c>
      <c r="J168" s="26" t="s">
        <v>333</v>
      </c>
      <c r="K168" s="26" t="s">
        <v>334</v>
      </c>
      <c r="L168" s="26" t="s">
        <v>335</v>
      </c>
    </row>
    <row r="169" spans="2:12" ht="13.8" x14ac:dyDescent="0.3">
      <c r="D169" s="25">
        <v>0</v>
      </c>
      <c r="E169" s="24">
        <f>SUM($E$164:$F$164)</f>
        <v>140</v>
      </c>
      <c r="F169" s="24">
        <f>SUM($E$164:$F$164) - $E$164:$E$164</f>
        <v>49</v>
      </c>
      <c r="G169" s="24">
        <f>IF($E$169:$E$169 = 0, "Undefined",$F$169:$F$169*100 / $E$169:$E$169)</f>
        <v>35</v>
      </c>
      <c r="I169" s="25">
        <v>0</v>
      </c>
      <c r="J169" s="24">
        <f>SUM($J$164:$K$164)</f>
        <v>160</v>
      </c>
      <c r="K169" s="24">
        <f>SUM($J$164:$K$164) - $J$164:$J$164</f>
        <v>88</v>
      </c>
      <c r="L169" s="24">
        <f>IF($J$169:$J$169 = 0, "Undefined",$K$169:$K$169*100 / $J$169:$J$169)</f>
        <v>55</v>
      </c>
    </row>
    <row r="170" spans="2:12" ht="13.8" x14ac:dyDescent="0.3">
      <c r="D170" s="25">
        <v>1</v>
      </c>
      <c r="E170" s="24">
        <f>SUM($E$165:$F$165)</f>
        <v>360</v>
      </c>
      <c r="F170" s="24">
        <f>SUM($E$165:$F$165) - $F$165:$F$165</f>
        <v>14</v>
      </c>
      <c r="G170" s="24">
        <f>IF($E$170:$E$170 = 0, "Undefined",$F$170:$F$170*100 / $E$170:$E$170)</f>
        <v>3.8888888888888888</v>
      </c>
      <c r="I170" s="25">
        <v>1</v>
      </c>
      <c r="J170" s="24">
        <f>SUM($J$165:$K$165)</f>
        <v>340</v>
      </c>
      <c r="K170" s="24">
        <f>SUM($J$165:$K$165) - $K$165:$K$165</f>
        <v>46</v>
      </c>
      <c r="L170" s="24">
        <f>IF($J$170:$J$170 = 0, "Undefined",$K$170:$K$170*100 / $J$170:$J$170)</f>
        <v>13.529411764705882</v>
      </c>
    </row>
    <row r="171" spans="2:12" ht="13.8" x14ac:dyDescent="0.3">
      <c r="D171" s="25" t="s">
        <v>336</v>
      </c>
      <c r="E171" s="24">
        <f>SUM($E$169:$E$170)</f>
        <v>500</v>
      </c>
      <c r="F171" s="24">
        <f>SUM($F$169:$F$170)</f>
        <v>63</v>
      </c>
      <c r="G171" s="24">
        <f>IF($E$171:$E$171 = 0, "Undefined",$F$171:$F$171*100 / $E$171:$E$171)</f>
        <v>12.6</v>
      </c>
      <c r="I171" s="25" t="s">
        <v>336</v>
      </c>
      <c r="J171" s="24">
        <f>SUM($J$169:$J$170)</f>
        <v>500</v>
      </c>
      <c r="K171" s="24">
        <f>SUM($K$169:$K$170)</f>
        <v>134</v>
      </c>
      <c r="L171" s="24">
        <f>IF($J$171:$J$171 = 0, "Undefined",$K$171:$K$171*100 / $J$171:$J$171)</f>
        <v>26.8</v>
      </c>
    </row>
    <row r="173" spans="2:12" ht="15.6" x14ac:dyDescent="0.3">
      <c r="B173" s="28" t="s">
        <v>338</v>
      </c>
      <c r="D173" s="59" t="s">
        <v>329</v>
      </c>
      <c r="E173" s="60"/>
      <c r="F173" s="61"/>
      <c r="I173" s="59" t="s">
        <v>329</v>
      </c>
      <c r="J173" s="60"/>
      <c r="K173" s="61"/>
    </row>
    <row r="174" spans="2:12" ht="13.8" x14ac:dyDescent="0.3">
      <c r="D174" s="26"/>
      <c r="E174" s="75" t="s">
        <v>330</v>
      </c>
      <c r="F174" s="76"/>
      <c r="I174" s="26"/>
      <c r="J174" s="75" t="s">
        <v>330</v>
      </c>
      <c r="K174" s="76"/>
    </row>
    <row r="175" spans="2:12" ht="13.8" x14ac:dyDescent="0.3">
      <c r="D175" s="25" t="s">
        <v>331</v>
      </c>
      <c r="E175" s="26">
        <v>0</v>
      </c>
      <c r="F175" s="26">
        <v>1</v>
      </c>
      <c r="I175" s="25" t="s">
        <v>331</v>
      </c>
      <c r="J175" s="26">
        <v>0</v>
      </c>
      <c r="K175" s="26">
        <v>1</v>
      </c>
    </row>
    <row r="176" spans="2:12" ht="13.8" x14ac:dyDescent="0.3">
      <c r="D176" s="25">
        <v>0</v>
      </c>
      <c r="E176" s="24">
        <v>117</v>
      </c>
      <c r="F176" s="24">
        <v>23</v>
      </c>
      <c r="I176" s="25">
        <v>0</v>
      </c>
      <c r="J176" s="24">
        <v>84</v>
      </c>
      <c r="K176" s="24">
        <v>76</v>
      </c>
    </row>
    <row r="177" spans="2:12" ht="13.8" x14ac:dyDescent="0.3">
      <c r="D177" s="25">
        <v>1</v>
      </c>
      <c r="E177" s="24">
        <v>29</v>
      </c>
      <c r="F177" s="24">
        <v>331</v>
      </c>
      <c r="I177" s="25">
        <v>1</v>
      </c>
      <c r="J177" s="24">
        <v>67</v>
      </c>
      <c r="K177" s="24">
        <v>273</v>
      </c>
    </row>
    <row r="179" spans="2:12" ht="15.6" x14ac:dyDescent="0.3">
      <c r="D179" s="59" t="s">
        <v>210</v>
      </c>
      <c r="E179" s="60"/>
      <c r="F179" s="60"/>
      <c r="G179" s="61"/>
      <c r="I179" s="59" t="s">
        <v>210</v>
      </c>
      <c r="J179" s="60"/>
      <c r="K179" s="60"/>
      <c r="L179" s="61"/>
    </row>
    <row r="180" spans="2:12" ht="13.8" x14ac:dyDescent="0.3">
      <c r="D180" s="26" t="s">
        <v>332</v>
      </c>
      <c r="E180" s="26" t="s">
        <v>333</v>
      </c>
      <c r="F180" s="26" t="s">
        <v>334</v>
      </c>
      <c r="G180" s="26" t="s">
        <v>335</v>
      </c>
      <c r="I180" s="26" t="s">
        <v>332</v>
      </c>
      <c r="J180" s="26" t="s">
        <v>333</v>
      </c>
      <c r="K180" s="26" t="s">
        <v>334</v>
      </c>
      <c r="L180" s="26" t="s">
        <v>335</v>
      </c>
    </row>
    <row r="181" spans="2:12" ht="13.8" x14ac:dyDescent="0.3">
      <c r="D181" s="25">
        <v>0</v>
      </c>
      <c r="E181" s="24">
        <f>SUM($E$176:$F$176)</f>
        <v>140</v>
      </c>
      <c r="F181" s="24">
        <f>SUM($E$176:$F$176) - $E$176:$E$176</f>
        <v>23</v>
      </c>
      <c r="G181" s="24">
        <f>IF($E$181:$E$181 = 0, "Undefined",$F$181:$F$181*100 / $E$181:$E$181)</f>
        <v>16.428571428571427</v>
      </c>
      <c r="I181" s="25">
        <v>0</v>
      </c>
      <c r="J181" s="24">
        <f>SUM($J$176:$K$176)</f>
        <v>160</v>
      </c>
      <c r="K181" s="24">
        <f>SUM($J$176:$K$176) - $J$176:$J$176</f>
        <v>76</v>
      </c>
      <c r="L181" s="24">
        <f>IF($J$181:$J$181 = 0, "Undefined",$K$181:$K$181*100 / $J$181:$J$181)</f>
        <v>47.5</v>
      </c>
    </row>
    <row r="182" spans="2:12" ht="13.8" x14ac:dyDescent="0.3">
      <c r="D182" s="25">
        <v>1</v>
      </c>
      <c r="E182" s="24">
        <f>SUM($E$177:$F$177)</f>
        <v>360</v>
      </c>
      <c r="F182" s="24">
        <f>SUM($E$177:$F$177) - $F$177:$F$177</f>
        <v>29</v>
      </c>
      <c r="G182" s="24">
        <f>IF($E$182:$E$182 = 0, "Undefined",$F$182:$F$182*100 / $E$182:$E$182)</f>
        <v>8.0555555555555554</v>
      </c>
      <c r="I182" s="25">
        <v>1</v>
      </c>
      <c r="J182" s="24">
        <f>SUM($J$177:$K$177)</f>
        <v>340</v>
      </c>
      <c r="K182" s="24">
        <f>SUM($J$177:$K$177) - $K$177:$K$177</f>
        <v>67</v>
      </c>
      <c r="L182" s="24">
        <f>IF($J$182:$J$182 = 0, "Undefined",$K$182:$K$182*100 / $J$182:$J$182)</f>
        <v>19.705882352941178</v>
      </c>
    </row>
    <row r="183" spans="2:12" ht="13.8" x14ac:dyDescent="0.3">
      <c r="D183" s="25" t="s">
        <v>336</v>
      </c>
      <c r="E183" s="24">
        <f>SUM($E$181:$E$182)</f>
        <v>500</v>
      </c>
      <c r="F183" s="24">
        <f>SUM($F$181:$F$182)</f>
        <v>52</v>
      </c>
      <c r="G183" s="24">
        <f>IF($E$183:$E$183 = 0, "Undefined",$F$183:$F$183*100 / $E$183:$E$183)</f>
        <v>10.4</v>
      </c>
      <c r="I183" s="25" t="s">
        <v>336</v>
      </c>
      <c r="J183" s="24">
        <f>SUM($J$181:$J$182)</f>
        <v>500</v>
      </c>
      <c r="K183" s="24">
        <f>SUM($K$181:$K$182)</f>
        <v>143</v>
      </c>
      <c r="L183" s="24">
        <f>IF($J$183:$J$183 = 0, "Undefined",$K$183:$K$183*100 / $J$183:$J$183)</f>
        <v>28.6</v>
      </c>
    </row>
    <row r="185" spans="2:12" ht="15.6" x14ac:dyDescent="0.3">
      <c r="B185" s="28" t="s">
        <v>339</v>
      </c>
      <c r="D185" s="59" t="s">
        <v>329</v>
      </c>
      <c r="E185" s="60"/>
      <c r="F185" s="61"/>
      <c r="I185" s="59" t="s">
        <v>329</v>
      </c>
      <c r="J185" s="60"/>
      <c r="K185" s="61"/>
    </row>
    <row r="186" spans="2:12" ht="13.8" x14ac:dyDescent="0.3">
      <c r="D186" s="26"/>
      <c r="E186" s="75" t="s">
        <v>330</v>
      </c>
      <c r="F186" s="76"/>
      <c r="I186" s="26"/>
      <c r="J186" s="75" t="s">
        <v>330</v>
      </c>
      <c r="K186" s="76"/>
    </row>
    <row r="187" spans="2:12" ht="13.8" x14ac:dyDescent="0.3">
      <c r="D187" s="25" t="s">
        <v>331</v>
      </c>
      <c r="E187" s="26">
        <v>0</v>
      </c>
      <c r="F187" s="26">
        <v>1</v>
      </c>
      <c r="I187" s="25" t="s">
        <v>331</v>
      </c>
      <c r="J187" s="26">
        <v>0</v>
      </c>
      <c r="K187" s="26">
        <v>1</v>
      </c>
    </row>
    <row r="188" spans="2:12" ht="13.8" x14ac:dyDescent="0.3">
      <c r="D188" s="25">
        <v>0</v>
      </c>
      <c r="E188" s="24">
        <v>114</v>
      </c>
      <c r="F188" s="24">
        <v>26</v>
      </c>
      <c r="I188" s="25">
        <v>0</v>
      </c>
      <c r="J188" s="24">
        <v>79</v>
      </c>
      <c r="K188" s="24">
        <v>81</v>
      </c>
    </row>
    <row r="189" spans="2:12" ht="13.8" x14ac:dyDescent="0.3">
      <c r="D189" s="25">
        <v>1</v>
      </c>
      <c r="E189" s="24">
        <v>11</v>
      </c>
      <c r="F189" s="24">
        <v>349</v>
      </c>
      <c r="I189" s="25">
        <v>1</v>
      </c>
      <c r="J189" s="24">
        <v>62</v>
      </c>
      <c r="K189" s="24">
        <v>278</v>
      </c>
    </row>
    <row r="191" spans="2:12" ht="15.6" x14ac:dyDescent="0.3">
      <c r="D191" s="59" t="s">
        <v>210</v>
      </c>
      <c r="E191" s="60"/>
      <c r="F191" s="60"/>
      <c r="G191" s="61"/>
      <c r="I191" s="59" t="s">
        <v>210</v>
      </c>
      <c r="J191" s="60"/>
      <c r="K191" s="60"/>
      <c r="L191" s="61"/>
    </row>
    <row r="192" spans="2:12" ht="13.8" x14ac:dyDescent="0.3">
      <c r="D192" s="26" t="s">
        <v>332</v>
      </c>
      <c r="E192" s="26" t="s">
        <v>333</v>
      </c>
      <c r="F192" s="26" t="s">
        <v>334</v>
      </c>
      <c r="G192" s="26" t="s">
        <v>335</v>
      </c>
      <c r="I192" s="26" t="s">
        <v>332</v>
      </c>
      <c r="J192" s="26" t="s">
        <v>333</v>
      </c>
      <c r="K192" s="26" t="s">
        <v>334</v>
      </c>
      <c r="L192" s="26" t="s">
        <v>335</v>
      </c>
    </row>
    <row r="193" spans="2:12" ht="13.8" x14ac:dyDescent="0.3">
      <c r="D193" s="25">
        <v>0</v>
      </c>
      <c r="E193" s="24">
        <f>SUM($E$188:$F$188)</f>
        <v>140</v>
      </c>
      <c r="F193" s="24">
        <f>SUM($E$188:$F$188) - $E$188:$E$188</f>
        <v>26</v>
      </c>
      <c r="G193" s="24">
        <f>IF($E$193:$E$193 = 0, "Undefined",$F$193:$F$193*100 / $E$193:$E$193)</f>
        <v>18.571428571428573</v>
      </c>
      <c r="I193" s="25">
        <v>0</v>
      </c>
      <c r="J193" s="24">
        <f>SUM($J$188:$K$188)</f>
        <v>160</v>
      </c>
      <c r="K193" s="24">
        <f>SUM($J$188:$K$188) - $J$188:$J$188</f>
        <v>81</v>
      </c>
      <c r="L193" s="24">
        <f>IF($J$193:$J$193 = 0, "Undefined",$K$193:$K$193*100 / $J$193:$J$193)</f>
        <v>50.625</v>
      </c>
    </row>
    <row r="194" spans="2:12" ht="13.8" x14ac:dyDescent="0.3">
      <c r="D194" s="25">
        <v>1</v>
      </c>
      <c r="E194" s="24">
        <f>SUM($E$189:$F$189)</f>
        <v>360</v>
      </c>
      <c r="F194" s="24">
        <f>SUM($E$189:$F$189) - $F$189:$F$189</f>
        <v>11</v>
      </c>
      <c r="G194" s="24">
        <f>IF($E$194:$E$194 = 0, "Undefined",$F$194:$F$194*100 / $E$194:$E$194)</f>
        <v>3.0555555555555554</v>
      </c>
      <c r="I194" s="25">
        <v>1</v>
      </c>
      <c r="J194" s="24">
        <f>SUM($J$189:$K$189)</f>
        <v>340</v>
      </c>
      <c r="K194" s="24">
        <f>SUM($J$189:$K$189) - $K$189:$K$189</f>
        <v>62</v>
      </c>
      <c r="L194" s="24">
        <f>IF($J$194:$J$194 = 0, "Undefined",$K$194:$K$194*100 / $J$194:$J$194)</f>
        <v>18.235294117647058</v>
      </c>
    </row>
    <row r="195" spans="2:12" ht="13.8" x14ac:dyDescent="0.3">
      <c r="D195" s="25" t="s">
        <v>336</v>
      </c>
      <c r="E195" s="24">
        <f>SUM($E$193:$E$194)</f>
        <v>500</v>
      </c>
      <c r="F195" s="24">
        <f>SUM($F$193:$F$194)</f>
        <v>37</v>
      </c>
      <c r="G195" s="24">
        <f>IF($E$195:$E$195 = 0, "Undefined",$F$195:$F$195*100 / $E$195:$E$195)</f>
        <v>7.4</v>
      </c>
      <c r="I195" s="25" t="s">
        <v>336</v>
      </c>
      <c r="J195" s="24">
        <f>SUM($J$193:$J$194)</f>
        <v>500</v>
      </c>
      <c r="K195" s="24">
        <f>SUM($K$193:$K$194)</f>
        <v>143</v>
      </c>
      <c r="L195" s="24">
        <f>IF($J$195:$J$195 = 0, "Undefined",$K$195:$K$195*100 / $J$195:$J$195)</f>
        <v>28.6</v>
      </c>
    </row>
    <row r="197" spans="2:12" ht="15.6" x14ac:dyDescent="0.3">
      <c r="B197" s="28" t="s">
        <v>340</v>
      </c>
      <c r="D197" s="59" t="s">
        <v>329</v>
      </c>
      <c r="E197" s="60"/>
      <c r="F197" s="61"/>
      <c r="I197" s="59" t="s">
        <v>329</v>
      </c>
      <c r="J197" s="60"/>
      <c r="K197" s="61"/>
    </row>
    <row r="198" spans="2:12" ht="13.8" x14ac:dyDescent="0.3">
      <c r="D198" s="26"/>
      <c r="E198" s="75" t="s">
        <v>330</v>
      </c>
      <c r="F198" s="76"/>
      <c r="I198" s="26"/>
      <c r="J198" s="75" t="s">
        <v>330</v>
      </c>
      <c r="K198" s="76"/>
    </row>
    <row r="199" spans="2:12" ht="13.8" x14ac:dyDescent="0.3">
      <c r="D199" s="25" t="s">
        <v>331</v>
      </c>
      <c r="E199" s="26">
        <v>0</v>
      </c>
      <c r="F199" s="26">
        <v>1</v>
      </c>
      <c r="I199" s="25" t="s">
        <v>331</v>
      </c>
      <c r="J199" s="26">
        <v>0</v>
      </c>
      <c r="K199" s="26">
        <v>1</v>
      </c>
    </row>
    <row r="200" spans="2:12" ht="13.8" x14ac:dyDescent="0.3">
      <c r="D200" s="25">
        <v>0</v>
      </c>
      <c r="E200" s="24">
        <v>123</v>
      </c>
      <c r="F200" s="24">
        <v>17</v>
      </c>
      <c r="I200" s="25">
        <v>0</v>
      </c>
      <c r="J200" s="24">
        <v>80</v>
      </c>
      <c r="K200" s="24">
        <v>80</v>
      </c>
    </row>
    <row r="201" spans="2:12" ht="13.8" x14ac:dyDescent="0.3">
      <c r="D201" s="25">
        <v>1</v>
      </c>
      <c r="E201" s="24">
        <v>9</v>
      </c>
      <c r="F201" s="24">
        <v>351</v>
      </c>
      <c r="I201" s="25">
        <v>1</v>
      </c>
      <c r="J201" s="24">
        <v>55</v>
      </c>
      <c r="K201" s="24">
        <v>285</v>
      </c>
    </row>
    <row r="203" spans="2:12" ht="15.6" x14ac:dyDescent="0.3">
      <c r="D203" s="59" t="s">
        <v>210</v>
      </c>
      <c r="E203" s="60"/>
      <c r="F203" s="60"/>
      <c r="G203" s="61"/>
      <c r="I203" s="59" t="s">
        <v>210</v>
      </c>
      <c r="J203" s="60"/>
      <c r="K203" s="60"/>
      <c r="L203" s="61"/>
    </row>
    <row r="204" spans="2:12" ht="13.8" x14ac:dyDescent="0.3">
      <c r="D204" s="26" t="s">
        <v>332</v>
      </c>
      <c r="E204" s="26" t="s">
        <v>333</v>
      </c>
      <c r="F204" s="26" t="s">
        <v>334</v>
      </c>
      <c r="G204" s="26" t="s">
        <v>335</v>
      </c>
      <c r="I204" s="26" t="s">
        <v>332</v>
      </c>
      <c r="J204" s="26" t="s">
        <v>333</v>
      </c>
      <c r="K204" s="26" t="s">
        <v>334</v>
      </c>
      <c r="L204" s="26" t="s">
        <v>335</v>
      </c>
    </row>
    <row r="205" spans="2:12" ht="13.8" x14ac:dyDescent="0.3">
      <c r="D205" s="25">
        <v>0</v>
      </c>
      <c r="E205" s="24">
        <f>SUM($E$200:$F$200)</f>
        <v>140</v>
      </c>
      <c r="F205" s="24">
        <f>SUM($E$200:$F$200) - $E$200:$E$200</f>
        <v>17</v>
      </c>
      <c r="G205" s="24">
        <f>IF($E$205:$E$205 = 0, "Undefined",$F$205:$F$205*100 / $E$205:$E$205)</f>
        <v>12.142857142857142</v>
      </c>
      <c r="I205" s="25">
        <v>0</v>
      </c>
      <c r="J205" s="24">
        <f>SUM($J$200:$K$200)</f>
        <v>160</v>
      </c>
      <c r="K205" s="24">
        <f>SUM($J$200:$K$200) - $J$200:$J$200</f>
        <v>80</v>
      </c>
      <c r="L205" s="24">
        <f>IF($J$205:$J$205 = 0, "Undefined",$K$205:$K$205*100 / $J$205:$J$205)</f>
        <v>50</v>
      </c>
    </row>
    <row r="206" spans="2:12" ht="13.8" x14ac:dyDescent="0.3">
      <c r="D206" s="25">
        <v>1</v>
      </c>
      <c r="E206" s="24">
        <f>SUM($E$201:$F$201)</f>
        <v>360</v>
      </c>
      <c r="F206" s="24">
        <f>SUM($E$201:$F$201) - $F$201:$F$201</f>
        <v>9</v>
      </c>
      <c r="G206" s="24">
        <f>IF($E$206:$E$206 = 0, "Undefined",$F$206:$F$206*100 / $E$206:$E$206)</f>
        <v>2.5</v>
      </c>
      <c r="I206" s="25">
        <v>1</v>
      </c>
      <c r="J206" s="24">
        <f>SUM($J$201:$K$201)</f>
        <v>340</v>
      </c>
      <c r="K206" s="24">
        <f>SUM($J$201:$K$201) - $K$201:$K$201</f>
        <v>55</v>
      </c>
      <c r="L206" s="24">
        <f>IF($J$206:$J$206 = 0, "Undefined",$K$206:$K$206*100 / $J$206:$J$206)</f>
        <v>16.176470588235293</v>
      </c>
    </row>
    <row r="207" spans="2:12" ht="13.8" x14ac:dyDescent="0.3">
      <c r="D207" s="25" t="s">
        <v>336</v>
      </c>
      <c r="E207" s="24">
        <f>SUM($E$205:$E$206)</f>
        <v>500</v>
      </c>
      <c r="F207" s="24">
        <f>SUM($F$205:$F$206)</f>
        <v>26</v>
      </c>
      <c r="G207" s="24">
        <f>IF($E$207:$E$207 = 0, "Undefined",$F$207:$F$207*100 / $E$207:$E$207)</f>
        <v>5.2</v>
      </c>
      <c r="I207" s="25" t="s">
        <v>336</v>
      </c>
      <c r="J207" s="24">
        <f>SUM($J$205:$J$206)</f>
        <v>500</v>
      </c>
      <c r="K207" s="24">
        <f>SUM($K$205:$K$206)</f>
        <v>135</v>
      </c>
      <c r="L207" s="24">
        <f>IF($J$207:$J$207 = 0, "Undefined",$K$207:$K$207*100 / $J$207:$J$207)</f>
        <v>27</v>
      </c>
    </row>
    <row r="209" spans="2:12" ht="15.6" x14ac:dyDescent="0.3">
      <c r="B209" s="28" t="s">
        <v>341</v>
      </c>
      <c r="D209" s="59" t="s">
        <v>329</v>
      </c>
      <c r="E209" s="60"/>
      <c r="F209" s="61"/>
      <c r="I209" s="59" t="s">
        <v>329</v>
      </c>
      <c r="J209" s="60"/>
      <c r="K209" s="61"/>
    </row>
    <row r="210" spans="2:12" ht="13.8" x14ac:dyDescent="0.3">
      <c r="D210" s="26"/>
      <c r="E210" s="75" t="s">
        <v>330</v>
      </c>
      <c r="F210" s="76"/>
      <c r="I210" s="26"/>
      <c r="J210" s="75" t="s">
        <v>330</v>
      </c>
      <c r="K210" s="76"/>
    </row>
    <row r="211" spans="2:12" ht="13.8" x14ac:dyDescent="0.3">
      <c r="D211" s="25" t="s">
        <v>331</v>
      </c>
      <c r="E211" s="26">
        <v>0</v>
      </c>
      <c r="F211" s="26">
        <v>1</v>
      </c>
      <c r="I211" s="25" t="s">
        <v>331</v>
      </c>
      <c r="J211" s="26">
        <v>0</v>
      </c>
      <c r="K211" s="26">
        <v>1</v>
      </c>
    </row>
    <row r="212" spans="2:12" ht="13.8" x14ac:dyDescent="0.3">
      <c r="D212" s="25">
        <v>0</v>
      </c>
      <c r="E212" s="24">
        <v>130</v>
      </c>
      <c r="F212" s="24">
        <v>10</v>
      </c>
      <c r="I212" s="25">
        <v>0</v>
      </c>
      <c r="J212" s="24">
        <v>74</v>
      </c>
      <c r="K212" s="24">
        <v>86</v>
      </c>
    </row>
    <row r="213" spans="2:12" ht="13.8" x14ac:dyDescent="0.3">
      <c r="D213" s="25">
        <v>1</v>
      </c>
      <c r="E213" s="24">
        <v>3</v>
      </c>
      <c r="F213" s="24">
        <v>357</v>
      </c>
      <c r="I213" s="25">
        <v>1</v>
      </c>
      <c r="J213" s="24">
        <v>70</v>
      </c>
      <c r="K213" s="24">
        <v>270</v>
      </c>
    </row>
    <row r="215" spans="2:12" ht="15.6" x14ac:dyDescent="0.3">
      <c r="D215" s="59" t="s">
        <v>210</v>
      </c>
      <c r="E215" s="60"/>
      <c r="F215" s="60"/>
      <c r="G215" s="61"/>
      <c r="I215" s="59" t="s">
        <v>210</v>
      </c>
      <c r="J215" s="60"/>
      <c r="K215" s="60"/>
      <c r="L215" s="61"/>
    </row>
    <row r="216" spans="2:12" ht="13.8" x14ac:dyDescent="0.3">
      <c r="D216" s="26" t="s">
        <v>332</v>
      </c>
      <c r="E216" s="26" t="s">
        <v>333</v>
      </c>
      <c r="F216" s="26" t="s">
        <v>334</v>
      </c>
      <c r="G216" s="26" t="s">
        <v>335</v>
      </c>
      <c r="I216" s="26" t="s">
        <v>332</v>
      </c>
      <c r="J216" s="26" t="s">
        <v>333</v>
      </c>
      <c r="K216" s="26" t="s">
        <v>334</v>
      </c>
      <c r="L216" s="26" t="s">
        <v>335</v>
      </c>
    </row>
    <row r="217" spans="2:12" ht="13.8" x14ac:dyDescent="0.3">
      <c r="D217" s="25">
        <v>0</v>
      </c>
      <c r="E217" s="24">
        <f>SUM($E$212:$F$212)</f>
        <v>140</v>
      </c>
      <c r="F217" s="24">
        <f>SUM($E$212:$F$212) - $E$212:$E$212</f>
        <v>10</v>
      </c>
      <c r="G217" s="24">
        <f>IF($E$217:$E$217 = 0, "Undefined",$F$217:$F$217*100 / $E$217:$E$217)</f>
        <v>7.1428571428571432</v>
      </c>
      <c r="I217" s="25">
        <v>0</v>
      </c>
      <c r="J217" s="24">
        <f>SUM($J$212:$K$212)</f>
        <v>160</v>
      </c>
      <c r="K217" s="24">
        <f>SUM($J$212:$K$212) - $J$212:$J$212</f>
        <v>86</v>
      </c>
      <c r="L217" s="24">
        <f>IF($J$217:$J$217 = 0, "Undefined",$K$217:$K$217*100 / $J$217:$J$217)</f>
        <v>53.75</v>
      </c>
    </row>
    <row r="218" spans="2:12" ht="13.8" x14ac:dyDescent="0.3">
      <c r="D218" s="25">
        <v>1</v>
      </c>
      <c r="E218" s="24">
        <f>SUM($E$213:$F$213)</f>
        <v>360</v>
      </c>
      <c r="F218" s="24">
        <f>SUM($E$213:$F$213) - $F$213:$F$213</f>
        <v>3</v>
      </c>
      <c r="G218" s="24">
        <f>IF($E$218:$E$218 = 0, "Undefined",$F$218:$F$218*100 / $E$218:$E$218)</f>
        <v>0.83333333333333337</v>
      </c>
      <c r="I218" s="25">
        <v>1</v>
      </c>
      <c r="J218" s="24">
        <f>SUM($J$213:$K$213)</f>
        <v>340</v>
      </c>
      <c r="K218" s="24">
        <f>SUM($J$213:$K$213) - $K$213:$K$213</f>
        <v>70</v>
      </c>
      <c r="L218" s="24">
        <f>IF($J$218:$J$218 = 0, "Undefined",$K$218:$K$218*100 / $J$218:$J$218)</f>
        <v>20.588235294117649</v>
      </c>
    </row>
    <row r="219" spans="2:12" ht="13.8" x14ac:dyDescent="0.3">
      <c r="D219" s="25" t="s">
        <v>336</v>
      </c>
      <c r="E219" s="24">
        <f>SUM($E$217:$E$218)</f>
        <v>500</v>
      </c>
      <c r="F219" s="24">
        <f>SUM($F$217:$F$218)</f>
        <v>13</v>
      </c>
      <c r="G219" s="24">
        <f>IF($E$219:$E$219 = 0, "Undefined",$F$219:$F$219*100 / $E$219:$E$219)</f>
        <v>2.6</v>
      </c>
      <c r="I219" s="25" t="s">
        <v>336</v>
      </c>
      <c r="J219" s="24">
        <f>SUM($J$217:$J$218)</f>
        <v>500</v>
      </c>
      <c r="K219" s="24">
        <f>SUM($K$217:$K$218)</f>
        <v>156</v>
      </c>
      <c r="L219" s="24">
        <f>IF($J$219:$J$219 = 0, "Undefined",$K$219:$K$219*100 / $J$219:$J$219)</f>
        <v>31.2</v>
      </c>
    </row>
    <row r="221" spans="2:12" ht="15.6" x14ac:dyDescent="0.3">
      <c r="B221" s="28" t="s">
        <v>342</v>
      </c>
      <c r="D221" s="59" t="s">
        <v>329</v>
      </c>
      <c r="E221" s="60"/>
      <c r="F221" s="61"/>
      <c r="I221" s="59" t="s">
        <v>329</v>
      </c>
      <c r="J221" s="60"/>
      <c r="K221" s="61"/>
    </row>
    <row r="222" spans="2:12" ht="13.8" x14ac:dyDescent="0.3">
      <c r="D222" s="26"/>
      <c r="E222" s="75" t="s">
        <v>330</v>
      </c>
      <c r="F222" s="76"/>
      <c r="I222" s="26"/>
      <c r="J222" s="75" t="s">
        <v>330</v>
      </c>
      <c r="K222" s="76"/>
    </row>
    <row r="223" spans="2:12" ht="13.8" x14ac:dyDescent="0.3">
      <c r="D223" s="25" t="s">
        <v>331</v>
      </c>
      <c r="E223" s="26">
        <v>0</v>
      </c>
      <c r="F223" s="26">
        <v>1</v>
      </c>
      <c r="I223" s="25" t="s">
        <v>331</v>
      </c>
      <c r="J223" s="26">
        <v>0</v>
      </c>
      <c r="K223" s="26">
        <v>1</v>
      </c>
    </row>
    <row r="224" spans="2:12" ht="13.8" x14ac:dyDescent="0.3">
      <c r="D224" s="25">
        <v>0</v>
      </c>
      <c r="E224" s="24">
        <v>131</v>
      </c>
      <c r="F224" s="24">
        <v>9</v>
      </c>
      <c r="I224" s="25">
        <v>0</v>
      </c>
      <c r="J224" s="24">
        <v>87</v>
      </c>
      <c r="K224" s="24">
        <v>73</v>
      </c>
    </row>
    <row r="225" spans="2:12" ht="13.8" x14ac:dyDescent="0.3">
      <c r="D225" s="25">
        <v>1</v>
      </c>
      <c r="E225" s="24">
        <v>1</v>
      </c>
      <c r="F225" s="24">
        <v>359</v>
      </c>
      <c r="I225" s="25">
        <v>1</v>
      </c>
      <c r="J225" s="24">
        <v>53</v>
      </c>
      <c r="K225" s="24">
        <v>287</v>
      </c>
    </row>
    <row r="227" spans="2:12" ht="15.6" x14ac:dyDescent="0.3">
      <c r="D227" s="59" t="s">
        <v>210</v>
      </c>
      <c r="E227" s="60"/>
      <c r="F227" s="60"/>
      <c r="G227" s="61"/>
      <c r="I227" s="59" t="s">
        <v>210</v>
      </c>
      <c r="J227" s="60"/>
      <c r="K227" s="60"/>
      <c r="L227" s="61"/>
    </row>
    <row r="228" spans="2:12" ht="13.8" x14ac:dyDescent="0.3">
      <c r="D228" s="26" t="s">
        <v>332</v>
      </c>
      <c r="E228" s="26" t="s">
        <v>333</v>
      </c>
      <c r="F228" s="26" t="s">
        <v>334</v>
      </c>
      <c r="G228" s="26" t="s">
        <v>335</v>
      </c>
      <c r="I228" s="26" t="s">
        <v>332</v>
      </c>
      <c r="J228" s="26" t="s">
        <v>333</v>
      </c>
      <c r="K228" s="26" t="s">
        <v>334</v>
      </c>
      <c r="L228" s="26" t="s">
        <v>335</v>
      </c>
    </row>
    <row r="229" spans="2:12" ht="13.8" x14ac:dyDescent="0.3">
      <c r="D229" s="25">
        <v>0</v>
      </c>
      <c r="E229" s="24">
        <f>SUM($E$224:$F$224)</f>
        <v>140</v>
      </c>
      <c r="F229" s="24">
        <f>SUM($E$224:$F$224) - $E$224:$E$224</f>
        <v>9</v>
      </c>
      <c r="G229" s="24">
        <f>IF($E$229:$E$229 = 0, "Undefined",$F$229:$F$229*100 / $E$229:$E$229)</f>
        <v>6.4285714285714288</v>
      </c>
      <c r="I229" s="25">
        <v>0</v>
      </c>
      <c r="J229" s="24">
        <f>SUM($J$224:$K$224)</f>
        <v>160</v>
      </c>
      <c r="K229" s="24">
        <f>SUM($J$224:$K$224) - $J$224:$J$224</f>
        <v>73</v>
      </c>
      <c r="L229" s="24">
        <f>IF($J$229:$J$229 = 0, "Undefined",$K$229:$K$229*100 / $J$229:$J$229)</f>
        <v>45.625</v>
      </c>
    </row>
    <row r="230" spans="2:12" ht="13.8" x14ac:dyDescent="0.3">
      <c r="D230" s="25">
        <v>1</v>
      </c>
      <c r="E230" s="24">
        <f>SUM($E$225:$F$225)</f>
        <v>360</v>
      </c>
      <c r="F230" s="24">
        <f>SUM($E$225:$F$225) - $F$225:$F$225</f>
        <v>1</v>
      </c>
      <c r="G230" s="24">
        <f>IF($E$230:$E$230 = 0, "Undefined",$F$230:$F$230*100 / $E$230:$E$230)</f>
        <v>0.27777777777777779</v>
      </c>
      <c r="I230" s="25">
        <v>1</v>
      </c>
      <c r="J230" s="24">
        <f>SUM($J$225:$K$225)</f>
        <v>340</v>
      </c>
      <c r="K230" s="24">
        <f>SUM($J$225:$K$225) - $K$225:$K$225</f>
        <v>53</v>
      </c>
      <c r="L230" s="24">
        <f>IF($J$230:$J$230 = 0, "Undefined",$K$230:$K$230*100 / $J$230:$J$230)</f>
        <v>15.588235294117647</v>
      </c>
    </row>
    <row r="231" spans="2:12" ht="13.8" x14ac:dyDescent="0.3">
      <c r="D231" s="25" t="s">
        <v>336</v>
      </c>
      <c r="E231" s="24">
        <f>SUM($E$229:$E$230)</f>
        <v>500</v>
      </c>
      <c r="F231" s="24">
        <f>SUM($F$229:$F$230)</f>
        <v>10</v>
      </c>
      <c r="G231" s="24">
        <f>IF($E$231:$E$231 = 0, "Undefined",$F$231:$F$231*100 / $E$231:$E$231)</f>
        <v>2</v>
      </c>
      <c r="I231" s="25" t="s">
        <v>336</v>
      </c>
      <c r="J231" s="24">
        <f>SUM($J$229:$J$230)</f>
        <v>500</v>
      </c>
      <c r="K231" s="24">
        <f>SUM($K$229:$K$230)</f>
        <v>126</v>
      </c>
      <c r="L231" s="24">
        <f>IF($J$231:$J$231 = 0, "Undefined",$K$231:$K$231*100 / $J$231:$J$231)</f>
        <v>25.2</v>
      </c>
    </row>
    <row r="233" spans="2:12" ht="15.6" x14ac:dyDescent="0.3">
      <c r="B233" s="28" t="s">
        <v>343</v>
      </c>
      <c r="D233" s="59" t="s">
        <v>329</v>
      </c>
      <c r="E233" s="60"/>
      <c r="F233" s="61"/>
      <c r="I233" s="59" t="s">
        <v>329</v>
      </c>
      <c r="J233" s="60"/>
      <c r="K233" s="61"/>
    </row>
    <row r="234" spans="2:12" ht="13.8" x14ac:dyDescent="0.3">
      <c r="D234" s="26"/>
      <c r="E234" s="75" t="s">
        <v>330</v>
      </c>
      <c r="F234" s="76"/>
      <c r="I234" s="26"/>
      <c r="J234" s="75" t="s">
        <v>330</v>
      </c>
      <c r="K234" s="76"/>
    </row>
    <row r="235" spans="2:12" ht="13.8" x14ac:dyDescent="0.3">
      <c r="D235" s="25" t="s">
        <v>331</v>
      </c>
      <c r="E235" s="26">
        <v>0</v>
      </c>
      <c r="F235" s="26">
        <v>1</v>
      </c>
      <c r="I235" s="25" t="s">
        <v>331</v>
      </c>
      <c r="J235" s="26">
        <v>0</v>
      </c>
      <c r="K235" s="26">
        <v>1</v>
      </c>
    </row>
    <row r="236" spans="2:12" ht="13.8" x14ac:dyDescent="0.3">
      <c r="D236" s="25">
        <v>0</v>
      </c>
      <c r="E236" s="24">
        <v>135</v>
      </c>
      <c r="F236" s="24">
        <v>5</v>
      </c>
      <c r="I236" s="25">
        <v>0</v>
      </c>
      <c r="J236" s="24">
        <v>84</v>
      </c>
      <c r="K236" s="24">
        <v>76</v>
      </c>
    </row>
    <row r="237" spans="2:12" ht="13.8" x14ac:dyDescent="0.3">
      <c r="D237" s="25">
        <v>1</v>
      </c>
      <c r="E237" s="24">
        <v>3</v>
      </c>
      <c r="F237" s="24">
        <v>357</v>
      </c>
      <c r="I237" s="25">
        <v>1</v>
      </c>
      <c r="J237" s="24">
        <v>55</v>
      </c>
      <c r="K237" s="24">
        <v>285</v>
      </c>
    </row>
    <row r="239" spans="2:12" ht="15.6" x14ac:dyDescent="0.3">
      <c r="D239" s="59" t="s">
        <v>210</v>
      </c>
      <c r="E239" s="60"/>
      <c r="F239" s="60"/>
      <c r="G239" s="61"/>
      <c r="I239" s="59" t="s">
        <v>210</v>
      </c>
      <c r="J239" s="60"/>
      <c r="K239" s="60"/>
      <c r="L239" s="61"/>
    </row>
    <row r="240" spans="2:12" ht="13.8" x14ac:dyDescent="0.3">
      <c r="D240" s="26" t="s">
        <v>332</v>
      </c>
      <c r="E240" s="26" t="s">
        <v>333</v>
      </c>
      <c r="F240" s="26" t="s">
        <v>334</v>
      </c>
      <c r="G240" s="26" t="s">
        <v>335</v>
      </c>
      <c r="I240" s="26" t="s">
        <v>332</v>
      </c>
      <c r="J240" s="26" t="s">
        <v>333</v>
      </c>
      <c r="K240" s="26" t="s">
        <v>334</v>
      </c>
      <c r="L240" s="26" t="s">
        <v>335</v>
      </c>
    </row>
    <row r="241" spans="2:12" ht="13.8" x14ac:dyDescent="0.3">
      <c r="D241" s="25">
        <v>0</v>
      </c>
      <c r="E241" s="24">
        <f>SUM($E$236:$F$236)</f>
        <v>140</v>
      </c>
      <c r="F241" s="24">
        <f>SUM($E$236:$F$236) - $E$236:$E$236</f>
        <v>5</v>
      </c>
      <c r="G241" s="24">
        <f>IF($E$241:$E$241 = 0, "Undefined",$F$241:$F$241*100 / $E$241:$E$241)</f>
        <v>3.5714285714285716</v>
      </c>
      <c r="I241" s="25">
        <v>0</v>
      </c>
      <c r="J241" s="24">
        <f>SUM($J$236:$K$236)</f>
        <v>160</v>
      </c>
      <c r="K241" s="24">
        <f>SUM($J$236:$K$236) - $J$236:$J$236</f>
        <v>76</v>
      </c>
      <c r="L241" s="24">
        <f>IF($J$241:$J$241 = 0, "Undefined",$K$241:$K$241*100 / $J$241:$J$241)</f>
        <v>47.5</v>
      </c>
    </row>
    <row r="242" spans="2:12" ht="13.8" x14ac:dyDescent="0.3">
      <c r="D242" s="25">
        <v>1</v>
      </c>
      <c r="E242" s="24">
        <f>SUM($E$237:$F$237)</f>
        <v>360</v>
      </c>
      <c r="F242" s="24">
        <f>SUM($E$237:$F$237) - $F$237:$F$237</f>
        <v>3</v>
      </c>
      <c r="G242" s="24">
        <f>IF($E$242:$E$242 = 0, "Undefined",$F$242:$F$242*100 / $E$242:$E$242)</f>
        <v>0.83333333333333337</v>
      </c>
      <c r="I242" s="25">
        <v>1</v>
      </c>
      <c r="J242" s="24">
        <f>SUM($J$237:$K$237)</f>
        <v>340</v>
      </c>
      <c r="K242" s="24">
        <f>SUM($J$237:$K$237) - $K$237:$K$237</f>
        <v>55</v>
      </c>
      <c r="L242" s="24">
        <f>IF($J$242:$J$242 = 0, "Undefined",$K$242:$K$242*100 / $J$242:$J$242)</f>
        <v>16.176470588235293</v>
      </c>
    </row>
    <row r="243" spans="2:12" ht="13.8" x14ac:dyDescent="0.3">
      <c r="D243" s="25" t="s">
        <v>336</v>
      </c>
      <c r="E243" s="24">
        <f>SUM($E$241:$E$242)</f>
        <v>500</v>
      </c>
      <c r="F243" s="24">
        <f>SUM($F$241:$F$242)</f>
        <v>8</v>
      </c>
      <c r="G243" s="24">
        <f>IF($E$243:$E$243 = 0, "Undefined",$F$243:$F$243*100 / $E$243:$E$243)</f>
        <v>1.6</v>
      </c>
      <c r="I243" s="25" t="s">
        <v>336</v>
      </c>
      <c r="J243" s="24">
        <f>SUM($J$241:$J$242)</f>
        <v>500</v>
      </c>
      <c r="K243" s="24">
        <f>SUM($K$241:$K$242)</f>
        <v>131</v>
      </c>
      <c r="L243" s="24">
        <f>IF($J$243:$J$243 = 0, "Undefined",$K$243:$K$243*100 / $J$243:$J$243)</f>
        <v>26.2</v>
      </c>
    </row>
    <row r="245" spans="2:12" ht="15.6" x14ac:dyDescent="0.3">
      <c r="B245" s="28" t="s">
        <v>344</v>
      </c>
      <c r="D245" s="59" t="s">
        <v>329</v>
      </c>
      <c r="E245" s="60"/>
      <c r="F245" s="61"/>
      <c r="I245" s="59" t="s">
        <v>329</v>
      </c>
      <c r="J245" s="60"/>
      <c r="K245" s="61"/>
    </row>
    <row r="246" spans="2:12" ht="13.8" x14ac:dyDescent="0.3">
      <c r="D246" s="26"/>
      <c r="E246" s="75" t="s">
        <v>330</v>
      </c>
      <c r="F246" s="76"/>
      <c r="I246" s="26"/>
      <c r="J246" s="75" t="s">
        <v>330</v>
      </c>
      <c r="K246" s="76"/>
    </row>
    <row r="247" spans="2:12" ht="13.8" x14ac:dyDescent="0.3">
      <c r="D247" s="25" t="s">
        <v>331</v>
      </c>
      <c r="E247" s="26">
        <v>0</v>
      </c>
      <c r="F247" s="26">
        <v>1</v>
      </c>
      <c r="I247" s="25" t="s">
        <v>331</v>
      </c>
      <c r="J247" s="26">
        <v>0</v>
      </c>
      <c r="K247" s="26">
        <v>1</v>
      </c>
    </row>
    <row r="248" spans="2:12" ht="13.8" x14ac:dyDescent="0.3">
      <c r="D248" s="25">
        <v>0</v>
      </c>
      <c r="E248" s="24">
        <v>127</v>
      </c>
      <c r="F248" s="24">
        <v>13</v>
      </c>
      <c r="I248" s="25">
        <v>0</v>
      </c>
      <c r="J248" s="24">
        <v>83</v>
      </c>
      <c r="K248" s="24">
        <v>77</v>
      </c>
    </row>
    <row r="249" spans="2:12" ht="13.8" x14ac:dyDescent="0.3">
      <c r="D249" s="25">
        <v>1</v>
      </c>
      <c r="E249" s="24">
        <v>3</v>
      </c>
      <c r="F249" s="24">
        <v>357</v>
      </c>
      <c r="I249" s="25">
        <v>1</v>
      </c>
      <c r="J249" s="24">
        <v>65</v>
      </c>
      <c r="K249" s="24">
        <v>275</v>
      </c>
    </row>
    <row r="251" spans="2:12" ht="15.6" x14ac:dyDescent="0.3">
      <c r="D251" s="59" t="s">
        <v>210</v>
      </c>
      <c r="E251" s="60"/>
      <c r="F251" s="60"/>
      <c r="G251" s="61"/>
      <c r="I251" s="59" t="s">
        <v>210</v>
      </c>
      <c r="J251" s="60"/>
      <c r="K251" s="60"/>
      <c r="L251" s="61"/>
    </row>
    <row r="252" spans="2:12" ht="13.8" x14ac:dyDescent="0.3">
      <c r="D252" s="26" t="s">
        <v>332</v>
      </c>
      <c r="E252" s="26" t="s">
        <v>333</v>
      </c>
      <c r="F252" s="26" t="s">
        <v>334</v>
      </c>
      <c r="G252" s="26" t="s">
        <v>335</v>
      </c>
      <c r="I252" s="26" t="s">
        <v>332</v>
      </c>
      <c r="J252" s="26" t="s">
        <v>333</v>
      </c>
      <c r="K252" s="26" t="s">
        <v>334</v>
      </c>
      <c r="L252" s="26" t="s">
        <v>335</v>
      </c>
    </row>
    <row r="253" spans="2:12" ht="13.8" x14ac:dyDescent="0.3">
      <c r="D253" s="25">
        <v>0</v>
      </c>
      <c r="E253" s="24">
        <f>SUM($E$248:$F$248)</f>
        <v>140</v>
      </c>
      <c r="F253" s="24">
        <f>SUM($E$248:$F$248) - $E$248:$E$248</f>
        <v>13</v>
      </c>
      <c r="G253" s="24">
        <f>IF($E$253:$E$253 = 0, "Undefined",$F$253:$F$253*100 / $E$253:$E$253)</f>
        <v>9.2857142857142865</v>
      </c>
      <c r="I253" s="25">
        <v>0</v>
      </c>
      <c r="J253" s="24">
        <f>SUM($J$248:$K$248)</f>
        <v>160</v>
      </c>
      <c r="K253" s="24">
        <f>SUM($J$248:$K$248) - $J$248:$J$248</f>
        <v>77</v>
      </c>
      <c r="L253" s="24">
        <f>IF($J$253:$J$253 = 0, "Undefined",$K$253:$K$253*100 / $J$253:$J$253)</f>
        <v>48.125</v>
      </c>
    </row>
    <row r="254" spans="2:12" ht="13.8" x14ac:dyDescent="0.3">
      <c r="D254" s="25">
        <v>1</v>
      </c>
      <c r="E254" s="24">
        <f>SUM($E$249:$F$249)</f>
        <v>360</v>
      </c>
      <c r="F254" s="24">
        <f>SUM($E$249:$F$249) - $F$249:$F$249</f>
        <v>3</v>
      </c>
      <c r="G254" s="24">
        <f>IF($E$254:$E$254 = 0, "Undefined",$F$254:$F$254*100 / $E$254:$E$254)</f>
        <v>0.83333333333333337</v>
      </c>
      <c r="I254" s="25">
        <v>1</v>
      </c>
      <c r="J254" s="24">
        <f>SUM($J$249:$K$249)</f>
        <v>340</v>
      </c>
      <c r="K254" s="24">
        <f>SUM($J$249:$K$249) - $K$249:$K$249</f>
        <v>65</v>
      </c>
      <c r="L254" s="24">
        <f>IF($J$254:$J$254 = 0, "Undefined",$K$254:$K$254*100 / $J$254:$J$254)</f>
        <v>19.117647058823529</v>
      </c>
    </row>
    <row r="255" spans="2:12" ht="13.8" x14ac:dyDescent="0.3">
      <c r="D255" s="25" t="s">
        <v>336</v>
      </c>
      <c r="E255" s="24">
        <f>SUM($E$253:$E$254)</f>
        <v>500</v>
      </c>
      <c r="F255" s="24">
        <f>SUM($F$253:$F$254)</f>
        <v>16</v>
      </c>
      <c r="G255" s="24">
        <f>IF($E$255:$E$255 = 0, "Undefined",$F$255:$F$255*100 / $E$255:$E$255)</f>
        <v>3.2</v>
      </c>
      <c r="I255" s="25" t="s">
        <v>336</v>
      </c>
      <c r="J255" s="24">
        <f>SUM($J$253:$J$254)</f>
        <v>500</v>
      </c>
      <c r="K255" s="24">
        <f>SUM($K$253:$K$254)</f>
        <v>142</v>
      </c>
      <c r="L255" s="24">
        <f>IF($J$255:$J$255 = 0, "Undefined",$K$255:$K$255*100 / $J$255:$J$255)</f>
        <v>28.4</v>
      </c>
    </row>
    <row r="257" spans="2:12" ht="15.6" x14ac:dyDescent="0.3">
      <c r="B257" s="28" t="s">
        <v>345</v>
      </c>
      <c r="D257" s="59" t="s">
        <v>329</v>
      </c>
      <c r="E257" s="60"/>
      <c r="F257" s="61"/>
      <c r="I257" s="59" t="s">
        <v>329</v>
      </c>
      <c r="J257" s="60"/>
      <c r="K257" s="61"/>
    </row>
    <row r="258" spans="2:12" ht="13.8" x14ac:dyDescent="0.3">
      <c r="D258" s="26"/>
      <c r="E258" s="75" t="s">
        <v>330</v>
      </c>
      <c r="F258" s="76"/>
      <c r="I258" s="26"/>
      <c r="J258" s="75" t="s">
        <v>330</v>
      </c>
      <c r="K258" s="76"/>
    </row>
    <row r="259" spans="2:12" ht="13.8" x14ac:dyDescent="0.3">
      <c r="D259" s="25" t="s">
        <v>331</v>
      </c>
      <c r="E259" s="26">
        <v>0</v>
      </c>
      <c r="F259" s="26">
        <v>1</v>
      </c>
      <c r="I259" s="25" t="s">
        <v>331</v>
      </c>
      <c r="J259" s="26">
        <v>0</v>
      </c>
      <c r="K259" s="26">
        <v>1</v>
      </c>
    </row>
    <row r="260" spans="2:12" ht="13.8" x14ac:dyDescent="0.3">
      <c r="D260" s="25">
        <v>0</v>
      </c>
      <c r="E260" s="24">
        <v>130</v>
      </c>
      <c r="F260" s="24">
        <v>10</v>
      </c>
      <c r="I260" s="25">
        <v>0</v>
      </c>
      <c r="J260" s="24">
        <v>86</v>
      </c>
      <c r="K260" s="24">
        <v>74</v>
      </c>
    </row>
    <row r="261" spans="2:12" ht="13.8" x14ac:dyDescent="0.3">
      <c r="D261" s="25">
        <v>1</v>
      </c>
      <c r="E261" s="24">
        <v>3</v>
      </c>
      <c r="F261" s="24">
        <v>357</v>
      </c>
      <c r="I261" s="25">
        <v>1</v>
      </c>
      <c r="J261" s="24">
        <v>65</v>
      </c>
      <c r="K261" s="24">
        <v>275</v>
      </c>
    </row>
    <row r="263" spans="2:12" ht="15.6" x14ac:dyDescent="0.3">
      <c r="D263" s="59" t="s">
        <v>210</v>
      </c>
      <c r="E263" s="60"/>
      <c r="F263" s="60"/>
      <c r="G263" s="61"/>
      <c r="I263" s="59" t="s">
        <v>210</v>
      </c>
      <c r="J263" s="60"/>
      <c r="K263" s="60"/>
      <c r="L263" s="61"/>
    </row>
    <row r="264" spans="2:12" ht="13.8" x14ac:dyDescent="0.3">
      <c r="D264" s="26" t="s">
        <v>332</v>
      </c>
      <c r="E264" s="26" t="s">
        <v>333</v>
      </c>
      <c r="F264" s="26" t="s">
        <v>334</v>
      </c>
      <c r="G264" s="26" t="s">
        <v>335</v>
      </c>
      <c r="I264" s="26" t="s">
        <v>332</v>
      </c>
      <c r="J264" s="26" t="s">
        <v>333</v>
      </c>
      <c r="K264" s="26" t="s">
        <v>334</v>
      </c>
      <c r="L264" s="26" t="s">
        <v>335</v>
      </c>
    </row>
    <row r="265" spans="2:12" ht="13.8" x14ac:dyDescent="0.3">
      <c r="D265" s="25">
        <v>0</v>
      </c>
      <c r="E265" s="24">
        <f>SUM($E$260:$F$260)</f>
        <v>140</v>
      </c>
      <c r="F265" s="24">
        <f>SUM($E$260:$F$260) - $E$260:$E$260</f>
        <v>10</v>
      </c>
      <c r="G265" s="24">
        <f>IF($E$265:$E$265 = 0, "Undefined",$F$265:$F$265*100 / $E$265:$E$265)</f>
        <v>7.1428571428571432</v>
      </c>
      <c r="I265" s="25">
        <v>0</v>
      </c>
      <c r="J265" s="24">
        <f>SUM($J$260:$K$260)</f>
        <v>160</v>
      </c>
      <c r="K265" s="24">
        <f>SUM($J$260:$K$260) - $J$260:$J$260</f>
        <v>74</v>
      </c>
      <c r="L265" s="24">
        <f>IF($J$265:$J$265 = 0, "Undefined",$K$265:$K$265*100 / $J$265:$J$265)</f>
        <v>46.25</v>
      </c>
    </row>
    <row r="266" spans="2:12" ht="13.8" x14ac:dyDescent="0.3">
      <c r="D266" s="25">
        <v>1</v>
      </c>
      <c r="E266" s="24">
        <f>SUM($E$261:$F$261)</f>
        <v>360</v>
      </c>
      <c r="F266" s="24">
        <f>SUM($E$261:$F$261) - $F$261:$F$261</f>
        <v>3</v>
      </c>
      <c r="G266" s="24">
        <f>IF($E$266:$E$266 = 0, "Undefined",$F$266:$F$266*100 / $E$266:$E$266)</f>
        <v>0.83333333333333337</v>
      </c>
      <c r="I266" s="25">
        <v>1</v>
      </c>
      <c r="J266" s="24">
        <f>SUM($J$261:$K$261)</f>
        <v>340</v>
      </c>
      <c r="K266" s="24">
        <f>SUM($J$261:$K$261) - $K$261:$K$261</f>
        <v>65</v>
      </c>
      <c r="L266" s="24">
        <f>IF($J$266:$J$266 = 0, "Undefined",$K$266:$K$266*100 / $J$266:$J$266)</f>
        <v>19.117647058823529</v>
      </c>
    </row>
    <row r="267" spans="2:12" ht="13.8" x14ac:dyDescent="0.3">
      <c r="D267" s="25" t="s">
        <v>336</v>
      </c>
      <c r="E267" s="24">
        <f>SUM($E$265:$E$266)</f>
        <v>500</v>
      </c>
      <c r="F267" s="24">
        <f>SUM($F$265:$F$266)</f>
        <v>13</v>
      </c>
      <c r="G267" s="24">
        <f>IF($E$267:$E$267 = 0, "Undefined",$F$267:$F$267*100 / $E$267:$E$267)</f>
        <v>2.6</v>
      </c>
      <c r="I267" s="25" t="s">
        <v>336</v>
      </c>
      <c r="J267" s="24">
        <f>SUM($J$265:$J$266)</f>
        <v>500</v>
      </c>
      <c r="K267" s="24">
        <f>SUM($K$265:$K$266)</f>
        <v>139</v>
      </c>
      <c r="L267" s="24">
        <f>IF($J$267:$J$267 = 0, "Undefined",$K$267:$K$267*100 / $J$267:$J$267)</f>
        <v>27.8</v>
      </c>
    </row>
    <row r="269" spans="2:12" ht="15.6" x14ac:dyDescent="0.3">
      <c r="B269" s="28" t="s">
        <v>346</v>
      </c>
      <c r="D269" s="59" t="s">
        <v>329</v>
      </c>
      <c r="E269" s="60"/>
      <c r="F269" s="61"/>
      <c r="I269" s="59" t="s">
        <v>329</v>
      </c>
      <c r="J269" s="60"/>
      <c r="K269" s="61"/>
    </row>
    <row r="270" spans="2:12" ht="13.8" x14ac:dyDescent="0.3">
      <c r="D270" s="26"/>
      <c r="E270" s="75" t="s">
        <v>330</v>
      </c>
      <c r="F270" s="76"/>
      <c r="I270" s="26"/>
      <c r="J270" s="75" t="s">
        <v>330</v>
      </c>
      <c r="K270" s="76"/>
    </row>
    <row r="271" spans="2:12" ht="13.8" x14ac:dyDescent="0.3">
      <c r="D271" s="25" t="s">
        <v>331</v>
      </c>
      <c r="E271" s="26">
        <v>0</v>
      </c>
      <c r="F271" s="26">
        <v>1</v>
      </c>
      <c r="I271" s="25" t="s">
        <v>331</v>
      </c>
      <c r="J271" s="26">
        <v>0</v>
      </c>
      <c r="K271" s="26">
        <v>1</v>
      </c>
    </row>
    <row r="272" spans="2:12" ht="13.8" x14ac:dyDescent="0.3">
      <c r="D272" s="25">
        <v>0</v>
      </c>
      <c r="E272" s="24">
        <v>135</v>
      </c>
      <c r="F272" s="24">
        <v>5</v>
      </c>
      <c r="I272" s="25">
        <v>0</v>
      </c>
      <c r="J272" s="24">
        <v>89</v>
      </c>
      <c r="K272" s="24">
        <v>71</v>
      </c>
    </row>
    <row r="273" spans="2:12" ht="13.8" x14ac:dyDescent="0.3">
      <c r="D273" s="25">
        <v>1</v>
      </c>
      <c r="E273" s="24">
        <v>3</v>
      </c>
      <c r="F273" s="24">
        <v>357</v>
      </c>
      <c r="I273" s="25">
        <v>1</v>
      </c>
      <c r="J273" s="24">
        <v>57</v>
      </c>
      <c r="K273" s="24">
        <v>283</v>
      </c>
    </row>
    <row r="275" spans="2:12" ht="15.6" x14ac:dyDescent="0.3">
      <c r="D275" s="59" t="s">
        <v>210</v>
      </c>
      <c r="E275" s="60"/>
      <c r="F275" s="60"/>
      <c r="G275" s="61"/>
      <c r="I275" s="59" t="s">
        <v>210</v>
      </c>
      <c r="J275" s="60"/>
      <c r="K275" s="60"/>
      <c r="L275" s="61"/>
    </row>
    <row r="276" spans="2:12" ht="13.8" x14ac:dyDescent="0.3">
      <c r="D276" s="26" t="s">
        <v>332</v>
      </c>
      <c r="E276" s="26" t="s">
        <v>333</v>
      </c>
      <c r="F276" s="26" t="s">
        <v>334</v>
      </c>
      <c r="G276" s="26" t="s">
        <v>335</v>
      </c>
      <c r="I276" s="26" t="s">
        <v>332</v>
      </c>
      <c r="J276" s="26" t="s">
        <v>333</v>
      </c>
      <c r="K276" s="26" t="s">
        <v>334</v>
      </c>
      <c r="L276" s="26" t="s">
        <v>335</v>
      </c>
    </row>
    <row r="277" spans="2:12" ht="13.8" x14ac:dyDescent="0.3">
      <c r="D277" s="25">
        <v>0</v>
      </c>
      <c r="E277" s="24">
        <f>SUM($E$272:$F$272)</f>
        <v>140</v>
      </c>
      <c r="F277" s="24">
        <f>SUM($E$272:$F$272) - $E$272:$E$272</f>
        <v>5</v>
      </c>
      <c r="G277" s="24">
        <f>IF($E$277:$E$277 = 0, "Undefined",$F$277:$F$277*100 / $E$277:$E$277)</f>
        <v>3.5714285714285716</v>
      </c>
      <c r="I277" s="25">
        <v>0</v>
      </c>
      <c r="J277" s="24">
        <f>SUM($J$272:$K$272)</f>
        <v>160</v>
      </c>
      <c r="K277" s="24">
        <f>SUM($J$272:$K$272) - $J$272:$J$272</f>
        <v>71</v>
      </c>
      <c r="L277" s="24">
        <f>IF($J$277:$J$277 = 0, "Undefined",$K$277:$K$277*100 / $J$277:$J$277)</f>
        <v>44.375</v>
      </c>
    </row>
    <row r="278" spans="2:12" ht="13.8" x14ac:dyDescent="0.3">
      <c r="D278" s="25">
        <v>1</v>
      </c>
      <c r="E278" s="24">
        <f>SUM($E$273:$F$273)</f>
        <v>360</v>
      </c>
      <c r="F278" s="24">
        <f>SUM($E$273:$F$273) - $F$273:$F$273</f>
        <v>3</v>
      </c>
      <c r="G278" s="24">
        <f>IF($E$278:$E$278 = 0, "Undefined",$F$278:$F$278*100 / $E$278:$E$278)</f>
        <v>0.83333333333333337</v>
      </c>
      <c r="I278" s="25">
        <v>1</v>
      </c>
      <c r="J278" s="24">
        <f>SUM($J$273:$K$273)</f>
        <v>340</v>
      </c>
      <c r="K278" s="24">
        <f>SUM($J$273:$K$273) - $K$273:$K$273</f>
        <v>57</v>
      </c>
      <c r="L278" s="24">
        <f>IF($J$278:$J$278 = 0, "Undefined",$K$278:$K$278*100 / $J$278:$J$278)</f>
        <v>16.764705882352942</v>
      </c>
    </row>
    <row r="279" spans="2:12" ht="13.8" x14ac:dyDescent="0.3">
      <c r="D279" s="25" t="s">
        <v>336</v>
      </c>
      <c r="E279" s="24">
        <f>SUM($E$277:$E$278)</f>
        <v>500</v>
      </c>
      <c r="F279" s="24">
        <f>SUM($F$277:$F$278)</f>
        <v>8</v>
      </c>
      <c r="G279" s="24">
        <f>IF($E$279:$E$279 = 0, "Undefined",$F$279:$F$279*100 / $E$279:$E$279)</f>
        <v>1.6</v>
      </c>
      <c r="I279" s="25" t="s">
        <v>336</v>
      </c>
      <c r="J279" s="24">
        <f>SUM($J$277:$J$278)</f>
        <v>500</v>
      </c>
      <c r="K279" s="24">
        <f>SUM($K$277:$K$278)</f>
        <v>128</v>
      </c>
      <c r="L279" s="24">
        <f>IF($J$279:$J$279 = 0, "Undefined",$K$279:$K$279*100 / $J$279:$J$279)</f>
        <v>25.6</v>
      </c>
    </row>
    <row r="281" spans="2:12" ht="15.6" x14ac:dyDescent="0.3">
      <c r="B281" s="28" t="s">
        <v>347</v>
      </c>
      <c r="D281" s="59" t="s">
        <v>329</v>
      </c>
      <c r="E281" s="60"/>
      <c r="F281" s="61"/>
      <c r="I281" s="59" t="s">
        <v>329</v>
      </c>
      <c r="J281" s="60"/>
      <c r="K281" s="61"/>
    </row>
    <row r="282" spans="2:12" ht="13.8" x14ac:dyDescent="0.3">
      <c r="D282" s="26"/>
      <c r="E282" s="75" t="s">
        <v>330</v>
      </c>
      <c r="F282" s="76"/>
      <c r="I282" s="26"/>
      <c r="J282" s="75" t="s">
        <v>330</v>
      </c>
      <c r="K282" s="76"/>
    </row>
    <row r="283" spans="2:12" ht="13.8" x14ac:dyDescent="0.3">
      <c r="D283" s="25" t="s">
        <v>331</v>
      </c>
      <c r="E283" s="26">
        <v>0</v>
      </c>
      <c r="F283" s="26">
        <v>1</v>
      </c>
      <c r="I283" s="25" t="s">
        <v>331</v>
      </c>
      <c r="J283" s="26">
        <v>0</v>
      </c>
      <c r="K283" s="26">
        <v>1</v>
      </c>
    </row>
    <row r="284" spans="2:12" ht="13.8" x14ac:dyDescent="0.3">
      <c r="D284" s="25">
        <v>0</v>
      </c>
      <c r="E284" s="24">
        <v>134</v>
      </c>
      <c r="F284" s="24">
        <v>6</v>
      </c>
      <c r="I284" s="25">
        <v>0</v>
      </c>
      <c r="J284" s="24">
        <v>79</v>
      </c>
      <c r="K284" s="24">
        <v>81</v>
      </c>
    </row>
    <row r="285" spans="2:12" ht="13.8" x14ac:dyDescent="0.3">
      <c r="D285" s="25">
        <v>1</v>
      </c>
      <c r="E285" s="24">
        <v>1</v>
      </c>
      <c r="F285" s="24">
        <v>359</v>
      </c>
      <c r="I285" s="25">
        <v>1</v>
      </c>
      <c r="J285" s="24">
        <v>72</v>
      </c>
      <c r="K285" s="24">
        <v>268</v>
      </c>
    </row>
    <row r="287" spans="2:12" ht="15.6" x14ac:dyDescent="0.3">
      <c r="D287" s="59" t="s">
        <v>210</v>
      </c>
      <c r="E287" s="60"/>
      <c r="F287" s="60"/>
      <c r="G287" s="61"/>
      <c r="I287" s="59" t="s">
        <v>210</v>
      </c>
      <c r="J287" s="60"/>
      <c r="K287" s="60"/>
      <c r="L287" s="61"/>
    </row>
    <row r="288" spans="2:12" ht="13.8" x14ac:dyDescent="0.3">
      <c r="D288" s="26" t="s">
        <v>332</v>
      </c>
      <c r="E288" s="26" t="s">
        <v>333</v>
      </c>
      <c r="F288" s="26" t="s">
        <v>334</v>
      </c>
      <c r="G288" s="26" t="s">
        <v>335</v>
      </c>
      <c r="I288" s="26" t="s">
        <v>332</v>
      </c>
      <c r="J288" s="26" t="s">
        <v>333</v>
      </c>
      <c r="K288" s="26" t="s">
        <v>334</v>
      </c>
      <c r="L288" s="26" t="s">
        <v>335</v>
      </c>
    </row>
    <row r="289" spans="2:12" ht="13.8" x14ac:dyDescent="0.3">
      <c r="D289" s="25">
        <v>0</v>
      </c>
      <c r="E289" s="24">
        <f>SUM($E$284:$F$284)</f>
        <v>140</v>
      </c>
      <c r="F289" s="24">
        <f>SUM($E$284:$F$284) - $E$284:$E$284</f>
        <v>6</v>
      </c>
      <c r="G289" s="24">
        <f>IF($E$289:$E$289 = 0, "Undefined",$F$289:$F$289*100 / $E$289:$E$289)</f>
        <v>4.2857142857142856</v>
      </c>
      <c r="I289" s="25">
        <v>0</v>
      </c>
      <c r="J289" s="24">
        <f>SUM($J$284:$K$284)</f>
        <v>160</v>
      </c>
      <c r="K289" s="24">
        <f>SUM($J$284:$K$284) - $J$284:$J$284</f>
        <v>81</v>
      </c>
      <c r="L289" s="24">
        <f>IF($J$289:$J$289 = 0, "Undefined",$K$289:$K$289*100 / $J$289:$J$289)</f>
        <v>50.625</v>
      </c>
    </row>
    <row r="290" spans="2:12" ht="13.8" x14ac:dyDescent="0.3">
      <c r="D290" s="25">
        <v>1</v>
      </c>
      <c r="E290" s="24">
        <f>SUM($E$285:$F$285)</f>
        <v>360</v>
      </c>
      <c r="F290" s="24">
        <f>SUM($E$285:$F$285) - $F$285:$F$285</f>
        <v>1</v>
      </c>
      <c r="G290" s="24">
        <f>IF($E$290:$E$290 = 0, "Undefined",$F$290:$F$290*100 / $E$290:$E$290)</f>
        <v>0.27777777777777779</v>
      </c>
      <c r="I290" s="25">
        <v>1</v>
      </c>
      <c r="J290" s="24">
        <f>SUM($J$285:$K$285)</f>
        <v>340</v>
      </c>
      <c r="K290" s="24">
        <f>SUM($J$285:$K$285) - $K$285:$K$285</f>
        <v>72</v>
      </c>
      <c r="L290" s="24">
        <f>IF($J$290:$J$290 = 0, "Undefined",$K$290:$K$290*100 / $J$290:$J$290)</f>
        <v>21.176470588235293</v>
      </c>
    </row>
    <row r="291" spans="2:12" ht="13.8" x14ac:dyDescent="0.3">
      <c r="D291" s="25" t="s">
        <v>336</v>
      </c>
      <c r="E291" s="24">
        <f>SUM($E$289:$E$290)</f>
        <v>500</v>
      </c>
      <c r="F291" s="24">
        <f>SUM($F$289:$F$290)</f>
        <v>7</v>
      </c>
      <c r="G291" s="24">
        <f>IF($E$291:$E$291 = 0, "Undefined",$F$291:$F$291*100 / $E$291:$E$291)</f>
        <v>1.4</v>
      </c>
      <c r="I291" s="25" t="s">
        <v>336</v>
      </c>
      <c r="J291" s="24">
        <f>SUM($J$289:$J$290)</f>
        <v>500</v>
      </c>
      <c r="K291" s="24">
        <f>SUM($K$289:$K$290)</f>
        <v>153</v>
      </c>
      <c r="L291" s="24">
        <f>IF($J$291:$J$291 = 0, "Undefined",$K$291:$K$291*100 / $J$291:$J$291)</f>
        <v>30.6</v>
      </c>
    </row>
    <row r="293" spans="2:12" ht="15.6" x14ac:dyDescent="0.3">
      <c r="B293" s="28" t="s">
        <v>348</v>
      </c>
      <c r="D293" s="59" t="s">
        <v>329</v>
      </c>
      <c r="E293" s="60"/>
      <c r="F293" s="61"/>
      <c r="I293" s="59" t="s">
        <v>329</v>
      </c>
      <c r="J293" s="60"/>
      <c r="K293" s="61"/>
    </row>
    <row r="294" spans="2:12" ht="13.8" x14ac:dyDescent="0.3">
      <c r="D294" s="26"/>
      <c r="E294" s="75" t="s">
        <v>330</v>
      </c>
      <c r="F294" s="76"/>
      <c r="I294" s="26"/>
      <c r="J294" s="75" t="s">
        <v>330</v>
      </c>
      <c r="K294" s="76"/>
    </row>
    <row r="295" spans="2:12" ht="13.8" x14ac:dyDescent="0.3">
      <c r="D295" s="25" t="s">
        <v>331</v>
      </c>
      <c r="E295" s="26">
        <v>0</v>
      </c>
      <c r="F295" s="26">
        <v>1</v>
      </c>
      <c r="I295" s="25" t="s">
        <v>331</v>
      </c>
      <c r="J295" s="26">
        <v>0</v>
      </c>
      <c r="K295" s="26">
        <v>1</v>
      </c>
    </row>
    <row r="296" spans="2:12" ht="13.8" x14ac:dyDescent="0.3">
      <c r="D296" s="25">
        <v>0</v>
      </c>
      <c r="E296" s="24">
        <v>134</v>
      </c>
      <c r="F296" s="24">
        <v>6</v>
      </c>
      <c r="I296" s="25">
        <v>0</v>
      </c>
      <c r="J296" s="24">
        <v>82</v>
      </c>
      <c r="K296" s="24">
        <v>78</v>
      </c>
    </row>
    <row r="297" spans="2:12" ht="13.8" x14ac:dyDescent="0.3">
      <c r="D297" s="25">
        <v>1</v>
      </c>
      <c r="E297" s="24">
        <v>0</v>
      </c>
      <c r="F297" s="24">
        <v>360</v>
      </c>
      <c r="I297" s="25">
        <v>1</v>
      </c>
      <c r="J297" s="24">
        <v>57</v>
      </c>
      <c r="K297" s="24">
        <v>283</v>
      </c>
    </row>
    <row r="299" spans="2:12" ht="15.6" x14ac:dyDescent="0.3">
      <c r="D299" s="59" t="s">
        <v>210</v>
      </c>
      <c r="E299" s="60"/>
      <c r="F299" s="60"/>
      <c r="G299" s="61"/>
      <c r="I299" s="59" t="s">
        <v>210</v>
      </c>
      <c r="J299" s="60"/>
      <c r="K299" s="60"/>
      <c r="L299" s="61"/>
    </row>
    <row r="300" spans="2:12" ht="13.8" x14ac:dyDescent="0.3">
      <c r="D300" s="26" t="s">
        <v>332</v>
      </c>
      <c r="E300" s="26" t="s">
        <v>333</v>
      </c>
      <c r="F300" s="26" t="s">
        <v>334</v>
      </c>
      <c r="G300" s="26" t="s">
        <v>335</v>
      </c>
      <c r="I300" s="26" t="s">
        <v>332</v>
      </c>
      <c r="J300" s="26" t="s">
        <v>333</v>
      </c>
      <c r="K300" s="26" t="s">
        <v>334</v>
      </c>
      <c r="L300" s="26" t="s">
        <v>335</v>
      </c>
    </row>
    <row r="301" spans="2:12" ht="13.8" x14ac:dyDescent="0.3">
      <c r="D301" s="25">
        <v>0</v>
      </c>
      <c r="E301" s="24">
        <f>SUM($E$296:$F$296)</f>
        <v>140</v>
      </c>
      <c r="F301" s="24">
        <f>SUM($E$296:$F$296) - $E$296:$E$296</f>
        <v>6</v>
      </c>
      <c r="G301" s="24">
        <f>IF($E$301:$E$301 = 0, "Undefined",$F$301:$F$301*100 / $E$301:$E$301)</f>
        <v>4.2857142857142856</v>
      </c>
      <c r="I301" s="25">
        <v>0</v>
      </c>
      <c r="J301" s="24">
        <f>SUM($J$296:$K$296)</f>
        <v>160</v>
      </c>
      <c r="K301" s="24">
        <f>SUM($J$296:$K$296) - $J$296:$J$296</f>
        <v>78</v>
      </c>
      <c r="L301" s="24">
        <f>IF($J$301:$J$301 = 0, "Undefined",$K$301:$K$301*100 / $J$301:$J$301)</f>
        <v>48.75</v>
      </c>
    </row>
    <row r="302" spans="2:12" ht="13.8" x14ac:dyDescent="0.3">
      <c r="D302" s="25">
        <v>1</v>
      </c>
      <c r="E302" s="24">
        <f>SUM($E$297:$F$297)</f>
        <v>360</v>
      </c>
      <c r="F302" s="24">
        <f>SUM($E$297:$F$297) - $F$297:$F$297</f>
        <v>0</v>
      </c>
      <c r="G302" s="24">
        <f>IF($E$302:$E$302 = 0, "Undefined",$F$302:$F$302*100 / $E$302:$E$302)</f>
        <v>0</v>
      </c>
      <c r="I302" s="25">
        <v>1</v>
      </c>
      <c r="J302" s="24">
        <f>SUM($J$297:$K$297)</f>
        <v>340</v>
      </c>
      <c r="K302" s="24">
        <f>SUM($J$297:$K$297) - $K$297:$K$297</f>
        <v>57</v>
      </c>
      <c r="L302" s="24">
        <f>IF($J$302:$J$302 = 0, "Undefined",$K$302:$K$302*100 / $J$302:$J$302)</f>
        <v>16.764705882352942</v>
      </c>
    </row>
    <row r="303" spans="2:12" ht="13.8" x14ac:dyDescent="0.3">
      <c r="D303" s="25" t="s">
        <v>336</v>
      </c>
      <c r="E303" s="24">
        <f>SUM($E$301:$E$302)</f>
        <v>500</v>
      </c>
      <c r="F303" s="24">
        <f>SUM($F$301:$F$302)</f>
        <v>6</v>
      </c>
      <c r="G303" s="24">
        <f>IF($E$303:$E$303 = 0, "Undefined",$F$303:$F$303*100 / $E$303:$E$303)</f>
        <v>1.2</v>
      </c>
      <c r="I303" s="25" t="s">
        <v>336</v>
      </c>
      <c r="J303" s="24">
        <f>SUM($J$301:$J$302)</f>
        <v>500</v>
      </c>
      <c r="K303" s="24">
        <f>SUM($K$301:$K$302)</f>
        <v>135</v>
      </c>
      <c r="L303" s="24">
        <f>IF($J$303:$J$303 = 0, "Undefined",$K$303:$K$303*100 / $J$303:$J$303)</f>
        <v>27</v>
      </c>
    </row>
    <row r="305" spans="2:12" ht="15.6" x14ac:dyDescent="0.3">
      <c r="B305" s="28" t="s">
        <v>349</v>
      </c>
      <c r="D305" s="59" t="s">
        <v>329</v>
      </c>
      <c r="E305" s="60"/>
      <c r="F305" s="61"/>
      <c r="I305" s="59" t="s">
        <v>329</v>
      </c>
      <c r="J305" s="60"/>
      <c r="K305" s="61"/>
    </row>
    <row r="306" spans="2:12" ht="13.8" x14ac:dyDescent="0.3">
      <c r="D306" s="26"/>
      <c r="E306" s="75" t="s">
        <v>330</v>
      </c>
      <c r="F306" s="76"/>
      <c r="I306" s="26"/>
      <c r="J306" s="75" t="s">
        <v>330</v>
      </c>
      <c r="K306" s="76"/>
    </row>
    <row r="307" spans="2:12" ht="13.8" x14ac:dyDescent="0.3">
      <c r="D307" s="25" t="s">
        <v>331</v>
      </c>
      <c r="E307" s="26">
        <v>0</v>
      </c>
      <c r="F307" s="26">
        <v>1</v>
      </c>
      <c r="I307" s="25" t="s">
        <v>331</v>
      </c>
      <c r="J307" s="26">
        <v>0</v>
      </c>
      <c r="K307" s="26">
        <v>1</v>
      </c>
    </row>
    <row r="308" spans="2:12" ht="13.8" x14ac:dyDescent="0.3">
      <c r="D308" s="25">
        <v>0</v>
      </c>
      <c r="E308" s="24">
        <v>130</v>
      </c>
      <c r="F308" s="24">
        <v>10</v>
      </c>
      <c r="I308" s="25">
        <v>0</v>
      </c>
      <c r="J308" s="24">
        <v>82</v>
      </c>
      <c r="K308" s="24">
        <v>78</v>
      </c>
    </row>
    <row r="309" spans="2:12" ht="13.8" x14ac:dyDescent="0.3">
      <c r="D309" s="25">
        <v>1</v>
      </c>
      <c r="E309" s="24">
        <v>4</v>
      </c>
      <c r="F309" s="24">
        <v>356</v>
      </c>
      <c r="I309" s="25">
        <v>1</v>
      </c>
      <c r="J309" s="24">
        <v>67</v>
      </c>
      <c r="K309" s="24">
        <v>273</v>
      </c>
    </row>
    <row r="311" spans="2:12" ht="15.6" x14ac:dyDescent="0.3">
      <c r="D311" s="59" t="s">
        <v>210</v>
      </c>
      <c r="E311" s="60"/>
      <c r="F311" s="60"/>
      <c r="G311" s="61"/>
      <c r="I311" s="59" t="s">
        <v>210</v>
      </c>
      <c r="J311" s="60"/>
      <c r="K311" s="60"/>
      <c r="L311" s="61"/>
    </row>
    <row r="312" spans="2:12" ht="13.8" x14ac:dyDescent="0.3">
      <c r="D312" s="26" t="s">
        <v>332</v>
      </c>
      <c r="E312" s="26" t="s">
        <v>333</v>
      </c>
      <c r="F312" s="26" t="s">
        <v>334</v>
      </c>
      <c r="G312" s="26" t="s">
        <v>335</v>
      </c>
      <c r="I312" s="26" t="s">
        <v>332</v>
      </c>
      <c r="J312" s="26" t="s">
        <v>333</v>
      </c>
      <c r="K312" s="26" t="s">
        <v>334</v>
      </c>
      <c r="L312" s="26" t="s">
        <v>335</v>
      </c>
    </row>
    <row r="313" spans="2:12" ht="13.8" x14ac:dyDescent="0.3">
      <c r="D313" s="25">
        <v>0</v>
      </c>
      <c r="E313" s="24">
        <f>SUM($E$308:$F$308)</f>
        <v>140</v>
      </c>
      <c r="F313" s="24">
        <f>SUM($E$308:$F$308) - $E$308:$E$308</f>
        <v>10</v>
      </c>
      <c r="G313" s="24">
        <f>IF($E$313:$E$313 = 0, "Undefined",$F$313:$F$313*100 / $E$313:$E$313)</f>
        <v>7.1428571428571432</v>
      </c>
      <c r="I313" s="25">
        <v>0</v>
      </c>
      <c r="J313" s="24">
        <f>SUM($J$308:$K$308)</f>
        <v>160</v>
      </c>
      <c r="K313" s="24">
        <f>SUM($J$308:$K$308) - $J$308:$J$308</f>
        <v>78</v>
      </c>
      <c r="L313" s="24">
        <f>IF($J$313:$J$313 = 0, "Undefined",$K$313:$K$313*100 / $J$313:$J$313)</f>
        <v>48.75</v>
      </c>
    </row>
    <row r="314" spans="2:12" ht="13.8" x14ac:dyDescent="0.3">
      <c r="D314" s="25">
        <v>1</v>
      </c>
      <c r="E314" s="24">
        <f>SUM($E$309:$F$309)</f>
        <v>360</v>
      </c>
      <c r="F314" s="24">
        <f>SUM($E$309:$F$309) - $F$309:$F$309</f>
        <v>4</v>
      </c>
      <c r="G314" s="24">
        <f>IF($E$314:$E$314 = 0, "Undefined",$F$314:$F$314*100 / $E$314:$E$314)</f>
        <v>1.1111111111111112</v>
      </c>
      <c r="I314" s="25">
        <v>1</v>
      </c>
      <c r="J314" s="24">
        <f>SUM($J$309:$K$309)</f>
        <v>340</v>
      </c>
      <c r="K314" s="24">
        <f>SUM($J$309:$K$309) - $K$309:$K$309</f>
        <v>67</v>
      </c>
      <c r="L314" s="24">
        <f>IF($J$314:$J$314 = 0, "Undefined",$K$314:$K$314*100 / $J$314:$J$314)</f>
        <v>19.705882352941178</v>
      </c>
    </row>
    <row r="315" spans="2:12" ht="13.8" x14ac:dyDescent="0.3">
      <c r="D315" s="25" t="s">
        <v>336</v>
      </c>
      <c r="E315" s="24">
        <f>SUM($E$313:$E$314)</f>
        <v>500</v>
      </c>
      <c r="F315" s="24">
        <f>SUM($F$313:$F$314)</f>
        <v>14</v>
      </c>
      <c r="G315" s="24">
        <f>IF($E$315:$E$315 = 0, "Undefined",$F$315:$F$315*100 / $E$315:$E$315)</f>
        <v>2.8</v>
      </c>
      <c r="I315" s="25" t="s">
        <v>336</v>
      </c>
      <c r="J315" s="24">
        <f>SUM($J$313:$J$314)</f>
        <v>500</v>
      </c>
      <c r="K315" s="24">
        <f>SUM($K$313:$K$314)</f>
        <v>145</v>
      </c>
      <c r="L315" s="24">
        <f>IF($J$315:$J$315 = 0, "Undefined",$K$315:$K$315*100 / $J$315:$J$315)</f>
        <v>29</v>
      </c>
    </row>
    <row r="317" spans="2:12" ht="15.6" x14ac:dyDescent="0.3">
      <c r="B317" s="28" t="s">
        <v>350</v>
      </c>
      <c r="D317" s="59" t="s">
        <v>329</v>
      </c>
      <c r="E317" s="60"/>
      <c r="F317" s="61"/>
      <c r="I317" s="59" t="s">
        <v>329</v>
      </c>
      <c r="J317" s="60"/>
      <c r="K317" s="61"/>
    </row>
    <row r="318" spans="2:12" ht="13.8" x14ac:dyDescent="0.3">
      <c r="D318" s="26"/>
      <c r="E318" s="75" t="s">
        <v>330</v>
      </c>
      <c r="F318" s="76"/>
      <c r="I318" s="26"/>
      <c r="J318" s="75" t="s">
        <v>330</v>
      </c>
      <c r="K318" s="76"/>
    </row>
    <row r="319" spans="2:12" ht="13.8" x14ac:dyDescent="0.3">
      <c r="D319" s="25" t="s">
        <v>331</v>
      </c>
      <c r="E319" s="26">
        <v>0</v>
      </c>
      <c r="F319" s="26">
        <v>1</v>
      </c>
      <c r="I319" s="25" t="s">
        <v>331</v>
      </c>
      <c r="J319" s="26">
        <v>0</v>
      </c>
      <c r="K319" s="26">
        <v>1</v>
      </c>
    </row>
    <row r="320" spans="2:12" ht="13.8" x14ac:dyDescent="0.3">
      <c r="D320" s="25">
        <v>0</v>
      </c>
      <c r="E320" s="24">
        <v>136</v>
      </c>
      <c r="F320" s="24">
        <v>4</v>
      </c>
      <c r="I320" s="25">
        <v>0</v>
      </c>
      <c r="J320" s="24">
        <v>75</v>
      </c>
      <c r="K320" s="24">
        <v>85</v>
      </c>
    </row>
    <row r="321" spans="2:12" ht="13.8" x14ac:dyDescent="0.3">
      <c r="D321" s="25">
        <v>1</v>
      </c>
      <c r="E321" s="24">
        <v>2</v>
      </c>
      <c r="F321" s="24">
        <v>358</v>
      </c>
      <c r="I321" s="25">
        <v>1</v>
      </c>
      <c r="J321" s="24">
        <v>60</v>
      </c>
      <c r="K321" s="24">
        <v>280</v>
      </c>
    </row>
    <row r="323" spans="2:12" ht="15.6" x14ac:dyDescent="0.3">
      <c r="D323" s="59" t="s">
        <v>210</v>
      </c>
      <c r="E323" s="60"/>
      <c r="F323" s="60"/>
      <c r="G323" s="61"/>
      <c r="I323" s="59" t="s">
        <v>210</v>
      </c>
      <c r="J323" s="60"/>
      <c r="K323" s="60"/>
      <c r="L323" s="61"/>
    </row>
    <row r="324" spans="2:12" ht="13.8" x14ac:dyDescent="0.3">
      <c r="D324" s="26" t="s">
        <v>332</v>
      </c>
      <c r="E324" s="26" t="s">
        <v>333</v>
      </c>
      <c r="F324" s="26" t="s">
        <v>334</v>
      </c>
      <c r="G324" s="26" t="s">
        <v>335</v>
      </c>
      <c r="I324" s="26" t="s">
        <v>332</v>
      </c>
      <c r="J324" s="26" t="s">
        <v>333</v>
      </c>
      <c r="K324" s="26" t="s">
        <v>334</v>
      </c>
      <c r="L324" s="26" t="s">
        <v>335</v>
      </c>
    </row>
    <row r="325" spans="2:12" ht="13.8" x14ac:dyDescent="0.3">
      <c r="D325" s="25">
        <v>0</v>
      </c>
      <c r="E325" s="24">
        <f>SUM($E$320:$F$320)</f>
        <v>140</v>
      </c>
      <c r="F325" s="24">
        <f>SUM($E$320:$F$320) - $E$320:$E$320</f>
        <v>4</v>
      </c>
      <c r="G325" s="24">
        <f>IF($E$325:$E$325 = 0, "Undefined",$F$325:$F$325*100 / $E$325:$E$325)</f>
        <v>2.8571428571428572</v>
      </c>
      <c r="I325" s="25">
        <v>0</v>
      </c>
      <c r="J325" s="24">
        <f>SUM($J$320:$K$320)</f>
        <v>160</v>
      </c>
      <c r="K325" s="24">
        <f>SUM($J$320:$K$320) - $J$320:$J$320</f>
        <v>85</v>
      </c>
      <c r="L325" s="24">
        <f>IF($J$325:$J$325 = 0, "Undefined",$K$325:$K$325*100 / $J$325:$J$325)</f>
        <v>53.125</v>
      </c>
    </row>
    <row r="326" spans="2:12" ht="13.8" x14ac:dyDescent="0.3">
      <c r="D326" s="25">
        <v>1</v>
      </c>
      <c r="E326" s="24">
        <f>SUM($E$321:$F$321)</f>
        <v>360</v>
      </c>
      <c r="F326" s="24">
        <f>SUM($E$321:$F$321) - $F$321:$F$321</f>
        <v>2</v>
      </c>
      <c r="G326" s="24">
        <f>IF($E$326:$E$326 = 0, "Undefined",$F$326:$F$326*100 / $E$326:$E$326)</f>
        <v>0.55555555555555558</v>
      </c>
      <c r="I326" s="25">
        <v>1</v>
      </c>
      <c r="J326" s="24">
        <f>SUM($J$321:$K$321)</f>
        <v>340</v>
      </c>
      <c r="K326" s="24">
        <f>SUM($J$321:$K$321) - $K$321:$K$321</f>
        <v>60</v>
      </c>
      <c r="L326" s="24">
        <f>IF($J$326:$J$326 = 0, "Undefined",$K$326:$K$326*100 / $J$326:$J$326)</f>
        <v>17.647058823529413</v>
      </c>
    </row>
    <row r="327" spans="2:12" ht="13.8" x14ac:dyDescent="0.3">
      <c r="D327" s="25" t="s">
        <v>336</v>
      </c>
      <c r="E327" s="24">
        <f>SUM($E$325:$E$326)</f>
        <v>500</v>
      </c>
      <c r="F327" s="24">
        <f>SUM($F$325:$F$326)</f>
        <v>6</v>
      </c>
      <c r="G327" s="24">
        <f>IF($E$327:$E$327 = 0, "Undefined",$F$327:$F$327*100 / $E$327:$E$327)</f>
        <v>1.2</v>
      </c>
      <c r="I327" s="25" t="s">
        <v>336</v>
      </c>
      <c r="J327" s="24">
        <f>SUM($J$325:$J$326)</f>
        <v>500</v>
      </c>
      <c r="K327" s="24">
        <f>SUM($K$325:$K$326)</f>
        <v>145</v>
      </c>
      <c r="L327" s="24">
        <f>IF($J$327:$J$327 = 0, "Undefined",$K$327:$K$327*100 / $J$327:$J$327)</f>
        <v>29</v>
      </c>
    </row>
    <row r="329" spans="2:12" ht="15.6" x14ac:dyDescent="0.3">
      <c r="B329" s="28" t="s">
        <v>351</v>
      </c>
      <c r="D329" s="59" t="s">
        <v>329</v>
      </c>
      <c r="E329" s="60"/>
      <c r="F329" s="61"/>
      <c r="I329" s="59" t="s">
        <v>329</v>
      </c>
      <c r="J329" s="60"/>
      <c r="K329" s="61"/>
    </row>
    <row r="330" spans="2:12" ht="13.8" x14ac:dyDescent="0.3">
      <c r="D330" s="26"/>
      <c r="E330" s="75" t="s">
        <v>330</v>
      </c>
      <c r="F330" s="76"/>
      <c r="I330" s="26"/>
      <c r="J330" s="75" t="s">
        <v>330</v>
      </c>
      <c r="K330" s="76"/>
    </row>
    <row r="331" spans="2:12" ht="13.8" x14ac:dyDescent="0.3">
      <c r="D331" s="25" t="s">
        <v>331</v>
      </c>
      <c r="E331" s="26">
        <v>0</v>
      </c>
      <c r="F331" s="26">
        <v>1</v>
      </c>
      <c r="I331" s="25" t="s">
        <v>331</v>
      </c>
      <c r="J331" s="26">
        <v>0</v>
      </c>
      <c r="K331" s="26">
        <v>1</v>
      </c>
    </row>
    <row r="332" spans="2:12" ht="13.8" x14ac:dyDescent="0.3">
      <c r="D332" s="25">
        <v>0</v>
      </c>
      <c r="E332" s="24">
        <v>131</v>
      </c>
      <c r="F332" s="24">
        <v>9</v>
      </c>
      <c r="I332" s="25">
        <v>0</v>
      </c>
      <c r="J332" s="24">
        <v>76</v>
      </c>
      <c r="K332" s="24">
        <v>84</v>
      </c>
    </row>
    <row r="333" spans="2:12" ht="13.8" x14ac:dyDescent="0.3">
      <c r="D333" s="25">
        <v>1</v>
      </c>
      <c r="E333" s="24">
        <v>4</v>
      </c>
      <c r="F333" s="24">
        <v>356</v>
      </c>
      <c r="I333" s="25">
        <v>1</v>
      </c>
      <c r="J333" s="24">
        <v>58</v>
      </c>
      <c r="K333" s="24">
        <v>282</v>
      </c>
    </row>
    <row r="335" spans="2:12" ht="15.6" x14ac:dyDescent="0.3">
      <c r="D335" s="59" t="s">
        <v>210</v>
      </c>
      <c r="E335" s="60"/>
      <c r="F335" s="60"/>
      <c r="G335" s="61"/>
      <c r="I335" s="59" t="s">
        <v>210</v>
      </c>
      <c r="J335" s="60"/>
      <c r="K335" s="60"/>
      <c r="L335" s="61"/>
    </row>
    <row r="336" spans="2:12" ht="13.8" x14ac:dyDescent="0.3">
      <c r="D336" s="26" t="s">
        <v>332</v>
      </c>
      <c r="E336" s="26" t="s">
        <v>333</v>
      </c>
      <c r="F336" s="26" t="s">
        <v>334</v>
      </c>
      <c r="G336" s="26" t="s">
        <v>335</v>
      </c>
      <c r="I336" s="26" t="s">
        <v>332</v>
      </c>
      <c r="J336" s="26" t="s">
        <v>333</v>
      </c>
      <c r="K336" s="26" t="s">
        <v>334</v>
      </c>
      <c r="L336" s="26" t="s">
        <v>335</v>
      </c>
    </row>
    <row r="337" spans="2:12" ht="13.8" x14ac:dyDescent="0.3">
      <c r="D337" s="25">
        <v>0</v>
      </c>
      <c r="E337" s="24">
        <f>SUM($E$332:$F$332)</f>
        <v>140</v>
      </c>
      <c r="F337" s="24">
        <f>SUM($E$332:$F$332) - $E$332:$E$332</f>
        <v>9</v>
      </c>
      <c r="G337" s="24">
        <f>IF($E$337:$E$337 = 0, "Undefined",$F$337:$F$337*100 / $E$337:$E$337)</f>
        <v>6.4285714285714288</v>
      </c>
      <c r="I337" s="25">
        <v>0</v>
      </c>
      <c r="J337" s="24">
        <f>SUM($J$332:$K$332)</f>
        <v>160</v>
      </c>
      <c r="K337" s="24">
        <f>SUM($J$332:$K$332) - $J$332:$J$332</f>
        <v>84</v>
      </c>
      <c r="L337" s="24">
        <f>IF($J$337:$J$337 = 0, "Undefined",$K$337:$K$337*100 / $J$337:$J$337)</f>
        <v>52.5</v>
      </c>
    </row>
    <row r="338" spans="2:12" ht="13.8" x14ac:dyDescent="0.3">
      <c r="D338" s="25">
        <v>1</v>
      </c>
      <c r="E338" s="24">
        <f>SUM($E$333:$F$333)</f>
        <v>360</v>
      </c>
      <c r="F338" s="24">
        <f>SUM($E$333:$F$333) - $F$333:$F$333</f>
        <v>4</v>
      </c>
      <c r="G338" s="24">
        <f>IF($E$338:$E$338 = 0, "Undefined",$F$338:$F$338*100 / $E$338:$E$338)</f>
        <v>1.1111111111111112</v>
      </c>
      <c r="I338" s="25">
        <v>1</v>
      </c>
      <c r="J338" s="24">
        <f>SUM($J$333:$K$333)</f>
        <v>340</v>
      </c>
      <c r="K338" s="24">
        <f>SUM($J$333:$K$333) - $K$333:$K$333</f>
        <v>58</v>
      </c>
      <c r="L338" s="24">
        <f>IF($J$338:$J$338 = 0, "Undefined",$K$338:$K$338*100 / $J$338:$J$338)</f>
        <v>17.058823529411764</v>
      </c>
    </row>
    <row r="339" spans="2:12" ht="13.8" x14ac:dyDescent="0.3">
      <c r="D339" s="25" t="s">
        <v>336</v>
      </c>
      <c r="E339" s="24">
        <f>SUM($E$337:$E$338)</f>
        <v>500</v>
      </c>
      <c r="F339" s="24">
        <f>SUM($F$337:$F$338)</f>
        <v>13</v>
      </c>
      <c r="G339" s="24">
        <f>IF($E$339:$E$339 = 0, "Undefined",$F$339:$F$339*100 / $E$339:$E$339)</f>
        <v>2.6</v>
      </c>
      <c r="I339" s="25" t="s">
        <v>336</v>
      </c>
      <c r="J339" s="24">
        <f>SUM($J$337:$J$338)</f>
        <v>500</v>
      </c>
      <c r="K339" s="24">
        <f>SUM($K$337:$K$338)</f>
        <v>142</v>
      </c>
      <c r="L339" s="24">
        <f>IF($J$339:$J$339 = 0, "Undefined",$K$339:$K$339*100 / $J$339:$J$339)</f>
        <v>28.4</v>
      </c>
    </row>
    <row r="341" spans="2:12" ht="15.6" x14ac:dyDescent="0.3">
      <c r="B341" s="28" t="s">
        <v>352</v>
      </c>
      <c r="D341" s="59" t="s">
        <v>329</v>
      </c>
      <c r="E341" s="60"/>
      <c r="F341" s="61"/>
      <c r="I341" s="59" t="s">
        <v>329</v>
      </c>
      <c r="J341" s="60"/>
      <c r="K341" s="61"/>
    </row>
    <row r="342" spans="2:12" ht="13.8" x14ac:dyDescent="0.3">
      <c r="D342" s="26"/>
      <c r="E342" s="75" t="s">
        <v>330</v>
      </c>
      <c r="F342" s="76"/>
      <c r="I342" s="26"/>
      <c r="J342" s="75" t="s">
        <v>330</v>
      </c>
      <c r="K342" s="76"/>
    </row>
    <row r="343" spans="2:12" ht="13.8" x14ac:dyDescent="0.3">
      <c r="D343" s="25" t="s">
        <v>331</v>
      </c>
      <c r="E343" s="26">
        <v>0</v>
      </c>
      <c r="F343" s="26">
        <v>1</v>
      </c>
      <c r="I343" s="25" t="s">
        <v>331</v>
      </c>
      <c r="J343" s="26">
        <v>0</v>
      </c>
      <c r="K343" s="26">
        <v>1</v>
      </c>
    </row>
    <row r="344" spans="2:12" ht="13.8" x14ac:dyDescent="0.3">
      <c r="D344" s="25">
        <v>0</v>
      </c>
      <c r="E344" s="24">
        <v>137</v>
      </c>
      <c r="F344" s="24">
        <v>3</v>
      </c>
      <c r="I344" s="25">
        <v>0</v>
      </c>
      <c r="J344" s="24">
        <v>81</v>
      </c>
      <c r="K344" s="24">
        <v>79</v>
      </c>
    </row>
    <row r="345" spans="2:12" ht="13.8" x14ac:dyDescent="0.3">
      <c r="D345" s="25">
        <v>1</v>
      </c>
      <c r="E345" s="24">
        <v>2</v>
      </c>
      <c r="F345" s="24">
        <v>358</v>
      </c>
      <c r="I345" s="25">
        <v>1</v>
      </c>
      <c r="J345" s="24">
        <v>65</v>
      </c>
      <c r="K345" s="24">
        <v>275</v>
      </c>
    </row>
    <row r="347" spans="2:12" ht="15.6" x14ac:dyDescent="0.3">
      <c r="D347" s="59" t="s">
        <v>210</v>
      </c>
      <c r="E347" s="60"/>
      <c r="F347" s="60"/>
      <c r="G347" s="61"/>
      <c r="I347" s="59" t="s">
        <v>210</v>
      </c>
      <c r="J347" s="60"/>
      <c r="K347" s="60"/>
      <c r="L347" s="61"/>
    </row>
    <row r="348" spans="2:12" ht="13.8" x14ac:dyDescent="0.3">
      <c r="D348" s="26" t="s">
        <v>332</v>
      </c>
      <c r="E348" s="26" t="s">
        <v>333</v>
      </c>
      <c r="F348" s="26" t="s">
        <v>334</v>
      </c>
      <c r="G348" s="26" t="s">
        <v>335</v>
      </c>
      <c r="I348" s="26" t="s">
        <v>332</v>
      </c>
      <c r="J348" s="26" t="s">
        <v>333</v>
      </c>
      <c r="K348" s="26" t="s">
        <v>334</v>
      </c>
      <c r="L348" s="26" t="s">
        <v>335</v>
      </c>
    </row>
    <row r="349" spans="2:12" ht="13.8" x14ac:dyDescent="0.3">
      <c r="D349" s="25">
        <v>0</v>
      </c>
      <c r="E349" s="24">
        <f>SUM($E$344:$F$344)</f>
        <v>140</v>
      </c>
      <c r="F349" s="24">
        <f>SUM($E$344:$F$344) - $E$344:$E$344</f>
        <v>3</v>
      </c>
      <c r="G349" s="24">
        <f>IF($E$349:$E$349 = 0, "Undefined",$F$349:$F$349*100 / $E$349:$E$349)</f>
        <v>2.1428571428571428</v>
      </c>
      <c r="I349" s="25">
        <v>0</v>
      </c>
      <c r="J349" s="24">
        <f>SUM($J$344:$K$344)</f>
        <v>160</v>
      </c>
      <c r="K349" s="24">
        <f>SUM($J$344:$K$344) - $J$344:$J$344</f>
        <v>79</v>
      </c>
      <c r="L349" s="24">
        <f>IF($J$349:$J$349 = 0, "Undefined",$K$349:$K$349*100 / $J$349:$J$349)</f>
        <v>49.375</v>
      </c>
    </row>
    <row r="350" spans="2:12" ht="13.8" x14ac:dyDescent="0.3">
      <c r="D350" s="25">
        <v>1</v>
      </c>
      <c r="E350" s="24">
        <f>SUM($E$345:$F$345)</f>
        <v>360</v>
      </c>
      <c r="F350" s="24">
        <f>SUM($E$345:$F$345) - $F$345:$F$345</f>
        <v>2</v>
      </c>
      <c r="G350" s="24">
        <f>IF($E$350:$E$350 = 0, "Undefined",$F$350:$F$350*100 / $E$350:$E$350)</f>
        <v>0.55555555555555558</v>
      </c>
      <c r="I350" s="25">
        <v>1</v>
      </c>
      <c r="J350" s="24">
        <f>SUM($J$345:$K$345)</f>
        <v>340</v>
      </c>
      <c r="K350" s="24">
        <f>SUM($J$345:$K$345) - $K$345:$K$345</f>
        <v>65</v>
      </c>
      <c r="L350" s="24">
        <f>IF($J$350:$J$350 = 0, "Undefined",$K$350:$K$350*100 / $J$350:$J$350)</f>
        <v>19.117647058823529</v>
      </c>
    </row>
    <row r="351" spans="2:12" ht="13.8" x14ac:dyDescent="0.3">
      <c r="D351" s="25" t="s">
        <v>336</v>
      </c>
      <c r="E351" s="24">
        <f>SUM($E$349:$E$350)</f>
        <v>500</v>
      </c>
      <c r="F351" s="24">
        <f>SUM($F$349:$F$350)</f>
        <v>5</v>
      </c>
      <c r="G351" s="24">
        <f>IF($E$351:$E$351 = 0, "Undefined",$F$351:$F$351*100 / $E$351:$E$351)</f>
        <v>1</v>
      </c>
      <c r="I351" s="25" t="s">
        <v>336</v>
      </c>
      <c r="J351" s="24">
        <f>SUM($J$349:$J$350)</f>
        <v>500</v>
      </c>
      <c r="K351" s="24">
        <f>SUM($K$349:$K$350)</f>
        <v>144</v>
      </c>
      <c r="L351" s="24">
        <f>IF($J$351:$J$351 = 0, "Undefined",$K$351:$K$351*100 / $J$351:$J$351)</f>
        <v>28.8</v>
      </c>
    </row>
    <row r="353" spans="2:12" ht="15.6" x14ac:dyDescent="0.3">
      <c r="B353" s="28" t="s">
        <v>353</v>
      </c>
      <c r="D353" s="59" t="s">
        <v>329</v>
      </c>
      <c r="E353" s="60"/>
      <c r="F353" s="61"/>
      <c r="I353" s="59" t="s">
        <v>329</v>
      </c>
      <c r="J353" s="60"/>
      <c r="K353" s="61"/>
    </row>
    <row r="354" spans="2:12" ht="13.8" x14ac:dyDescent="0.3">
      <c r="D354" s="26"/>
      <c r="E354" s="75" t="s">
        <v>330</v>
      </c>
      <c r="F354" s="76"/>
      <c r="I354" s="26"/>
      <c r="J354" s="75" t="s">
        <v>330</v>
      </c>
      <c r="K354" s="76"/>
    </row>
    <row r="355" spans="2:12" ht="13.8" x14ac:dyDescent="0.3">
      <c r="D355" s="25" t="s">
        <v>331</v>
      </c>
      <c r="E355" s="26">
        <v>0</v>
      </c>
      <c r="F355" s="26">
        <v>1</v>
      </c>
      <c r="I355" s="25" t="s">
        <v>331</v>
      </c>
      <c r="J355" s="26">
        <v>0</v>
      </c>
      <c r="K355" s="26">
        <v>1</v>
      </c>
    </row>
    <row r="356" spans="2:12" ht="13.8" x14ac:dyDescent="0.3">
      <c r="D356" s="25">
        <v>0</v>
      </c>
      <c r="E356" s="24">
        <v>138</v>
      </c>
      <c r="F356" s="24">
        <v>2</v>
      </c>
      <c r="I356" s="25">
        <v>0</v>
      </c>
      <c r="J356" s="24">
        <v>84</v>
      </c>
      <c r="K356" s="24">
        <v>76</v>
      </c>
    </row>
    <row r="357" spans="2:12" ht="13.8" x14ac:dyDescent="0.3">
      <c r="D357" s="25">
        <v>1</v>
      </c>
      <c r="E357" s="24">
        <v>2</v>
      </c>
      <c r="F357" s="24">
        <v>358</v>
      </c>
      <c r="I357" s="25">
        <v>1</v>
      </c>
      <c r="J357" s="24">
        <v>53</v>
      </c>
      <c r="K357" s="24">
        <v>287</v>
      </c>
    </row>
    <row r="359" spans="2:12" ht="15.6" x14ac:dyDescent="0.3">
      <c r="D359" s="59" t="s">
        <v>210</v>
      </c>
      <c r="E359" s="60"/>
      <c r="F359" s="60"/>
      <c r="G359" s="61"/>
      <c r="I359" s="59" t="s">
        <v>210</v>
      </c>
      <c r="J359" s="60"/>
      <c r="K359" s="60"/>
      <c r="L359" s="61"/>
    </row>
    <row r="360" spans="2:12" ht="13.8" x14ac:dyDescent="0.3">
      <c r="D360" s="26" t="s">
        <v>332</v>
      </c>
      <c r="E360" s="26" t="s">
        <v>333</v>
      </c>
      <c r="F360" s="26" t="s">
        <v>334</v>
      </c>
      <c r="G360" s="26" t="s">
        <v>335</v>
      </c>
      <c r="I360" s="26" t="s">
        <v>332</v>
      </c>
      <c r="J360" s="26" t="s">
        <v>333</v>
      </c>
      <c r="K360" s="26" t="s">
        <v>334</v>
      </c>
      <c r="L360" s="26" t="s">
        <v>335</v>
      </c>
    </row>
    <row r="361" spans="2:12" ht="13.8" x14ac:dyDescent="0.3">
      <c r="D361" s="25">
        <v>0</v>
      </c>
      <c r="E361" s="24">
        <f>SUM($E$356:$F$356)</f>
        <v>140</v>
      </c>
      <c r="F361" s="24">
        <f>SUM($E$356:$F$356) - $E$356:$E$356</f>
        <v>2</v>
      </c>
      <c r="G361" s="24">
        <f>IF($E$361:$E$361 = 0, "Undefined",$F$361:$F$361*100 / $E$361:$E$361)</f>
        <v>1.4285714285714286</v>
      </c>
      <c r="I361" s="25">
        <v>0</v>
      </c>
      <c r="J361" s="24">
        <f>SUM($J$356:$K$356)</f>
        <v>160</v>
      </c>
      <c r="K361" s="24">
        <f>SUM($J$356:$K$356) - $J$356:$J$356</f>
        <v>76</v>
      </c>
      <c r="L361" s="24">
        <f>IF($J$361:$J$361 = 0, "Undefined",$K$361:$K$361*100 / $J$361:$J$361)</f>
        <v>47.5</v>
      </c>
    </row>
    <row r="362" spans="2:12" ht="13.8" x14ac:dyDescent="0.3">
      <c r="D362" s="25">
        <v>1</v>
      </c>
      <c r="E362" s="24">
        <f>SUM($E$357:$F$357)</f>
        <v>360</v>
      </c>
      <c r="F362" s="24">
        <f>SUM($E$357:$F$357) - $F$357:$F$357</f>
        <v>2</v>
      </c>
      <c r="G362" s="24">
        <f>IF($E$362:$E$362 = 0, "Undefined",$F$362:$F$362*100 / $E$362:$E$362)</f>
        <v>0.55555555555555558</v>
      </c>
      <c r="I362" s="25">
        <v>1</v>
      </c>
      <c r="J362" s="24">
        <f>SUM($J$357:$K$357)</f>
        <v>340</v>
      </c>
      <c r="K362" s="24">
        <f>SUM($J$357:$K$357) - $K$357:$K$357</f>
        <v>53</v>
      </c>
      <c r="L362" s="24">
        <f>IF($J$362:$J$362 = 0, "Undefined",$K$362:$K$362*100 / $J$362:$J$362)</f>
        <v>15.588235294117647</v>
      </c>
    </row>
    <row r="363" spans="2:12" ht="13.8" x14ac:dyDescent="0.3">
      <c r="D363" s="25" t="s">
        <v>336</v>
      </c>
      <c r="E363" s="24">
        <f>SUM($E$361:$E$362)</f>
        <v>500</v>
      </c>
      <c r="F363" s="24">
        <f>SUM($F$361:$F$362)</f>
        <v>4</v>
      </c>
      <c r="G363" s="24">
        <f>IF($E$363:$E$363 = 0, "Undefined",$F$363:$F$363*100 / $E$363:$E$363)</f>
        <v>0.8</v>
      </c>
      <c r="I363" s="25" t="s">
        <v>336</v>
      </c>
      <c r="J363" s="24">
        <f>SUM($J$361:$J$362)</f>
        <v>500</v>
      </c>
      <c r="K363" s="24">
        <f>SUM($K$361:$K$362)</f>
        <v>129</v>
      </c>
      <c r="L363" s="24">
        <f>IF($J$363:$J$363 = 0, "Undefined",$K$363:$K$363*100 / $J$363:$J$363)</f>
        <v>25.8</v>
      </c>
    </row>
    <row r="365" spans="2:12" ht="15.6" x14ac:dyDescent="0.3">
      <c r="B365" s="28" t="s">
        <v>354</v>
      </c>
      <c r="D365" s="59" t="s">
        <v>329</v>
      </c>
      <c r="E365" s="60"/>
      <c r="F365" s="61"/>
      <c r="I365" s="59" t="s">
        <v>329</v>
      </c>
      <c r="J365" s="60"/>
      <c r="K365" s="61"/>
    </row>
    <row r="366" spans="2:12" ht="13.8" x14ac:dyDescent="0.3">
      <c r="D366" s="26"/>
      <c r="E366" s="75" t="s">
        <v>330</v>
      </c>
      <c r="F366" s="76"/>
      <c r="I366" s="26"/>
      <c r="J366" s="75" t="s">
        <v>330</v>
      </c>
      <c r="K366" s="76"/>
    </row>
    <row r="367" spans="2:12" ht="13.8" x14ac:dyDescent="0.3">
      <c r="D367" s="25" t="s">
        <v>331</v>
      </c>
      <c r="E367" s="26">
        <v>0</v>
      </c>
      <c r="F367" s="26">
        <v>1</v>
      </c>
      <c r="I367" s="25" t="s">
        <v>331</v>
      </c>
      <c r="J367" s="26">
        <v>0</v>
      </c>
      <c r="K367" s="26">
        <v>1</v>
      </c>
    </row>
    <row r="368" spans="2:12" ht="13.8" x14ac:dyDescent="0.3">
      <c r="D368" s="25">
        <v>0</v>
      </c>
      <c r="E368" s="24">
        <v>133</v>
      </c>
      <c r="F368" s="24">
        <v>7</v>
      </c>
      <c r="I368" s="25">
        <v>0</v>
      </c>
      <c r="J368" s="24">
        <v>79</v>
      </c>
      <c r="K368" s="24">
        <v>81</v>
      </c>
    </row>
    <row r="369" spans="2:12" ht="13.8" x14ac:dyDescent="0.3">
      <c r="D369" s="25">
        <v>1</v>
      </c>
      <c r="E369" s="24">
        <v>4</v>
      </c>
      <c r="F369" s="24">
        <v>356</v>
      </c>
      <c r="I369" s="25">
        <v>1</v>
      </c>
      <c r="J369" s="24">
        <v>58</v>
      </c>
      <c r="K369" s="24">
        <v>282</v>
      </c>
    </row>
    <row r="371" spans="2:12" ht="15.6" x14ac:dyDescent="0.3">
      <c r="D371" s="59" t="s">
        <v>210</v>
      </c>
      <c r="E371" s="60"/>
      <c r="F371" s="60"/>
      <c r="G371" s="61"/>
      <c r="I371" s="59" t="s">
        <v>210</v>
      </c>
      <c r="J371" s="60"/>
      <c r="K371" s="60"/>
      <c r="L371" s="61"/>
    </row>
    <row r="372" spans="2:12" ht="13.8" x14ac:dyDescent="0.3">
      <c r="D372" s="26" t="s">
        <v>332</v>
      </c>
      <c r="E372" s="26" t="s">
        <v>333</v>
      </c>
      <c r="F372" s="26" t="s">
        <v>334</v>
      </c>
      <c r="G372" s="26" t="s">
        <v>335</v>
      </c>
      <c r="I372" s="26" t="s">
        <v>332</v>
      </c>
      <c r="J372" s="26" t="s">
        <v>333</v>
      </c>
      <c r="K372" s="26" t="s">
        <v>334</v>
      </c>
      <c r="L372" s="26" t="s">
        <v>335</v>
      </c>
    </row>
    <row r="373" spans="2:12" ht="13.8" x14ac:dyDescent="0.3">
      <c r="D373" s="25">
        <v>0</v>
      </c>
      <c r="E373" s="24">
        <f>SUM($E$368:$F$368)</f>
        <v>140</v>
      </c>
      <c r="F373" s="24">
        <f>SUM($E$368:$F$368) - $E$368:$E$368</f>
        <v>7</v>
      </c>
      <c r="G373" s="24">
        <f>IF($E$373:$E$373 = 0, "Undefined",$F$373:$F$373*100 / $E$373:$E$373)</f>
        <v>5</v>
      </c>
      <c r="I373" s="25">
        <v>0</v>
      </c>
      <c r="J373" s="24">
        <f>SUM($J$368:$K$368)</f>
        <v>160</v>
      </c>
      <c r="K373" s="24">
        <f>SUM($J$368:$K$368) - $J$368:$J$368</f>
        <v>81</v>
      </c>
      <c r="L373" s="24">
        <f>IF($J$373:$J$373 = 0, "Undefined",$K$373:$K$373*100 / $J$373:$J$373)</f>
        <v>50.625</v>
      </c>
    </row>
    <row r="374" spans="2:12" ht="13.8" x14ac:dyDescent="0.3">
      <c r="D374" s="25">
        <v>1</v>
      </c>
      <c r="E374" s="24">
        <f>SUM($E$369:$F$369)</f>
        <v>360</v>
      </c>
      <c r="F374" s="24">
        <f>SUM($E$369:$F$369) - $F$369:$F$369</f>
        <v>4</v>
      </c>
      <c r="G374" s="24">
        <f>IF($E$374:$E$374 = 0, "Undefined",$F$374:$F$374*100 / $E$374:$E$374)</f>
        <v>1.1111111111111112</v>
      </c>
      <c r="I374" s="25">
        <v>1</v>
      </c>
      <c r="J374" s="24">
        <f>SUM($J$369:$K$369)</f>
        <v>340</v>
      </c>
      <c r="K374" s="24">
        <f>SUM($J$369:$K$369) - $K$369:$K$369</f>
        <v>58</v>
      </c>
      <c r="L374" s="24">
        <f>IF($J$374:$J$374 = 0, "Undefined",$K$374:$K$374*100 / $J$374:$J$374)</f>
        <v>17.058823529411764</v>
      </c>
    </row>
    <row r="375" spans="2:12" ht="13.8" x14ac:dyDescent="0.3">
      <c r="D375" s="25" t="s">
        <v>336</v>
      </c>
      <c r="E375" s="24">
        <f>SUM($E$373:$E$374)</f>
        <v>500</v>
      </c>
      <c r="F375" s="24">
        <f>SUM($F$373:$F$374)</f>
        <v>11</v>
      </c>
      <c r="G375" s="24">
        <f>IF($E$375:$E$375 = 0, "Undefined",$F$375:$F$375*100 / $E$375:$E$375)</f>
        <v>2.2000000000000002</v>
      </c>
      <c r="I375" s="25" t="s">
        <v>336</v>
      </c>
      <c r="J375" s="24">
        <f>SUM($J$373:$J$374)</f>
        <v>500</v>
      </c>
      <c r="K375" s="24">
        <f>SUM($K$373:$K$374)</f>
        <v>139</v>
      </c>
      <c r="L375" s="24">
        <f>IF($J$375:$J$375 = 0, "Undefined",$K$375:$K$375*100 / $J$375:$J$375)</f>
        <v>27.8</v>
      </c>
    </row>
    <row r="377" spans="2:12" ht="15.6" x14ac:dyDescent="0.3">
      <c r="B377" s="28" t="s">
        <v>355</v>
      </c>
      <c r="D377" s="59" t="s">
        <v>329</v>
      </c>
      <c r="E377" s="60"/>
      <c r="F377" s="61"/>
      <c r="I377" s="59" t="s">
        <v>329</v>
      </c>
      <c r="J377" s="60"/>
      <c r="K377" s="61"/>
    </row>
    <row r="378" spans="2:12" ht="13.8" x14ac:dyDescent="0.3">
      <c r="D378" s="26"/>
      <c r="E378" s="75" t="s">
        <v>330</v>
      </c>
      <c r="F378" s="76"/>
      <c r="I378" s="26"/>
      <c r="J378" s="75" t="s">
        <v>330</v>
      </c>
      <c r="K378" s="76"/>
    </row>
    <row r="379" spans="2:12" ht="13.8" x14ac:dyDescent="0.3">
      <c r="D379" s="25" t="s">
        <v>331</v>
      </c>
      <c r="E379" s="26">
        <v>0</v>
      </c>
      <c r="F379" s="26">
        <v>1</v>
      </c>
      <c r="I379" s="25" t="s">
        <v>331</v>
      </c>
      <c r="J379" s="26">
        <v>0</v>
      </c>
      <c r="K379" s="26">
        <v>1</v>
      </c>
    </row>
    <row r="380" spans="2:12" ht="13.8" x14ac:dyDescent="0.3">
      <c r="D380" s="25">
        <v>0</v>
      </c>
      <c r="E380" s="24">
        <v>133</v>
      </c>
      <c r="F380" s="24">
        <v>7</v>
      </c>
      <c r="I380" s="25">
        <v>0</v>
      </c>
      <c r="J380" s="24">
        <v>77</v>
      </c>
      <c r="K380" s="24">
        <v>83</v>
      </c>
    </row>
    <row r="381" spans="2:12" ht="13.8" x14ac:dyDescent="0.3">
      <c r="D381" s="25">
        <v>1</v>
      </c>
      <c r="E381" s="24">
        <v>2</v>
      </c>
      <c r="F381" s="24">
        <v>358</v>
      </c>
      <c r="I381" s="25">
        <v>1</v>
      </c>
      <c r="J381" s="24">
        <v>57</v>
      </c>
      <c r="K381" s="24">
        <v>283</v>
      </c>
    </row>
    <row r="383" spans="2:12" ht="15.6" x14ac:dyDescent="0.3">
      <c r="D383" s="59" t="s">
        <v>210</v>
      </c>
      <c r="E383" s="60"/>
      <c r="F383" s="60"/>
      <c r="G383" s="61"/>
      <c r="I383" s="59" t="s">
        <v>210</v>
      </c>
      <c r="J383" s="60"/>
      <c r="K383" s="60"/>
      <c r="L383" s="61"/>
    </row>
    <row r="384" spans="2:12" ht="13.8" x14ac:dyDescent="0.3">
      <c r="D384" s="26" t="s">
        <v>332</v>
      </c>
      <c r="E384" s="26" t="s">
        <v>333</v>
      </c>
      <c r="F384" s="26" t="s">
        <v>334</v>
      </c>
      <c r="G384" s="26" t="s">
        <v>335</v>
      </c>
      <c r="I384" s="26" t="s">
        <v>332</v>
      </c>
      <c r="J384" s="26" t="s">
        <v>333</v>
      </c>
      <c r="K384" s="26" t="s">
        <v>334</v>
      </c>
      <c r="L384" s="26" t="s">
        <v>335</v>
      </c>
    </row>
    <row r="385" spans="2:12" ht="13.8" x14ac:dyDescent="0.3">
      <c r="D385" s="25">
        <v>0</v>
      </c>
      <c r="E385" s="24">
        <f>SUM($E$380:$F$380)</f>
        <v>140</v>
      </c>
      <c r="F385" s="24">
        <f>SUM($E$380:$F$380) - $E$380:$E$380</f>
        <v>7</v>
      </c>
      <c r="G385" s="24">
        <f>IF($E$385:$E$385 = 0, "Undefined",$F$385:$F$385*100 / $E$385:$E$385)</f>
        <v>5</v>
      </c>
      <c r="I385" s="25">
        <v>0</v>
      </c>
      <c r="J385" s="24">
        <f>SUM($J$380:$K$380)</f>
        <v>160</v>
      </c>
      <c r="K385" s="24">
        <f>SUM($J$380:$K$380) - $J$380:$J$380</f>
        <v>83</v>
      </c>
      <c r="L385" s="24">
        <f>IF($J$385:$J$385 = 0, "Undefined",$K$385:$K$385*100 / $J$385:$J$385)</f>
        <v>51.875</v>
      </c>
    </row>
    <row r="386" spans="2:12" ht="13.8" x14ac:dyDescent="0.3">
      <c r="D386" s="25">
        <v>1</v>
      </c>
      <c r="E386" s="24">
        <f>SUM($E$381:$F$381)</f>
        <v>360</v>
      </c>
      <c r="F386" s="24">
        <f>SUM($E$381:$F$381) - $F$381:$F$381</f>
        <v>2</v>
      </c>
      <c r="G386" s="24">
        <f>IF($E$386:$E$386 = 0, "Undefined",$F$386:$F$386*100 / $E$386:$E$386)</f>
        <v>0.55555555555555558</v>
      </c>
      <c r="I386" s="25">
        <v>1</v>
      </c>
      <c r="J386" s="24">
        <f>SUM($J$381:$K$381)</f>
        <v>340</v>
      </c>
      <c r="K386" s="24">
        <f>SUM($J$381:$K$381) - $K$381:$K$381</f>
        <v>57</v>
      </c>
      <c r="L386" s="24">
        <f>IF($J$386:$J$386 = 0, "Undefined",$K$386:$K$386*100 / $J$386:$J$386)</f>
        <v>16.764705882352942</v>
      </c>
    </row>
    <row r="387" spans="2:12" ht="13.8" x14ac:dyDescent="0.3">
      <c r="D387" s="25" t="s">
        <v>336</v>
      </c>
      <c r="E387" s="24">
        <f>SUM($E$385:$E$386)</f>
        <v>500</v>
      </c>
      <c r="F387" s="24">
        <f>SUM($F$385:$F$386)</f>
        <v>9</v>
      </c>
      <c r="G387" s="24">
        <f>IF($E$387:$E$387 = 0, "Undefined",$F$387:$F$387*100 / $E$387:$E$387)</f>
        <v>1.8</v>
      </c>
      <c r="I387" s="25" t="s">
        <v>336</v>
      </c>
      <c r="J387" s="24">
        <f>SUM($J$385:$J$386)</f>
        <v>500</v>
      </c>
      <c r="K387" s="24">
        <f>SUM($K$385:$K$386)</f>
        <v>140</v>
      </c>
      <c r="L387" s="24">
        <f>IF($J$387:$J$387 = 0, "Undefined",$K$387:$K$387*100 / $J$387:$J$387)</f>
        <v>28</v>
      </c>
    </row>
    <row r="389" spans="2:12" ht="15.6" x14ac:dyDescent="0.3">
      <c r="B389" s="28" t="s">
        <v>356</v>
      </c>
      <c r="D389" s="59" t="s">
        <v>329</v>
      </c>
      <c r="E389" s="60"/>
      <c r="F389" s="61"/>
      <c r="I389" s="59" t="s">
        <v>329</v>
      </c>
      <c r="J389" s="60"/>
      <c r="K389" s="61"/>
    </row>
    <row r="390" spans="2:12" ht="13.8" x14ac:dyDescent="0.3">
      <c r="D390" s="26"/>
      <c r="E390" s="75" t="s">
        <v>330</v>
      </c>
      <c r="F390" s="76"/>
      <c r="I390" s="26"/>
      <c r="J390" s="75" t="s">
        <v>330</v>
      </c>
      <c r="K390" s="76"/>
    </row>
    <row r="391" spans="2:12" ht="13.8" x14ac:dyDescent="0.3">
      <c r="D391" s="25" t="s">
        <v>331</v>
      </c>
      <c r="E391" s="26">
        <v>0</v>
      </c>
      <c r="F391" s="26">
        <v>1</v>
      </c>
      <c r="I391" s="25" t="s">
        <v>331</v>
      </c>
      <c r="J391" s="26">
        <v>0</v>
      </c>
      <c r="K391" s="26">
        <v>1</v>
      </c>
    </row>
    <row r="392" spans="2:12" ht="13.8" x14ac:dyDescent="0.3">
      <c r="D392" s="25">
        <v>0</v>
      </c>
      <c r="E392" s="24">
        <v>133</v>
      </c>
      <c r="F392" s="24">
        <v>7</v>
      </c>
      <c r="I392" s="25">
        <v>0</v>
      </c>
      <c r="J392" s="24">
        <v>76</v>
      </c>
      <c r="K392" s="24">
        <v>84</v>
      </c>
    </row>
    <row r="393" spans="2:12" ht="13.8" x14ac:dyDescent="0.3">
      <c r="D393" s="25">
        <v>1</v>
      </c>
      <c r="E393" s="24">
        <v>1</v>
      </c>
      <c r="F393" s="24">
        <v>359</v>
      </c>
      <c r="I393" s="25">
        <v>1</v>
      </c>
      <c r="J393" s="24">
        <v>73</v>
      </c>
      <c r="K393" s="24">
        <v>267</v>
      </c>
    </row>
    <row r="395" spans="2:12" ht="15.6" x14ac:dyDescent="0.3">
      <c r="D395" s="59" t="s">
        <v>210</v>
      </c>
      <c r="E395" s="60"/>
      <c r="F395" s="60"/>
      <c r="G395" s="61"/>
      <c r="I395" s="59" t="s">
        <v>210</v>
      </c>
      <c r="J395" s="60"/>
      <c r="K395" s="60"/>
      <c r="L395" s="61"/>
    </row>
    <row r="396" spans="2:12" ht="13.8" x14ac:dyDescent="0.3">
      <c r="D396" s="26" t="s">
        <v>332</v>
      </c>
      <c r="E396" s="26" t="s">
        <v>333</v>
      </c>
      <c r="F396" s="26" t="s">
        <v>334</v>
      </c>
      <c r="G396" s="26" t="s">
        <v>335</v>
      </c>
      <c r="I396" s="26" t="s">
        <v>332</v>
      </c>
      <c r="J396" s="26" t="s">
        <v>333</v>
      </c>
      <c r="K396" s="26" t="s">
        <v>334</v>
      </c>
      <c r="L396" s="26" t="s">
        <v>335</v>
      </c>
    </row>
    <row r="397" spans="2:12" ht="13.8" x14ac:dyDescent="0.3">
      <c r="D397" s="25">
        <v>0</v>
      </c>
      <c r="E397" s="24">
        <f>SUM($E$392:$F$392)</f>
        <v>140</v>
      </c>
      <c r="F397" s="24">
        <f>SUM($E$392:$F$392) - $E$392:$E$392</f>
        <v>7</v>
      </c>
      <c r="G397" s="24">
        <f>IF($E$397:$E$397 = 0, "Undefined",$F$397:$F$397*100 / $E$397:$E$397)</f>
        <v>5</v>
      </c>
      <c r="I397" s="25">
        <v>0</v>
      </c>
      <c r="J397" s="24">
        <f>SUM($J$392:$K$392)</f>
        <v>160</v>
      </c>
      <c r="K397" s="24">
        <f>SUM($J$392:$K$392) - $J$392:$J$392</f>
        <v>84</v>
      </c>
      <c r="L397" s="24">
        <f>IF($J$397:$J$397 = 0, "Undefined",$K$397:$K$397*100 / $J$397:$J$397)</f>
        <v>52.5</v>
      </c>
    </row>
    <row r="398" spans="2:12" ht="13.8" x14ac:dyDescent="0.3">
      <c r="D398" s="25">
        <v>1</v>
      </c>
      <c r="E398" s="24">
        <f>SUM($E$393:$F$393)</f>
        <v>360</v>
      </c>
      <c r="F398" s="24">
        <f>SUM($E$393:$F$393) - $F$393:$F$393</f>
        <v>1</v>
      </c>
      <c r="G398" s="24">
        <f>IF($E$398:$E$398 = 0, "Undefined",$F$398:$F$398*100 / $E$398:$E$398)</f>
        <v>0.27777777777777779</v>
      </c>
      <c r="I398" s="25">
        <v>1</v>
      </c>
      <c r="J398" s="24">
        <f>SUM($J$393:$K$393)</f>
        <v>340</v>
      </c>
      <c r="K398" s="24">
        <f>SUM($J$393:$K$393) - $K$393:$K$393</f>
        <v>73</v>
      </c>
      <c r="L398" s="24">
        <f>IF($J$398:$J$398 = 0, "Undefined",$K$398:$K$398*100 / $J$398:$J$398)</f>
        <v>21.470588235294116</v>
      </c>
    </row>
    <row r="399" spans="2:12" ht="13.8" x14ac:dyDescent="0.3">
      <c r="D399" s="25" t="s">
        <v>336</v>
      </c>
      <c r="E399" s="24">
        <f>SUM($E$397:$E$398)</f>
        <v>500</v>
      </c>
      <c r="F399" s="24">
        <f>SUM($F$397:$F$398)</f>
        <v>8</v>
      </c>
      <c r="G399" s="24">
        <f>IF($E$399:$E$399 = 0, "Undefined",$F$399:$F$399*100 / $E$399:$E$399)</f>
        <v>1.6</v>
      </c>
      <c r="I399" s="25" t="s">
        <v>336</v>
      </c>
      <c r="J399" s="24">
        <f>SUM($J$397:$J$398)</f>
        <v>500</v>
      </c>
      <c r="K399" s="24">
        <f>SUM($K$397:$K$398)</f>
        <v>157</v>
      </c>
      <c r="L399" s="24">
        <f>IF($J$399:$J$399 = 0, "Undefined",$K$399:$K$399*100 / $J$399:$J$399)</f>
        <v>31.4</v>
      </c>
    </row>
    <row r="401" spans="2:12" ht="15.6" x14ac:dyDescent="0.3">
      <c r="B401" s="28" t="s">
        <v>357</v>
      </c>
      <c r="D401" s="59" t="s">
        <v>329</v>
      </c>
      <c r="E401" s="60"/>
      <c r="F401" s="61"/>
      <c r="I401" s="59" t="s">
        <v>329</v>
      </c>
      <c r="J401" s="60"/>
      <c r="K401" s="61"/>
    </row>
    <row r="402" spans="2:12" ht="13.8" x14ac:dyDescent="0.3">
      <c r="D402" s="26"/>
      <c r="E402" s="75" t="s">
        <v>330</v>
      </c>
      <c r="F402" s="76"/>
      <c r="I402" s="26"/>
      <c r="J402" s="75" t="s">
        <v>330</v>
      </c>
      <c r="K402" s="76"/>
    </row>
    <row r="403" spans="2:12" ht="13.8" x14ac:dyDescent="0.3">
      <c r="D403" s="25" t="s">
        <v>331</v>
      </c>
      <c r="E403" s="26">
        <v>0</v>
      </c>
      <c r="F403" s="26">
        <v>1</v>
      </c>
      <c r="I403" s="25" t="s">
        <v>331</v>
      </c>
      <c r="J403" s="26">
        <v>0</v>
      </c>
      <c r="K403" s="26">
        <v>1</v>
      </c>
    </row>
    <row r="404" spans="2:12" ht="13.8" x14ac:dyDescent="0.3">
      <c r="D404" s="25">
        <v>0</v>
      </c>
      <c r="E404" s="24">
        <v>133</v>
      </c>
      <c r="F404" s="24">
        <v>7</v>
      </c>
      <c r="I404" s="25">
        <v>0</v>
      </c>
      <c r="J404" s="24">
        <v>82</v>
      </c>
      <c r="K404" s="24">
        <v>78</v>
      </c>
    </row>
    <row r="405" spans="2:12" ht="13.8" x14ac:dyDescent="0.3">
      <c r="D405" s="25">
        <v>1</v>
      </c>
      <c r="E405" s="24">
        <v>3</v>
      </c>
      <c r="F405" s="24">
        <v>357</v>
      </c>
      <c r="I405" s="25">
        <v>1</v>
      </c>
      <c r="J405" s="24">
        <v>57</v>
      </c>
      <c r="K405" s="24">
        <v>283</v>
      </c>
    </row>
    <row r="407" spans="2:12" ht="15.6" x14ac:dyDescent="0.3">
      <c r="D407" s="59" t="s">
        <v>210</v>
      </c>
      <c r="E407" s="60"/>
      <c r="F407" s="60"/>
      <c r="G407" s="61"/>
      <c r="I407" s="59" t="s">
        <v>210</v>
      </c>
      <c r="J407" s="60"/>
      <c r="K407" s="60"/>
      <c r="L407" s="61"/>
    </row>
    <row r="408" spans="2:12" ht="13.8" x14ac:dyDescent="0.3">
      <c r="D408" s="26" t="s">
        <v>332</v>
      </c>
      <c r="E408" s="26" t="s">
        <v>333</v>
      </c>
      <c r="F408" s="26" t="s">
        <v>334</v>
      </c>
      <c r="G408" s="26" t="s">
        <v>335</v>
      </c>
      <c r="I408" s="26" t="s">
        <v>332</v>
      </c>
      <c r="J408" s="26" t="s">
        <v>333</v>
      </c>
      <c r="K408" s="26" t="s">
        <v>334</v>
      </c>
      <c r="L408" s="26" t="s">
        <v>335</v>
      </c>
    </row>
    <row r="409" spans="2:12" ht="13.8" x14ac:dyDescent="0.3">
      <c r="D409" s="25">
        <v>0</v>
      </c>
      <c r="E409" s="24">
        <f>SUM($E$404:$F$404)</f>
        <v>140</v>
      </c>
      <c r="F409" s="24">
        <f>SUM($E$404:$F$404) - $E$404:$E$404</f>
        <v>7</v>
      </c>
      <c r="G409" s="24">
        <f>IF($E$409:$E$409 = 0, "Undefined",$F$409:$F$409*100 / $E$409:$E$409)</f>
        <v>5</v>
      </c>
      <c r="I409" s="25">
        <v>0</v>
      </c>
      <c r="J409" s="24">
        <f>SUM($J$404:$K$404)</f>
        <v>160</v>
      </c>
      <c r="K409" s="24">
        <f>SUM($J$404:$K$404) - $J$404:$J$404</f>
        <v>78</v>
      </c>
      <c r="L409" s="24">
        <f>IF($J$409:$J$409 = 0, "Undefined",$K$409:$K$409*100 / $J$409:$J$409)</f>
        <v>48.75</v>
      </c>
    </row>
    <row r="410" spans="2:12" ht="13.8" x14ac:dyDescent="0.3">
      <c r="D410" s="25">
        <v>1</v>
      </c>
      <c r="E410" s="24">
        <f>SUM($E$405:$F$405)</f>
        <v>360</v>
      </c>
      <c r="F410" s="24">
        <f>SUM($E$405:$F$405) - $F$405:$F$405</f>
        <v>3</v>
      </c>
      <c r="G410" s="24">
        <f>IF($E$410:$E$410 = 0, "Undefined",$F$410:$F$410*100 / $E$410:$E$410)</f>
        <v>0.83333333333333337</v>
      </c>
      <c r="I410" s="25">
        <v>1</v>
      </c>
      <c r="J410" s="24">
        <f>SUM($J$405:$K$405)</f>
        <v>340</v>
      </c>
      <c r="K410" s="24">
        <f>SUM($J$405:$K$405) - $K$405:$K$405</f>
        <v>57</v>
      </c>
      <c r="L410" s="24">
        <f>IF($J$410:$J$410 = 0, "Undefined",$K$410:$K$410*100 / $J$410:$J$410)</f>
        <v>16.764705882352942</v>
      </c>
    </row>
    <row r="411" spans="2:12" ht="13.8" x14ac:dyDescent="0.3">
      <c r="D411" s="25" t="s">
        <v>336</v>
      </c>
      <c r="E411" s="24">
        <f>SUM($E$409:$E$410)</f>
        <v>500</v>
      </c>
      <c r="F411" s="24">
        <f>SUM($F$409:$F$410)</f>
        <v>10</v>
      </c>
      <c r="G411" s="24">
        <f>IF($E$411:$E$411 = 0, "Undefined",$F$411:$F$411*100 / $E$411:$E$411)</f>
        <v>2</v>
      </c>
      <c r="I411" s="25" t="s">
        <v>336</v>
      </c>
      <c r="J411" s="24">
        <f>SUM($J$409:$J$410)</f>
        <v>500</v>
      </c>
      <c r="K411" s="24">
        <f>SUM($K$409:$K$410)</f>
        <v>135</v>
      </c>
      <c r="L411" s="24">
        <f>IF($J$411:$J$411 = 0, "Undefined",$K$411:$K$411*100 / $J$411:$J$411)</f>
        <v>27</v>
      </c>
    </row>
    <row r="413" spans="2:12" ht="15.6" x14ac:dyDescent="0.3">
      <c r="B413" s="28" t="s">
        <v>358</v>
      </c>
      <c r="D413" s="59" t="s">
        <v>329</v>
      </c>
      <c r="E413" s="60"/>
      <c r="F413" s="61"/>
      <c r="I413" s="59" t="s">
        <v>329</v>
      </c>
      <c r="J413" s="60"/>
      <c r="K413" s="61"/>
    </row>
    <row r="414" spans="2:12" ht="13.8" x14ac:dyDescent="0.3">
      <c r="D414" s="26"/>
      <c r="E414" s="75" t="s">
        <v>330</v>
      </c>
      <c r="F414" s="76"/>
      <c r="I414" s="26"/>
      <c r="J414" s="75" t="s">
        <v>330</v>
      </c>
      <c r="K414" s="76"/>
    </row>
    <row r="415" spans="2:12" ht="13.8" x14ac:dyDescent="0.3">
      <c r="D415" s="25" t="s">
        <v>331</v>
      </c>
      <c r="E415" s="26">
        <v>0</v>
      </c>
      <c r="F415" s="26">
        <v>1</v>
      </c>
      <c r="I415" s="25" t="s">
        <v>331</v>
      </c>
      <c r="J415" s="26">
        <v>0</v>
      </c>
      <c r="K415" s="26">
        <v>1</v>
      </c>
    </row>
    <row r="416" spans="2:12" ht="13.8" x14ac:dyDescent="0.3">
      <c r="D416" s="25">
        <v>0</v>
      </c>
      <c r="E416" s="24">
        <v>135</v>
      </c>
      <c r="F416" s="24">
        <v>5</v>
      </c>
      <c r="I416" s="25">
        <v>0</v>
      </c>
      <c r="J416" s="24">
        <v>64</v>
      </c>
      <c r="K416" s="24">
        <v>96</v>
      </c>
    </row>
    <row r="417" spans="2:12" ht="13.8" x14ac:dyDescent="0.3">
      <c r="D417" s="25">
        <v>1</v>
      </c>
      <c r="E417" s="24">
        <v>2</v>
      </c>
      <c r="F417" s="24">
        <v>358</v>
      </c>
      <c r="I417" s="25">
        <v>1</v>
      </c>
      <c r="J417" s="24">
        <v>50</v>
      </c>
      <c r="K417" s="24">
        <v>290</v>
      </c>
    </row>
    <row r="419" spans="2:12" ht="15.6" x14ac:dyDescent="0.3">
      <c r="D419" s="59" t="s">
        <v>210</v>
      </c>
      <c r="E419" s="60"/>
      <c r="F419" s="60"/>
      <c r="G419" s="61"/>
      <c r="I419" s="59" t="s">
        <v>210</v>
      </c>
      <c r="J419" s="60"/>
      <c r="K419" s="60"/>
      <c r="L419" s="61"/>
    </row>
    <row r="420" spans="2:12" ht="13.8" x14ac:dyDescent="0.3">
      <c r="D420" s="26" t="s">
        <v>332</v>
      </c>
      <c r="E420" s="26" t="s">
        <v>333</v>
      </c>
      <c r="F420" s="26" t="s">
        <v>334</v>
      </c>
      <c r="G420" s="26" t="s">
        <v>335</v>
      </c>
      <c r="I420" s="26" t="s">
        <v>332</v>
      </c>
      <c r="J420" s="26" t="s">
        <v>333</v>
      </c>
      <c r="K420" s="26" t="s">
        <v>334</v>
      </c>
      <c r="L420" s="26" t="s">
        <v>335</v>
      </c>
    </row>
    <row r="421" spans="2:12" ht="13.8" x14ac:dyDescent="0.3">
      <c r="D421" s="25">
        <v>0</v>
      </c>
      <c r="E421" s="24">
        <f>SUM($E$416:$F$416)</f>
        <v>140</v>
      </c>
      <c r="F421" s="24">
        <f>SUM($E$416:$F$416) - $E$416:$E$416</f>
        <v>5</v>
      </c>
      <c r="G421" s="24">
        <f>IF($E$421:$E$421 = 0, "Undefined",$F$421:$F$421*100 / $E$421:$E$421)</f>
        <v>3.5714285714285716</v>
      </c>
      <c r="I421" s="25">
        <v>0</v>
      </c>
      <c r="J421" s="24">
        <f>SUM($J$416:$K$416)</f>
        <v>160</v>
      </c>
      <c r="K421" s="24">
        <f>SUM($J$416:$K$416) - $J$416:$J$416</f>
        <v>96</v>
      </c>
      <c r="L421" s="24">
        <f>IF($J$421:$J$421 = 0, "Undefined",$K$421:$K$421*100 / $J$421:$J$421)</f>
        <v>60</v>
      </c>
    </row>
    <row r="422" spans="2:12" ht="13.8" x14ac:dyDescent="0.3">
      <c r="D422" s="25">
        <v>1</v>
      </c>
      <c r="E422" s="24">
        <f>SUM($E$417:$F$417)</f>
        <v>360</v>
      </c>
      <c r="F422" s="24">
        <f>SUM($E$417:$F$417) - $F$417:$F$417</f>
        <v>2</v>
      </c>
      <c r="G422" s="24">
        <f>IF($E$422:$E$422 = 0, "Undefined",$F$422:$F$422*100 / $E$422:$E$422)</f>
        <v>0.55555555555555558</v>
      </c>
      <c r="I422" s="25">
        <v>1</v>
      </c>
      <c r="J422" s="24">
        <f>SUM($J$417:$K$417)</f>
        <v>340</v>
      </c>
      <c r="K422" s="24">
        <f>SUM($J$417:$K$417) - $K$417:$K$417</f>
        <v>50</v>
      </c>
      <c r="L422" s="24">
        <f>IF($J$422:$J$422 = 0, "Undefined",$K$422:$K$422*100 / $J$422:$J$422)</f>
        <v>14.705882352941176</v>
      </c>
    </row>
    <row r="423" spans="2:12" ht="13.8" x14ac:dyDescent="0.3">
      <c r="D423" s="25" t="s">
        <v>336</v>
      </c>
      <c r="E423" s="24">
        <f>SUM($E$421:$E$422)</f>
        <v>500</v>
      </c>
      <c r="F423" s="24">
        <f>SUM($F$421:$F$422)</f>
        <v>7</v>
      </c>
      <c r="G423" s="24">
        <f>IF($E$423:$E$423 = 0, "Undefined",$F$423:$F$423*100 / $E$423:$E$423)</f>
        <v>1.4</v>
      </c>
      <c r="I423" s="25" t="s">
        <v>336</v>
      </c>
      <c r="J423" s="24">
        <f>SUM($J$421:$J$422)</f>
        <v>500</v>
      </c>
      <c r="K423" s="24">
        <f>SUM($K$421:$K$422)</f>
        <v>146</v>
      </c>
      <c r="L423" s="24">
        <f>IF($J$423:$J$423 = 0, "Undefined",$K$423:$K$423*100 / $J$423:$J$423)</f>
        <v>29.2</v>
      </c>
    </row>
    <row r="425" spans="2:12" ht="15.6" x14ac:dyDescent="0.3">
      <c r="B425" s="28" t="s">
        <v>359</v>
      </c>
      <c r="D425" s="59" t="s">
        <v>329</v>
      </c>
      <c r="E425" s="60"/>
      <c r="F425" s="61"/>
      <c r="I425" s="59" t="s">
        <v>329</v>
      </c>
      <c r="J425" s="60"/>
      <c r="K425" s="61"/>
    </row>
    <row r="426" spans="2:12" ht="13.8" x14ac:dyDescent="0.3">
      <c r="D426" s="26"/>
      <c r="E426" s="75" t="s">
        <v>330</v>
      </c>
      <c r="F426" s="76"/>
      <c r="I426" s="26"/>
      <c r="J426" s="75" t="s">
        <v>330</v>
      </c>
      <c r="K426" s="76"/>
    </row>
    <row r="427" spans="2:12" ht="13.8" x14ac:dyDescent="0.3">
      <c r="D427" s="25" t="s">
        <v>331</v>
      </c>
      <c r="E427" s="26">
        <v>0</v>
      </c>
      <c r="F427" s="26">
        <v>1</v>
      </c>
      <c r="I427" s="25" t="s">
        <v>331</v>
      </c>
      <c r="J427" s="26">
        <v>0</v>
      </c>
      <c r="K427" s="26">
        <v>1</v>
      </c>
    </row>
    <row r="428" spans="2:12" ht="13.8" x14ac:dyDescent="0.3">
      <c r="D428" s="25">
        <v>0</v>
      </c>
      <c r="E428" s="24">
        <v>135</v>
      </c>
      <c r="F428" s="24">
        <v>5</v>
      </c>
      <c r="I428" s="25">
        <v>0</v>
      </c>
      <c r="J428" s="24">
        <v>81</v>
      </c>
      <c r="K428" s="24">
        <v>79</v>
      </c>
    </row>
    <row r="429" spans="2:12" ht="13.8" x14ac:dyDescent="0.3">
      <c r="D429" s="25">
        <v>1</v>
      </c>
      <c r="E429" s="24">
        <v>3</v>
      </c>
      <c r="F429" s="24">
        <v>357</v>
      </c>
      <c r="I429" s="25">
        <v>1</v>
      </c>
      <c r="J429" s="24">
        <v>60</v>
      </c>
      <c r="K429" s="24">
        <v>280</v>
      </c>
    </row>
    <row r="431" spans="2:12" ht="15.6" x14ac:dyDescent="0.3">
      <c r="D431" s="59" t="s">
        <v>210</v>
      </c>
      <c r="E431" s="60"/>
      <c r="F431" s="60"/>
      <c r="G431" s="61"/>
      <c r="I431" s="59" t="s">
        <v>210</v>
      </c>
      <c r="J431" s="60"/>
      <c r="K431" s="60"/>
      <c r="L431" s="61"/>
    </row>
    <row r="432" spans="2:12" ht="13.8" x14ac:dyDescent="0.3">
      <c r="D432" s="26" t="s">
        <v>332</v>
      </c>
      <c r="E432" s="26" t="s">
        <v>333</v>
      </c>
      <c r="F432" s="26" t="s">
        <v>334</v>
      </c>
      <c r="G432" s="26" t="s">
        <v>335</v>
      </c>
      <c r="I432" s="26" t="s">
        <v>332</v>
      </c>
      <c r="J432" s="26" t="s">
        <v>333</v>
      </c>
      <c r="K432" s="26" t="s">
        <v>334</v>
      </c>
      <c r="L432" s="26" t="s">
        <v>335</v>
      </c>
    </row>
    <row r="433" spans="2:12" ht="13.8" x14ac:dyDescent="0.3">
      <c r="D433" s="25">
        <v>0</v>
      </c>
      <c r="E433" s="24">
        <f>SUM($E$428:$F$428)</f>
        <v>140</v>
      </c>
      <c r="F433" s="24">
        <f>SUM($E$428:$F$428) - $E$428:$E$428</f>
        <v>5</v>
      </c>
      <c r="G433" s="24">
        <f>IF($E$433:$E$433 = 0, "Undefined",$F$433:$F$433*100 / $E$433:$E$433)</f>
        <v>3.5714285714285716</v>
      </c>
      <c r="I433" s="25">
        <v>0</v>
      </c>
      <c r="J433" s="24">
        <f>SUM($J$428:$K$428)</f>
        <v>160</v>
      </c>
      <c r="K433" s="24">
        <f>SUM($J$428:$K$428) - $J$428:$J$428</f>
        <v>79</v>
      </c>
      <c r="L433" s="24">
        <f>IF($J$433:$J$433 = 0, "Undefined",$K$433:$K$433*100 / $J$433:$J$433)</f>
        <v>49.375</v>
      </c>
    </row>
    <row r="434" spans="2:12" ht="13.8" x14ac:dyDescent="0.3">
      <c r="D434" s="25">
        <v>1</v>
      </c>
      <c r="E434" s="24">
        <f>SUM($E$429:$F$429)</f>
        <v>360</v>
      </c>
      <c r="F434" s="24">
        <f>SUM($E$429:$F$429) - $F$429:$F$429</f>
        <v>3</v>
      </c>
      <c r="G434" s="24">
        <f>IF($E$434:$E$434 = 0, "Undefined",$F$434:$F$434*100 / $E$434:$E$434)</f>
        <v>0.83333333333333337</v>
      </c>
      <c r="I434" s="25">
        <v>1</v>
      </c>
      <c r="J434" s="24">
        <f>SUM($J$429:$K$429)</f>
        <v>340</v>
      </c>
      <c r="K434" s="24">
        <f>SUM($J$429:$K$429) - $K$429:$K$429</f>
        <v>60</v>
      </c>
      <c r="L434" s="24">
        <f>IF($J$434:$J$434 = 0, "Undefined",$K$434:$K$434*100 / $J$434:$J$434)</f>
        <v>17.647058823529413</v>
      </c>
    </row>
    <row r="435" spans="2:12" ht="13.8" x14ac:dyDescent="0.3">
      <c r="D435" s="25" t="s">
        <v>336</v>
      </c>
      <c r="E435" s="24">
        <f>SUM($E$433:$E$434)</f>
        <v>500</v>
      </c>
      <c r="F435" s="24">
        <f>SUM($F$433:$F$434)</f>
        <v>8</v>
      </c>
      <c r="G435" s="24">
        <f>IF($E$435:$E$435 = 0, "Undefined",$F$435:$F$435*100 / $E$435:$E$435)</f>
        <v>1.6</v>
      </c>
      <c r="I435" s="25" t="s">
        <v>336</v>
      </c>
      <c r="J435" s="24">
        <f>SUM($J$433:$J$434)</f>
        <v>500</v>
      </c>
      <c r="K435" s="24">
        <f>SUM($K$433:$K$434)</f>
        <v>139</v>
      </c>
      <c r="L435" s="24">
        <f>IF($J$435:$J$435 = 0, "Undefined",$K$435:$K$435*100 / $J$435:$J$435)</f>
        <v>27.8</v>
      </c>
    </row>
    <row r="437" spans="2:12" ht="15.6" x14ac:dyDescent="0.3">
      <c r="B437" s="28" t="s">
        <v>360</v>
      </c>
      <c r="D437" s="59" t="s">
        <v>329</v>
      </c>
      <c r="E437" s="60"/>
      <c r="F437" s="61"/>
      <c r="I437" s="59" t="s">
        <v>329</v>
      </c>
      <c r="J437" s="60"/>
      <c r="K437" s="61"/>
    </row>
    <row r="438" spans="2:12" ht="13.8" x14ac:dyDescent="0.3">
      <c r="D438" s="26"/>
      <c r="E438" s="75" t="s">
        <v>330</v>
      </c>
      <c r="F438" s="76"/>
      <c r="I438" s="26"/>
      <c r="J438" s="75" t="s">
        <v>330</v>
      </c>
      <c r="K438" s="76"/>
    </row>
    <row r="439" spans="2:12" ht="13.8" x14ac:dyDescent="0.3">
      <c r="D439" s="25" t="s">
        <v>331</v>
      </c>
      <c r="E439" s="26">
        <v>0</v>
      </c>
      <c r="F439" s="26">
        <v>1</v>
      </c>
      <c r="I439" s="25" t="s">
        <v>331</v>
      </c>
      <c r="J439" s="26">
        <v>0</v>
      </c>
      <c r="K439" s="26">
        <v>1</v>
      </c>
    </row>
    <row r="440" spans="2:12" ht="13.8" x14ac:dyDescent="0.3">
      <c r="D440" s="25">
        <v>0</v>
      </c>
      <c r="E440" s="24">
        <v>135</v>
      </c>
      <c r="F440" s="24">
        <v>5</v>
      </c>
      <c r="I440" s="25">
        <v>0</v>
      </c>
      <c r="J440" s="24">
        <v>75</v>
      </c>
      <c r="K440" s="24">
        <v>85</v>
      </c>
    </row>
    <row r="441" spans="2:12" ht="13.8" x14ac:dyDescent="0.3">
      <c r="D441" s="25">
        <v>1</v>
      </c>
      <c r="E441" s="24">
        <v>2</v>
      </c>
      <c r="F441" s="24">
        <v>358</v>
      </c>
      <c r="I441" s="25">
        <v>1</v>
      </c>
      <c r="J441" s="24">
        <v>60</v>
      </c>
      <c r="K441" s="24">
        <v>280</v>
      </c>
    </row>
    <row r="443" spans="2:12" ht="15.6" x14ac:dyDescent="0.3">
      <c r="D443" s="59" t="s">
        <v>210</v>
      </c>
      <c r="E443" s="60"/>
      <c r="F443" s="60"/>
      <c r="G443" s="61"/>
      <c r="I443" s="59" t="s">
        <v>210</v>
      </c>
      <c r="J443" s="60"/>
      <c r="K443" s="60"/>
      <c r="L443" s="61"/>
    </row>
    <row r="444" spans="2:12" ht="13.8" x14ac:dyDescent="0.3">
      <c r="D444" s="26" t="s">
        <v>332</v>
      </c>
      <c r="E444" s="26" t="s">
        <v>333</v>
      </c>
      <c r="F444" s="26" t="s">
        <v>334</v>
      </c>
      <c r="G444" s="26" t="s">
        <v>335</v>
      </c>
      <c r="I444" s="26" t="s">
        <v>332</v>
      </c>
      <c r="J444" s="26" t="s">
        <v>333</v>
      </c>
      <c r="K444" s="26" t="s">
        <v>334</v>
      </c>
      <c r="L444" s="26" t="s">
        <v>335</v>
      </c>
    </row>
    <row r="445" spans="2:12" ht="13.8" x14ac:dyDescent="0.3">
      <c r="D445" s="25">
        <v>0</v>
      </c>
      <c r="E445" s="24">
        <f>SUM($E$440:$F$440)</f>
        <v>140</v>
      </c>
      <c r="F445" s="24">
        <f>SUM($E$440:$F$440) - $E$440:$E$440</f>
        <v>5</v>
      </c>
      <c r="G445" s="24">
        <f>IF($E$445:$E$445 = 0, "Undefined",$F$445:$F$445*100 / $E$445:$E$445)</f>
        <v>3.5714285714285716</v>
      </c>
      <c r="I445" s="25">
        <v>0</v>
      </c>
      <c r="J445" s="24">
        <f>SUM($J$440:$K$440)</f>
        <v>160</v>
      </c>
      <c r="K445" s="24">
        <f>SUM($J$440:$K$440) - $J$440:$J$440</f>
        <v>85</v>
      </c>
      <c r="L445" s="24">
        <f>IF($J$445:$J$445 = 0, "Undefined",$K$445:$K$445*100 / $J$445:$J$445)</f>
        <v>53.125</v>
      </c>
    </row>
    <row r="446" spans="2:12" ht="13.8" x14ac:dyDescent="0.3">
      <c r="D446" s="25">
        <v>1</v>
      </c>
      <c r="E446" s="24">
        <f>SUM($E$441:$F$441)</f>
        <v>360</v>
      </c>
      <c r="F446" s="24">
        <f>SUM($E$441:$F$441) - $F$441:$F$441</f>
        <v>2</v>
      </c>
      <c r="G446" s="24">
        <f>IF($E$446:$E$446 = 0, "Undefined",$F$446:$F$446*100 / $E$446:$E$446)</f>
        <v>0.55555555555555558</v>
      </c>
      <c r="I446" s="25">
        <v>1</v>
      </c>
      <c r="J446" s="24">
        <f>SUM($J$441:$K$441)</f>
        <v>340</v>
      </c>
      <c r="K446" s="24">
        <f>SUM($J$441:$K$441) - $K$441:$K$441</f>
        <v>60</v>
      </c>
      <c r="L446" s="24">
        <f>IF($J$446:$J$446 = 0, "Undefined",$K$446:$K$446*100 / $J$446:$J$446)</f>
        <v>17.647058823529413</v>
      </c>
    </row>
    <row r="447" spans="2:12" ht="13.8" x14ac:dyDescent="0.3">
      <c r="D447" s="25" t="s">
        <v>336</v>
      </c>
      <c r="E447" s="24">
        <f>SUM($E$445:$E$446)</f>
        <v>500</v>
      </c>
      <c r="F447" s="24">
        <f>SUM($F$445:$F$446)</f>
        <v>7</v>
      </c>
      <c r="G447" s="24">
        <f>IF($E$447:$E$447 = 0, "Undefined",$F$447:$F$447*100 / $E$447:$E$447)</f>
        <v>1.4</v>
      </c>
      <c r="I447" s="25" t="s">
        <v>336</v>
      </c>
      <c r="J447" s="24">
        <f>SUM($J$445:$J$446)</f>
        <v>500</v>
      </c>
      <c r="K447" s="24">
        <f>SUM($K$445:$K$446)</f>
        <v>145</v>
      </c>
      <c r="L447" s="24">
        <f>IF($J$447:$J$447 = 0, "Undefined",$K$447:$K$447*100 / $J$447:$J$447)</f>
        <v>29</v>
      </c>
    </row>
    <row r="449" spans="2:12" ht="15.6" x14ac:dyDescent="0.3">
      <c r="B449" s="28" t="s">
        <v>361</v>
      </c>
      <c r="D449" s="59" t="s">
        <v>329</v>
      </c>
      <c r="E449" s="60"/>
      <c r="F449" s="61"/>
      <c r="I449" s="59" t="s">
        <v>329</v>
      </c>
      <c r="J449" s="60"/>
      <c r="K449" s="61"/>
    </row>
    <row r="450" spans="2:12" ht="13.8" x14ac:dyDescent="0.3">
      <c r="D450" s="26"/>
      <c r="E450" s="75" t="s">
        <v>330</v>
      </c>
      <c r="F450" s="76"/>
      <c r="I450" s="26"/>
      <c r="J450" s="75" t="s">
        <v>330</v>
      </c>
      <c r="K450" s="76"/>
    </row>
    <row r="451" spans="2:12" ht="13.8" x14ac:dyDescent="0.3">
      <c r="D451" s="25" t="s">
        <v>331</v>
      </c>
      <c r="E451" s="26">
        <v>0</v>
      </c>
      <c r="F451" s="26">
        <v>1</v>
      </c>
      <c r="I451" s="25" t="s">
        <v>331</v>
      </c>
      <c r="J451" s="26">
        <v>0</v>
      </c>
      <c r="K451" s="26">
        <v>1</v>
      </c>
    </row>
    <row r="452" spans="2:12" ht="13.8" x14ac:dyDescent="0.3">
      <c r="D452" s="25">
        <v>0</v>
      </c>
      <c r="E452" s="24">
        <v>132</v>
      </c>
      <c r="F452" s="24">
        <v>8</v>
      </c>
      <c r="I452" s="25">
        <v>0</v>
      </c>
      <c r="J452" s="24">
        <v>77</v>
      </c>
      <c r="K452" s="24">
        <v>83</v>
      </c>
    </row>
    <row r="453" spans="2:12" ht="13.8" x14ac:dyDescent="0.3">
      <c r="D453" s="25">
        <v>1</v>
      </c>
      <c r="E453" s="24">
        <v>2</v>
      </c>
      <c r="F453" s="24">
        <v>358</v>
      </c>
      <c r="I453" s="25">
        <v>1</v>
      </c>
      <c r="J453" s="24">
        <v>45</v>
      </c>
      <c r="K453" s="24">
        <v>295</v>
      </c>
    </row>
    <row r="455" spans="2:12" ht="15.6" x14ac:dyDescent="0.3">
      <c r="D455" s="59" t="s">
        <v>210</v>
      </c>
      <c r="E455" s="60"/>
      <c r="F455" s="60"/>
      <c r="G455" s="61"/>
      <c r="I455" s="59" t="s">
        <v>210</v>
      </c>
      <c r="J455" s="60"/>
      <c r="K455" s="60"/>
      <c r="L455" s="61"/>
    </row>
    <row r="456" spans="2:12" ht="13.8" x14ac:dyDescent="0.3">
      <c r="D456" s="26" t="s">
        <v>332</v>
      </c>
      <c r="E456" s="26" t="s">
        <v>333</v>
      </c>
      <c r="F456" s="26" t="s">
        <v>334</v>
      </c>
      <c r="G456" s="26" t="s">
        <v>335</v>
      </c>
      <c r="I456" s="26" t="s">
        <v>332</v>
      </c>
      <c r="J456" s="26" t="s">
        <v>333</v>
      </c>
      <c r="K456" s="26" t="s">
        <v>334</v>
      </c>
      <c r="L456" s="26" t="s">
        <v>335</v>
      </c>
    </row>
    <row r="457" spans="2:12" ht="13.8" x14ac:dyDescent="0.3">
      <c r="D457" s="25">
        <v>0</v>
      </c>
      <c r="E457" s="24">
        <f>SUM($E$452:$F$452)</f>
        <v>140</v>
      </c>
      <c r="F457" s="24">
        <f>SUM($E$452:$F$452) - $E$452:$E$452</f>
        <v>8</v>
      </c>
      <c r="G457" s="24">
        <f>IF($E$457:$E$457 = 0, "Undefined",$F$457:$F$457*100 / $E$457:$E$457)</f>
        <v>5.7142857142857144</v>
      </c>
      <c r="I457" s="25">
        <v>0</v>
      </c>
      <c r="J457" s="24">
        <f>SUM($J$452:$K$452)</f>
        <v>160</v>
      </c>
      <c r="K457" s="24">
        <f>SUM($J$452:$K$452) - $J$452:$J$452</f>
        <v>83</v>
      </c>
      <c r="L457" s="24">
        <f>IF($J$457:$J$457 = 0, "Undefined",$K$457:$K$457*100 / $J$457:$J$457)</f>
        <v>51.875</v>
      </c>
    </row>
    <row r="458" spans="2:12" ht="13.8" x14ac:dyDescent="0.3">
      <c r="D458" s="25">
        <v>1</v>
      </c>
      <c r="E458" s="24">
        <f>SUM($E$453:$F$453)</f>
        <v>360</v>
      </c>
      <c r="F458" s="24">
        <f>SUM($E$453:$F$453) - $F$453:$F$453</f>
        <v>2</v>
      </c>
      <c r="G458" s="24">
        <f>IF($E$458:$E$458 = 0, "Undefined",$F$458:$F$458*100 / $E$458:$E$458)</f>
        <v>0.55555555555555558</v>
      </c>
      <c r="I458" s="25">
        <v>1</v>
      </c>
      <c r="J458" s="24">
        <f>SUM($J$453:$K$453)</f>
        <v>340</v>
      </c>
      <c r="K458" s="24">
        <f>SUM($J$453:$K$453) - $K$453:$K$453</f>
        <v>45</v>
      </c>
      <c r="L458" s="24">
        <f>IF($J$458:$J$458 = 0, "Undefined",$K$458:$K$458*100 / $J$458:$J$458)</f>
        <v>13.235294117647058</v>
      </c>
    </row>
    <row r="459" spans="2:12" ht="13.8" x14ac:dyDescent="0.3">
      <c r="D459" s="25" t="s">
        <v>336</v>
      </c>
      <c r="E459" s="24">
        <f>SUM($E$457:$E$458)</f>
        <v>500</v>
      </c>
      <c r="F459" s="24">
        <f>SUM($F$457:$F$458)</f>
        <v>10</v>
      </c>
      <c r="G459" s="24">
        <f>IF($E$459:$E$459 = 0, "Undefined",$F$459:$F$459*100 / $E$459:$E$459)</f>
        <v>2</v>
      </c>
      <c r="I459" s="25" t="s">
        <v>336</v>
      </c>
      <c r="J459" s="24">
        <f>SUM($J$457:$J$458)</f>
        <v>500</v>
      </c>
      <c r="K459" s="24">
        <f>SUM($K$457:$K$458)</f>
        <v>128</v>
      </c>
      <c r="L459" s="24">
        <f>IF($J$459:$J$459 = 0, "Undefined",$K$459:$K$459*100 / $J$459:$J$459)</f>
        <v>25.6</v>
      </c>
    </row>
    <row r="461" spans="2:12" ht="15.6" x14ac:dyDescent="0.3">
      <c r="B461" s="28" t="s">
        <v>362</v>
      </c>
      <c r="D461" s="59" t="s">
        <v>329</v>
      </c>
      <c r="E461" s="60"/>
      <c r="F461" s="61"/>
      <c r="I461" s="59" t="s">
        <v>329</v>
      </c>
      <c r="J461" s="60"/>
      <c r="K461" s="61"/>
    </row>
    <row r="462" spans="2:12" ht="13.8" x14ac:dyDescent="0.3">
      <c r="D462" s="26"/>
      <c r="E462" s="75" t="s">
        <v>330</v>
      </c>
      <c r="F462" s="76"/>
      <c r="I462" s="26"/>
      <c r="J462" s="75" t="s">
        <v>330</v>
      </c>
      <c r="K462" s="76"/>
    </row>
    <row r="463" spans="2:12" ht="13.8" x14ac:dyDescent="0.3">
      <c r="D463" s="25" t="s">
        <v>331</v>
      </c>
      <c r="E463" s="26">
        <v>0</v>
      </c>
      <c r="F463" s="26">
        <v>1</v>
      </c>
      <c r="I463" s="25" t="s">
        <v>331</v>
      </c>
      <c r="J463" s="26">
        <v>0</v>
      </c>
      <c r="K463" s="26">
        <v>1</v>
      </c>
    </row>
    <row r="464" spans="2:12" ht="13.8" x14ac:dyDescent="0.3">
      <c r="D464" s="25">
        <v>0</v>
      </c>
      <c r="E464" s="24">
        <v>132</v>
      </c>
      <c r="F464" s="24">
        <v>8</v>
      </c>
      <c r="I464" s="25">
        <v>0</v>
      </c>
      <c r="J464" s="24">
        <v>81</v>
      </c>
      <c r="K464" s="24">
        <v>79</v>
      </c>
    </row>
    <row r="465" spans="2:12" ht="13.8" x14ac:dyDescent="0.3">
      <c r="D465" s="25">
        <v>1</v>
      </c>
      <c r="E465" s="24">
        <v>2</v>
      </c>
      <c r="F465" s="24">
        <v>358</v>
      </c>
      <c r="I465" s="25">
        <v>1</v>
      </c>
      <c r="J465" s="24">
        <v>55</v>
      </c>
      <c r="K465" s="24">
        <v>285</v>
      </c>
    </row>
    <row r="467" spans="2:12" ht="15.6" x14ac:dyDescent="0.3">
      <c r="D467" s="59" t="s">
        <v>210</v>
      </c>
      <c r="E467" s="60"/>
      <c r="F467" s="60"/>
      <c r="G467" s="61"/>
      <c r="I467" s="59" t="s">
        <v>210</v>
      </c>
      <c r="J467" s="60"/>
      <c r="K467" s="60"/>
      <c r="L467" s="61"/>
    </row>
    <row r="468" spans="2:12" ht="13.8" x14ac:dyDescent="0.3">
      <c r="D468" s="26" t="s">
        <v>332</v>
      </c>
      <c r="E468" s="26" t="s">
        <v>333</v>
      </c>
      <c r="F468" s="26" t="s">
        <v>334</v>
      </c>
      <c r="G468" s="26" t="s">
        <v>335</v>
      </c>
      <c r="I468" s="26" t="s">
        <v>332</v>
      </c>
      <c r="J468" s="26" t="s">
        <v>333</v>
      </c>
      <c r="K468" s="26" t="s">
        <v>334</v>
      </c>
      <c r="L468" s="26" t="s">
        <v>335</v>
      </c>
    </row>
    <row r="469" spans="2:12" ht="13.8" x14ac:dyDescent="0.3">
      <c r="D469" s="25">
        <v>0</v>
      </c>
      <c r="E469" s="24">
        <f>SUM($E$464:$F$464)</f>
        <v>140</v>
      </c>
      <c r="F469" s="24">
        <f>SUM($E$464:$F$464) - $E$464:$E$464</f>
        <v>8</v>
      </c>
      <c r="G469" s="24">
        <f>IF($E$469:$E$469 = 0, "Undefined",$F$469:$F$469*100 / $E$469:$E$469)</f>
        <v>5.7142857142857144</v>
      </c>
      <c r="I469" s="25">
        <v>0</v>
      </c>
      <c r="J469" s="24">
        <f>SUM($J$464:$K$464)</f>
        <v>160</v>
      </c>
      <c r="K469" s="24">
        <f>SUM($J$464:$K$464) - $J$464:$J$464</f>
        <v>79</v>
      </c>
      <c r="L469" s="24">
        <f>IF($J$469:$J$469 = 0, "Undefined",$K$469:$K$469*100 / $J$469:$J$469)</f>
        <v>49.375</v>
      </c>
    </row>
    <row r="470" spans="2:12" ht="13.8" x14ac:dyDescent="0.3">
      <c r="D470" s="25">
        <v>1</v>
      </c>
      <c r="E470" s="24">
        <f>SUM($E$465:$F$465)</f>
        <v>360</v>
      </c>
      <c r="F470" s="24">
        <f>SUM($E$465:$F$465) - $F$465:$F$465</f>
        <v>2</v>
      </c>
      <c r="G470" s="24">
        <f>IF($E$470:$E$470 = 0, "Undefined",$F$470:$F$470*100 / $E$470:$E$470)</f>
        <v>0.55555555555555558</v>
      </c>
      <c r="I470" s="25">
        <v>1</v>
      </c>
      <c r="J470" s="24">
        <f>SUM($J$465:$K$465)</f>
        <v>340</v>
      </c>
      <c r="K470" s="24">
        <f>SUM($J$465:$K$465) - $K$465:$K$465</f>
        <v>55</v>
      </c>
      <c r="L470" s="24">
        <f>IF($J$470:$J$470 = 0, "Undefined",$K$470:$K$470*100 / $J$470:$J$470)</f>
        <v>16.176470588235293</v>
      </c>
    </row>
    <row r="471" spans="2:12" ht="13.8" x14ac:dyDescent="0.3">
      <c r="D471" s="25" t="s">
        <v>336</v>
      </c>
      <c r="E471" s="24">
        <f>SUM($E$469:$E$470)</f>
        <v>500</v>
      </c>
      <c r="F471" s="24">
        <f>SUM($F$469:$F$470)</f>
        <v>10</v>
      </c>
      <c r="G471" s="24">
        <f>IF($E$471:$E$471 = 0, "Undefined",$F$471:$F$471*100 / $E$471:$E$471)</f>
        <v>2</v>
      </c>
      <c r="I471" s="25" t="s">
        <v>336</v>
      </c>
      <c r="J471" s="24">
        <f>SUM($J$469:$J$470)</f>
        <v>500</v>
      </c>
      <c r="K471" s="24">
        <f>SUM($K$469:$K$470)</f>
        <v>134</v>
      </c>
      <c r="L471" s="24">
        <f>IF($J$471:$J$471 = 0, "Undefined",$K$471:$K$471*100 / $J$471:$J$471)</f>
        <v>26.8</v>
      </c>
    </row>
    <row r="473" spans="2:12" ht="15.6" x14ac:dyDescent="0.3">
      <c r="B473" s="28" t="s">
        <v>363</v>
      </c>
      <c r="D473" s="59" t="s">
        <v>329</v>
      </c>
      <c r="E473" s="60"/>
      <c r="F473" s="61"/>
      <c r="I473" s="59" t="s">
        <v>329</v>
      </c>
      <c r="J473" s="60"/>
      <c r="K473" s="61"/>
    </row>
    <row r="474" spans="2:12" ht="13.8" x14ac:dyDescent="0.3">
      <c r="D474" s="26"/>
      <c r="E474" s="75" t="s">
        <v>330</v>
      </c>
      <c r="F474" s="76"/>
      <c r="I474" s="26"/>
      <c r="J474" s="75" t="s">
        <v>330</v>
      </c>
      <c r="K474" s="76"/>
    </row>
    <row r="475" spans="2:12" ht="13.8" x14ac:dyDescent="0.3">
      <c r="D475" s="25" t="s">
        <v>331</v>
      </c>
      <c r="E475" s="26">
        <v>0</v>
      </c>
      <c r="F475" s="26">
        <v>1</v>
      </c>
      <c r="I475" s="25" t="s">
        <v>331</v>
      </c>
      <c r="J475" s="26">
        <v>0</v>
      </c>
      <c r="K475" s="26">
        <v>1</v>
      </c>
    </row>
    <row r="476" spans="2:12" ht="13.8" x14ac:dyDescent="0.3">
      <c r="D476" s="25">
        <v>0</v>
      </c>
      <c r="E476" s="24">
        <v>134</v>
      </c>
      <c r="F476" s="24">
        <v>6</v>
      </c>
      <c r="I476" s="25">
        <v>0</v>
      </c>
      <c r="J476" s="24">
        <v>79</v>
      </c>
      <c r="K476" s="24">
        <v>81</v>
      </c>
    </row>
    <row r="477" spans="2:12" ht="13.8" x14ac:dyDescent="0.3">
      <c r="D477" s="25">
        <v>1</v>
      </c>
      <c r="E477" s="24">
        <v>2</v>
      </c>
      <c r="F477" s="24">
        <v>358</v>
      </c>
      <c r="I477" s="25">
        <v>1</v>
      </c>
      <c r="J477" s="24">
        <v>49</v>
      </c>
      <c r="K477" s="24">
        <v>291</v>
      </c>
    </row>
    <row r="479" spans="2:12" ht="15.6" x14ac:dyDescent="0.3">
      <c r="D479" s="59" t="s">
        <v>210</v>
      </c>
      <c r="E479" s="60"/>
      <c r="F479" s="60"/>
      <c r="G479" s="61"/>
      <c r="I479" s="59" t="s">
        <v>210</v>
      </c>
      <c r="J479" s="60"/>
      <c r="K479" s="60"/>
      <c r="L479" s="61"/>
    </row>
    <row r="480" spans="2:12" ht="13.8" x14ac:dyDescent="0.3">
      <c r="D480" s="26" t="s">
        <v>332</v>
      </c>
      <c r="E480" s="26" t="s">
        <v>333</v>
      </c>
      <c r="F480" s="26" t="s">
        <v>334</v>
      </c>
      <c r="G480" s="26" t="s">
        <v>335</v>
      </c>
      <c r="I480" s="26" t="s">
        <v>332</v>
      </c>
      <c r="J480" s="26" t="s">
        <v>333</v>
      </c>
      <c r="K480" s="26" t="s">
        <v>334</v>
      </c>
      <c r="L480" s="26" t="s">
        <v>335</v>
      </c>
    </row>
    <row r="481" spans="2:12" ht="13.8" x14ac:dyDescent="0.3">
      <c r="D481" s="25">
        <v>0</v>
      </c>
      <c r="E481" s="24">
        <f>SUM($E$476:$F$476)</f>
        <v>140</v>
      </c>
      <c r="F481" s="24">
        <f>SUM($E$476:$F$476) - $E$476:$E$476</f>
        <v>6</v>
      </c>
      <c r="G481" s="24">
        <f>IF($E$481:$E$481 = 0, "Undefined",$F$481:$F$481*100 / $E$481:$E$481)</f>
        <v>4.2857142857142856</v>
      </c>
      <c r="I481" s="25">
        <v>0</v>
      </c>
      <c r="J481" s="24">
        <f>SUM($J$476:$K$476)</f>
        <v>160</v>
      </c>
      <c r="K481" s="24">
        <f>SUM($J$476:$K$476) - $J$476:$J$476</f>
        <v>81</v>
      </c>
      <c r="L481" s="24">
        <f>IF($J$481:$J$481 = 0, "Undefined",$K$481:$K$481*100 / $J$481:$J$481)</f>
        <v>50.625</v>
      </c>
    </row>
    <row r="482" spans="2:12" ht="13.8" x14ac:dyDescent="0.3">
      <c r="D482" s="25">
        <v>1</v>
      </c>
      <c r="E482" s="24">
        <f>SUM($E$477:$F$477)</f>
        <v>360</v>
      </c>
      <c r="F482" s="24">
        <f>SUM($E$477:$F$477) - $F$477:$F$477</f>
        <v>2</v>
      </c>
      <c r="G482" s="24">
        <f>IF($E$482:$E$482 = 0, "Undefined",$F$482:$F$482*100 / $E$482:$E$482)</f>
        <v>0.55555555555555558</v>
      </c>
      <c r="I482" s="25">
        <v>1</v>
      </c>
      <c r="J482" s="24">
        <f>SUM($J$477:$K$477)</f>
        <v>340</v>
      </c>
      <c r="K482" s="24">
        <f>SUM($J$477:$K$477) - $K$477:$K$477</f>
        <v>49</v>
      </c>
      <c r="L482" s="24">
        <f>IF($J$482:$J$482 = 0, "Undefined",$K$482:$K$482*100 / $J$482:$J$482)</f>
        <v>14.411764705882353</v>
      </c>
    </row>
    <row r="483" spans="2:12" ht="13.8" x14ac:dyDescent="0.3">
      <c r="D483" s="25" t="s">
        <v>336</v>
      </c>
      <c r="E483" s="24">
        <f>SUM($E$481:$E$482)</f>
        <v>500</v>
      </c>
      <c r="F483" s="24">
        <f>SUM($F$481:$F$482)</f>
        <v>8</v>
      </c>
      <c r="G483" s="24">
        <f>IF($E$483:$E$483 = 0, "Undefined",$F$483:$F$483*100 / $E$483:$E$483)</f>
        <v>1.6</v>
      </c>
      <c r="I483" s="25" t="s">
        <v>336</v>
      </c>
      <c r="J483" s="24">
        <f>SUM($J$481:$J$482)</f>
        <v>500</v>
      </c>
      <c r="K483" s="24">
        <f>SUM($K$481:$K$482)</f>
        <v>130</v>
      </c>
      <c r="L483" s="24">
        <f>IF($J$483:$J$483 = 0, "Undefined",$K$483:$K$483*100 / $J$483:$J$483)</f>
        <v>26</v>
      </c>
    </row>
    <row r="485" spans="2:12" ht="15.6" x14ac:dyDescent="0.3">
      <c r="B485" s="28" t="s">
        <v>364</v>
      </c>
      <c r="D485" s="59" t="s">
        <v>329</v>
      </c>
      <c r="E485" s="60"/>
      <c r="F485" s="61"/>
      <c r="I485" s="59" t="s">
        <v>329</v>
      </c>
      <c r="J485" s="60"/>
      <c r="K485" s="61"/>
    </row>
    <row r="486" spans="2:12" ht="13.8" x14ac:dyDescent="0.3">
      <c r="D486" s="26"/>
      <c r="E486" s="75" t="s">
        <v>330</v>
      </c>
      <c r="F486" s="76"/>
      <c r="I486" s="26"/>
      <c r="J486" s="75" t="s">
        <v>330</v>
      </c>
      <c r="K486" s="76"/>
    </row>
    <row r="487" spans="2:12" ht="13.8" x14ac:dyDescent="0.3">
      <c r="D487" s="25" t="s">
        <v>331</v>
      </c>
      <c r="E487" s="26">
        <v>0</v>
      </c>
      <c r="F487" s="26">
        <v>1</v>
      </c>
      <c r="I487" s="25" t="s">
        <v>331</v>
      </c>
      <c r="J487" s="26">
        <v>0</v>
      </c>
      <c r="K487" s="26">
        <v>1</v>
      </c>
    </row>
    <row r="488" spans="2:12" ht="13.8" x14ac:dyDescent="0.3">
      <c r="D488" s="25">
        <v>0</v>
      </c>
      <c r="E488" s="24">
        <v>136</v>
      </c>
      <c r="F488" s="24">
        <v>4</v>
      </c>
      <c r="I488" s="25">
        <v>0</v>
      </c>
      <c r="J488" s="24">
        <v>81</v>
      </c>
      <c r="K488" s="24">
        <v>79</v>
      </c>
    </row>
    <row r="489" spans="2:12" ht="13.8" x14ac:dyDescent="0.3">
      <c r="D489" s="25">
        <v>1</v>
      </c>
      <c r="E489" s="24">
        <v>2</v>
      </c>
      <c r="F489" s="24">
        <v>358</v>
      </c>
      <c r="I489" s="25">
        <v>1</v>
      </c>
      <c r="J489" s="24">
        <v>60</v>
      </c>
      <c r="K489" s="24">
        <v>280</v>
      </c>
    </row>
    <row r="491" spans="2:12" ht="15.6" x14ac:dyDescent="0.3">
      <c r="D491" s="59" t="s">
        <v>210</v>
      </c>
      <c r="E491" s="60"/>
      <c r="F491" s="60"/>
      <c r="G491" s="61"/>
      <c r="I491" s="59" t="s">
        <v>210</v>
      </c>
      <c r="J491" s="60"/>
      <c r="K491" s="60"/>
      <c r="L491" s="61"/>
    </row>
    <row r="492" spans="2:12" ht="13.8" x14ac:dyDescent="0.3">
      <c r="D492" s="26" t="s">
        <v>332</v>
      </c>
      <c r="E492" s="26" t="s">
        <v>333</v>
      </c>
      <c r="F492" s="26" t="s">
        <v>334</v>
      </c>
      <c r="G492" s="26" t="s">
        <v>335</v>
      </c>
      <c r="I492" s="26" t="s">
        <v>332</v>
      </c>
      <c r="J492" s="26" t="s">
        <v>333</v>
      </c>
      <c r="K492" s="26" t="s">
        <v>334</v>
      </c>
      <c r="L492" s="26" t="s">
        <v>335</v>
      </c>
    </row>
    <row r="493" spans="2:12" ht="13.8" x14ac:dyDescent="0.3">
      <c r="D493" s="25">
        <v>0</v>
      </c>
      <c r="E493" s="24">
        <f>SUM($E$488:$F$488)</f>
        <v>140</v>
      </c>
      <c r="F493" s="24">
        <f>SUM($E$488:$F$488) - $E$488:$E$488</f>
        <v>4</v>
      </c>
      <c r="G493" s="24">
        <f>IF($E$493:$E$493 = 0, "Undefined",$F$493:$F$493*100 / $E$493:$E$493)</f>
        <v>2.8571428571428572</v>
      </c>
      <c r="I493" s="25">
        <v>0</v>
      </c>
      <c r="J493" s="24">
        <f>SUM($J$488:$K$488)</f>
        <v>160</v>
      </c>
      <c r="K493" s="24">
        <f>SUM($J$488:$K$488) - $J$488:$J$488</f>
        <v>79</v>
      </c>
      <c r="L493" s="24">
        <f>IF($J$493:$J$493 = 0, "Undefined",$K$493:$K$493*100 / $J$493:$J$493)</f>
        <v>49.375</v>
      </c>
    </row>
    <row r="494" spans="2:12" ht="13.8" x14ac:dyDescent="0.3">
      <c r="D494" s="25">
        <v>1</v>
      </c>
      <c r="E494" s="24">
        <f>SUM($E$489:$F$489)</f>
        <v>360</v>
      </c>
      <c r="F494" s="24">
        <f>SUM($E$489:$F$489) - $F$489:$F$489</f>
        <v>2</v>
      </c>
      <c r="G494" s="24">
        <f>IF($E$494:$E$494 = 0, "Undefined",$F$494:$F$494*100 / $E$494:$E$494)</f>
        <v>0.55555555555555558</v>
      </c>
      <c r="I494" s="25">
        <v>1</v>
      </c>
      <c r="J494" s="24">
        <f>SUM($J$489:$K$489)</f>
        <v>340</v>
      </c>
      <c r="K494" s="24">
        <f>SUM($J$489:$K$489) - $K$489:$K$489</f>
        <v>60</v>
      </c>
      <c r="L494" s="24">
        <f>IF($J$494:$J$494 = 0, "Undefined",$K$494:$K$494*100 / $J$494:$J$494)</f>
        <v>17.647058823529413</v>
      </c>
    </row>
    <row r="495" spans="2:12" ht="13.8" x14ac:dyDescent="0.3">
      <c r="D495" s="25" t="s">
        <v>336</v>
      </c>
      <c r="E495" s="24">
        <f>SUM($E$493:$E$494)</f>
        <v>500</v>
      </c>
      <c r="F495" s="24">
        <f>SUM($F$493:$F$494)</f>
        <v>6</v>
      </c>
      <c r="G495" s="24">
        <f>IF($E$495:$E$495 = 0, "Undefined",$F$495:$F$495*100 / $E$495:$E$495)</f>
        <v>1.2</v>
      </c>
      <c r="I495" s="25" t="s">
        <v>336</v>
      </c>
      <c r="J495" s="24">
        <f>SUM($J$493:$J$494)</f>
        <v>500</v>
      </c>
      <c r="K495" s="24">
        <f>SUM($K$493:$K$494)</f>
        <v>139</v>
      </c>
      <c r="L495" s="24">
        <f>IF($J$495:$J$495 = 0, "Undefined",$K$495:$K$495*100 / $J$495:$J$495)</f>
        <v>27.8</v>
      </c>
    </row>
    <row r="497" spans="2:12" ht="15.6" x14ac:dyDescent="0.3">
      <c r="B497" s="28" t="s">
        <v>365</v>
      </c>
      <c r="D497" s="59" t="s">
        <v>329</v>
      </c>
      <c r="E497" s="60"/>
      <c r="F497" s="61"/>
      <c r="I497" s="59" t="s">
        <v>329</v>
      </c>
      <c r="J497" s="60"/>
      <c r="K497" s="61"/>
    </row>
    <row r="498" spans="2:12" ht="13.8" x14ac:dyDescent="0.3">
      <c r="D498" s="26"/>
      <c r="E498" s="75" t="s">
        <v>330</v>
      </c>
      <c r="F498" s="76"/>
      <c r="I498" s="26"/>
      <c r="J498" s="75" t="s">
        <v>330</v>
      </c>
      <c r="K498" s="76"/>
    </row>
    <row r="499" spans="2:12" ht="13.8" x14ac:dyDescent="0.3">
      <c r="D499" s="25" t="s">
        <v>331</v>
      </c>
      <c r="E499" s="26">
        <v>0</v>
      </c>
      <c r="F499" s="26">
        <v>1</v>
      </c>
      <c r="I499" s="25" t="s">
        <v>331</v>
      </c>
      <c r="J499" s="26">
        <v>0</v>
      </c>
      <c r="K499" s="26">
        <v>1</v>
      </c>
    </row>
    <row r="500" spans="2:12" ht="13.8" x14ac:dyDescent="0.3">
      <c r="D500" s="25">
        <v>0</v>
      </c>
      <c r="E500" s="24">
        <v>134</v>
      </c>
      <c r="F500" s="24">
        <v>6</v>
      </c>
      <c r="I500" s="25">
        <v>0</v>
      </c>
      <c r="J500" s="24">
        <v>74</v>
      </c>
      <c r="K500" s="24">
        <v>86</v>
      </c>
    </row>
    <row r="501" spans="2:12" ht="13.8" x14ac:dyDescent="0.3">
      <c r="D501" s="25">
        <v>1</v>
      </c>
      <c r="E501" s="24">
        <v>1</v>
      </c>
      <c r="F501" s="24">
        <v>359</v>
      </c>
      <c r="I501" s="25">
        <v>1</v>
      </c>
      <c r="J501" s="24">
        <v>53</v>
      </c>
      <c r="K501" s="24">
        <v>287</v>
      </c>
    </row>
    <row r="503" spans="2:12" ht="15.6" x14ac:dyDescent="0.3">
      <c r="D503" s="59" t="s">
        <v>210</v>
      </c>
      <c r="E503" s="60"/>
      <c r="F503" s="60"/>
      <c r="G503" s="61"/>
      <c r="I503" s="59" t="s">
        <v>210</v>
      </c>
      <c r="J503" s="60"/>
      <c r="K503" s="60"/>
      <c r="L503" s="61"/>
    </row>
    <row r="504" spans="2:12" ht="13.8" x14ac:dyDescent="0.3">
      <c r="D504" s="26" t="s">
        <v>332</v>
      </c>
      <c r="E504" s="26" t="s">
        <v>333</v>
      </c>
      <c r="F504" s="26" t="s">
        <v>334</v>
      </c>
      <c r="G504" s="26" t="s">
        <v>335</v>
      </c>
      <c r="I504" s="26" t="s">
        <v>332</v>
      </c>
      <c r="J504" s="26" t="s">
        <v>333</v>
      </c>
      <c r="K504" s="26" t="s">
        <v>334</v>
      </c>
      <c r="L504" s="26" t="s">
        <v>335</v>
      </c>
    </row>
    <row r="505" spans="2:12" ht="13.8" x14ac:dyDescent="0.3">
      <c r="D505" s="25">
        <v>0</v>
      </c>
      <c r="E505" s="24">
        <f>SUM($E$500:$F$500)</f>
        <v>140</v>
      </c>
      <c r="F505" s="24">
        <f>SUM($E$500:$F$500) - $E$500:$E$500</f>
        <v>6</v>
      </c>
      <c r="G505" s="24">
        <f>IF($E$505:$E$505 = 0, "Undefined",$F$505:$F$505*100 / $E$505:$E$505)</f>
        <v>4.2857142857142856</v>
      </c>
      <c r="I505" s="25">
        <v>0</v>
      </c>
      <c r="J505" s="24">
        <f>SUM($J$500:$K$500)</f>
        <v>160</v>
      </c>
      <c r="K505" s="24">
        <f>SUM($J$500:$K$500) - $J$500:$J$500</f>
        <v>86</v>
      </c>
      <c r="L505" s="24">
        <f>IF($J$505:$J$505 = 0, "Undefined",$K$505:$K$505*100 / $J$505:$J$505)</f>
        <v>53.75</v>
      </c>
    </row>
    <row r="506" spans="2:12" ht="13.8" x14ac:dyDescent="0.3">
      <c r="D506" s="25">
        <v>1</v>
      </c>
      <c r="E506" s="24">
        <f>SUM($E$501:$F$501)</f>
        <v>360</v>
      </c>
      <c r="F506" s="24">
        <f>SUM($E$501:$F$501) - $F$501:$F$501</f>
        <v>1</v>
      </c>
      <c r="G506" s="24">
        <f>IF($E$506:$E$506 = 0, "Undefined",$F$506:$F$506*100 / $E$506:$E$506)</f>
        <v>0.27777777777777779</v>
      </c>
      <c r="I506" s="25">
        <v>1</v>
      </c>
      <c r="J506" s="24">
        <f>SUM($J$501:$K$501)</f>
        <v>340</v>
      </c>
      <c r="K506" s="24">
        <f>SUM($J$501:$K$501) - $K$501:$K$501</f>
        <v>53</v>
      </c>
      <c r="L506" s="24">
        <f>IF($J$506:$J$506 = 0, "Undefined",$K$506:$K$506*100 / $J$506:$J$506)</f>
        <v>15.588235294117647</v>
      </c>
    </row>
    <row r="507" spans="2:12" ht="13.8" x14ac:dyDescent="0.3">
      <c r="D507" s="25" t="s">
        <v>336</v>
      </c>
      <c r="E507" s="24">
        <f>SUM($E$505:$E$506)</f>
        <v>500</v>
      </c>
      <c r="F507" s="24">
        <f>SUM($F$505:$F$506)</f>
        <v>7</v>
      </c>
      <c r="G507" s="24">
        <f>IF($E$507:$E$507 = 0, "Undefined",$F$507:$F$507*100 / $E$507:$E$507)</f>
        <v>1.4</v>
      </c>
      <c r="I507" s="25" t="s">
        <v>336</v>
      </c>
      <c r="J507" s="24">
        <f>SUM($J$505:$J$506)</f>
        <v>500</v>
      </c>
      <c r="K507" s="24">
        <f>SUM($K$505:$K$506)</f>
        <v>139</v>
      </c>
      <c r="L507" s="24">
        <f>IF($J$507:$J$507 = 0, "Undefined",$K$507:$K$507*100 / $J$507:$J$507)</f>
        <v>27.8</v>
      </c>
    </row>
    <row r="509" spans="2:12" ht="15.6" x14ac:dyDescent="0.3">
      <c r="B509" s="28" t="s">
        <v>366</v>
      </c>
      <c r="D509" s="59" t="s">
        <v>329</v>
      </c>
      <c r="E509" s="60"/>
      <c r="F509" s="61"/>
      <c r="I509" s="59" t="s">
        <v>329</v>
      </c>
      <c r="J509" s="60"/>
      <c r="K509" s="61"/>
    </row>
    <row r="510" spans="2:12" ht="13.8" x14ac:dyDescent="0.3">
      <c r="D510" s="26"/>
      <c r="E510" s="75" t="s">
        <v>330</v>
      </c>
      <c r="F510" s="76"/>
      <c r="I510" s="26"/>
      <c r="J510" s="75" t="s">
        <v>330</v>
      </c>
      <c r="K510" s="76"/>
    </row>
    <row r="511" spans="2:12" ht="13.8" x14ac:dyDescent="0.3">
      <c r="D511" s="25" t="s">
        <v>331</v>
      </c>
      <c r="E511" s="26">
        <v>0</v>
      </c>
      <c r="F511" s="26">
        <v>1</v>
      </c>
      <c r="I511" s="25" t="s">
        <v>331</v>
      </c>
      <c r="J511" s="26">
        <v>0</v>
      </c>
      <c r="K511" s="26">
        <v>1</v>
      </c>
    </row>
    <row r="512" spans="2:12" ht="13.8" x14ac:dyDescent="0.3">
      <c r="D512" s="25">
        <v>0</v>
      </c>
      <c r="E512" s="24">
        <v>135</v>
      </c>
      <c r="F512" s="24">
        <v>5</v>
      </c>
      <c r="I512" s="25">
        <v>0</v>
      </c>
      <c r="J512" s="24">
        <v>82</v>
      </c>
      <c r="K512" s="24">
        <v>78</v>
      </c>
    </row>
    <row r="513" spans="2:12" ht="13.8" x14ac:dyDescent="0.3">
      <c r="D513" s="25">
        <v>1</v>
      </c>
      <c r="E513" s="24">
        <v>1</v>
      </c>
      <c r="F513" s="24">
        <v>359</v>
      </c>
      <c r="I513" s="25">
        <v>1</v>
      </c>
      <c r="J513" s="24">
        <v>55</v>
      </c>
      <c r="K513" s="24">
        <v>285</v>
      </c>
    </row>
    <row r="515" spans="2:12" ht="15.6" x14ac:dyDescent="0.3">
      <c r="D515" s="59" t="s">
        <v>210</v>
      </c>
      <c r="E515" s="60"/>
      <c r="F515" s="60"/>
      <c r="G515" s="61"/>
      <c r="I515" s="59" t="s">
        <v>210</v>
      </c>
      <c r="J515" s="60"/>
      <c r="K515" s="60"/>
      <c r="L515" s="61"/>
    </row>
    <row r="516" spans="2:12" ht="13.8" x14ac:dyDescent="0.3">
      <c r="D516" s="26" t="s">
        <v>332</v>
      </c>
      <c r="E516" s="26" t="s">
        <v>333</v>
      </c>
      <c r="F516" s="26" t="s">
        <v>334</v>
      </c>
      <c r="G516" s="26" t="s">
        <v>335</v>
      </c>
      <c r="I516" s="26" t="s">
        <v>332</v>
      </c>
      <c r="J516" s="26" t="s">
        <v>333</v>
      </c>
      <c r="K516" s="26" t="s">
        <v>334</v>
      </c>
      <c r="L516" s="26" t="s">
        <v>335</v>
      </c>
    </row>
    <row r="517" spans="2:12" ht="13.8" x14ac:dyDescent="0.3">
      <c r="D517" s="25">
        <v>0</v>
      </c>
      <c r="E517" s="24">
        <f>SUM($E$512:$F$512)</f>
        <v>140</v>
      </c>
      <c r="F517" s="24">
        <f>SUM($E$512:$F$512) - $E$512:$E$512</f>
        <v>5</v>
      </c>
      <c r="G517" s="24">
        <f>IF($E$517:$E$517 = 0, "Undefined",$F$517:$F$517*100 / $E$517:$E$517)</f>
        <v>3.5714285714285716</v>
      </c>
      <c r="I517" s="25">
        <v>0</v>
      </c>
      <c r="J517" s="24">
        <f>SUM($J$512:$K$512)</f>
        <v>160</v>
      </c>
      <c r="K517" s="24">
        <f>SUM($J$512:$K$512) - $J$512:$J$512</f>
        <v>78</v>
      </c>
      <c r="L517" s="24">
        <f>IF($J$517:$J$517 = 0, "Undefined",$K$517:$K$517*100 / $J$517:$J$517)</f>
        <v>48.75</v>
      </c>
    </row>
    <row r="518" spans="2:12" ht="13.8" x14ac:dyDescent="0.3">
      <c r="D518" s="25">
        <v>1</v>
      </c>
      <c r="E518" s="24">
        <f>SUM($E$513:$F$513)</f>
        <v>360</v>
      </c>
      <c r="F518" s="24">
        <f>SUM($E$513:$F$513) - $F$513:$F$513</f>
        <v>1</v>
      </c>
      <c r="G518" s="24">
        <f>IF($E$518:$E$518 = 0, "Undefined",$F$518:$F$518*100 / $E$518:$E$518)</f>
        <v>0.27777777777777779</v>
      </c>
      <c r="I518" s="25">
        <v>1</v>
      </c>
      <c r="J518" s="24">
        <f>SUM($J$513:$K$513)</f>
        <v>340</v>
      </c>
      <c r="K518" s="24">
        <f>SUM($J$513:$K$513) - $K$513:$K$513</f>
        <v>55</v>
      </c>
      <c r="L518" s="24">
        <f>IF($J$518:$J$518 = 0, "Undefined",$K$518:$K$518*100 / $J$518:$J$518)</f>
        <v>16.176470588235293</v>
      </c>
    </row>
    <row r="519" spans="2:12" ht="13.8" x14ac:dyDescent="0.3">
      <c r="D519" s="25" t="s">
        <v>336</v>
      </c>
      <c r="E519" s="24">
        <f>SUM($E$517:$E$518)</f>
        <v>500</v>
      </c>
      <c r="F519" s="24">
        <f>SUM($F$517:$F$518)</f>
        <v>6</v>
      </c>
      <c r="G519" s="24">
        <f>IF($E$519:$E$519 = 0, "Undefined",$F$519:$F$519*100 / $E$519:$E$519)</f>
        <v>1.2</v>
      </c>
      <c r="I519" s="25" t="s">
        <v>336</v>
      </c>
      <c r="J519" s="24">
        <f>SUM($J$517:$J$518)</f>
        <v>500</v>
      </c>
      <c r="K519" s="24">
        <f>SUM($K$517:$K$518)</f>
        <v>133</v>
      </c>
      <c r="L519" s="24">
        <f>IF($J$519:$J$519 = 0, "Undefined",$K$519:$K$519*100 / $J$519:$J$519)</f>
        <v>26.6</v>
      </c>
    </row>
    <row r="521" spans="2:12" ht="15.6" x14ac:dyDescent="0.3">
      <c r="B521" s="28" t="s">
        <v>367</v>
      </c>
      <c r="D521" s="59" t="s">
        <v>329</v>
      </c>
      <c r="E521" s="60"/>
      <c r="F521" s="61"/>
      <c r="I521" s="59" t="s">
        <v>329</v>
      </c>
      <c r="J521" s="60"/>
      <c r="K521" s="61"/>
    </row>
    <row r="522" spans="2:12" ht="13.8" x14ac:dyDescent="0.3">
      <c r="D522" s="26"/>
      <c r="E522" s="75" t="s">
        <v>330</v>
      </c>
      <c r="F522" s="76"/>
      <c r="I522" s="26"/>
      <c r="J522" s="75" t="s">
        <v>330</v>
      </c>
      <c r="K522" s="76"/>
    </row>
    <row r="523" spans="2:12" ht="13.8" x14ac:dyDescent="0.3">
      <c r="D523" s="25" t="s">
        <v>331</v>
      </c>
      <c r="E523" s="26">
        <v>0</v>
      </c>
      <c r="F523" s="26">
        <v>1</v>
      </c>
      <c r="I523" s="25" t="s">
        <v>331</v>
      </c>
      <c r="J523" s="26">
        <v>0</v>
      </c>
      <c r="K523" s="26">
        <v>1</v>
      </c>
    </row>
    <row r="524" spans="2:12" ht="13.8" x14ac:dyDescent="0.3">
      <c r="D524" s="25">
        <v>0</v>
      </c>
      <c r="E524" s="24">
        <v>115</v>
      </c>
      <c r="F524" s="24">
        <v>25</v>
      </c>
      <c r="I524" s="25">
        <v>0</v>
      </c>
      <c r="J524" s="24">
        <v>97</v>
      </c>
      <c r="K524" s="24">
        <v>63</v>
      </c>
    </row>
    <row r="525" spans="2:12" ht="13.8" x14ac:dyDescent="0.3">
      <c r="D525" s="25">
        <v>1</v>
      </c>
      <c r="E525" s="24">
        <v>54</v>
      </c>
      <c r="F525" s="24">
        <v>306</v>
      </c>
      <c r="I525" s="25">
        <v>1</v>
      </c>
      <c r="J525" s="24">
        <v>85</v>
      </c>
      <c r="K525" s="24">
        <v>255</v>
      </c>
    </row>
    <row r="527" spans="2:12" ht="15.6" x14ac:dyDescent="0.3">
      <c r="D527" s="59" t="s">
        <v>210</v>
      </c>
      <c r="E527" s="60"/>
      <c r="F527" s="60"/>
      <c r="G527" s="61"/>
      <c r="I527" s="59" t="s">
        <v>210</v>
      </c>
      <c r="J527" s="60"/>
      <c r="K527" s="60"/>
      <c r="L527" s="61"/>
    </row>
    <row r="528" spans="2:12" ht="13.8" x14ac:dyDescent="0.3">
      <c r="D528" s="26" t="s">
        <v>332</v>
      </c>
      <c r="E528" s="26" t="s">
        <v>333</v>
      </c>
      <c r="F528" s="26" t="s">
        <v>334</v>
      </c>
      <c r="G528" s="26" t="s">
        <v>335</v>
      </c>
      <c r="I528" s="26" t="s">
        <v>332</v>
      </c>
      <c r="J528" s="26" t="s">
        <v>333</v>
      </c>
      <c r="K528" s="26" t="s">
        <v>334</v>
      </c>
      <c r="L528" s="26" t="s">
        <v>335</v>
      </c>
    </row>
    <row r="529" spans="2:12" ht="13.8" x14ac:dyDescent="0.3">
      <c r="D529" s="25">
        <v>0</v>
      </c>
      <c r="E529" s="24">
        <f>SUM($E$524:$F$524)</f>
        <v>140</v>
      </c>
      <c r="F529" s="24">
        <f>SUM($E$524:$F$524) - $E$524:$E$524</f>
        <v>25</v>
      </c>
      <c r="G529" s="24">
        <f>IF($E$529:$E$529 = 0, "Undefined",$F$529:$F$529*100 / $E$529:$E$529)</f>
        <v>17.857142857142858</v>
      </c>
      <c r="I529" s="25">
        <v>0</v>
      </c>
      <c r="J529" s="24">
        <f>SUM($J$524:$K$524)</f>
        <v>160</v>
      </c>
      <c r="K529" s="24">
        <f>SUM($J$524:$K$524) - $J$524:$J$524</f>
        <v>63</v>
      </c>
      <c r="L529" s="24">
        <f>IF($J$529:$J$529 = 0, "Undefined",$K$529:$K$529*100 / $J$529:$J$529)</f>
        <v>39.375</v>
      </c>
    </row>
    <row r="530" spans="2:12" ht="13.8" x14ac:dyDescent="0.3">
      <c r="D530" s="25">
        <v>1</v>
      </c>
      <c r="E530" s="24">
        <f>SUM($E$525:$F$525)</f>
        <v>360</v>
      </c>
      <c r="F530" s="24">
        <f>SUM($E$525:$F$525) - $F$525:$F$525</f>
        <v>54</v>
      </c>
      <c r="G530" s="24">
        <f>IF($E$530:$E$530 = 0, "Undefined",$F$530:$F$530*100 / $E$530:$E$530)</f>
        <v>15</v>
      </c>
      <c r="I530" s="25">
        <v>1</v>
      </c>
      <c r="J530" s="24">
        <f>SUM($J$525:$K$525)</f>
        <v>340</v>
      </c>
      <c r="K530" s="24">
        <f>SUM($J$525:$K$525) - $K$525:$K$525</f>
        <v>85</v>
      </c>
      <c r="L530" s="24">
        <f>IF($J$530:$J$530 = 0, "Undefined",$K$530:$K$530*100 / $J$530:$J$530)</f>
        <v>25</v>
      </c>
    </row>
    <row r="531" spans="2:12" ht="13.8" x14ac:dyDescent="0.3">
      <c r="D531" s="25" t="s">
        <v>336</v>
      </c>
      <c r="E531" s="24">
        <f>SUM($E$529:$E$530)</f>
        <v>500</v>
      </c>
      <c r="F531" s="24">
        <f>SUM($F$529:$F$530)</f>
        <v>79</v>
      </c>
      <c r="G531" s="24">
        <f>IF($E$531:$E$531 = 0, "Undefined",$F$531:$F$531*100 / $E$531:$E$531)</f>
        <v>15.8</v>
      </c>
      <c r="I531" s="25" t="s">
        <v>336</v>
      </c>
      <c r="J531" s="24">
        <f>SUM($J$529:$J$530)</f>
        <v>500</v>
      </c>
      <c r="K531" s="24">
        <f>SUM($K$529:$K$530)</f>
        <v>148</v>
      </c>
      <c r="L531" s="24">
        <f>IF($J$531:$J$531 = 0, "Undefined",$K$531:$K$531*100 / $J$531:$J$531)</f>
        <v>29.6</v>
      </c>
    </row>
    <row r="533" spans="2:12" ht="15.6" x14ac:dyDescent="0.3">
      <c r="B533" s="28" t="s">
        <v>368</v>
      </c>
      <c r="D533" s="59" t="s">
        <v>329</v>
      </c>
      <c r="E533" s="60"/>
      <c r="F533" s="61"/>
      <c r="I533" s="59" t="s">
        <v>329</v>
      </c>
      <c r="J533" s="60"/>
      <c r="K533" s="61"/>
    </row>
    <row r="534" spans="2:12" ht="13.8" x14ac:dyDescent="0.3">
      <c r="D534" s="26"/>
      <c r="E534" s="75" t="s">
        <v>330</v>
      </c>
      <c r="F534" s="76"/>
      <c r="I534" s="26"/>
      <c r="J534" s="75" t="s">
        <v>330</v>
      </c>
      <c r="K534" s="76"/>
    </row>
    <row r="535" spans="2:12" ht="13.8" x14ac:dyDescent="0.3">
      <c r="D535" s="25" t="s">
        <v>331</v>
      </c>
      <c r="E535" s="26">
        <v>0</v>
      </c>
      <c r="F535" s="26">
        <v>1</v>
      </c>
      <c r="I535" s="25" t="s">
        <v>331</v>
      </c>
      <c r="J535" s="26">
        <v>0</v>
      </c>
      <c r="K535" s="26">
        <v>1</v>
      </c>
    </row>
    <row r="536" spans="2:12" ht="13.8" x14ac:dyDescent="0.3">
      <c r="D536" s="25">
        <v>0</v>
      </c>
      <c r="E536" s="24">
        <v>107</v>
      </c>
      <c r="F536" s="24">
        <v>33</v>
      </c>
      <c r="I536" s="25">
        <v>0</v>
      </c>
      <c r="J536" s="24">
        <v>95</v>
      </c>
      <c r="K536" s="24">
        <v>65</v>
      </c>
    </row>
    <row r="537" spans="2:12" ht="13.8" x14ac:dyDescent="0.3">
      <c r="D537" s="25">
        <v>1</v>
      </c>
      <c r="E537" s="24">
        <v>50</v>
      </c>
      <c r="F537" s="24">
        <v>310</v>
      </c>
      <c r="I537" s="25">
        <v>1</v>
      </c>
      <c r="J537" s="24">
        <v>74</v>
      </c>
      <c r="K537" s="24">
        <v>266</v>
      </c>
    </row>
    <row r="539" spans="2:12" ht="15.6" x14ac:dyDescent="0.3">
      <c r="D539" s="59" t="s">
        <v>210</v>
      </c>
      <c r="E539" s="60"/>
      <c r="F539" s="60"/>
      <c r="G539" s="61"/>
      <c r="I539" s="59" t="s">
        <v>210</v>
      </c>
      <c r="J539" s="60"/>
      <c r="K539" s="60"/>
      <c r="L539" s="61"/>
    </row>
    <row r="540" spans="2:12" ht="13.8" x14ac:dyDescent="0.3">
      <c r="D540" s="26" t="s">
        <v>332</v>
      </c>
      <c r="E540" s="26" t="s">
        <v>333</v>
      </c>
      <c r="F540" s="26" t="s">
        <v>334</v>
      </c>
      <c r="G540" s="26" t="s">
        <v>335</v>
      </c>
      <c r="I540" s="26" t="s">
        <v>332</v>
      </c>
      <c r="J540" s="26" t="s">
        <v>333</v>
      </c>
      <c r="K540" s="26" t="s">
        <v>334</v>
      </c>
      <c r="L540" s="26" t="s">
        <v>335</v>
      </c>
    </row>
    <row r="541" spans="2:12" ht="13.8" x14ac:dyDescent="0.3">
      <c r="D541" s="25">
        <v>0</v>
      </c>
      <c r="E541" s="24">
        <f>SUM($E$536:$F$536)</f>
        <v>140</v>
      </c>
      <c r="F541" s="24">
        <f>SUM($E$536:$F$536) - $E$536:$E$536</f>
        <v>33</v>
      </c>
      <c r="G541" s="24">
        <f>IF($E$541:$E$541 = 0, "Undefined",$F$541:$F$541*100 / $E$541:$E$541)</f>
        <v>23.571428571428573</v>
      </c>
      <c r="I541" s="25">
        <v>0</v>
      </c>
      <c r="J541" s="24">
        <f>SUM($J$536:$K$536)</f>
        <v>160</v>
      </c>
      <c r="K541" s="24">
        <f>SUM($J$536:$K$536) - $J$536:$J$536</f>
        <v>65</v>
      </c>
      <c r="L541" s="24">
        <f>IF($J$541:$J$541 = 0, "Undefined",$K$541:$K$541*100 / $J$541:$J$541)</f>
        <v>40.625</v>
      </c>
    </row>
    <row r="542" spans="2:12" ht="13.8" x14ac:dyDescent="0.3">
      <c r="D542" s="25">
        <v>1</v>
      </c>
      <c r="E542" s="24">
        <f>SUM($E$537:$F$537)</f>
        <v>360</v>
      </c>
      <c r="F542" s="24">
        <f>SUM($E$537:$F$537) - $F$537:$F$537</f>
        <v>50</v>
      </c>
      <c r="G542" s="24">
        <f>IF($E$542:$E$542 = 0, "Undefined",$F$542:$F$542*100 / $E$542:$E$542)</f>
        <v>13.888888888888889</v>
      </c>
      <c r="I542" s="25">
        <v>1</v>
      </c>
      <c r="J542" s="24">
        <f>SUM($J$537:$K$537)</f>
        <v>340</v>
      </c>
      <c r="K542" s="24">
        <f>SUM($J$537:$K$537) - $K$537:$K$537</f>
        <v>74</v>
      </c>
      <c r="L542" s="24">
        <f>IF($J$542:$J$542 = 0, "Undefined",$K$542:$K$542*100 / $J$542:$J$542)</f>
        <v>21.764705882352942</v>
      </c>
    </row>
    <row r="543" spans="2:12" ht="13.8" x14ac:dyDescent="0.3">
      <c r="D543" s="25" t="s">
        <v>336</v>
      </c>
      <c r="E543" s="24">
        <f>SUM($E$541:$E$542)</f>
        <v>500</v>
      </c>
      <c r="F543" s="24">
        <f>SUM($F$541:$F$542)</f>
        <v>83</v>
      </c>
      <c r="G543" s="24">
        <f>IF($E$543:$E$543 = 0, "Undefined",$F$543:$F$543*100 / $E$543:$E$543)</f>
        <v>16.600000000000001</v>
      </c>
      <c r="I543" s="25" t="s">
        <v>336</v>
      </c>
      <c r="J543" s="24">
        <f>SUM($J$541:$J$542)</f>
        <v>500</v>
      </c>
      <c r="K543" s="24">
        <f>SUM($K$541:$K$542)</f>
        <v>139</v>
      </c>
      <c r="L543" s="24">
        <f>IF($J$543:$J$543 = 0, "Undefined",$K$543:$K$543*100 / $J$543:$J$543)</f>
        <v>27.8</v>
      </c>
    </row>
    <row r="545" spans="2:12" ht="15.6" x14ac:dyDescent="0.3">
      <c r="B545" s="28" t="s">
        <v>369</v>
      </c>
      <c r="D545" s="59" t="s">
        <v>329</v>
      </c>
      <c r="E545" s="60"/>
      <c r="F545" s="61"/>
      <c r="I545" s="59" t="s">
        <v>329</v>
      </c>
      <c r="J545" s="60"/>
      <c r="K545" s="61"/>
    </row>
    <row r="546" spans="2:12" ht="13.8" x14ac:dyDescent="0.3">
      <c r="D546" s="26"/>
      <c r="E546" s="75" t="s">
        <v>330</v>
      </c>
      <c r="F546" s="76"/>
      <c r="I546" s="26"/>
      <c r="J546" s="75" t="s">
        <v>330</v>
      </c>
      <c r="K546" s="76"/>
    </row>
    <row r="547" spans="2:12" ht="13.8" x14ac:dyDescent="0.3">
      <c r="D547" s="25" t="s">
        <v>331</v>
      </c>
      <c r="E547" s="26">
        <v>0</v>
      </c>
      <c r="F547" s="26">
        <v>1</v>
      </c>
      <c r="I547" s="25" t="s">
        <v>331</v>
      </c>
      <c r="J547" s="26">
        <v>0</v>
      </c>
      <c r="K547" s="26">
        <v>1</v>
      </c>
    </row>
    <row r="548" spans="2:12" ht="13.8" x14ac:dyDescent="0.3">
      <c r="D548" s="25">
        <v>0</v>
      </c>
      <c r="E548" s="24">
        <v>108</v>
      </c>
      <c r="F548" s="24">
        <v>32</v>
      </c>
      <c r="I548" s="25">
        <v>0</v>
      </c>
      <c r="J548" s="24">
        <v>96</v>
      </c>
      <c r="K548" s="24">
        <v>64</v>
      </c>
    </row>
    <row r="549" spans="2:12" ht="13.8" x14ac:dyDescent="0.3">
      <c r="D549" s="25">
        <v>1</v>
      </c>
      <c r="E549" s="24">
        <v>52</v>
      </c>
      <c r="F549" s="24">
        <v>308</v>
      </c>
      <c r="I549" s="25">
        <v>1</v>
      </c>
      <c r="J549" s="24">
        <v>77</v>
      </c>
      <c r="K549" s="24">
        <v>263</v>
      </c>
    </row>
    <row r="551" spans="2:12" ht="15.6" x14ac:dyDescent="0.3">
      <c r="D551" s="59" t="s">
        <v>210</v>
      </c>
      <c r="E551" s="60"/>
      <c r="F551" s="60"/>
      <c r="G551" s="61"/>
      <c r="I551" s="59" t="s">
        <v>210</v>
      </c>
      <c r="J551" s="60"/>
      <c r="K551" s="60"/>
      <c r="L551" s="61"/>
    </row>
    <row r="552" spans="2:12" ht="13.8" x14ac:dyDescent="0.3">
      <c r="D552" s="26" t="s">
        <v>332</v>
      </c>
      <c r="E552" s="26" t="s">
        <v>333</v>
      </c>
      <c r="F552" s="26" t="s">
        <v>334</v>
      </c>
      <c r="G552" s="26" t="s">
        <v>335</v>
      </c>
      <c r="I552" s="26" t="s">
        <v>332</v>
      </c>
      <c r="J552" s="26" t="s">
        <v>333</v>
      </c>
      <c r="K552" s="26" t="s">
        <v>334</v>
      </c>
      <c r="L552" s="26" t="s">
        <v>335</v>
      </c>
    </row>
    <row r="553" spans="2:12" ht="13.8" x14ac:dyDescent="0.3">
      <c r="D553" s="25">
        <v>0</v>
      </c>
      <c r="E553" s="24">
        <f>SUM($E$548:$F$548)</f>
        <v>140</v>
      </c>
      <c r="F553" s="24">
        <f>SUM($E$548:$F$548) - $E$548:$E$548</f>
        <v>32</v>
      </c>
      <c r="G553" s="24">
        <f>IF($E$553:$E$553 = 0, "Undefined",$F$553:$F$553*100 / $E$553:$E$553)</f>
        <v>22.857142857142858</v>
      </c>
      <c r="I553" s="25">
        <v>0</v>
      </c>
      <c r="J553" s="24">
        <f>SUM($J$548:$K$548)</f>
        <v>160</v>
      </c>
      <c r="K553" s="24">
        <f>SUM($J$548:$K$548) - $J$548:$J$548</f>
        <v>64</v>
      </c>
      <c r="L553" s="24">
        <f>IF($J$553:$J$553 = 0, "Undefined",$K$553:$K$553*100 / $J$553:$J$553)</f>
        <v>40</v>
      </c>
    </row>
    <row r="554" spans="2:12" ht="13.8" x14ac:dyDescent="0.3">
      <c r="D554" s="25">
        <v>1</v>
      </c>
      <c r="E554" s="24">
        <f>SUM($E$549:$F$549)</f>
        <v>360</v>
      </c>
      <c r="F554" s="24">
        <f>SUM($E$549:$F$549) - $F$549:$F$549</f>
        <v>52</v>
      </c>
      <c r="G554" s="24">
        <f>IF($E$554:$E$554 = 0, "Undefined",$F$554:$F$554*100 / $E$554:$E$554)</f>
        <v>14.444444444444445</v>
      </c>
      <c r="I554" s="25">
        <v>1</v>
      </c>
      <c r="J554" s="24">
        <f>SUM($J$549:$K$549)</f>
        <v>340</v>
      </c>
      <c r="K554" s="24">
        <f>SUM($J$549:$K$549) - $K$549:$K$549</f>
        <v>77</v>
      </c>
      <c r="L554" s="24">
        <f>IF($J$554:$J$554 = 0, "Undefined",$K$554:$K$554*100 / $J$554:$J$554)</f>
        <v>22.647058823529413</v>
      </c>
    </row>
    <row r="555" spans="2:12" ht="13.8" x14ac:dyDescent="0.3">
      <c r="D555" s="25" t="s">
        <v>336</v>
      </c>
      <c r="E555" s="24">
        <f>SUM($E$553:$E$554)</f>
        <v>500</v>
      </c>
      <c r="F555" s="24">
        <f>SUM($F$553:$F$554)</f>
        <v>84</v>
      </c>
      <c r="G555" s="24">
        <f>IF($E$555:$E$555 = 0, "Undefined",$F$555:$F$555*100 / $E$555:$E$555)</f>
        <v>16.8</v>
      </c>
      <c r="I555" s="25" t="s">
        <v>336</v>
      </c>
      <c r="J555" s="24">
        <f>SUM($J$553:$J$554)</f>
        <v>500</v>
      </c>
      <c r="K555" s="24">
        <f>SUM($K$553:$K$554)</f>
        <v>141</v>
      </c>
      <c r="L555" s="24">
        <f>IF($J$555:$J$555 = 0, "Undefined",$K$555:$K$555*100 / $J$555:$J$555)</f>
        <v>28.2</v>
      </c>
    </row>
    <row r="557" spans="2:12" ht="15.6" x14ac:dyDescent="0.3">
      <c r="B557" s="28" t="s">
        <v>370</v>
      </c>
      <c r="D557" s="59" t="s">
        <v>329</v>
      </c>
      <c r="E557" s="60"/>
      <c r="F557" s="61"/>
      <c r="I557" s="59" t="s">
        <v>329</v>
      </c>
      <c r="J557" s="60"/>
      <c r="K557" s="61"/>
    </row>
    <row r="558" spans="2:12" ht="13.8" x14ac:dyDescent="0.3">
      <c r="D558" s="26"/>
      <c r="E558" s="75" t="s">
        <v>330</v>
      </c>
      <c r="F558" s="76"/>
      <c r="I558" s="26"/>
      <c r="J558" s="75" t="s">
        <v>330</v>
      </c>
      <c r="K558" s="76"/>
    </row>
    <row r="559" spans="2:12" ht="13.8" x14ac:dyDescent="0.3">
      <c r="D559" s="25" t="s">
        <v>331</v>
      </c>
      <c r="E559" s="26">
        <v>0</v>
      </c>
      <c r="F559" s="26">
        <v>1</v>
      </c>
      <c r="I559" s="25" t="s">
        <v>331</v>
      </c>
      <c r="J559" s="26">
        <v>0</v>
      </c>
      <c r="K559" s="26">
        <v>1</v>
      </c>
    </row>
    <row r="560" spans="2:12" ht="13.8" x14ac:dyDescent="0.3">
      <c r="D560" s="25">
        <v>0</v>
      </c>
      <c r="E560" s="24">
        <v>113</v>
      </c>
      <c r="F560" s="24">
        <v>27</v>
      </c>
      <c r="I560" s="25">
        <v>0</v>
      </c>
      <c r="J560" s="24">
        <v>97</v>
      </c>
      <c r="K560" s="24">
        <v>63</v>
      </c>
    </row>
    <row r="561" spans="2:12" ht="13.8" x14ac:dyDescent="0.3">
      <c r="D561" s="25">
        <v>1</v>
      </c>
      <c r="E561" s="24">
        <v>54</v>
      </c>
      <c r="F561" s="24">
        <v>306</v>
      </c>
      <c r="I561" s="25">
        <v>1</v>
      </c>
      <c r="J561" s="24">
        <v>79</v>
      </c>
      <c r="K561" s="24">
        <v>261</v>
      </c>
    </row>
    <row r="563" spans="2:12" ht="15.6" x14ac:dyDescent="0.3">
      <c r="D563" s="59" t="s">
        <v>210</v>
      </c>
      <c r="E563" s="60"/>
      <c r="F563" s="60"/>
      <c r="G563" s="61"/>
      <c r="I563" s="59" t="s">
        <v>210</v>
      </c>
      <c r="J563" s="60"/>
      <c r="K563" s="60"/>
      <c r="L563" s="61"/>
    </row>
    <row r="564" spans="2:12" ht="13.8" x14ac:dyDescent="0.3">
      <c r="D564" s="26" t="s">
        <v>332</v>
      </c>
      <c r="E564" s="26" t="s">
        <v>333</v>
      </c>
      <c r="F564" s="26" t="s">
        <v>334</v>
      </c>
      <c r="G564" s="26" t="s">
        <v>335</v>
      </c>
      <c r="I564" s="26" t="s">
        <v>332</v>
      </c>
      <c r="J564" s="26" t="s">
        <v>333</v>
      </c>
      <c r="K564" s="26" t="s">
        <v>334</v>
      </c>
      <c r="L564" s="26" t="s">
        <v>335</v>
      </c>
    </row>
    <row r="565" spans="2:12" ht="13.8" x14ac:dyDescent="0.3">
      <c r="D565" s="25">
        <v>0</v>
      </c>
      <c r="E565" s="24">
        <f>SUM($E$560:$F$560)</f>
        <v>140</v>
      </c>
      <c r="F565" s="24">
        <f>SUM($E$560:$F$560) - $E$560:$E$560</f>
        <v>27</v>
      </c>
      <c r="G565" s="24">
        <f>IF($E$565:$E$565 = 0, "Undefined",$F$565:$F$565*100 / $E$565:$E$565)</f>
        <v>19.285714285714285</v>
      </c>
      <c r="I565" s="25">
        <v>0</v>
      </c>
      <c r="J565" s="24">
        <f>SUM($J$560:$K$560)</f>
        <v>160</v>
      </c>
      <c r="K565" s="24">
        <f>SUM($J$560:$K$560) - $J$560:$J$560</f>
        <v>63</v>
      </c>
      <c r="L565" s="24">
        <f>IF($J$565:$J$565 = 0, "Undefined",$K$565:$K$565*100 / $J$565:$J$565)</f>
        <v>39.375</v>
      </c>
    </row>
    <row r="566" spans="2:12" ht="13.8" x14ac:dyDescent="0.3">
      <c r="D566" s="25">
        <v>1</v>
      </c>
      <c r="E566" s="24">
        <f>SUM($E$561:$F$561)</f>
        <v>360</v>
      </c>
      <c r="F566" s="24">
        <f>SUM($E$561:$F$561) - $F$561:$F$561</f>
        <v>54</v>
      </c>
      <c r="G566" s="24">
        <f>IF($E$566:$E$566 = 0, "Undefined",$F$566:$F$566*100 / $E$566:$E$566)</f>
        <v>15</v>
      </c>
      <c r="I566" s="25">
        <v>1</v>
      </c>
      <c r="J566" s="24">
        <f>SUM($J$561:$K$561)</f>
        <v>340</v>
      </c>
      <c r="K566" s="24">
        <f>SUM($J$561:$K$561) - $K$561:$K$561</f>
        <v>79</v>
      </c>
      <c r="L566" s="24">
        <f>IF($J$566:$J$566 = 0, "Undefined",$K$566:$K$566*100 / $J$566:$J$566)</f>
        <v>23.235294117647058</v>
      </c>
    </row>
    <row r="567" spans="2:12" ht="13.8" x14ac:dyDescent="0.3">
      <c r="D567" s="25" t="s">
        <v>336</v>
      </c>
      <c r="E567" s="24">
        <f>SUM($E$565:$E$566)</f>
        <v>500</v>
      </c>
      <c r="F567" s="24">
        <f>SUM($F$565:$F$566)</f>
        <v>81</v>
      </c>
      <c r="G567" s="24">
        <f>IF($E$567:$E$567 = 0, "Undefined",$F$567:$F$567*100 / $E$567:$E$567)</f>
        <v>16.2</v>
      </c>
      <c r="I567" s="25" t="s">
        <v>336</v>
      </c>
      <c r="J567" s="24">
        <f>SUM($J$565:$J$566)</f>
        <v>500</v>
      </c>
      <c r="K567" s="24">
        <f>SUM($K$565:$K$566)</f>
        <v>142</v>
      </c>
      <c r="L567" s="24">
        <f>IF($J$567:$J$567 = 0, "Undefined",$K$567:$K$567*100 / $J$567:$J$567)</f>
        <v>28.4</v>
      </c>
    </row>
    <row r="569" spans="2:12" ht="15.6" x14ac:dyDescent="0.3">
      <c r="B569" s="28" t="s">
        <v>371</v>
      </c>
      <c r="D569" s="59" t="s">
        <v>329</v>
      </c>
      <c r="E569" s="60"/>
      <c r="F569" s="61"/>
      <c r="I569" s="59" t="s">
        <v>329</v>
      </c>
      <c r="J569" s="60"/>
      <c r="K569" s="61"/>
    </row>
    <row r="570" spans="2:12" ht="13.8" x14ac:dyDescent="0.3">
      <c r="D570" s="26"/>
      <c r="E570" s="75" t="s">
        <v>330</v>
      </c>
      <c r="F570" s="76"/>
      <c r="I570" s="26"/>
      <c r="J570" s="75" t="s">
        <v>330</v>
      </c>
      <c r="K570" s="76"/>
    </row>
    <row r="571" spans="2:12" ht="13.8" x14ac:dyDescent="0.3">
      <c r="D571" s="25" t="s">
        <v>331</v>
      </c>
      <c r="E571" s="26">
        <v>0</v>
      </c>
      <c r="F571" s="26">
        <v>1</v>
      </c>
      <c r="I571" s="25" t="s">
        <v>331</v>
      </c>
      <c r="J571" s="26">
        <v>0</v>
      </c>
      <c r="K571" s="26">
        <v>1</v>
      </c>
    </row>
    <row r="572" spans="2:12" ht="13.8" x14ac:dyDescent="0.3">
      <c r="D572" s="25">
        <v>0</v>
      </c>
      <c r="E572" s="24">
        <v>109</v>
      </c>
      <c r="F572" s="24">
        <v>31</v>
      </c>
      <c r="I572" s="25">
        <v>0</v>
      </c>
      <c r="J572" s="24">
        <v>89</v>
      </c>
      <c r="K572" s="24">
        <v>71</v>
      </c>
    </row>
    <row r="573" spans="2:12" ht="13.8" x14ac:dyDescent="0.3">
      <c r="D573" s="25">
        <v>1</v>
      </c>
      <c r="E573" s="24">
        <v>49</v>
      </c>
      <c r="F573" s="24">
        <v>311</v>
      </c>
      <c r="I573" s="25">
        <v>1</v>
      </c>
      <c r="J573" s="24">
        <v>75</v>
      </c>
      <c r="K573" s="24">
        <v>265</v>
      </c>
    </row>
    <row r="575" spans="2:12" ht="15.6" x14ac:dyDescent="0.3">
      <c r="D575" s="59" t="s">
        <v>210</v>
      </c>
      <c r="E575" s="60"/>
      <c r="F575" s="60"/>
      <c r="G575" s="61"/>
      <c r="I575" s="59" t="s">
        <v>210</v>
      </c>
      <c r="J575" s="60"/>
      <c r="K575" s="60"/>
      <c r="L575" s="61"/>
    </row>
    <row r="576" spans="2:12" ht="13.8" x14ac:dyDescent="0.3">
      <c r="D576" s="26" t="s">
        <v>332</v>
      </c>
      <c r="E576" s="26" t="s">
        <v>333</v>
      </c>
      <c r="F576" s="26" t="s">
        <v>334</v>
      </c>
      <c r="G576" s="26" t="s">
        <v>335</v>
      </c>
      <c r="I576" s="26" t="s">
        <v>332</v>
      </c>
      <c r="J576" s="26" t="s">
        <v>333</v>
      </c>
      <c r="K576" s="26" t="s">
        <v>334</v>
      </c>
      <c r="L576" s="26" t="s">
        <v>335</v>
      </c>
    </row>
    <row r="577" spans="2:12" ht="13.8" x14ac:dyDescent="0.3">
      <c r="D577" s="25">
        <v>0</v>
      </c>
      <c r="E577" s="24">
        <f>SUM($E$572:$F$572)</f>
        <v>140</v>
      </c>
      <c r="F577" s="24">
        <f>SUM($E$572:$F$572) - $E$572:$E$572</f>
        <v>31</v>
      </c>
      <c r="G577" s="24">
        <f>IF($E$577:$E$577 = 0, "Undefined",$F$577:$F$577*100 / $E$577:$E$577)</f>
        <v>22.142857142857142</v>
      </c>
      <c r="I577" s="25">
        <v>0</v>
      </c>
      <c r="J577" s="24">
        <f>SUM($J$572:$K$572)</f>
        <v>160</v>
      </c>
      <c r="K577" s="24">
        <f>SUM($J$572:$K$572) - $J$572:$J$572</f>
        <v>71</v>
      </c>
      <c r="L577" s="24">
        <f>IF($J$577:$J$577 = 0, "Undefined",$K$577:$K$577*100 / $J$577:$J$577)</f>
        <v>44.375</v>
      </c>
    </row>
    <row r="578" spans="2:12" ht="13.8" x14ac:dyDescent="0.3">
      <c r="D578" s="25">
        <v>1</v>
      </c>
      <c r="E578" s="24">
        <f>SUM($E$573:$F$573)</f>
        <v>360</v>
      </c>
      <c r="F578" s="24">
        <f>SUM($E$573:$F$573) - $F$573:$F$573</f>
        <v>49</v>
      </c>
      <c r="G578" s="24">
        <f>IF($E$578:$E$578 = 0, "Undefined",$F$578:$F$578*100 / $E$578:$E$578)</f>
        <v>13.611111111111111</v>
      </c>
      <c r="I578" s="25">
        <v>1</v>
      </c>
      <c r="J578" s="24">
        <f>SUM($J$573:$K$573)</f>
        <v>340</v>
      </c>
      <c r="K578" s="24">
        <f>SUM($J$573:$K$573) - $K$573:$K$573</f>
        <v>75</v>
      </c>
      <c r="L578" s="24">
        <f>IF($J$578:$J$578 = 0, "Undefined",$K$578:$K$578*100 / $J$578:$J$578)</f>
        <v>22.058823529411764</v>
      </c>
    </row>
    <row r="579" spans="2:12" ht="13.8" x14ac:dyDescent="0.3">
      <c r="D579" s="25" t="s">
        <v>336</v>
      </c>
      <c r="E579" s="24">
        <f>SUM($E$577:$E$578)</f>
        <v>500</v>
      </c>
      <c r="F579" s="24">
        <f>SUM($F$577:$F$578)</f>
        <v>80</v>
      </c>
      <c r="G579" s="24">
        <f>IF($E$579:$E$579 = 0, "Undefined",$F$579:$F$579*100 / $E$579:$E$579)</f>
        <v>16</v>
      </c>
      <c r="I579" s="25" t="s">
        <v>336</v>
      </c>
      <c r="J579" s="24">
        <f>SUM($J$577:$J$578)</f>
        <v>500</v>
      </c>
      <c r="K579" s="24">
        <f>SUM($K$577:$K$578)</f>
        <v>146</v>
      </c>
      <c r="L579" s="24">
        <f>IF($J$579:$J$579 = 0, "Undefined",$K$579:$K$579*100 / $J$579:$J$579)</f>
        <v>29.2</v>
      </c>
    </row>
    <row r="581" spans="2:12" ht="15.6" x14ac:dyDescent="0.3">
      <c r="B581" s="28" t="s">
        <v>372</v>
      </c>
      <c r="D581" s="59" t="s">
        <v>329</v>
      </c>
      <c r="E581" s="60"/>
      <c r="F581" s="61"/>
      <c r="I581" s="59" t="s">
        <v>329</v>
      </c>
      <c r="J581" s="60"/>
      <c r="K581" s="61"/>
    </row>
    <row r="582" spans="2:12" ht="13.8" x14ac:dyDescent="0.3">
      <c r="D582" s="26"/>
      <c r="E582" s="75" t="s">
        <v>330</v>
      </c>
      <c r="F582" s="76"/>
      <c r="I582" s="26"/>
      <c r="J582" s="75" t="s">
        <v>330</v>
      </c>
      <c r="K582" s="76"/>
    </row>
    <row r="583" spans="2:12" ht="13.8" x14ac:dyDescent="0.3">
      <c r="D583" s="25" t="s">
        <v>331</v>
      </c>
      <c r="E583" s="26">
        <v>0</v>
      </c>
      <c r="F583" s="26">
        <v>1</v>
      </c>
      <c r="I583" s="25" t="s">
        <v>331</v>
      </c>
      <c r="J583" s="26">
        <v>0</v>
      </c>
      <c r="K583" s="26">
        <v>1</v>
      </c>
    </row>
    <row r="584" spans="2:12" ht="13.8" x14ac:dyDescent="0.3">
      <c r="D584" s="25">
        <v>0</v>
      </c>
      <c r="E584" s="24">
        <v>109</v>
      </c>
      <c r="F584" s="24">
        <v>31</v>
      </c>
      <c r="I584" s="25">
        <v>0</v>
      </c>
      <c r="J584" s="24">
        <v>94</v>
      </c>
      <c r="K584" s="24">
        <v>66</v>
      </c>
    </row>
    <row r="585" spans="2:12" ht="13.8" x14ac:dyDescent="0.3">
      <c r="D585" s="25">
        <v>1</v>
      </c>
      <c r="E585" s="24">
        <v>50</v>
      </c>
      <c r="F585" s="24">
        <v>310</v>
      </c>
      <c r="I585" s="25">
        <v>1</v>
      </c>
      <c r="J585" s="24">
        <v>76</v>
      </c>
      <c r="K585" s="24">
        <v>264</v>
      </c>
    </row>
    <row r="587" spans="2:12" ht="15.6" x14ac:dyDescent="0.3">
      <c r="D587" s="59" t="s">
        <v>210</v>
      </c>
      <c r="E587" s="60"/>
      <c r="F587" s="60"/>
      <c r="G587" s="61"/>
      <c r="I587" s="59" t="s">
        <v>210</v>
      </c>
      <c r="J587" s="60"/>
      <c r="K587" s="60"/>
      <c r="L587" s="61"/>
    </row>
    <row r="588" spans="2:12" ht="13.8" x14ac:dyDescent="0.3">
      <c r="D588" s="26" t="s">
        <v>332</v>
      </c>
      <c r="E588" s="26" t="s">
        <v>333</v>
      </c>
      <c r="F588" s="26" t="s">
        <v>334</v>
      </c>
      <c r="G588" s="26" t="s">
        <v>335</v>
      </c>
      <c r="I588" s="26" t="s">
        <v>332</v>
      </c>
      <c r="J588" s="26" t="s">
        <v>333</v>
      </c>
      <c r="K588" s="26" t="s">
        <v>334</v>
      </c>
      <c r="L588" s="26" t="s">
        <v>335</v>
      </c>
    </row>
    <row r="589" spans="2:12" ht="13.8" x14ac:dyDescent="0.3">
      <c r="D589" s="25">
        <v>0</v>
      </c>
      <c r="E589" s="24">
        <f>SUM($E$584:$F$584)</f>
        <v>140</v>
      </c>
      <c r="F589" s="24">
        <f>SUM($E$584:$F$584) - $E$584:$E$584</f>
        <v>31</v>
      </c>
      <c r="G589" s="24">
        <f>IF($E$589:$E$589 = 0, "Undefined",$F$589:$F$589*100 / $E$589:$E$589)</f>
        <v>22.142857142857142</v>
      </c>
      <c r="I589" s="25">
        <v>0</v>
      </c>
      <c r="J589" s="24">
        <f>SUM($J$584:$K$584)</f>
        <v>160</v>
      </c>
      <c r="K589" s="24">
        <f>SUM($J$584:$K$584) - $J$584:$J$584</f>
        <v>66</v>
      </c>
      <c r="L589" s="24">
        <f>IF($J$589:$J$589 = 0, "Undefined",$K$589:$K$589*100 / $J$589:$J$589)</f>
        <v>41.25</v>
      </c>
    </row>
    <row r="590" spans="2:12" ht="13.8" x14ac:dyDescent="0.3">
      <c r="D590" s="25">
        <v>1</v>
      </c>
      <c r="E590" s="24">
        <f>SUM($E$585:$F$585)</f>
        <v>360</v>
      </c>
      <c r="F590" s="24">
        <f>SUM($E$585:$F$585) - $F$585:$F$585</f>
        <v>50</v>
      </c>
      <c r="G590" s="24">
        <f>IF($E$590:$E$590 = 0, "Undefined",$F$590:$F$590*100 / $E$590:$E$590)</f>
        <v>13.888888888888889</v>
      </c>
      <c r="I590" s="25">
        <v>1</v>
      </c>
      <c r="J590" s="24">
        <f>SUM($J$585:$K$585)</f>
        <v>340</v>
      </c>
      <c r="K590" s="24">
        <f>SUM($J$585:$K$585) - $K$585:$K$585</f>
        <v>76</v>
      </c>
      <c r="L590" s="24">
        <f>IF($J$590:$J$590 = 0, "Undefined",$K$590:$K$590*100 / $J$590:$J$590)</f>
        <v>22.352941176470587</v>
      </c>
    </row>
    <row r="591" spans="2:12" ht="13.8" x14ac:dyDescent="0.3">
      <c r="D591" s="25" t="s">
        <v>336</v>
      </c>
      <c r="E591" s="24">
        <f>SUM($E$589:$E$590)</f>
        <v>500</v>
      </c>
      <c r="F591" s="24">
        <f>SUM($F$589:$F$590)</f>
        <v>81</v>
      </c>
      <c r="G591" s="24">
        <f>IF($E$591:$E$591 = 0, "Undefined",$F$591:$F$591*100 / $E$591:$E$591)</f>
        <v>16.2</v>
      </c>
      <c r="I591" s="25" t="s">
        <v>336</v>
      </c>
      <c r="J591" s="24">
        <f>SUM($J$589:$J$590)</f>
        <v>500</v>
      </c>
      <c r="K591" s="24">
        <f>SUM($K$589:$K$590)</f>
        <v>142</v>
      </c>
      <c r="L591" s="24">
        <f>IF($J$591:$J$591 = 0, "Undefined",$K$591:$K$591*100 / $J$591:$J$591)</f>
        <v>28.4</v>
      </c>
    </row>
    <row r="593" spans="2:12" ht="15.6" x14ac:dyDescent="0.3">
      <c r="B593" s="28" t="s">
        <v>373</v>
      </c>
      <c r="D593" s="59" t="s">
        <v>329</v>
      </c>
      <c r="E593" s="60"/>
      <c r="F593" s="61"/>
      <c r="I593" s="59" t="s">
        <v>329</v>
      </c>
      <c r="J593" s="60"/>
      <c r="K593" s="61"/>
    </row>
    <row r="594" spans="2:12" ht="13.8" x14ac:dyDescent="0.3">
      <c r="D594" s="26"/>
      <c r="E594" s="75" t="s">
        <v>330</v>
      </c>
      <c r="F594" s="76"/>
      <c r="I594" s="26"/>
      <c r="J594" s="75" t="s">
        <v>330</v>
      </c>
      <c r="K594" s="76"/>
    </row>
    <row r="595" spans="2:12" ht="13.8" x14ac:dyDescent="0.3">
      <c r="D595" s="25" t="s">
        <v>331</v>
      </c>
      <c r="E595" s="26">
        <v>0</v>
      </c>
      <c r="F595" s="26">
        <v>1</v>
      </c>
      <c r="I595" s="25" t="s">
        <v>331</v>
      </c>
      <c r="J595" s="26">
        <v>0</v>
      </c>
      <c r="K595" s="26">
        <v>1</v>
      </c>
    </row>
    <row r="596" spans="2:12" ht="13.8" x14ac:dyDescent="0.3">
      <c r="D596" s="25">
        <v>0</v>
      </c>
      <c r="E596" s="24">
        <v>114</v>
      </c>
      <c r="F596" s="24">
        <v>26</v>
      </c>
      <c r="I596" s="25">
        <v>0</v>
      </c>
      <c r="J596" s="24">
        <v>100</v>
      </c>
      <c r="K596" s="24">
        <v>60</v>
      </c>
    </row>
    <row r="597" spans="2:12" ht="13.8" x14ac:dyDescent="0.3">
      <c r="D597" s="25">
        <v>1</v>
      </c>
      <c r="E597" s="24">
        <v>55</v>
      </c>
      <c r="F597" s="24">
        <v>305</v>
      </c>
      <c r="I597" s="25">
        <v>1</v>
      </c>
      <c r="J597" s="24">
        <v>79</v>
      </c>
      <c r="K597" s="24">
        <v>261</v>
      </c>
    </row>
    <row r="599" spans="2:12" ht="15.6" x14ac:dyDescent="0.3">
      <c r="D599" s="59" t="s">
        <v>210</v>
      </c>
      <c r="E599" s="60"/>
      <c r="F599" s="60"/>
      <c r="G599" s="61"/>
      <c r="I599" s="59" t="s">
        <v>210</v>
      </c>
      <c r="J599" s="60"/>
      <c r="K599" s="60"/>
      <c r="L599" s="61"/>
    </row>
    <row r="600" spans="2:12" ht="13.8" x14ac:dyDescent="0.3">
      <c r="D600" s="26" t="s">
        <v>332</v>
      </c>
      <c r="E600" s="26" t="s">
        <v>333</v>
      </c>
      <c r="F600" s="26" t="s">
        <v>334</v>
      </c>
      <c r="G600" s="26" t="s">
        <v>335</v>
      </c>
      <c r="I600" s="26" t="s">
        <v>332</v>
      </c>
      <c r="J600" s="26" t="s">
        <v>333</v>
      </c>
      <c r="K600" s="26" t="s">
        <v>334</v>
      </c>
      <c r="L600" s="26" t="s">
        <v>335</v>
      </c>
    </row>
    <row r="601" spans="2:12" ht="13.8" x14ac:dyDescent="0.3">
      <c r="D601" s="25">
        <v>0</v>
      </c>
      <c r="E601" s="24">
        <f>SUM($E$596:$F$596)</f>
        <v>140</v>
      </c>
      <c r="F601" s="24">
        <f>SUM($E$596:$F$596) - $E$596:$E$596</f>
        <v>26</v>
      </c>
      <c r="G601" s="24">
        <f>IF($E$601:$E$601 = 0, "Undefined",$F$601:$F$601*100 / $E$601:$E$601)</f>
        <v>18.571428571428573</v>
      </c>
      <c r="I601" s="25">
        <v>0</v>
      </c>
      <c r="J601" s="24">
        <f>SUM($J$596:$K$596)</f>
        <v>160</v>
      </c>
      <c r="K601" s="24">
        <f>SUM($J$596:$K$596) - $J$596:$J$596</f>
        <v>60</v>
      </c>
      <c r="L601" s="24">
        <f>IF($J$601:$J$601 = 0, "Undefined",$K$601:$K$601*100 / $J$601:$J$601)</f>
        <v>37.5</v>
      </c>
    </row>
    <row r="602" spans="2:12" ht="13.8" x14ac:dyDescent="0.3">
      <c r="D602" s="25">
        <v>1</v>
      </c>
      <c r="E602" s="24">
        <f>SUM($E$597:$F$597)</f>
        <v>360</v>
      </c>
      <c r="F602" s="24">
        <f>SUM($E$597:$F$597) - $F$597:$F$597</f>
        <v>55</v>
      </c>
      <c r="G602" s="24">
        <f>IF($E$602:$E$602 = 0, "Undefined",$F$602:$F$602*100 / $E$602:$E$602)</f>
        <v>15.277777777777779</v>
      </c>
      <c r="I602" s="25">
        <v>1</v>
      </c>
      <c r="J602" s="24">
        <f>SUM($J$597:$K$597)</f>
        <v>340</v>
      </c>
      <c r="K602" s="24">
        <f>SUM($J$597:$K$597) - $K$597:$K$597</f>
        <v>79</v>
      </c>
      <c r="L602" s="24">
        <f>IF($J$602:$J$602 = 0, "Undefined",$K$602:$K$602*100 / $J$602:$J$602)</f>
        <v>23.235294117647058</v>
      </c>
    </row>
    <row r="603" spans="2:12" ht="13.8" x14ac:dyDescent="0.3">
      <c r="D603" s="25" t="s">
        <v>336</v>
      </c>
      <c r="E603" s="24">
        <f>SUM($E$601:$E$602)</f>
        <v>500</v>
      </c>
      <c r="F603" s="24">
        <f>SUM($F$601:$F$602)</f>
        <v>81</v>
      </c>
      <c r="G603" s="24">
        <f>IF($E$603:$E$603 = 0, "Undefined",$F$603:$F$603*100 / $E$603:$E$603)</f>
        <v>16.2</v>
      </c>
      <c r="I603" s="25" t="s">
        <v>336</v>
      </c>
      <c r="J603" s="24">
        <f>SUM($J$601:$J$602)</f>
        <v>500</v>
      </c>
      <c r="K603" s="24">
        <f>SUM($K$601:$K$602)</f>
        <v>139</v>
      </c>
      <c r="L603" s="24">
        <f>IF($J$603:$J$603 = 0, "Undefined",$K$603:$K$603*100 / $J$603:$J$603)</f>
        <v>27.8</v>
      </c>
    </row>
    <row r="605" spans="2:12" ht="15.6" x14ac:dyDescent="0.3">
      <c r="B605" s="28" t="s">
        <v>374</v>
      </c>
      <c r="D605" s="59" t="s">
        <v>329</v>
      </c>
      <c r="E605" s="60"/>
      <c r="F605" s="61"/>
      <c r="I605" s="59" t="s">
        <v>329</v>
      </c>
      <c r="J605" s="60"/>
      <c r="K605" s="61"/>
    </row>
    <row r="606" spans="2:12" ht="13.8" x14ac:dyDescent="0.3">
      <c r="D606" s="26"/>
      <c r="E606" s="75" t="s">
        <v>330</v>
      </c>
      <c r="F606" s="76"/>
      <c r="I606" s="26"/>
      <c r="J606" s="75" t="s">
        <v>330</v>
      </c>
      <c r="K606" s="76"/>
    </row>
    <row r="607" spans="2:12" ht="13.8" x14ac:dyDescent="0.3">
      <c r="D607" s="25" t="s">
        <v>331</v>
      </c>
      <c r="E607" s="26">
        <v>0</v>
      </c>
      <c r="F607" s="26">
        <v>1</v>
      </c>
      <c r="I607" s="25" t="s">
        <v>331</v>
      </c>
      <c r="J607" s="26">
        <v>0</v>
      </c>
      <c r="K607" s="26">
        <v>1</v>
      </c>
    </row>
    <row r="608" spans="2:12" ht="13.8" x14ac:dyDescent="0.3">
      <c r="D608" s="25">
        <v>0</v>
      </c>
      <c r="E608" s="24">
        <v>112</v>
      </c>
      <c r="F608" s="24">
        <v>28</v>
      </c>
      <c r="I608" s="25">
        <v>0</v>
      </c>
      <c r="J608" s="24">
        <v>96</v>
      </c>
      <c r="K608" s="24">
        <v>64</v>
      </c>
    </row>
    <row r="609" spans="2:12" ht="13.8" x14ac:dyDescent="0.3">
      <c r="D609" s="25">
        <v>1</v>
      </c>
      <c r="E609" s="24">
        <v>55</v>
      </c>
      <c r="F609" s="24">
        <v>305</v>
      </c>
      <c r="I609" s="25">
        <v>1</v>
      </c>
      <c r="J609" s="24">
        <v>79</v>
      </c>
      <c r="K609" s="24">
        <v>261</v>
      </c>
    </row>
    <row r="611" spans="2:12" ht="15.6" x14ac:dyDescent="0.3">
      <c r="D611" s="59" t="s">
        <v>210</v>
      </c>
      <c r="E611" s="60"/>
      <c r="F611" s="60"/>
      <c r="G611" s="61"/>
      <c r="I611" s="59" t="s">
        <v>210</v>
      </c>
      <c r="J611" s="60"/>
      <c r="K611" s="60"/>
      <c r="L611" s="61"/>
    </row>
    <row r="612" spans="2:12" ht="13.8" x14ac:dyDescent="0.3">
      <c r="D612" s="26" t="s">
        <v>332</v>
      </c>
      <c r="E612" s="26" t="s">
        <v>333</v>
      </c>
      <c r="F612" s="26" t="s">
        <v>334</v>
      </c>
      <c r="G612" s="26" t="s">
        <v>335</v>
      </c>
      <c r="I612" s="26" t="s">
        <v>332</v>
      </c>
      <c r="J612" s="26" t="s">
        <v>333</v>
      </c>
      <c r="K612" s="26" t="s">
        <v>334</v>
      </c>
      <c r="L612" s="26" t="s">
        <v>335</v>
      </c>
    </row>
    <row r="613" spans="2:12" ht="13.8" x14ac:dyDescent="0.3">
      <c r="D613" s="25">
        <v>0</v>
      </c>
      <c r="E613" s="24">
        <f>SUM($E$608:$F$608)</f>
        <v>140</v>
      </c>
      <c r="F613" s="24">
        <f>SUM($E$608:$F$608) - $E$608:$E$608</f>
        <v>28</v>
      </c>
      <c r="G613" s="24">
        <f>IF($E$613:$E$613 = 0, "Undefined",$F$613:$F$613*100 / $E$613:$E$613)</f>
        <v>20</v>
      </c>
      <c r="I613" s="25">
        <v>0</v>
      </c>
      <c r="J613" s="24">
        <f>SUM($J$608:$K$608)</f>
        <v>160</v>
      </c>
      <c r="K613" s="24">
        <f>SUM($J$608:$K$608) - $J$608:$J$608</f>
        <v>64</v>
      </c>
      <c r="L613" s="24">
        <f>IF($J$613:$J$613 = 0, "Undefined",$K$613:$K$613*100 / $J$613:$J$613)</f>
        <v>40</v>
      </c>
    </row>
    <row r="614" spans="2:12" ht="13.8" x14ac:dyDescent="0.3">
      <c r="D614" s="25">
        <v>1</v>
      </c>
      <c r="E614" s="24">
        <f>SUM($E$609:$F$609)</f>
        <v>360</v>
      </c>
      <c r="F614" s="24">
        <f>SUM($E$609:$F$609) - $F$609:$F$609</f>
        <v>55</v>
      </c>
      <c r="G614" s="24">
        <f>IF($E$614:$E$614 = 0, "Undefined",$F$614:$F$614*100 / $E$614:$E$614)</f>
        <v>15.277777777777779</v>
      </c>
      <c r="I614" s="25">
        <v>1</v>
      </c>
      <c r="J614" s="24">
        <f>SUM($J$609:$K$609)</f>
        <v>340</v>
      </c>
      <c r="K614" s="24">
        <f>SUM($J$609:$K$609) - $K$609:$K$609</f>
        <v>79</v>
      </c>
      <c r="L614" s="24">
        <f>IF($J$614:$J$614 = 0, "Undefined",$K$614:$K$614*100 / $J$614:$J$614)</f>
        <v>23.235294117647058</v>
      </c>
    </row>
    <row r="615" spans="2:12" ht="13.8" x14ac:dyDescent="0.3">
      <c r="D615" s="25" t="s">
        <v>336</v>
      </c>
      <c r="E615" s="24">
        <f>SUM($E$613:$E$614)</f>
        <v>500</v>
      </c>
      <c r="F615" s="24">
        <f>SUM($F$613:$F$614)</f>
        <v>83</v>
      </c>
      <c r="G615" s="24">
        <f>IF($E$615:$E$615 = 0, "Undefined",$F$615:$F$615*100 / $E$615:$E$615)</f>
        <v>16.600000000000001</v>
      </c>
      <c r="I615" s="25" t="s">
        <v>336</v>
      </c>
      <c r="J615" s="24">
        <f>SUM($J$613:$J$614)</f>
        <v>500</v>
      </c>
      <c r="K615" s="24">
        <f>SUM($K$613:$K$614)</f>
        <v>143</v>
      </c>
      <c r="L615" s="24">
        <f>IF($J$615:$J$615 = 0, "Undefined",$K$615:$K$615*100 / $J$615:$J$615)</f>
        <v>28.6</v>
      </c>
    </row>
    <row r="617" spans="2:12" ht="15.6" x14ac:dyDescent="0.3">
      <c r="B617" s="28" t="s">
        <v>375</v>
      </c>
      <c r="D617" s="59" t="s">
        <v>329</v>
      </c>
      <c r="E617" s="60"/>
      <c r="F617" s="61"/>
      <c r="I617" s="59" t="s">
        <v>329</v>
      </c>
      <c r="J617" s="60"/>
      <c r="K617" s="61"/>
    </row>
    <row r="618" spans="2:12" ht="13.8" x14ac:dyDescent="0.3">
      <c r="D618" s="26"/>
      <c r="E618" s="75" t="s">
        <v>330</v>
      </c>
      <c r="F618" s="76"/>
      <c r="I618" s="26"/>
      <c r="J618" s="75" t="s">
        <v>330</v>
      </c>
      <c r="K618" s="76"/>
    </row>
    <row r="619" spans="2:12" ht="13.8" x14ac:dyDescent="0.3">
      <c r="D619" s="25" t="s">
        <v>331</v>
      </c>
      <c r="E619" s="26">
        <v>0</v>
      </c>
      <c r="F619" s="26">
        <v>1</v>
      </c>
      <c r="I619" s="25" t="s">
        <v>331</v>
      </c>
      <c r="J619" s="26">
        <v>0</v>
      </c>
      <c r="K619" s="26">
        <v>1</v>
      </c>
    </row>
    <row r="620" spans="2:12" ht="13.8" x14ac:dyDescent="0.3">
      <c r="D620" s="25">
        <v>0</v>
      </c>
      <c r="E620" s="24">
        <v>108</v>
      </c>
      <c r="F620" s="24">
        <v>32</v>
      </c>
      <c r="I620" s="25">
        <v>0</v>
      </c>
      <c r="J620" s="24">
        <v>91</v>
      </c>
      <c r="K620" s="24">
        <v>69</v>
      </c>
    </row>
    <row r="621" spans="2:12" ht="13.8" x14ac:dyDescent="0.3">
      <c r="D621" s="25">
        <v>1</v>
      </c>
      <c r="E621" s="24">
        <v>50</v>
      </c>
      <c r="F621" s="24">
        <v>310</v>
      </c>
      <c r="I621" s="25">
        <v>1</v>
      </c>
      <c r="J621" s="24">
        <v>77</v>
      </c>
      <c r="K621" s="24">
        <v>263</v>
      </c>
    </row>
    <row r="623" spans="2:12" ht="15.6" x14ac:dyDescent="0.3">
      <c r="D623" s="59" t="s">
        <v>210</v>
      </c>
      <c r="E623" s="60"/>
      <c r="F623" s="60"/>
      <c r="G623" s="61"/>
      <c r="I623" s="59" t="s">
        <v>210</v>
      </c>
      <c r="J623" s="60"/>
      <c r="K623" s="60"/>
      <c r="L623" s="61"/>
    </row>
    <row r="624" spans="2:12" ht="13.8" x14ac:dyDescent="0.3">
      <c r="D624" s="26" t="s">
        <v>332</v>
      </c>
      <c r="E624" s="26" t="s">
        <v>333</v>
      </c>
      <c r="F624" s="26" t="s">
        <v>334</v>
      </c>
      <c r="G624" s="26" t="s">
        <v>335</v>
      </c>
      <c r="I624" s="26" t="s">
        <v>332</v>
      </c>
      <c r="J624" s="26" t="s">
        <v>333</v>
      </c>
      <c r="K624" s="26" t="s">
        <v>334</v>
      </c>
      <c r="L624" s="26" t="s">
        <v>335</v>
      </c>
    </row>
    <row r="625" spans="2:12" ht="13.8" x14ac:dyDescent="0.3">
      <c r="D625" s="25">
        <v>0</v>
      </c>
      <c r="E625" s="24">
        <f>SUM($E$620:$F$620)</f>
        <v>140</v>
      </c>
      <c r="F625" s="24">
        <f>SUM($E$620:$F$620) - $E$620:$E$620</f>
        <v>32</v>
      </c>
      <c r="G625" s="24">
        <f>IF($E$625:$E$625 = 0, "Undefined",$F$625:$F$625*100 / $E$625:$E$625)</f>
        <v>22.857142857142858</v>
      </c>
      <c r="I625" s="25">
        <v>0</v>
      </c>
      <c r="J625" s="24">
        <f>SUM($J$620:$K$620)</f>
        <v>160</v>
      </c>
      <c r="K625" s="24">
        <f>SUM($J$620:$K$620) - $J$620:$J$620</f>
        <v>69</v>
      </c>
      <c r="L625" s="24">
        <f>IF($J$625:$J$625 = 0, "Undefined",$K$625:$K$625*100 / $J$625:$J$625)</f>
        <v>43.125</v>
      </c>
    </row>
    <row r="626" spans="2:12" ht="13.8" x14ac:dyDescent="0.3">
      <c r="D626" s="25">
        <v>1</v>
      </c>
      <c r="E626" s="24">
        <f>SUM($E$621:$F$621)</f>
        <v>360</v>
      </c>
      <c r="F626" s="24">
        <f>SUM($E$621:$F$621) - $F$621:$F$621</f>
        <v>50</v>
      </c>
      <c r="G626" s="24">
        <f>IF($E$626:$E$626 = 0, "Undefined",$F$626:$F$626*100 / $E$626:$E$626)</f>
        <v>13.888888888888889</v>
      </c>
      <c r="I626" s="25">
        <v>1</v>
      </c>
      <c r="J626" s="24">
        <f>SUM($J$621:$K$621)</f>
        <v>340</v>
      </c>
      <c r="K626" s="24">
        <f>SUM($J$621:$K$621) - $K$621:$K$621</f>
        <v>77</v>
      </c>
      <c r="L626" s="24">
        <f>IF($J$626:$J$626 = 0, "Undefined",$K$626:$K$626*100 / $J$626:$J$626)</f>
        <v>22.647058823529413</v>
      </c>
    </row>
    <row r="627" spans="2:12" ht="13.8" x14ac:dyDescent="0.3">
      <c r="D627" s="25" t="s">
        <v>336</v>
      </c>
      <c r="E627" s="24">
        <f>SUM($E$625:$E$626)</f>
        <v>500</v>
      </c>
      <c r="F627" s="24">
        <f>SUM($F$625:$F$626)</f>
        <v>82</v>
      </c>
      <c r="G627" s="24">
        <f>IF($E$627:$E$627 = 0, "Undefined",$F$627:$F$627*100 / $E$627:$E$627)</f>
        <v>16.399999999999999</v>
      </c>
      <c r="I627" s="25" t="s">
        <v>336</v>
      </c>
      <c r="J627" s="24">
        <f>SUM($J$625:$J$626)</f>
        <v>500</v>
      </c>
      <c r="K627" s="24">
        <f>SUM($K$625:$K$626)</f>
        <v>146</v>
      </c>
      <c r="L627" s="24">
        <f>IF($J$627:$J$627 = 0, "Undefined",$K$627:$K$627*100 / $J$627:$J$627)</f>
        <v>29.2</v>
      </c>
    </row>
    <row r="629" spans="2:12" ht="15.6" x14ac:dyDescent="0.3">
      <c r="B629" s="28" t="s">
        <v>376</v>
      </c>
      <c r="D629" s="59" t="s">
        <v>329</v>
      </c>
      <c r="E629" s="60"/>
      <c r="F629" s="61"/>
      <c r="I629" s="59" t="s">
        <v>329</v>
      </c>
      <c r="J629" s="60"/>
      <c r="K629" s="61"/>
    </row>
    <row r="630" spans="2:12" ht="13.8" x14ac:dyDescent="0.3">
      <c r="D630" s="26"/>
      <c r="E630" s="75" t="s">
        <v>330</v>
      </c>
      <c r="F630" s="76"/>
      <c r="I630" s="26"/>
      <c r="J630" s="75" t="s">
        <v>330</v>
      </c>
      <c r="K630" s="76"/>
    </row>
    <row r="631" spans="2:12" ht="13.8" x14ac:dyDescent="0.3">
      <c r="D631" s="25" t="s">
        <v>331</v>
      </c>
      <c r="E631" s="26">
        <v>0</v>
      </c>
      <c r="F631" s="26">
        <v>1</v>
      </c>
      <c r="I631" s="25" t="s">
        <v>331</v>
      </c>
      <c r="J631" s="26">
        <v>0</v>
      </c>
      <c r="K631" s="26">
        <v>1</v>
      </c>
    </row>
    <row r="632" spans="2:12" ht="13.8" x14ac:dyDescent="0.3">
      <c r="D632" s="25">
        <v>0</v>
      </c>
      <c r="E632" s="24">
        <v>110</v>
      </c>
      <c r="F632" s="24">
        <v>30</v>
      </c>
      <c r="I632" s="25">
        <v>0</v>
      </c>
      <c r="J632" s="24">
        <v>90</v>
      </c>
      <c r="K632" s="24">
        <v>70</v>
      </c>
    </row>
    <row r="633" spans="2:12" ht="13.8" x14ac:dyDescent="0.3">
      <c r="D633" s="25">
        <v>1</v>
      </c>
      <c r="E633" s="24">
        <v>50</v>
      </c>
      <c r="F633" s="24">
        <v>310</v>
      </c>
      <c r="I633" s="25">
        <v>1</v>
      </c>
      <c r="J633" s="24">
        <v>76</v>
      </c>
      <c r="K633" s="24">
        <v>264</v>
      </c>
    </row>
    <row r="635" spans="2:12" ht="15.6" x14ac:dyDescent="0.3">
      <c r="D635" s="59" t="s">
        <v>210</v>
      </c>
      <c r="E635" s="60"/>
      <c r="F635" s="60"/>
      <c r="G635" s="61"/>
      <c r="I635" s="59" t="s">
        <v>210</v>
      </c>
      <c r="J635" s="60"/>
      <c r="K635" s="60"/>
      <c r="L635" s="61"/>
    </row>
    <row r="636" spans="2:12" ht="13.8" x14ac:dyDescent="0.3">
      <c r="D636" s="26" t="s">
        <v>332</v>
      </c>
      <c r="E636" s="26" t="s">
        <v>333</v>
      </c>
      <c r="F636" s="26" t="s">
        <v>334</v>
      </c>
      <c r="G636" s="26" t="s">
        <v>335</v>
      </c>
      <c r="I636" s="26" t="s">
        <v>332</v>
      </c>
      <c r="J636" s="26" t="s">
        <v>333</v>
      </c>
      <c r="K636" s="26" t="s">
        <v>334</v>
      </c>
      <c r="L636" s="26" t="s">
        <v>335</v>
      </c>
    </row>
    <row r="637" spans="2:12" ht="13.8" x14ac:dyDescent="0.3">
      <c r="D637" s="25">
        <v>0</v>
      </c>
      <c r="E637" s="24">
        <f>SUM($E$632:$F$632)</f>
        <v>140</v>
      </c>
      <c r="F637" s="24">
        <f>SUM($E$632:$F$632) - $E$632:$E$632</f>
        <v>30</v>
      </c>
      <c r="G637" s="24">
        <f>IF($E$637:$E$637 = 0, "Undefined",$F$637:$F$637*100 / $E$637:$E$637)</f>
        <v>21.428571428571427</v>
      </c>
      <c r="I637" s="25">
        <v>0</v>
      </c>
      <c r="J637" s="24">
        <f>SUM($J$632:$K$632)</f>
        <v>160</v>
      </c>
      <c r="K637" s="24">
        <f>SUM($J$632:$K$632) - $J$632:$J$632</f>
        <v>70</v>
      </c>
      <c r="L637" s="24">
        <f>IF($J$637:$J$637 = 0, "Undefined",$K$637:$K$637*100 / $J$637:$J$637)</f>
        <v>43.75</v>
      </c>
    </row>
    <row r="638" spans="2:12" ht="13.8" x14ac:dyDescent="0.3">
      <c r="D638" s="25">
        <v>1</v>
      </c>
      <c r="E638" s="24">
        <f>SUM($E$633:$F$633)</f>
        <v>360</v>
      </c>
      <c r="F638" s="24">
        <f>SUM($E$633:$F$633) - $F$633:$F$633</f>
        <v>50</v>
      </c>
      <c r="G638" s="24">
        <f>IF($E$638:$E$638 = 0, "Undefined",$F$638:$F$638*100 / $E$638:$E$638)</f>
        <v>13.888888888888889</v>
      </c>
      <c r="I638" s="25">
        <v>1</v>
      </c>
      <c r="J638" s="24">
        <f>SUM($J$633:$K$633)</f>
        <v>340</v>
      </c>
      <c r="K638" s="24">
        <f>SUM($J$633:$K$633) - $K$633:$K$633</f>
        <v>76</v>
      </c>
      <c r="L638" s="24">
        <f>IF($J$638:$J$638 = 0, "Undefined",$K$638:$K$638*100 / $J$638:$J$638)</f>
        <v>22.352941176470587</v>
      </c>
    </row>
    <row r="639" spans="2:12" ht="13.8" x14ac:dyDescent="0.3">
      <c r="D639" s="25" t="s">
        <v>336</v>
      </c>
      <c r="E639" s="24">
        <f>SUM($E$637:$E$638)</f>
        <v>500</v>
      </c>
      <c r="F639" s="24">
        <f>SUM($F$637:$F$638)</f>
        <v>80</v>
      </c>
      <c r="G639" s="24">
        <f>IF($E$639:$E$639 = 0, "Undefined",$F$639:$F$639*100 / $E$639:$E$639)</f>
        <v>16</v>
      </c>
      <c r="I639" s="25" t="s">
        <v>336</v>
      </c>
      <c r="J639" s="24">
        <f>SUM($J$637:$J$638)</f>
        <v>500</v>
      </c>
      <c r="K639" s="24">
        <f>SUM($K$637:$K$638)</f>
        <v>146</v>
      </c>
      <c r="L639" s="24">
        <f>IF($J$639:$J$639 = 0, "Undefined",$K$639:$K$639*100 / $J$639:$J$639)</f>
        <v>29.2</v>
      </c>
    </row>
    <row r="641" spans="2:12" ht="15.6" x14ac:dyDescent="0.3">
      <c r="B641" s="28" t="s">
        <v>377</v>
      </c>
      <c r="D641" s="59" t="s">
        <v>329</v>
      </c>
      <c r="E641" s="60"/>
      <c r="F641" s="61"/>
      <c r="I641" s="59" t="s">
        <v>329</v>
      </c>
      <c r="J641" s="60"/>
      <c r="K641" s="61"/>
    </row>
    <row r="642" spans="2:12" ht="13.8" x14ac:dyDescent="0.3">
      <c r="D642" s="26"/>
      <c r="E642" s="75" t="s">
        <v>330</v>
      </c>
      <c r="F642" s="76"/>
      <c r="I642" s="26"/>
      <c r="J642" s="75" t="s">
        <v>330</v>
      </c>
      <c r="K642" s="76"/>
    </row>
    <row r="643" spans="2:12" ht="13.8" x14ac:dyDescent="0.3">
      <c r="D643" s="25" t="s">
        <v>331</v>
      </c>
      <c r="E643" s="26">
        <v>0</v>
      </c>
      <c r="F643" s="26">
        <v>1</v>
      </c>
      <c r="I643" s="25" t="s">
        <v>331</v>
      </c>
      <c r="J643" s="26">
        <v>0</v>
      </c>
      <c r="K643" s="26">
        <v>1</v>
      </c>
    </row>
    <row r="644" spans="2:12" ht="13.8" x14ac:dyDescent="0.3">
      <c r="D644" s="25">
        <v>0</v>
      </c>
      <c r="E644" s="24">
        <v>111</v>
      </c>
      <c r="F644" s="24">
        <v>29</v>
      </c>
      <c r="I644" s="25">
        <v>0</v>
      </c>
      <c r="J644" s="24">
        <v>95</v>
      </c>
      <c r="K644" s="24">
        <v>65</v>
      </c>
    </row>
    <row r="645" spans="2:12" ht="13.8" x14ac:dyDescent="0.3">
      <c r="D645" s="25">
        <v>1</v>
      </c>
      <c r="E645" s="24">
        <v>53</v>
      </c>
      <c r="F645" s="24">
        <v>307</v>
      </c>
      <c r="I645" s="25">
        <v>1</v>
      </c>
      <c r="J645" s="24">
        <v>75</v>
      </c>
      <c r="K645" s="24">
        <v>265</v>
      </c>
    </row>
    <row r="647" spans="2:12" ht="15.6" x14ac:dyDescent="0.3">
      <c r="D647" s="59" t="s">
        <v>210</v>
      </c>
      <c r="E647" s="60"/>
      <c r="F647" s="60"/>
      <c r="G647" s="61"/>
      <c r="I647" s="59" t="s">
        <v>210</v>
      </c>
      <c r="J647" s="60"/>
      <c r="K647" s="60"/>
      <c r="L647" s="61"/>
    </row>
    <row r="648" spans="2:12" ht="13.8" x14ac:dyDescent="0.3">
      <c r="D648" s="26" t="s">
        <v>332</v>
      </c>
      <c r="E648" s="26" t="s">
        <v>333</v>
      </c>
      <c r="F648" s="26" t="s">
        <v>334</v>
      </c>
      <c r="G648" s="26" t="s">
        <v>335</v>
      </c>
      <c r="I648" s="26" t="s">
        <v>332</v>
      </c>
      <c r="J648" s="26" t="s">
        <v>333</v>
      </c>
      <c r="K648" s="26" t="s">
        <v>334</v>
      </c>
      <c r="L648" s="26" t="s">
        <v>335</v>
      </c>
    </row>
    <row r="649" spans="2:12" ht="13.8" x14ac:dyDescent="0.3">
      <c r="D649" s="25">
        <v>0</v>
      </c>
      <c r="E649" s="24">
        <f>SUM($E$644:$F$644)</f>
        <v>140</v>
      </c>
      <c r="F649" s="24">
        <f>SUM($E$644:$F$644) - $E$644:$E$644</f>
        <v>29</v>
      </c>
      <c r="G649" s="24">
        <f>IF($E$649:$E$649 = 0, "Undefined",$F$649:$F$649*100 / $E$649:$E$649)</f>
        <v>20.714285714285715</v>
      </c>
      <c r="I649" s="25">
        <v>0</v>
      </c>
      <c r="J649" s="24">
        <f>SUM($J$644:$K$644)</f>
        <v>160</v>
      </c>
      <c r="K649" s="24">
        <f>SUM($J$644:$K$644) - $J$644:$J$644</f>
        <v>65</v>
      </c>
      <c r="L649" s="24">
        <f>IF($J$649:$J$649 = 0, "Undefined",$K$649:$K$649*100 / $J$649:$J$649)</f>
        <v>40.625</v>
      </c>
    </row>
    <row r="650" spans="2:12" ht="13.8" x14ac:dyDescent="0.3">
      <c r="D650" s="25">
        <v>1</v>
      </c>
      <c r="E650" s="24">
        <f>SUM($E$645:$F$645)</f>
        <v>360</v>
      </c>
      <c r="F650" s="24">
        <f>SUM($E$645:$F$645) - $F$645:$F$645</f>
        <v>53</v>
      </c>
      <c r="G650" s="24">
        <f>IF($E$650:$E$650 = 0, "Undefined",$F$650:$F$650*100 / $E$650:$E$650)</f>
        <v>14.722222222222221</v>
      </c>
      <c r="I650" s="25">
        <v>1</v>
      </c>
      <c r="J650" s="24">
        <f>SUM($J$645:$K$645)</f>
        <v>340</v>
      </c>
      <c r="K650" s="24">
        <f>SUM($J$645:$K$645) - $K$645:$K$645</f>
        <v>75</v>
      </c>
      <c r="L650" s="24">
        <f>IF($J$650:$J$650 = 0, "Undefined",$K$650:$K$650*100 / $J$650:$J$650)</f>
        <v>22.058823529411764</v>
      </c>
    </row>
    <row r="651" spans="2:12" ht="13.8" x14ac:dyDescent="0.3">
      <c r="D651" s="25" t="s">
        <v>336</v>
      </c>
      <c r="E651" s="24">
        <f>SUM($E$649:$E$650)</f>
        <v>500</v>
      </c>
      <c r="F651" s="24">
        <f>SUM($F$649:$F$650)</f>
        <v>82</v>
      </c>
      <c r="G651" s="24">
        <f>IF($E$651:$E$651 = 0, "Undefined",$F$651:$F$651*100 / $E$651:$E$651)</f>
        <v>16.399999999999999</v>
      </c>
      <c r="I651" s="25" t="s">
        <v>336</v>
      </c>
      <c r="J651" s="24">
        <f>SUM($J$649:$J$650)</f>
        <v>500</v>
      </c>
      <c r="K651" s="24">
        <f>SUM($K$649:$K$650)</f>
        <v>140</v>
      </c>
      <c r="L651" s="24">
        <f>IF($J$651:$J$651 = 0, "Undefined",$K$651:$K$651*100 / $J$651:$J$651)</f>
        <v>28</v>
      </c>
    </row>
    <row r="653" spans="2:12" ht="15.6" x14ac:dyDescent="0.3">
      <c r="B653" s="28" t="s">
        <v>378</v>
      </c>
      <c r="D653" s="59" t="s">
        <v>329</v>
      </c>
      <c r="E653" s="60"/>
      <c r="F653" s="61"/>
      <c r="I653" s="59" t="s">
        <v>329</v>
      </c>
      <c r="J653" s="60"/>
      <c r="K653" s="61"/>
    </row>
    <row r="654" spans="2:12" ht="13.8" x14ac:dyDescent="0.3">
      <c r="D654" s="26"/>
      <c r="E654" s="75" t="s">
        <v>330</v>
      </c>
      <c r="F654" s="76"/>
      <c r="I654" s="26"/>
      <c r="J654" s="75" t="s">
        <v>330</v>
      </c>
      <c r="K654" s="76"/>
    </row>
    <row r="655" spans="2:12" ht="13.8" x14ac:dyDescent="0.3">
      <c r="D655" s="25" t="s">
        <v>331</v>
      </c>
      <c r="E655" s="26">
        <v>0</v>
      </c>
      <c r="F655" s="26">
        <v>1</v>
      </c>
      <c r="I655" s="25" t="s">
        <v>331</v>
      </c>
      <c r="J655" s="26">
        <v>0</v>
      </c>
      <c r="K655" s="26">
        <v>1</v>
      </c>
    </row>
    <row r="656" spans="2:12" ht="13.8" x14ac:dyDescent="0.3">
      <c r="D656" s="25">
        <v>0</v>
      </c>
      <c r="E656" s="24">
        <v>111</v>
      </c>
      <c r="F656" s="24">
        <v>29</v>
      </c>
      <c r="I656" s="25">
        <v>0</v>
      </c>
      <c r="J656" s="24">
        <v>97</v>
      </c>
      <c r="K656" s="24">
        <v>63</v>
      </c>
    </row>
    <row r="657" spans="2:12" ht="13.8" x14ac:dyDescent="0.3">
      <c r="D657" s="25">
        <v>1</v>
      </c>
      <c r="E657" s="24">
        <v>55</v>
      </c>
      <c r="F657" s="24">
        <v>305</v>
      </c>
      <c r="I657" s="25">
        <v>1</v>
      </c>
      <c r="J657" s="24">
        <v>76</v>
      </c>
      <c r="K657" s="24">
        <v>264</v>
      </c>
    </row>
    <row r="659" spans="2:12" ht="15.6" x14ac:dyDescent="0.3">
      <c r="D659" s="59" t="s">
        <v>210</v>
      </c>
      <c r="E659" s="60"/>
      <c r="F659" s="60"/>
      <c r="G659" s="61"/>
      <c r="I659" s="59" t="s">
        <v>210</v>
      </c>
      <c r="J659" s="60"/>
      <c r="K659" s="60"/>
      <c r="L659" s="61"/>
    </row>
    <row r="660" spans="2:12" ht="13.8" x14ac:dyDescent="0.3">
      <c r="D660" s="26" t="s">
        <v>332</v>
      </c>
      <c r="E660" s="26" t="s">
        <v>333</v>
      </c>
      <c r="F660" s="26" t="s">
        <v>334</v>
      </c>
      <c r="G660" s="26" t="s">
        <v>335</v>
      </c>
      <c r="I660" s="26" t="s">
        <v>332</v>
      </c>
      <c r="J660" s="26" t="s">
        <v>333</v>
      </c>
      <c r="K660" s="26" t="s">
        <v>334</v>
      </c>
      <c r="L660" s="26" t="s">
        <v>335</v>
      </c>
    </row>
    <row r="661" spans="2:12" ht="13.8" x14ac:dyDescent="0.3">
      <c r="D661" s="25">
        <v>0</v>
      </c>
      <c r="E661" s="24">
        <f>SUM($E$656:$F$656)</f>
        <v>140</v>
      </c>
      <c r="F661" s="24">
        <f>SUM($E$656:$F$656) - $E$656:$E$656</f>
        <v>29</v>
      </c>
      <c r="G661" s="24">
        <f>IF($E$661:$E$661 = 0, "Undefined",$F$661:$F$661*100 / $E$661:$E$661)</f>
        <v>20.714285714285715</v>
      </c>
      <c r="I661" s="25">
        <v>0</v>
      </c>
      <c r="J661" s="24">
        <f>SUM($J$656:$K$656)</f>
        <v>160</v>
      </c>
      <c r="K661" s="24">
        <f>SUM($J$656:$K$656) - $J$656:$J$656</f>
        <v>63</v>
      </c>
      <c r="L661" s="24">
        <f>IF($J$661:$J$661 = 0, "Undefined",$K$661:$K$661*100 / $J$661:$J$661)</f>
        <v>39.375</v>
      </c>
    </row>
    <row r="662" spans="2:12" ht="13.8" x14ac:dyDescent="0.3">
      <c r="D662" s="25">
        <v>1</v>
      </c>
      <c r="E662" s="24">
        <f>SUM($E$657:$F$657)</f>
        <v>360</v>
      </c>
      <c r="F662" s="24">
        <f>SUM($E$657:$F$657) - $F$657:$F$657</f>
        <v>55</v>
      </c>
      <c r="G662" s="24">
        <f>IF($E$662:$E$662 = 0, "Undefined",$F$662:$F$662*100 / $E$662:$E$662)</f>
        <v>15.277777777777779</v>
      </c>
      <c r="I662" s="25">
        <v>1</v>
      </c>
      <c r="J662" s="24">
        <f>SUM($J$657:$K$657)</f>
        <v>340</v>
      </c>
      <c r="K662" s="24">
        <f>SUM($J$657:$K$657) - $K$657:$K$657</f>
        <v>76</v>
      </c>
      <c r="L662" s="24">
        <f>IF($J$662:$J$662 = 0, "Undefined",$K$662:$K$662*100 / $J$662:$J$662)</f>
        <v>22.352941176470587</v>
      </c>
    </row>
    <row r="663" spans="2:12" ht="13.8" x14ac:dyDescent="0.3">
      <c r="D663" s="25" t="s">
        <v>336</v>
      </c>
      <c r="E663" s="24">
        <f>SUM($E$661:$E$662)</f>
        <v>500</v>
      </c>
      <c r="F663" s="24">
        <f>SUM($F$661:$F$662)</f>
        <v>84</v>
      </c>
      <c r="G663" s="24">
        <f>IF($E$663:$E$663 = 0, "Undefined",$F$663:$F$663*100 / $E$663:$E$663)</f>
        <v>16.8</v>
      </c>
      <c r="I663" s="25" t="s">
        <v>336</v>
      </c>
      <c r="J663" s="24">
        <f>SUM($J$661:$J$662)</f>
        <v>500</v>
      </c>
      <c r="K663" s="24">
        <f>SUM($K$661:$K$662)</f>
        <v>139</v>
      </c>
      <c r="L663" s="24">
        <f>IF($J$663:$J$663 = 0, "Undefined",$K$663:$K$663*100 / $J$663:$J$663)</f>
        <v>27.8</v>
      </c>
    </row>
    <row r="665" spans="2:12" ht="15.6" x14ac:dyDescent="0.3">
      <c r="B665" s="28" t="s">
        <v>379</v>
      </c>
      <c r="D665" s="59" t="s">
        <v>329</v>
      </c>
      <c r="E665" s="60"/>
      <c r="F665" s="61"/>
      <c r="I665" s="59" t="s">
        <v>329</v>
      </c>
      <c r="J665" s="60"/>
      <c r="K665" s="61"/>
    </row>
    <row r="666" spans="2:12" ht="13.8" x14ac:dyDescent="0.3">
      <c r="D666" s="26"/>
      <c r="E666" s="75" t="s">
        <v>330</v>
      </c>
      <c r="F666" s="76"/>
      <c r="I666" s="26"/>
      <c r="J666" s="75" t="s">
        <v>330</v>
      </c>
      <c r="K666" s="76"/>
    </row>
    <row r="667" spans="2:12" ht="13.8" x14ac:dyDescent="0.3">
      <c r="D667" s="25" t="s">
        <v>331</v>
      </c>
      <c r="E667" s="26">
        <v>0</v>
      </c>
      <c r="F667" s="26">
        <v>1</v>
      </c>
      <c r="I667" s="25" t="s">
        <v>331</v>
      </c>
      <c r="J667" s="26">
        <v>0</v>
      </c>
      <c r="K667" s="26">
        <v>1</v>
      </c>
    </row>
    <row r="668" spans="2:12" ht="13.8" x14ac:dyDescent="0.3">
      <c r="D668" s="25">
        <v>0</v>
      </c>
      <c r="E668" s="24">
        <v>112</v>
      </c>
      <c r="F668" s="24">
        <v>28</v>
      </c>
      <c r="I668" s="25">
        <v>0</v>
      </c>
      <c r="J668" s="24">
        <v>95</v>
      </c>
      <c r="K668" s="24">
        <v>65</v>
      </c>
    </row>
    <row r="669" spans="2:12" ht="13.8" x14ac:dyDescent="0.3">
      <c r="D669" s="25">
        <v>1</v>
      </c>
      <c r="E669" s="24">
        <v>54</v>
      </c>
      <c r="F669" s="24">
        <v>306</v>
      </c>
      <c r="I669" s="25">
        <v>1</v>
      </c>
      <c r="J669" s="24">
        <v>78</v>
      </c>
      <c r="K669" s="24">
        <v>262</v>
      </c>
    </row>
    <row r="671" spans="2:12" ht="15.6" x14ac:dyDescent="0.3">
      <c r="D671" s="59" t="s">
        <v>210</v>
      </c>
      <c r="E671" s="60"/>
      <c r="F671" s="60"/>
      <c r="G671" s="61"/>
      <c r="I671" s="59" t="s">
        <v>210</v>
      </c>
      <c r="J671" s="60"/>
      <c r="K671" s="60"/>
      <c r="L671" s="61"/>
    </row>
    <row r="672" spans="2:12" ht="13.8" x14ac:dyDescent="0.3">
      <c r="D672" s="26" t="s">
        <v>332</v>
      </c>
      <c r="E672" s="26" t="s">
        <v>333</v>
      </c>
      <c r="F672" s="26" t="s">
        <v>334</v>
      </c>
      <c r="G672" s="26" t="s">
        <v>335</v>
      </c>
      <c r="I672" s="26" t="s">
        <v>332</v>
      </c>
      <c r="J672" s="26" t="s">
        <v>333</v>
      </c>
      <c r="K672" s="26" t="s">
        <v>334</v>
      </c>
      <c r="L672" s="26" t="s">
        <v>335</v>
      </c>
    </row>
    <row r="673" spans="2:12" ht="13.8" x14ac:dyDescent="0.3">
      <c r="D673" s="25">
        <v>0</v>
      </c>
      <c r="E673" s="24">
        <f>SUM($E$668:$F$668)</f>
        <v>140</v>
      </c>
      <c r="F673" s="24">
        <f>SUM($E$668:$F$668) - $E$668:$E$668</f>
        <v>28</v>
      </c>
      <c r="G673" s="24">
        <f>IF($E$673:$E$673 = 0, "Undefined",$F$673:$F$673*100 / $E$673:$E$673)</f>
        <v>20</v>
      </c>
      <c r="I673" s="25">
        <v>0</v>
      </c>
      <c r="J673" s="24">
        <f>SUM($J$668:$K$668)</f>
        <v>160</v>
      </c>
      <c r="K673" s="24">
        <f>SUM($J$668:$K$668) - $J$668:$J$668</f>
        <v>65</v>
      </c>
      <c r="L673" s="24">
        <f>IF($J$673:$J$673 = 0, "Undefined",$K$673:$K$673*100 / $J$673:$J$673)</f>
        <v>40.625</v>
      </c>
    </row>
    <row r="674" spans="2:12" ht="13.8" x14ac:dyDescent="0.3">
      <c r="D674" s="25">
        <v>1</v>
      </c>
      <c r="E674" s="24">
        <f>SUM($E$669:$F$669)</f>
        <v>360</v>
      </c>
      <c r="F674" s="24">
        <f>SUM($E$669:$F$669) - $F$669:$F$669</f>
        <v>54</v>
      </c>
      <c r="G674" s="24">
        <f>IF($E$674:$E$674 = 0, "Undefined",$F$674:$F$674*100 / $E$674:$E$674)</f>
        <v>15</v>
      </c>
      <c r="I674" s="25">
        <v>1</v>
      </c>
      <c r="J674" s="24">
        <f>SUM($J$669:$K$669)</f>
        <v>340</v>
      </c>
      <c r="K674" s="24">
        <f>SUM($J$669:$K$669) - $K$669:$K$669</f>
        <v>78</v>
      </c>
      <c r="L674" s="24">
        <f>IF($J$674:$J$674 = 0, "Undefined",$K$674:$K$674*100 / $J$674:$J$674)</f>
        <v>22.941176470588236</v>
      </c>
    </row>
    <row r="675" spans="2:12" ht="13.8" x14ac:dyDescent="0.3">
      <c r="D675" s="25" t="s">
        <v>336</v>
      </c>
      <c r="E675" s="24">
        <f>SUM($E$673:$E$674)</f>
        <v>500</v>
      </c>
      <c r="F675" s="24">
        <f>SUM($F$673:$F$674)</f>
        <v>82</v>
      </c>
      <c r="G675" s="24">
        <f>IF($E$675:$E$675 = 0, "Undefined",$F$675:$F$675*100 / $E$675:$E$675)</f>
        <v>16.399999999999999</v>
      </c>
      <c r="I675" s="25" t="s">
        <v>336</v>
      </c>
      <c r="J675" s="24">
        <f>SUM($J$673:$J$674)</f>
        <v>500</v>
      </c>
      <c r="K675" s="24">
        <f>SUM($K$673:$K$674)</f>
        <v>143</v>
      </c>
      <c r="L675" s="24">
        <f>IF($J$675:$J$675 = 0, "Undefined",$K$675:$K$675*100 / $J$675:$J$675)</f>
        <v>28.6</v>
      </c>
    </row>
    <row r="677" spans="2:12" ht="15.6" x14ac:dyDescent="0.3">
      <c r="B677" s="28" t="s">
        <v>380</v>
      </c>
      <c r="D677" s="59" t="s">
        <v>329</v>
      </c>
      <c r="E677" s="60"/>
      <c r="F677" s="61"/>
      <c r="I677" s="59" t="s">
        <v>329</v>
      </c>
      <c r="J677" s="60"/>
      <c r="K677" s="61"/>
    </row>
    <row r="678" spans="2:12" ht="13.8" x14ac:dyDescent="0.3">
      <c r="D678" s="26"/>
      <c r="E678" s="75" t="s">
        <v>330</v>
      </c>
      <c r="F678" s="76"/>
      <c r="I678" s="26"/>
      <c r="J678" s="75" t="s">
        <v>330</v>
      </c>
      <c r="K678" s="76"/>
    </row>
    <row r="679" spans="2:12" ht="13.8" x14ac:dyDescent="0.3">
      <c r="D679" s="25" t="s">
        <v>331</v>
      </c>
      <c r="E679" s="26">
        <v>0</v>
      </c>
      <c r="F679" s="26">
        <v>1</v>
      </c>
      <c r="I679" s="25" t="s">
        <v>331</v>
      </c>
      <c r="J679" s="26">
        <v>0</v>
      </c>
      <c r="K679" s="26">
        <v>1</v>
      </c>
    </row>
    <row r="680" spans="2:12" ht="13.8" x14ac:dyDescent="0.3">
      <c r="D680" s="25">
        <v>0</v>
      </c>
      <c r="E680" s="24">
        <v>113</v>
      </c>
      <c r="F680" s="24">
        <v>27</v>
      </c>
      <c r="I680" s="25">
        <v>0</v>
      </c>
      <c r="J680" s="24">
        <v>97</v>
      </c>
      <c r="K680" s="24">
        <v>63</v>
      </c>
    </row>
    <row r="681" spans="2:12" ht="13.8" x14ac:dyDescent="0.3">
      <c r="D681" s="25">
        <v>1</v>
      </c>
      <c r="E681" s="24">
        <v>53</v>
      </c>
      <c r="F681" s="24">
        <v>307</v>
      </c>
      <c r="I681" s="25">
        <v>1</v>
      </c>
      <c r="J681" s="24">
        <v>76</v>
      </c>
      <c r="K681" s="24">
        <v>264</v>
      </c>
    </row>
    <row r="683" spans="2:12" ht="15.6" x14ac:dyDescent="0.3">
      <c r="D683" s="59" t="s">
        <v>210</v>
      </c>
      <c r="E683" s="60"/>
      <c r="F683" s="60"/>
      <c r="G683" s="61"/>
      <c r="I683" s="59" t="s">
        <v>210</v>
      </c>
      <c r="J683" s="60"/>
      <c r="K683" s="60"/>
      <c r="L683" s="61"/>
    </row>
    <row r="684" spans="2:12" ht="13.8" x14ac:dyDescent="0.3">
      <c r="D684" s="26" t="s">
        <v>332</v>
      </c>
      <c r="E684" s="26" t="s">
        <v>333</v>
      </c>
      <c r="F684" s="26" t="s">
        <v>334</v>
      </c>
      <c r="G684" s="26" t="s">
        <v>335</v>
      </c>
      <c r="I684" s="26" t="s">
        <v>332</v>
      </c>
      <c r="J684" s="26" t="s">
        <v>333</v>
      </c>
      <c r="K684" s="26" t="s">
        <v>334</v>
      </c>
      <c r="L684" s="26" t="s">
        <v>335</v>
      </c>
    </row>
    <row r="685" spans="2:12" ht="13.8" x14ac:dyDescent="0.3">
      <c r="D685" s="25">
        <v>0</v>
      </c>
      <c r="E685" s="24">
        <f>SUM($E$680:$F$680)</f>
        <v>140</v>
      </c>
      <c r="F685" s="24">
        <f>SUM($E$680:$F$680) - $E$680:$E$680</f>
        <v>27</v>
      </c>
      <c r="G685" s="24">
        <f>IF($E$685:$E$685 = 0, "Undefined",$F$685:$F$685*100 / $E$685:$E$685)</f>
        <v>19.285714285714285</v>
      </c>
      <c r="I685" s="25">
        <v>0</v>
      </c>
      <c r="J685" s="24">
        <f>SUM($J$680:$K$680)</f>
        <v>160</v>
      </c>
      <c r="K685" s="24">
        <f>SUM($J$680:$K$680) - $J$680:$J$680</f>
        <v>63</v>
      </c>
      <c r="L685" s="24">
        <f>IF($J$685:$J$685 = 0, "Undefined",$K$685:$K$685*100 / $J$685:$J$685)</f>
        <v>39.375</v>
      </c>
    </row>
    <row r="686" spans="2:12" ht="13.8" x14ac:dyDescent="0.3">
      <c r="D686" s="25">
        <v>1</v>
      </c>
      <c r="E686" s="24">
        <f>SUM($E$681:$F$681)</f>
        <v>360</v>
      </c>
      <c r="F686" s="24">
        <f>SUM($E$681:$F$681) - $F$681:$F$681</f>
        <v>53</v>
      </c>
      <c r="G686" s="24">
        <f>IF($E$686:$E$686 = 0, "Undefined",$F$686:$F$686*100 / $E$686:$E$686)</f>
        <v>14.722222222222221</v>
      </c>
      <c r="I686" s="25">
        <v>1</v>
      </c>
      <c r="J686" s="24">
        <f>SUM($J$681:$K$681)</f>
        <v>340</v>
      </c>
      <c r="K686" s="24">
        <f>SUM($J$681:$K$681) - $K$681:$K$681</f>
        <v>76</v>
      </c>
      <c r="L686" s="24">
        <f>IF($J$686:$J$686 = 0, "Undefined",$K$686:$K$686*100 / $J$686:$J$686)</f>
        <v>22.352941176470587</v>
      </c>
    </row>
    <row r="687" spans="2:12" ht="13.8" x14ac:dyDescent="0.3">
      <c r="D687" s="25" t="s">
        <v>336</v>
      </c>
      <c r="E687" s="24">
        <f>SUM($E$685:$E$686)</f>
        <v>500</v>
      </c>
      <c r="F687" s="24">
        <f>SUM($F$685:$F$686)</f>
        <v>80</v>
      </c>
      <c r="G687" s="24">
        <f>IF($E$687:$E$687 = 0, "Undefined",$F$687:$F$687*100 / $E$687:$E$687)</f>
        <v>16</v>
      </c>
      <c r="I687" s="25" t="s">
        <v>336</v>
      </c>
      <c r="J687" s="24">
        <f>SUM($J$685:$J$686)</f>
        <v>500</v>
      </c>
      <c r="K687" s="24">
        <f>SUM($K$685:$K$686)</f>
        <v>139</v>
      </c>
      <c r="L687" s="24">
        <f>IF($J$687:$J$687 = 0, "Undefined",$K$687:$K$687*100 / $J$687:$J$687)</f>
        <v>27.8</v>
      </c>
    </row>
    <row r="689" spans="2:12" ht="15.6" x14ac:dyDescent="0.3">
      <c r="B689" s="28" t="s">
        <v>381</v>
      </c>
      <c r="D689" s="59" t="s">
        <v>329</v>
      </c>
      <c r="E689" s="60"/>
      <c r="F689" s="61"/>
      <c r="I689" s="59" t="s">
        <v>329</v>
      </c>
      <c r="J689" s="60"/>
      <c r="K689" s="61"/>
    </row>
    <row r="690" spans="2:12" ht="13.8" x14ac:dyDescent="0.3">
      <c r="D690" s="26"/>
      <c r="E690" s="75" t="s">
        <v>330</v>
      </c>
      <c r="F690" s="76"/>
      <c r="I690" s="26"/>
      <c r="J690" s="75" t="s">
        <v>330</v>
      </c>
      <c r="K690" s="76"/>
    </row>
    <row r="691" spans="2:12" ht="13.8" x14ac:dyDescent="0.3">
      <c r="D691" s="25" t="s">
        <v>331</v>
      </c>
      <c r="E691" s="26">
        <v>0</v>
      </c>
      <c r="F691" s="26">
        <v>1</v>
      </c>
      <c r="I691" s="25" t="s">
        <v>331</v>
      </c>
      <c r="J691" s="26">
        <v>0</v>
      </c>
      <c r="K691" s="26">
        <v>1</v>
      </c>
    </row>
    <row r="692" spans="2:12" ht="13.8" x14ac:dyDescent="0.3">
      <c r="D692" s="25">
        <v>0</v>
      </c>
      <c r="E692" s="24">
        <v>113</v>
      </c>
      <c r="F692" s="24">
        <v>27</v>
      </c>
      <c r="I692" s="25">
        <v>0</v>
      </c>
      <c r="J692" s="24">
        <v>97</v>
      </c>
      <c r="K692" s="24">
        <v>63</v>
      </c>
    </row>
    <row r="693" spans="2:12" ht="13.8" x14ac:dyDescent="0.3">
      <c r="D693" s="25">
        <v>1</v>
      </c>
      <c r="E693" s="24">
        <v>53</v>
      </c>
      <c r="F693" s="24">
        <v>307</v>
      </c>
      <c r="I693" s="25">
        <v>1</v>
      </c>
      <c r="J693" s="24">
        <v>76</v>
      </c>
      <c r="K693" s="24">
        <v>264</v>
      </c>
    </row>
    <row r="695" spans="2:12" ht="15.6" x14ac:dyDescent="0.3">
      <c r="D695" s="59" t="s">
        <v>210</v>
      </c>
      <c r="E695" s="60"/>
      <c r="F695" s="60"/>
      <c r="G695" s="61"/>
      <c r="I695" s="59" t="s">
        <v>210</v>
      </c>
      <c r="J695" s="60"/>
      <c r="K695" s="60"/>
      <c r="L695" s="61"/>
    </row>
    <row r="696" spans="2:12" ht="13.8" x14ac:dyDescent="0.3">
      <c r="D696" s="26" t="s">
        <v>332</v>
      </c>
      <c r="E696" s="26" t="s">
        <v>333</v>
      </c>
      <c r="F696" s="26" t="s">
        <v>334</v>
      </c>
      <c r="G696" s="26" t="s">
        <v>335</v>
      </c>
      <c r="I696" s="26" t="s">
        <v>332</v>
      </c>
      <c r="J696" s="26" t="s">
        <v>333</v>
      </c>
      <c r="K696" s="26" t="s">
        <v>334</v>
      </c>
      <c r="L696" s="26" t="s">
        <v>335</v>
      </c>
    </row>
    <row r="697" spans="2:12" ht="13.8" x14ac:dyDescent="0.3">
      <c r="D697" s="25">
        <v>0</v>
      </c>
      <c r="E697" s="24">
        <f>SUM($E$692:$F$692)</f>
        <v>140</v>
      </c>
      <c r="F697" s="24">
        <f>SUM($E$692:$F$692) - $E$692:$E$692</f>
        <v>27</v>
      </c>
      <c r="G697" s="24">
        <f>IF($E$697:$E$697 = 0, "Undefined",$F$697:$F$697*100 / $E$697:$E$697)</f>
        <v>19.285714285714285</v>
      </c>
      <c r="I697" s="25">
        <v>0</v>
      </c>
      <c r="J697" s="24">
        <f>SUM($J$692:$K$692)</f>
        <v>160</v>
      </c>
      <c r="K697" s="24">
        <f>SUM($J$692:$K$692) - $J$692:$J$692</f>
        <v>63</v>
      </c>
      <c r="L697" s="24">
        <f>IF($J$697:$J$697 = 0, "Undefined",$K$697:$K$697*100 / $J$697:$J$697)</f>
        <v>39.375</v>
      </c>
    </row>
    <row r="698" spans="2:12" ht="13.8" x14ac:dyDescent="0.3">
      <c r="D698" s="25">
        <v>1</v>
      </c>
      <c r="E698" s="24">
        <f>SUM($E$693:$F$693)</f>
        <v>360</v>
      </c>
      <c r="F698" s="24">
        <f>SUM($E$693:$F$693) - $F$693:$F$693</f>
        <v>53</v>
      </c>
      <c r="G698" s="24">
        <f>IF($E$698:$E$698 = 0, "Undefined",$F$698:$F$698*100 / $E$698:$E$698)</f>
        <v>14.722222222222221</v>
      </c>
      <c r="I698" s="25">
        <v>1</v>
      </c>
      <c r="J698" s="24">
        <f>SUM($J$693:$K$693)</f>
        <v>340</v>
      </c>
      <c r="K698" s="24">
        <f>SUM($J$693:$K$693) - $K$693:$K$693</f>
        <v>76</v>
      </c>
      <c r="L698" s="24">
        <f>IF($J$698:$J$698 = 0, "Undefined",$K$698:$K$698*100 / $J$698:$J$698)</f>
        <v>22.352941176470587</v>
      </c>
    </row>
    <row r="699" spans="2:12" ht="13.8" x14ac:dyDescent="0.3">
      <c r="D699" s="25" t="s">
        <v>336</v>
      </c>
      <c r="E699" s="24">
        <f>SUM($E$697:$E$698)</f>
        <v>500</v>
      </c>
      <c r="F699" s="24">
        <f>SUM($F$697:$F$698)</f>
        <v>80</v>
      </c>
      <c r="G699" s="24">
        <f>IF($E$699:$E$699 = 0, "Undefined",$F$699:$F$699*100 / $E$699:$E$699)</f>
        <v>16</v>
      </c>
      <c r="I699" s="25" t="s">
        <v>336</v>
      </c>
      <c r="J699" s="24">
        <f>SUM($J$697:$J$698)</f>
        <v>500</v>
      </c>
      <c r="K699" s="24">
        <f>SUM($K$697:$K$698)</f>
        <v>139</v>
      </c>
      <c r="L699" s="24">
        <f>IF($J$699:$J$699 = 0, "Undefined",$K$699:$K$699*100 / $J$699:$J$699)</f>
        <v>27.8</v>
      </c>
    </row>
    <row r="701" spans="2:12" ht="15.6" x14ac:dyDescent="0.3">
      <c r="B701" s="28" t="s">
        <v>382</v>
      </c>
      <c r="D701" s="59" t="s">
        <v>329</v>
      </c>
      <c r="E701" s="60"/>
      <c r="F701" s="61"/>
      <c r="I701" s="59" t="s">
        <v>329</v>
      </c>
      <c r="J701" s="60"/>
      <c r="K701" s="61"/>
    </row>
    <row r="702" spans="2:12" ht="13.8" x14ac:dyDescent="0.3">
      <c r="D702" s="26"/>
      <c r="E702" s="75" t="s">
        <v>330</v>
      </c>
      <c r="F702" s="76"/>
      <c r="I702" s="26"/>
      <c r="J702" s="75" t="s">
        <v>330</v>
      </c>
      <c r="K702" s="76"/>
    </row>
    <row r="703" spans="2:12" ht="13.8" x14ac:dyDescent="0.3">
      <c r="D703" s="25" t="s">
        <v>331</v>
      </c>
      <c r="E703" s="26">
        <v>0</v>
      </c>
      <c r="F703" s="26">
        <v>1</v>
      </c>
      <c r="I703" s="25" t="s">
        <v>331</v>
      </c>
      <c r="J703" s="26">
        <v>0</v>
      </c>
      <c r="K703" s="26">
        <v>1</v>
      </c>
    </row>
    <row r="704" spans="2:12" ht="13.8" x14ac:dyDescent="0.3">
      <c r="D704" s="25">
        <v>0</v>
      </c>
      <c r="E704" s="24">
        <v>113</v>
      </c>
      <c r="F704" s="24">
        <v>27</v>
      </c>
      <c r="I704" s="25">
        <v>0</v>
      </c>
      <c r="J704" s="24">
        <v>97</v>
      </c>
      <c r="K704" s="24">
        <v>63</v>
      </c>
    </row>
    <row r="705" spans="2:12" ht="13.8" x14ac:dyDescent="0.3">
      <c r="D705" s="25">
        <v>1</v>
      </c>
      <c r="E705" s="24">
        <v>53</v>
      </c>
      <c r="F705" s="24">
        <v>307</v>
      </c>
      <c r="I705" s="25">
        <v>1</v>
      </c>
      <c r="J705" s="24">
        <v>77</v>
      </c>
      <c r="K705" s="24">
        <v>263</v>
      </c>
    </row>
    <row r="707" spans="2:12" ht="15.6" x14ac:dyDescent="0.3">
      <c r="D707" s="59" t="s">
        <v>210</v>
      </c>
      <c r="E707" s="60"/>
      <c r="F707" s="60"/>
      <c r="G707" s="61"/>
      <c r="I707" s="59" t="s">
        <v>210</v>
      </c>
      <c r="J707" s="60"/>
      <c r="K707" s="60"/>
      <c r="L707" s="61"/>
    </row>
    <row r="708" spans="2:12" ht="13.8" x14ac:dyDescent="0.3">
      <c r="D708" s="26" t="s">
        <v>332</v>
      </c>
      <c r="E708" s="26" t="s">
        <v>333</v>
      </c>
      <c r="F708" s="26" t="s">
        <v>334</v>
      </c>
      <c r="G708" s="26" t="s">
        <v>335</v>
      </c>
      <c r="I708" s="26" t="s">
        <v>332</v>
      </c>
      <c r="J708" s="26" t="s">
        <v>333</v>
      </c>
      <c r="K708" s="26" t="s">
        <v>334</v>
      </c>
      <c r="L708" s="26" t="s">
        <v>335</v>
      </c>
    </row>
    <row r="709" spans="2:12" ht="13.8" x14ac:dyDescent="0.3">
      <c r="D709" s="25">
        <v>0</v>
      </c>
      <c r="E709" s="24">
        <f>SUM($E$704:$F$704)</f>
        <v>140</v>
      </c>
      <c r="F709" s="24">
        <f>SUM($E$704:$F$704) - $E$704:$E$704</f>
        <v>27</v>
      </c>
      <c r="G709" s="24">
        <f>IF($E$709:$E$709 = 0, "Undefined",$F$709:$F$709*100 / $E$709:$E$709)</f>
        <v>19.285714285714285</v>
      </c>
      <c r="I709" s="25">
        <v>0</v>
      </c>
      <c r="J709" s="24">
        <f>SUM($J$704:$K$704)</f>
        <v>160</v>
      </c>
      <c r="K709" s="24">
        <f>SUM($J$704:$K$704) - $J$704:$J$704</f>
        <v>63</v>
      </c>
      <c r="L709" s="24">
        <f>IF($J$709:$J$709 = 0, "Undefined",$K$709:$K$709*100 / $J$709:$J$709)</f>
        <v>39.375</v>
      </c>
    </row>
    <row r="710" spans="2:12" ht="13.8" x14ac:dyDescent="0.3">
      <c r="D710" s="25">
        <v>1</v>
      </c>
      <c r="E710" s="24">
        <f>SUM($E$705:$F$705)</f>
        <v>360</v>
      </c>
      <c r="F710" s="24">
        <f>SUM($E$705:$F$705) - $F$705:$F$705</f>
        <v>53</v>
      </c>
      <c r="G710" s="24">
        <f>IF($E$710:$E$710 = 0, "Undefined",$F$710:$F$710*100 / $E$710:$E$710)</f>
        <v>14.722222222222221</v>
      </c>
      <c r="I710" s="25">
        <v>1</v>
      </c>
      <c r="J710" s="24">
        <f>SUM($J$705:$K$705)</f>
        <v>340</v>
      </c>
      <c r="K710" s="24">
        <f>SUM($J$705:$K$705) - $K$705:$K$705</f>
        <v>77</v>
      </c>
      <c r="L710" s="24">
        <f>IF($J$710:$J$710 = 0, "Undefined",$K$710:$K$710*100 / $J$710:$J$710)</f>
        <v>22.647058823529413</v>
      </c>
    </row>
    <row r="711" spans="2:12" ht="13.8" x14ac:dyDescent="0.3">
      <c r="D711" s="25" t="s">
        <v>336</v>
      </c>
      <c r="E711" s="24">
        <f>SUM($E$709:$E$710)</f>
        <v>500</v>
      </c>
      <c r="F711" s="24">
        <f>SUM($F$709:$F$710)</f>
        <v>80</v>
      </c>
      <c r="G711" s="24">
        <f>IF($E$711:$E$711 = 0, "Undefined",$F$711:$F$711*100 / $E$711:$E$711)</f>
        <v>16</v>
      </c>
      <c r="I711" s="25" t="s">
        <v>336</v>
      </c>
      <c r="J711" s="24">
        <f>SUM($J$709:$J$710)</f>
        <v>500</v>
      </c>
      <c r="K711" s="24">
        <f>SUM($K$709:$K$710)</f>
        <v>140</v>
      </c>
      <c r="L711" s="24">
        <f>IF($J$711:$J$711 = 0, "Undefined",$K$711:$K$711*100 / $J$711:$J$711)</f>
        <v>28</v>
      </c>
    </row>
    <row r="713" spans="2:12" ht="15.6" x14ac:dyDescent="0.3">
      <c r="B713" s="28" t="s">
        <v>383</v>
      </c>
      <c r="D713" s="59" t="s">
        <v>329</v>
      </c>
      <c r="E713" s="60"/>
      <c r="F713" s="61"/>
      <c r="I713" s="59" t="s">
        <v>329</v>
      </c>
      <c r="J713" s="60"/>
      <c r="K713" s="61"/>
    </row>
    <row r="714" spans="2:12" ht="13.8" x14ac:dyDescent="0.3">
      <c r="D714" s="26"/>
      <c r="E714" s="75" t="s">
        <v>330</v>
      </c>
      <c r="F714" s="76"/>
      <c r="I714" s="26"/>
      <c r="J714" s="75" t="s">
        <v>330</v>
      </c>
      <c r="K714" s="76"/>
    </row>
    <row r="715" spans="2:12" ht="13.8" x14ac:dyDescent="0.3">
      <c r="D715" s="25" t="s">
        <v>331</v>
      </c>
      <c r="E715" s="26">
        <v>0</v>
      </c>
      <c r="F715" s="26">
        <v>1</v>
      </c>
      <c r="I715" s="25" t="s">
        <v>331</v>
      </c>
      <c r="J715" s="26">
        <v>0</v>
      </c>
      <c r="K715" s="26">
        <v>1</v>
      </c>
    </row>
    <row r="716" spans="2:12" ht="13.8" x14ac:dyDescent="0.3">
      <c r="D716" s="25">
        <v>0</v>
      </c>
      <c r="E716" s="24">
        <v>113</v>
      </c>
      <c r="F716" s="24">
        <v>27</v>
      </c>
      <c r="I716" s="25">
        <v>0</v>
      </c>
      <c r="J716" s="24">
        <v>97</v>
      </c>
      <c r="K716" s="24">
        <v>63</v>
      </c>
    </row>
    <row r="717" spans="2:12" ht="13.8" x14ac:dyDescent="0.3">
      <c r="D717" s="25">
        <v>1</v>
      </c>
      <c r="E717" s="24">
        <v>53</v>
      </c>
      <c r="F717" s="24">
        <v>307</v>
      </c>
      <c r="I717" s="25">
        <v>1</v>
      </c>
      <c r="J717" s="24">
        <v>78</v>
      </c>
      <c r="K717" s="24">
        <v>262</v>
      </c>
    </row>
    <row r="719" spans="2:12" ht="15.6" x14ac:dyDescent="0.3">
      <c r="D719" s="59" t="s">
        <v>210</v>
      </c>
      <c r="E719" s="60"/>
      <c r="F719" s="60"/>
      <c r="G719" s="61"/>
      <c r="I719" s="59" t="s">
        <v>210</v>
      </c>
      <c r="J719" s="60"/>
      <c r="K719" s="60"/>
      <c r="L719" s="61"/>
    </row>
    <row r="720" spans="2:12" ht="13.8" x14ac:dyDescent="0.3">
      <c r="D720" s="26" t="s">
        <v>332</v>
      </c>
      <c r="E720" s="26" t="s">
        <v>333</v>
      </c>
      <c r="F720" s="26" t="s">
        <v>334</v>
      </c>
      <c r="G720" s="26" t="s">
        <v>335</v>
      </c>
      <c r="I720" s="26" t="s">
        <v>332</v>
      </c>
      <c r="J720" s="26" t="s">
        <v>333</v>
      </c>
      <c r="K720" s="26" t="s">
        <v>334</v>
      </c>
      <c r="L720" s="26" t="s">
        <v>335</v>
      </c>
    </row>
    <row r="721" spans="2:12" ht="13.8" x14ac:dyDescent="0.3">
      <c r="D721" s="25">
        <v>0</v>
      </c>
      <c r="E721" s="24">
        <f>SUM($E$716:$F$716)</f>
        <v>140</v>
      </c>
      <c r="F721" s="24">
        <f>SUM($E$716:$F$716) - $E$716:$E$716</f>
        <v>27</v>
      </c>
      <c r="G721" s="24">
        <f>IF($E$721:$E$721 = 0, "Undefined",$F$721:$F$721*100 / $E$721:$E$721)</f>
        <v>19.285714285714285</v>
      </c>
      <c r="I721" s="25">
        <v>0</v>
      </c>
      <c r="J721" s="24">
        <f>SUM($J$716:$K$716)</f>
        <v>160</v>
      </c>
      <c r="K721" s="24">
        <f>SUM($J$716:$K$716) - $J$716:$J$716</f>
        <v>63</v>
      </c>
      <c r="L721" s="24">
        <f>IF($J$721:$J$721 = 0, "Undefined",$K$721:$K$721*100 / $J$721:$J$721)</f>
        <v>39.375</v>
      </c>
    </row>
    <row r="722" spans="2:12" ht="13.8" x14ac:dyDescent="0.3">
      <c r="D722" s="25">
        <v>1</v>
      </c>
      <c r="E722" s="24">
        <f>SUM($E$717:$F$717)</f>
        <v>360</v>
      </c>
      <c r="F722" s="24">
        <f>SUM($E$717:$F$717) - $F$717:$F$717</f>
        <v>53</v>
      </c>
      <c r="G722" s="24">
        <f>IF($E$722:$E$722 = 0, "Undefined",$F$722:$F$722*100 / $E$722:$E$722)</f>
        <v>14.722222222222221</v>
      </c>
      <c r="I722" s="25">
        <v>1</v>
      </c>
      <c r="J722" s="24">
        <f>SUM($J$717:$K$717)</f>
        <v>340</v>
      </c>
      <c r="K722" s="24">
        <f>SUM($J$717:$K$717) - $K$717:$K$717</f>
        <v>78</v>
      </c>
      <c r="L722" s="24">
        <f>IF($J$722:$J$722 = 0, "Undefined",$K$722:$K$722*100 / $J$722:$J$722)</f>
        <v>22.941176470588236</v>
      </c>
    </row>
    <row r="723" spans="2:12" ht="13.8" x14ac:dyDescent="0.3">
      <c r="D723" s="25" t="s">
        <v>336</v>
      </c>
      <c r="E723" s="24">
        <f>SUM($E$721:$E$722)</f>
        <v>500</v>
      </c>
      <c r="F723" s="24">
        <f>SUM($F$721:$F$722)</f>
        <v>80</v>
      </c>
      <c r="G723" s="24">
        <f>IF($E$723:$E$723 = 0, "Undefined",$F$723:$F$723*100 / $E$723:$E$723)</f>
        <v>16</v>
      </c>
      <c r="I723" s="25" t="s">
        <v>336</v>
      </c>
      <c r="J723" s="24">
        <f>SUM($J$721:$J$722)</f>
        <v>500</v>
      </c>
      <c r="K723" s="24">
        <f>SUM($K$721:$K$722)</f>
        <v>141</v>
      </c>
      <c r="L723" s="24">
        <f>IF($J$723:$J$723 = 0, "Undefined",$K$723:$K$723*100 / $J$723:$J$723)</f>
        <v>28.2</v>
      </c>
    </row>
    <row r="725" spans="2:12" ht="15.6" x14ac:dyDescent="0.3">
      <c r="B725" s="28" t="s">
        <v>384</v>
      </c>
      <c r="D725" s="59" t="s">
        <v>329</v>
      </c>
      <c r="E725" s="60"/>
      <c r="F725" s="61"/>
      <c r="I725" s="59" t="s">
        <v>329</v>
      </c>
      <c r="J725" s="60"/>
      <c r="K725" s="61"/>
    </row>
    <row r="726" spans="2:12" ht="13.8" x14ac:dyDescent="0.3">
      <c r="D726" s="26"/>
      <c r="E726" s="75" t="s">
        <v>330</v>
      </c>
      <c r="F726" s="76"/>
      <c r="I726" s="26"/>
      <c r="J726" s="75" t="s">
        <v>330</v>
      </c>
      <c r="K726" s="76"/>
    </row>
    <row r="727" spans="2:12" ht="13.8" x14ac:dyDescent="0.3">
      <c r="D727" s="25" t="s">
        <v>331</v>
      </c>
      <c r="E727" s="26">
        <v>0</v>
      </c>
      <c r="F727" s="26">
        <v>1</v>
      </c>
      <c r="I727" s="25" t="s">
        <v>331</v>
      </c>
      <c r="J727" s="26">
        <v>0</v>
      </c>
      <c r="K727" s="26">
        <v>1</v>
      </c>
    </row>
    <row r="728" spans="2:12" ht="13.8" x14ac:dyDescent="0.3">
      <c r="D728" s="25">
        <v>0</v>
      </c>
      <c r="E728" s="24">
        <v>113</v>
      </c>
      <c r="F728" s="24">
        <v>27</v>
      </c>
      <c r="I728" s="25">
        <v>0</v>
      </c>
      <c r="J728" s="24">
        <v>97</v>
      </c>
      <c r="K728" s="24">
        <v>63</v>
      </c>
    </row>
    <row r="729" spans="2:12" ht="13.8" x14ac:dyDescent="0.3">
      <c r="D729" s="25">
        <v>1</v>
      </c>
      <c r="E729" s="24">
        <v>53</v>
      </c>
      <c r="F729" s="24">
        <v>307</v>
      </c>
      <c r="I729" s="25">
        <v>1</v>
      </c>
      <c r="J729" s="24">
        <v>78</v>
      </c>
      <c r="K729" s="24">
        <v>262</v>
      </c>
    </row>
    <row r="731" spans="2:12" ht="15.6" x14ac:dyDescent="0.3">
      <c r="D731" s="59" t="s">
        <v>210</v>
      </c>
      <c r="E731" s="60"/>
      <c r="F731" s="60"/>
      <c r="G731" s="61"/>
      <c r="I731" s="59" t="s">
        <v>210</v>
      </c>
      <c r="J731" s="60"/>
      <c r="K731" s="60"/>
      <c r="L731" s="61"/>
    </row>
    <row r="732" spans="2:12" ht="13.8" x14ac:dyDescent="0.3">
      <c r="D732" s="26" t="s">
        <v>332</v>
      </c>
      <c r="E732" s="26" t="s">
        <v>333</v>
      </c>
      <c r="F732" s="26" t="s">
        <v>334</v>
      </c>
      <c r="G732" s="26" t="s">
        <v>335</v>
      </c>
      <c r="I732" s="26" t="s">
        <v>332</v>
      </c>
      <c r="J732" s="26" t="s">
        <v>333</v>
      </c>
      <c r="K732" s="26" t="s">
        <v>334</v>
      </c>
      <c r="L732" s="26" t="s">
        <v>335</v>
      </c>
    </row>
    <row r="733" spans="2:12" ht="13.8" x14ac:dyDescent="0.3">
      <c r="D733" s="25">
        <v>0</v>
      </c>
      <c r="E733" s="24">
        <f>SUM($E$728:$F$728)</f>
        <v>140</v>
      </c>
      <c r="F733" s="24">
        <f>SUM($E$728:$F$728) - $E$728:$E$728</f>
        <v>27</v>
      </c>
      <c r="G733" s="24">
        <f>IF($E$733:$E$733 = 0, "Undefined",$F$733:$F$733*100 / $E$733:$E$733)</f>
        <v>19.285714285714285</v>
      </c>
      <c r="I733" s="25">
        <v>0</v>
      </c>
      <c r="J733" s="24">
        <f>SUM($J$728:$K$728)</f>
        <v>160</v>
      </c>
      <c r="K733" s="24">
        <f>SUM($J$728:$K$728) - $J$728:$J$728</f>
        <v>63</v>
      </c>
      <c r="L733" s="24">
        <f>IF($J$733:$J$733 = 0, "Undefined",$K$733:$K$733*100 / $J$733:$J$733)</f>
        <v>39.375</v>
      </c>
    </row>
    <row r="734" spans="2:12" ht="13.8" x14ac:dyDescent="0.3">
      <c r="D734" s="25">
        <v>1</v>
      </c>
      <c r="E734" s="24">
        <f>SUM($E$729:$F$729)</f>
        <v>360</v>
      </c>
      <c r="F734" s="24">
        <f>SUM($E$729:$F$729) - $F$729:$F$729</f>
        <v>53</v>
      </c>
      <c r="G734" s="24">
        <f>IF($E$734:$E$734 = 0, "Undefined",$F$734:$F$734*100 / $E$734:$E$734)</f>
        <v>14.722222222222221</v>
      </c>
      <c r="I734" s="25">
        <v>1</v>
      </c>
      <c r="J734" s="24">
        <f>SUM($J$729:$K$729)</f>
        <v>340</v>
      </c>
      <c r="K734" s="24">
        <f>SUM($J$729:$K$729) - $K$729:$K$729</f>
        <v>78</v>
      </c>
      <c r="L734" s="24">
        <f>IF($J$734:$J$734 = 0, "Undefined",$K$734:$K$734*100 / $J$734:$J$734)</f>
        <v>22.941176470588236</v>
      </c>
    </row>
    <row r="735" spans="2:12" ht="13.8" x14ac:dyDescent="0.3">
      <c r="D735" s="25" t="s">
        <v>336</v>
      </c>
      <c r="E735" s="24">
        <f>SUM($E$733:$E$734)</f>
        <v>500</v>
      </c>
      <c r="F735" s="24">
        <f>SUM($F$733:$F$734)</f>
        <v>80</v>
      </c>
      <c r="G735" s="24">
        <f>IF($E$735:$E$735 = 0, "Undefined",$F$735:$F$735*100 / $E$735:$E$735)</f>
        <v>16</v>
      </c>
      <c r="I735" s="25" t="s">
        <v>336</v>
      </c>
      <c r="J735" s="24">
        <f>SUM($J$733:$J$734)</f>
        <v>500</v>
      </c>
      <c r="K735" s="24">
        <f>SUM($K$733:$K$734)</f>
        <v>141</v>
      </c>
      <c r="L735" s="24">
        <f>IF($J$735:$J$735 = 0, "Undefined",$K$735:$K$735*100 / $J$735:$J$735)</f>
        <v>28.2</v>
      </c>
    </row>
    <row r="737" spans="2:12" ht="15.6" x14ac:dyDescent="0.3">
      <c r="B737" s="28" t="s">
        <v>385</v>
      </c>
      <c r="D737" s="59" t="s">
        <v>329</v>
      </c>
      <c r="E737" s="60"/>
      <c r="F737" s="61"/>
      <c r="I737" s="59" t="s">
        <v>329</v>
      </c>
      <c r="J737" s="60"/>
      <c r="K737" s="61"/>
    </row>
    <row r="738" spans="2:12" ht="13.8" x14ac:dyDescent="0.3">
      <c r="D738" s="26"/>
      <c r="E738" s="75" t="s">
        <v>330</v>
      </c>
      <c r="F738" s="76"/>
      <c r="I738" s="26"/>
      <c r="J738" s="75" t="s">
        <v>330</v>
      </c>
      <c r="K738" s="76"/>
    </row>
    <row r="739" spans="2:12" ht="13.8" x14ac:dyDescent="0.3">
      <c r="D739" s="25" t="s">
        <v>331</v>
      </c>
      <c r="E739" s="26">
        <v>0</v>
      </c>
      <c r="F739" s="26">
        <v>1</v>
      </c>
      <c r="I739" s="25" t="s">
        <v>331</v>
      </c>
      <c r="J739" s="26">
        <v>0</v>
      </c>
      <c r="K739" s="26">
        <v>1</v>
      </c>
    </row>
    <row r="740" spans="2:12" ht="13.8" x14ac:dyDescent="0.3">
      <c r="D740" s="25">
        <v>0</v>
      </c>
      <c r="E740" s="24">
        <v>113</v>
      </c>
      <c r="F740" s="24">
        <v>27</v>
      </c>
      <c r="I740" s="25">
        <v>0</v>
      </c>
      <c r="J740" s="24">
        <v>98</v>
      </c>
      <c r="K740" s="24">
        <v>62</v>
      </c>
    </row>
    <row r="741" spans="2:12" ht="13.8" x14ac:dyDescent="0.3">
      <c r="D741" s="25">
        <v>1</v>
      </c>
      <c r="E741" s="24">
        <v>53</v>
      </c>
      <c r="F741" s="24">
        <v>307</v>
      </c>
      <c r="I741" s="25">
        <v>1</v>
      </c>
      <c r="J741" s="24">
        <v>78</v>
      </c>
      <c r="K741" s="24">
        <v>262</v>
      </c>
    </row>
    <row r="743" spans="2:12" ht="15.6" x14ac:dyDescent="0.3">
      <c r="D743" s="59" t="s">
        <v>210</v>
      </c>
      <c r="E743" s="60"/>
      <c r="F743" s="60"/>
      <c r="G743" s="61"/>
      <c r="I743" s="59" t="s">
        <v>210</v>
      </c>
      <c r="J743" s="60"/>
      <c r="K743" s="60"/>
      <c r="L743" s="61"/>
    </row>
    <row r="744" spans="2:12" ht="13.8" x14ac:dyDescent="0.3">
      <c r="D744" s="26" t="s">
        <v>332</v>
      </c>
      <c r="E744" s="26" t="s">
        <v>333</v>
      </c>
      <c r="F744" s="26" t="s">
        <v>334</v>
      </c>
      <c r="G744" s="26" t="s">
        <v>335</v>
      </c>
      <c r="I744" s="26" t="s">
        <v>332</v>
      </c>
      <c r="J744" s="26" t="s">
        <v>333</v>
      </c>
      <c r="K744" s="26" t="s">
        <v>334</v>
      </c>
      <c r="L744" s="26" t="s">
        <v>335</v>
      </c>
    </row>
    <row r="745" spans="2:12" ht="13.8" x14ac:dyDescent="0.3">
      <c r="D745" s="25">
        <v>0</v>
      </c>
      <c r="E745" s="24">
        <f>SUM($E$740:$F$740)</f>
        <v>140</v>
      </c>
      <c r="F745" s="24">
        <f>SUM($E$740:$F$740) - $E$740:$E$740</f>
        <v>27</v>
      </c>
      <c r="G745" s="24">
        <f>IF($E$745:$E$745 = 0, "Undefined",$F$745:$F$745*100 / $E$745:$E$745)</f>
        <v>19.285714285714285</v>
      </c>
      <c r="I745" s="25">
        <v>0</v>
      </c>
      <c r="J745" s="24">
        <f>SUM($J$740:$K$740)</f>
        <v>160</v>
      </c>
      <c r="K745" s="24">
        <f>SUM($J$740:$K$740) - $J$740:$J$740</f>
        <v>62</v>
      </c>
      <c r="L745" s="24">
        <f>IF($J$745:$J$745 = 0, "Undefined",$K$745:$K$745*100 / $J$745:$J$745)</f>
        <v>38.75</v>
      </c>
    </row>
    <row r="746" spans="2:12" ht="13.8" x14ac:dyDescent="0.3">
      <c r="D746" s="25">
        <v>1</v>
      </c>
      <c r="E746" s="24">
        <f>SUM($E$741:$F$741)</f>
        <v>360</v>
      </c>
      <c r="F746" s="24">
        <f>SUM($E$741:$F$741) - $F$741:$F$741</f>
        <v>53</v>
      </c>
      <c r="G746" s="24">
        <f>IF($E$746:$E$746 = 0, "Undefined",$F$746:$F$746*100 / $E$746:$E$746)</f>
        <v>14.722222222222221</v>
      </c>
      <c r="I746" s="25">
        <v>1</v>
      </c>
      <c r="J746" s="24">
        <f>SUM($J$741:$K$741)</f>
        <v>340</v>
      </c>
      <c r="K746" s="24">
        <f>SUM($J$741:$K$741) - $K$741:$K$741</f>
        <v>78</v>
      </c>
      <c r="L746" s="24">
        <f>IF($J$746:$J$746 = 0, "Undefined",$K$746:$K$746*100 / $J$746:$J$746)</f>
        <v>22.941176470588236</v>
      </c>
    </row>
    <row r="747" spans="2:12" ht="13.8" x14ac:dyDescent="0.3">
      <c r="D747" s="25" t="s">
        <v>336</v>
      </c>
      <c r="E747" s="24">
        <f>SUM($E$745:$E$746)</f>
        <v>500</v>
      </c>
      <c r="F747" s="24">
        <f>SUM($F$745:$F$746)</f>
        <v>80</v>
      </c>
      <c r="G747" s="24">
        <f>IF($E$747:$E$747 = 0, "Undefined",$F$747:$F$747*100 / $E$747:$E$747)</f>
        <v>16</v>
      </c>
      <c r="I747" s="25" t="s">
        <v>336</v>
      </c>
      <c r="J747" s="24">
        <f>SUM($J$745:$J$746)</f>
        <v>500</v>
      </c>
      <c r="K747" s="24">
        <f>SUM($K$745:$K$746)</f>
        <v>140</v>
      </c>
      <c r="L747" s="24">
        <f>IF($J$747:$J$747 = 0, "Undefined",$K$747:$K$747*100 / $J$747:$J$747)</f>
        <v>28</v>
      </c>
    </row>
    <row r="749" spans="2:12" ht="15.6" x14ac:dyDescent="0.3">
      <c r="B749" s="28" t="s">
        <v>386</v>
      </c>
      <c r="D749" s="59" t="s">
        <v>329</v>
      </c>
      <c r="E749" s="60"/>
      <c r="F749" s="61"/>
      <c r="I749" s="59" t="s">
        <v>329</v>
      </c>
      <c r="J749" s="60"/>
      <c r="K749" s="61"/>
    </row>
    <row r="750" spans="2:12" ht="13.8" x14ac:dyDescent="0.3">
      <c r="D750" s="26"/>
      <c r="E750" s="75" t="s">
        <v>330</v>
      </c>
      <c r="F750" s="76"/>
      <c r="I750" s="26"/>
      <c r="J750" s="75" t="s">
        <v>330</v>
      </c>
      <c r="K750" s="76"/>
    </row>
    <row r="751" spans="2:12" ht="13.8" x14ac:dyDescent="0.3">
      <c r="D751" s="25" t="s">
        <v>331</v>
      </c>
      <c r="E751" s="26">
        <v>0</v>
      </c>
      <c r="F751" s="26">
        <v>1</v>
      </c>
      <c r="I751" s="25" t="s">
        <v>331</v>
      </c>
      <c r="J751" s="26">
        <v>0</v>
      </c>
      <c r="K751" s="26">
        <v>1</v>
      </c>
    </row>
    <row r="752" spans="2:12" ht="13.8" x14ac:dyDescent="0.3">
      <c r="D752" s="25">
        <v>0</v>
      </c>
      <c r="E752" s="24">
        <v>110</v>
      </c>
      <c r="F752" s="24">
        <v>30</v>
      </c>
      <c r="I752" s="25">
        <v>0</v>
      </c>
      <c r="J752" s="24">
        <v>95</v>
      </c>
      <c r="K752" s="24">
        <v>65</v>
      </c>
    </row>
    <row r="753" spans="2:12" ht="13.8" x14ac:dyDescent="0.3">
      <c r="D753" s="25">
        <v>1</v>
      </c>
      <c r="E753" s="24">
        <v>53</v>
      </c>
      <c r="F753" s="24">
        <v>307</v>
      </c>
      <c r="I753" s="25">
        <v>1</v>
      </c>
      <c r="J753" s="24">
        <v>75</v>
      </c>
      <c r="K753" s="24">
        <v>265</v>
      </c>
    </row>
    <row r="755" spans="2:12" ht="15.6" x14ac:dyDescent="0.3">
      <c r="D755" s="59" t="s">
        <v>210</v>
      </c>
      <c r="E755" s="60"/>
      <c r="F755" s="60"/>
      <c r="G755" s="61"/>
      <c r="I755" s="59" t="s">
        <v>210</v>
      </c>
      <c r="J755" s="60"/>
      <c r="K755" s="60"/>
      <c r="L755" s="61"/>
    </row>
    <row r="756" spans="2:12" ht="13.8" x14ac:dyDescent="0.3">
      <c r="D756" s="26" t="s">
        <v>332</v>
      </c>
      <c r="E756" s="26" t="s">
        <v>333</v>
      </c>
      <c r="F756" s="26" t="s">
        <v>334</v>
      </c>
      <c r="G756" s="26" t="s">
        <v>335</v>
      </c>
      <c r="I756" s="26" t="s">
        <v>332</v>
      </c>
      <c r="J756" s="26" t="s">
        <v>333</v>
      </c>
      <c r="K756" s="26" t="s">
        <v>334</v>
      </c>
      <c r="L756" s="26" t="s">
        <v>335</v>
      </c>
    </row>
    <row r="757" spans="2:12" ht="13.8" x14ac:dyDescent="0.3">
      <c r="D757" s="25">
        <v>0</v>
      </c>
      <c r="E757" s="24">
        <f>SUM($E$752:$F$752)</f>
        <v>140</v>
      </c>
      <c r="F757" s="24">
        <f>SUM($E$752:$F$752) - $E$752:$E$752</f>
        <v>30</v>
      </c>
      <c r="G757" s="24">
        <f>IF($E$757:$E$757 = 0, "Undefined",$F$757:$F$757*100 / $E$757:$E$757)</f>
        <v>21.428571428571427</v>
      </c>
      <c r="I757" s="25">
        <v>0</v>
      </c>
      <c r="J757" s="24">
        <f>SUM($J$752:$K$752)</f>
        <v>160</v>
      </c>
      <c r="K757" s="24">
        <f>SUM($J$752:$K$752) - $J$752:$J$752</f>
        <v>65</v>
      </c>
      <c r="L757" s="24">
        <f>IF($J$757:$J$757 = 0, "Undefined",$K$757:$K$757*100 / $J$757:$J$757)</f>
        <v>40.625</v>
      </c>
    </row>
    <row r="758" spans="2:12" ht="13.8" x14ac:dyDescent="0.3">
      <c r="D758" s="25">
        <v>1</v>
      </c>
      <c r="E758" s="24">
        <f>SUM($E$753:$F$753)</f>
        <v>360</v>
      </c>
      <c r="F758" s="24">
        <f>SUM($E$753:$F$753) - $F$753:$F$753</f>
        <v>53</v>
      </c>
      <c r="G758" s="24">
        <f>IF($E$758:$E$758 = 0, "Undefined",$F$758:$F$758*100 / $E$758:$E$758)</f>
        <v>14.722222222222221</v>
      </c>
      <c r="I758" s="25">
        <v>1</v>
      </c>
      <c r="J758" s="24">
        <f>SUM($J$753:$K$753)</f>
        <v>340</v>
      </c>
      <c r="K758" s="24">
        <f>SUM($J$753:$K$753) - $K$753:$K$753</f>
        <v>75</v>
      </c>
      <c r="L758" s="24">
        <f>IF($J$758:$J$758 = 0, "Undefined",$K$758:$K$758*100 / $J$758:$J$758)</f>
        <v>22.058823529411764</v>
      </c>
    </row>
    <row r="759" spans="2:12" ht="13.8" x14ac:dyDescent="0.3">
      <c r="D759" s="25" t="s">
        <v>336</v>
      </c>
      <c r="E759" s="24">
        <f>SUM($E$757:$E$758)</f>
        <v>500</v>
      </c>
      <c r="F759" s="24">
        <f>SUM($F$757:$F$758)</f>
        <v>83</v>
      </c>
      <c r="G759" s="24">
        <f>IF($E$759:$E$759 = 0, "Undefined",$F$759:$F$759*100 / $E$759:$E$759)</f>
        <v>16.600000000000001</v>
      </c>
      <c r="I759" s="25" t="s">
        <v>336</v>
      </c>
      <c r="J759" s="24">
        <f>SUM($J$757:$J$758)</f>
        <v>500</v>
      </c>
      <c r="K759" s="24">
        <f>SUM($K$757:$K$758)</f>
        <v>140</v>
      </c>
      <c r="L759" s="24">
        <f>IF($J$759:$J$759 = 0, "Undefined",$K$759:$K$759*100 / $J$759:$J$759)</f>
        <v>28</v>
      </c>
    </row>
    <row r="761" spans="2:12" ht="15.6" x14ac:dyDescent="0.3">
      <c r="B761" s="28" t="s">
        <v>387</v>
      </c>
      <c r="D761" s="59" t="s">
        <v>329</v>
      </c>
      <c r="E761" s="60"/>
      <c r="F761" s="61"/>
      <c r="I761" s="59" t="s">
        <v>329</v>
      </c>
      <c r="J761" s="60"/>
      <c r="K761" s="61"/>
    </row>
    <row r="762" spans="2:12" ht="13.8" x14ac:dyDescent="0.3">
      <c r="D762" s="26"/>
      <c r="E762" s="75" t="s">
        <v>330</v>
      </c>
      <c r="F762" s="76"/>
      <c r="I762" s="26"/>
      <c r="J762" s="75" t="s">
        <v>330</v>
      </c>
      <c r="K762" s="76"/>
    </row>
    <row r="763" spans="2:12" ht="13.8" x14ac:dyDescent="0.3">
      <c r="D763" s="25" t="s">
        <v>331</v>
      </c>
      <c r="E763" s="26">
        <v>0</v>
      </c>
      <c r="F763" s="26">
        <v>1</v>
      </c>
      <c r="I763" s="25" t="s">
        <v>331</v>
      </c>
      <c r="J763" s="26">
        <v>0</v>
      </c>
      <c r="K763" s="26">
        <v>1</v>
      </c>
    </row>
    <row r="764" spans="2:12" ht="13.8" x14ac:dyDescent="0.3">
      <c r="D764" s="25">
        <v>0</v>
      </c>
      <c r="E764" s="24">
        <v>113</v>
      </c>
      <c r="F764" s="24">
        <v>27</v>
      </c>
      <c r="I764" s="25">
        <v>0</v>
      </c>
      <c r="J764" s="24">
        <v>98</v>
      </c>
      <c r="K764" s="24">
        <v>62</v>
      </c>
    </row>
    <row r="765" spans="2:12" ht="13.8" x14ac:dyDescent="0.3">
      <c r="D765" s="25">
        <v>1</v>
      </c>
      <c r="E765" s="24">
        <v>53</v>
      </c>
      <c r="F765" s="24">
        <v>307</v>
      </c>
      <c r="I765" s="25">
        <v>1</v>
      </c>
      <c r="J765" s="24">
        <v>77</v>
      </c>
      <c r="K765" s="24">
        <v>263</v>
      </c>
    </row>
    <row r="767" spans="2:12" ht="15.6" x14ac:dyDescent="0.3">
      <c r="D767" s="59" t="s">
        <v>210</v>
      </c>
      <c r="E767" s="60"/>
      <c r="F767" s="60"/>
      <c r="G767" s="61"/>
      <c r="I767" s="59" t="s">
        <v>210</v>
      </c>
      <c r="J767" s="60"/>
      <c r="K767" s="60"/>
      <c r="L767" s="61"/>
    </row>
    <row r="768" spans="2:12" ht="13.8" x14ac:dyDescent="0.3">
      <c r="D768" s="26" t="s">
        <v>332</v>
      </c>
      <c r="E768" s="26" t="s">
        <v>333</v>
      </c>
      <c r="F768" s="26" t="s">
        <v>334</v>
      </c>
      <c r="G768" s="26" t="s">
        <v>335</v>
      </c>
      <c r="I768" s="26" t="s">
        <v>332</v>
      </c>
      <c r="J768" s="26" t="s">
        <v>333</v>
      </c>
      <c r="K768" s="26" t="s">
        <v>334</v>
      </c>
      <c r="L768" s="26" t="s">
        <v>335</v>
      </c>
    </row>
    <row r="769" spans="2:12" ht="13.8" x14ac:dyDescent="0.3">
      <c r="D769" s="25">
        <v>0</v>
      </c>
      <c r="E769" s="24">
        <f>SUM($E$764:$F$764)</f>
        <v>140</v>
      </c>
      <c r="F769" s="24">
        <f>SUM($E$764:$F$764) - $E$764:$E$764</f>
        <v>27</v>
      </c>
      <c r="G769" s="24">
        <f>IF($E$769:$E$769 = 0, "Undefined",$F$769:$F$769*100 / $E$769:$E$769)</f>
        <v>19.285714285714285</v>
      </c>
      <c r="I769" s="25">
        <v>0</v>
      </c>
      <c r="J769" s="24">
        <f>SUM($J$764:$K$764)</f>
        <v>160</v>
      </c>
      <c r="K769" s="24">
        <f>SUM($J$764:$K$764) - $J$764:$J$764</f>
        <v>62</v>
      </c>
      <c r="L769" s="24">
        <f>IF($J$769:$J$769 = 0, "Undefined",$K$769:$K$769*100 / $J$769:$J$769)</f>
        <v>38.75</v>
      </c>
    </row>
    <row r="770" spans="2:12" ht="13.8" x14ac:dyDescent="0.3">
      <c r="D770" s="25">
        <v>1</v>
      </c>
      <c r="E770" s="24">
        <f>SUM($E$765:$F$765)</f>
        <v>360</v>
      </c>
      <c r="F770" s="24">
        <f>SUM($E$765:$F$765) - $F$765:$F$765</f>
        <v>53</v>
      </c>
      <c r="G770" s="24">
        <f>IF($E$770:$E$770 = 0, "Undefined",$F$770:$F$770*100 / $E$770:$E$770)</f>
        <v>14.722222222222221</v>
      </c>
      <c r="I770" s="25">
        <v>1</v>
      </c>
      <c r="J770" s="24">
        <f>SUM($J$765:$K$765)</f>
        <v>340</v>
      </c>
      <c r="K770" s="24">
        <f>SUM($J$765:$K$765) - $K$765:$K$765</f>
        <v>77</v>
      </c>
      <c r="L770" s="24">
        <f>IF($J$770:$J$770 = 0, "Undefined",$K$770:$K$770*100 / $J$770:$J$770)</f>
        <v>22.647058823529413</v>
      </c>
    </row>
    <row r="771" spans="2:12" ht="13.8" x14ac:dyDescent="0.3">
      <c r="D771" s="25" t="s">
        <v>336</v>
      </c>
      <c r="E771" s="24">
        <f>SUM($E$769:$E$770)</f>
        <v>500</v>
      </c>
      <c r="F771" s="24">
        <f>SUM($F$769:$F$770)</f>
        <v>80</v>
      </c>
      <c r="G771" s="24">
        <f>IF($E$771:$E$771 = 0, "Undefined",$F$771:$F$771*100 / $E$771:$E$771)</f>
        <v>16</v>
      </c>
      <c r="I771" s="25" t="s">
        <v>336</v>
      </c>
      <c r="J771" s="24">
        <f>SUM($J$769:$J$770)</f>
        <v>500</v>
      </c>
      <c r="K771" s="24">
        <f>SUM($K$769:$K$770)</f>
        <v>139</v>
      </c>
      <c r="L771" s="24">
        <f>IF($J$771:$J$771 = 0, "Undefined",$K$771:$K$771*100 / $J$771:$J$771)</f>
        <v>27.8</v>
      </c>
    </row>
    <row r="773" spans="2:12" ht="15.6" x14ac:dyDescent="0.3">
      <c r="B773" s="28" t="s">
        <v>388</v>
      </c>
      <c r="D773" s="59" t="s">
        <v>329</v>
      </c>
      <c r="E773" s="60"/>
      <c r="F773" s="61"/>
      <c r="I773" s="59" t="s">
        <v>329</v>
      </c>
      <c r="J773" s="60"/>
      <c r="K773" s="61"/>
    </row>
    <row r="774" spans="2:12" ht="13.8" x14ac:dyDescent="0.3">
      <c r="D774" s="26"/>
      <c r="E774" s="75" t="s">
        <v>330</v>
      </c>
      <c r="F774" s="76"/>
      <c r="I774" s="26"/>
      <c r="J774" s="75" t="s">
        <v>330</v>
      </c>
      <c r="K774" s="76"/>
    </row>
    <row r="775" spans="2:12" ht="13.8" x14ac:dyDescent="0.3">
      <c r="D775" s="25" t="s">
        <v>331</v>
      </c>
      <c r="E775" s="26">
        <v>0</v>
      </c>
      <c r="F775" s="26">
        <v>1</v>
      </c>
      <c r="I775" s="25" t="s">
        <v>331</v>
      </c>
      <c r="J775" s="26">
        <v>0</v>
      </c>
      <c r="K775" s="26">
        <v>1</v>
      </c>
    </row>
    <row r="776" spans="2:12" ht="13.8" x14ac:dyDescent="0.3">
      <c r="D776" s="25">
        <v>0</v>
      </c>
      <c r="E776" s="24">
        <v>113</v>
      </c>
      <c r="F776" s="24">
        <v>27</v>
      </c>
      <c r="I776" s="25">
        <v>0</v>
      </c>
      <c r="J776" s="24">
        <v>98</v>
      </c>
      <c r="K776" s="24">
        <v>62</v>
      </c>
    </row>
    <row r="777" spans="2:12" ht="13.8" x14ac:dyDescent="0.3">
      <c r="D777" s="25">
        <v>1</v>
      </c>
      <c r="E777" s="24">
        <v>53</v>
      </c>
      <c r="F777" s="24">
        <v>307</v>
      </c>
      <c r="I777" s="25">
        <v>1</v>
      </c>
      <c r="J777" s="24">
        <v>79</v>
      </c>
      <c r="K777" s="24">
        <v>261</v>
      </c>
    </row>
    <row r="779" spans="2:12" ht="15.6" x14ac:dyDescent="0.3">
      <c r="D779" s="59" t="s">
        <v>210</v>
      </c>
      <c r="E779" s="60"/>
      <c r="F779" s="60"/>
      <c r="G779" s="61"/>
      <c r="I779" s="59" t="s">
        <v>210</v>
      </c>
      <c r="J779" s="60"/>
      <c r="K779" s="60"/>
      <c r="L779" s="61"/>
    </row>
    <row r="780" spans="2:12" ht="13.8" x14ac:dyDescent="0.3">
      <c r="D780" s="26" t="s">
        <v>332</v>
      </c>
      <c r="E780" s="26" t="s">
        <v>333</v>
      </c>
      <c r="F780" s="26" t="s">
        <v>334</v>
      </c>
      <c r="G780" s="26" t="s">
        <v>335</v>
      </c>
      <c r="I780" s="26" t="s">
        <v>332</v>
      </c>
      <c r="J780" s="26" t="s">
        <v>333</v>
      </c>
      <c r="K780" s="26" t="s">
        <v>334</v>
      </c>
      <c r="L780" s="26" t="s">
        <v>335</v>
      </c>
    </row>
    <row r="781" spans="2:12" ht="13.8" x14ac:dyDescent="0.3">
      <c r="D781" s="25">
        <v>0</v>
      </c>
      <c r="E781" s="24">
        <f>SUM($E$776:$F$776)</f>
        <v>140</v>
      </c>
      <c r="F781" s="24">
        <f>SUM($E$776:$F$776) - $E$776:$E$776</f>
        <v>27</v>
      </c>
      <c r="G781" s="24">
        <f>IF($E$781:$E$781 = 0, "Undefined",$F$781:$F$781*100 / $E$781:$E$781)</f>
        <v>19.285714285714285</v>
      </c>
      <c r="I781" s="25">
        <v>0</v>
      </c>
      <c r="J781" s="24">
        <f>SUM($J$776:$K$776)</f>
        <v>160</v>
      </c>
      <c r="K781" s="24">
        <f>SUM($J$776:$K$776) - $J$776:$J$776</f>
        <v>62</v>
      </c>
      <c r="L781" s="24">
        <f>IF($J$781:$J$781 = 0, "Undefined",$K$781:$K$781*100 / $J$781:$J$781)</f>
        <v>38.75</v>
      </c>
    </row>
    <row r="782" spans="2:12" ht="13.8" x14ac:dyDescent="0.3">
      <c r="D782" s="25">
        <v>1</v>
      </c>
      <c r="E782" s="24">
        <f>SUM($E$777:$F$777)</f>
        <v>360</v>
      </c>
      <c r="F782" s="24">
        <f>SUM($E$777:$F$777) - $F$777:$F$777</f>
        <v>53</v>
      </c>
      <c r="G782" s="24">
        <f>IF($E$782:$E$782 = 0, "Undefined",$F$782:$F$782*100 / $E$782:$E$782)</f>
        <v>14.722222222222221</v>
      </c>
      <c r="I782" s="25">
        <v>1</v>
      </c>
      <c r="J782" s="24">
        <f>SUM($J$777:$K$777)</f>
        <v>340</v>
      </c>
      <c r="K782" s="24">
        <f>SUM($J$777:$K$777) - $K$777:$K$777</f>
        <v>79</v>
      </c>
      <c r="L782" s="24">
        <f>IF($J$782:$J$782 = 0, "Undefined",$K$782:$K$782*100 / $J$782:$J$782)</f>
        <v>23.235294117647058</v>
      </c>
    </row>
    <row r="783" spans="2:12" ht="13.8" x14ac:dyDescent="0.3">
      <c r="D783" s="25" t="s">
        <v>336</v>
      </c>
      <c r="E783" s="24">
        <f>SUM($E$781:$E$782)</f>
        <v>500</v>
      </c>
      <c r="F783" s="24">
        <f>SUM($F$781:$F$782)</f>
        <v>80</v>
      </c>
      <c r="G783" s="24">
        <f>IF($E$783:$E$783 = 0, "Undefined",$F$783:$F$783*100 / $E$783:$E$783)</f>
        <v>16</v>
      </c>
      <c r="I783" s="25" t="s">
        <v>336</v>
      </c>
      <c r="J783" s="24">
        <f>SUM($J$781:$J$782)</f>
        <v>500</v>
      </c>
      <c r="K783" s="24">
        <f>SUM($K$781:$K$782)</f>
        <v>141</v>
      </c>
      <c r="L783" s="24">
        <f>IF($J$783:$J$783 = 0, "Undefined",$K$783:$K$783*100 / $J$783:$J$783)</f>
        <v>28.2</v>
      </c>
    </row>
    <row r="785" spans="2:12" ht="15.6" x14ac:dyDescent="0.3">
      <c r="B785" s="28" t="s">
        <v>389</v>
      </c>
      <c r="D785" s="59" t="s">
        <v>329</v>
      </c>
      <c r="E785" s="60"/>
      <c r="F785" s="61"/>
      <c r="I785" s="59" t="s">
        <v>329</v>
      </c>
      <c r="J785" s="60"/>
      <c r="K785" s="61"/>
    </row>
    <row r="786" spans="2:12" ht="13.8" x14ac:dyDescent="0.3">
      <c r="D786" s="26"/>
      <c r="E786" s="75" t="s">
        <v>330</v>
      </c>
      <c r="F786" s="76"/>
      <c r="I786" s="26"/>
      <c r="J786" s="75" t="s">
        <v>330</v>
      </c>
      <c r="K786" s="76"/>
    </row>
    <row r="787" spans="2:12" ht="13.8" x14ac:dyDescent="0.3">
      <c r="D787" s="25" t="s">
        <v>331</v>
      </c>
      <c r="E787" s="26">
        <v>0</v>
      </c>
      <c r="F787" s="26">
        <v>1</v>
      </c>
      <c r="I787" s="25" t="s">
        <v>331</v>
      </c>
      <c r="J787" s="26">
        <v>0</v>
      </c>
      <c r="K787" s="26">
        <v>1</v>
      </c>
    </row>
    <row r="788" spans="2:12" ht="13.8" x14ac:dyDescent="0.3">
      <c r="D788" s="25">
        <v>0</v>
      </c>
      <c r="E788" s="24">
        <v>100</v>
      </c>
      <c r="F788" s="24">
        <v>40</v>
      </c>
      <c r="I788" s="25">
        <v>0</v>
      </c>
      <c r="J788" s="24">
        <v>76</v>
      </c>
      <c r="K788" s="24">
        <v>84</v>
      </c>
    </row>
    <row r="789" spans="2:12" ht="13.8" x14ac:dyDescent="0.3">
      <c r="D789" s="25">
        <v>1</v>
      </c>
      <c r="E789" s="24">
        <v>21</v>
      </c>
      <c r="F789" s="24">
        <v>339</v>
      </c>
      <c r="I789" s="25">
        <v>1</v>
      </c>
      <c r="J789" s="24">
        <v>59</v>
      </c>
      <c r="K789" s="24">
        <v>281</v>
      </c>
    </row>
    <row r="791" spans="2:12" ht="15.6" x14ac:dyDescent="0.3">
      <c r="D791" s="59" t="s">
        <v>210</v>
      </c>
      <c r="E791" s="60"/>
      <c r="F791" s="60"/>
      <c r="G791" s="61"/>
      <c r="I791" s="59" t="s">
        <v>210</v>
      </c>
      <c r="J791" s="60"/>
      <c r="K791" s="60"/>
      <c r="L791" s="61"/>
    </row>
    <row r="792" spans="2:12" ht="13.8" x14ac:dyDescent="0.3">
      <c r="D792" s="26" t="s">
        <v>332</v>
      </c>
      <c r="E792" s="26" t="s">
        <v>333</v>
      </c>
      <c r="F792" s="26" t="s">
        <v>334</v>
      </c>
      <c r="G792" s="26" t="s">
        <v>335</v>
      </c>
      <c r="I792" s="26" t="s">
        <v>332</v>
      </c>
      <c r="J792" s="26" t="s">
        <v>333</v>
      </c>
      <c r="K792" s="26" t="s">
        <v>334</v>
      </c>
      <c r="L792" s="26" t="s">
        <v>335</v>
      </c>
    </row>
    <row r="793" spans="2:12" ht="13.8" x14ac:dyDescent="0.3">
      <c r="D793" s="25">
        <v>0</v>
      </c>
      <c r="E793" s="24">
        <f>SUM($E$788:$F$788)</f>
        <v>140</v>
      </c>
      <c r="F793" s="24">
        <f>SUM($E$788:$F$788) - $E$788:$E$788</f>
        <v>40</v>
      </c>
      <c r="G793" s="24">
        <f>IF($E$793:$E$793 = 0, "Undefined",$F$793:$F$793*100 / $E$793:$E$793)</f>
        <v>28.571428571428573</v>
      </c>
      <c r="I793" s="25">
        <v>0</v>
      </c>
      <c r="J793" s="24">
        <f>SUM($J$788:$K$788)</f>
        <v>160</v>
      </c>
      <c r="K793" s="24">
        <f>SUM($J$788:$K$788) - $J$788:$J$788</f>
        <v>84</v>
      </c>
      <c r="L793" s="24">
        <f>IF($J$793:$J$793 = 0, "Undefined",$K$793:$K$793*100 / $J$793:$J$793)</f>
        <v>52.5</v>
      </c>
    </row>
    <row r="794" spans="2:12" ht="13.8" x14ac:dyDescent="0.3">
      <c r="D794" s="25">
        <v>1</v>
      </c>
      <c r="E794" s="24">
        <f>SUM($E$789:$F$789)</f>
        <v>360</v>
      </c>
      <c r="F794" s="24">
        <f>SUM($E$789:$F$789) - $F$789:$F$789</f>
        <v>21</v>
      </c>
      <c r="G794" s="24">
        <f>IF($E$794:$E$794 = 0, "Undefined",$F$794:$F$794*100 / $E$794:$E$794)</f>
        <v>5.833333333333333</v>
      </c>
      <c r="I794" s="25">
        <v>1</v>
      </c>
      <c r="J794" s="24">
        <f>SUM($J$789:$K$789)</f>
        <v>340</v>
      </c>
      <c r="K794" s="24">
        <f>SUM($J$789:$K$789) - $K$789:$K$789</f>
        <v>59</v>
      </c>
      <c r="L794" s="24">
        <f>IF($J$794:$J$794 = 0, "Undefined",$K$794:$K$794*100 / $J$794:$J$794)</f>
        <v>17.352941176470587</v>
      </c>
    </row>
    <row r="795" spans="2:12" ht="13.8" x14ac:dyDescent="0.3">
      <c r="D795" s="25" t="s">
        <v>336</v>
      </c>
      <c r="E795" s="24">
        <f>SUM($E$793:$E$794)</f>
        <v>500</v>
      </c>
      <c r="F795" s="24">
        <f>SUM($F$793:$F$794)</f>
        <v>61</v>
      </c>
      <c r="G795" s="24">
        <f>IF($E$795:$E$795 = 0, "Undefined",$F$795:$F$795*100 / $E$795:$E$795)</f>
        <v>12.2</v>
      </c>
      <c r="I795" s="25" t="s">
        <v>336</v>
      </c>
      <c r="J795" s="24">
        <f>SUM($J$793:$J$794)</f>
        <v>500</v>
      </c>
      <c r="K795" s="24">
        <f>SUM($K$793:$K$794)</f>
        <v>143</v>
      </c>
      <c r="L795" s="24">
        <f>IF($J$795:$J$795 = 0, "Undefined",$K$795:$K$795*100 / $J$795:$J$795)</f>
        <v>28.6</v>
      </c>
    </row>
    <row r="797" spans="2:12" ht="15.6" x14ac:dyDescent="0.3">
      <c r="B797" s="28" t="s">
        <v>390</v>
      </c>
      <c r="D797" s="59" t="s">
        <v>329</v>
      </c>
      <c r="E797" s="60"/>
      <c r="F797" s="61"/>
      <c r="I797" s="59" t="s">
        <v>329</v>
      </c>
      <c r="J797" s="60"/>
      <c r="K797" s="61"/>
    </row>
    <row r="798" spans="2:12" ht="13.8" x14ac:dyDescent="0.3">
      <c r="D798" s="26"/>
      <c r="E798" s="75" t="s">
        <v>330</v>
      </c>
      <c r="F798" s="76"/>
      <c r="I798" s="26"/>
      <c r="J798" s="75" t="s">
        <v>330</v>
      </c>
      <c r="K798" s="76"/>
    </row>
    <row r="799" spans="2:12" ht="13.8" x14ac:dyDescent="0.3">
      <c r="D799" s="25" t="s">
        <v>331</v>
      </c>
      <c r="E799" s="26">
        <v>0</v>
      </c>
      <c r="F799" s="26">
        <v>1</v>
      </c>
      <c r="I799" s="25" t="s">
        <v>331</v>
      </c>
      <c r="J799" s="26">
        <v>0</v>
      </c>
      <c r="K799" s="26">
        <v>1</v>
      </c>
    </row>
    <row r="800" spans="2:12" ht="13.8" x14ac:dyDescent="0.3">
      <c r="D800" s="25">
        <v>0</v>
      </c>
      <c r="E800" s="24">
        <v>104</v>
      </c>
      <c r="F800" s="24">
        <v>36</v>
      </c>
      <c r="I800" s="25">
        <v>0</v>
      </c>
      <c r="J800" s="24">
        <v>82</v>
      </c>
      <c r="K800" s="24">
        <v>78</v>
      </c>
    </row>
    <row r="801" spans="2:12" ht="13.8" x14ac:dyDescent="0.3">
      <c r="D801" s="25">
        <v>1</v>
      </c>
      <c r="E801" s="24">
        <v>24</v>
      </c>
      <c r="F801" s="24">
        <v>336</v>
      </c>
      <c r="I801" s="25">
        <v>1</v>
      </c>
      <c r="J801" s="24">
        <v>60</v>
      </c>
      <c r="K801" s="24">
        <v>280</v>
      </c>
    </row>
    <row r="803" spans="2:12" ht="15.6" x14ac:dyDescent="0.3">
      <c r="D803" s="59" t="s">
        <v>210</v>
      </c>
      <c r="E803" s="60"/>
      <c r="F803" s="60"/>
      <c r="G803" s="61"/>
      <c r="I803" s="59" t="s">
        <v>210</v>
      </c>
      <c r="J803" s="60"/>
      <c r="K803" s="60"/>
      <c r="L803" s="61"/>
    </row>
    <row r="804" spans="2:12" ht="13.8" x14ac:dyDescent="0.3">
      <c r="D804" s="26" t="s">
        <v>332</v>
      </c>
      <c r="E804" s="26" t="s">
        <v>333</v>
      </c>
      <c r="F804" s="26" t="s">
        <v>334</v>
      </c>
      <c r="G804" s="26" t="s">
        <v>335</v>
      </c>
      <c r="I804" s="26" t="s">
        <v>332</v>
      </c>
      <c r="J804" s="26" t="s">
        <v>333</v>
      </c>
      <c r="K804" s="26" t="s">
        <v>334</v>
      </c>
      <c r="L804" s="26" t="s">
        <v>335</v>
      </c>
    </row>
    <row r="805" spans="2:12" ht="13.8" x14ac:dyDescent="0.3">
      <c r="D805" s="25">
        <v>0</v>
      </c>
      <c r="E805" s="24">
        <f>SUM($E$800:$F$800)</f>
        <v>140</v>
      </c>
      <c r="F805" s="24">
        <f>SUM($E$800:$F$800) - $E$800:$E$800</f>
        <v>36</v>
      </c>
      <c r="G805" s="24">
        <f>IF($E$805:$E$805 = 0, "Undefined",$F$805:$F$805*100 / $E$805:$E$805)</f>
        <v>25.714285714285715</v>
      </c>
      <c r="I805" s="25">
        <v>0</v>
      </c>
      <c r="J805" s="24">
        <f>SUM($J$800:$K$800)</f>
        <v>160</v>
      </c>
      <c r="K805" s="24">
        <f>SUM($J$800:$K$800) - $J$800:$J$800</f>
        <v>78</v>
      </c>
      <c r="L805" s="24">
        <f>IF($J$805:$J$805 = 0, "Undefined",$K$805:$K$805*100 / $J$805:$J$805)</f>
        <v>48.75</v>
      </c>
    </row>
    <row r="806" spans="2:12" ht="13.8" x14ac:dyDescent="0.3">
      <c r="D806" s="25">
        <v>1</v>
      </c>
      <c r="E806" s="24">
        <f>SUM($E$801:$F$801)</f>
        <v>360</v>
      </c>
      <c r="F806" s="24">
        <f>SUM($E$801:$F$801) - $F$801:$F$801</f>
        <v>24</v>
      </c>
      <c r="G806" s="24">
        <f>IF($E$806:$E$806 = 0, "Undefined",$F$806:$F$806*100 / $E$806:$E$806)</f>
        <v>6.666666666666667</v>
      </c>
      <c r="I806" s="25">
        <v>1</v>
      </c>
      <c r="J806" s="24">
        <f>SUM($J$801:$K$801)</f>
        <v>340</v>
      </c>
      <c r="K806" s="24">
        <f>SUM($J$801:$K$801) - $K$801:$K$801</f>
        <v>60</v>
      </c>
      <c r="L806" s="24">
        <f>IF($J$806:$J$806 = 0, "Undefined",$K$806:$K$806*100 / $J$806:$J$806)</f>
        <v>17.647058823529413</v>
      </c>
    </row>
    <row r="807" spans="2:12" ht="13.8" x14ac:dyDescent="0.3">
      <c r="D807" s="25" t="s">
        <v>336</v>
      </c>
      <c r="E807" s="24">
        <f>SUM($E$805:$E$806)</f>
        <v>500</v>
      </c>
      <c r="F807" s="24">
        <f>SUM($F$805:$F$806)</f>
        <v>60</v>
      </c>
      <c r="G807" s="24">
        <f>IF($E$807:$E$807 = 0, "Undefined",$F$807:$F$807*100 / $E$807:$E$807)</f>
        <v>12</v>
      </c>
      <c r="I807" s="25" t="s">
        <v>336</v>
      </c>
      <c r="J807" s="24">
        <f>SUM($J$805:$J$806)</f>
        <v>500</v>
      </c>
      <c r="K807" s="24">
        <f>SUM($K$805:$K$806)</f>
        <v>138</v>
      </c>
      <c r="L807" s="24">
        <f>IF($J$807:$J$807 = 0, "Undefined",$K$807:$K$807*100 / $J$807:$J$807)</f>
        <v>27.6</v>
      </c>
    </row>
    <row r="809" spans="2:12" ht="15.6" x14ac:dyDescent="0.3">
      <c r="B809" s="28" t="s">
        <v>391</v>
      </c>
      <c r="D809" s="59" t="s">
        <v>329</v>
      </c>
      <c r="E809" s="60"/>
      <c r="F809" s="61"/>
      <c r="I809" s="59" t="s">
        <v>329</v>
      </c>
      <c r="J809" s="60"/>
      <c r="K809" s="61"/>
    </row>
    <row r="810" spans="2:12" ht="13.8" x14ac:dyDescent="0.3">
      <c r="D810" s="26"/>
      <c r="E810" s="75" t="s">
        <v>330</v>
      </c>
      <c r="F810" s="76"/>
      <c r="I810" s="26"/>
      <c r="J810" s="75" t="s">
        <v>330</v>
      </c>
      <c r="K810" s="76"/>
    </row>
    <row r="811" spans="2:12" ht="13.8" x14ac:dyDescent="0.3">
      <c r="D811" s="25" t="s">
        <v>331</v>
      </c>
      <c r="E811" s="26">
        <v>0</v>
      </c>
      <c r="F811" s="26">
        <v>1</v>
      </c>
      <c r="I811" s="25" t="s">
        <v>331</v>
      </c>
      <c r="J811" s="26">
        <v>0</v>
      </c>
      <c r="K811" s="26">
        <v>1</v>
      </c>
    </row>
    <row r="812" spans="2:12" ht="13.8" x14ac:dyDescent="0.3">
      <c r="D812" s="25">
        <v>0</v>
      </c>
      <c r="E812" s="24">
        <v>93</v>
      </c>
      <c r="F812" s="24">
        <v>47</v>
      </c>
      <c r="I812" s="25">
        <v>0</v>
      </c>
      <c r="J812" s="24">
        <v>74</v>
      </c>
      <c r="K812" s="24">
        <v>86</v>
      </c>
    </row>
    <row r="813" spans="2:12" ht="13.8" x14ac:dyDescent="0.3">
      <c r="D813" s="25">
        <v>1</v>
      </c>
      <c r="E813" s="24">
        <v>16</v>
      </c>
      <c r="F813" s="24">
        <v>344</v>
      </c>
      <c r="I813" s="25">
        <v>1</v>
      </c>
      <c r="J813" s="24">
        <v>51</v>
      </c>
      <c r="K813" s="24">
        <v>289</v>
      </c>
    </row>
    <row r="815" spans="2:12" ht="15.6" x14ac:dyDescent="0.3">
      <c r="D815" s="59" t="s">
        <v>210</v>
      </c>
      <c r="E815" s="60"/>
      <c r="F815" s="60"/>
      <c r="G815" s="61"/>
      <c r="I815" s="59" t="s">
        <v>210</v>
      </c>
      <c r="J815" s="60"/>
      <c r="K815" s="60"/>
      <c r="L815" s="61"/>
    </row>
    <row r="816" spans="2:12" ht="13.8" x14ac:dyDescent="0.3">
      <c r="D816" s="26" t="s">
        <v>332</v>
      </c>
      <c r="E816" s="26" t="s">
        <v>333</v>
      </c>
      <c r="F816" s="26" t="s">
        <v>334</v>
      </c>
      <c r="G816" s="26" t="s">
        <v>335</v>
      </c>
      <c r="I816" s="26" t="s">
        <v>332</v>
      </c>
      <c r="J816" s="26" t="s">
        <v>333</v>
      </c>
      <c r="K816" s="26" t="s">
        <v>334</v>
      </c>
      <c r="L816" s="26" t="s">
        <v>335</v>
      </c>
    </row>
    <row r="817" spans="2:12" ht="13.8" x14ac:dyDescent="0.3">
      <c r="D817" s="25">
        <v>0</v>
      </c>
      <c r="E817" s="24">
        <f>SUM($E$812:$F$812)</f>
        <v>140</v>
      </c>
      <c r="F817" s="24">
        <f>SUM($E$812:$F$812) - $E$812:$E$812</f>
        <v>47</v>
      </c>
      <c r="G817" s="24">
        <f>IF($E$817:$E$817 = 0, "Undefined",$F$817:$F$817*100 / $E$817:$E$817)</f>
        <v>33.571428571428569</v>
      </c>
      <c r="I817" s="25">
        <v>0</v>
      </c>
      <c r="J817" s="24">
        <f>SUM($J$812:$K$812)</f>
        <v>160</v>
      </c>
      <c r="K817" s="24">
        <f>SUM($J$812:$K$812) - $J$812:$J$812</f>
        <v>86</v>
      </c>
      <c r="L817" s="24">
        <f>IF($J$817:$J$817 = 0, "Undefined",$K$817:$K$817*100 / $J$817:$J$817)</f>
        <v>53.75</v>
      </c>
    </row>
    <row r="818" spans="2:12" ht="13.8" x14ac:dyDescent="0.3">
      <c r="D818" s="25">
        <v>1</v>
      </c>
      <c r="E818" s="24">
        <f>SUM($E$813:$F$813)</f>
        <v>360</v>
      </c>
      <c r="F818" s="24">
        <f>SUM($E$813:$F$813) - $F$813:$F$813</f>
        <v>16</v>
      </c>
      <c r="G818" s="24">
        <f>IF($E$818:$E$818 = 0, "Undefined",$F$818:$F$818*100 / $E$818:$E$818)</f>
        <v>4.4444444444444446</v>
      </c>
      <c r="I818" s="25">
        <v>1</v>
      </c>
      <c r="J818" s="24">
        <f>SUM($J$813:$K$813)</f>
        <v>340</v>
      </c>
      <c r="K818" s="24">
        <f>SUM($J$813:$K$813) - $K$813:$K$813</f>
        <v>51</v>
      </c>
      <c r="L818" s="24">
        <f>IF($J$818:$J$818 = 0, "Undefined",$K$818:$K$818*100 / $J$818:$J$818)</f>
        <v>15</v>
      </c>
    </row>
    <row r="819" spans="2:12" ht="13.8" x14ac:dyDescent="0.3">
      <c r="D819" s="25" t="s">
        <v>336</v>
      </c>
      <c r="E819" s="24">
        <f>SUM($E$817:$E$818)</f>
        <v>500</v>
      </c>
      <c r="F819" s="24">
        <f>SUM($F$817:$F$818)</f>
        <v>63</v>
      </c>
      <c r="G819" s="24">
        <f>IF($E$819:$E$819 = 0, "Undefined",$F$819:$F$819*100 / $E$819:$E$819)</f>
        <v>12.6</v>
      </c>
      <c r="I819" s="25" t="s">
        <v>336</v>
      </c>
      <c r="J819" s="24">
        <f>SUM($J$817:$J$818)</f>
        <v>500</v>
      </c>
      <c r="K819" s="24">
        <f>SUM($K$817:$K$818)</f>
        <v>137</v>
      </c>
      <c r="L819" s="24">
        <f>IF($J$819:$J$819 = 0, "Undefined",$K$819:$K$819*100 / $J$819:$J$819)</f>
        <v>27.4</v>
      </c>
    </row>
    <row r="821" spans="2:12" ht="15.6" x14ac:dyDescent="0.3">
      <c r="B821" s="28" t="s">
        <v>392</v>
      </c>
      <c r="D821" s="59" t="s">
        <v>329</v>
      </c>
      <c r="E821" s="60"/>
      <c r="F821" s="61"/>
      <c r="I821" s="59" t="s">
        <v>329</v>
      </c>
      <c r="J821" s="60"/>
      <c r="K821" s="61"/>
    </row>
    <row r="822" spans="2:12" ht="13.8" x14ac:dyDescent="0.3">
      <c r="D822" s="26"/>
      <c r="E822" s="75" t="s">
        <v>330</v>
      </c>
      <c r="F822" s="76"/>
      <c r="I822" s="26"/>
      <c r="J822" s="75" t="s">
        <v>330</v>
      </c>
      <c r="K822" s="76"/>
    </row>
    <row r="823" spans="2:12" ht="13.8" x14ac:dyDescent="0.3">
      <c r="D823" s="25" t="s">
        <v>331</v>
      </c>
      <c r="E823" s="26">
        <v>0</v>
      </c>
      <c r="F823" s="26">
        <v>1</v>
      </c>
      <c r="I823" s="25" t="s">
        <v>331</v>
      </c>
      <c r="J823" s="26">
        <v>0</v>
      </c>
      <c r="K823" s="26">
        <v>1</v>
      </c>
    </row>
    <row r="824" spans="2:12" ht="13.8" x14ac:dyDescent="0.3">
      <c r="D824" s="25">
        <v>0</v>
      </c>
      <c r="E824" s="24">
        <v>90</v>
      </c>
      <c r="F824" s="24">
        <v>50</v>
      </c>
      <c r="I824" s="25">
        <v>0</v>
      </c>
      <c r="J824" s="24">
        <v>77</v>
      </c>
      <c r="K824" s="24">
        <v>83</v>
      </c>
    </row>
    <row r="825" spans="2:12" ht="13.8" x14ac:dyDescent="0.3">
      <c r="D825" s="25">
        <v>1</v>
      </c>
      <c r="E825" s="24">
        <v>18</v>
      </c>
      <c r="F825" s="24">
        <v>342</v>
      </c>
      <c r="I825" s="25">
        <v>1</v>
      </c>
      <c r="J825" s="24">
        <v>48</v>
      </c>
      <c r="K825" s="24">
        <v>292</v>
      </c>
    </row>
    <row r="827" spans="2:12" ht="15.6" x14ac:dyDescent="0.3">
      <c r="D827" s="59" t="s">
        <v>210</v>
      </c>
      <c r="E827" s="60"/>
      <c r="F827" s="60"/>
      <c r="G827" s="61"/>
      <c r="I827" s="59" t="s">
        <v>210</v>
      </c>
      <c r="J827" s="60"/>
      <c r="K827" s="60"/>
      <c r="L827" s="61"/>
    </row>
    <row r="828" spans="2:12" ht="13.8" x14ac:dyDescent="0.3">
      <c r="D828" s="26" t="s">
        <v>332</v>
      </c>
      <c r="E828" s="26" t="s">
        <v>333</v>
      </c>
      <c r="F828" s="26" t="s">
        <v>334</v>
      </c>
      <c r="G828" s="26" t="s">
        <v>335</v>
      </c>
      <c r="I828" s="26" t="s">
        <v>332</v>
      </c>
      <c r="J828" s="26" t="s">
        <v>333</v>
      </c>
      <c r="K828" s="26" t="s">
        <v>334</v>
      </c>
      <c r="L828" s="26" t="s">
        <v>335</v>
      </c>
    </row>
    <row r="829" spans="2:12" ht="13.8" x14ac:dyDescent="0.3">
      <c r="D829" s="25">
        <v>0</v>
      </c>
      <c r="E829" s="24">
        <f>SUM($E$824:$F$824)</f>
        <v>140</v>
      </c>
      <c r="F829" s="24">
        <f>SUM($E$824:$F$824) - $E$824:$E$824</f>
        <v>50</v>
      </c>
      <c r="G829" s="24">
        <f>IF($E$829:$E$829 = 0, "Undefined",$F$829:$F$829*100 / $E$829:$E$829)</f>
        <v>35.714285714285715</v>
      </c>
      <c r="I829" s="25">
        <v>0</v>
      </c>
      <c r="J829" s="24">
        <f>SUM($J$824:$K$824)</f>
        <v>160</v>
      </c>
      <c r="K829" s="24">
        <f>SUM($J$824:$K$824) - $J$824:$J$824</f>
        <v>83</v>
      </c>
      <c r="L829" s="24">
        <f>IF($J$829:$J$829 = 0, "Undefined",$K$829:$K$829*100 / $J$829:$J$829)</f>
        <v>51.875</v>
      </c>
    </row>
    <row r="830" spans="2:12" ht="13.8" x14ac:dyDescent="0.3">
      <c r="D830" s="25">
        <v>1</v>
      </c>
      <c r="E830" s="24">
        <f>SUM($E$825:$F$825)</f>
        <v>360</v>
      </c>
      <c r="F830" s="24">
        <f>SUM($E$825:$F$825) - $F$825:$F$825</f>
        <v>18</v>
      </c>
      <c r="G830" s="24">
        <f>IF($E$830:$E$830 = 0, "Undefined",$F$830:$F$830*100 / $E$830:$E$830)</f>
        <v>5</v>
      </c>
      <c r="I830" s="25">
        <v>1</v>
      </c>
      <c r="J830" s="24">
        <f>SUM($J$825:$K$825)</f>
        <v>340</v>
      </c>
      <c r="K830" s="24">
        <f>SUM($J$825:$K$825) - $K$825:$K$825</f>
        <v>48</v>
      </c>
      <c r="L830" s="24">
        <f>IF($J$830:$J$830 = 0, "Undefined",$K$830:$K$830*100 / $J$830:$J$830)</f>
        <v>14.117647058823529</v>
      </c>
    </row>
    <row r="831" spans="2:12" ht="13.8" x14ac:dyDescent="0.3">
      <c r="D831" s="25" t="s">
        <v>336</v>
      </c>
      <c r="E831" s="24">
        <f>SUM($E$829:$E$830)</f>
        <v>500</v>
      </c>
      <c r="F831" s="24">
        <f>SUM($F$829:$F$830)</f>
        <v>68</v>
      </c>
      <c r="G831" s="24">
        <f>IF($E$831:$E$831 = 0, "Undefined",$F$831:$F$831*100 / $E$831:$E$831)</f>
        <v>13.6</v>
      </c>
      <c r="I831" s="25" t="s">
        <v>336</v>
      </c>
      <c r="J831" s="24">
        <f>SUM($J$829:$J$830)</f>
        <v>500</v>
      </c>
      <c r="K831" s="24">
        <f>SUM($K$829:$K$830)</f>
        <v>131</v>
      </c>
      <c r="L831" s="24">
        <f>IF($J$831:$J$831 = 0, "Undefined",$K$831:$K$831*100 / $J$831:$J$831)</f>
        <v>26.2</v>
      </c>
    </row>
    <row r="833" spans="2:12" ht="15.6" x14ac:dyDescent="0.3">
      <c r="B833" s="28" t="s">
        <v>393</v>
      </c>
      <c r="D833" s="59" t="s">
        <v>329</v>
      </c>
      <c r="E833" s="60"/>
      <c r="F833" s="61"/>
      <c r="I833" s="59" t="s">
        <v>329</v>
      </c>
      <c r="J833" s="60"/>
      <c r="K833" s="61"/>
    </row>
    <row r="834" spans="2:12" ht="13.8" x14ac:dyDescent="0.3">
      <c r="D834" s="26"/>
      <c r="E834" s="75" t="s">
        <v>330</v>
      </c>
      <c r="F834" s="76"/>
      <c r="I834" s="26"/>
      <c r="J834" s="75" t="s">
        <v>330</v>
      </c>
      <c r="K834" s="76"/>
    </row>
    <row r="835" spans="2:12" ht="13.8" x14ac:dyDescent="0.3">
      <c r="D835" s="25" t="s">
        <v>331</v>
      </c>
      <c r="E835" s="26">
        <v>0</v>
      </c>
      <c r="F835" s="26">
        <v>1</v>
      </c>
      <c r="I835" s="25" t="s">
        <v>331</v>
      </c>
      <c r="J835" s="26">
        <v>0</v>
      </c>
      <c r="K835" s="26">
        <v>1</v>
      </c>
    </row>
    <row r="836" spans="2:12" ht="13.8" x14ac:dyDescent="0.3">
      <c r="D836" s="25">
        <v>0</v>
      </c>
      <c r="E836" s="24">
        <v>92</v>
      </c>
      <c r="F836" s="24">
        <v>48</v>
      </c>
      <c r="I836" s="25">
        <v>0</v>
      </c>
      <c r="J836" s="24">
        <v>66</v>
      </c>
      <c r="K836" s="24">
        <v>94</v>
      </c>
    </row>
    <row r="837" spans="2:12" ht="13.8" x14ac:dyDescent="0.3">
      <c r="D837" s="25">
        <v>1</v>
      </c>
      <c r="E837" s="24">
        <v>10</v>
      </c>
      <c r="F837" s="24">
        <v>350</v>
      </c>
      <c r="I837" s="25">
        <v>1</v>
      </c>
      <c r="J837" s="24">
        <v>44</v>
      </c>
      <c r="K837" s="24">
        <v>296</v>
      </c>
    </row>
    <row r="839" spans="2:12" ht="15.6" x14ac:dyDescent="0.3">
      <c r="D839" s="59" t="s">
        <v>210</v>
      </c>
      <c r="E839" s="60"/>
      <c r="F839" s="60"/>
      <c r="G839" s="61"/>
      <c r="I839" s="59" t="s">
        <v>210</v>
      </c>
      <c r="J839" s="60"/>
      <c r="K839" s="60"/>
      <c r="L839" s="61"/>
    </row>
    <row r="840" spans="2:12" ht="13.8" x14ac:dyDescent="0.3">
      <c r="D840" s="26" t="s">
        <v>332</v>
      </c>
      <c r="E840" s="26" t="s">
        <v>333</v>
      </c>
      <c r="F840" s="26" t="s">
        <v>334</v>
      </c>
      <c r="G840" s="26" t="s">
        <v>335</v>
      </c>
      <c r="I840" s="26" t="s">
        <v>332</v>
      </c>
      <c r="J840" s="26" t="s">
        <v>333</v>
      </c>
      <c r="K840" s="26" t="s">
        <v>334</v>
      </c>
      <c r="L840" s="26" t="s">
        <v>335</v>
      </c>
    </row>
    <row r="841" spans="2:12" ht="13.8" x14ac:dyDescent="0.3">
      <c r="D841" s="25">
        <v>0</v>
      </c>
      <c r="E841" s="24">
        <f>SUM($E$836:$F$836)</f>
        <v>140</v>
      </c>
      <c r="F841" s="24">
        <f>SUM($E$836:$F$836) - $E$836:$E$836</f>
        <v>48</v>
      </c>
      <c r="G841" s="24">
        <f>IF($E$841:$E$841 = 0, "Undefined",$F$841:$F$841*100 / $E$841:$E$841)</f>
        <v>34.285714285714285</v>
      </c>
      <c r="I841" s="25">
        <v>0</v>
      </c>
      <c r="J841" s="24">
        <f>SUM($J$836:$K$836)</f>
        <v>160</v>
      </c>
      <c r="K841" s="24">
        <f>SUM($J$836:$K$836) - $J$836:$J$836</f>
        <v>94</v>
      </c>
      <c r="L841" s="24">
        <f>IF($J$841:$J$841 = 0, "Undefined",$K$841:$K$841*100 / $J$841:$J$841)</f>
        <v>58.75</v>
      </c>
    </row>
    <row r="842" spans="2:12" ht="13.8" x14ac:dyDescent="0.3">
      <c r="D842" s="25">
        <v>1</v>
      </c>
      <c r="E842" s="24">
        <f>SUM($E$837:$F$837)</f>
        <v>360</v>
      </c>
      <c r="F842" s="24">
        <f>SUM($E$837:$F$837) - $F$837:$F$837</f>
        <v>10</v>
      </c>
      <c r="G842" s="24">
        <f>IF($E$842:$E$842 = 0, "Undefined",$F$842:$F$842*100 / $E$842:$E$842)</f>
        <v>2.7777777777777777</v>
      </c>
      <c r="I842" s="25">
        <v>1</v>
      </c>
      <c r="J842" s="24">
        <f>SUM($J$837:$K$837)</f>
        <v>340</v>
      </c>
      <c r="K842" s="24">
        <f>SUM($J$837:$K$837) - $K$837:$K$837</f>
        <v>44</v>
      </c>
      <c r="L842" s="24">
        <f>IF($J$842:$J$842 = 0, "Undefined",$K$842:$K$842*100 / $J$842:$J$842)</f>
        <v>12.941176470588236</v>
      </c>
    </row>
    <row r="843" spans="2:12" ht="13.8" x14ac:dyDescent="0.3">
      <c r="D843" s="25" t="s">
        <v>336</v>
      </c>
      <c r="E843" s="24">
        <f>SUM($E$841:$E$842)</f>
        <v>500</v>
      </c>
      <c r="F843" s="24">
        <f>SUM($F$841:$F$842)</f>
        <v>58</v>
      </c>
      <c r="G843" s="24">
        <f>IF($E$843:$E$843 = 0, "Undefined",$F$843:$F$843*100 / $E$843:$E$843)</f>
        <v>11.6</v>
      </c>
      <c r="I843" s="25" t="s">
        <v>336</v>
      </c>
      <c r="J843" s="24">
        <f>SUM($J$841:$J$842)</f>
        <v>500</v>
      </c>
      <c r="K843" s="24">
        <f>SUM($K$841:$K$842)</f>
        <v>138</v>
      </c>
      <c r="L843" s="24">
        <f>IF($J$843:$J$843 = 0, "Undefined",$K$843:$K$843*100 / $J$843:$J$843)</f>
        <v>27.6</v>
      </c>
    </row>
    <row r="845" spans="2:12" ht="15.6" x14ac:dyDescent="0.3">
      <c r="B845" s="28" t="s">
        <v>394</v>
      </c>
      <c r="D845" s="59" t="s">
        <v>329</v>
      </c>
      <c r="E845" s="60"/>
      <c r="F845" s="61"/>
      <c r="I845" s="59" t="s">
        <v>329</v>
      </c>
      <c r="J845" s="60"/>
      <c r="K845" s="61"/>
    </row>
    <row r="846" spans="2:12" ht="13.8" x14ac:dyDescent="0.3">
      <c r="D846" s="26"/>
      <c r="E846" s="75" t="s">
        <v>330</v>
      </c>
      <c r="F846" s="76"/>
      <c r="I846" s="26"/>
      <c r="J846" s="75" t="s">
        <v>330</v>
      </c>
      <c r="K846" s="76"/>
    </row>
    <row r="847" spans="2:12" ht="13.8" x14ac:dyDescent="0.3">
      <c r="D847" s="25" t="s">
        <v>331</v>
      </c>
      <c r="E847" s="26">
        <v>0</v>
      </c>
      <c r="F847" s="26">
        <v>1</v>
      </c>
      <c r="I847" s="25" t="s">
        <v>331</v>
      </c>
      <c r="J847" s="26">
        <v>0</v>
      </c>
      <c r="K847" s="26">
        <v>1</v>
      </c>
    </row>
    <row r="848" spans="2:12" ht="13.8" x14ac:dyDescent="0.3">
      <c r="D848" s="25">
        <v>0</v>
      </c>
      <c r="E848" s="24">
        <v>99</v>
      </c>
      <c r="F848" s="24">
        <v>41</v>
      </c>
      <c r="I848" s="25">
        <v>0</v>
      </c>
      <c r="J848" s="24">
        <v>85</v>
      </c>
      <c r="K848" s="24">
        <v>75</v>
      </c>
    </row>
    <row r="849" spans="2:12" ht="13.8" x14ac:dyDescent="0.3">
      <c r="D849" s="25">
        <v>1</v>
      </c>
      <c r="E849" s="24">
        <v>12</v>
      </c>
      <c r="F849" s="24">
        <v>348</v>
      </c>
      <c r="I849" s="25">
        <v>1</v>
      </c>
      <c r="J849" s="24">
        <v>60</v>
      </c>
      <c r="K849" s="24">
        <v>280</v>
      </c>
    </row>
    <row r="851" spans="2:12" ht="15.6" x14ac:dyDescent="0.3">
      <c r="D851" s="59" t="s">
        <v>210</v>
      </c>
      <c r="E851" s="60"/>
      <c r="F851" s="60"/>
      <c r="G851" s="61"/>
      <c r="I851" s="59" t="s">
        <v>210</v>
      </c>
      <c r="J851" s="60"/>
      <c r="K851" s="60"/>
      <c r="L851" s="61"/>
    </row>
    <row r="852" spans="2:12" ht="13.8" x14ac:dyDescent="0.3">
      <c r="D852" s="26" t="s">
        <v>332</v>
      </c>
      <c r="E852" s="26" t="s">
        <v>333</v>
      </c>
      <c r="F852" s="26" t="s">
        <v>334</v>
      </c>
      <c r="G852" s="26" t="s">
        <v>335</v>
      </c>
      <c r="I852" s="26" t="s">
        <v>332</v>
      </c>
      <c r="J852" s="26" t="s">
        <v>333</v>
      </c>
      <c r="K852" s="26" t="s">
        <v>334</v>
      </c>
      <c r="L852" s="26" t="s">
        <v>335</v>
      </c>
    </row>
    <row r="853" spans="2:12" ht="13.8" x14ac:dyDescent="0.3">
      <c r="D853" s="25">
        <v>0</v>
      </c>
      <c r="E853" s="24">
        <f>SUM($E$848:$F$848)</f>
        <v>140</v>
      </c>
      <c r="F853" s="24">
        <f>SUM($E$848:$F$848) - $E$848:$E$848</f>
        <v>41</v>
      </c>
      <c r="G853" s="24">
        <f>IF($E$853:$E$853 = 0, "Undefined",$F$853:$F$853*100 / $E$853:$E$853)</f>
        <v>29.285714285714285</v>
      </c>
      <c r="I853" s="25">
        <v>0</v>
      </c>
      <c r="J853" s="24">
        <f>SUM($J$848:$K$848)</f>
        <v>160</v>
      </c>
      <c r="K853" s="24">
        <f>SUM($J$848:$K$848) - $J$848:$J$848</f>
        <v>75</v>
      </c>
      <c r="L853" s="24">
        <f>IF($J$853:$J$853 = 0, "Undefined",$K$853:$K$853*100 / $J$853:$J$853)</f>
        <v>46.875</v>
      </c>
    </row>
    <row r="854" spans="2:12" ht="13.8" x14ac:dyDescent="0.3">
      <c r="D854" s="25">
        <v>1</v>
      </c>
      <c r="E854" s="24">
        <f>SUM($E$849:$F$849)</f>
        <v>360</v>
      </c>
      <c r="F854" s="24">
        <f>SUM($E$849:$F$849) - $F$849:$F$849</f>
        <v>12</v>
      </c>
      <c r="G854" s="24">
        <f>IF($E$854:$E$854 = 0, "Undefined",$F$854:$F$854*100 / $E$854:$E$854)</f>
        <v>3.3333333333333335</v>
      </c>
      <c r="I854" s="25">
        <v>1</v>
      </c>
      <c r="J854" s="24">
        <f>SUM($J$849:$K$849)</f>
        <v>340</v>
      </c>
      <c r="K854" s="24">
        <f>SUM($J$849:$K$849) - $K$849:$K$849</f>
        <v>60</v>
      </c>
      <c r="L854" s="24">
        <f>IF($J$854:$J$854 = 0, "Undefined",$K$854:$K$854*100 / $J$854:$J$854)</f>
        <v>17.647058823529413</v>
      </c>
    </row>
    <row r="855" spans="2:12" ht="13.8" x14ac:dyDescent="0.3">
      <c r="D855" s="25" t="s">
        <v>336</v>
      </c>
      <c r="E855" s="24">
        <f>SUM($E$853:$E$854)</f>
        <v>500</v>
      </c>
      <c r="F855" s="24">
        <f>SUM($F$853:$F$854)</f>
        <v>53</v>
      </c>
      <c r="G855" s="24">
        <f>IF($E$855:$E$855 = 0, "Undefined",$F$855:$F$855*100 / $E$855:$E$855)</f>
        <v>10.6</v>
      </c>
      <c r="I855" s="25" t="s">
        <v>336</v>
      </c>
      <c r="J855" s="24">
        <f>SUM($J$853:$J$854)</f>
        <v>500</v>
      </c>
      <c r="K855" s="24">
        <f>SUM($K$853:$K$854)</f>
        <v>135</v>
      </c>
      <c r="L855" s="24">
        <f>IF($J$855:$J$855 = 0, "Undefined",$K$855:$K$855*100 / $J$855:$J$855)</f>
        <v>27</v>
      </c>
    </row>
    <row r="857" spans="2:12" ht="15.6" x14ac:dyDescent="0.3">
      <c r="B857" s="28" t="s">
        <v>395</v>
      </c>
      <c r="D857" s="59" t="s">
        <v>329</v>
      </c>
      <c r="E857" s="60"/>
      <c r="F857" s="61"/>
      <c r="I857" s="59" t="s">
        <v>329</v>
      </c>
      <c r="J857" s="60"/>
      <c r="K857" s="61"/>
    </row>
    <row r="858" spans="2:12" ht="13.8" x14ac:dyDescent="0.3">
      <c r="D858" s="26"/>
      <c r="E858" s="75" t="s">
        <v>330</v>
      </c>
      <c r="F858" s="76"/>
      <c r="I858" s="26"/>
      <c r="J858" s="75" t="s">
        <v>330</v>
      </c>
      <c r="K858" s="76"/>
    </row>
    <row r="859" spans="2:12" ht="13.8" x14ac:dyDescent="0.3">
      <c r="D859" s="25" t="s">
        <v>331</v>
      </c>
      <c r="E859" s="26">
        <v>0</v>
      </c>
      <c r="F859" s="26">
        <v>1</v>
      </c>
      <c r="I859" s="25" t="s">
        <v>331</v>
      </c>
      <c r="J859" s="26">
        <v>0</v>
      </c>
      <c r="K859" s="26">
        <v>1</v>
      </c>
    </row>
    <row r="860" spans="2:12" ht="13.8" x14ac:dyDescent="0.3">
      <c r="D860" s="25">
        <v>0</v>
      </c>
      <c r="E860" s="24">
        <v>93</v>
      </c>
      <c r="F860" s="24">
        <v>47</v>
      </c>
      <c r="I860" s="25">
        <v>0</v>
      </c>
      <c r="J860" s="24">
        <v>73</v>
      </c>
      <c r="K860" s="24">
        <v>87</v>
      </c>
    </row>
    <row r="861" spans="2:12" ht="13.8" x14ac:dyDescent="0.3">
      <c r="D861" s="25">
        <v>1</v>
      </c>
      <c r="E861" s="24">
        <v>20</v>
      </c>
      <c r="F861" s="24">
        <v>340</v>
      </c>
      <c r="I861" s="25">
        <v>1</v>
      </c>
      <c r="J861" s="24">
        <v>46</v>
      </c>
      <c r="K861" s="24">
        <v>294</v>
      </c>
    </row>
    <row r="863" spans="2:12" ht="15.6" x14ac:dyDescent="0.3">
      <c r="D863" s="59" t="s">
        <v>210</v>
      </c>
      <c r="E863" s="60"/>
      <c r="F863" s="60"/>
      <c r="G863" s="61"/>
      <c r="I863" s="59" t="s">
        <v>210</v>
      </c>
      <c r="J863" s="60"/>
      <c r="K863" s="60"/>
      <c r="L863" s="61"/>
    </row>
    <row r="864" spans="2:12" ht="13.8" x14ac:dyDescent="0.3">
      <c r="D864" s="26" t="s">
        <v>332</v>
      </c>
      <c r="E864" s="26" t="s">
        <v>333</v>
      </c>
      <c r="F864" s="26" t="s">
        <v>334</v>
      </c>
      <c r="G864" s="26" t="s">
        <v>335</v>
      </c>
      <c r="I864" s="26" t="s">
        <v>332</v>
      </c>
      <c r="J864" s="26" t="s">
        <v>333</v>
      </c>
      <c r="K864" s="26" t="s">
        <v>334</v>
      </c>
      <c r="L864" s="26" t="s">
        <v>335</v>
      </c>
    </row>
    <row r="865" spans="2:12" ht="13.8" x14ac:dyDescent="0.3">
      <c r="D865" s="25">
        <v>0</v>
      </c>
      <c r="E865" s="24">
        <f>SUM($E$860:$F$860)</f>
        <v>140</v>
      </c>
      <c r="F865" s="24">
        <f>SUM($E$860:$F$860) - $E$860:$E$860</f>
        <v>47</v>
      </c>
      <c r="G865" s="24">
        <f>IF($E$865:$E$865 = 0, "Undefined",$F$865:$F$865*100 / $E$865:$E$865)</f>
        <v>33.571428571428569</v>
      </c>
      <c r="I865" s="25">
        <v>0</v>
      </c>
      <c r="J865" s="24">
        <f>SUM($J$860:$K$860)</f>
        <v>160</v>
      </c>
      <c r="K865" s="24">
        <f>SUM($J$860:$K$860) - $J$860:$J$860</f>
        <v>87</v>
      </c>
      <c r="L865" s="24">
        <f>IF($J$865:$J$865 = 0, "Undefined",$K$865:$K$865*100 / $J$865:$J$865)</f>
        <v>54.375</v>
      </c>
    </row>
    <row r="866" spans="2:12" ht="13.8" x14ac:dyDescent="0.3">
      <c r="D866" s="25">
        <v>1</v>
      </c>
      <c r="E866" s="24">
        <f>SUM($E$861:$F$861)</f>
        <v>360</v>
      </c>
      <c r="F866" s="24">
        <f>SUM($E$861:$F$861) - $F$861:$F$861</f>
        <v>20</v>
      </c>
      <c r="G866" s="24">
        <f>IF($E$866:$E$866 = 0, "Undefined",$F$866:$F$866*100 / $E$866:$E$866)</f>
        <v>5.5555555555555554</v>
      </c>
      <c r="I866" s="25">
        <v>1</v>
      </c>
      <c r="J866" s="24">
        <f>SUM($J$861:$K$861)</f>
        <v>340</v>
      </c>
      <c r="K866" s="24">
        <f>SUM($J$861:$K$861) - $K$861:$K$861</f>
        <v>46</v>
      </c>
      <c r="L866" s="24">
        <f>IF($J$866:$J$866 = 0, "Undefined",$K$866:$K$866*100 / $J$866:$J$866)</f>
        <v>13.529411764705882</v>
      </c>
    </row>
    <row r="867" spans="2:12" ht="13.8" x14ac:dyDescent="0.3">
      <c r="D867" s="25" t="s">
        <v>336</v>
      </c>
      <c r="E867" s="24">
        <f>SUM($E$865:$E$866)</f>
        <v>500</v>
      </c>
      <c r="F867" s="24">
        <f>SUM($F$865:$F$866)</f>
        <v>67</v>
      </c>
      <c r="G867" s="24">
        <f>IF($E$867:$E$867 = 0, "Undefined",$F$867:$F$867*100 / $E$867:$E$867)</f>
        <v>13.4</v>
      </c>
      <c r="I867" s="25" t="s">
        <v>336</v>
      </c>
      <c r="J867" s="24">
        <f>SUM($J$865:$J$866)</f>
        <v>500</v>
      </c>
      <c r="K867" s="24">
        <f>SUM($K$865:$K$866)</f>
        <v>133</v>
      </c>
      <c r="L867" s="24">
        <f>IF($J$867:$J$867 = 0, "Undefined",$K$867:$K$867*100 / $J$867:$J$867)</f>
        <v>26.6</v>
      </c>
    </row>
    <row r="869" spans="2:12" ht="15.6" x14ac:dyDescent="0.3">
      <c r="B869" s="28" t="s">
        <v>396</v>
      </c>
      <c r="D869" s="59" t="s">
        <v>329</v>
      </c>
      <c r="E869" s="60"/>
      <c r="F869" s="61"/>
      <c r="I869" s="59" t="s">
        <v>329</v>
      </c>
      <c r="J869" s="60"/>
      <c r="K869" s="61"/>
    </row>
    <row r="870" spans="2:12" ht="13.8" x14ac:dyDescent="0.3">
      <c r="D870" s="26"/>
      <c r="E870" s="75" t="s">
        <v>330</v>
      </c>
      <c r="F870" s="76"/>
      <c r="I870" s="26"/>
      <c r="J870" s="75" t="s">
        <v>330</v>
      </c>
      <c r="K870" s="76"/>
    </row>
    <row r="871" spans="2:12" ht="13.8" x14ac:dyDescent="0.3">
      <c r="D871" s="25" t="s">
        <v>331</v>
      </c>
      <c r="E871" s="26">
        <v>0</v>
      </c>
      <c r="F871" s="26">
        <v>1</v>
      </c>
      <c r="I871" s="25" t="s">
        <v>331</v>
      </c>
      <c r="J871" s="26">
        <v>0</v>
      </c>
      <c r="K871" s="26">
        <v>1</v>
      </c>
    </row>
    <row r="872" spans="2:12" ht="13.8" x14ac:dyDescent="0.3">
      <c r="D872" s="25">
        <v>0</v>
      </c>
      <c r="E872" s="24">
        <v>94</v>
      </c>
      <c r="F872" s="24">
        <v>46</v>
      </c>
      <c r="I872" s="25">
        <v>0</v>
      </c>
      <c r="J872" s="24">
        <v>81</v>
      </c>
      <c r="K872" s="24">
        <v>79</v>
      </c>
    </row>
    <row r="873" spans="2:12" ht="13.8" x14ac:dyDescent="0.3">
      <c r="D873" s="25">
        <v>1</v>
      </c>
      <c r="E873" s="24">
        <v>18</v>
      </c>
      <c r="F873" s="24">
        <v>342</v>
      </c>
      <c r="I873" s="25">
        <v>1</v>
      </c>
      <c r="J873" s="24">
        <v>49</v>
      </c>
      <c r="K873" s="24">
        <v>291</v>
      </c>
    </row>
    <row r="875" spans="2:12" ht="15.6" x14ac:dyDescent="0.3">
      <c r="D875" s="59" t="s">
        <v>210</v>
      </c>
      <c r="E875" s="60"/>
      <c r="F875" s="60"/>
      <c r="G875" s="61"/>
      <c r="I875" s="59" t="s">
        <v>210</v>
      </c>
      <c r="J875" s="60"/>
      <c r="K875" s="60"/>
      <c r="L875" s="61"/>
    </row>
    <row r="876" spans="2:12" ht="13.8" x14ac:dyDescent="0.3">
      <c r="D876" s="26" t="s">
        <v>332</v>
      </c>
      <c r="E876" s="26" t="s">
        <v>333</v>
      </c>
      <c r="F876" s="26" t="s">
        <v>334</v>
      </c>
      <c r="G876" s="26" t="s">
        <v>335</v>
      </c>
      <c r="I876" s="26" t="s">
        <v>332</v>
      </c>
      <c r="J876" s="26" t="s">
        <v>333</v>
      </c>
      <c r="K876" s="26" t="s">
        <v>334</v>
      </c>
      <c r="L876" s="26" t="s">
        <v>335</v>
      </c>
    </row>
    <row r="877" spans="2:12" ht="13.8" x14ac:dyDescent="0.3">
      <c r="D877" s="25">
        <v>0</v>
      </c>
      <c r="E877" s="24">
        <f>SUM($E$872:$F$872)</f>
        <v>140</v>
      </c>
      <c r="F877" s="24">
        <f>SUM($E$872:$F$872) - $E$872:$E$872</f>
        <v>46</v>
      </c>
      <c r="G877" s="24">
        <f>IF($E$877:$E$877 = 0, "Undefined",$F$877:$F$877*100 / $E$877:$E$877)</f>
        <v>32.857142857142854</v>
      </c>
      <c r="I877" s="25">
        <v>0</v>
      </c>
      <c r="J877" s="24">
        <f>SUM($J$872:$K$872)</f>
        <v>160</v>
      </c>
      <c r="K877" s="24">
        <f>SUM($J$872:$K$872) - $J$872:$J$872</f>
        <v>79</v>
      </c>
      <c r="L877" s="24">
        <f>IF($J$877:$J$877 = 0, "Undefined",$K$877:$K$877*100 / $J$877:$J$877)</f>
        <v>49.375</v>
      </c>
    </row>
    <row r="878" spans="2:12" ht="13.8" x14ac:dyDescent="0.3">
      <c r="D878" s="25">
        <v>1</v>
      </c>
      <c r="E878" s="24">
        <f>SUM($E$873:$F$873)</f>
        <v>360</v>
      </c>
      <c r="F878" s="24">
        <f>SUM($E$873:$F$873) - $F$873:$F$873</f>
        <v>18</v>
      </c>
      <c r="G878" s="24">
        <f>IF($E$878:$E$878 = 0, "Undefined",$F$878:$F$878*100 / $E$878:$E$878)</f>
        <v>5</v>
      </c>
      <c r="I878" s="25">
        <v>1</v>
      </c>
      <c r="J878" s="24">
        <f>SUM($J$873:$K$873)</f>
        <v>340</v>
      </c>
      <c r="K878" s="24">
        <f>SUM($J$873:$K$873) - $K$873:$K$873</f>
        <v>49</v>
      </c>
      <c r="L878" s="24">
        <f>IF($J$878:$J$878 = 0, "Undefined",$K$878:$K$878*100 / $J$878:$J$878)</f>
        <v>14.411764705882353</v>
      </c>
    </row>
    <row r="879" spans="2:12" ht="13.8" x14ac:dyDescent="0.3">
      <c r="D879" s="25" t="s">
        <v>336</v>
      </c>
      <c r="E879" s="24">
        <f>SUM($E$877:$E$878)</f>
        <v>500</v>
      </c>
      <c r="F879" s="24">
        <f>SUM($F$877:$F$878)</f>
        <v>64</v>
      </c>
      <c r="G879" s="24">
        <f>IF($E$879:$E$879 = 0, "Undefined",$F$879:$F$879*100 / $E$879:$E$879)</f>
        <v>12.8</v>
      </c>
      <c r="I879" s="25" t="s">
        <v>336</v>
      </c>
      <c r="J879" s="24">
        <f>SUM($J$877:$J$878)</f>
        <v>500</v>
      </c>
      <c r="K879" s="24">
        <f>SUM($K$877:$K$878)</f>
        <v>128</v>
      </c>
      <c r="L879" s="24">
        <f>IF($J$879:$J$879 = 0, "Undefined",$K$879:$K$879*100 / $J$879:$J$879)</f>
        <v>25.6</v>
      </c>
    </row>
    <row r="881" spans="2:12" ht="15.6" x14ac:dyDescent="0.3">
      <c r="B881" s="28" t="s">
        <v>397</v>
      </c>
      <c r="D881" s="59" t="s">
        <v>329</v>
      </c>
      <c r="E881" s="60"/>
      <c r="F881" s="61"/>
      <c r="I881" s="59" t="s">
        <v>329</v>
      </c>
      <c r="J881" s="60"/>
      <c r="K881" s="61"/>
    </row>
    <row r="882" spans="2:12" ht="13.8" x14ac:dyDescent="0.3">
      <c r="D882" s="26"/>
      <c r="E882" s="75" t="s">
        <v>330</v>
      </c>
      <c r="F882" s="76"/>
      <c r="I882" s="26"/>
      <c r="J882" s="75" t="s">
        <v>330</v>
      </c>
      <c r="K882" s="76"/>
    </row>
    <row r="883" spans="2:12" ht="13.8" x14ac:dyDescent="0.3">
      <c r="D883" s="25" t="s">
        <v>331</v>
      </c>
      <c r="E883" s="26">
        <v>0</v>
      </c>
      <c r="F883" s="26">
        <v>1</v>
      </c>
      <c r="I883" s="25" t="s">
        <v>331</v>
      </c>
      <c r="J883" s="26">
        <v>0</v>
      </c>
      <c r="K883" s="26">
        <v>1</v>
      </c>
    </row>
    <row r="884" spans="2:12" ht="13.8" x14ac:dyDescent="0.3">
      <c r="D884" s="25">
        <v>0</v>
      </c>
      <c r="E884" s="24">
        <v>101</v>
      </c>
      <c r="F884" s="24">
        <v>39</v>
      </c>
      <c r="I884" s="25">
        <v>0</v>
      </c>
      <c r="J884" s="24">
        <v>77</v>
      </c>
      <c r="K884" s="24">
        <v>83</v>
      </c>
    </row>
    <row r="885" spans="2:12" ht="13.8" x14ac:dyDescent="0.3">
      <c r="D885" s="25">
        <v>1</v>
      </c>
      <c r="E885" s="24">
        <v>15</v>
      </c>
      <c r="F885" s="24">
        <v>345</v>
      </c>
      <c r="I885" s="25">
        <v>1</v>
      </c>
      <c r="J885" s="24">
        <v>61</v>
      </c>
      <c r="K885" s="24">
        <v>279</v>
      </c>
    </row>
    <row r="887" spans="2:12" ht="15.6" x14ac:dyDescent="0.3">
      <c r="D887" s="59" t="s">
        <v>210</v>
      </c>
      <c r="E887" s="60"/>
      <c r="F887" s="60"/>
      <c r="G887" s="61"/>
      <c r="I887" s="59" t="s">
        <v>210</v>
      </c>
      <c r="J887" s="60"/>
      <c r="K887" s="60"/>
      <c r="L887" s="61"/>
    </row>
    <row r="888" spans="2:12" ht="13.8" x14ac:dyDescent="0.3">
      <c r="D888" s="26" t="s">
        <v>332</v>
      </c>
      <c r="E888" s="26" t="s">
        <v>333</v>
      </c>
      <c r="F888" s="26" t="s">
        <v>334</v>
      </c>
      <c r="G888" s="26" t="s">
        <v>335</v>
      </c>
      <c r="I888" s="26" t="s">
        <v>332</v>
      </c>
      <c r="J888" s="26" t="s">
        <v>333</v>
      </c>
      <c r="K888" s="26" t="s">
        <v>334</v>
      </c>
      <c r="L888" s="26" t="s">
        <v>335</v>
      </c>
    </row>
    <row r="889" spans="2:12" ht="13.8" x14ac:dyDescent="0.3">
      <c r="D889" s="25">
        <v>0</v>
      </c>
      <c r="E889" s="24">
        <f>SUM($E$884:$F$884)</f>
        <v>140</v>
      </c>
      <c r="F889" s="24">
        <f>SUM($E$884:$F$884) - $E$884:$E$884</f>
        <v>39</v>
      </c>
      <c r="G889" s="24">
        <f>IF($E$889:$E$889 = 0, "Undefined",$F$889:$F$889*100 / $E$889:$E$889)</f>
        <v>27.857142857142858</v>
      </c>
      <c r="I889" s="25">
        <v>0</v>
      </c>
      <c r="J889" s="24">
        <f>SUM($J$884:$K$884)</f>
        <v>160</v>
      </c>
      <c r="K889" s="24">
        <f>SUM($J$884:$K$884) - $J$884:$J$884</f>
        <v>83</v>
      </c>
      <c r="L889" s="24">
        <f>IF($J$889:$J$889 = 0, "Undefined",$K$889:$K$889*100 / $J$889:$J$889)</f>
        <v>51.875</v>
      </c>
    </row>
    <row r="890" spans="2:12" ht="13.8" x14ac:dyDescent="0.3">
      <c r="D890" s="25">
        <v>1</v>
      </c>
      <c r="E890" s="24">
        <f>SUM($E$885:$F$885)</f>
        <v>360</v>
      </c>
      <c r="F890" s="24">
        <f>SUM($E$885:$F$885) - $F$885:$F$885</f>
        <v>15</v>
      </c>
      <c r="G890" s="24">
        <f>IF($E$890:$E$890 = 0, "Undefined",$F$890:$F$890*100 / $E$890:$E$890)</f>
        <v>4.166666666666667</v>
      </c>
      <c r="I890" s="25">
        <v>1</v>
      </c>
      <c r="J890" s="24">
        <f>SUM($J$885:$K$885)</f>
        <v>340</v>
      </c>
      <c r="K890" s="24">
        <f>SUM($J$885:$K$885) - $K$885:$K$885</f>
        <v>61</v>
      </c>
      <c r="L890" s="24">
        <f>IF($J$890:$J$890 = 0, "Undefined",$K$890:$K$890*100 / $J$890:$J$890)</f>
        <v>17.941176470588236</v>
      </c>
    </row>
    <row r="891" spans="2:12" ht="13.8" x14ac:dyDescent="0.3">
      <c r="D891" s="25" t="s">
        <v>336</v>
      </c>
      <c r="E891" s="24">
        <f>SUM($E$889:$E$890)</f>
        <v>500</v>
      </c>
      <c r="F891" s="24">
        <f>SUM($F$889:$F$890)</f>
        <v>54</v>
      </c>
      <c r="G891" s="24">
        <f>IF($E$891:$E$891 = 0, "Undefined",$F$891:$F$891*100 / $E$891:$E$891)</f>
        <v>10.8</v>
      </c>
      <c r="I891" s="25" t="s">
        <v>336</v>
      </c>
      <c r="J891" s="24">
        <f>SUM($J$889:$J$890)</f>
        <v>500</v>
      </c>
      <c r="K891" s="24">
        <f>SUM($K$889:$K$890)</f>
        <v>144</v>
      </c>
      <c r="L891" s="24">
        <f>IF($J$891:$J$891 = 0, "Undefined",$K$891:$K$891*100 / $J$891:$J$891)</f>
        <v>28.8</v>
      </c>
    </row>
    <row r="893" spans="2:12" ht="15.6" x14ac:dyDescent="0.3">
      <c r="B893" s="28" t="s">
        <v>398</v>
      </c>
      <c r="D893" s="59" t="s">
        <v>329</v>
      </c>
      <c r="E893" s="60"/>
      <c r="F893" s="61"/>
      <c r="I893" s="59" t="s">
        <v>329</v>
      </c>
      <c r="J893" s="60"/>
      <c r="K893" s="61"/>
    </row>
    <row r="894" spans="2:12" ht="13.8" x14ac:dyDescent="0.3">
      <c r="D894" s="26"/>
      <c r="E894" s="75" t="s">
        <v>330</v>
      </c>
      <c r="F894" s="76"/>
      <c r="I894" s="26"/>
      <c r="J894" s="75" t="s">
        <v>330</v>
      </c>
      <c r="K894" s="76"/>
    </row>
    <row r="895" spans="2:12" ht="13.8" x14ac:dyDescent="0.3">
      <c r="D895" s="25" t="s">
        <v>331</v>
      </c>
      <c r="E895" s="26">
        <v>0</v>
      </c>
      <c r="F895" s="26">
        <v>1</v>
      </c>
      <c r="I895" s="25" t="s">
        <v>331</v>
      </c>
      <c r="J895" s="26">
        <v>0</v>
      </c>
      <c r="K895" s="26">
        <v>1</v>
      </c>
    </row>
    <row r="896" spans="2:12" ht="13.8" x14ac:dyDescent="0.3">
      <c r="D896" s="25">
        <v>0</v>
      </c>
      <c r="E896" s="24">
        <v>101</v>
      </c>
      <c r="F896" s="24">
        <v>39</v>
      </c>
      <c r="I896" s="25">
        <v>0</v>
      </c>
      <c r="J896" s="24">
        <v>85</v>
      </c>
      <c r="K896" s="24">
        <v>75</v>
      </c>
    </row>
    <row r="897" spans="2:12" ht="13.8" x14ac:dyDescent="0.3">
      <c r="D897" s="25">
        <v>1</v>
      </c>
      <c r="E897" s="24">
        <v>44</v>
      </c>
      <c r="F897" s="24">
        <v>316</v>
      </c>
      <c r="I897" s="25">
        <v>1</v>
      </c>
      <c r="J897" s="24">
        <v>67</v>
      </c>
      <c r="K897" s="24">
        <v>273</v>
      </c>
    </row>
    <row r="899" spans="2:12" ht="15.6" x14ac:dyDescent="0.3">
      <c r="D899" s="59" t="s">
        <v>210</v>
      </c>
      <c r="E899" s="60"/>
      <c r="F899" s="60"/>
      <c r="G899" s="61"/>
      <c r="I899" s="59" t="s">
        <v>210</v>
      </c>
      <c r="J899" s="60"/>
      <c r="K899" s="60"/>
      <c r="L899" s="61"/>
    </row>
    <row r="900" spans="2:12" ht="13.8" x14ac:dyDescent="0.3">
      <c r="D900" s="26" t="s">
        <v>332</v>
      </c>
      <c r="E900" s="26" t="s">
        <v>333</v>
      </c>
      <c r="F900" s="26" t="s">
        <v>334</v>
      </c>
      <c r="G900" s="26" t="s">
        <v>335</v>
      </c>
      <c r="I900" s="26" t="s">
        <v>332</v>
      </c>
      <c r="J900" s="26" t="s">
        <v>333</v>
      </c>
      <c r="K900" s="26" t="s">
        <v>334</v>
      </c>
      <c r="L900" s="26" t="s">
        <v>335</v>
      </c>
    </row>
    <row r="901" spans="2:12" ht="13.8" x14ac:dyDescent="0.3">
      <c r="D901" s="25">
        <v>0</v>
      </c>
      <c r="E901" s="24">
        <f>SUM($E$896:$F$896)</f>
        <v>140</v>
      </c>
      <c r="F901" s="24">
        <f>SUM($E$896:$F$896) - $E$896:$E$896</f>
        <v>39</v>
      </c>
      <c r="G901" s="24">
        <f>IF($E$901:$E$901 = 0, "Undefined",$F$901:$F$901*100 / $E$901:$E$901)</f>
        <v>27.857142857142858</v>
      </c>
      <c r="I901" s="25">
        <v>0</v>
      </c>
      <c r="J901" s="24">
        <f>SUM($J$896:$K$896)</f>
        <v>160</v>
      </c>
      <c r="K901" s="24">
        <f>SUM($J$896:$K$896) - $J$896:$J$896</f>
        <v>75</v>
      </c>
      <c r="L901" s="24">
        <f>IF($J$901:$J$901 = 0, "Undefined",$K$901:$K$901*100 / $J$901:$J$901)</f>
        <v>46.875</v>
      </c>
    </row>
    <row r="902" spans="2:12" ht="13.8" x14ac:dyDescent="0.3">
      <c r="D902" s="25">
        <v>1</v>
      </c>
      <c r="E902" s="24">
        <f>SUM($E$897:$F$897)</f>
        <v>360</v>
      </c>
      <c r="F902" s="24">
        <f>SUM($E$897:$F$897) - $F$897:$F$897</f>
        <v>44</v>
      </c>
      <c r="G902" s="24">
        <f>IF($E$902:$E$902 = 0, "Undefined",$F$902:$F$902*100 / $E$902:$E$902)</f>
        <v>12.222222222222221</v>
      </c>
      <c r="I902" s="25">
        <v>1</v>
      </c>
      <c r="J902" s="24">
        <f>SUM($J$897:$K$897)</f>
        <v>340</v>
      </c>
      <c r="K902" s="24">
        <f>SUM($J$897:$K$897) - $K$897:$K$897</f>
        <v>67</v>
      </c>
      <c r="L902" s="24">
        <f>IF($J$902:$J$902 = 0, "Undefined",$K$902:$K$902*100 / $J$902:$J$902)</f>
        <v>19.705882352941178</v>
      </c>
    </row>
    <row r="903" spans="2:12" ht="13.8" x14ac:dyDescent="0.3">
      <c r="D903" s="25" t="s">
        <v>336</v>
      </c>
      <c r="E903" s="24">
        <f>SUM($E$901:$E$902)</f>
        <v>500</v>
      </c>
      <c r="F903" s="24">
        <f>SUM($F$901:$F$902)</f>
        <v>83</v>
      </c>
      <c r="G903" s="24">
        <f>IF($E$903:$E$903 = 0, "Undefined",$F$903:$F$903*100 / $E$903:$E$903)</f>
        <v>16.600000000000001</v>
      </c>
      <c r="I903" s="25" t="s">
        <v>336</v>
      </c>
      <c r="J903" s="24">
        <f>SUM($J$901:$J$902)</f>
        <v>500</v>
      </c>
      <c r="K903" s="24">
        <f>SUM($K$901:$K$902)</f>
        <v>142</v>
      </c>
      <c r="L903" s="24">
        <f>IF($J$903:$J$903 = 0, "Undefined",$K$903:$K$903*100 / $J$903:$J$903)</f>
        <v>28.4</v>
      </c>
    </row>
    <row r="905" spans="2:12" ht="15.6" x14ac:dyDescent="0.3">
      <c r="B905" s="28" t="s">
        <v>399</v>
      </c>
      <c r="D905" s="59" t="s">
        <v>329</v>
      </c>
      <c r="E905" s="60"/>
      <c r="F905" s="61"/>
      <c r="I905" s="59" t="s">
        <v>329</v>
      </c>
      <c r="J905" s="60"/>
      <c r="K905" s="61"/>
    </row>
    <row r="906" spans="2:12" ht="13.8" x14ac:dyDescent="0.3">
      <c r="D906" s="26"/>
      <c r="E906" s="75" t="s">
        <v>330</v>
      </c>
      <c r="F906" s="76"/>
      <c r="I906" s="26"/>
      <c r="J906" s="75" t="s">
        <v>330</v>
      </c>
      <c r="K906" s="76"/>
    </row>
    <row r="907" spans="2:12" ht="13.8" x14ac:dyDescent="0.3">
      <c r="D907" s="25" t="s">
        <v>331</v>
      </c>
      <c r="E907" s="26">
        <v>0</v>
      </c>
      <c r="F907" s="26">
        <v>1</v>
      </c>
      <c r="I907" s="25" t="s">
        <v>331</v>
      </c>
      <c r="J907" s="26">
        <v>0</v>
      </c>
      <c r="K907" s="26">
        <v>1</v>
      </c>
    </row>
    <row r="908" spans="2:12" ht="13.8" x14ac:dyDescent="0.3">
      <c r="D908" s="25">
        <v>0</v>
      </c>
      <c r="E908" s="24">
        <v>100</v>
      </c>
      <c r="F908" s="24">
        <v>40</v>
      </c>
      <c r="I908" s="25">
        <v>0</v>
      </c>
      <c r="J908" s="24">
        <v>74</v>
      </c>
      <c r="K908" s="24">
        <v>86</v>
      </c>
    </row>
    <row r="909" spans="2:12" ht="13.8" x14ac:dyDescent="0.3">
      <c r="D909" s="25">
        <v>1</v>
      </c>
      <c r="E909" s="24">
        <v>14</v>
      </c>
      <c r="F909" s="24">
        <v>346</v>
      </c>
      <c r="I909" s="25">
        <v>1</v>
      </c>
      <c r="J909" s="24">
        <v>53</v>
      </c>
      <c r="K909" s="24">
        <v>287</v>
      </c>
    </row>
    <row r="911" spans="2:12" ht="15.6" x14ac:dyDescent="0.3">
      <c r="D911" s="59" t="s">
        <v>210</v>
      </c>
      <c r="E911" s="60"/>
      <c r="F911" s="60"/>
      <c r="G911" s="61"/>
      <c r="I911" s="59" t="s">
        <v>210</v>
      </c>
      <c r="J911" s="60"/>
      <c r="K911" s="60"/>
      <c r="L911" s="61"/>
    </row>
    <row r="912" spans="2:12" ht="13.8" x14ac:dyDescent="0.3">
      <c r="D912" s="26" t="s">
        <v>332</v>
      </c>
      <c r="E912" s="26" t="s">
        <v>333</v>
      </c>
      <c r="F912" s="26" t="s">
        <v>334</v>
      </c>
      <c r="G912" s="26" t="s">
        <v>335</v>
      </c>
      <c r="I912" s="26" t="s">
        <v>332</v>
      </c>
      <c r="J912" s="26" t="s">
        <v>333</v>
      </c>
      <c r="K912" s="26" t="s">
        <v>334</v>
      </c>
      <c r="L912" s="26" t="s">
        <v>335</v>
      </c>
    </row>
    <row r="913" spans="2:12" ht="13.8" x14ac:dyDescent="0.3">
      <c r="D913" s="25">
        <v>0</v>
      </c>
      <c r="E913" s="24">
        <f>SUM($E$908:$F$908)</f>
        <v>140</v>
      </c>
      <c r="F913" s="24">
        <f>SUM($E$908:$F$908) - $E$908:$E$908</f>
        <v>40</v>
      </c>
      <c r="G913" s="24">
        <f>IF($E$913:$E$913 = 0, "Undefined",$F$913:$F$913*100 / $E$913:$E$913)</f>
        <v>28.571428571428573</v>
      </c>
      <c r="I913" s="25">
        <v>0</v>
      </c>
      <c r="J913" s="24">
        <f>SUM($J$908:$K$908)</f>
        <v>160</v>
      </c>
      <c r="K913" s="24">
        <f>SUM($J$908:$K$908) - $J$908:$J$908</f>
        <v>86</v>
      </c>
      <c r="L913" s="24">
        <f>IF($J$913:$J$913 = 0, "Undefined",$K$913:$K$913*100 / $J$913:$J$913)</f>
        <v>53.75</v>
      </c>
    </row>
    <row r="914" spans="2:12" ht="13.8" x14ac:dyDescent="0.3">
      <c r="D914" s="25">
        <v>1</v>
      </c>
      <c r="E914" s="24">
        <f>SUM($E$909:$F$909)</f>
        <v>360</v>
      </c>
      <c r="F914" s="24">
        <f>SUM($E$909:$F$909) - $F$909:$F$909</f>
        <v>14</v>
      </c>
      <c r="G914" s="24">
        <f>IF($E$914:$E$914 = 0, "Undefined",$F$914:$F$914*100 / $E$914:$E$914)</f>
        <v>3.8888888888888888</v>
      </c>
      <c r="I914" s="25">
        <v>1</v>
      </c>
      <c r="J914" s="24">
        <f>SUM($J$909:$K$909)</f>
        <v>340</v>
      </c>
      <c r="K914" s="24">
        <f>SUM($J$909:$K$909) - $K$909:$K$909</f>
        <v>53</v>
      </c>
      <c r="L914" s="24">
        <f>IF($J$914:$J$914 = 0, "Undefined",$K$914:$K$914*100 / $J$914:$J$914)</f>
        <v>15.588235294117647</v>
      </c>
    </row>
    <row r="915" spans="2:12" ht="13.8" x14ac:dyDescent="0.3">
      <c r="D915" s="25" t="s">
        <v>336</v>
      </c>
      <c r="E915" s="24">
        <f>SUM($E$913:$E$914)</f>
        <v>500</v>
      </c>
      <c r="F915" s="24">
        <f>SUM($F$913:$F$914)</f>
        <v>54</v>
      </c>
      <c r="G915" s="24">
        <f>IF($E$915:$E$915 = 0, "Undefined",$F$915:$F$915*100 / $E$915:$E$915)</f>
        <v>10.8</v>
      </c>
      <c r="I915" s="25" t="s">
        <v>336</v>
      </c>
      <c r="J915" s="24">
        <f>SUM($J$913:$J$914)</f>
        <v>500</v>
      </c>
      <c r="K915" s="24">
        <f>SUM($K$913:$K$914)</f>
        <v>139</v>
      </c>
      <c r="L915" s="24">
        <f>IF($J$915:$J$915 = 0, "Undefined",$K$915:$K$915*100 / $J$915:$J$915)</f>
        <v>27.8</v>
      </c>
    </row>
    <row r="917" spans="2:12" ht="15.6" x14ac:dyDescent="0.3">
      <c r="B917" s="28" t="s">
        <v>400</v>
      </c>
      <c r="D917" s="59" t="s">
        <v>329</v>
      </c>
      <c r="E917" s="60"/>
      <c r="F917" s="61"/>
      <c r="I917" s="59" t="s">
        <v>329</v>
      </c>
      <c r="J917" s="60"/>
      <c r="K917" s="61"/>
    </row>
    <row r="918" spans="2:12" ht="13.8" x14ac:dyDescent="0.3">
      <c r="D918" s="26"/>
      <c r="E918" s="75" t="s">
        <v>330</v>
      </c>
      <c r="F918" s="76"/>
      <c r="I918" s="26"/>
      <c r="J918" s="75" t="s">
        <v>330</v>
      </c>
      <c r="K918" s="76"/>
    </row>
    <row r="919" spans="2:12" ht="13.8" x14ac:dyDescent="0.3">
      <c r="D919" s="25" t="s">
        <v>331</v>
      </c>
      <c r="E919" s="26">
        <v>0</v>
      </c>
      <c r="F919" s="26">
        <v>1</v>
      </c>
      <c r="I919" s="25" t="s">
        <v>331</v>
      </c>
      <c r="J919" s="26">
        <v>0</v>
      </c>
      <c r="K919" s="26">
        <v>1</v>
      </c>
    </row>
    <row r="920" spans="2:12" ht="13.8" x14ac:dyDescent="0.3">
      <c r="D920" s="25">
        <v>0</v>
      </c>
      <c r="E920" s="24">
        <v>102</v>
      </c>
      <c r="F920" s="24">
        <v>38</v>
      </c>
      <c r="I920" s="25">
        <v>0</v>
      </c>
      <c r="J920" s="24">
        <v>82</v>
      </c>
      <c r="K920" s="24">
        <v>78</v>
      </c>
    </row>
    <row r="921" spans="2:12" ht="13.8" x14ac:dyDescent="0.3">
      <c r="D921" s="25">
        <v>1</v>
      </c>
      <c r="E921" s="24">
        <v>13</v>
      </c>
      <c r="F921" s="24">
        <v>347</v>
      </c>
      <c r="I921" s="25">
        <v>1</v>
      </c>
      <c r="J921" s="24">
        <v>58</v>
      </c>
      <c r="K921" s="24">
        <v>282</v>
      </c>
    </row>
    <row r="923" spans="2:12" ht="15.6" x14ac:dyDescent="0.3">
      <c r="D923" s="59" t="s">
        <v>210</v>
      </c>
      <c r="E923" s="60"/>
      <c r="F923" s="60"/>
      <c r="G923" s="61"/>
      <c r="I923" s="59" t="s">
        <v>210</v>
      </c>
      <c r="J923" s="60"/>
      <c r="K923" s="60"/>
      <c r="L923" s="61"/>
    </row>
    <row r="924" spans="2:12" ht="13.8" x14ac:dyDescent="0.3">
      <c r="D924" s="26" t="s">
        <v>332</v>
      </c>
      <c r="E924" s="26" t="s">
        <v>333</v>
      </c>
      <c r="F924" s="26" t="s">
        <v>334</v>
      </c>
      <c r="G924" s="26" t="s">
        <v>335</v>
      </c>
      <c r="I924" s="26" t="s">
        <v>332</v>
      </c>
      <c r="J924" s="26" t="s">
        <v>333</v>
      </c>
      <c r="K924" s="26" t="s">
        <v>334</v>
      </c>
      <c r="L924" s="26" t="s">
        <v>335</v>
      </c>
    </row>
    <row r="925" spans="2:12" ht="13.8" x14ac:dyDescent="0.3">
      <c r="D925" s="25">
        <v>0</v>
      </c>
      <c r="E925" s="24">
        <f>SUM($E$920:$F$920)</f>
        <v>140</v>
      </c>
      <c r="F925" s="24">
        <f>SUM($E$920:$F$920) - $E$920:$E$920</f>
        <v>38</v>
      </c>
      <c r="G925" s="24">
        <f>IF($E$925:$E$925 = 0, "Undefined",$F$925:$F$925*100 / $E$925:$E$925)</f>
        <v>27.142857142857142</v>
      </c>
      <c r="I925" s="25">
        <v>0</v>
      </c>
      <c r="J925" s="24">
        <f>SUM($J$920:$K$920)</f>
        <v>160</v>
      </c>
      <c r="K925" s="24">
        <f>SUM($J$920:$K$920) - $J$920:$J$920</f>
        <v>78</v>
      </c>
      <c r="L925" s="24">
        <f>IF($J$925:$J$925 = 0, "Undefined",$K$925:$K$925*100 / $J$925:$J$925)</f>
        <v>48.75</v>
      </c>
    </row>
    <row r="926" spans="2:12" ht="13.8" x14ac:dyDescent="0.3">
      <c r="D926" s="25">
        <v>1</v>
      </c>
      <c r="E926" s="24">
        <f>SUM($E$921:$F$921)</f>
        <v>360</v>
      </c>
      <c r="F926" s="24">
        <f>SUM($E$921:$F$921) - $F$921:$F$921</f>
        <v>13</v>
      </c>
      <c r="G926" s="24">
        <f>IF($E$926:$E$926 = 0, "Undefined",$F$926:$F$926*100 / $E$926:$E$926)</f>
        <v>3.6111111111111112</v>
      </c>
      <c r="I926" s="25">
        <v>1</v>
      </c>
      <c r="J926" s="24">
        <f>SUM($J$921:$K$921)</f>
        <v>340</v>
      </c>
      <c r="K926" s="24">
        <f>SUM($J$921:$K$921) - $K$921:$K$921</f>
        <v>58</v>
      </c>
      <c r="L926" s="24">
        <f>IF($J$926:$J$926 = 0, "Undefined",$K$926:$K$926*100 / $J$926:$J$926)</f>
        <v>17.058823529411764</v>
      </c>
    </row>
    <row r="927" spans="2:12" ht="13.8" x14ac:dyDescent="0.3">
      <c r="D927" s="25" t="s">
        <v>336</v>
      </c>
      <c r="E927" s="24">
        <f>SUM($E$925:$E$926)</f>
        <v>500</v>
      </c>
      <c r="F927" s="24">
        <f>SUM($F$925:$F$926)</f>
        <v>51</v>
      </c>
      <c r="G927" s="24">
        <f>IF($E$927:$E$927 = 0, "Undefined",$F$927:$F$927*100 / $E$927:$E$927)</f>
        <v>10.199999999999999</v>
      </c>
      <c r="I927" s="25" t="s">
        <v>336</v>
      </c>
      <c r="J927" s="24">
        <f>SUM($J$925:$J$926)</f>
        <v>500</v>
      </c>
      <c r="K927" s="24">
        <f>SUM($K$925:$K$926)</f>
        <v>136</v>
      </c>
      <c r="L927" s="24">
        <f>IF($J$927:$J$927 = 0, "Undefined",$K$927:$K$927*100 / $J$927:$J$927)</f>
        <v>27.2</v>
      </c>
    </row>
    <row r="929" spans="2:12" ht="15.6" x14ac:dyDescent="0.3">
      <c r="B929" s="28" t="s">
        <v>401</v>
      </c>
      <c r="D929" s="59" t="s">
        <v>329</v>
      </c>
      <c r="E929" s="60"/>
      <c r="F929" s="61"/>
      <c r="I929" s="59" t="s">
        <v>329</v>
      </c>
      <c r="J929" s="60"/>
      <c r="K929" s="61"/>
    </row>
    <row r="930" spans="2:12" ht="13.8" x14ac:dyDescent="0.3">
      <c r="D930" s="26"/>
      <c r="E930" s="75" t="s">
        <v>330</v>
      </c>
      <c r="F930" s="76"/>
      <c r="I930" s="26"/>
      <c r="J930" s="75" t="s">
        <v>330</v>
      </c>
      <c r="K930" s="76"/>
    </row>
    <row r="931" spans="2:12" ht="13.8" x14ac:dyDescent="0.3">
      <c r="D931" s="25" t="s">
        <v>331</v>
      </c>
      <c r="E931" s="26">
        <v>0</v>
      </c>
      <c r="F931" s="26">
        <v>1</v>
      </c>
      <c r="I931" s="25" t="s">
        <v>331</v>
      </c>
      <c r="J931" s="26">
        <v>0</v>
      </c>
      <c r="K931" s="26">
        <v>1</v>
      </c>
    </row>
    <row r="932" spans="2:12" ht="13.8" x14ac:dyDescent="0.3">
      <c r="D932" s="25">
        <v>0</v>
      </c>
      <c r="E932" s="24">
        <v>102</v>
      </c>
      <c r="F932" s="24">
        <v>38</v>
      </c>
      <c r="I932" s="25">
        <v>0</v>
      </c>
      <c r="J932" s="24">
        <v>82</v>
      </c>
      <c r="K932" s="24">
        <v>78</v>
      </c>
    </row>
    <row r="933" spans="2:12" ht="13.8" x14ac:dyDescent="0.3">
      <c r="D933" s="25">
        <v>1</v>
      </c>
      <c r="E933" s="24">
        <v>14</v>
      </c>
      <c r="F933" s="24">
        <v>346</v>
      </c>
      <c r="I933" s="25">
        <v>1</v>
      </c>
      <c r="J933" s="24">
        <v>63</v>
      </c>
      <c r="K933" s="24">
        <v>277</v>
      </c>
    </row>
    <row r="935" spans="2:12" ht="15.6" x14ac:dyDescent="0.3">
      <c r="D935" s="59" t="s">
        <v>210</v>
      </c>
      <c r="E935" s="60"/>
      <c r="F935" s="60"/>
      <c r="G935" s="61"/>
      <c r="I935" s="59" t="s">
        <v>210</v>
      </c>
      <c r="J935" s="60"/>
      <c r="K935" s="60"/>
      <c r="L935" s="61"/>
    </row>
    <row r="936" spans="2:12" ht="13.8" x14ac:dyDescent="0.3">
      <c r="D936" s="26" t="s">
        <v>332</v>
      </c>
      <c r="E936" s="26" t="s">
        <v>333</v>
      </c>
      <c r="F936" s="26" t="s">
        <v>334</v>
      </c>
      <c r="G936" s="26" t="s">
        <v>335</v>
      </c>
      <c r="I936" s="26" t="s">
        <v>332</v>
      </c>
      <c r="J936" s="26" t="s">
        <v>333</v>
      </c>
      <c r="K936" s="26" t="s">
        <v>334</v>
      </c>
      <c r="L936" s="26" t="s">
        <v>335</v>
      </c>
    </row>
    <row r="937" spans="2:12" ht="13.8" x14ac:dyDescent="0.3">
      <c r="D937" s="25">
        <v>0</v>
      </c>
      <c r="E937" s="24">
        <f>SUM($E$932:$F$932)</f>
        <v>140</v>
      </c>
      <c r="F937" s="24">
        <f>SUM($E$932:$F$932) - $E$932:$E$932</f>
        <v>38</v>
      </c>
      <c r="G937" s="24">
        <f>IF($E$937:$E$937 = 0, "Undefined",$F$937:$F$937*100 / $E$937:$E$937)</f>
        <v>27.142857142857142</v>
      </c>
      <c r="I937" s="25">
        <v>0</v>
      </c>
      <c r="J937" s="24">
        <f>SUM($J$932:$K$932)</f>
        <v>160</v>
      </c>
      <c r="K937" s="24">
        <f>SUM($J$932:$K$932) - $J$932:$J$932</f>
        <v>78</v>
      </c>
      <c r="L937" s="24">
        <f>IF($J$937:$J$937 = 0, "Undefined",$K$937:$K$937*100 / $J$937:$J$937)</f>
        <v>48.75</v>
      </c>
    </row>
    <row r="938" spans="2:12" ht="13.8" x14ac:dyDescent="0.3">
      <c r="D938" s="25">
        <v>1</v>
      </c>
      <c r="E938" s="24">
        <f>SUM($E$933:$F$933)</f>
        <v>360</v>
      </c>
      <c r="F938" s="24">
        <f>SUM($E$933:$F$933) - $F$933:$F$933</f>
        <v>14</v>
      </c>
      <c r="G938" s="24">
        <f>IF($E$938:$E$938 = 0, "Undefined",$F$938:$F$938*100 / $E$938:$E$938)</f>
        <v>3.8888888888888888</v>
      </c>
      <c r="I938" s="25">
        <v>1</v>
      </c>
      <c r="J938" s="24">
        <f>SUM($J$933:$K$933)</f>
        <v>340</v>
      </c>
      <c r="K938" s="24">
        <f>SUM($J$933:$K$933) - $K$933:$K$933</f>
        <v>63</v>
      </c>
      <c r="L938" s="24">
        <f>IF($J$938:$J$938 = 0, "Undefined",$K$938:$K$938*100 / $J$938:$J$938)</f>
        <v>18.529411764705884</v>
      </c>
    </row>
    <row r="939" spans="2:12" ht="13.8" x14ac:dyDescent="0.3">
      <c r="D939" s="25" t="s">
        <v>336</v>
      </c>
      <c r="E939" s="24">
        <f>SUM($E$937:$E$938)</f>
        <v>500</v>
      </c>
      <c r="F939" s="24">
        <f>SUM($F$937:$F$938)</f>
        <v>52</v>
      </c>
      <c r="G939" s="24">
        <f>IF($E$939:$E$939 = 0, "Undefined",$F$939:$F$939*100 / $E$939:$E$939)</f>
        <v>10.4</v>
      </c>
      <c r="I939" s="25" t="s">
        <v>336</v>
      </c>
      <c r="J939" s="24">
        <f>SUM($J$937:$J$938)</f>
        <v>500</v>
      </c>
      <c r="K939" s="24">
        <f>SUM($K$937:$K$938)</f>
        <v>141</v>
      </c>
      <c r="L939" s="24">
        <f>IF($J$939:$J$939 = 0, "Undefined",$K$939:$K$939*100 / $J$939:$J$939)</f>
        <v>28.2</v>
      </c>
    </row>
    <row r="941" spans="2:12" ht="15.6" x14ac:dyDescent="0.3">
      <c r="B941" s="28" t="s">
        <v>402</v>
      </c>
      <c r="D941" s="59" t="s">
        <v>329</v>
      </c>
      <c r="E941" s="60"/>
      <c r="F941" s="61"/>
      <c r="I941" s="59" t="s">
        <v>329</v>
      </c>
      <c r="J941" s="60"/>
      <c r="K941" s="61"/>
    </row>
    <row r="942" spans="2:12" ht="13.8" x14ac:dyDescent="0.3">
      <c r="D942" s="26"/>
      <c r="E942" s="75" t="s">
        <v>330</v>
      </c>
      <c r="F942" s="76"/>
      <c r="I942" s="26"/>
      <c r="J942" s="75" t="s">
        <v>330</v>
      </c>
      <c r="K942" s="76"/>
    </row>
    <row r="943" spans="2:12" ht="13.8" x14ac:dyDescent="0.3">
      <c r="D943" s="25" t="s">
        <v>331</v>
      </c>
      <c r="E943" s="26">
        <v>0</v>
      </c>
      <c r="F943" s="26">
        <v>1</v>
      </c>
      <c r="I943" s="25" t="s">
        <v>331</v>
      </c>
      <c r="J943" s="26">
        <v>0</v>
      </c>
      <c r="K943" s="26">
        <v>1</v>
      </c>
    </row>
    <row r="944" spans="2:12" ht="13.8" x14ac:dyDescent="0.3">
      <c r="D944" s="25">
        <v>0</v>
      </c>
      <c r="E944" s="24">
        <v>101</v>
      </c>
      <c r="F944" s="24">
        <v>39</v>
      </c>
      <c r="I944" s="25">
        <v>0</v>
      </c>
      <c r="J944" s="24">
        <v>83</v>
      </c>
      <c r="K944" s="24">
        <v>77</v>
      </c>
    </row>
    <row r="945" spans="2:12" ht="13.8" x14ac:dyDescent="0.3">
      <c r="D945" s="25">
        <v>1</v>
      </c>
      <c r="E945" s="24">
        <v>14</v>
      </c>
      <c r="F945" s="24">
        <v>346</v>
      </c>
      <c r="I945" s="25">
        <v>1</v>
      </c>
      <c r="J945" s="24">
        <v>57</v>
      </c>
      <c r="K945" s="24">
        <v>283</v>
      </c>
    </row>
    <row r="947" spans="2:12" ht="15.6" x14ac:dyDescent="0.3">
      <c r="D947" s="59" t="s">
        <v>210</v>
      </c>
      <c r="E947" s="60"/>
      <c r="F947" s="60"/>
      <c r="G947" s="61"/>
      <c r="I947" s="59" t="s">
        <v>210</v>
      </c>
      <c r="J947" s="60"/>
      <c r="K947" s="60"/>
      <c r="L947" s="61"/>
    </row>
    <row r="948" spans="2:12" ht="13.8" x14ac:dyDescent="0.3">
      <c r="D948" s="26" t="s">
        <v>332</v>
      </c>
      <c r="E948" s="26" t="s">
        <v>333</v>
      </c>
      <c r="F948" s="26" t="s">
        <v>334</v>
      </c>
      <c r="G948" s="26" t="s">
        <v>335</v>
      </c>
      <c r="I948" s="26" t="s">
        <v>332</v>
      </c>
      <c r="J948" s="26" t="s">
        <v>333</v>
      </c>
      <c r="K948" s="26" t="s">
        <v>334</v>
      </c>
      <c r="L948" s="26" t="s">
        <v>335</v>
      </c>
    </row>
    <row r="949" spans="2:12" ht="13.8" x14ac:dyDescent="0.3">
      <c r="D949" s="25">
        <v>0</v>
      </c>
      <c r="E949" s="24">
        <f>SUM($E$944:$F$944)</f>
        <v>140</v>
      </c>
      <c r="F949" s="24">
        <f>SUM($E$944:$F$944) - $E$944:$E$944</f>
        <v>39</v>
      </c>
      <c r="G949" s="24">
        <f>IF($E$949:$E$949 = 0, "Undefined",$F$949:$F$949*100 / $E$949:$E$949)</f>
        <v>27.857142857142858</v>
      </c>
      <c r="I949" s="25">
        <v>0</v>
      </c>
      <c r="J949" s="24">
        <f>SUM($J$944:$K$944)</f>
        <v>160</v>
      </c>
      <c r="K949" s="24">
        <f>SUM($J$944:$K$944) - $J$944:$J$944</f>
        <v>77</v>
      </c>
      <c r="L949" s="24">
        <f>IF($J$949:$J$949 = 0, "Undefined",$K$949:$K$949*100 / $J$949:$J$949)</f>
        <v>48.125</v>
      </c>
    </row>
    <row r="950" spans="2:12" ht="13.8" x14ac:dyDescent="0.3">
      <c r="D950" s="25">
        <v>1</v>
      </c>
      <c r="E950" s="24">
        <f>SUM($E$945:$F$945)</f>
        <v>360</v>
      </c>
      <c r="F950" s="24">
        <f>SUM($E$945:$F$945) - $F$945:$F$945</f>
        <v>14</v>
      </c>
      <c r="G950" s="24">
        <f>IF($E$950:$E$950 = 0, "Undefined",$F$950:$F$950*100 / $E$950:$E$950)</f>
        <v>3.8888888888888888</v>
      </c>
      <c r="I950" s="25">
        <v>1</v>
      </c>
      <c r="J950" s="24">
        <f>SUM($J$945:$K$945)</f>
        <v>340</v>
      </c>
      <c r="K950" s="24">
        <f>SUM($J$945:$K$945) - $K$945:$K$945</f>
        <v>57</v>
      </c>
      <c r="L950" s="24">
        <f>IF($J$950:$J$950 = 0, "Undefined",$K$950:$K$950*100 / $J$950:$J$950)</f>
        <v>16.764705882352942</v>
      </c>
    </row>
    <row r="951" spans="2:12" ht="13.8" x14ac:dyDescent="0.3">
      <c r="D951" s="25" t="s">
        <v>336</v>
      </c>
      <c r="E951" s="24">
        <f>SUM($E$949:$E$950)</f>
        <v>500</v>
      </c>
      <c r="F951" s="24">
        <f>SUM($F$949:$F$950)</f>
        <v>53</v>
      </c>
      <c r="G951" s="24">
        <f>IF($E$951:$E$951 = 0, "Undefined",$F$951:$F$951*100 / $E$951:$E$951)</f>
        <v>10.6</v>
      </c>
      <c r="I951" s="25" t="s">
        <v>336</v>
      </c>
      <c r="J951" s="24">
        <f>SUM($J$949:$J$950)</f>
        <v>500</v>
      </c>
      <c r="K951" s="24">
        <f>SUM($K$949:$K$950)</f>
        <v>134</v>
      </c>
      <c r="L951" s="24">
        <f>IF($J$951:$J$951 = 0, "Undefined",$K$951:$K$951*100 / $J$951:$J$951)</f>
        <v>26.8</v>
      </c>
    </row>
    <row r="953" spans="2:12" ht="15.6" x14ac:dyDescent="0.3">
      <c r="B953" s="28" t="s">
        <v>403</v>
      </c>
      <c r="D953" s="59" t="s">
        <v>329</v>
      </c>
      <c r="E953" s="60"/>
      <c r="F953" s="61"/>
      <c r="I953" s="59" t="s">
        <v>329</v>
      </c>
      <c r="J953" s="60"/>
      <c r="K953" s="61"/>
    </row>
    <row r="954" spans="2:12" ht="13.8" x14ac:dyDescent="0.3">
      <c r="D954" s="26"/>
      <c r="E954" s="75" t="s">
        <v>330</v>
      </c>
      <c r="F954" s="76"/>
      <c r="I954" s="26"/>
      <c r="J954" s="75" t="s">
        <v>330</v>
      </c>
      <c r="K954" s="76"/>
    </row>
    <row r="955" spans="2:12" ht="13.8" x14ac:dyDescent="0.3">
      <c r="D955" s="25" t="s">
        <v>331</v>
      </c>
      <c r="E955" s="26">
        <v>0</v>
      </c>
      <c r="F955" s="26">
        <v>1</v>
      </c>
      <c r="I955" s="25" t="s">
        <v>331</v>
      </c>
      <c r="J955" s="26">
        <v>0</v>
      </c>
      <c r="K955" s="26">
        <v>1</v>
      </c>
    </row>
    <row r="956" spans="2:12" ht="13.8" x14ac:dyDescent="0.3">
      <c r="D956" s="25">
        <v>0</v>
      </c>
      <c r="E956" s="24">
        <v>100</v>
      </c>
      <c r="F956" s="24">
        <v>40</v>
      </c>
      <c r="I956" s="25">
        <v>0</v>
      </c>
      <c r="J956" s="24">
        <v>81</v>
      </c>
      <c r="K956" s="24">
        <v>79</v>
      </c>
    </row>
    <row r="957" spans="2:12" ht="13.8" x14ac:dyDescent="0.3">
      <c r="D957" s="25">
        <v>1</v>
      </c>
      <c r="E957" s="24">
        <v>14</v>
      </c>
      <c r="F957" s="24">
        <v>346</v>
      </c>
      <c r="I957" s="25">
        <v>1</v>
      </c>
      <c r="J957" s="24">
        <v>58</v>
      </c>
      <c r="K957" s="24">
        <v>282</v>
      </c>
    </row>
    <row r="959" spans="2:12" ht="15.6" x14ac:dyDescent="0.3">
      <c r="D959" s="59" t="s">
        <v>210</v>
      </c>
      <c r="E959" s="60"/>
      <c r="F959" s="60"/>
      <c r="G959" s="61"/>
      <c r="I959" s="59" t="s">
        <v>210</v>
      </c>
      <c r="J959" s="60"/>
      <c r="K959" s="60"/>
      <c r="L959" s="61"/>
    </row>
    <row r="960" spans="2:12" ht="13.8" x14ac:dyDescent="0.3">
      <c r="D960" s="26" t="s">
        <v>332</v>
      </c>
      <c r="E960" s="26" t="s">
        <v>333</v>
      </c>
      <c r="F960" s="26" t="s">
        <v>334</v>
      </c>
      <c r="G960" s="26" t="s">
        <v>335</v>
      </c>
      <c r="I960" s="26" t="s">
        <v>332</v>
      </c>
      <c r="J960" s="26" t="s">
        <v>333</v>
      </c>
      <c r="K960" s="26" t="s">
        <v>334</v>
      </c>
      <c r="L960" s="26" t="s">
        <v>335</v>
      </c>
    </row>
    <row r="961" spans="2:12" ht="13.8" x14ac:dyDescent="0.3">
      <c r="D961" s="25">
        <v>0</v>
      </c>
      <c r="E961" s="24">
        <f>SUM($E$956:$F$956)</f>
        <v>140</v>
      </c>
      <c r="F961" s="24">
        <f>SUM($E$956:$F$956) - $E$956:$E$956</f>
        <v>40</v>
      </c>
      <c r="G961" s="24">
        <f>IF($E$961:$E$961 = 0, "Undefined",$F$961:$F$961*100 / $E$961:$E$961)</f>
        <v>28.571428571428573</v>
      </c>
      <c r="I961" s="25">
        <v>0</v>
      </c>
      <c r="J961" s="24">
        <f>SUM($J$956:$K$956)</f>
        <v>160</v>
      </c>
      <c r="K961" s="24">
        <f>SUM($J$956:$K$956) - $J$956:$J$956</f>
        <v>79</v>
      </c>
      <c r="L961" s="24">
        <f>IF($J$961:$J$961 = 0, "Undefined",$K$961:$K$961*100 / $J$961:$J$961)</f>
        <v>49.375</v>
      </c>
    </row>
    <row r="962" spans="2:12" ht="13.8" x14ac:dyDescent="0.3">
      <c r="D962" s="25">
        <v>1</v>
      </c>
      <c r="E962" s="24">
        <f>SUM($E$957:$F$957)</f>
        <v>360</v>
      </c>
      <c r="F962" s="24">
        <f>SUM($E$957:$F$957) - $F$957:$F$957</f>
        <v>14</v>
      </c>
      <c r="G962" s="24">
        <f>IF($E$962:$E$962 = 0, "Undefined",$F$962:$F$962*100 / $E$962:$E$962)</f>
        <v>3.8888888888888888</v>
      </c>
      <c r="I962" s="25">
        <v>1</v>
      </c>
      <c r="J962" s="24">
        <f>SUM($J$957:$K$957)</f>
        <v>340</v>
      </c>
      <c r="K962" s="24">
        <f>SUM($J$957:$K$957) - $K$957:$K$957</f>
        <v>58</v>
      </c>
      <c r="L962" s="24">
        <f>IF($J$962:$J$962 = 0, "Undefined",$K$962:$K$962*100 / $J$962:$J$962)</f>
        <v>17.058823529411764</v>
      </c>
    </row>
    <row r="963" spans="2:12" ht="13.8" x14ac:dyDescent="0.3">
      <c r="D963" s="25" t="s">
        <v>336</v>
      </c>
      <c r="E963" s="24">
        <f>SUM($E$961:$E$962)</f>
        <v>500</v>
      </c>
      <c r="F963" s="24">
        <f>SUM($F$961:$F$962)</f>
        <v>54</v>
      </c>
      <c r="G963" s="24">
        <f>IF($E$963:$E$963 = 0, "Undefined",$F$963:$F$963*100 / $E$963:$E$963)</f>
        <v>10.8</v>
      </c>
      <c r="I963" s="25" t="s">
        <v>336</v>
      </c>
      <c r="J963" s="24">
        <f>SUM($J$961:$J$962)</f>
        <v>500</v>
      </c>
      <c r="K963" s="24">
        <f>SUM($K$961:$K$962)</f>
        <v>137</v>
      </c>
      <c r="L963" s="24">
        <f>IF($J$963:$J$963 = 0, "Undefined",$K$963:$K$963*100 / $J$963:$J$963)</f>
        <v>27.4</v>
      </c>
    </row>
    <row r="965" spans="2:12" ht="15.6" x14ac:dyDescent="0.3">
      <c r="B965" s="28" t="s">
        <v>404</v>
      </c>
      <c r="D965" s="59" t="s">
        <v>329</v>
      </c>
      <c r="E965" s="60"/>
      <c r="F965" s="61"/>
      <c r="I965" s="59" t="s">
        <v>329</v>
      </c>
      <c r="J965" s="60"/>
      <c r="K965" s="61"/>
    </row>
    <row r="966" spans="2:12" ht="13.8" x14ac:dyDescent="0.3">
      <c r="D966" s="26"/>
      <c r="E966" s="75" t="s">
        <v>330</v>
      </c>
      <c r="F966" s="76"/>
      <c r="I966" s="26"/>
      <c r="J966" s="75" t="s">
        <v>330</v>
      </c>
      <c r="K966" s="76"/>
    </row>
    <row r="967" spans="2:12" ht="13.8" x14ac:dyDescent="0.3">
      <c r="D967" s="25" t="s">
        <v>331</v>
      </c>
      <c r="E967" s="26">
        <v>0</v>
      </c>
      <c r="F967" s="26">
        <v>1</v>
      </c>
      <c r="I967" s="25" t="s">
        <v>331</v>
      </c>
      <c r="J967" s="26">
        <v>0</v>
      </c>
      <c r="K967" s="26">
        <v>1</v>
      </c>
    </row>
    <row r="968" spans="2:12" ht="13.8" x14ac:dyDescent="0.3">
      <c r="D968" s="25">
        <v>0</v>
      </c>
      <c r="E968" s="24">
        <v>98</v>
      </c>
      <c r="F968" s="24">
        <v>42</v>
      </c>
      <c r="I968" s="25">
        <v>0</v>
      </c>
      <c r="J968" s="24">
        <v>76</v>
      </c>
      <c r="K968" s="24">
        <v>84</v>
      </c>
    </row>
    <row r="969" spans="2:12" ht="13.8" x14ac:dyDescent="0.3">
      <c r="D969" s="25">
        <v>1</v>
      </c>
      <c r="E969" s="24">
        <v>9</v>
      </c>
      <c r="F969" s="24">
        <v>351</v>
      </c>
      <c r="I969" s="25">
        <v>1</v>
      </c>
      <c r="J969" s="24">
        <v>58</v>
      </c>
      <c r="K969" s="24">
        <v>282</v>
      </c>
    </row>
    <row r="971" spans="2:12" ht="15.6" x14ac:dyDescent="0.3">
      <c r="D971" s="59" t="s">
        <v>210</v>
      </c>
      <c r="E971" s="60"/>
      <c r="F971" s="60"/>
      <c r="G971" s="61"/>
      <c r="I971" s="59" t="s">
        <v>210</v>
      </c>
      <c r="J971" s="60"/>
      <c r="K971" s="60"/>
      <c r="L971" s="61"/>
    </row>
    <row r="972" spans="2:12" ht="13.8" x14ac:dyDescent="0.3">
      <c r="D972" s="26" t="s">
        <v>332</v>
      </c>
      <c r="E972" s="26" t="s">
        <v>333</v>
      </c>
      <c r="F972" s="26" t="s">
        <v>334</v>
      </c>
      <c r="G972" s="26" t="s">
        <v>335</v>
      </c>
      <c r="I972" s="26" t="s">
        <v>332</v>
      </c>
      <c r="J972" s="26" t="s">
        <v>333</v>
      </c>
      <c r="K972" s="26" t="s">
        <v>334</v>
      </c>
      <c r="L972" s="26" t="s">
        <v>335</v>
      </c>
    </row>
    <row r="973" spans="2:12" ht="13.8" x14ac:dyDescent="0.3">
      <c r="D973" s="25">
        <v>0</v>
      </c>
      <c r="E973" s="24">
        <f>SUM($E$968:$F$968)</f>
        <v>140</v>
      </c>
      <c r="F973" s="24">
        <f>SUM($E$968:$F$968) - $E$968:$E$968</f>
        <v>42</v>
      </c>
      <c r="G973" s="24">
        <f>IF($E$973:$E$973 = 0, "Undefined",$F$973:$F$973*100 / $E$973:$E$973)</f>
        <v>30</v>
      </c>
      <c r="I973" s="25">
        <v>0</v>
      </c>
      <c r="J973" s="24">
        <f>SUM($J$968:$K$968)</f>
        <v>160</v>
      </c>
      <c r="K973" s="24">
        <f>SUM($J$968:$K$968) - $J$968:$J$968</f>
        <v>84</v>
      </c>
      <c r="L973" s="24">
        <f>IF($J$973:$J$973 = 0, "Undefined",$K$973:$K$973*100 / $J$973:$J$973)</f>
        <v>52.5</v>
      </c>
    </row>
    <row r="974" spans="2:12" ht="13.8" x14ac:dyDescent="0.3">
      <c r="D974" s="25">
        <v>1</v>
      </c>
      <c r="E974" s="24">
        <f>SUM($E$969:$F$969)</f>
        <v>360</v>
      </c>
      <c r="F974" s="24">
        <f>SUM($E$969:$F$969) - $F$969:$F$969</f>
        <v>9</v>
      </c>
      <c r="G974" s="24">
        <f>IF($E$974:$E$974 = 0, "Undefined",$F$974:$F$974*100 / $E$974:$E$974)</f>
        <v>2.5</v>
      </c>
      <c r="I974" s="25">
        <v>1</v>
      </c>
      <c r="J974" s="24">
        <f>SUM($J$969:$K$969)</f>
        <v>340</v>
      </c>
      <c r="K974" s="24">
        <f>SUM($J$969:$K$969) - $K$969:$K$969</f>
        <v>58</v>
      </c>
      <c r="L974" s="24">
        <f>IF($J$974:$J$974 = 0, "Undefined",$K$974:$K$974*100 / $J$974:$J$974)</f>
        <v>17.058823529411764</v>
      </c>
    </row>
    <row r="975" spans="2:12" ht="13.8" x14ac:dyDescent="0.3">
      <c r="D975" s="25" t="s">
        <v>336</v>
      </c>
      <c r="E975" s="24">
        <f>SUM($E$973:$E$974)</f>
        <v>500</v>
      </c>
      <c r="F975" s="24">
        <f>SUM($F$973:$F$974)</f>
        <v>51</v>
      </c>
      <c r="G975" s="24">
        <f>IF($E$975:$E$975 = 0, "Undefined",$F$975:$F$975*100 / $E$975:$E$975)</f>
        <v>10.199999999999999</v>
      </c>
      <c r="I975" s="25" t="s">
        <v>336</v>
      </c>
      <c r="J975" s="24">
        <f>SUM($J$973:$J$974)</f>
        <v>500</v>
      </c>
      <c r="K975" s="24">
        <f>SUM($K$973:$K$974)</f>
        <v>142</v>
      </c>
      <c r="L975" s="24">
        <f>IF($J$975:$J$975 = 0, "Undefined",$K$975:$K$975*100 / $J$975:$J$975)</f>
        <v>28.4</v>
      </c>
    </row>
    <row r="977" spans="2:12" ht="15.6" x14ac:dyDescent="0.3">
      <c r="B977" s="28" t="s">
        <v>405</v>
      </c>
      <c r="D977" s="59" t="s">
        <v>329</v>
      </c>
      <c r="E977" s="60"/>
      <c r="F977" s="61"/>
      <c r="I977" s="59" t="s">
        <v>329</v>
      </c>
      <c r="J977" s="60"/>
      <c r="K977" s="61"/>
    </row>
    <row r="978" spans="2:12" ht="13.8" x14ac:dyDescent="0.3">
      <c r="D978" s="26"/>
      <c r="E978" s="75" t="s">
        <v>330</v>
      </c>
      <c r="F978" s="76"/>
      <c r="I978" s="26"/>
      <c r="J978" s="75" t="s">
        <v>330</v>
      </c>
      <c r="K978" s="76"/>
    </row>
    <row r="979" spans="2:12" ht="13.8" x14ac:dyDescent="0.3">
      <c r="D979" s="25" t="s">
        <v>331</v>
      </c>
      <c r="E979" s="26">
        <v>0</v>
      </c>
      <c r="F979" s="26">
        <v>1</v>
      </c>
      <c r="I979" s="25" t="s">
        <v>331</v>
      </c>
      <c r="J979" s="26">
        <v>0</v>
      </c>
      <c r="K979" s="26">
        <v>1</v>
      </c>
    </row>
    <row r="980" spans="2:12" ht="13.8" x14ac:dyDescent="0.3">
      <c r="D980" s="25">
        <v>0</v>
      </c>
      <c r="E980" s="24">
        <v>99</v>
      </c>
      <c r="F980" s="24">
        <v>41</v>
      </c>
      <c r="I980" s="25">
        <v>0</v>
      </c>
      <c r="J980" s="24">
        <v>72</v>
      </c>
      <c r="K980" s="24">
        <v>88</v>
      </c>
    </row>
    <row r="981" spans="2:12" ht="13.8" x14ac:dyDescent="0.3">
      <c r="D981" s="25">
        <v>1</v>
      </c>
      <c r="E981" s="24">
        <v>11</v>
      </c>
      <c r="F981" s="24">
        <v>349</v>
      </c>
      <c r="I981" s="25">
        <v>1</v>
      </c>
      <c r="J981" s="24">
        <v>53</v>
      </c>
      <c r="K981" s="24">
        <v>287</v>
      </c>
    </row>
    <row r="983" spans="2:12" ht="15.6" x14ac:dyDescent="0.3">
      <c r="D983" s="59" t="s">
        <v>210</v>
      </c>
      <c r="E983" s="60"/>
      <c r="F983" s="60"/>
      <c r="G983" s="61"/>
      <c r="I983" s="59" t="s">
        <v>210</v>
      </c>
      <c r="J983" s="60"/>
      <c r="K983" s="60"/>
      <c r="L983" s="61"/>
    </row>
    <row r="984" spans="2:12" ht="13.8" x14ac:dyDescent="0.3">
      <c r="D984" s="26" t="s">
        <v>332</v>
      </c>
      <c r="E984" s="26" t="s">
        <v>333</v>
      </c>
      <c r="F984" s="26" t="s">
        <v>334</v>
      </c>
      <c r="G984" s="26" t="s">
        <v>335</v>
      </c>
      <c r="I984" s="26" t="s">
        <v>332</v>
      </c>
      <c r="J984" s="26" t="s">
        <v>333</v>
      </c>
      <c r="K984" s="26" t="s">
        <v>334</v>
      </c>
      <c r="L984" s="26" t="s">
        <v>335</v>
      </c>
    </row>
    <row r="985" spans="2:12" ht="13.8" x14ac:dyDescent="0.3">
      <c r="D985" s="25">
        <v>0</v>
      </c>
      <c r="E985" s="24">
        <f>SUM($E$980:$F$980)</f>
        <v>140</v>
      </c>
      <c r="F985" s="24">
        <f>SUM($E$980:$F$980) - $E$980:$E$980</f>
        <v>41</v>
      </c>
      <c r="G985" s="24">
        <f>IF($E$985:$E$985 = 0, "Undefined",$F$985:$F$985*100 / $E$985:$E$985)</f>
        <v>29.285714285714285</v>
      </c>
      <c r="I985" s="25">
        <v>0</v>
      </c>
      <c r="J985" s="24">
        <f>SUM($J$980:$K$980)</f>
        <v>160</v>
      </c>
      <c r="K985" s="24">
        <f>SUM($J$980:$K$980) - $J$980:$J$980</f>
        <v>88</v>
      </c>
      <c r="L985" s="24">
        <f>IF($J$985:$J$985 = 0, "Undefined",$K$985:$K$985*100 / $J$985:$J$985)</f>
        <v>55</v>
      </c>
    </row>
    <row r="986" spans="2:12" ht="13.8" x14ac:dyDescent="0.3">
      <c r="D986" s="25">
        <v>1</v>
      </c>
      <c r="E986" s="24">
        <f>SUM($E$981:$F$981)</f>
        <v>360</v>
      </c>
      <c r="F986" s="24">
        <f>SUM($E$981:$F$981) - $F$981:$F$981</f>
        <v>11</v>
      </c>
      <c r="G986" s="24">
        <f>IF($E$986:$E$986 = 0, "Undefined",$F$986:$F$986*100 / $E$986:$E$986)</f>
        <v>3.0555555555555554</v>
      </c>
      <c r="I986" s="25">
        <v>1</v>
      </c>
      <c r="J986" s="24">
        <f>SUM($J$981:$K$981)</f>
        <v>340</v>
      </c>
      <c r="K986" s="24">
        <f>SUM($J$981:$K$981) - $K$981:$K$981</f>
        <v>53</v>
      </c>
      <c r="L986" s="24">
        <f>IF($J$986:$J$986 = 0, "Undefined",$K$986:$K$986*100 / $J$986:$J$986)</f>
        <v>15.588235294117647</v>
      </c>
    </row>
    <row r="987" spans="2:12" ht="13.8" x14ac:dyDescent="0.3">
      <c r="D987" s="25" t="s">
        <v>336</v>
      </c>
      <c r="E987" s="24">
        <f>SUM($E$985:$E$986)</f>
        <v>500</v>
      </c>
      <c r="F987" s="24">
        <f>SUM($F$985:$F$986)</f>
        <v>52</v>
      </c>
      <c r="G987" s="24">
        <f>IF($E$987:$E$987 = 0, "Undefined",$F$987:$F$987*100 / $E$987:$E$987)</f>
        <v>10.4</v>
      </c>
      <c r="I987" s="25" t="s">
        <v>336</v>
      </c>
      <c r="J987" s="24">
        <f>SUM($J$985:$J$986)</f>
        <v>500</v>
      </c>
      <c r="K987" s="24">
        <f>SUM($K$985:$K$986)</f>
        <v>141</v>
      </c>
      <c r="L987" s="24">
        <f>IF($J$987:$J$987 = 0, "Undefined",$K$987:$K$987*100 / $J$987:$J$987)</f>
        <v>28.2</v>
      </c>
    </row>
    <row r="989" spans="2:12" ht="15.6" x14ac:dyDescent="0.3">
      <c r="B989" s="28" t="s">
        <v>406</v>
      </c>
      <c r="D989" s="59" t="s">
        <v>329</v>
      </c>
      <c r="E989" s="60"/>
      <c r="F989" s="61"/>
      <c r="I989" s="59" t="s">
        <v>329</v>
      </c>
      <c r="J989" s="60"/>
      <c r="K989" s="61"/>
    </row>
    <row r="990" spans="2:12" ht="13.8" x14ac:dyDescent="0.3">
      <c r="D990" s="26"/>
      <c r="E990" s="75" t="s">
        <v>330</v>
      </c>
      <c r="F990" s="76"/>
      <c r="I990" s="26"/>
      <c r="J990" s="75" t="s">
        <v>330</v>
      </c>
      <c r="K990" s="76"/>
    </row>
    <row r="991" spans="2:12" ht="13.8" x14ac:dyDescent="0.3">
      <c r="D991" s="25" t="s">
        <v>331</v>
      </c>
      <c r="E991" s="26">
        <v>0</v>
      </c>
      <c r="F991" s="26">
        <v>1</v>
      </c>
      <c r="I991" s="25" t="s">
        <v>331</v>
      </c>
      <c r="J991" s="26">
        <v>0</v>
      </c>
      <c r="K991" s="26">
        <v>1</v>
      </c>
    </row>
    <row r="992" spans="2:12" ht="13.8" x14ac:dyDescent="0.3">
      <c r="D992" s="25">
        <v>0</v>
      </c>
      <c r="E992" s="24">
        <v>98</v>
      </c>
      <c r="F992" s="24">
        <v>42</v>
      </c>
      <c r="I992" s="25">
        <v>0</v>
      </c>
      <c r="J992" s="24">
        <v>76</v>
      </c>
      <c r="K992" s="24">
        <v>84</v>
      </c>
    </row>
    <row r="993" spans="2:12" ht="13.8" x14ac:dyDescent="0.3">
      <c r="D993" s="25">
        <v>1</v>
      </c>
      <c r="E993" s="24">
        <v>10</v>
      </c>
      <c r="F993" s="24">
        <v>350</v>
      </c>
      <c r="I993" s="25">
        <v>1</v>
      </c>
      <c r="J993" s="24">
        <v>58</v>
      </c>
      <c r="K993" s="24">
        <v>282</v>
      </c>
    </row>
    <row r="995" spans="2:12" ht="15.6" x14ac:dyDescent="0.3">
      <c r="D995" s="59" t="s">
        <v>210</v>
      </c>
      <c r="E995" s="60"/>
      <c r="F995" s="60"/>
      <c r="G995" s="61"/>
      <c r="I995" s="59" t="s">
        <v>210</v>
      </c>
      <c r="J995" s="60"/>
      <c r="K995" s="60"/>
      <c r="L995" s="61"/>
    </row>
    <row r="996" spans="2:12" ht="13.8" x14ac:dyDescent="0.3">
      <c r="D996" s="26" t="s">
        <v>332</v>
      </c>
      <c r="E996" s="26" t="s">
        <v>333</v>
      </c>
      <c r="F996" s="26" t="s">
        <v>334</v>
      </c>
      <c r="G996" s="26" t="s">
        <v>335</v>
      </c>
      <c r="I996" s="26" t="s">
        <v>332</v>
      </c>
      <c r="J996" s="26" t="s">
        <v>333</v>
      </c>
      <c r="K996" s="26" t="s">
        <v>334</v>
      </c>
      <c r="L996" s="26" t="s">
        <v>335</v>
      </c>
    </row>
    <row r="997" spans="2:12" ht="13.8" x14ac:dyDescent="0.3">
      <c r="D997" s="25">
        <v>0</v>
      </c>
      <c r="E997" s="24">
        <f>SUM($E$992:$F$992)</f>
        <v>140</v>
      </c>
      <c r="F997" s="24">
        <f>SUM($E$992:$F$992) - $E$992:$E$992</f>
        <v>42</v>
      </c>
      <c r="G997" s="24">
        <f>IF($E$997:$E$997 = 0, "Undefined",$F$997:$F$997*100 / $E$997:$E$997)</f>
        <v>30</v>
      </c>
      <c r="I997" s="25">
        <v>0</v>
      </c>
      <c r="J997" s="24">
        <f>SUM($J$992:$K$992)</f>
        <v>160</v>
      </c>
      <c r="K997" s="24">
        <f>SUM($J$992:$K$992) - $J$992:$J$992</f>
        <v>84</v>
      </c>
      <c r="L997" s="24">
        <f>IF($J$997:$J$997 = 0, "Undefined",$K$997:$K$997*100 / $J$997:$J$997)</f>
        <v>52.5</v>
      </c>
    </row>
    <row r="998" spans="2:12" ht="13.8" x14ac:dyDescent="0.3">
      <c r="D998" s="25">
        <v>1</v>
      </c>
      <c r="E998" s="24">
        <f>SUM($E$993:$F$993)</f>
        <v>360</v>
      </c>
      <c r="F998" s="24">
        <f>SUM($E$993:$F$993) - $F$993:$F$993</f>
        <v>10</v>
      </c>
      <c r="G998" s="24">
        <f>IF($E$998:$E$998 = 0, "Undefined",$F$998:$F$998*100 / $E$998:$E$998)</f>
        <v>2.7777777777777777</v>
      </c>
      <c r="I998" s="25">
        <v>1</v>
      </c>
      <c r="J998" s="24">
        <f>SUM($J$993:$K$993)</f>
        <v>340</v>
      </c>
      <c r="K998" s="24">
        <f>SUM($J$993:$K$993) - $K$993:$K$993</f>
        <v>58</v>
      </c>
      <c r="L998" s="24">
        <f>IF($J$998:$J$998 = 0, "Undefined",$K$998:$K$998*100 / $J$998:$J$998)</f>
        <v>17.058823529411764</v>
      </c>
    </row>
    <row r="999" spans="2:12" ht="13.8" x14ac:dyDescent="0.3">
      <c r="D999" s="25" t="s">
        <v>336</v>
      </c>
      <c r="E999" s="24">
        <f>SUM($E$997:$E$998)</f>
        <v>500</v>
      </c>
      <c r="F999" s="24">
        <f>SUM($F$997:$F$998)</f>
        <v>52</v>
      </c>
      <c r="G999" s="24">
        <f>IF($E$999:$E$999 = 0, "Undefined",$F$999:$F$999*100 / $E$999:$E$999)</f>
        <v>10.4</v>
      </c>
      <c r="I999" s="25" t="s">
        <v>336</v>
      </c>
      <c r="J999" s="24">
        <f>SUM($J$997:$J$998)</f>
        <v>500</v>
      </c>
      <c r="K999" s="24">
        <f>SUM($K$997:$K$998)</f>
        <v>142</v>
      </c>
      <c r="L999" s="24">
        <f>IF($J$999:$J$999 = 0, "Undefined",$K$999:$K$999*100 / $J$999:$J$999)</f>
        <v>28.4</v>
      </c>
    </row>
    <row r="1001" spans="2:12" ht="15.6" x14ac:dyDescent="0.3">
      <c r="B1001" s="28" t="s">
        <v>407</v>
      </c>
      <c r="D1001" s="59" t="s">
        <v>329</v>
      </c>
      <c r="E1001" s="60"/>
      <c r="F1001" s="61"/>
      <c r="I1001" s="59" t="s">
        <v>329</v>
      </c>
      <c r="J1001" s="60"/>
      <c r="K1001" s="61"/>
    </row>
    <row r="1002" spans="2:12" ht="13.8" x14ac:dyDescent="0.3">
      <c r="D1002" s="26"/>
      <c r="E1002" s="75" t="s">
        <v>330</v>
      </c>
      <c r="F1002" s="76"/>
      <c r="I1002" s="26"/>
      <c r="J1002" s="75" t="s">
        <v>330</v>
      </c>
      <c r="K1002" s="76"/>
    </row>
    <row r="1003" spans="2:12" ht="13.8" x14ac:dyDescent="0.3">
      <c r="D1003" s="25" t="s">
        <v>331</v>
      </c>
      <c r="E1003" s="26">
        <v>0</v>
      </c>
      <c r="F1003" s="26">
        <v>1</v>
      </c>
      <c r="I1003" s="25" t="s">
        <v>331</v>
      </c>
      <c r="J1003" s="26">
        <v>0</v>
      </c>
      <c r="K1003" s="26">
        <v>1</v>
      </c>
    </row>
    <row r="1004" spans="2:12" ht="13.8" x14ac:dyDescent="0.3">
      <c r="D1004" s="25">
        <v>0</v>
      </c>
      <c r="E1004" s="24">
        <v>102</v>
      </c>
      <c r="F1004" s="24">
        <v>38</v>
      </c>
      <c r="I1004" s="25">
        <v>0</v>
      </c>
      <c r="J1004" s="24">
        <v>81</v>
      </c>
      <c r="K1004" s="24">
        <v>79</v>
      </c>
    </row>
    <row r="1005" spans="2:12" ht="13.8" x14ac:dyDescent="0.3">
      <c r="D1005" s="25">
        <v>1</v>
      </c>
      <c r="E1005" s="24">
        <v>14</v>
      </c>
      <c r="F1005" s="24">
        <v>346</v>
      </c>
      <c r="I1005" s="25">
        <v>1</v>
      </c>
      <c r="J1005" s="24">
        <v>60</v>
      </c>
      <c r="K1005" s="24">
        <v>280</v>
      </c>
    </row>
    <row r="1007" spans="2:12" ht="15.6" x14ac:dyDescent="0.3">
      <c r="D1007" s="59" t="s">
        <v>210</v>
      </c>
      <c r="E1007" s="60"/>
      <c r="F1007" s="60"/>
      <c r="G1007" s="61"/>
      <c r="I1007" s="59" t="s">
        <v>210</v>
      </c>
      <c r="J1007" s="60"/>
      <c r="K1007" s="60"/>
      <c r="L1007" s="61"/>
    </row>
    <row r="1008" spans="2:12" ht="13.8" x14ac:dyDescent="0.3">
      <c r="D1008" s="26" t="s">
        <v>332</v>
      </c>
      <c r="E1008" s="26" t="s">
        <v>333</v>
      </c>
      <c r="F1008" s="26" t="s">
        <v>334</v>
      </c>
      <c r="G1008" s="26" t="s">
        <v>335</v>
      </c>
      <c r="I1008" s="26" t="s">
        <v>332</v>
      </c>
      <c r="J1008" s="26" t="s">
        <v>333</v>
      </c>
      <c r="K1008" s="26" t="s">
        <v>334</v>
      </c>
      <c r="L1008" s="26" t="s">
        <v>335</v>
      </c>
    </row>
    <row r="1009" spans="2:12" ht="13.8" x14ac:dyDescent="0.3">
      <c r="D1009" s="25">
        <v>0</v>
      </c>
      <c r="E1009" s="24">
        <f>SUM($E$1004:$F$1004)</f>
        <v>140</v>
      </c>
      <c r="F1009" s="24">
        <f>SUM($E$1004:$F$1004) - $E$1004:$E$1004</f>
        <v>38</v>
      </c>
      <c r="G1009" s="24">
        <f>IF($E$1009:$E$1009 = 0, "Undefined",$F$1009:$F$1009*100 / $E$1009:$E$1009)</f>
        <v>27.142857142857142</v>
      </c>
      <c r="I1009" s="25">
        <v>0</v>
      </c>
      <c r="J1009" s="24">
        <f>SUM($J$1004:$K$1004)</f>
        <v>160</v>
      </c>
      <c r="K1009" s="24">
        <f>SUM($J$1004:$K$1004) - $J$1004:$J$1004</f>
        <v>79</v>
      </c>
      <c r="L1009" s="24">
        <f>IF($J$1009:$J$1009 = 0, "Undefined",$K$1009:$K$1009*100 / $J$1009:$J$1009)</f>
        <v>49.375</v>
      </c>
    </row>
    <row r="1010" spans="2:12" ht="13.8" x14ac:dyDescent="0.3">
      <c r="D1010" s="25">
        <v>1</v>
      </c>
      <c r="E1010" s="24">
        <f>SUM($E$1005:$F$1005)</f>
        <v>360</v>
      </c>
      <c r="F1010" s="24">
        <f>SUM($E$1005:$F$1005) - $F$1005:$F$1005</f>
        <v>14</v>
      </c>
      <c r="G1010" s="24">
        <f>IF($E$1010:$E$1010 = 0, "Undefined",$F$1010:$F$1010*100 / $E$1010:$E$1010)</f>
        <v>3.8888888888888888</v>
      </c>
      <c r="I1010" s="25">
        <v>1</v>
      </c>
      <c r="J1010" s="24">
        <f>SUM($J$1005:$K$1005)</f>
        <v>340</v>
      </c>
      <c r="K1010" s="24">
        <f>SUM($J$1005:$K$1005) - $K$1005:$K$1005</f>
        <v>60</v>
      </c>
      <c r="L1010" s="24">
        <f>IF($J$1010:$J$1010 = 0, "Undefined",$K$1010:$K$1010*100 / $J$1010:$J$1010)</f>
        <v>17.647058823529413</v>
      </c>
    </row>
    <row r="1011" spans="2:12" ht="13.8" x14ac:dyDescent="0.3">
      <c r="D1011" s="25" t="s">
        <v>336</v>
      </c>
      <c r="E1011" s="24">
        <f>SUM($E$1009:$E$1010)</f>
        <v>500</v>
      </c>
      <c r="F1011" s="24">
        <f>SUM($F$1009:$F$1010)</f>
        <v>52</v>
      </c>
      <c r="G1011" s="24">
        <f>IF($E$1011:$E$1011 = 0, "Undefined",$F$1011:$F$1011*100 / $E$1011:$E$1011)</f>
        <v>10.4</v>
      </c>
      <c r="I1011" s="25" t="s">
        <v>336</v>
      </c>
      <c r="J1011" s="24">
        <f>SUM($J$1009:$J$1010)</f>
        <v>500</v>
      </c>
      <c r="K1011" s="24">
        <f>SUM($K$1009:$K$1010)</f>
        <v>139</v>
      </c>
      <c r="L1011" s="24">
        <f>IF($J$1011:$J$1011 = 0, "Undefined",$K$1011:$K$1011*100 / $J$1011:$J$1011)</f>
        <v>27.8</v>
      </c>
    </row>
    <row r="1013" spans="2:12" ht="15.6" x14ac:dyDescent="0.3">
      <c r="B1013" s="28" t="s">
        <v>408</v>
      </c>
      <c r="D1013" s="59" t="s">
        <v>329</v>
      </c>
      <c r="E1013" s="60"/>
      <c r="F1013" s="61"/>
      <c r="I1013" s="59" t="s">
        <v>329</v>
      </c>
      <c r="J1013" s="60"/>
      <c r="K1013" s="61"/>
    </row>
    <row r="1014" spans="2:12" ht="13.8" x14ac:dyDescent="0.3">
      <c r="D1014" s="26"/>
      <c r="E1014" s="75" t="s">
        <v>330</v>
      </c>
      <c r="F1014" s="76"/>
      <c r="I1014" s="26"/>
      <c r="J1014" s="75" t="s">
        <v>330</v>
      </c>
      <c r="K1014" s="76"/>
    </row>
    <row r="1015" spans="2:12" ht="13.8" x14ac:dyDescent="0.3">
      <c r="D1015" s="25" t="s">
        <v>331</v>
      </c>
      <c r="E1015" s="26">
        <v>0</v>
      </c>
      <c r="F1015" s="26">
        <v>1</v>
      </c>
      <c r="I1015" s="25" t="s">
        <v>331</v>
      </c>
      <c r="J1015" s="26">
        <v>0</v>
      </c>
      <c r="K1015" s="26">
        <v>1</v>
      </c>
    </row>
    <row r="1016" spans="2:12" ht="13.8" x14ac:dyDescent="0.3">
      <c r="D1016" s="25">
        <v>0</v>
      </c>
      <c r="E1016" s="24">
        <v>97</v>
      </c>
      <c r="F1016" s="24">
        <v>43</v>
      </c>
      <c r="I1016" s="25">
        <v>0</v>
      </c>
      <c r="J1016" s="24">
        <v>73</v>
      </c>
      <c r="K1016" s="24">
        <v>87</v>
      </c>
    </row>
    <row r="1017" spans="2:12" ht="13.8" x14ac:dyDescent="0.3">
      <c r="D1017" s="25">
        <v>1</v>
      </c>
      <c r="E1017" s="24">
        <v>10</v>
      </c>
      <c r="F1017" s="24">
        <v>350</v>
      </c>
      <c r="I1017" s="25">
        <v>1</v>
      </c>
      <c r="J1017" s="24">
        <v>57</v>
      </c>
      <c r="K1017" s="24">
        <v>283</v>
      </c>
    </row>
    <row r="1019" spans="2:12" ht="15.6" x14ac:dyDescent="0.3">
      <c r="D1019" s="59" t="s">
        <v>210</v>
      </c>
      <c r="E1019" s="60"/>
      <c r="F1019" s="60"/>
      <c r="G1019" s="61"/>
      <c r="I1019" s="59" t="s">
        <v>210</v>
      </c>
      <c r="J1019" s="60"/>
      <c r="K1019" s="60"/>
      <c r="L1019" s="61"/>
    </row>
    <row r="1020" spans="2:12" ht="13.8" x14ac:dyDescent="0.3">
      <c r="D1020" s="26" t="s">
        <v>332</v>
      </c>
      <c r="E1020" s="26" t="s">
        <v>333</v>
      </c>
      <c r="F1020" s="26" t="s">
        <v>334</v>
      </c>
      <c r="G1020" s="26" t="s">
        <v>335</v>
      </c>
      <c r="I1020" s="26" t="s">
        <v>332</v>
      </c>
      <c r="J1020" s="26" t="s">
        <v>333</v>
      </c>
      <c r="K1020" s="26" t="s">
        <v>334</v>
      </c>
      <c r="L1020" s="26" t="s">
        <v>335</v>
      </c>
    </row>
    <row r="1021" spans="2:12" ht="13.8" x14ac:dyDescent="0.3">
      <c r="D1021" s="25">
        <v>0</v>
      </c>
      <c r="E1021" s="24">
        <f>SUM($E$1016:$F$1016)</f>
        <v>140</v>
      </c>
      <c r="F1021" s="24">
        <f>SUM($E$1016:$F$1016) - $E$1016:$E$1016</f>
        <v>43</v>
      </c>
      <c r="G1021" s="24">
        <f>IF($E$1021:$E$1021 = 0, "Undefined",$F$1021:$F$1021*100 / $E$1021:$E$1021)</f>
        <v>30.714285714285715</v>
      </c>
      <c r="I1021" s="25">
        <v>0</v>
      </c>
      <c r="J1021" s="24">
        <f>SUM($J$1016:$K$1016)</f>
        <v>160</v>
      </c>
      <c r="K1021" s="24">
        <f>SUM($J$1016:$K$1016) - $J$1016:$J$1016</f>
        <v>87</v>
      </c>
      <c r="L1021" s="24">
        <f>IF($J$1021:$J$1021 = 0, "Undefined",$K$1021:$K$1021*100 / $J$1021:$J$1021)</f>
        <v>54.375</v>
      </c>
    </row>
    <row r="1022" spans="2:12" ht="13.8" x14ac:dyDescent="0.3">
      <c r="D1022" s="25">
        <v>1</v>
      </c>
      <c r="E1022" s="24">
        <f>SUM($E$1017:$F$1017)</f>
        <v>360</v>
      </c>
      <c r="F1022" s="24">
        <f>SUM($E$1017:$F$1017) - $F$1017:$F$1017</f>
        <v>10</v>
      </c>
      <c r="G1022" s="24">
        <f>IF($E$1022:$E$1022 = 0, "Undefined",$F$1022:$F$1022*100 / $E$1022:$E$1022)</f>
        <v>2.7777777777777777</v>
      </c>
      <c r="I1022" s="25">
        <v>1</v>
      </c>
      <c r="J1022" s="24">
        <f>SUM($J$1017:$K$1017)</f>
        <v>340</v>
      </c>
      <c r="K1022" s="24">
        <f>SUM($J$1017:$K$1017) - $K$1017:$K$1017</f>
        <v>57</v>
      </c>
      <c r="L1022" s="24">
        <f>IF($J$1022:$J$1022 = 0, "Undefined",$K$1022:$K$1022*100 / $J$1022:$J$1022)</f>
        <v>16.764705882352942</v>
      </c>
    </row>
    <row r="1023" spans="2:12" ht="13.8" x14ac:dyDescent="0.3">
      <c r="D1023" s="25" t="s">
        <v>336</v>
      </c>
      <c r="E1023" s="24">
        <f>SUM($E$1021:$E$1022)</f>
        <v>500</v>
      </c>
      <c r="F1023" s="24">
        <f>SUM($F$1021:$F$1022)</f>
        <v>53</v>
      </c>
      <c r="G1023" s="24">
        <f>IF($E$1023:$E$1023 = 0, "Undefined",$F$1023:$F$1023*100 / $E$1023:$E$1023)</f>
        <v>10.6</v>
      </c>
      <c r="I1023" s="25" t="s">
        <v>336</v>
      </c>
      <c r="J1023" s="24">
        <f>SUM($J$1021:$J$1022)</f>
        <v>500</v>
      </c>
      <c r="K1023" s="24">
        <f>SUM($K$1021:$K$1022)</f>
        <v>144</v>
      </c>
      <c r="L1023" s="24">
        <f>IF($J$1023:$J$1023 = 0, "Undefined",$K$1023:$K$1023*100 / $J$1023:$J$1023)</f>
        <v>28.8</v>
      </c>
    </row>
    <row r="1025" spans="2:12" ht="15.6" x14ac:dyDescent="0.3">
      <c r="B1025" s="28" t="s">
        <v>409</v>
      </c>
      <c r="D1025" s="59" t="s">
        <v>329</v>
      </c>
      <c r="E1025" s="60"/>
      <c r="F1025" s="61"/>
      <c r="I1025" s="59" t="s">
        <v>329</v>
      </c>
      <c r="J1025" s="60"/>
      <c r="K1025" s="61"/>
    </row>
    <row r="1026" spans="2:12" ht="13.8" x14ac:dyDescent="0.3">
      <c r="D1026" s="26"/>
      <c r="E1026" s="75" t="s">
        <v>330</v>
      </c>
      <c r="F1026" s="76"/>
      <c r="I1026" s="26"/>
      <c r="J1026" s="75" t="s">
        <v>330</v>
      </c>
      <c r="K1026" s="76"/>
    </row>
    <row r="1027" spans="2:12" ht="13.8" x14ac:dyDescent="0.3">
      <c r="D1027" s="25" t="s">
        <v>331</v>
      </c>
      <c r="E1027" s="26">
        <v>0</v>
      </c>
      <c r="F1027" s="26">
        <v>1</v>
      </c>
      <c r="I1027" s="25" t="s">
        <v>331</v>
      </c>
      <c r="J1027" s="26">
        <v>0</v>
      </c>
      <c r="K1027" s="26">
        <v>1</v>
      </c>
    </row>
    <row r="1028" spans="2:12" ht="13.8" x14ac:dyDescent="0.3">
      <c r="D1028" s="25">
        <v>0</v>
      </c>
      <c r="E1028" s="24">
        <v>100</v>
      </c>
      <c r="F1028" s="24">
        <v>40</v>
      </c>
      <c r="I1028" s="25">
        <v>0</v>
      </c>
      <c r="J1028" s="24">
        <v>75</v>
      </c>
      <c r="K1028" s="24">
        <v>85</v>
      </c>
    </row>
    <row r="1029" spans="2:12" ht="13.8" x14ac:dyDescent="0.3">
      <c r="D1029" s="25">
        <v>1</v>
      </c>
      <c r="E1029" s="24">
        <v>18</v>
      </c>
      <c r="F1029" s="24">
        <v>342</v>
      </c>
      <c r="I1029" s="25">
        <v>1</v>
      </c>
      <c r="J1029" s="24">
        <v>54</v>
      </c>
      <c r="K1029" s="24">
        <v>286</v>
      </c>
    </row>
    <row r="1031" spans="2:12" ht="15.6" x14ac:dyDescent="0.3">
      <c r="D1031" s="59" t="s">
        <v>210</v>
      </c>
      <c r="E1031" s="60"/>
      <c r="F1031" s="60"/>
      <c r="G1031" s="61"/>
      <c r="I1031" s="59" t="s">
        <v>210</v>
      </c>
      <c r="J1031" s="60"/>
      <c r="K1031" s="60"/>
      <c r="L1031" s="61"/>
    </row>
    <row r="1032" spans="2:12" ht="13.8" x14ac:dyDescent="0.3">
      <c r="D1032" s="26" t="s">
        <v>332</v>
      </c>
      <c r="E1032" s="26" t="s">
        <v>333</v>
      </c>
      <c r="F1032" s="26" t="s">
        <v>334</v>
      </c>
      <c r="G1032" s="26" t="s">
        <v>335</v>
      </c>
      <c r="I1032" s="26" t="s">
        <v>332</v>
      </c>
      <c r="J1032" s="26" t="s">
        <v>333</v>
      </c>
      <c r="K1032" s="26" t="s">
        <v>334</v>
      </c>
      <c r="L1032" s="26" t="s">
        <v>335</v>
      </c>
    </row>
    <row r="1033" spans="2:12" ht="13.8" x14ac:dyDescent="0.3">
      <c r="D1033" s="25">
        <v>0</v>
      </c>
      <c r="E1033" s="24">
        <f>SUM($E$1028:$F$1028)</f>
        <v>140</v>
      </c>
      <c r="F1033" s="24">
        <f>SUM($E$1028:$F$1028) - $E$1028:$E$1028</f>
        <v>40</v>
      </c>
      <c r="G1033" s="24">
        <f>IF($E$1033:$E$1033 = 0, "Undefined",$F$1033:$F$1033*100 / $E$1033:$E$1033)</f>
        <v>28.571428571428573</v>
      </c>
      <c r="I1033" s="25">
        <v>0</v>
      </c>
      <c r="J1033" s="24">
        <f>SUM($J$1028:$K$1028)</f>
        <v>160</v>
      </c>
      <c r="K1033" s="24">
        <f>SUM($J$1028:$K$1028) - $J$1028:$J$1028</f>
        <v>85</v>
      </c>
      <c r="L1033" s="24">
        <f>IF($J$1033:$J$1033 = 0, "Undefined",$K$1033:$K$1033*100 / $J$1033:$J$1033)</f>
        <v>53.125</v>
      </c>
    </row>
    <row r="1034" spans="2:12" ht="13.8" x14ac:dyDescent="0.3">
      <c r="D1034" s="25">
        <v>1</v>
      </c>
      <c r="E1034" s="24">
        <f>SUM($E$1029:$F$1029)</f>
        <v>360</v>
      </c>
      <c r="F1034" s="24">
        <f>SUM($E$1029:$F$1029) - $F$1029:$F$1029</f>
        <v>18</v>
      </c>
      <c r="G1034" s="24">
        <f>IF($E$1034:$E$1034 = 0, "Undefined",$F$1034:$F$1034*100 / $E$1034:$E$1034)</f>
        <v>5</v>
      </c>
      <c r="I1034" s="25">
        <v>1</v>
      </c>
      <c r="J1034" s="24">
        <f>SUM($J$1029:$K$1029)</f>
        <v>340</v>
      </c>
      <c r="K1034" s="24">
        <f>SUM($J$1029:$K$1029) - $K$1029:$K$1029</f>
        <v>54</v>
      </c>
      <c r="L1034" s="24">
        <f>IF($J$1034:$J$1034 = 0, "Undefined",$K$1034:$K$1034*100 / $J$1034:$J$1034)</f>
        <v>15.882352941176471</v>
      </c>
    </row>
    <row r="1035" spans="2:12" ht="13.8" x14ac:dyDescent="0.3">
      <c r="D1035" s="25" t="s">
        <v>336</v>
      </c>
      <c r="E1035" s="24">
        <f>SUM($E$1033:$E$1034)</f>
        <v>500</v>
      </c>
      <c r="F1035" s="24">
        <f>SUM($F$1033:$F$1034)</f>
        <v>58</v>
      </c>
      <c r="G1035" s="24">
        <f>IF($E$1035:$E$1035 = 0, "Undefined",$F$1035:$F$1035*100 / $E$1035:$E$1035)</f>
        <v>11.6</v>
      </c>
      <c r="I1035" s="25" t="s">
        <v>336</v>
      </c>
      <c r="J1035" s="24">
        <f>SUM($J$1033:$J$1034)</f>
        <v>500</v>
      </c>
      <c r="K1035" s="24">
        <f>SUM($K$1033:$K$1034)</f>
        <v>139</v>
      </c>
      <c r="L1035" s="24">
        <f>IF($J$1035:$J$1035 = 0, "Undefined",$K$1035:$K$1035*100 / $J$1035:$J$1035)</f>
        <v>27.8</v>
      </c>
    </row>
    <row r="1037" spans="2:12" ht="15.6" x14ac:dyDescent="0.3">
      <c r="B1037" s="28" t="s">
        <v>410</v>
      </c>
      <c r="D1037" s="59" t="s">
        <v>329</v>
      </c>
      <c r="E1037" s="60"/>
      <c r="F1037" s="61"/>
      <c r="I1037" s="59" t="s">
        <v>329</v>
      </c>
      <c r="J1037" s="60"/>
      <c r="K1037" s="61"/>
    </row>
    <row r="1038" spans="2:12" ht="13.8" x14ac:dyDescent="0.3">
      <c r="D1038" s="26"/>
      <c r="E1038" s="75" t="s">
        <v>330</v>
      </c>
      <c r="F1038" s="76"/>
      <c r="I1038" s="26"/>
      <c r="J1038" s="75" t="s">
        <v>330</v>
      </c>
      <c r="K1038" s="76"/>
    </row>
    <row r="1039" spans="2:12" ht="13.8" x14ac:dyDescent="0.3">
      <c r="D1039" s="25" t="s">
        <v>331</v>
      </c>
      <c r="E1039" s="26">
        <v>0</v>
      </c>
      <c r="F1039" s="26">
        <v>1</v>
      </c>
      <c r="I1039" s="25" t="s">
        <v>331</v>
      </c>
      <c r="J1039" s="26">
        <v>0</v>
      </c>
      <c r="K1039" s="26">
        <v>1</v>
      </c>
    </row>
    <row r="1040" spans="2:12" ht="13.8" x14ac:dyDescent="0.3">
      <c r="D1040" s="25">
        <v>0</v>
      </c>
      <c r="E1040" s="24">
        <v>100</v>
      </c>
      <c r="F1040" s="24">
        <v>40</v>
      </c>
      <c r="I1040" s="25">
        <v>0</v>
      </c>
      <c r="J1040" s="24">
        <v>76</v>
      </c>
      <c r="K1040" s="24">
        <v>84</v>
      </c>
    </row>
    <row r="1041" spans="2:12" ht="13.8" x14ac:dyDescent="0.3">
      <c r="D1041" s="25">
        <v>1</v>
      </c>
      <c r="E1041" s="24">
        <v>10</v>
      </c>
      <c r="F1041" s="24">
        <v>350</v>
      </c>
      <c r="I1041" s="25">
        <v>1</v>
      </c>
      <c r="J1041" s="24">
        <v>57</v>
      </c>
      <c r="K1041" s="24">
        <v>283</v>
      </c>
    </row>
    <row r="1043" spans="2:12" ht="15.6" x14ac:dyDescent="0.3">
      <c r="D1043" s="59" t="s">
        <v>210</v>
      </c>
      <c r="E1043" s="60"/>
      <c r="F1043" s="60"/>
      <c r="G1043" s="61"/>
      <c r="I1043" s="59" t="s">
        <v>210</v>
      </c>
      <c r="J1043" s="60"/>
      <c r="K1043" s="60"/>
      <c r="L1043" s="61"/>
    </row>
    <row r="1044" spans="2:12" ht="13.8" x14ac:dyDescent="0.3">
      <c r="D1044" s="26" t="s">
        <v>332</v>
      </c>
      <c r="E1044" s="26" t="s">
        <v>333</v>
      </c>
      <c r="F1044" s="26" t="s">
        <v>334</v>
      </c>
      <c r="G1044" s="26" t="s">
        <v>335</v>
      </c>
      <c r="I1044" s="26" t="s">
        <v>332</v>
      </c>
      <c r="J1044" s="26" t="s">
        <v>333</v>
      </c>
      <c r="K1044" s="26" t="s">
        <v>334</v>
      </c>
      <c r="L1044" s="26" t="s">
        <v>335</v>
      </c>
    </row>
    <row r="1045" spans="2:12" ht="13.8" x14ac:dyDescent="0.3">
      <c r="D1045" s="25">
        <v>0</v>
      </c>
      <c r="E1045" s="24">
        <f>SUM($E$1040:$F$1040)</f>
        <v>140</v>
      </c>
      <c r="F1045" s="24">
        <f>SUM($E$1040:$F$1040) - $E$1040:$E$1040</f>
        <v>40</v>
      </c>
      <c r="G1045" s="24">
        <f>IF($E$1045:$E$1045 = 0, "Undefined",$F$1045:$F$1045*100 / $E$1045:$E$1045)</f>
        <v>28.571428571428573</v>
      </c>
      <c r="I1045" s="25">
        <v>0</v>
      </c>
      <c r="J1045" s="24">
        <f>SUM($J$1040:$K$1040)</f>
        <v>160</v>
      </c>
      <c r="K1045" s="24">
        <f>SUM($J$1040:$K$1040) - $J$1040:$J$1040</f>
        <v>84</v>
      </c>
      <c r="L1045" s="24">
        <f>IF($J$1045:$J$1045 = 0, "Undefined",$K$1045:$K$1045*100 / $J$1045:$J$1045)</f>
        <v>52.5</v>
      </c>
    </row>
    <row r="1046" spans="2:12" ht="13.8" x14ac:dyDescent="0.3">
      <c r="D1046" s="25">
        <v>1</v>
      </c>
      <c r="E1046" s="24">
        <f>SUM($E$1041:$F$1041)</f>
        <v>360</v>
      </c>
      <c r="F1046" s="24">
        <f>SUM($E$1041:$F$1041) - $F$1041:$F$1041</f>
        <v>10</v>
      </c>
      <c r="G1046" s="24">
        <f>IF($E$1046:$E$1046 = 0, "Undefined",$F$1046:$F$1046*100 / $E$1046:$E$1046)</f>
        <v>2.7777777777777777</v>
      </c>
      <c r="I1046" s="25">
        <v>1</v>
      </c>
      <c r="J1046" s="24">
        <f>SUM($J$1041:$K$1041)</f>
        <v>340</v>
      </c>
      <c r="K1046" s="24">
        <f>SUM($J$1041:$K$1041) - $K$1041:$K$1041</f>
        <v>57</v>
      </c>
      <c r="L1046" s="24">
        <f>IF($J$1046:$J$1046 = 0, "Undefined",$K$1046:$K$1046*100 / $J$1046:$J$1046)</f>
        <v>16.764705882352942</v>
      </c>
    </row>
    <row r="1047" spans="2:12" ht="13.8" x14ac:dyDescent="0.3">
      <c r="D1047" s="25" t="s">
        <v>336</v>
      </c>
      <c r="E1047" s="24">
        <f>SUM($E$1045:$E$1046)</f>
        <v>500</v>
      </c>
      <c r="F1047" s="24">
        <f>SUM($F$1045:$F$1046)</f>
        <v>50</v>
      </c>
      <c r="G1047" s="24">
        <f>IF($E$1047:$E$1047 = 0, "Undefined",$F$1047:$F$1047*100 / $E$1047:$E$1047)</f>
        <v>10</v>
      </c>
      <c r="I1047" s="25" t="s">
        <v>336</v>
      </c>
      <c r="J1047" s="24">
        <f>SUM($J$1045:$J$1046)</f>
        <v>500</v>
      </c>
      <c r="K1047" s="24">
        <f>SUM($K$1045:$K$1046)</f>
        <v>141</v>
      </c>
      <c r="L1047" s="24">
        <f>IF($J$1047:$J$1047 = 0, "Undefined",$K$1047:$K$1047*100 / $J$1047:$J$1047)</f>
        <v>28.2</v>
      </c>
    </row>
    <row r="1049" spans="2:12" ht="15.6" x14ac:dyDescent="0.3">
      <c r="B1049" s="28" t="s">
        <v>411</v>
      </c>
      <c r="D1049" s="59" t="s">
        <v>329</v>
      </c>
      <c r="E1049" s="60"/>
      <c r="F1049" s="61"/>
      <c r="I1049" s="59" t="s">
        <v>329</v>
      </c>
      <c r="J1049" s="60"/>
      <c r="K1049" s="61"/>
    </row>
    <row r="1050" spans="2:12" ht="13.8" x14ac:dyDescent="0.3">
      <c r="D1050" s="26"/>
      <c r="E1050" s="75" t="s">
        <v>330</v>
      </c>
      <c r="F1050" s="76"/>
      <c r="I1050" s="26"/>
      <c r="J1050" s="75" t="s">
        <v>330</v>
      </c>
      <c r="K1050" s="76"/>
    </row>
    <row r="1051" spans="2:12" ht="13.8" x14ac:dyDescent="0.3">
      <c r="D1051" s="25" t="s">
        <v>331</v>
      </c>
      <c r="E1051" s="26">
        <v>0</v>
      </c>
      <c r="F1051" s="26">
        <v>1</v>
      </c>
      <c r="I1051" s="25" t="s">
        <v>331</v>
      </c>
      <c r="J1051" s="26">
        <v>0</v>
      </c>
      <c r="K1051" s="26">
        <v>1</v>
      </c>
    </row>
    <row r="1052" spans="2:12" ht="13.8" x14ac:dyDescent="0.3">
      <c r="D1052" s="25">
        <v>0</v>
      </c>
      <c r="E1052" s="24">
        <v>102</v>
      </c>
      <c r="F1052" s="24">
        <v>38</v>
      </c>
      <c r="I1052" s="25">
        <v>0</v>
      </c>
      <c r="J1052" s="24">
        <v>79</v>
      </c>
      <c r="K1052" s="24">
        <v>81</v>
      </c>
    </row>
    <row r="1053" spans="2:12" ht="13.8" x14ac:dyDescent="0.3">
      <c r="D1053" s="25">
        <v>1</v>
      </c>
      <c r="E1053" s="24">
        <v>20</v>
      </c>
      <c r="F1053" s="24">
        <v>340</v>
      </c>
      <c r="I1053" s="25">
        <v>1</v>
      </c>
      <c r="J1053" s="24">
        <v>52</v>
      </c>
      <c r="K1053" s="24">
        <v>288</v>
      </c>
    </row>
    <row r="1055" spans="2:12" ht="15.6" x14ac:dyDescent="0.3">
      <c r="D1055" s="59" t="s">
        <v>210</v>
      </c>
      <c r="E1055" s="60"/>
      <c r="F1055" s="60"/>
      <c r="G1055" s="61"/>
      <c r="I1055" s="59" t="s">
        <v>210</v>
      </c>
      <c r="J1055" s="60"/>
      <c r="K1055" s="60"/>
      <c r="L1055" s="61"/>
    </row>
    <row r="1056" spans="2:12" ht="13.8" x14ac:dyDescent="0.3">
      <c r="D1056" s="26" t="s">
        <v>332</v>
      </c>
      <c r="E1056" s="26" t="s">
        <v>333</v>
      </c>
      <c r="F1056" s="26" t="s">
        <v>334</v>
      </c>
      <c r="G1056" s="26" t="s">
        <v>335</v>
      </c>
      <c r="I1056" s="26" t="s">
        <v>332</v>
      </c>
      <c r="J1056" s="26" t="s">
        <v>333</v>
      </c>
      <c r="K1056" s="26" t="s">
        <v>334</v>
      </c>
      <c r="L1056" s="26" t="s">
        <v>335</v>
      </c>
    </row>
    <row r="1057" spans="2:12" ht="13.8" x14ac:dyDescent="0.3">
      <c r="D1057" s="25">
        <v>0</v>
      </c>
      <c r="E1057" s="24">
        <f>SUM($E$1052:$F$1052)</f>
        <v>140</v>
      </c>
      <c r="F1057" s="24">
        <f>SUM($E$1052:$F$1052) - $E$1052:$E$1052</f>
        <v>38</v>
      </c>
      <c r="G1057" s="24">
        <f>IF($E$1057:$E$1057 = 0, "Undefined",$F$1057:$F$1057*100 / $E$1057:$E$1057)</f>
        <v>27.142857142857142</v>
      </c>
      <c r="I1057" s="25">
        <v>0</v>
      </c>
      <c r="J1057" s="24">
        <f>SUM($J$1052:$K$1052)</f>
        <v>160</v>
      </c>
      <c r="K1057" s="24">
        <f>SUM($J$1052:$K$1052) - $J$1052:$J$1052</f>
        <v>81</v>
      </c>
      <c r="L1057" s="24">
        <f>IF($J$1057:$J$1057 = 0, "Undefined",$K$1057:$K$1057*100 / $J$1057:$J$1057)</f>
        <v>50.625</v>
      </c>
    </row>
    <row r="1058" spans="2:12" ht="13.8" x14ac:dyDescent="0.3">
      <c r="D1058" s="25">
        <v>1</v>
      </c>
      <c r="E1058" s="24">
        <f>SUM($E$1053:$F$1053)</f>
        <v>360</v>
      </c>
      <c r="F1058" s="24">
        <f>SUM($E$1053:$F$1053) - $F$1053:$F$1053</f>
        <v>20</v>
      </c>
      <c r="G1058" s="24">
        <f>IF($E$1058:$E$1058 = 0, "Undefined",$F$1058:$F$1058*100 / $E$1058:$E$1058)</f>
        <v>5.5555555555555554</v>
      </c>
      <c r="I1058" s="25">
        <v>1</v>
      </c>
      <c r="J1058" s="24">
        <f>SUM($J$1053:$K$1053)</f>
        <v>340</v>
      </c>
      <c r="K1058" s="24">
        <f>SUM($J$1053:$K$1053) - $K$1053:$K$1053</f>
        <v>52</v>
      </c>
      <c r="L1058" s="24">
        <f>IF($J$1058:$J$1058 = 0, "Undefined",$K$1058:$K$1058*100 / $J$1058:$J$1058)</f>
        <v>15.294117647058824</v>
      </c>
    </row>
    <row r="1059" spans="2:12" ht="13.8" x14ac:dyDescent="0.3">
      <c r="D1059" s="25" t="s">
        <v>336</v>
      </c>
      <c r="E1059" s="24">
        <f>SUM($E$1057:$E$1058)</f>
        <v>500</v>
      </c>
      <c r="F1059" s="24">
        <f>SUM($F$1057:$F$1058)</f>
        <v>58</v>
      </c>
      <c r="G1059" s="24">
        <f>IF($E$1059:$E$1059 = 0, "Undefined",$F$1059:$F$1059*100 / $E$1059:$E$1059)</f>
        <v>11.6</v>
      </c>
      <c r="I1059" s="25" t="s">
        <v>336</v>
      </c>
      <c r="J1059" s="24">
        <f>SUM($J$1057:$J$1058)</f>
        <v>500</v>
      </c>
      <c r="K1059" s="24">
        <f>SUM($K$1057:$K$1058)</f>
        <v>133</v>
      </c>
      <c r="L1059" s="24">
        <f>IF($J$1059:$J$1059 = 0, "Undefined",$K$1059:$K$1059*100 / $J$1059:$J$1059)</f>
        <v>26.6</v>
      </c>
    </row>
    <row r="1061" spans="2:12" ht="15.6" x14ac:dyDescent="0.3">
      <c r="B1061" s="28" t="s">
        <v>412</v>
      </c>
      <c r="D1061" s="59" t="s">
        <v>329</v>
      </c>
      <c r="E1061" s="60"/>
      <c r="F1061" s="61"/>
      <c r="I1061" s="59" t="s">
        <v>329</v>
      </c>
      <c r="J1061" s="60"/>
      <c r="K1061" s="61"/>
    </row>
    <row r="1062" spans="2:12" ht="13.8" x14ac:dyDescent="0.3">
      <c r="D1062" s="26"/>
      <c r="E1062" s="75" t="s">
        <v>330</v>
      </c>
      <c r="F1062" s="76"/>
      <c r="I1062" s="26"/>
      <c r="J1062" s="75" t="s">
        <v>330</v>
      </c>
      <c r="K1062" s="76"/>
    </row>
    <row r="1063" spans="2:12" ht="13.8" x14ac:dyDescent="0.3">
      <c r="D1063" s="25" t="s">
        <v>331</v>
      </c>
      <c r="E1063" s="26">
        <v>0</v>
      </c>
      <c r="F1063" s="26">
        <v>1</v>
      </c>
      <c r="I1063" s="25" t="s">
        <v>331</v>
      </c>
      <c r="J1063" s="26">
        <v>0</v>
      </c>
      <c r="K1063" s="26">
        <v>1</v>
      </c>
    </row>
    <row r="1064" spans="2:12" ht="13.8" x14ac:dyDescent="0.3">
      <c r="D1064" s="25">
        <v>0</v>
      </c>
      <c r="E1064" s="24">
        <v>119</v>
      </c>
      <c r="F1064" s="24">
        <v>21</v>
      </c>
      <c r="I1064" s="25">
        <v>0</v>
      </c>
      <c r="J1064" s="24">
        <v>81</v>
      </c>
      <c r="K1064" s="24">
        <v>79</v>
      </c>
    </row>
    <row r="1065" spans="2:12" ht="13.8" x14ac:dyDescent="0.3">
      <c r="D1065" s="25">
        <v>1</v>
      </c>
      <c r="E1065" s="24">
        <v>29</v>
      </c>
      <c r="F1065" s="24">
        <v>331</v>
      </c>
      <c r="I1065" s="25">
        <v>1</v>
      </c>
      <c r="J1065" s="24">
        <v>64</v>
      </c>
      <c r="K1065" s="24">
        <v>276</v>
      </c>
    </row>
    <row r="1067" spans="2:12" ht="15.6" x14ac:dyDescent="0.3">
      <c r="D1067" s="59" t="s">
        <v>210</v>
      </c>
      <c r="E1067" s="60"/>
      <c r="F1067" s="60"/>
      <c r="G1067" s="61"/>
      <c r="I1067" s="59" t="s">
        <v>210</v>
      </c>
      <c r="J1067" s="60"/>
      <c r="K1067" s="60"/>
      <c r="L1067" s="61"/>
    </row>
    <row r="1068" spans="2:12" ht="13.8" x14ac:dyDescent="0.3">
      <c r="D1068" s="26" t="s">
        <v>332</v>
      </c>
      <c r="E1068" s="26" t="s">
        <v>333</v>
      </c>
      <c r="F1068" s="26" t="s">
        <v>334</v>
      </c>
      <c r="G1068" s="26" t="s">
        <v>335</v>
      </c>
      <c r="I1068" s="26" t="s">
        <v>332</v>
      </c>
      <c r="J1068" s="26" t="s">
        <v>333</v>
      </c>
      <c r="K1068" s="26" t="s">
        <v>334</v>
      </c>
      <c r="L1068" s="26" t="s">
        <v>335</v>
      </c>
    </row>
    <row r="1069" spans="2:12" ht="13.8" x14ac:dyDescent="0.3">
      <c r="D1069" s="25">
        <v>0</v>
      </c>
      <c r="E1069" s="24">
        <f>SUM($E$1064:$F$1064)</f>
        <v>140</v>
      </c>
      <c r="F1069" s="24">
        <f>SUM($E$1064:$F$1064) - $E$1064:$E$1064</f>
        <v>21</v>
      </c>
      <c r="G1069" s="24">
        <f>IF($E$1069:$E$1069 = 0, "Undefined",$F$1069:$F$1069*100 / $E$1069:$E$1069)</f>
        <v>15</v>
      </c>
      <c r="I1069" s="25">
        <v>0</v>
      </c>
      <c r="J1069" s="24">
        <f>SUM($J$1064:$K$1064)</f>
        <v>160</v>
      </c>
      <c r="K1069" s="24">
        <f>SUM($J$1064:$K$1064) - $J$1064:$J$1064</f>
        <v>79</v>
      </c>
      <c r="L1069" s="24">
        <f>IF($J$1069:$J$1069 = 0, "Undefined",$K$1069:$K$1069*100 / $J$1069:$J$1069)</f>
        <v>49.375</v>
      </c>
    </row>
    <row r="1070" spans="2:12" ht="13.8" x14ac:dyDescent="0.3">
      <c r="D1070" s="25">
        <v>1</v>
      </c>
      <c r="E1070" s="24">
        <f>SUM($E$1065:$F$1065)</f>
        <v>360</v>
      </c>
      <c r="F1070" s="24">
        <f>SUM($E$1065:$F$1065) - $F$1065:$F$1065</f>
        <v>29</v>
      </c>
      <c r="G1070" s="24">
        <f>IF($E$1070:$E$1070 = 0, "Undefined",$F$1070:$F$1070*100 / $E$1070:$E$1070)</f>
        <v>8.0555555555555554</v>
      </c>
      <c r="I1070" s="25">
        <v>1</v>
      </c>
      <c r="J1070" s="24">
        <f>SUM($J$1065:$K$1065)</f>
        <v>340</v>
      </c>
      <c r="K1070" s="24">
        <f>SUM($J$1065:$K$1065) - $K$1065:$K$1065</f>
        <v>64</v>
      </c>
      <c r="L1070" s="24">
        <f>IF($J$1070:$J$1070 = 0, "Undefined",$K$1070:$K$1070*100 / $J$1070:$J$1070)</f>
        <v>18.823529411764707</v>
      </c>
    </row>
    <row r="1071" spans="2:12" ht="13.8" x14ac:dyDescent="0.3">
      <c r="D1071" s="25" t="s">
        <v>336</v>
      </c>
      <c r="E1071" s="24">
        <f>SUM($E$1069:$E$1070)</f>
        <v>500</v>
      </c>
      <c r="F1071" s="24">
        <f>SUM($F$1069:$F$1070)</f>
        <v>50</v>
      </c>
      <c r="G1071" s="24">
        <f>IF($E$1071:$E$1071 = 0, "Undefined",$F$1071:$F$1071*100 / $E$1071:$E$1071)</f>
        <v>10</v>
      </c>
      <c r="I1071" s="25" t="s">
        <v>336</v>
      </c>
      <c r="J1071" s="24">
        <f>SUM($J$1069:$J$1070)</f>
        <v>500</v>
      </c>
      <c r="K1071" s="24">
        <f>SUM($K$1069:$K$1070)</f>
        <v>143</v>
      </c>
      <c r="L1071" s="24">
        <f>IF($J$1071:$J$1071 = 0, "Undefined",$K$1071:$K$1071*100 / $J$1071:$J$1071)</f>
        <v>28.6</v>
      </c>
    </row>
    <row r="1073" spans="2:12" ht="15.6" x14ac:dyDescent="0.3">
      <c r="B1073" s="28" t="s">
        <v>413</v>
      </c>
      <c r="D1073" s="59" t="s">
        <v>329</v>
      </c>
      <c r="E1073" s="60"/>
      <c r="F1073" s="61"/>
      <c r="I1073" s="59" t="s">
        <v>329</v>
      </c>
      <c r="J1073" s="60"/>
      <c r="K1073" s="61"/>
    </row>
    <row r="1074" spans="2:12" ht="13.8" x14ac:dyDescent="0.3">
      <c r="D1074" s="26"/>
      <c r="E1074" s="75" t="s">
        <v>330</v>
      </c>
      <c r="F1074" s="76"/>
      <c r="I1074" s="26"/>
      <c r="J1074" s="75" t="s">
        <v>330</v>
      </c>
      <c r="K1074" s="76"/>
    </row>
    <row r="1075" spans="2:12" ht="13.8" x14ac:dyDescent="0.3">
      <c r="D1075" s="25" t="s">
        <v>331</v>
      </c>
      <c r="E1075" s="26">
        <v>0</v>
      </c>
      <c r="F1075" s="26">
        <v>1</v>
      </c>
      <c r="I1075" s="25" t="s">
        <v>331</v>
      </c>
      <c r="J1075" s="26">
        <v>0</v>
      </c>
      <c r="K1075" s="26">
        <v>1</v>
      </c>
    </row>
    <row r="1076" spans="2:12" ht="13.8" x14ac:dyDescent="0.3">
      <c r="D1076" s="25">
        <v>0</v>
      </c>
      <c r="E1076" s="24">
        <v>118</v>
      </c>
      <c r="F1076" s="24">
        <v>22</v>
      </c>
      <c r="I1076" s="25">
        <v>0</v>
      </c>
      <c r="J1076" s="24">
        <v>96</v>
      </c>
      <c r="K1076" s="24">
        <v>64</v>
      </c>
    </row>
    <row r="1077" spans="2:12" ht="13.8" x14ac:dyDescent="0.3">
      <c r="D1077" s="25">
        <v>1</v>
      </c>
      <c r="E1077" s="24">
        <v>34</v>
      </c>
      <c r="F1077" s="24">
        <v>326</v>
      </c>
      <c r="I1077" s="25">
        <v>1</v>
      </c>
      <c r="J1077" s="24">
        <v>74</v>
      </c>
      <c r="K1077" s="24">
        <v>266</v>
      </c>
    </row>
    <row r="1079" spans="2:12" ht="15.6" x14ac:dyDescent="0.3">
      <c r="D1079" s="59" t="s">
        <v>210</v>
      </c>
      <c r="E1079" s="60"/>
      <c r="F1079" s="60"/>
      <c r="G1079" s="61"/>
      <c r="I1079" s="59" t="s">
        <v>210</v>
      </c>
      <c r="J1079" s="60"/>
      <c r="K1079" s="60"/>
      <c r="L1079" s="61"/>
    </row>
    <row r="1080" spans="2:12" ht="13.8" x14ac:dyDescent="0.3">
      <c r="D1080" s="26" t="s">
        <v>332</v>
      </c>
      <c r="E1080" s="26" t="s">
        <v>333</v>
      </c>
      <c r="F1080" s="26" t="s">
        <v>334</v>
      </c>
      <c r="G1080" s="26" t="s">
        <v>335</v>
      </c>
      <c r="I1080" s="26" t="s">
        <v>332</v>
      </c>
      <c r="J1080" s="26" t="s">
        <v>333</v>
      </c>
      <c r="K1080" s="26" t="s">
        <v>334</v>
      </c>
      <c r="L1080" s="26" t="s">
        <v>335</v>
      </c>
    </row>
    <row r="1081" spans="2:12" ht="13.8" x14ac:dyDescent="0.3">
      <c r="D1081" s="25">
        <v>0</v>
      </c>
      <c r="E1081" s="24">
        <f>SUM($E$1076:$F$1076)</f>
        <v>140</v>
      </c>
      <c r="F1081" s="24">
        <f>SUM($E$1076:$F$1076) - $E$1076:$E$1076</f>
        <v>22</v>
      </c>
      <c r="G1081" s="24">
        <f>IF($E$1081:$E$1081 = 0, "Undefined",$F$1081:$F$1081*100 / $E$1081:$E$1081)</f>
        <v>15.714285714285714</v>
      </c>
      <c r="I1081" s="25">
        <v>0</v>
      </c>
      <c r="J1081" s="24">
        <f>SUM($J$1076:$K$1076)</f>
        <v>160</v>
      </c>
      <c r="K1081" s="24">
        <f>SUM($J$1076:$K$1076) - $J$1076:$J$1076</f>
        <v>64</v>
      </c>
      <c r="L1081" s="24">
        <f>IF($J$1081:$J$1081 = 0, "Undefined",$K$1081:$K$1081*100 / $J$1081:$J$1081)</f>
        <v>40</v>
      </c>
    </row>
    <row r="1082" spans="2:12" ht="13.8" x14ac:dyDescent="0.3">
      <c r="D1082" s="25">
        <v>1</v>
      </c>
      <c r="E1082" s="24">
        <f>SUM($E$1077:$F$1077)</f>
        <v>360</v>
      </c>
      <c r="F1082" s="24">
        <f>SUM($E$1077:$F$1077) - $F$1077:$F$1077</f>
        <v>34</v>
      </c>
      <c r="G1082" s="24">
        <f>IF($E$1082:$E$1082 = 0, "Undefined",$F$1082:$F$1082*100 / $E$1082:$E$1082)</f>
        <v>9.4444444444444446</v>
      </c>
      <c r="I1082" s="25">
        <v>1</v>
      </c>
      <c r="J1082" s="24">
        <f>SUM($J$1077:$K$1077)</f>
        <v>340</v>
      </c>
      <c r="K1082" s="24">
        <f>SUM($J$1077:$K$1077) - $K$1077:$K$1077</f>
        <v>74</v>
      </c>
      <c r="L1082" s="24">
        <f>IF($J$1082:$J$1082 = 0, "Undefined",$K$1082:$K$1082*100 / $J$1082:$J$1082)</f>
        <v>21.764705882352942</v>
      </c>
    </row>
    <row r="1083" spans="2:12" ht="13.8" x14ac:dyDescent="0.3">
      <c r="D1083" s="25" t="s">
        <v>336</v>
      </c>
      <c r="E1083" s="24">
        <f>SUM($E$1081:$E$1082)</f>
        <v>500</v>
      </c>
      <c r="F1083" s="24">
        <f>SUM($F$1081:$F$1082)</f>
        <v>56</v>
      </c>
      <c r="G1083" s="24">
        <f>IF($E$1083:$E$1083 = 0, "Undefined",$F$1083:$F$1083*100 / $E$1083:$E$1083)</f>
        <v>11.2</v>
      </c>
      <c r="I1083" s="25" t="s">
        <v>336</v>
      </c>
      <c r="J1083" s="24">
        <f>SUM($J$1081:$J$1082)</f>
        <v>500</v>
      </c>
      <c r="K1083" s="24">
        <f>SUM($K$1081:$K$1082)</f>
        <v>138</v>
      </c>
      <c r="L1083" s="24">
        <f>IF($J$1083:$J$1083 = 0, "Undefined",$K$1083:$K$1083*100 / $J$1083:$J$1083)</f>
        <v>27.6</v>
      </c>
    </row>
    <row r="1085" spans="2:12" ht="15.6" x14ac:dyDescent="0.3">
      <c r="B1085" s="28" t="s">
        <v>414</v>
      </c>
      <c r="D1085" s="59" t="s">
        <v>329</v>
      </c>
      <c r="E1085" s="60"/>
      <c r="F1085" s="61"/>
      <c r="I1085" s="59" t="s">
        <v>329</v>
      </c>
      <c r="J1085" s="60"/>
      <c r="K1085" s="61"/>
    </row>
    <row r="1086" spans="2:12" ht="13.8" x14ac:dyDescent="0.3">
      <c r="D1086" s="26"/>
      <c r="E1086" s="75" t="s">
        <v>330</v>
      </c>
      <c r="F1086" s="76"/>
      <c r="I1086" s="26"/>
      <c r="J1086" s="75" t="s">
        <v>330</v>
      </c>
      <c r="K1086" s="76"/>
    </row>
    <row r="1087" spans="2:12" ht="13.8" x14ac:dyDescent="0.3">
      <c r="D1087" s="25" t="s">
        <v>331</v>
      </c>
      <c r="E1087" s="26">
        <v>0</v>
      </c>
      <c r="F1087" s="26">
        <v>1</v>
      </c>
      <c r="I1087" s="25" t="s">
        <v>331</v>
      </c>
      <c r="J1087" s="26">
        <v>0</v>
      </c>
      <c r="K1087" s="26">
        <v>1</v>
      </c>
    </row>
    <row r="1088" spans="2:12" ht="13.8" x14ac:dyDescent="0.3">
      <c r="D1088" s="25">
        <v>0</v>
      </c>
      <c r="E1088" s="24">
        <v>104</v>
      </c>
      <c r="F1088" s="24">
        <v>36</v>
      </c>
      <c r="I1088" s="25">
        <v>0</v>
      </c>
      <c r="J1088" s="24">
        <v>73</v>
      </c>
      <c r="K1088" s="24">
        <v>87</v>
      </c>
    </row>
    <row r="1089" spans="2:12" ht="13.8" x14ac:dyDescent="0.3">
      <c r="D1089" s="25">
        <v>1</v>
      </c>
      <c r="E1089" s="24">
        <v>17</v>
      </c>
      <c r="F1089" s="24">
        <v>343</v>
      </c>
      <c r="I1089" s="25">
        <v>1</v>
      </c>
      <c r="J1089" s="24">
        <v>46</v>
      </c>
      <c r="K1089" s="24">
        <v>294</v>
      </c>
    </row>
    <row r="1091" spans="2:12" ht="15.6" x14ac:dyDescent="0.3">
      <c r="D1091" s="59" t="s">
        <v>210</v>
      </c>
      <c r="E1091" s="60"/>
      <c r="F1091" s="60"/>
      <c r="G1091" s="61"/>
      <c r="I1091" s="59" t="s">
        <v>210</v>
      </c>
      <c r="J1091" s="60"/>
      <c r="K1091" s="60"/>
      <c r="L1091" s="61"/>
    </row>
    <row r="1092" spans="2:12" ht="13.8" x14ac:dyDescent="0.3">
      <c r="D1092" s="26" t="s">
        <v>332</v>
      </c>
      <c r="E1092" s="26" t="s">
        <v>333</v>
      </c>
      <c r="F1092" s="26" t="s">
        <v>334</v>
      </c>
      <c r="G1092" s="26" t="s">
        <v>335</v>
      </c>
      <c r="I1092" s="26" t="s">
        <v>332</v>
      </c>
      <c r="J1092" s="26" t="s">
        <v>333</v>
      </c>
      <c r="K1092" s="26" t="s">
        <v>334</v>
      </c>
      <c r="L1092" s="26" t="s">
        <v>335</v>
      </c>
    </row>
    <row r="1093" spans="2:12" ht="13.8" x14ac:dyDescent="0.3">
      <c r="D1093" s="25">
        <v>0</v>
      </c>
      <c r="E1093" s="24">
        <f>SUM($E$1088:$F$1088)</f>
        <v>140</v>
      </c>
      <c r="F1093" s="24">
        <f>SUM($E$1088:$F$1088) - $E$1088:$E$1088</f>
        <v>36</v>
      </c>
      <c r="G1093" s="24">
        <f>IF($E$1093:$E$1093 = 0, "Undefined",$F$1093:$F$1093*100 / $E$1093:$E$1093)</f>
        <v>25.714285714285715</v>
      </c>
      <c r="I1093" s="25">
        <v>0</v>
      </c>
      <c r="J1093" s="24">
        <f>SUM($J$1088:$K$1088)</f>
        <v>160</v>
      </c>
      <c r="K1093" s="24">
        <f>SUM($J$1088:$K$1088) - $J$1088:$J$1088</f>
        <v>87</v>
      </c>
      <c r="L1093" s="24">
        <f>IF($J$1093:$J$1093 = 0, "Undefined",$K$1093:$K$1093*100 / $J$1093:$J$1093)</f>
        <v>54.375</v>
      </c>
    </row>
    <row r="1094" spans="2:12" ht="13.8" x14ac:dyDescent="0.3">
      <c r="D1094" s="25">
        <v>1</v>
      </c>
      <c r="E1094" s="24">
        <f>SUM($E$1089:$F$1089)</f>
        <v>360</v>
      </c>
      <c r="F1094" s="24">
        <f>SUM($E$1089:$F$1089) - $F$1089:$F$1089</f>
        <v>17</v>
      </c>
      <c r="G1094" s="24">
        <f>IF($E$1094:$E$1094 = 0, "Undefined",$F$1094:$F$1094*100 / $E$1094:$E$1094)</f>
        <v>4.7222222222222223</v>
      </c>
      <c r="I1094" s="25">
        <v>1</v>
      </c>
      <c r="J1094" s="24">
        <f>SUM($J$1089:$K$1089)</f>
        <v>340</v>
      </c>
      <c r="K1094" s="24">
        <f>SUM($J$1089:$K$1089) - $K$1089:$K$1089</f>
        <v>46</v>
      </c>
      <c r="L1094" s="24">
        <f>IF($J$1094:$J$1094 = 0, "Undefined",$K$1094:$K$1094*100 / $J$1094:$J$1094)</f>
        <v>13.529411764705882</v>
      </c>
    </row>
    <row r="1095" spans="2:12" ht="13.8" x14ac:dyDescent="0.3">
      <c r="D1095" s="25" t="s">
        <v>336</v>
      </c>
      <c r="E1095" s="24">
        <f>SUM($E$1093:$E$1094)</f>
        <v>500</v>
      </c>
      <c r="F1095" s="24">
        <f>SUM($F$1093:$F$1094)</f>
        <v>53</v>
      </c>
      <c r="G1095" s="24">
        <f>IF($E$1095:$E$1095 = 0, "Undefined",$F$1095:$F$1095*100 / $E$1095:$E$1095)</f>
        <v>10.6</v>
      </c>
      <c r="I1095" s="25" t="s">
        <v>336</v>
      </c>
      <c r="J1095" s="24">
        <f>SUM($J$1093:$J$1094)</f>
        <v>500</v>
      </c>
      <c r="K1095" s="24">
        <f>SUM($K$1093:$K$1094)</f>
        <v>133</v>
      </c>
      <c r="L1095" s="24">
        <f>IF($J$1095:$J$1095 = 0, "Undefined",$K$1095:$K$1095*100 / $J$1095:$J$1095)</f>
        <v>26.6</v>
      </c>
    </row>
    <row r="1097" spans="2:12" ht="15.6" x14ac:dyDescent="0.3">
      <c r="B1097" s="28" t="s">
        <v>415</v>
      </c>
      <c r="D1097" s="59" t="s">
        <v>329</v>
      </c>
      <c r="E1097" s="60"/>
      <c r="F1097" s="61"/>
      <c r="I1097" s="59" t="s">
        <v>329</v>
      </c>
      <c r="J1097" s="60"/>
      <c r="K1097" s="61"/>
    </row>
    <row r="1098" spans="2:12" ht="13.8" x14ac:dyDescent="0.3">
      <c r="D1098" s="26"/>
      <c r="E1098" s="75" t="s">
        <v>330</v>
      </c>
      <c r="F1098" s="76"/>
      <c r="I1098" s="26"/>
      <c r="J1098" s="75" t="s">
        <v>330</v>
      </c>
      <c r="K1098" s="76"/>
    </row>
    <row r="1099" spans="2:12" ht="13.8" x14ac:dyDescent="0.3">
      <c r="D1099" s="25" t="s">
        <v>331</v>
      </c>
      <c r="E1099" s="26">
        <v>0</v>
      </c>
      <c r="F1099" s="26">
        <v>1</v>
      </c>
      <c r="I1099" s="25" t="s">
        <v>331</v>
      </c>
      <c r="J1099" s="26">
        <v>0</v>
      </c>
      <c r="K1099" s="26">
        <v>1</v>
      </c>
    </row>
    <row r="1100" spans="2:12" ht="13.8" x14ac:dyDescent="0.3">
      <c r="D1100" s="25">
        <v>0</v>
      </c>
      <c r="E1100" s="24">
        <v>92</v>
      </c>
      <c r="F1100" s="24">
        <v>48</v>
      </c>
      <c r="I1100" s="25">
        <v>0</v>
      </c>
      <c r="J1100" s="24">
        <v>72</v>
      </c>
      <c r="K1100" s="24">
        <v>88</v>
      </c>
    </row>
    <row r="1101" spans="2:12" ht="13.8" x14ac:dyDescent="0.3">
      <c r="D1101" s="25">
        <v>1</v>
      </c>
      <c r="E1101" s="24">
        <v>11</v>
      </c>
      <c r="F1101" s="24">
        <v>349</v>
      </c>
      <c r="I1101" s="25">
        <v>1</v>
      </c>
      <c r="J1101" s="24">
        <v>45</v>
      </c>
      <c r="K1101" s="24">
        <v>295</v>
      </c>
    </row>
    <row r="1103" spans="2:12" ht="15.6" x14ac:dyDescent="0.3">
      <c r="D1103" s="59" t="s">
        <v>210</v>
      </c>
      <c r="E1103" s="60"/>
      <c r="F1103" s="60"/>
      <c r="G1103" s="61"/>
      <c r="I1103" s="59" t="s">
        <v>210</v>
      </c>
      <c r="J1103" s="60"/>
      <c r="K1103" s="60"/>
      <c r="L1103" s="61"/>
    </row>
    <row r="1104" spans="2:12" ht="13.8" x14ac:dyDescent="0.3">
      <c r="D1104" s="26" t="s">
        <v>332</v>
      </c>
      <c r="E1104" s="26" t="s">
        <v>333</v>
      </c>
      <c r="F1104" s="26" t="s">
        <v>334</v>
      </c>
      <c r="G1104" s="26" t="s">
        <v>335</v>
      </c>
      <c r="I1104" s="26" t="s">
        <v>332</v>
      </c>
      <c r="J1104" s="26" t="s">
        <v>333</v>
      </c>
      <c r="K1104" s="26" t="s">
        <v>334</v>
      </c>
      <c r="L1104" s="26" t="s">
        <v>335</v>
      </c>
    </row>
    <row r="1105" spans="2:12" ht="13.8" x14ac:dyDescent="0.3">
      <c r="D1105" s="25">
        <v>0</v>
      </c>
      <c r="E1105" s="24">
        <f>SUM($E$1100:$F$1100)</f>
        <v>140</v>
      </c>
      <c r="F1105" s="24">
        <f>SUM($E$1100:$F$1100) - $E$1100:$E$1100</f>
        <v>48</v>
      </c>
      <c r="G1105" s="24">
        <f>IF($E$1105:$E$1105 = 0, "Undefined",$F$1105:$F$1105*100 / $E$1105:$E$1105)</f>
        <v>34.285714285714285</v>
      </c>
      <c r="I1105" s="25">
        <v>0</v>
      </c>
      <c r="J1105" s="24">
        <f>SUM($J$1100:$K$1100)</f>
        <v>160</v>
      </c>
      <c r="K1105" s="24">
        <f>SUM($J$1100:$K$1100) - $J$1100:$J$1100</f>
        <v>88</v>
      </c>
      <c r="L1105" s="24">
        <f>IF($J$1105:$J$1105 = 0, "Undefined",$K$1105:$K$1105*100 / $J$1105:$J$1105)</f>
        <v>55</v>
      </c>
    </row>
    <row r="1106" spans="2:12" ht="13.8" x14ac:dyDescent="0.3">
      <c r="D1106" s="25">
        <v>1</v>
      </c>
      <c r="E1106" s="24">
        <f>SUM($E$1101:$F$1101)</f>
        <v>360</v>
      </c>
      <c r="F1106" s="24">
        <f>SUM($E$1101:$F$1101) - $F$1101:$F$1101</f>
        <v>11</v>
      </c>
      <c r="G1106" s="24">
        <f>IF($E$1106:$E$1106 = 0, "Undefined",$F$1106:$F$1106*100 / $E$1106:$E$1106)</f>
        <v>3.0555555555555554</v>
      </c>
      <c r="I1106" s="25">
        <v>1</v>
      </c>
      <c r="J1106" s="24">
        <f>SUM($J$1101:$K$1101)</f>
        <v>340</v>
      </c>
      <c r="K1106" s="24">
        <f>SUM($J$1101:$K$1101) - $K$1101:$K$1101</f>
        <v>45</v>
      </c>
      <c r="L1106" s="24">
        <f>IF($J$1106:$J$1106 = 0, "Undefined",$K$1106:$K$1106*100 / $J$1106:$J$1106)</f>
        <v>13.235294117647058</v>
      </c>
    </row>
    <row r="1107" spans="2:12" ht="13.8" x14ac:dyDescent="0.3">
      <c r="D1107" s="25" t="s">
        <v>336</v>
      </c>
      <c r="E1107" s="24">
        <f>SUM($E$1105:$E$1106)</f>
        <v>500</v>
      </c>
      <c r="F1107" s="24">
        <f>SUM($F$1105:$F$1106)</f>
        <v>59</v>
      </c>
      <c r="G1107" s="24">
        <f>IF($E$1107:$E$1107 = 0, "Undefined",$F$1107:$F$1107*100 / $E$1107:$E$1107)</f>
        <v>11.8</v>
      </c>
      <c r="I1107" s="25" t="s">
        <v>336</v>
      </c>
      <c r="J1107" s="24">
        <f>SUM($J$1105:$J$1106)</f>
        <v>500</v>
      </c>
      <c r="K1107" s="24">
        <f>SUM($K$1105:$K$1106)</f>
        <v>133</v>
      </c>
      <c r="L1107" s="24">
        <f>IF($J$1107:$J$1107 = 0, "Undefined",$K$1107:$K$1107*100 / $J$1107:$J$1107)</f>
        <v>26.6</v>
      </c>
    </row>
    <row r="1109" spans="2:12" ht="15.6" x14ac:dyDescent="0.3">
      <c r="B1109" s="28" t="s">
        <v>416</v>
      </c>
      <c r="D1109" s="59" t="s">
        <v>329</v>
      </c>
      <c r="E1109" s="60"/>
      <c r="F1109" s="61"/>
      <c r="I1109" s="59" t="s">
        <v>329</v>
      </c>
      <c r="J1109" s="60"/>
      <c r="K1109" s="61"/>
    </row>
    <row r="1110" spans="2:12" ht="13.8" x14ac:dyDescent="0.3">
      <c r="D1110" s="26"/>
      <c r="E1110" s="75" t="s">
        <v>330</v>
      </c>
      <c r="F1110" s="76"/>
      <c r="I1110" s="26"/>
      <c r="J1110" s="75" t="s">
        <v>330</v>
      </c>
      <c r="K1110" s="76"/>
    </row>
    <row r="1111" spans="2:12" ht="13.8" x14ac:dyDescent="0.3">
      <c r="D1111" s="25" t="s">
        <v>331</v>
      </c>
      <c r="E1111" s="26">
        <v>0</v>
      </c>
      <c r="F1111" s="26">
        <v>1</v>
      </c>
      <c r="I1111" s="25" t="s">
        <v>331</v>
      </c>
      <c r="J1111" s="26">
        <v>0</v>
      </c>
      <c r="K1111" s="26">
        <v>1</v>
      </c>
    </row>
    <row r="1112" spans="2:12" ht="13.8" x14ac:dyDescent="0.3">
      <c r="D1112" s="25">
        <v>0</v>
      </c>
      <c r="E1112" s="24">
        <v>106</v>
      </c>
      <c r="F1112" s="24">
        <v>34</v>
      </c>
      <c r="I1112" s="25">
        <v>0</v>
      </c>
      <c r="J1112" s="24">
        <v>79</v>
      </c>
      <c r="K1112" s="24">
        <v>81</v>
      </c>
    </row>
    <row r="1113" spans="2:12" ht="13.8" x14ac:dyDescent="0.3">
      <c r="D1113" s="25">
        <v>1</v>
      </c>
      <c r="E1113" s="24">
        <v>20</v>
      </c>
      <c r="F1113" s="24">
        <v>340</v>
      </c>
      <c r="I1113" s="25">
        <v>1</v>
      </c>
      <c r="J1113" s="24">
        <v>44</v>
      </c>
      <c r="K1113" s="24">
        <v>296</v>
      </c>
    </row>
    <row r="1115" spans="2:12" ht="15.6" x14ac:dyDescent="0.3">
      <c r="D1115" s="59" t="s">
        <v>210</v>
      </c>
      <c r="E1115" s="60"/>
      <c r="F1115" s="60"/>
      <c r="G1115" s="61"/>
      <c r="I1115" s="59" t="s">
        <v>210</v>
      </c>
      <c r="J1115" s="60"/>
      <c r="K1115" s="60"/>
      <c r="L1115" s="61"/>
    </row>
    <row r="1116" spans="2:12" ht="13.8" x14ac:dyDescent="0.3">
      <c r="D1116" s="26" t="s">
        <v>332</v>
      </c>
      <c r="E1116" s="26" t="s">
        <v>333</v>
      </c>
      <c r="F1116" s="26" t="s">
        <v>334</v>
      </c>
      <c r="G1116" s="26" t="s">
        <v>335</v>
      </c>
      <c r="I1116" s="26" t="s">
        <v>332</v>
      </c>
      <c r="J1116" s="26" t="s">
        <v>333</v>
      </c>
      <c r="K1116" s="26" t="s">
        <v>334</v>
      </c>
      <c r="L1116" s="26" t="s">
        <v>335</v>
      </c>
    </row>
    <row r="1117" spans="2:12" ht="13.8" x14ac:dyDescent="0.3">
      <c r="D1117" s="25">
        <v>0</v>
      </c>
      <c r="E1117" s="24">
        <f>SUM($E$1112:$F$1112)</f>
        <v>140</v>
      </c>
      <c r="F1117" s="24">
        <f>SUM($E$1112:$F$1112) - $E$1112:$E$1112</f>
        <v>34</v>
      </c>
      <c r="G1117" s="24">
        <f>IF($E$1117:$E$1117 = 0, "Undefined",$F$1117:$F$1117*100 / $E$1117:$E$1117)</f>
        <v>24.285714285714285</v>
      </c>
      <c r="I1117" s="25">
        <v>0</v>
      </c>
      <c r="J1117" s="24">
        <f>SUM($J$1112:$K$1112)</f>
        <v>160</v>
      </c>
      <c r="K1117" s="24">
        <f>SUM($J$1112:$K$1112) - $J$1112:$J$1112</f>
        <v>81</v>
      </c>
      <c r="L1117" s="24">
        <f>IF($J$1117:$J$1117 = 0, "Undefined",$K$1117:$K$1117*100 / $J$1117:$J$1117)</f>
        <v>50.625</v>
      </c>
    </row>
    <row r="1118" spans="2:12" ht="13.8" x14ac:dyDescent="0.3">
      <c r="D1118" s="25">
        <v>1</v>
      </c>
      <c r="E1118" s="24">
        <f>SUM($E$1113:$F$1113)</f>
        <v>360</v>
      </c>
      <c r="F1118" s="24">
        <f>SUM($E$1113:$F$1113) - $F$1113:$F$1113</f>
        <v>20</v>
      </c>
      <c r="G1118" s="24">
        <f>IF($E$1118:$E$1118 = 0, "Undefined",$F$1118:$F$1118*100 / $E$1118:$E$1118)</f>
        <v>5.5555555555555554</v>
      </c>
      <c r="I1118" s="25">
        <v>1</v>
      </c>
      <c r="J1118" s="24">
        <f>SUM($J$1113:$K$1113)</f>
        <v>340</v>
      </c>
      <c r="K1118" s="24">
        <f>SUM($J$1113:$K$1113) - $K$1113:$K$1113</f>
        <v>44</v>
      </c>
      <c r="L1118" s="24">
        <f>IF($J$1118:$J$1118 = 0, "Undefined",$K$1118:$K$1118*100 / $J$1118:$J$1118)</f>
        <v>12.941176470588236</v>
      </c>
    </row>
    <row r="1119" spans="2:12" ht="13.8" x14ac:dyDescent="0.3">
      <c r="D1119" s="25" t="s">
        <v>336</v>
      </c>
      <c r="E1119" s="24">
        <f>SUM($E$1117:$E$1118)</f>
        <v>500</v>
      </c>
      <c r="F1119" s="24">
        <f>SUM($F$1117:$F$1118)</f>
        <v>54</v>
      </c>
      <c r="G1119" s="24">
        <f>IF($E$1119:$E$1119 = 0, "Undefined",$F$1119:$F$1119*100 / $E$1119:$E$1119)</f>
        <v>10.8</v>
      </c>
      <c r="I1119" s="25" t="s">
        <v>336</v>
      </c>
      <c r="J1119" s="24">
        <f>SUM($J$1117:$J$1118)</f>
        <v>500</v>
      </c>
      <c r="K1119" s="24">
        <f>SUM($K$1117:$K$1118)</f>
        <v>125</v>
      </c>
      <c r="L1119" s="24">
        <f>IF($J$1119:$J$1119 = 0, "Undefined",$K$1119:$K$1119*100 / $J$1119:$J$1119)</f>
        <v>25</v>
      </c>
    </row>
    <row r="1121" spans="2:12" ht="15.6" x14ac:dyDescent="0.3">
      <c r="B1121" s="28" t="s">
        <v>417</v>
      </c>
      <c r="D1121" s="59" t="s">
        <v>329</v>
      </c>
      <c r="E1121" s="60"/>
      <c r="F1121" s="61"/>
      <c r="I1121" s="59" t="s">
        <v>329</v>
      </c>
      <c r="J1121" s="60"/>
      <c r="K1121" s="61"/>
    </row>
    <row r="1122" spans="2:12" ht="13.8" x14ac:dyDescent="0.3">
      <c r="D1122" s="26"/>
      <c r="E1122" s="75" t="s">
        <v>330</v>
      </c>
      <c r="F1122" s="76"/>
      <c r="I1122" s="26"/>
      <c r="J1122" s="75" t="s">
        <v>330</v>
      </c>
      <c r="K1122" s="76"/>
    </row>
    <row r="1123" spans="2:12" ht="13.8" x14ac:dyDescent="0.3">
      <c r="D1123" s="25" t="s">
        <v>331</v>
      </c>
      <c r="E1123" s="26">
        <v>0</v>
      </c>
      <c r="F1123" s="26">
        <v>1</v>
      </c>
      <c r="I1123" s="25" t="s">
        <v>331</v>
      </c>
      <c r="J1123" s="26">
        <v>0</v>
      </c>
      <c r="K1123" s="26">
        <v>1</v>
      </c>
    </row>
    <row r="1124" spans="2:12" ht="13.8" x14ac:dyDescent="0.3">
      <c r="D1124" s="25">
        <v>0</v>
      </c>
      <c r="E1124" s="24">
        <v>116</v>
      </c>
      <c r="F1124" s="24">
        <v>24</v>
      </c>
      <c r="I1124" s="25">
        <v>0</v>
      </c>
      <c r="J1124" s="24">
        <v>82</v>
      </c>
      <c r="K1124" s="24">
        <v>78</v>
      </c>
    </row>
    <row r="1125" spans="2:12" ht="13.8" x14ac:dyDescent="0.3">
      <c r="D1125" s="25">
        <v>1</v>
      </c>
      <c r="E1125" s="24">
        <v>22</v>
      </c>
      <c r="F1125" s="24">
        <v>338</v>
      </c>
      <c r="I1125" s="25">
        <v>1</v>
      </c>
      <c r="J1125" s="24">
        <v>70</v>
      </c>
      <c r="K1125" s="24">
        <v>270</v>
      </c>
    </row>
    <row r="1127" spans="2:12" ht="15.6" x14ac:dyDescent="0.3">
      <c r="D1127" s="59" t="s">
        <v>210</v>
      </c>
      <c r="E1127" s="60"/>
      <c r="F1127" s="60"/>
      <c r="G1127" s="61"/>
      <c r="I1127" s="59" t="s">
        <v>210</v>
      </c>
      <c r="J1127" s="60"/>
      <c r="K1127" s="60"/>
      <c r="L1127" s="61"/>
    </row>
    <row r="1128" spans="2:12" ht="13.8" x14ac:dyDescent="0.3">
      <c r="D1128" s="26" t="s">
        <v>332</v>
      </c>
      <c r="E1128" s="26" t="s">
        <v>333</v>
      </c>
      <c r="F1128" s="26" t="s">
        <v>334</v>
      </c>
      <c r="G1128" s="26" t="s">
        <v>335</v>
      </c>
      <c r="I1128" s="26" t="s">
        <v>332</v>
      </c>
      <c r="J1128" s="26" t="s">
        <v>333</v>
      </c>
      <c r="K1128" s="26" t="s">
        <v>334</v>
      </c>
      <c r="L1128" s="26" t="s">
        <v>335</v>
      </c>
    </row>
    <row r="1129" spans="2:12" ht="13.8" x14ac:dyDescent="0.3">
      <c r="D1129" s="25">
        <v>0</v>
      </c>
      <c r="E1129" s="24">
        <f>SUM($E$1124:$F$1124)</f>
        <v>140</v>
      </c>
      <c r="F1129" s="24">
        <f>SUM($E$1124:$F$1124) - $E$1124:$E$1124</f>
        <v>24</v>
      </c>
      <c r="G1129" s="24">
        <f>IF($E$1129:$E$1129 = 0, "Undefined",$F$1129:$F$1129*100 / $E$1129:$E$1129)</f>
        <v>17.142857142857142</v>
      </c>
      <c r="I1129" s="25">
        <v>0</v>
      </c>
      <c r="J1129" s="24">
        <f>SUM($J$1124:$K$1124)</f>
        <v>160</v>
      </c>
      <c r="K1129" s="24">
        <f>SUM($J$1124:$K$1124) - $J$1124:$J$1124</f>
        <v>78</v>
      </c>
      <c r="L1129" s="24">
        <f>IF($J$1129:$J$1129 = 0, "Undefined",$K$1129:$K$1129*100 / $J$1129:$J$1129)</f>
        <v>48.75</v>
      </c>
    </row>
    <row r="1130" spans="2:12" ht="13.8" x14ac:dyDescent="0.3">
      <c r="D1130" s="25">
        <v>1</v>
      </c>
      <c r="E1130" s="24">
        <f>SUM($E$1125:$F$1125)</f>
        <v>360</v>
      </c>
      <c r="F1130" s="24">
        <f>SUM($E$1125:$F$1125) - $F$1125:$F$1125</f>
        <v>22</v>
      </c>
      <c r="G1130" s="24">
        <f>IF($E$1130:$E$1130 = 0, "Undefined",$F$1130:$F$1130*100 / $E$1130:$E$1130)</f>
        <v>6.1111111111111107</v>
      </c>
      <c r="I1130" s="25">
        <v>1</v>
      </c>
      <c r="J1130" s="24">
        <f>SUM($J$1125:$K$1125)</f>
        <v>340</v>
      </c>
      <c r="K1130" s="24">
        <f>SUM($J$1125:$K$1125) - $K$1125:$K$1125</f>
        <v>70</v>
      </c>
      <c r="L1130" s="24">
        <f>IF($J$1130:$J$1130 = 0, "Undefined",$K$1130:$K$1130*100 / $J$1130:$J$1130)</f>
        <v>20.588235294117649</v>
      </c>
    </row>
    <row r="1131" spans="2:12" ht="13.8" x14ac:dyDescent="0.3">
      <c r="D1131" s="25" t="s">
        <v>336</v>
      </c>
      <c r="E1131" s="24">
        <f>SUM($E$1129:$E$1130)</f>
        <v>500</v>
      </c>
      <c r="F1131" s="24">
        <f>SUM($F$1129:$F$1130)</f>
        <v>46</v>
      </c>
      <c r="G1131" s="24">
        <f>IF($E$1131:$E$1131 = 0, "Undefined",$F$1131:$F$1131*100 / $E$1131:$E$1131)</f>
        <v>9.1999999999999993</v>
      </c>
      <c r="I1131" s="25" t="s">
        <v>336</v>
      </c>
      <c r="J1131" s="24">
        <f>SUM($J$1129:$J$1130)</f>
        <v>500</v>
      </c>
      <c r="K1131" s="24">
        <f>SUM($K$1129:$K$1130)</f>
        <v>148</v>
      </c>
      <c r="L1131" s="24">
        <f>IF($J$1131:$J$1131 = 0, "Undefined",$K$1131:$K$1131*100 / $J$1131:$J$1131)</f>
        <v>29.6</v>
      </c>
    </row>
    <row r="1133" spans="2:12" ht="15.6" x14ac:dyDescent="0.3">
      <c r="B1133" s="28" t="s">
        <v>418</v>
      </c>
      <c r="D1133" s="59" t="s">
        <v>329</v>
      </c>
      <c r="E1133" s="60"/>
      <c r="F1133" s="61"/>
      <c r="I1133" s="59" t="s">
        <v>329</v>
      </c>
      <c r="J1133" s="60"/>
      <c r="K1133" s="61"/>
    </row>
    <row r="1134" spans="2:12" ht="13.8" x14ac:dyDescent="0.3">
      <c r="D1134" s="26"/>
      <c r="E1134" s="75" t="s">
        <v>330</v>
      </c>
      <c r="F1134" s="76"/>
      <c r="I1134" s="26"/>
      <c r="J1134" s="75" t="s">
        <v>330</v>
      </c>
      <c r="K1134" s="76"/>
    </row>
    <row r="1135" spans="2:12" ht="13.8" x14ac:dyDescent="0.3">
      <c r="D1135" s="25" t="s">
        <v>331</v>
      </c>
      <c r="E1135" s="26">
        <v>0</v>
      </c>
      <c r="F1135" s="26">
        <v>1</v>
      </c>
      <c r="I1135" s="25" t="s">
        <v>331</v>
      </c>
      <c r="J1135" s="26">
        <v>0</v>
      </c>
      <c r="K1135" s="26">
        <v>1</v>
      </c>
    </row>
    <row r="1136" spans="2:12" ht="13.8" x14ac:dyDescent="0.3">
      <c r="D1136" s="25">
        <v>0</v>
      </c>
      <c r="E1136" s="24">
        <v>124</v>
      </c>
      <c r="F1136" s="24">
        <v>16</v>
      </c>
      <c r="I1136" s="25">
        <v>0</v>
      </c>
      <c r="J1136" s="24">
        <v>85</v>
      </c>
      <c r="K1136" s="24">
        <v>75</v>
      </c>
    </row>
    <row r="1137" spans="2:12" ht="13.8" x14ac:dyDescent="0.3">
      <c r="D1137" s="25">
        <v>1</v>
      </c>
      <c r="E1137" s="24">
        <v>25</v>
      </c>
      <c r="F1137" s="24">
        <v>335</v>
      </c>
      <c r="I1137" s="25">
        <v>1</v>
      </c>
      <c r="J1137" s="24">
        <v>68</v>
      </c>
      <c r="K1137" s="24">
        <v>272</v>
      </c>
    </row>
    <row r="1139" spans="2:12" ht="15.6" x14ac:dyDescent="0.3">
      <c r="D1139" s="59" t="s">
        <v>210</v>
      </c>
      <c r="E1139" s="60"/>
      <c r="F1139" s="60"/>
      <c r="G1139" s="61"/>
      <c r="I1139" s="59" t="s">
        <v>210</v>
      </c>
      <c r="J1139" s="60"/>
      <c r="K1139" s="60"/>
      <c r="L1139" s="61"/>
    </row>
    <row r="1140" spans="2:12" ht="13.8" x14ac:dyDescent="0.3">
      <c r="D1140" s="26" t="s">
        <v>332</v>
      </c>
      <c r="E1140" s="26" t="s">
        <v>333</v>
      </c>
      <c r="F1140" s="26" t="s">
        <v>334</v>
      </c>
      <c r="G1140" s="26" t="s">
        <v>335</v>
      </c>
      <c r="I1140" s="26" t="s">
        <v>332</v>
      </c>
      <c r="J1140" s="26" t="s">
        <v>333</v>
      </c>
      <c r="K1140" s="26" t="s">
        <v>334</v>
      </c>
      <c r="L1140" s="26" t="s">
        <v>335</v>
      </c>
    </row>
    <row r="1141" spans="2:12" ht="13.8" x14ac:dyDescent="0.3">
      <c r="D1141" s="25">
        <v>0</v>
      </c>
      <c r="E1141" s="24">
        <f>SUM($E$1136:$F$1136)</f>
        <v>140</v>
      </c>
      <c r="F1141" s="24">
        <f>SUM($E$1136:$F$1136) - $E$1136:$E$1136</f>
        <v>16</v>
      </c>
      <c r="G1141" s="24">
        <f>IF($E$1141:$E$1141 = 0, "Undefined",$F$1141:$F$1141*100 / $E$1141:$E$1141)</f>
        <v>11.428571428571429</v>
      </c>
      <c r="I1141" s="25">
        <v>0</v>
      </c>
      <c r="J1141" s="24">
        <f>SUM($J$1136:$K$1136)</f>
        <v>160</v>
      </c>
      <c r="K1141" s="24">
        <f>SUM($J$1136:$K$1136) - $J$1136:$J$1136</f>
        <v>75</v>
      </c>
      <c r="L1141" s="24">
        <f>IF($J$1141:$J$1141 = 0, "Undefined",$K$1141:$K$1141*100 / $J$1141:$J$1141)</f>
        <v>46.875</v>
      </c>
    </row>
    <row r="1142" spans="2:12" ht="13.8" x14ac:dyDescent="0.3">
      <c r="D1142" s="25">
        <v>1</v>
      </c>
      <c r="E1142" s="24">
        <f>SUM($E$1137:$F$1137)</f>
        <v>360</v>
      </c>
      <c r="F1142" s="24">
        <f>SUM($E$1137:$F$1137) - $F$1137:$F$1137</f>
        <v>25</v>
      </c>
      <c r="G1142" s="24">
        <f>IF($E$1142:$E$1142 = 0, "Undefined",$F$1142:$F$1142*100 / $E$1142:$E$1142)</f>
        <v>6.9444444444444446</v>
      </c>
      <c r="I1142" s="25">
        <v>1</v>
      </c>
      <c r="J1142" s="24">
        <f>SUM($J$1137:$K$1137)</f>
        <v>340</v>
      </c>
      <c r="K1142" s="24">
        <f>SUM($J$1137:$K$1137) - $K$1137:$K$1137</f>
        <v>68</v>
      </c>
      <c r="L1142" s="24">
        <f>IF($J$1142:$J$1142 = 0, "Undefined",$K$1142:$K$1142*100 / $J$1142:$J$1142)</f>
        <v>20</v>
      </c>
    </row>
    <row r="1143" spans="2:12" ht="13.8" x14ac:dyDescent="0.3">
      <c r="D1143" s="25" t="s">
        <v>336</v>
      </c>
      <c r="E1143" s="24">
        <f>SUM($E$1141:$E$1142)</f>
        <v>500</v>
      </c>
      <c r="F1143" s="24">
        <f>SUM($F$1141:$F$1142)</f>
        <v>41</v>
      </c>
      <c r="G1143" s="24">
        <f>IF($E$1143:$E$1143 = 0, "Undefined",$F$1143:$F$1143*100 / $E$1143:$E$1143)</f>
        <v>8.1999999999999993</v>
      </c>
      <c r="I1143" s="25" t="s">
        <v>336</v>
      </c>
      <c r="J1143" s="24">
        <f>SUM($J$1141:$J$1142)</f>
        <v>500</v>
      </c>
      <c r="K1143" s="24">
        <f>SUM($K$1141:$K$1142)</f>
        <v>143</v>
      </c>
      <c r="L1143" s="24">
        <f>IF($J$1143:$J$1143 = 0, "Undefined",$K$1143:$K$1143*100 / $J$1143:$J$1143)</f>
        <v>28.6</v>
      </c>
    </row>
    <row r="1145" spans="2:12" ht="15.6" x14ac:dyDescent="0.3">
      <c r="B1145" s="28" t="s">
        <v>419</v>
      </c>
      <c r="D1145" s="59" t="s">
        <v>329</v>
      </c>
      <c r="E1145" s="60"/>
      <c r="F1145" s="61"/>
      <c r="I1145" s="59" t="s">
        <v>329</v>
      </c>
      <c r="J1145" s="60"/>
      <c r="K1145" s="61"/>
    </row>
    <row r="1146" spans="2:12" ht="13.8" x14ac:dyDescent="0.3">
      <c r="D1146" s="26"/>
      <c r="E1146" s="75" t="s">
        <v>330</v>
      </c>
      <c r="F1146" s="76"/>
      <c r="I1146" s="26"/>
      <c r="J1146" s="75" t="s">
        <v>330</v>
      </c>
      <c r="K1146" s="76"/>
    </row>
    <row r="1147" spans="2:12" ht="13.8" x14ac:dyDescent="0.3">
      <c r="D1147" s="25" t="s">
        <v>331</v>
      </c>
      <c r="E1147" s="26">
        <v>0</v>
      </c>
      <c r="F1147" s="26">
        <v>1</v>
      </c>
      <c r="I1147" s="25" t="s">
        <v>331</v>
      </c>
      <c r="J1147" s="26">
        <v>0</v>
      </c>
      <c r="K1147" s="26">
        <v>1</v>
      </c>
    </row>
    <row r="1148" spans="2:12" ht="13.8" x14ac:dyDescent="0.3">
      <c r="D1148" s="25">
        <v>0</v>
      </c>
      <c r="E1148" s="24">
        <v>117</v>
      </c>
      <c r="F1148" s="24">
        <v>23</v>
      </c>
      <c r="I1148" s="25">
        <v>0</v>
      </c>
      <c r="J1148" s="24">
        <v>84</v>
      </c>
      <c r="K1148" s="24">
        <v>76</v>
      </c>
    </row>
    <row r="1149" spans="2:12" ht="13.8" x14ac:dyDescent="0.3">
      <c r="D1149" s="25">
        <v>1</v>
      </c>
      <c r="E1149" s="24">
        <v>32</v>
      </c>
      <c r="F1149" s="24">
        <v>328</v>
      </c>
      <c r="I1149" s="25">
        <v>1</v>
      </c>
      <c r="J1149" s="24">
        <v>63</v>
      </c>
      <c r="K1149" s="24">
        <v>277</v>
      </c>
    </row>
    <row r="1151" spans="2:12" ht="15.6" x14ac:dyDescent="0.3">
      <c r="D1151" s="59" t="s">
        <v>210</v>
      </c>
      <c r="E1151" s="60"/>
      <c r="F1151" s="60"/>
      <c r="G1151" s="61"/>
      <c r="I1151" s="59" t="s">
        <v>210</v>
      </c>
      <c r="J1151" s="60"/>
      <c r="K1151" s="60"/>
      <c r="L1151" s="61"/>
    </row>
    <row r="1152" spans="2:12" ht="13.8" x14ac:dyDescent="0.3">
      <c r="D1152" s="26" t="s">
        <v>332</v>
      </c>
      <c r="E1152" s="26" t="s">
        <v>333</v>
      </c>
      <c r="F1152" s="26" t="s">
        <v>334</v>
      </c>
      <c r="G1152" s="26" t="s">
        <v>335</v>
      </c>
      <c r="I1152" s="26" t="s">
        <v>332</v>
      </c>
      <c r="J1152" s="26" t="s">
        <v>333</v>
      </c>
      <c r="K1152" s="26" t="s">
        <v>334</v>
      </c>
      <c r="L1152" s="26" t="s">
        <v>335</v>
      </c>
    </row>
    <row r="1153" spans="2:12" ht="13.8" x14ac:dyDescent="0.3">
      <c r="D1153" s="25">
        <v>0</v>
      </c>
      <c r="E1153" s="24">
        <f>SUM($E$1148:$F$1148)</f>
        <v>140</v>
      </c>
      <c r="F1153" s="24">
        <f>SUM($E$1148:$F$1148) - $E$1148:$E$1148</f>
        <v>23</v>
      </c>
      <c r="G1153" s="24">
        <f>IF($E$1153:$E$1153 = 0, "Undefined",$F$1153:$F$1153*100 / $E$1153:$E$1153)</f>
        <v>16.428571428571427</v>
      </c>
      <c r="I1153" s="25">
        <v>0</v>
      </c>
      <c r="J1153" s="24">
        <f>SUM($J$1148:$K$1148)</f>
        <v>160</v>
      </c>
      <c r="K1153" s="24">
        <f>SUM($J$1148:$K$1148) - $J$1148:$J$1148</f>
        <v>76</v>
      </c>
      <c r="L1153" s="24">
        <f>IF($J$1153:$J$1153 = 0, "Undefined",$K$1153:$K$1153*100 / $J$1153:$J$1153)</f>
        <v>47.5</v>
      </c>
    </row>
    <row r="1154" spans="2:12" ht="13.8" x14ac:dyDescent="0.3">
      <c r="D1154" s="25">
        <v>1</v>
      </c>
      <c r="E1154" s="24">
        <f>SUM($E$1149:$F$1149)</f>
        <v>360</v>
      </c>
      <c r="F1154" s="24">
        <f>SUM($E$1149:$F$1149) - $F$1149:$F$1149</f>
        <v>32</v>
      </c>
      <c r="G1154" s="24">
        <f>IF($E$1154:$E$1154 = 0, "Undefined",$F$1154:$F$1154*100 / $E$1154:$E$1154)</f>
        <v>8.8888888888888893</v>
      </c>
      <c r="I1154" s="25">
        <v>1</v>
      </c>
      <c r="J1154" s="24">
        <f>SUM($J$1149:$K$1149)</f>
        <v>340</v>
      </c>
      <c r="K1154" s="24">
        <f>SUM($J$1149:$K$1149) - $K$1149:$K$1149</f>
        <v>63</v>
      </c>
      <c r="L1154" s="24">
        <f>IF($J$1154:$J$1154 = 0, "Undefined",$K$1154:$K$1154*100 / $J$1154:$J$1154)</f>
        <v>18.529411764705884</v>
      </c>
    </row>
    <row r="1155" spans="2:12" ht="13.8" x14ac:dyDescent="0.3">
      <c r="D1155" s="25" t="s">
        <v>336</v>
      </c>
      <c r="E1155" s="24">
        <f>SUM($E$1153:$E$1154)</f>
        <v>500</v>
      </c>
      <c r="F1155" s="24">
        <f>SUM($F$1153:$F$1154)</f>
        <v>55</v>
      </c>
      <c r="G1155" s="24">
        <f>IF($E$1155:$E$1155 = 0, "Undefined",$F$1155:$F$1155*100 / $E$1155:$E$1155)</f>
        <v>11</v>
      </c>
      <c r="I1155" s="25" t="s">
        <v>336</v>
      </c>
      <c r="J1155" s="24">
        <f>SUM($J$1153:$J$1154)</f>
        <v>500</v>
      </c>
      <c r="K1155" s="24">
        <f>SUM($K$1153:$K$1154)</f>
        <v>139</v>
      </c>
      <c r="L1155" s="24">
        <f>IF($J$1155:$J$1155 = 0, "Undefined",$K$1155:$K$1155*100 / $J$1155:$J$1155)</f>
        <v>27.8</v>
      </c>
    </row>
    <row r="1157" spans="2:12" ht="15.6" x14ac:dyDescent="0.3">
      <c r="B1157" s="28" t="s">
        <v>420</v>
      </c>
      <c r="D1157" s="59" t="s">
        <v>329</v>
      </c>
      <c r="E1157" s="60"/>
      <c r="F1157" s="61"/>
      <c r="I1157" s="59" t="s">
        <v>329</v>
      </c>
      <c r="J1157" s="60"/>
      <c r="K1157" s="61"/>
    </row>
    <row r="1158" spans="2:12" ht="13.8" x14ac:dyDescent="0.3">
      <c r="D1158" s="26"/>
      <c r="E1158" s="75" t="s">
        <v>330</v>
      </c>
      <c r="F1158" s="76"/>
      <c r="I1158" s="26"/>
      <c r="J1158" s="75" t="s">
        <v>330</v>
      </c>
      <c r="K1158" s="76"/>
    </row>
    <row r="1159" spans="2:12" ht="13.8" x14ac:dyDescent="0.3">
      <c r="D1159" s="25" t="s">
        <v>331</v>
      </c>
      <c r="E1159" s="26">
        <v>0</v>
      </c>
      <c r="F1159" s="26">
        <v>1</v>
      </c>
      <c r="I1159" s="25" t="s">
        <v>331</v>
      </c>
      <c r="J1159" s="26">
        <v>0</v>
      </c>
      <c r="K1159" s="26">
        <v>1</v>
      </c>
    </row>
    <row r="1160" spans="2:12" ht="13.8" x14ac:dyDescent="0.3">
      <c r="D1160" s="25">
        <v>0</v>
      </c>
      <c r="E1160" s="24">
        <v>123</v>
      </c>
      <c r="F1160" s="24">
        <v>17</v>
      </c>
      <c r="I1160" s="25">
        <v>0</v>
      </c>
      <c r="J1160" s="24">
        <v>85</v>
      </c>
      <c r="K1160" s="24">
        <v>75</v>
      </c>
    </row>
    <row r="1161" spans="2:12" ht="13.8" x14ac:dyDescent="0.3">
      <c r="D1161" s="25">
        <v>1</v>
      </c>
      <c r="E1161" s="24">
        <v>25</v>
      </c>
      <c r="F1161" s="24">
        <v>335</v>
      </c>
      <c r="I1161" s="25">
        <v>1</v>
      </c>
      <c r="J1161" s="24">
        <v>72</v>
      </c>
      <c r="K1161" s="24">
        <v>268</v>
      </c>
    </row>
    <row r="1163" spans="2:12" ht="15.6" x14ac:dyDescent="0.3">
      <c r="D1163" s="59" t="s">
        <v>210</v>
      </c>
      <c r="E1163" s="60"/>
      <c r="F1163" s="60"/>
      <c r="G1163" s="61"/>
      <c r="I1163" s="59" t="s">
        <v>210</v>
      </c>
      <c r="J1163" s="60"/>
      <c r="K1163" s="60"/>
      <c r="L1163" s="61"/>
    </row>
    <row r="1164" spans="2:12" ht="13.8" x14ac:dyDescent="0.3">
      <c r="D1164" s="26" t="s">
        <v>332</v>
      </c>
      <c r="E1164" s="26" t="s">
        <v>333</v>
      </c>
      <c r="F1164" s="26" t="s">
        <v>334</v>
      </c>
      <c r="G1164" s="26" t="s">
        <v>335</v>
      </c>
      <c r="I1164" s="26" t="s">
        <v>332</v>
      </c>
      <c r="J1164" s="26" t="s">
        <v>333</v>
      </c>
      <c r="K1164" s="26" t="s">
        <v>334</v>
      </c>
      <c r="L1164" s="26" t="s">
        <v>335</v>
      </c>
    </row>
    <row r="1165" spans="2:12" ht="13.8" x14ac:dyDescent="0.3">
      <c r="D1165" s="25">
        <v>0</v>
      </c>
      <c r="E1165" s="24">
        <f>SUM($E$1160:$F$1160)</f>
        <v>140</v>
      </c>
      <c r="F1165" s="24">
        <f>SUM($E$1160:$F$1160) - $E$1160:$E$1160</f>
        <v>17</v>
      </c>
      <c r="G1165" s="24">
        <f>IF($E$1165:$E$1165 = 0, "Undefined",$F$1165:$F$1165*100 / $E$1165:$E$1165)</f>
        <v>12.142857142857142</v>
      </c>
      <c r="I1165" s="25">
        <v>0</v>
      </c>
      <c r="J1165" s="24">
        <f>SUM($J$1160:$K$1160)</f>
        <v>160</v>
      </c>
      <c r="K1165" s="24">
        <f>SUM($J$1160:$K$1160) - $J$1160:$J$1160</f>
        <v>75</v>
      </c>
      <c r="L1165" s="24">
        <f>IF($J$1165:$J$1165 = 0, "Undefined",$K$1165:$K$1165*100 / $J$1165:$J$1165)</f>
        <v>46.875</v>
      </c>
    </row>
    <row r="1166" spans="2:12" ht="13.8" x14ac:dyDescent="0.3">
      <c r="D1166" s="25">
        <v>1</v>
      </c>
      <c r="E1166" s="24">
        <f>SUM($E$1161:$F$1161)</f>
        <v>360</v>
      </c>
      <c r="F1166" s="24">
        <f>SUM($E$1161:$F$1161) - $F$1161:$F$1161</f>
        <v>25</v>
      </c>
      <c r="G1166" s="24">
        <f>IF($E$1166:$E$1166 = 0, "Undefined",$F$1166:$F$1166*100 / $E$1166:$E$1166)</f>
        <v>6.9444444444444446</v>
      </c>
      <c r="I1166" s="25">
        <v>1</v>
      </c>
      <c r="J1166" s="24">
        <f>SUM($J$1161:$K$1161)</f>
        <v>340</v>
      </c>
      <c r="K1166" s="24">
        <f>SUM($J$1161:$K$1161) - $K$1161:$K$1161</f>
        <v>72</v>
      </c>
      <c r="L1166" s="24">
        <f>IF($J$1166:$J$1166 = 0, "Undefined",$K$1166:$K$1166*100 / $J$1166:$J$1166)</f>
        <v>21.176470588235293</v>
      </c>
    </row>
    <row r="1167" spans="2:12" ht="13.8" x14ac:dyDescent="0.3">
      <c r="D1167" s="25" t="s">
        <v>336</v>
      </c>
      <c r="E1167" s="24">
        <f>SUM($E$1165:$E$1166)</f>
        <v>500</v>
      </c>
      <c r="F1167" s="24">
        <f>SUM($F$1165:$F$1166)</f>
        <v>42</v>
      </c>
      <c r="G1167" s="24">
        <f>IF($E$1167:$E$1167 = 0, "Undefined",$F$1167:$F$1167*100 / $E$1167:$E$1167)</f>
        <v>8.4</v>
      </c>
      <c r="I1167" s="25" t="s">
        <v>336</v>
      </c>
      <c r="J1167" s="24">
        <f>SUM($J$1165:$J$1166)</f>
        <v>500</v>
      </c>
      <c r="K1167" s="24">
        <f>SUM($K$1165:$K$1166)</f>
        <v>147</v>
      </c>
      <c r="L1167" s="24">
        <f>IF($J$1167:$J$1167 = 0, "Undefined",$K$1167:$K$1167*100 / $J$1167:$J$1167)</f>
        <v>29.4</v>
      </c>
    </row>
    <row r="1169" spans="2:12" ht="15.6" x14ac:dyDescent="0.3">
      <c r="B1169" s="28" t="s">
        <v>421</v>
      </c>
      <c r="D1169" s="59" t="s">
        <v>329</v>
      </c>
      <c r="E1169" s="60"/>
      <c r="F1169" s="61"/>
      <c r="I1169" s="59" t="s">
        <v>329</v>
      </c>
      <c r="J1169" s="60"/>
      <c r="K1169" s="61"/>
    </row>
    <row r="1170" spans="2:12" ht="13.8" x14ac:dyDescent="0.3">
      <c r="D1170" s="26"/>
      <c r="E1170" s="75" t="s">
        <v>330</v>
      </c>
      <c r="F1170" s="76"/>
      <c r="I1170" s="26"/>
      <c r="J1170" s="75" t="s">
        <v>330</v>
      </c>
      <c r="K1170" s="76"/>
    </row>
    <row r="1171" spans="2:12" ht="13.8" x14ac:dyDescent="0.3">
      <c r="D1171" s="25" t="s">
        <v>331</v>
      </c>
      <c r="E1171" s="26">
        <v>0</v>
      </c>
      <c r="F1171" s="26">
        <v>1</v>
      </c>
      <c r="I1171" s="25" t="s">
        <v>331</v>
      </c>
      <c r="J1171" s="26">
        <v>0</v>
      </c>
      <c r="K1171" s="26">
        <v>1</v>
      </c>
    </row>
    <row r="1172" spans="2:12" ht="13.8" x14ac:dyDescent="0.3">
      <c r="D1172" s="25">
        <v>0</v>
      </c>
      <c r="E1172" s="24">
        <v>121</v>
      </c>
      <c r="F1172" s="24">
        <v>19</v>
      </c>
      <c r="I1172" s="25">
        <v>0</v>
      </c>
      <c r="J1172" s="24">
        <v>89</v>
      </c>
      <c r="K1172" s="24">
        <v>71</v>
      </c>
    </row>
    <row r="1173" spans="2:12" ht="13.8" x14ac:dyDescent="0.3">
      <c r="D1173" s="25">
        <v>1</v>
      </c>
      <c r="E1173" s="24">
        <v>26</v>
      </c>
      <c r="F1173" s="24">
        <v>334</v>
      </c>
      <c r="I1173" s="25">
        <v>1</v>
      </c>
      <c r="J1173" s="24">
        <v>74</v>
      </c>
      <c r="K1173" s="24">
        <v>266</v>
      </c>
    </row>
    <row r="1175" spans="2:12" ht="15.6" x14ac:dyDescent="0.3">
      <c r="D1175" s="59" t="s">
        <v>210</v>
      </c>
      <c r="E1175" s="60"/>
      <c r="F1175" s="60"/>
      <c r="G1175" s="61"/>
      <c r="I1175" s="59" t="s">
        <v>210</v>
      </c>
      <c r="J1175" s="60"/>
      <c r="K1175" s="60"/>
      <c r="L1175" s="61"/>
    </row>
    <row r="1176" spans="2:12" ht="13.8" x14ac:dyDescent="0.3">
      <c r="D1176" s="26" t="s">
        <v>332</v>
      </c>
      <c r="E1176" s="26" t="s">
        <v>333</v>
      </c>
      <c r="F1176" s="26" t="s">
        <v>334</v>
      </c>
      <c r="G1176" s="26" t="s">
        <v>335</v>
      </c>
      <c r="I1176" s="26" t="s">
        <v>332</v>
      </c>
      <c r="J1176" s="26" t="s">
        <v>333</v>
      </c>
      <c r="K1176" s="26" t="s">
        <v>334</v>
      </c>
      <c r="L1176" s="26" t="s">
        <v>335</v>
      </c>
    </row>
    <row r="1177" spans="2:12" ht="13.8" x14ac:dyDescent="0.3">
      <c r="D1177" s="25">
        <v>0</v>
      </c>
      <c r="E1177" s="24">
        <f>SUM($E$1172:$F$1172)</f>
        <v>140</v>
      </c>
      <c r="F1177" s="24">
        <f>SUM($E$1172:$F$1172) - $E$1172:$E$1172</f>
        <v>19</v>
      </c>
      <c r="G1177" s="24">
        <f>IF($E$1177:$E$1177 = 0, "Undefined",$F$1177:$F$1177*100 / $E$1177:$E$1177)</f>
        <v>13.571428571428571</v>
      </c>
      <c r="I1177" s="25">
        <v>0</v>
      </c>
      <c r="J1177" s="24">
        <f>SUM($J$1172:$K$1172)</f>
        <v>160</v>
      </c>
      <c r="K1177" s="24">
        <f>SUM($J$1172:$K$1172) - $J$1172:$J$1172</f>
        <v>71</v>
      </c>
      <c r="L1177" s="24">
        <f>IF($J$1177:$J$1177 = 0, "Undefined",$K$1177:$K$1177*100 / $J$1177:$J$1177)</f>
        <v>44.375</v>
      </c>
    </row>
    <row r="1178" spans="2:12" ht="13.8" x14ac:dyDescent="0.3">
      <c r="D1178" s="25">
        <v>1</v>
      </c>
      <c r="E1178" s="24">
        <f>SUM($E$1173:$F$1173)</f>
        <v>360</v>
      </c>
      <c r="F1178" s="24">
        <f>SUM($E$1173:$F$1173) - $F$1173:$F$1173</f>
        <v>26</v>
      </c>
      <c r="G1178" s="24">
        <f>IF($E$1178:$E$1178 = 0, "Undefined",$F$1178:$F$1178*100 / $E$1178:$E$1178)</f>
        <v>7.2222222222222223</v>
      </c>
      <c r="I1178" s="25">
        <v>1</v>
      </c>
      <c r="J1178" s="24">
        <f>SUM($J$1173:$K$1173)</f>
        <v>340</v>
      </c>
      <c r="K1178" s="24">
        <f>SUM($J$1173:$K$1173) - $K$1173:$K$1173</f>
        <v>74</v>
      </c>
      <c r="L1178" s="24">
        <f>IF($J$1178:$J$1178 = 0, "Undefined",$K$1178:$K$1178*100 / $J$1178:$J$1178)</f>
        <v>21.764705882352942</v>
      </c>
    </row>
    <row r="1179" spans="2:12" ht="13.8" x14ac:dyDescent="0.3">
      <c r="D1179" s="25" t="s">
        <v>336</v>
      </c>
      <c r="E1179" s="24">
        <f>SUM($E$1177:$E$1178)</f>
        <v>500</v>
      </c>
      <c r="F1179" s="24">
        <f>SUM($F$1177:$F$1178)</f>
        <v>45</v>
      </c>
      <c r="G1179" s="24">
        <f>IF($E$1179:$E$1179 = 0, "Undefined",$F$1179:$F$1179*100 / $E$1179:$E$1179)</f>
        <v>9</v>
      </c>
      <c r="I1179" s="25" t="s">
        <v>336</v>
      </c>
      <c r="J1179" s="24">
        <f>SUM($J$1177:$J$1178)</f>
        <v>500</v>
      </c>
      <c r="K1179" s="24">
        <f>SUM($K$1177:$K$1178)</f>
        <v>145</v>
      </c>
      <c r="L1179" s="24">
        <f>IF($J$1179:$J$1179 = 0, "Undefined",$K$1179:$K$1179*100 / $J$1179:$J$1179)</f>
        <v>29</v>
      </c>
    </row>
    <row r="1181" spans="2:12" ht="15.6" x14ac:dyDescent="0.3">
      <c r="B1181" s="28" t="s">
        <v>422</v>
      </c>
      <c r="D1181" s="59" t="s">
        <v>329</v>
      </c>
      <c r="E1181" s="60"/>
      <c r="F1181" s="61"/>
      <c r="I1181" s="59" t="s">
        <v>329</v>
      </c>
      <c r="J1181" s="60"/>
      <c r="K1181" s="61"/>
    </row>
    <row r="1182" spans="2:12" ht="13.8" x14ac:dyDescent="0.3">
      <c r="D1182" s="26"/>
      <c r="E1182" s="75" t="s">
        <v>330</v>
      </c>
      <c r="F1182" s="76"/>
      <c r="I1182" s="26"/>
      <c r="J1182" s="75" t="s">
        <v>330</v>
      </c>
      <c r="K1182" s="76"/>
    </row>
    <row r="1183" spans="2:12" ht="13.8" x14ac:dyDescent="0.3">
      <c r="D1183" s="25" t="s">
        <v>331</v>
      </c>
      <c r="E1183" s="26">
        <v>0</v>
      </c>
      <c r="F1183" s="26">
        <v>1</v>
      </c>
      <c r="I1183" s="25" t="s">
        <v>331</v>
      </c>
      <c r="J1183" s="26">
        <v>0</v>
      </c>
      <c r="K1183" s="26">
        <v>1</v>
      </c>
    </row>
    <row r="1184" spans="2:12" ht="13.8" x14ac:dyDescent="0.3">
      <c r="D1184" s="25">
        <v>0</v>
      </c>
      <c r="E1184" s="24">
        <v>122</v>
      </c>
      <c r="F1184" s="24">
        <v>18</v>
      </c>
      <c r="I1184" s="25">
        <v>0</v>
      </c>
      <c r="J1184" s="24">
        <v>87</v>
      </c>
      <c r="K1184" s="24">
        <v>73</v>
      </c>
    </row>
    <row r="1185" spans="2:12" ht="13.8" x14ac:dyDescent="0.3">
      <c r="D1185" s="25">
        <v>1</v>
      </c>
      <c r="E1185" s="24">
        <v>22</v>
      </c>
      <c r="F1185" s="24">
        <v>338</v>
      </c>
      <c r="I1185" s="25">
        <v>1</v>
      </c>
      <c r="J1185" s="24">
        <v>69</v>
      </c>
      <c r="K1185" s="24">
        <v>271</v>
      </c>
    </row>
    <row r="1187" spans="2:12" ht="15.6" x14ac:dyDescent="0.3">
      <c r="D1187" s="59" t="s">
        <v>210</v>
      </c>
      <c r="E1187" s="60"/>
      <c r="F1187" s="60"/>
      <c r="G1187" s="61"/>
      <c r="I1187" s="59" t="s">
        <v>210</v>
      </c>
      <c r="J1187" s="60"/>
      <c r="K1187" s="60"/>
      <c r="L1187" s="61"/>
    </row>
    <row r="1188" spans="2:12" ht="13.8" x14ac:dyDescent="0.3">
      <c r="D1188" s="26" t="s">
        <v>332</v>
      </c>
      <c r="E1188" s="26" t="s">
        <v>333</v>
      </c>
      <c r="F1188" s="26" t="s">
        <v>334</v>
      </c>
      <c r="G1188" s="26" t="s">
        <v>335</v>
      </c>
      <c r="I1188" s="26" t="s">
        <v>332</v>
      </c>
      <c r="J1188" s="26" t="s">
        <v>333</v>
      </c>
      <c r="K1188" s="26" t="s">
        <v>334</v>
      </c>
      <c r="L1188" s="26" t="s">
        <v>335</v>
      </c>
    </row>
    <row r="1189" spans="2:12" ht="13.8" x14ac:dyDescent="0.3">
      <c r="D1189" s="25">
        <v>0</v>
      </c>
      <c r="E1189" s="24">
        <f>SUM($E$1184:$F$1184)</f>
        <v>140</v>
      </c>
      <c r="F1189" s="24">
        <f>SUM($E$1184:$F$1184) - $E$1184:$E$1184</f>
        <v>18</v>
      </c>
      <c r="G1189" s="24">
        <f>IF($E$1189:$E$1189 = 0, "Undefined",$F$1189:$F$1189*100 / $E$1189:$E$1189)</f>
        <v>12.857142857142858</v>
      </c>
      <c r="I1189" s="25">
        <v>0</v>
      </c>
      <c r="J1189" s="24">
        <f>SUM($J$1184:$K$1184)</f>
        <v>160</v>
      </c>
      <c r="K1189" s="24">
        <f>SUM($J$1184:$K$1184) - $J$1184:$J$1184</f>
        <v>73</v>
      </c>
      <c r="L1189" s="24">
        <f>IF($J$1189:$J$1189 = 0, "Undefined",$K$1189:$K$1189*100 / $J$1189:$J$1189)</f>
        <v>45.625</v>
      </c>
    </row>
    <row r="1190" spans="2:12" ht="13.8" x14ac:dyDescent="0.3">
      <c r="D1190" s="25">
        <v>1</v>
      </c>
      <c r="E1190" s="24">
        <f>SUM($E$1185:$F$1185)</f>
        <v>360</v>
      </c>
      <c r="F1190" s="24">
        <f>SUM($E$1185:$F$1185) - $F$1185:$F$1185</f>
        <v>22</v>
      </c>
      <c r="G1190" s="24">
        <f>IF($E$1190:$E$1190 = 0, "Undefined",$F$1190:$F$1190*100 / $E$1190:$E$1190)</f>
        <v>6.1111111111111107</v>
      </c>
      <c r="I1190" s="25">
        <v>1</v>
      </c>
      <c r="J1190" s="24">
        <f>SUM($J$1185:$K$1185)</f>
        <v>340</v>
      </c>
      <c r="K1190" s="24">
        <f>SUM($J$1185:$K$1185) - $K$1185:$K$1185</f>
        <v>69</v>
      </c>
      <c r="L1190" s="24">
        <f>IF($J$1190:$J$1190 = 0, "Undefined",$K$1190:$K$1190*100 / $J$1190:$J$1190)</f>
        <v>20.294117647058822</v>
      </c>
    </row>
    <row r="1191" spans="2:12" ht="13.8" x14ac:dyDescent="0.3">
      <c r="D1191" s="25" t="s">
        <v>336</v>
      </c>
      <c r="E1191" s="24">
        <f>SUM($E$1189:$E$1190)</f>
        <v>500</v>
      </c>
      <c r="F1191" s="24">
        <f>SUM($F$1189:$F$1190)</f>
        <v>40</v>
      </c>
      <c r="G1191" s="24">
        <f>IF($E$1191:$E$1191 = 0, "Undefined",$F$1191:$F$1191*100 / $E$1191:$E$1191)</f>
        <v>8</v>
      </c>
      <c r="I1191" s="25" t="s">
        <v>336</v>
      </c>
      <c r="J1191" s="24">
        <f>SUM($J$1189:$J$1190)</f>
        <v>500</v>
      </c>
      <c r="K1191" s="24">
        <f>SUM($K$1189:$K$1190)</f>
        <v>142</v>
      </c>
      <c r="L1191" s="24">
        <f>IF($J$1191:$J$1191 = 0, "Undefined",$K$1191:$K$1191*100 / $J$1191:$J$1191)</f>
        <v>28.4</v>
      </c>
    </row>
    <row r="1193" spans="2:12" ht="15.6" x14ac:dyDescent="0.3">
      <c r="B1193" s="28" t="s">
        <v>423</v>
      </c>
      <c r="D1193" s="59" t="s">
        <v>329</v>
      </c>
      <c r="E1193" s="60"/>
      <c r="F1193" s="61"/>
      <c r="I1193" s="59" t="s">
        <v>329</v>
      </c>
      <c r="J1193" s="60"/>
      <c r="K1193" s="61"/>
    </row>
    <row r="1194" spans="2:12" ht="13.8" x14ac:dyDescent="0.3">
      <c r="D1194" s="26"/>
      <c r="E1194" s="75" t="s">
        <v>330</v>
      </c>
      <c r="F1194" s="76"/>
      <c r="I1194" s="26"/>
      <c r="J1194" s="75" t="s">
        <v>330</v>
      </c>
      <c r="K1194" s="76"/>
    </row>
    <row r="1195" spans="2:12" ht="13.8" x14ac:dyDescent="0.3">
      <c r="D1195" s="25" t="s">
        <v>331</v>
      </c>
      <c r="E1195" s="26">
        <v>0</v>
      </c>
      <c r="F1195" s="26">
        <v>1</v>
      </c>
      <c r="I1195" s="25" t="s">
        <v>331</v>
      </c>
      <c r="J1195" s="26">
        <v>0</v>
      </c>
      <c r="K1195" s="26">
        <v>1</v>
      </c>
    </row>
    <row r="1196" spans="2:12" ht="13.8" x14ac:dyDescent="0.3">
      <c r="D1196" s="25">
        <v>0</v>
      </c>
      <c r="E1196" s="24">
        <v>121</v>
      </c>
      <c r="F1196" s="24">
        <v>19</v>
      </c>
      <c r="I1196" s="25">
        <v>0</v>
      </c>
      <c r="J1196" s="24">
        <v>87</v>
      </c>
      <c r="K1196" s="24">
        <v>73</v>
      </c>
    </row>
    <row r="1197" spans="2:12" ht="13.8" x14ac:dyDescent="0.3">
      <c r="D1197" s="25">
        <v>1</v>
      </c>
      <c r="E1197" s="24">
        <v>28</v>
      </c>
      <c r="F1197" s="24">
        <v>332</v>
      </c>
      <c r="I1197" s="25">
        <v>1</v>
      </c>
      <c r="J1197" s="24">
        <v>74</v>
      </c>
      <c r="K1197" s="24">
        <v>266</v>
      </c>
    </row>
    <row r="1199" spans="2:12" ht="15.6" x14ac:dyDescent="0.3">
      <c r="D1199" s="59" t="s">
        <v>210</v>
      </c>
      <c r="E1199" s="60"/>
      <c r="F1199" s="60"/>
      <c r="G1199" s="61"/>
      <c r="I1199" s="59" t="s">
        <v>210</v>
      </c>
      <c r="J1199" s="60"/>
      <c r="K1199" s="60"/>
      <c r="L1199" s="61"/>
    </row>
    <row r="1200" spans="2:12" ht="13.8" x14ac:dyDescent="0.3">
      <c r="D1200" s="26" t="s">
        <v>332</v>
      </c>
      <c r="E1200" s="26" t="s">
        <v>333</v>
      </c>
      <c r="F1200" s="26" t="s">
        <v>334</v>
      </c>
      <c r="G1200" s="26" t="s">
        <v>335</v>
      </c>
      <c r="I1200" s="26" t="s">
        <v>332</v>
      </c>
      <c r="J1200" s="26" t="s">
        <v>333</v>
      </c>
      <c r="K1200" s="26" t="s">
        <v>334</v>
      </c>
      <c r="L1200" s="26" t="s">
        <v>335</v>
      </c>
    </row>
    <row r="1201" spans="2:12" ht="13.8" x14ac:dyDescent="0.3">
      <c r="D1201" s="25">
        <v>0</v>
      </c>
      <c r="E1201" s="24">
        <f>SUM($E$1196:$F$1196)</f>
        <v>140</v>
      </c>
      <c r="F1201" s="24">
        <f>SUM($E$1196:$F$1196) - $E$1196:$E$1196</f>
        <v>19</v>
      </c>
      <c r="G1201" s="24">
        <f>IF($E$1201:$E$1201 = 0, "Undefined",$F$1201:$F$1201*100 / $E$1201:$E$1201)</f>
        <v>13.571428571428571</v>
      </c>
      <c r="I1201" s="25">
        <v>0</v>
      </c>
      <c r="J1201" s="24">
        <f>SUM($J$1196:$K$1196)</f>
        <v>160</v>
      </c>
      <c r="K1201" s="24">
        <f>SUM($J$1196:$K$1196) - $J$1196:$J$1196</f>
        <v>73</v>
      </c>
      <c r="L1201" s="24">
        <f>IF($J$1201:$J$1201 = 0, "Undefined",$K$1201:$K$1201*100 / $J$1201:$J$1201)</f>
        <v>45.625</v>
      </c>
    </row>
    <row r="1202" spans="2:12" ht="13.8" x14ac:dyDescent="0.3">
      <c r="D1202" s="25">
        <v>1</v>
      </c>
      <c r="E1202" s="24">
        <f>SUM($E$1197:$F$1197)</f>
        <v>360</v>
      </c>
      <c r="F1202" s="24">
        <f>SUM($E$1197:$F$1197) - $F$1197:$F$1197</f>
        <v>28</v>
      </c>
      <c r="G1202" s="24">
        <f>IF($E$1202:$E$1202 = 0, "Undefined",$F$1202:$F$1202*100 / $E$1202:$E$1202)</f>
        <v>7.7777777777777777</v>
      </c>
      <c r="I1202" s="25">
        <v>1</v>
      </c>
      <c r="J1202" s="24">
        <f>SUM($J$1197:$K$1197)</f>
        <v>340</v>
      </c>
      <c r="K1202" s="24">
        <f>SUM($J$1197:$K$1197) - $K$1197:$K$1197</f>
        <v>74</v>
      </c>
      <c r="L1202" s="24">
        <f>IF($J$1202:$J$1202 = 0, "Undefined",$K$1202:$K$1202*100 / $J$1202:$J$1202)</f>
        <v>21.764705882352942</v>
      </c>
    </row>
    <row r="1203" spans="2:12" ht="13.8" x14ac:dyDescent="0.3">
      <c r="D1203" s="25" t="s">
        <v>336</v>
      </c>
      <c r="E1203" s="24">
        <f>SUM($E$1201:$E$1202)</f>
        <v>500</v>
      </c>
      <c r="F1203" s="24">
        <f>SUM($F$1201:$F$1202)</f>
        <v>47</v>
      </c>
      <c r="G1203" s="24">
        <f>IF($E$1203:$E$1203 = 0, "Undefined",$F$1203:$F$1203*100 / $E$1203:$E$1203)</f>
        <v>9.4</v>
      </c>
      <c r="I1203" s="25" t="s">
        <v>336</v>
      </c>
      <c r="J1203" s="24">
        <f>SUM($J$1201:$J$1202)</f>
        <v>500</v>
      </c>
      <c r="K1203" s="24">
        <f>SUM($K$1201:$K$1202)</f>
        <v>147</v>
      </c>
      <c r="L1203" s="24">
        <f>IF($J$1203:$J$1203 = 0, "Undefined",$K$1203:$K$1203*100 / $J$1203:$J$1203)</f>
        <v>29.4</v>
      </c>
    </row>
    <row r="1205" spans="2:12" ht="15.6" x14ac:dyDescent="0.3">
      <c r="B1205" s="28" t="s">
        <v>424</v>
      </c>
      <c r="D1205" s="59" t="s">
        <v>329</v>
      </c>
      <c r="E1205" s="60"/>
      <c r="F1205" s="61"/>
      <c r="I1205" s="59" t="s">
        <v>329</v>
      </c>
      <c r="J1205" s="60"/>
      <c r="K1205" s="61"/>
    </row>
    <row r="1206" spans="2:12" ht="13.8" x14ac:dyDescent="0.3">
      <c r="D1206" s="26"/>
      <c r="E1206" s="75" t="s">
        <v>330</v>
      </c>
      <c r="F1206" s="76"/>
      <c r="I1206" s="26"/>
      <c r="J1206" s="75" t="s">
        <v>330</v>
      </c>
      <c r="K1206" s="76"/>
    </row>
    <row r="1207" spans="2:12" ht="13.8" x14ac:dyDescent="0.3">
      <c r="D1207" s="25" t="s">
        <v>331</v>
      </c>
      <c r="E1207" s="26">
        <v>0</v>
      </c>
      <c r="F1207" s="26">
        <v>1</v>
      </c>
      <c r="I1207" s="25" t="s">
        <v>331</v>
      </c>
      <c r="J1207" s="26">
        <v>0</v>
      </c>
      <c r="K1207" s="26">
        <v>1</v>
      </c>
    </row>
    <row r="1208" spans="2:12" ht="13.8" x14ac:dyDescent="0.3">
      <c r="D1208" s="25">
        <v>0</v>
      </c>
      <c r="E1208" s="24">
        <v>121</v>
      </c>
      <c r="F1208" s="24">
        <v>19</v>
      </c>
      <c r="I1208" s="25">
        <v>0</v>
      </c>
      <c r="J1208" s="24">
        <v>87</v>
      </c>
      <c r="K1208" s="24">
        <v>73</v>
      </c>
    </row>
    <row r="1209" spans="2:12" ht="13.8" x14ac:dyDescent="0.3">
      <c r="D1209" s="25">
        <v>1</v>
      </c>
      <c r="E1209" s="24">
        <v>23</v>
      </c>
      <c r="F1209" s="24">
        <v>337</v>
      </c>
      <c r="I1209" s="25">
        <v>1</v>
      </c>
      <c r="J1209" s="24">
        <v>70</v>
      </c>
      <c r="K1209" s="24">
        <v>270</v>
      </c>
    </row>
    <row r="1211" spans="2:12" ht="15.6" x14ac:dyDescent="0.3">
      <c r="D1211" s="59" t="s">
        <v>210</v>
      </c>
      <c r="E1211" s="60"/>
      <c r="F1211" s="60"/>
      <c r="G1211" s="61"/>
      <c r="I1211" s="59" t="s">
        <v>210</v>
      </c>
      <c r="J1211" s="60"/>
      <c r="K1211" s="60"/>
      <c r="L1211" s="61"/>
    </row>
    <row r="1212" spans="2:12" ht="13.8" x14ac:dyDescent="0.3">
      <c r="D1212" s="26" t="s">
        <v>332</v>
      </c>
      <c r="E1212" s="26" t="s">
        <v>333</v>
      </c>
      <c r="F1212" s="26" t="s">
        <v>334</v>
      </c>
      <c r="G1212" s="26" t="s">
        <v>335</v>
      </c>
      <c r="I1212" s="26" t="s">
        <v>332</v>
      </c>
      <c r="J1212" s="26" t="s">
        <v>333</v>
      </c>
      <c r="K1212" s="26" t="s">
        <v>334</v>
      </c>
      <c r="L1212" s="26" t="s">
        <v>335</v>
      </c>
    </row>
    <row r="1213" spans="2:12" ht="13.8" x14ac:dyDescent="0.3">
      <c r="D1213" s="25">
        <v>0</v>
      </c>
      <c r="E1213" s="24">
        <f>SUM($E$1208:$F$1208)</f>
        <v>140</v>
      </c>
      <c r="F1213" s="24">
        <f>SUM($E$1208:$F$1208) - $E$1208:$E$1208</f>
        <v>19</v>
      </c>
      <c r="G1213" s="24">
        <f>IF($E$1213:$E$1213 = 0, "Undefined",$F$1213:$F$1213*100 / $E$1213:$E$1213)</f>
        <v>13.571428571428571</v>
      </c>
      <c r="I1213" s="25">
        <v>0</v>
      </c>
      <c r="J1213" s="24">
        <f>SUM($J$1208:$K$1208)</f>
        <v>160</v>
      </c>
      <c r="K1213" s="24">
        <f>SUM($J$1208:$K$1208) - $J$1208:$J$1208</f>
        <v>73</v>
      </c>
      <c r="L1213" s="24">
        <f>IF($J$1213:$J$1213 = 0, "Undefined",$K$1213:$K$1213*100 / $J$1213:$J$1213)</f>
        <v>45.625</v>
      </c>
    </row>
    <row r="1214" spans="2:12" ht="13.8" x14ac:dyDescent="0.3">
      <c r="D1214" s="25">
        <v>1</v>
      </c>
      <c r="E1214" s="24">
        <f>SUM($E$1209:$F$1209)</f>
        <v>360</v>
      </c>
      <c r="F1214" s="24">
        <f>SUM($E$1209:$F$1209) - $F$1209:$F$1209</f>
        <v>23</v>
      </c>
      <c r="G1214" s="24">
        <f>IF($E$1214:$E$1214 = 0, "Undefined",$F$1214:$F$1214*100 / $E$1214:$E$1214)</f>
        <v>6.3888888888888893</v>
      </c>
      <c r="I1214" s="25">
        <v>1</v>
      </c>
      <c r="J1214" s="24">
        <f>SUM($J$1209:$K$1209)</f>
        <v>340</v>
      </c>
      <c r="K1214" s="24">
        <f>SUM($J$1209:$K$1209) - $K$1209:$K$1209</f>
        <v>70</v>
      </c>
      <c r="L1214" s="24">
        <f>IF($J$1214:$J$1214 = 0, "Undefined",$K$1214:$K$1214*100 / $J$1214:$J$1214)</f>
        <v>20.588235294117649</v>
      </c>
    </row>
    <row r="1215" spans="2:12" ht="13.8" x14ac:dyDescent="0.3">
      <c r="D1215" s="25" t="s">
        <v>336</v>
      </c>
      <c r="E1215" s="24">
        <f>SUM($E$1213:$E$1214)</f>
        <v>500</v>
      </c>
      <c r="F1215" s="24">
        <f>SUM($F$1213:$F$1214)</f>
        <v>42</v>
      </c>
      <c r="G1215" s="24">
        <f>IF($E$1215:$E$1215 = 0, "Undefined",$F$1215:$F$1215*100 / $E$1215:$E$1215)</f>
        <v>8.4</v>
      </c>
      <c r="I1215" s="25" t="s">
        <v>336</v>
      </c>
      <c r="J1215" s="24">
        <f>SUM($J$1213:$J$1214)</f>
        <v>500</v>
      </c>
      <c r="K1215" s="24">
        <f>SUM($K$1213:$K$1214)</f>
        <v>143</v>
      </c>
      <c r="L1215" s="24">
        <f>IF($J$1215:$J$1215 = 0, "Undefined",$K$1215:$K$1215*100 / $J$1215:$J$1215)</f>
        <v>28.6</v>
      </c>
    </row>
    <row r="1217" spans="2:12" ht="15.6" x14ac:dyDescent="0.3">
      <c r="B1217" s="28" t="s">
        <v>425</v>
      </c>
      <c r="D1217" s="59" t="s">
        <v>329</v>
      </c>
      <c r="E1217" s="60"/>
      <c r="F1217" s="61"/>
      <c r="I1217" s="59" t="s">
        <v>329</v>
      </c>
      <c r="J1217" s="60"/>
      <c r="K1217" s="61"/>
    </row>
    <row r="1218" spans="2:12" ht="13.8" x14ac:dyDescent="0.3">
      <c r="D1218" s="26"/>
      <c r="E1218" s="75" t="s">
        <v>330</v>
      </c>
      <c r="F1218" s="76"/>
      <c r="I1218" s="26"/>
      <c r="J1218" s="75" t="s">
        <v>330</v>
      </c>
      <c r="K1218" s="76"/>
    </row>
    <row r="1219" spans="2:12" ht="13.8" x14ac:dyDescent="0.3">
      <c r="D1219" s="25" t="s">
        <v>331</v>
      </c>
      <c r="E1219" s="26">
        <v>0</v>
      </c>
      <c r="F1219" s="26">
        <v>1</v>
      </c>
      <c r="I1219" s="25" t="s">
        <v>331</v>
      </c>
      <c r="J1219" s="26">
        <v>0</v>
      </c>
      <c r="K1219" s="26">
        <v>1</v>
      </c>
    </row>
    <row r="1220" spans="2:12" ht="13.8" x14ac:dyDescent="0.3">
      <c r="D1220" s="25">
        <v>0</v>
      </c>
      <c r="E1220" s="24">
        <v>116</v>
      </c>
      <c r="F1220" s="24">
        <v>24</v>
      </c>
      <c r="I1220" s="25">
        <v>0</v>
      </c>
      <c r="J1220" s="24">
        <v>84</v>
      </c>
      <c r="K1220" s="24">
        <v>76</v>
      </c>
    </row>
    <row r="1221" spans="2:12" ht="13.8" x14ac:dyDescent="0.3">
      <c r="D1221" s="25">
        <v>1</v>
      </c>
      <c r="E1221" s="24">
        <v>24</v>
      </c>
      <c r="F1221" s="24">
        <v>336</v>
      </c>
      <c r="I1221" s="25">
        <v>1</v>
      </c>
      <c r="J1221" s="24">
        <v>65</v>
      </c>
      <c r="K1221" s="24">
        <v>275</v>
      </c>
    </row>
    <row r="1223" spans="2:12" ht="15.6" x14ac:dyDescent="0.3">
      <c r="D1223" s="59" t="s">
        <v>210</v>
      </c>
      <c r="E1223" s="60"/>
      <c r="F1223" s="60"/>
      <c r="G1223" s="61"/>
      <c r="I1223" s="59" t="s">
        <v>210</v>
      </c>
      <c r="J1223" s="60"/>
      <c r="K1223" s="60"/>
      <c r="L1223" s="61"/>
    </row>
    <row r="1224" spans="2:12" ht="13.8" x14ac:dyDescent="0.3">
      <c r="D1224" s="26" t="s">
        <v>332</v>
      </c>
      <c r="E1224" s="26" t="s">
        <v>333</v>
      </c>
      <c r="F1224" s="26" t="s">
        <v>334</v>
      </c>
      <c r="G1224" s="26" t="s">
        <v>335</v>
      </c>
      <c r="I1224" s="26" t="s">
        <v>332</v>
      </c>
      <c r="J1224" s="26" t="s">
        <v>333</v>
      </c>
      <c r="K1224" s="26" t="s">
        <v>334</v>
      </c>
      <c r="L1224" s="26" t="s">
        <v>335</v>
      </c>
    </row>
    <row r="1225" spans="2:12" ht="13.8" x14ac:dyDescent="0.3">
      <c r="D1225" s="25">
        <v>0</v>
      </c>
      <c r="E1225" s="24">
        <f>SUM($E$1220:$F$1220)</f>
        <v>140</v>
      </c>
      <c r="F1225" s="24">
        <f>SUM($E$1220:$F$1220) - $E$1220:$E$1220</f>
        <v>24</v>
      </c>
      <c r="G1225" s="24">
        <f>IF($E$1225:$E$1225 = 0, "Undefined",$F$1225:$F$1225*100 / $E$1225:$E$1225)</f>
        <v>17.142857142857142</v>
      </c>
      <c r="I1225" s="25">
        <v>0</v>
      </c>
      <c r="J1225" s="24">
        <f>SUM($J$1220:$K$1220)</f>
        <v>160</v>
      </c>
      <c r="K1225" s="24">
        <f>SUM($J$1220:$K$1220) - $J$1220:$J$1220</f>
        <v>76</v>
      </c>
      <c r="L1225" s="24">
        <f>IF($J$1225:$J$1225 = 0, "Undefined",$K$1225:$K$1225*100 / $J$1225:$J$1225)</f>
        <v>47.5</v>
      </c>
    </row>
    <row r="1226" spans="2:12" ht="13.8" x14ac:dyDescent="0.3">
      <c r="D1226" s="25">
        <v>1</v>
      </c>
      <c r="E1226" s="24">
        <f>SUM($E$1221:$F$1221)</f>
        <v>360</v>
      </c>
      <c r="F1226" s="24">
        <f>SUM($E$1221:$F$1221) - $F$1221:$F$1221</f>
        <v>24</v>
      </c>
      <c r="G1226" s="24">
        <f>IF($E$1226:$E$1226 = 0, "Undefined",$F$1226:$F$1226*100 / $E$1226:$E$1226)</f>
        <v>6.666666666666667</v>
      </c>
      <c r="I1226" s="25">
        <v>1</v>
      </c>
      <c r="J1226" s="24">
        <f>SUM($J$1221:$K$1221)</f>
        <v>340</v>
      </c>
      <c r="K1226" s="24">
        <f>SUM($J$1221:$K$1221) - $K$1221:$K$1221</f>
        <v>65</v>
      </c>
      <c r="L1226" s="24">
        <f>IF($J$1226:$J$1226 = 0, "Undefined",$K$1226:$K$1226*100 / $J$1226:$J$1226)</f>
        <v>19.117647058823529</v>
      </c>
    </row>
    <row r="1227" spans="2:12" ht="13.8" x14ac:dyDescent="0.3">
      <c r="D1227" s="25" t="s">
        <v>336</v>
      </c>
      <c r="E1227" s="24">
        <f>SUM($E$1225:$E$1226)</f>
        <v>500</v>
      </c>
      <c r="F1227" s="24">
        <f>SUM($F$1225:$F$1226)</f>
        <v>48</v>
      </c>
      <c r="G1227" s="24">
        <f>IF($E$1227:$E$1227 = 0, "Undefined",$F$1227:$F$1227*100 / $E$1227:$E$1227)</f>
        <v>9.6</v>
      </c>
      <c r="I1227" s="25" t="s">
        <v>336</v>
      </c>
      <c r="J1227" s="24">
        <f>SUM($J$1225:$J$1226)</f>
        <v>500</v>
      </c>
      <c r="K1227" s="24">
        <f>SUM($K$1225:$K$1226)</f>
        <v>141</v>
      </c>
      <c r="L1227" s="24">
        <f>IF($J$1227:$J$1227 = 0, "Undefined",$K$1227:$K$1227*100 / $J$1227:$J$1227)</f>
        <v>28.2</v>
      </c>
    </row>
    <row r="1229" spans="2:12" ht="15.6" x14ac:dyDescent="0.3">
      <c r="B1229" s="28" t="s">
        <v>426</v>
      </c>
      <c r="D1229" s="59" t="s">
        <v>329</v>
      </c>
      <c r="E1229" s="60"/>
      <c r="F1229" s="61"/>
      <c r="I1229" s="59" t="s">
        <v>329</v>
      </c>
      <c r="J1229" s="60"/>
      <c r="K1229" s="61"/>
    </row>
    <row r="1230" spans="2:12" ht="13.8" x14ac:dyDescent="0.3">
      <c r="D1230" s="26"/>
      <c r="E1230" s="75" t="s">
        <v>330</v>
      </c>
      <c r="F1230" s="76"/>
      <c r="I1230" s="26"/>
      <c r="J1230" s="75" t="s">
        <v>330</v>
      </c>
      <c r="K1230" s="76"/>
    </row>
    <row r="1231" spans="2:12" ht="13.8" x14ac:dyDescent="0.3">
      <c r="D1231" s="25" t="s">
        <v>331</v>
      </c>
      <c r="E1231" s="26">
        <v>0</v>
      </c>
      <c r="F1231" s="26">
        <v>1</v>
      </c>
      <c r="I1231" s="25" t="s">
        <v>331</v>
      </c>
      <c r="J1231" s="26">
        <v>0</v>
      </c>
      <c r="K1231" s="26">
        <v>1</v>
      </c>
    </row>
    <row r="1232" spans="2:12" ht="13.8" x14ac:dyDescent="0.3">
      <c r="D1232" s="25">
        <v>0</v>
      </c>
      <c r="E1232" s="24">
        <v>101</v>
      </c>
      <c r="F1232" s="24">
        <v>39</v>
      </c>
      <c r="I1232" s="25">
        <v>0</v>
      </c>
      <c r="J1232" s="24">
        <v>71</v>
      </c>
      <c r="K1232" s="24">
        <v>89</v>
      </c>
    </row>
    <row r="1233" spans="2:12" ht="13.8" x14ac:dyDescent="0.3">
      <c r="D1233" s="25">
        <v>1</v>
      </c>
      <c r="E1233" s="24">
        <v>14</v>
      </c>
      <c r="F1233" s="24">
        <v>346</v>
      </c>
      <c r="I1233" s="25">
        <v>1</v>
      </c>
      <c r="J1233" s="24">
        <v>52</v>
      </c>
      <c r="K1233" s="24">
        <v>288</v>
      </c>
    </row>
    <row r="1235" spans="2:12" ht="15.6" x14ac:dyDescent="0.3">
      <c r="D1235" s="59" t="s">
        <v>210</v>
      </c>
      <c r="E1235" s="60"/>
      <c r="F1235" s="60"/>
      <c r="G1235" s="61"/>
      <c r="I1235" s="59" t="s">
        <v>210</v>
      </c>
      <c r="J1235" s="60"/>
      <c r="K1235" s="60"/>
      <c r="L1235" s="61"/>
    </row>
    <row r="1236" spans="2:12" ht="13.8" x14ac:dyDescent="0.3">
      <c r="D1236" s="26" t="s">
        <v>332</v>
      </c>
      <c r="E1236" s="26" t="s">
        <v>333</v>
      </c>
      <c r="F1236" s="26" t="s">
        <v>334</v>
      </c>
      <c r="G1236" s="26" t="s">
        <v>335</v>
      </c>
      <c r="I1236" s="26" t="s">
        <v>332</v>
      </c>
      <c r="J1236" s="26" t="s">
        <v>333</v>
      </c>
      <c r="K1236" s="26" t="s">
        <v>334</v>
      </c>
      <c r="L1236" s="26" t="s">
        <v>335</v>
      </c>
    </row>
    <row r="1237" spans="2:12" ht="13.8" x14ac:dyDescent="0.3">
      <c r="D1237" s="25">
        <v>0</v>
      </c>
      <c r="E1237" s="24">
        <f>SUM($E$1232:$F$1232)</f>
        <v>140</v>
      </c>
      <c r="F1237" s="24">
        <f>SUM($E$1232:$F$1232) - $E$1232:$E$1232</f>
        <v>39</v>
      </c>
      <c r="G1237" s="24">
        <f>IF($E$1237:$E$1237 = 0, "Undefined",$F$1237:$F$1237*100 / $E$1237:$E$1237)</f>
        <v>27.857142857142858</v>
      </c>
      <c r="I1237" s="25">
        <v>0</v>
      </c>
      <c r="J1237" s="24">
        <f>SUM($J$1232:$K$1232)</f>
        <v>160</v>
      </c>
      <c r="K1237" s="24">
        <f>SUM($J$1232:$K$1232) - $J$1232:$J$1232</f>
        <v>89</v>
      </c>
      <c r="L1237" s="24">
        <f>IF($J$1237:$J$1237 = 0, "Undefined",$K$1237:$K$1237*100 / $J$1237:$J$1237)</f>
        <v>55.625</v>
      </c>
    </row>
    <row r="1238" spans="2:12" ht="13.8" x14ac:dyDescent="0.3">
      <c r="D1238" s="25">
        <v>1</v>
      </c>
      <c r="E1238" s="24">
        <f>SUM($E$1233:$F$1233)</f>
        <v>360</v>
      </c>
      <c r="F1238" s="24">
        <f>SUM($E$1233:$F$1233) - $F$1233:$F$1233</f>
        <v>14</v>
      </c>
      <c r="G1238" s="24">
        <f>IF($E$1238:$E$1238 = 0, "Undefined",$F$1238:$F$1238*100 / $E$1238:$E$1238)</f>
        <v>3.8888888888888888</v>
      </c>
      <c r="I1238" s="25">
        <v>1</v>
      </c>
      <c r="J1238" s="24">
        <f>SUM($J$1233:$K$1233)</f>
        <v>340</v>
      </c>
      <c r="K1238" s="24">
        <f>SUM($J$1233:$K$1233) - $K$1233:$K$1233</f>
        <v>52</v>
      </c>
      <c r="L1238" s="24">
        <f>IF($J$1238:$J$1238 = 0, "Undefined",$K$1238:$K$1238*100 / $J$1238:$J$1238)</f>
        <v>15.294117647058824</v>
      </c>
    </row>
    <row r="1239" spans="2:12" ht="13.8" x14ac:dyDescent="0.3">
      <c r="D1239" s="25" t="s">
        <v>336</v>
      </c>
      <c r="E1239" s="24">
        <f>SUM($E$1237:$E$1238)</f>
        <v>500</v>
      </c>
      <c r="F1239" s="24">
        <f>SUM($F$1237:$F$1238)</f>
        <v>53</v>
      </c>
      <c r="G1239" s="24">
        <f>IF($E$1239:$E$1239 = 0, "Undefined",$F$1239:$F$1239*100 / $E$1239:$E$1239)</f>
        <v>10.6</v>
      </c>
      <c r="I1239" s="25" t="s">
        <v>336</v>
      </c>
      <c r="J1239" s="24">
        <f>SUM($J$1237:$J$1238)</f>
        <v>500</v>
      </c>
      <c r="K1239" s="24">
        <f>SUM($K$1237:$K$1238)</f>
        <v>141</v>
      </c>
      <c r="L1239" s="24">
        <f>IF($J$1239:$J$1239 = 0, "Undefined",$K$1239:$K$1239*100 / $J$1239:$J$1239)</f>
        <v>28.2</v>
      </c>
    </row>
    <row r="1241" spans="2:12" ht="15.6" x14ac:dyDescent="0.3">
      <c r="B1241" s="28" t="s">
        <v>427</v>
      </c>
      <c r="D1241" s="59" t="s">
        <v>329</v>
      </c>
      <c r="E1241" s="60"/>
      <c r="F1241" s="61"/>
      <c r="I1241" s="59" t="s">
        <v>329</v>
      </c>
      <c r="J1241" s="60"/>
      <c r="K1241" s="61"/>
    </row>
    <row r="1242" spans="2:12" ht="13.8" x14ac:dyDescent="0.3">
      <c r="D1242" s="26"/>
      <c r="E1242" s="75" t="s">
        <v>330</v>
      </c>
      <c r="F1242" s="76"/>
      <c r="I1242" s="26"/>
      <c r="J1242" s="75" t="s">
        <v>330</v>
      </c>
      <c r="K1242" s="76"/>
    </row>
    <row r="1243" spans="2:12" ht="13.8" x14ac:dyDescent="0.3">
      <c r="D1243" s="25" t="s">
        <v>331</v>
      </c>
      <c r="E1243" s="26">
        <v>0</v>
      </c>
      <c r="F1243" s="26">
        <v>1</v>
      </c>
      <c r="I1243" s="25" t="s">
        <v>331</v>
      </c>
      <c r="J1243" s="26">
        <v>0</v>
      </c>
      <c r="K1243" s="26">
        <v>1</v>
      </c>
    </row>
    <row r="1244" spans="2:12" ht="13.8" x14ac:dyDescent="0.3">
      <c r="D1244" s="25">
        <v>0</v>
      </c>
      <c r="E1244" s="24">
        <v>106</v>
      </c>
      <c r="F1244" s="24">
        <v>34</v>
      </c>
      <c r="I1244" s="25">
        <v>0</v>
      </c>
      <c r="J1244" s="24">
        <v>74</v>
      </c>
      <c r="K1244" s="24">
        <v>86</v>
      </c>
    </row>
    <row r="1245" spans="2:12" ht="13.8" x14ac:dyDescent="0.3">
      <c r="D1245" s="25">
        <v>1</v>
      </c>
      <c r="E1245" s="24">
        <v>16</v>
      </c>
      <c r="F1245" s="24">
        <v>344</v>
      </c>
      <c r="I1245" s="25">
        <v>1</v>
      </c>
      <c r="J1245" s="24">
        <v>54</v>
      </c>
      <c r="K1245" s="24">
        <v>286</v>
      </c>
    </row>
    <row r="1247" spans="2:12" ht="15.6" x14ac:dyDescent="0.3">
      <c r="D1247" s="59" t="s">
        <v>210</v>
      </c>
      <c r="E1247" s="60"/>
      <c r="F1247" s="60"/>
      <c r="G1247" s="61"/>
      <c r="I1247" s="59" t="s">
        <v>210</v>
      </c>
      <c r="J1247" s="60"/>
      <c r="K1247" s="60"/>
      <c r="L1247" s="61"/>
    </row>
    <row r="1248" spans="2:12" ht="13.8" x14ac:dyDescent="0.3">
      <c r="D1248" s="26" t="s">
        <v>332</v>
      </c>
      <c r="E1248" s="26" t="s">
        <v>333</v>
      </c>
      <c r="F1248" s="26" t="s">
        <v>334</v>
      </c>
      <c r="G1248" s="26" t="s">
        <v>335</v>
      </c>
      <c r="I1248" s="26" t="s">
        <v>332</v>
      </c>
      <c r="J1248" s="26" t="s">
        <v>333</v>
      </c>
      <c r="K1248" s="26" t="s">
        <v>334</v>
      </c>
      <c r="L1248" s="26" t="s">
        <v>335</v>
      </c>
    </row>
    <row r="1249" spans="2:12" ht="13.8" x14ac:dyDescent="0.3">
      <c r="D1249" s="25">
        <v>0</v>
      </c>
      <c r="E1249" s="24">
        <f>SUM($E$1244:$F$1244)</f>
        <v>140</v>
      </c>
      <c r="F1249" s="24">
        <f>SUM($E$1244:$F$1244) - $E$1244:$E$1244</f>
        <v>34</v>
      </c>
      <c r="G1249" s="24">
        <f>IF($E$1249:$E$1249 = 0, "Undefined",$F$1249:$F$1249*100 / $E$1249:$E$1249)</f>
        <v>24.285714285714285</v>
      </c>
      <c r="I1249" s="25">
        <v>0</v>
      </c>
      <c r="J1249" s="24">
        <f>SUM($J$1244:$K$1244)</f>
        <v>160</v>
      </c>
      <c r="K1249" s="24">
        <f>SUM($J$1244:$K$1244) - $J$1244:$J$1244</f>
        <v>86</v>
      </c>
      <c r="L1249" s="24">
        <f>IF($J$1249:$J$1249 = 0, "Undefined",$K$1249:$K$1249*100 / $J$1249:$J$1249)</f>
        <v>53.75</v>
      </c>
    </row>
    <row r="1250" spans="2:12" ht="13.8" x14ac:dyDescent="0.3">
      <c r="D1250" s="25">
        <v>1</v>
      </c>
      <c r="E1250" s="24">
        <f>SUM($E$1245:$F$1245)</f>
        <v>360</v>
      </c>
      <c r="F1250" s="24">
        <f>SUM($E$1245:$F$1245) - $F$1245:$F$1245</f>
        <v>16</v>
      </c>
      <c r="G1250" s="24">
        <f>IF($E$1250:$E$1250 = 0, "Undefined",$F$1250:$F$1250*100 / $E$1250:$E$1250)</f>
        <v>4.4444444444444446</v>
      </c>
      <c r="I1250" s="25">
        <v>1</v>
      </c>
      <c r="J1250" s="24">
        <f>SUM($J$1245:$K$1245)</f>
        <v>340</v>
      </c>
      <c r="K1250" s="24">
        <f>SUM($J$1245:$K$1245) - $K$1245:$K$1245</f>
        <v>54</v>
      </c>
      <c r="L1250" s="24">
        <f>IF($J$1250:$J$1250 = 0, "Undefined",$K$1250:$K$1250*100 / $J$1250:$J$1250)</f>
        <v>15.882352941176471</v>
      </c>
    </row>
    <row r="1251" spans="2:12" ht="13.8" x14ac:dyDescent="0.3">
      <c r="D1251" s="25" t="s">
        <v>336</v>
      </c>
      <c r="E1251" s="24">
        <f>SUM($E$1249:$E$1250)</f>
        <v>500</v>
      </c>
      <c r="F1251" s="24">
        <f>SUM($F$1249:$F$1250)</f>
        <v>50</v>
      </c>
      <c r="G1251" s="24">
        <f>IF($E$1251:$E$1251 = 0, "Undefined",$F$1251:$F$1251*100 / $E$1251:$E$1251)</f>
        <v>10</v>
      </c>
      <c r="I1251" s="25" t="s">
        <v>336</v>
      </c>
      <c r="J1251" s="24">
        <f>SUM($J$1249:$J$1250)</f>
        <v>500</v>
      </c>
      <c r="K1251" s="24">
        <f>SUM($K$1249:$K$1250)</f>
        <v>140</v>
      </c>
      <c r="L1251" s="24">
        <f>IF($J$1251:$J$1251 = 0, "Undefined",$K$1251:$K$1251*100 / $J$1251:$J$1251)</f>
        <v>28</v>
      </c>
    </row>
    <row r="1253" spans="2:12" ht="15.6" x14ac:dyDescent="0.3">
      <c r="B1253" s="28" t="s">
        <v>428</v>
      </c>
      <c r="D1253" s="59" t="s">
        <v>329</v>
      </c>
      <c r="E1253" s="60"/>
      <c r="F1253" s="61"/>
      <c r="I1253" s="59" t="s">
        <v>329</v>
      </c>
      <c r="J1253" s="60"/>
      <c r="K1253" s="61"/>
    </row>
    <row r="1254" spans="2:12" ht="13.8" x14ac:dyDescent="0.3">
      <c r="D1254" s="26"/>
      <c r="E1254" s="75" t="s">
        <v>330</v>
      </c>
      <c r="F1254" s="76"/>
      <c r="I1254" s="26"/>
      <c r="J1254" s="75" t="s">
        <v>330</v>
      </c>
      <c r="K1254" s="76"/>
    </row>
    <row r="1255" spans="2:12" ht="13.8" x14ac:dyDescent="0.3">
      <c r="D1255" s="25" t="s">
        <v>331</v>
      </c>
      <c r="E1255" s="26">
        <v>0</v>
      </c>
      <c r="F1255" s="26">
        <v>1</v>
      </c>
      <c r="I1255" s="25" t="s">
        <v>331</v>
      </c>
      <c r="J1255" s="26">
        <v>0</v>
      </c>
      <c r="K1255" s="26">
        <v>1</v>
      </c>
    </row>
    <row r="1256" spans="2:12" ht="13.8" x14ac:dyDescent="0.3">
      <c r="D1256" s="25">
        <v>0</v>
      </c>
      <c r="E1256" s="24">
        <v>120</v>
      </c>
      <c r="F1256" s="24">
        <v>20</v>
      </c>
      <c r="I1256" s="25">
        <v>0</v>
      </c>
      <c r="J1256" s="24">
        <v>86</v>
      </c>
      <c r="K1256" s="24">
        <v>74</v>
      </c>
    </row>
    <row r="1257" spans="2:12" ht="13.8" x14ac:dyDescent="0.3">
      <c r="D1257" s="25">
        <v>1</v>
      </c>
      <c r="E1257" s="24">
        <v>29</v>
      </c>
      <c r="F1257" s="24">
        <v>331</v>
      </c>
      <c r="I1257" s="25">
        <v>1</v>
      </c>
      <c r="J1257" s="24">
        <v>74</v>
      </c>
      <c r="K1257" s="24">
        <v>266</v>
      </c>
    </row>
    <row r="1259" spans="2:12" ht="15.6" x14ac:dyDescent="0.3">
      <c r="D1259" s="59" t="s">
        <v>210</v>
      </c>
      <c r="E1259" s="60"/>
      <c r="F1259" s="60"/>
      <c r="G1259" s="61"/>
      <c r="I1259" s="59" t="s">
        <v>210</v>
      </c>
      <c r="J1259" s="60"/>
      <c r="K1259" s="60"/>
      <c r="L1259" s="61"/>
    </row>
    <row r="1260" spans="2:12" ht="13.8" x14ac:dyDescent="0.3">
      <c r="D1260" s="26" t="s">
        <v>332</v>
      </c>
      <c r="E1260" s="26" t="s">
        <v>333</v>
      </c>
      <c r="F1260" s="26" t="s">
        <v>334</v>
      </c>
      <c r="G1260" s="26" t="s">
        <v>335</v>
      </c>
      <c r="I1260" s="26" t="s">
        <v>332</v>
      </c>
      <c r="J1260" s="26" t="s">
        <v>333</v>
      </c>
      <c r="K1260" s="26" t="s">
        <v>334</v>
      </c>
      <c r="L1260" s="26" t="s">
        <v>335</v>
      </c>
    </row>
    <row r="1261" spans="2:12" ht="13.8" x14ac:dyDescent="0.3">
      <c r="D1261" s="25">
        <v>0</v>
      </c>
      <c r="E1261" s="24">
        <f>SUM($E$1256:$F$1256)</f>
        <v>140</v>
      </c>
      <c r="F1261" s="24">
        <f>SUM($E$1256:$F$1256) - $E$1256:$E$1256</f>
        <v>20</v>
      </c>
      <c r="G1261" s="24">
        <f>IF($E$1261:$E$1261 = 0, "Undefined",$F$1261:$F$1261*100 / $E$1261:$E$1261)</f>
        <v>14.285714285714286</v>
      </c>
      <c r="I1261" s="25">
        <v>0</v>
      </c>
      <c r="J1261" s="24">
        <f>SUM($J$1256:$K$1256)</f>
        <v>160</v>
      </c>
      <c r="K1261" s="24">
        <f>SUM($J$1256:$K$1256) - $J$1256:$J$1256</f>
        <v>74</v>
      </c>
      <c r="L1261" s="24">
        <f>IF($J$1261:$J$1261 = 0, "Undefined",$K$1261:$K$1261*100 / $J$1261:$J$1261)</f>
        <v>46.25</v>
      </c>
    </row>
    <row r="1262" spans="2:12" ht="13.8" x14ac:dyDescent="0.3">
      <c r="D1262" s="25">
        <v>1</v>
      </c>
      <c r="E1262" s="24">
        <f>SUM($E$1257:$F$1257)</f>
        <v>360</v>
      </c>
      <c r="F1262" s="24">
        <f>SUM($E$1257:$F$1257) - $F$1257:$F$1257</f>
        <v>29</v>
      </c>
      <c r="G1262" s="24">
        <f>IF($E$1262:$E$1262 = 0, "Undefined",$F$1262:$F$1262*100 / $E$1262:$E$1262)</f>
        <v>8.0555555555555554</v>
      </c>
      <c r="I1262" s="25">
        <v>1</v>
      </c>
      <c r="J1262" s="24">
        <f>SUM($J$1257:$K$1257)</f>
        <v>340</v>
      </c>
      <c r="K1262" s="24">
        <f>SUM($J$1257:$K$1257) - $K$1257:$K$1257</f>
        <v>74</v>
      </c>
      <c r="L1262" s="24">
        <f>IF($J$1262:$J$1262 = 0, "Undefined",$K$1262:$K$1262*100 / $J$1262:$J$1262)</f>
        <v>21.764705882352942</v>
      </c>
    </row>
    <row r="1263" spans="2:12" ht="13.8" x14ac:dyDescent="0.3">
      <c r="D1263" s="25" t="s">
        <v>336</v>
      </c>
      <c r="E1263" s="24">
        <f>SUM($E$1261:$E$1262)</f>
        <v>500</v>
      </c>
      <c r="F1263" s="24">
        <f>SUM($F$1261:$F$1262)</f>
        <v>49</v>
      </c>
      <c r="G1263" s="24">
        <f>IF($E$1263:$E$1263 = 0, "Undefined",$F$1263:$F$1263*100 / $E$1263:$E$1263)</f>
        <v>9.8000000000000007</v>
      </c>
      <c r="I1263" s="25" t="s">
        <v>336</v>
      </c>
      <c r="J1263" s="24">
        <f>SUM($J$1261:$J$1262)</f>
        <v>500</v>
      </c>
      <c r="K1263" s="24">
        <f>SUM($K$1261:$K$1262)</f>
        <v>148</v>
      </c>
      <c r="L1263" s="24">
        <f>IF($J$1263:$J$1263 = 0, "Undefined",$K$1263:$K$1263*100 / $J$1263:$J$1263)</f>
        <v>29.6</v>
      </c>
    </row>
    <row r="1265" spans="2:12" ht="15.6" x14ac:dyDescent="0.3">
      <c r="B1265" s="28" t="s">
        <v>429</v>
      </c>
      <c r="D1265" s="59" t="s">
        <v>329</v>
      </c>
      <c r="E1265" s="60"/>
      <c r="F1265" s="61"/>
      <c r="I1265" s="59" t="s">
        <v>329</v>
      </c>
      <c r="J1265" s="60"/>
      <c r="K1265" s="61"/>
    </row>
    <row r="1266" spans="2:12" ht="13.8" x14ac:dyDescent="0.3">
      <c r="D1266" s="26"/>
      <c r="E1266" s="75" t="s">
        <v>330</v>
      </c>
      <c r="F1266" s="76"/>
      <c r="I1266" s="26"/>
      <c r="J1266" s="75" t="s">
        <v>330</v>
      </c>
      <c r="K1266" s="76"/>
    </row>
    <row r="1267" spans="2:12" ht="13.8" x14ac:dyDescent="0.3">
      <c r="D1267" s="25" t="s">
        <v>331</v>
      </c>
      <c r="E1267" s="26">
        <v>0</v>
      </c>
      <c r="F1267" s="26">
        <v>1</v>
      </c>
      <c r="I1267" s="25" t="s">
        <v>331</v>
      </c>
      <c r="J1267" s="26">
        <v>0</v>
      </c>
      <c r="K1267" s="26">
        <v>1</v>
      </c>
    </row>
    <row r="1268" spans="2:12" ht="13.8" x14ac:dyDescent="0.3">
      <c r="D1268" s="25">
        <v>0</v>
      </c>
      <c r="E1268" s="24">
        <v>119</v>
      </c>
      <c r="F1268" s="24">
        <v>21</v>
      </c>
      <c r="I1268" s="25">
        <v>0</v>
      </c>
      <c r="J1268" s="24">
        <v>82</v>
      </c>
      <c r="K1268" s="24">
        <v>78</v>
      </c>
    </row>
    <row r="1269" spans="2:12" ht="13.8" x14ac:dyDescent="0.3">
      <c r="D1269" s="25">
        <v>1</v>
      </c>
      <c r="E1269" s="24">
        <v>24</v>
      </c>
      <c r="F1269" s="24">
        <v>336</v>
      </c>
      <c r="I1269" s="25">
        <v>1</v>
      </c>
      <c r="J1269" s="24">
        <v>59</v>
      </c>
      <c r="K1269" s="24">
        <v>281</v>
      </c>
    </row>
    <row r="1271" spans="2:12" ht="15.6" x14ac:dyDescent="0.3">
      <c r="D1271" s="59" t="s">
        <v>210</v>
      </c>
      <c r="E1271" s="60"/>
      <c r="F1271" s="60"/>
      <c r="G1271" s="61"/>
      <c r="I1271" s="59" t="s">
        <v>210</v>
      </c>
      <c r="J1271" s="60"/>
      <c r="K1271" s="60"/>
      <c r="L1271" s="61"/>
    </row>
    <row r="1272" spans="2:12" ht="13.8" x14ac:dyDescent="0.3">
      <c r="D1272" s="26" t="s">
        <v>332</v>
      </c>
      <c r="E1272" s="26" t="s">
        <v>333</v>
      </c>
      <c r="F1272" s="26" t="s">
        <v>334</v>
      </c>
      <c r="G1272" s="26" t="s">
        <v>335</v>
      </c>
      <c r="I1272" s="26" t="s">
        <v>332</v>
      </c>
      <c r="J1272" s="26" t="s">
        <v>333</v>
      </c>
      <c r="K1272" s="26" t="s">
        <v>334</v>
      </c>
      <c r="L1272" s="26" t="s">
        <v>335</v>
      </c>
    </row>
    <row r="1273" spans="2:12" ht="13.8" x14ac:dyDescent="0.3">
      <c r="D1273" s="25">
        <v>0</v>
      </c>
      <c r="E1273" s="24">
        <f>SUM($E$1268:$F$1268)</f>
        <v>140</v>
      </c>
      <c r="F1273" s="24">
        <f>SUM($E$1268:$F$1268) - $E$1268:$E$1268</f>
        <v>21</v>
      </c>
      <c r="G1273" s="24">
        <f>IF($E$1273:$E$1273 = 0, "Undefined",$F$1273:$F$1273*100 / $E$1273:$E$1273)</f>
        <v>15</v>
      </c>
      <c r="I1273" s="25">
        <v>0</v>
      </c>
      <c r="J1273" s="24">
        <f>SUM($J$1268:$K$1268)</f>
        <v>160</v>
      </c>
      <c r="K1273" s="24">
        <f>SUM($J$1268:$K$1268) - $J$1268:$J$1268</f>
        <v>78</v>
      </c>
      <c r="L1273" s="24">
        <f>IF($J$1273:$J$1273 = 0, "Undefined",$K$1273:$K$1273*100 / $J$1273:$J$1273)</f>
        <v>48.75</v>
      </c>
    </row>
    <row r="1274" spans="2:12" ht="13.8" x14ac:dyDescent="0.3">
      <c r="D1274" s="25">
        <v>1</v>
      </c>
      <c r="E1274" s="24">
        <f>SUM($E$1269:$F$1269)</f>
        <v>360</v>
      </c>
      <c r="F1274" s="24">
        <f>SUM($E$1269:$F$1269) - $F$1269:$F$1269</f>
        <v>24</v>
      </c>
      <c r="G1274" s="24">
        <f>IF($E$1274:$E$1274 = 0, "Undefined",$F$1274:$F$1274*100 / $E$1274:$E$1274)</f>
        <v>6.666666666666667</v>
      </c>
      <c r="I1274" s="25">
        <v>1</v>
      </c>
      <c r="J1274" s="24">
        <f>SUM($J$1269:$K$1269)</f>
        <v>340</v>
      </c>
      <c r="K1274" s="24">
        <f>SUM($J$1269:$K$1269) - $K$1269:$K$1269</f>
        <v>59</v>
      </c>
      <c r="L1274" s="24">
        <f>IF($J$1274:$J$1274 = 0, "Undefined",$K$1274:$K$1274*100 / $J$1274:$J$1274)</f>
        <v>17.352941176470587</v>
      </c>
    </row>
    <row r="1275" spans="2:12" ht="13.8" x14ac:dyDescent="0.3">
      <c r="D1275" s="25" t="s">
        <v>336</v>
      </c>
      <c r="E1275" s="24">
        <f>SUM($E$1273:$E$1274)</f>
        <v>500</v>
      </c>
      <c r="F1275" s="24">
        <f>SUM($F$1273:$F$1274)</f>
        <v>45</v>
      </c>
      <c r="G1275" s="24">
        <f>IF($E$1275:$E$1275 = 0, "Undefined",$F$1275:$F$1275*100 / $E$1275:$E$1275)</f>
        <v>9</v>
      </c>
      <c r="I1275" s="25" t="s">
        <v>336</v>
      </c>
      <c r="J1275" s="24">
        <f>SUM($J$1273:$J$1274)</f>
        <v>500</v>
      </c>
      <c r="K1275" s="24">
        <f>SUM($K$1273:$K$1274)</f>
        <v>137</v>
      </c>
      <c r="L1275" s="24">
        <f>IF($J$1275:$J$1275 = 0, "Undefined",$K$1275:$K$1275*100 / $J$1275:$J$1275)</f>
        <v>27.4</v>
      </c>
    </row>
    <row r="1277" spans="2:12" ht="15.6" x14ac:dyDescent="0.3">
      <c r="B1277" s="28" t="s">
        <v>430</v>
      </c>
      <c r="D1277" s="59" t="s">
        <v>329</v>
      </c>
      <c r="E1277" s="60"/>
      <c r="F1277" s="61"/>
      <c r="I1277" s="59" t="s">
        <v>329</v>
      </c>
      <c r="J1277" s="60"/>
      <c r="K1277" s="61"/>
    </row>
    <row r="1278" spans="2:12" ht="13.8" x14ac:dyDescent="0.3">
      <c r="D1278" s="26"/>
      <c r="E1278" s="75" t="s">
        <v>330</v>
      </c>
      <c r="F1278" s="76"/>
      <c r="I1278" s="26"/>
      <c r="J1278" s="75" t="s">
        <v>330</v>
      </c>
      <c r="K1278" s="76"/>
    </row>
    <row r="1279" spans="2:12" ht="13.8" x14ac:dyDescent="0.3">
      <c r="D1279" s="25" t="s">
        <v>331</v>
      </c>
      <c r="E1279" s="26">
        <v>0</v>
      </c>
      <c r="F1279" s="26">
        <v>1</v>
      </c>
      <c r="I1279" s="25" t="s">
        <v>331</v>
      </c>
      <c r="J1279" s="26">
        <v>0</v>
      </c>
      <c r="K1279" s="26">
        <v>1</v>
      </c>
    </row>
    <row r="1280" spans="2:12" ht="13.8" x14ac:dyDescent="0.3">
      <c r="D1280" s="25">
        <v>0</v>
      </c>
      <c r="E1280" s="24">
        <v>111</v>
      </c>
      <c r="F1280" s="24">
        <v>29</v>
      </c>
      <c r="I1280" s="25">
        <v>0</v>
      </c>
      <c r="J1280" s="24">
        <v>79</v>
      </c>
      <c r="K1280" s="24">
        <v>81</v>
      </c>
    </row>
    <row r="1281" spans="2:12" ht="13.8" x14ac:dyDescent="0.3">
      <c r="D1281" s="25">
        <v>1</v>
      </c>
      <c r="E1281" s="24">
        <v>17</v>
      </c>
      <c r="F1281" s="24">
        <v>343</v>
      </c>
      <c r="I1281" s="25">
        <v>1</v>
      </c>
      <c r="J1281" s="24">
        <v>62</v>
      </c>
      <c r="K1281" s="24">
        <v>278</v>
      </c>
    </row>
    <row r="1283" spans="2:12" ht="15.6" x14ac:dyDescent="0.3">
      <c r="D1283" s="59" t="s">
        <v>210</v>
      </c>
      <c r="E1283" s="60"/>
      <c r="F1283" s="60"/>
      <c r="G1283" s="61"/>
      <c r="I1283" s="59" t="s">
        <v>210</v>
      </c>
      <c r="J1283" s="60"/>
      <c r="K1283" s="60"/>
      <c r="L1283" s="61"/>
    </row>
    <row r="1284" spans="2:12" ht="13.8" x14ac:dyDescent="0.3">
      <c r="D1284" s="26" t="s">
        <v>332</v>
      </c>
      <c r="E1284" s="26" t="s">
        <v>333</v>
      </c>
      <c r="F1284" s="26" t="s">
        <v>334</v>
      </c>
      <c r="G1284" s="26" t="s">
        <v>335</v>
      </c>
      <c r="I1284" s="26" t="s">
        <v>332</v>
      </c>
      <c r="J1284" s="26" t="s">
        <v>333</v>
      </c>
      <c r="K1284" s="26" t="s">
        <v>334</v>
      </c>
      <c r="L1284" s="26" t="s">
        <v>335</v>
      </c>
    </row>
    <row r="1285" spans="2:12" ht="13.8" x14ac:dyDescent="0.3">
      <c r="D1285" s="25">
        <v>0</v>
      </c>
      <c r="E1285" s="24">
        <f>SUM($E$1280:$F$1280)</f>
        <v>140</v>
      </c>
      <c r="F1285" s="24">
        <f>SUM($E$1280:$F$1280) - $E$1280:$E$1280</f>
        <v>29</v>
      </c>
      <c r="G1285" s="24">
        <f>IF($E$1285:$E$1285 = 0, "Undefined",$F$1285:$F$1285*100 / $E$1285:$E$1285)</f>
        <v>20.714285714285715</v>
      </c>
      <c r="I1285" s="25">
        <v>0</v>
      </c>
      <c r="J1285" s="24">
        <f>SUM($J$1280:$K$1280)</f>
        <v>160</v>
      </c>
      <c r="K1285" s="24">
        <f>SUM($J$1280:$K$1280) - $J$1280:$J$1280</f>
        <v>81</v>
      </c>
      <c r="L1285" s="24">
        <f>IF($J$1285:$J$1285 = 0, "Undefined",$K$1285:$K$1285*100 / $J$1285:$J$1285)</f>
        <v>50.625</v>
      </c>
    </row>
    <row r="1286" spans="2:12" ht="13.8" x14ac:dyDescent="0.3">
      <c r="D1286" s="25">
        <v>1</v>
      </c>
      <c r="E1286" s="24">
        <f>SUM($E$1281:$F$1281)</f>
        <v>360</v>
      </c>
      <c r="F1286" s="24">
        <f>SUM($E$1281:$F$1281) - $F$1281:$F$1281</f>
        <v>17</v>
      </c>
      <c r="G1286" s="24">
        <f>IF($E$1286:$E$1286 = 0, "Undefined",$F$1286:$F$1286*100 / $E$1286:$E$1286)</f>
        <v>4.7222222222222223</v>
      </c>
      <c r="I1286" s="25">
        <v>1</v>
      </c>
      <c r="J1286" s="24">
        <f>SUM($J$1281:$K$1281)</f>
        <v>340</v>
      </c>
      <c r="K1286" s="24">
        <f>SUM($J$1281:$K$1281) - $K$1281:$K$1281</f>
        <v>62</v>
      </c>
      <c r="L1286" s="24">
        <f>IF($J$1286:$J$1286 = 0, "Undefined",$K$1286:$K$1286*100 / $J$1286:$J$1286)</f>
        <v>18.235294117647058</v>
      </c>
    </row>
    <row r="1287" spans="2:12" ht="13.8" x14ac:dyDescent="0.3">
      <c r="D1287" s="25" t="s">
        <v>336</v>
      </c>
      <c r="E1287" s="24">
        <f>SUM($E$1285:$E$1286)</f>
        <v>500</v>
      </c>
      <c r="F1287" s="24">
        <f>SUM($F$1285:$F$1286)</f>
        <v>46</v>
      </c>
      <c r="G1287" s="24">
        <f>IF($E$1287:$E$1287 = 0, "Undefined",$F$1287:$F$1287*100 / $E$1287:$E$1287)</f>
        <v>9.1999999999999993</v>
      </c>
      <c r="I1287" s="25" t="s">
        <v>336</v>
      </c>
      <c r="J1287" s="24">
        <f>SUM($J$1285:$J$1286)</f>
        <v>500</v>
      </c>
      <c r="K1287" s="24">
        <f>SUM($K$1285:$K$1286)</f>
        <v>143</v>
      </c>
      <c r="L1287" s="24">
        <f>IF($J$1287:$J$1287 = 0, "Undefined",$K$1287:$K$1287*100 / $J$1287:$J$1287)</f>
        <v>28.6</v>
      </c>
    </row>
    <row r="1289" spans="2:12" ht="15.6" x14ac:dyDescent="0.3">
      <c r="B1289" s="28" t="s">
        <v>431</v>
      </c>
      <c r="D1289" s="59" t="s">
        <v>329</v>
      </c>
      <c r="E1289" s="60"/>
      <c r="F1289" s="61"/>
      <c r="I1289" s="59" t="s">
        <v>329</v>
      </c>
      <c r="J1289" s="60"/>
      <c r="K1289" s="61"/>
    </row>
    <row r="1290" spans="2:12" ht="13.8" x14ac:dyDescent="0.3">
      <c r="D1290" s="26"/>
      <c r="E1290" s="75" t="s">
        <v>330</v>
      </c>
      <c r="F1290" s="76"/>
      <c r="I1290" s="26"/>
      <c r="J1290" s="75" t="s">
        <v>330</v>
      </c>
      <c r="K1290" s="76"/>
    </row>
    <row r="1291" spans="2:12" ht="13.8" x14ac:dyDescent="0.3">
      <c r="D1291" s="25" t="s">
        <v>331</v>
      </c>
      <c r="E1291" s="26">
        <v>0</v>
      </c>
      <c r="F1291" s="26">
        <v>1</v>
      </c>
      <c r="I1291" s="25" t="s">
        <v>331</v>
      </c>
      <c r="J1291" s="26">
        <v>0</v>
      </c>
      <c r="K1291" s="26">
        <v>1</v>
      </c>
    </row>
    <row r="1292" spans="2:12" ht="13.8" x14ac:dyDescent="0.3">
      <c r="D1292" s="25">
        <v>0</v>
      </c>
      <c r="E1292" s="24">
        <v>113</v>
      </c>
      <c r="F1292" s="24">
        <v>27</v>
      </c>
      <c r="I1292" s="25">
        <v>0</v>
      </c>
      <c r="J1292" s="24">
        <v>79</v>
      </c>
      <c r="K1292" s="24">
        <v>81</v>
      </c>
    </row>
    <row r="1293" spans="2:12" ht="13.8" x14ac:dyDescent="0.3">
      <c r="D1293" s="25">
        <v>1</v>
      </c>
      <c r="E1293" s="24">
        <v>18</v>
      </c>
      <c r="F1293" s="24">
        <v>342</v>
      </c>
      <c r="I1293" s="25">
        <v>1</v>
      </c>
      <c r="J1293" s="24">
        <v>66</v>
      </c>
      <c r="K1293" s="24">
        <v>274</v>
      </c>
    </row>
    <row r="1295" spans="2:12" ht="15.6" x14ac:dyDescent="0.3">
      <c r="D1295" s="59" t="s">
        <v>210</v>
      </c>
      <c r="E1295" s="60"/>
      <c r="F1295" s="60"/>
      <c r="G1295" s="61"/>
      <c r="I1295" s="59" t="s">
        <v>210</v>
      </c>
      <c r="J1295" s="60"/>
      <c r="K1295" s="60"/>
      <c r="L1295" s="61"/>
    </row>
    <row r="1296" spans="2:12" ht="13.8" x14ac:dyDescent="0.3">
      <c r="D1296" s="26" t="s">
        <v>332</v>
      </c>
      <c r="E1296" s="26" t="s">
        <v>333</v>
      </c>
      <c r="F1296" s="26" t="s">
        <v>334</v>
      </c>
      <c r="G1296" s="26" t="s">
        <v>335</v>
      </c>
      <c r="I1296" s="26" t="s">
        <v>332</v>
      </c>
      <c r="J1296" s="26" t="s">
        <v>333</v>
      </c>
      <c r="K1296" s="26" t="s">
        <v>334</v>
      </c>
      <c r="L1296" s="26" t="s">
        <v>335</v>
      </c>
    </row>
    <row r="1297" spans="2:12" ht="13.8" x14ac:dyDescent="0.3">
      <c r="D1297" s="25">
        <v>0</v>
      </c>
      <c r="E1297" s="24">
        <f>SUM($E$1292:$F$1292)</f>
        <v>140</v>
      </c>
      <c r="F1297" s="24">
        <f>SUM($E$1292:$F$1292) - $E$1292:$E$1292</f>
        <v>27</v>
      </c>
      <c r="G1297" s="24">
        <f>IF($E$1297:$E$1297 = 0, "Undefined",$F$1297:$F$1297*100 / $E$1297:$E$1297)</f>
        <v>19.285714285714285</v>
      </c>
      <c r="I1297" s="25">
        <v>0</v>
      </c>
      <c r="J1297" s="24">
        <f>SUM($J$1292:$K$1292)</f>
        <v>160</v>
      </c>
      <c r="K1297" s="24">
        <f>SUM($J$1292:$K$1292) - $J$1292:$J$1292</f>
        <v>81</v>
      </c>
      <c r="L1297" s="24">
        <f>IF($J$1297:$J$1297 = 0, "Undefined",$K$1297:$K$1297*100 / $J$1297:$J$1297)</f>
        <v>50.625</v>
      </c>
    </row>
    <row r="1298" spans="2:12" ht="13.8" x14ac:dyDescent="0.3">
      <c r="D1298" s="25">
        <v>1</v>
      </c>
      <c r="E1298" s="24">
        <f>SUM($E$1293:$F$1293)</f>
        <v>360</v>
      </c>
      <c r="F1298" s="24">
        <f>SUM($E$1293:$F$1293) - $F$1293:$F$1293</f>
        <v>18</v>
      </c>
      <c r="G1298" s="24">
        <f>IF($E$1298:$E$1298 = 0, "Undefined",$F$1298:$F$1298*100 / $E$1298:$E$1298)</f>
        <v>5</v>
      </c>
      <c r="I1298" s="25">
        <v>1</v>
      </c>
      <c r="J1298" s="24">
        <f>SUM($J$1293:$K$1293)</f>
        <v>340</v>
      </c>
      <c r="K1298" s="24">
        <f>SUM($J$1293:$K$1293) - $K$1293:$K$1293</f>
        <v>66</v>
      </c>
      <c r="L1298" s="24">
        <f>IF($J$1298:$J$1298 = 0, "Undefined",$K$1298:$K$1298*100 / $J$1298:$J$1298)</f>
        <v>19.411764705882351</v>
      </c>
    </row>
    <row r="1299" spans="2:12" ht="13.8" x14ac:dyDescent="0.3">
      <c r="D1299" s="25" t="s">
        <v>336</v>
      </c>
      <c r="E1299" s="24">
        <f>SUM($E$1297:$E$1298)</f>
        <v>500</v>
      </c>
      <c r="F1299" s="24">
        <f>SUM($F$1297:$F$1298)</f>
        <v>45</v>
      </c>
      <c r="G1299" s="24">
        <f>IF($E$1299:$E$1299 = 0, "Undefined",$F$1299:$F$1299*100 / $E$1299:$E$1299)</f>
        <v>9</v>
      </c>
      <c r="I1299" s="25" t="s">
        <v>336</v>
      </c>
      <c r="J1299" s="24">
        <f>SUM($J$1297:$J$1298)</f>
        <v>500</v>
      </c>
      <c r="K1299" s="24">
        <f>SUM($K$1297:$K$1298)</f>
        <v>147</v>
      </c>
      <c r="L1299" s="24">
        <f>IF($J$1299:$J$1299 = 0, "Undefined",$K$1299:$K$1299*100 / $J$1299:$J$1299)</f>
        <v>29.4</v>
      </c>
    </row>
    <row r="1301" spans="2:12" ht="15.6" x14ac:dyDescent="0.3">
      <c r="B1301" s="28" t="s">
        <v>432</v>
      </c>
      <c r="D1301" s="59" t="s">
        <v>329</v>
      </c>
      <c r="E1301" s="60"/>
      <c r="F1301" s="61"/>
      <c r="I1301" s="59" t="s">
        <v>329</v>
      </c>
      <c r="J1301" s="60"/>
      <c r="K1301" s="61"/>
    </row>
    <row r="1302" spans="2:12" ht="13.8" x14ac:dyDescent="0.3">
      <c r="D1302" s="26"/>
      <c r="E1302" s="75" t="s">
        <v>330</v>
      </c>
      <c r="F1302" s="76"/>
      <c r="I1302" s="26"/>
      <c r="J1302" s="75" t="s">
        <v>330</v>
      </c>
      <c r="K1302" s="76"/>
    </row>
    <row r="1303" spans="2:12" ht="13.8" x14ac:dyDescent="0.3">
      <c r="D1303" s="25" t="s">
        <v>331</v>
      </c>
      <c r="E1303" s="26">
        <v>0</v>
      </c>
      <c r="F1303" s="26">
        <v>1</v>
      </c>
      <c r="I1303" s="25" t="s">
        <v>331</v>
      </c>
      <c r="J1303" s="26">
        <v>0</v>
      </c>
      <c r="K1303" s="26">
        <v>1</v>
      </c>
    </row>
    <row r="1304" spans="2:12" ht="13.8" x14ac:dyDescent="0.3">
      <c r="D1304" s="25">
        <v>0</v>
      </c>
      <c r="E1304" s="24">
        <v>106</v>
      </c>
      <c r="F1304" s="24">
        <v>34</v>
      </c>
      <c r="I1304" s="25">
        <v>0</v>
      </c>
      <c r="J1304" s="24">
        <v>80</v>
      </c>
      <c r="K1304" s="24">
        <v>80</v>
      </c>
    </row>
    <row r="1305" spans="2:12" ht="13.8" x14ac:dyDescent="0.3">
      <c r="D1305" s="25">
        <v>1</v>
      </c>
      <c r="E1305" s="24">
        <v>30</v>
      </c>
      <c r="F1305" s="24">
        <v>330</v>
      </c>
      <c r="I1305" s="25">
        <v>1</v>
      </c>
      <c r="J1305" s="24">
        <v>61</v>
      </c>
      <c r="K1305" s="24">
        <v>279</v>
      </c>
    </row>
    <row r="1307" spans="2:12" ht="15.6" x14ac:dyDescent="0.3">
      <c r="D1307" s="59" t="s">
        <v>210</v>
      </c>
      <c r="E1307" s="60"/>
      <c r="F1307" s="60"/>
      <c r="G1307" s="61"/>
      <c r="I1307" s="59" t="s">
        <v>210</v>
      </c>
      <c r="J1307" s="60"/>
      <c r="K1307" s="60"/>
      <c r="L1307" s="61"/>
    </row>
    <row r="1308" spans="2:12" ht="13.8" x14ac:dyDescent="0.3">
      <c r="D1308" s="26" t="s">
        <v>332</v>
      </c>
      <c r="E1308" s="26" t="s">
        <v>333</v>
      </c>
      <c r="F1308" s="26" t="s">
        <v>334</v>
      </c>
      <c r="G1308" s="26" t="s">
        <v>335</v>
      </c>
      <c r="I1308" s="26" t="s">
        <v>332</v>
      </c>
      <c r="J1308" s="26" t="s">
        <v>333</v>
      </c>
      <c r="K1308" s="26" t="s">
        <v>334</v>
      </c>
      <c r="L1308" s="26" t="s">
        <v>335</v>
      </c>
    </row>
    <row r="1309" spans="2:12" ht="13.8" x14ac:dyDescent="0.3">
      <c r="D1309" s="25">
        <v>0</v>
      </c>
      <c r="E1309" s="24">
        <f>SUM($E$1304:$F$1304)</f>
        <v>140</v>
      </c>
      <c r="F1309" s="24">
        <f>SUM($E$1304:$F$1304) - $E$1304:$E$1304</f>
        <v>34</v>
      </c>
      <c r="G1309" s="24">
        <f>IF($E$1309:$E$1309 = 0, "Undefined",$F$1309:$F$1309*100 / $E$1309:$E$1309)</f>
        <v>24.285714285714285</v>
      </c>
      <c r="I1309" s="25">
        <v>0</v>
      </c>
      <c r="J1309" s="24">
        <f>SUM($J$1304:$K$1304)</f>
        <v>160</v>
      </c>
      <c r="K1309" s="24">
        <f>SUM($J$1304:$K$1304) - $J$1304:$J$1304</f>
        <v>80</v>
      </c>
      <c r="L1309" s="24">
        <f>IF($J$1309:$J$1309 = 0, "Undefined",$K$1309:$K$1309*100 / $J$1309:$J$1309)</f>
        <v>50</v>
      </c>
    </row>
    <row r="1310" spans="2:12" ht="13.8" x14ac:dyDescent="0.3">
      <c r="D1310" s="25">
        <v>1</v>
      </c>
      <c r="E1310" s="24">
        <f>SUM($E$1305:$F$1305)</f>
        <v>360</v>
      </c>
      <c r="F1310" s="24">
        <f>SUM($E$1305:$F$1305) - $F$1305:$F$1305</f>
        <v>30</v>
      </c>
      <c r="G1310" s="24">
        <f>IF($E$1310:$E$1310 = 0, "Undefined",$F$1310:$F$1310*100 / $E$1310:$E$1310)</f>
        <v>8.3333333333333339</v>
      </c>
      <c r="I1310" s="25">
        <v>1</v>
      </c>
      <c r="J1310" s="24">
        <f>SUM($J$1305:$K$1305)</f>
        <v>340</v>
      </c>
      <c r="K1310" s="24">
        <f>SUM($J$1305:$K$1305) - $K$1305:$K$1305</f>
        <v>61</v>
      </c>
      <c r="L1310" s="24">
        <f>IF($J$1310:$J$1310 = 0, "Undefined",$K$1310:$K$1310*100 / $J$1310:$J$1310)</f>
        <v>17.941176470588236</v>
      </c>
    </row>
    <row r="1311" spans="2:12" ht="13.8" x14ac:dyDescent="0.3">
      <c r="D1311" s="25" t="s">
        <v>336</v>
      </c>
      <c r="E1311" s="24">
        <f>SUM($E$1309:$E$1310)</f>
        <v>500</v>
      </c>
      <c r="F1311" s="24">
        <f>SUM($F$1309:$F$1310)</f>
        <v>64</v>
      </c>
      <c r="G1311" s="24">
        <f>IF($E$1311:$E$1311 = 0, "Undefined",$F$1311:$F$1311*100 / $E$1311:$E$1311)</f>
        <v>12.8</v>
      </c>
      <c r="I1311" s="25" t="s">
        <v>336</v>
      </c>
      <c r="J1311" s="24">
        <f>SUM($J$1309:$J$1310)</f>
        <v>500</v>
      </c>
      <c r="K1311" s="24">
        <f>SUM($K$1309:$K$1310)</f>
        <v>141</v>
      </c>
      <c r="L1311" s="24">
        <f>IF($J$1311:$J$1311 = 0, "Undefined",$K$1311:$K$1311*100 / $J$1311:$J$1311)</f>
        <v>28.2</v>
      </c>
    </row>
    <row r="1313" spans="2:12" ht="15.6" x14ac:dyDescent="0.3">
      <c r="B1313" s="28" t="s">
        <v>433</v>
      </c>
      <c r="D1313" s="59" t="s">
        <v>329</v>
      </c>
      <c r="E1313" s="60"/>
      <c r="F1313" s="61"/>
      <c r="I1313" s="59" t="s">
        <v>329</v>
      </c>
      <c r="J1313" s="60"/>
      <c r="K1313" s="61"/>
    </row>
    <row r="1314" spans="2:12" ht="13.8" x14ac:dyDescent="0.3">
      <c r="D1314" s="26"/>
      <c r="E1314" s="75" t="s">
        <v>330</v>
      </c>
      <c r="F1314" s="76"/>
      <c r="I1314" s="26"/>
      <c r="J1314" s="75" t="s">
        <v>330</v>
      </c>
      <c r="K1314" s="76"/>
    </row>
    <row r="1315" spans="2:12" ht="13.8" x14ac:dyDescent="0.3">
      <c r="D1315" s="25" t="s">
        <v>331</v>
      </c>
      <c r="E1315" s="26">
        <v>0</v>
      </c>
      <c r="F1315" s="26">
        <v>1</v>
      </c>
      <c r="I1315" s="25" t="s">
        <v>331</v>
      </c>
      <c r="J1315" s="26">
        <v>0</v>
      </c>
      <c r="K1315" s="26">
        <v>1</v>
      </c>
    </row>
    <row r="1316" spans="2:12" ht="13.8" x14ac:dyDescent="0.3">
      <c r="D1316" s="25">
        <v>0</v>
      </c>
      <c r="E1316" s="24">
        <v>120</v>
      </c>
      <c r="F1316" s="24">
        <v>20</v>
      </c>
      <c r="I1316" s="25">
        <v>0</v>
      </c>
      <c r="J1316" s="24">
        <v>75</v>
      </c>
      <c r="K1316" s="24">
        <v>85</v>
      </c>
    </row>
    <row r="1317" spans="2:12" ht="13.8" x14ac:dyDescent="0.3">
      <c r="D1317" s="25">
        <v>1</v>
      </c>
      <c r="E1317" s="24">
        <v>13</v>
      </c>
      <c r="F1317" s="24">
        <v>347</v>
      </c>
      <c r="I1317" s="25">
        <v>1</v>
      </c>
      <c r="J1317" s="24">
        <v>59</v>
      </c>
      <c r="K1317" s="24">
        <v>281</v>
      </c>
    </row>
    <row r="1319" spans="2:12" ht="15.6" x14ac:dyDescent="0.3">
      <c r="D1319" s="59" t="s">
        <v>210</v>
      </c>
      <c r="E1319" s="60"/>
      <c r="F1319" s="60"/>
      <c r="G1319" s="61"/>
      <c r="I1319" s="59" t="s">
        <v>210</v>
      </c>
      <c r="J1319" s="60"/>
      <c r="K1319" s="60"/>
      <c r="L1319" s="61"/>
    </row>
    <row r="1320" spans="2:12" ht="13.8" x14ac:dyDescent="0.3">
      <c r="D1320" s="26" t="s">
        <v>332</v>
      </c>
      <c r="E1320" s="26" t="s">
        <v>333</v>
      </c>
      <c r="F1320" s="26" t="s">
        <v>334</v>
      </c>
      <c r="G1320" s="26" t="s">
        <v>335</v>
      </c>
      <c r="I1320" s="26" t="s">
        <v>332</v>
      </c>
      <c r="J1320" s="26" t="s">
        <v>333</v>
      </c>
      <c r="K1320" s="26" t="s">
        <v>334</v>
      </c>
      <c r="L1320" s="26" t="s">
        <v>335</v>
      </c>
    </row>
    <row r="1321" spans="2:12" ht="13.8" x14ac:dyDescent="0.3">
      <c r="D1321" s="25">
        <v>0</v>
      </c>
      <c r="E1321" s="24">
        <f>SUM($E$1316:$F$1316)</f>
        <v>140</v>
      </c>
      <c r="F1321" s="24">
        <f>SUM($E$1316:$F$1316) - $E$1316:$E$1316</f>
        <v>20</v>
      </c>
      <c r="G1321" s="24">
        <f>IF($E$1321:$E$1321 = 0, "Undefined",$F$1321:$F$1321*100 / $E$1321:$E$1321)</f>
        <v>14.285714285714286</v>
      </c>
      <c r="I1321" s="25">
        <v>0</v>
      </c>
      <c r="J1321" s="24">
        <f>SUM($J$1316:$K$1316)</f>
        <v>160</v>
      </c>
      <c r="K1321" s="24">
        <f>SUM($J$1316:$K$1316) - $J$1316:$J$1316</f>
        <v>85</v>
      </c>
      <c r="L1321" s="24">
        <f>IF($J$1321:$J$1321 = 0, "Undefined",$K$1321:$K$1321*100 / $J$1321:$J$1321)</f>
        <v>53.125</v>
      </c>
    </row>
    <row r="1322" spans="2:12" ht="13.8" x14ac:dyDescent="0.3">
      <c r="D1322" s="25">
        <v>1</v>
      </c>
      <c r="E1322" s="24">
        <f>SUM($E$1317:$F$1317)</f>
        <v>360</v>
      </c>
      <c r="F1322" s="24">
        <f>SUM($E$1317:$F$1317) - $F$1317:$F$1317</f>
        <v>13</v>
      </c>
      <c r="G1322" s="24">
        <f>IF($E$1322:$E$1322 = 0, "Undefined",$F$1322:$F$1322*100 / $E$1322:$E$1322)</f>
        <v>3.6111111111111112</v>
      </c>
      <c r="I1322" s="25">
        <v>1</v>
      </c>
      <c r="J1322" s="24">
        <f>SUM($J$1317:$K$1317)</f>
        <v>340</v>
      </c>
      <c r="K1322" s="24">
        <f>SUM($J$1317:$K$1317) - $K$1317:$K$1317</f>
        <v>59</v>
      </c>
      <c r="L1322" s="24">
        <f>IF($J$1322:$J$1322 = 0, "Undefined",$K$1322:$K$1322*100 / $J$1322:$J$1322)</f>
        <v>17.352941176470587</v>
      </c>
    </row>
    <row r="1323" spans="2:12" ht="13.8" x14ac:dyDescent="0.3">
      <c r="D1323" s="25" t="s">
        <v>336</v>
      </c>
      <c r="E1323" s="24">
        <f>SUM($E$1321:$E$1322)</f>
        <v>500</v>
      </c>
      <c r="F1323" s="24">
        <f>SUM($F$1321:$F$1322)</f>
        <v>33</v>
      </c>
      <c r="G1323" s="24">
        <f>IF($E$1323:$E$1323 = 0, "Undefined",$F$1323:$F$1323*100 / $E$1323:$E$1323)</f>
        <v>6.6</v>
      </c>
      <c r="I1323" s="25" t="s">
        <v>336</v>
      </c>
      <c r="J1323" s="24">
        <f>SUM($J$1321:$J$1322)</f>
        <v>500</v>
      </c>
      <c r="K1323" s="24">
        <f>SUM($K$1321:$K$1322)</f>
        <v>144</v>
      </c>
      <c r="L1323" s="24">
        <f>IF($J$1323:$J$1323 = 0, "Undefined",$K$1323:$K$1323*100 / $J$1323:$J$1323)</f>
        <v>28.8</v>
      </c>
    </row>
    <row r="1325" spans="2:12" ht="15.6" x14ac:dyDescent="0.3">
      <c r="B1325" s="28" t="s">
        <v>434</v>
      </c>
      <c r="D1325" s="59" t="s">
        <v>329</v>
      </c>
      <c r="E1325" s="60"/>
      <c r="F1325" s="61"/>
      <c r="I1325" s="59" t="s">
        <v>329</v>
      </c>
      <c r="J1325" s="60"/>
      <c r="K1325" s="61"/>
    </row>
    <row r="1326" spans="2:12" ht="13.8" x14ac:dyDescent="0.3">
      <c r="D1326" s="26"/>
      <c r="E1326" s="75" t="s">
        <v>330</v>
      </c>
      <c r="F1326" s="76"/>
      <c r="I1326" s="26"/>
      <c r="J1326" s="75" t="s">
        <v>330</v>
      </c>
      <c r="K1326" s="76"/>
    </row>
    <row r="1327" spans="2:12" ht="13.8" x14ac:dyDescent="0.3">
      <c r="D1327" s="25" t="s">
        <v>331</v>
      </c>
      <c r="E1327" s="26">
        <v>0</v>
      </c>
      <c r="F1327" s="26">
        <v>1</v>
      </c>
      <c r="I1327" s="25" t="s">
        <v>331</v>
      </c>
      <c r="J1327" s="26">
        <v>0</v>
      </c>
      <c r="K1327" s="26">
        <v>1</v>
      </c>
    </row>
    <row r="1328" spans="2:12" ht="13.8" x14ac:dyDescent="0.3">
      <c r="D1328" s="25">
        <v>0</v>
      </c>
      <c r="E1328" s="24">
        <v>113</v>
      </c>
      <c r="F1328" s="24">
        <v>27</v>
      </c>
      <c r="I1328" s="25">
        <v>0</v>
      </c>
      <c r="J1328" s="24">
        <v>77</v>
      </c>
      <c r="K1328" s="24">
        <v>83</v>
      </c>
    </row>
    <row r="1329" spans="2:12" ht="13.8" x14ac:dyDescent="0.3">
      <c r="D1329" s="25">
        <v>1</v>
      </c>
      <c r="E1329" s="24">
        <v>12</v>
      </c>
      <c r="F1329" s="24">
        <v>348</v>
      </c>
      <c r="I1329" s="25">
        <v>1</v>
      </c>
      <c r="J1329" s="24">
        <v>51</v>
      </c>
      <c r="K1329" s="24">
        <v>289</v>
      </c>
    </row>
    <row r="1331" spans="2:12" ht="15.6" x14ac:dyDescent="0.3">
      <c r="D1331" s="59" t="s">
        <v>210</v>
      </c>
      <c r="E1331" s="60"/>
      <c r="F1331" s="60"/>
      <c r="G1331" s="61"/>
      <c r="I1331" s="59" t="s">
        <v>210</v>
      </c>
      <c r="J1331" s="60"/>
      <c r="K1331" s="60"/>
      <c r="L1331" s="61"/>
    </row>
    <row r="1332" spans="2:12" ht="13.8" x14ac:dyDescent="0.3">
      <c r="D1332" s="26" t="s">
        <v>332</v>
      </c>
      <c r="E1332" s="26" t="s">
        <v>333</v>
      </c>
      <c r="F1332" s="26" t="s">
        <v>334</v>
      </c>
      <c r="G1332" s="26" t="s">
        <v>335</v>
      </c>
      <c r="I1332" s="26" t="s">
        <v>332</v>
      </c>
      <c r="J1332" s="26" t="s">
        <v>333</v>
      </c>
      <c r="K1332" s="26" t="s">
        <v>334</v>
      </c>
      <c r="L1332" s="26" t="s">
        <v>335</v>
      </c>
    </row>
    <row r="1333" spans="2:12" ht="13.8" x14ac:dyDescent="0.3">
      <c r="D1333" s="25">
        <v>0</v>
      </c>
      <c r="E1333" s="24">
        <f>SUM($E$1328:$F$1328)</f>
        <v>140</v>
      </c>
      <c r="F1333" s="24">
        <f>SUM($E$1328:$F$1328) - $E$1328:$E$1328</f>
        <v>27</v>
      </c>
      <c r="G1333" s="24">
        <f>IF($E$1333:$E$1333 = 0, "Undefined",$F$1333:$F$1333*100 / $E$1333:$E$1333)</f>
        <v>19.285714285714285</v>
      </c>
      <c r="I1333" s="25">
        <v>0</v>
      </c>
      <c r="J1333" s="24">
        <f>SUM($J$1328:$K$1328)</f>
        <v>160</v>
      </c>
      <c r="K1333" s="24">
        <f>SUM($J$1328:$K$1328) - $J$1328:$J$1328</f>
        <v>83</v>
      </c>
      <c r="L1333" s="24">
        <f>IF($J$1333:$J$1333 = 0, "Undefined",$K$1333:$K$1333*100 / $J$1333:$J$1333)</f>
        <v>51.875</v>
      </c>
    </row>
    <row r="1334" spans="2:12" ht="13.8" x14ac:dyDescent="0.3">
      <c r="D1334" s="25">
        <v>1</v>
      </c>
      <c r="E1334" s="24">
        <f>SUM($E$1329:$F$1329)</f>
        <v>360</v>
      </c>
      <c r="F1334" s="24">
        <f>SUM($E$1329:$F$1329) - $F$1329:$F$1329</f>
        <v>12</v>
      </c>
      <c r="G1334" s="24">
        <f>IF($E$1334:$E$1334 = 0, "Undefined",$F$1334:$F$1334*100 / $E$1334:$E$1334)</f>
        <v>3.3333333333333335</v>
      </c>
      <c r="I1334" s="25">
        <v>1</v>
      </c>
      <c r="J1334" s="24">
        <f>SUM($J$1329:$K$1329)</f>
        <v>340</v>
      </c>
      <c r="K1334" s="24">
        <f>SUM($J$1329:$K$1329) - $K$1329:$K$1329</f>
        <v>51</v>
      </c>
      <c r="L1334" s="24">
        <f>IF($J$1334:$J$1334 = 0, "Undefined",$K$1334:$K$1334*100 / $J$1334:$J$1334)</f>
        <v>15</v>
      </c>
    </row>
    <row r="1335" spans="2:12" ht="13.8" x14ac:dyDescent="0.3">
      <c r="D1335" s="25" t="s">
        <v>336</v>
      </c>
      <c r="E1335" s="24">
        <f>SUM($E$1333:$E$1334)</f>
        <v>500</v>
      </c>
      <c r="F1335" s="24">
        <f>SUM($F$1333:$F$1334)</f>
        <v>39</v>
      </c>
      <c r="G1335" s="24">
        <f>IF($E$1335:$E$1335 = 0, "Undefined",$F$1335:$F$1335*100 / $E$1335:$E$1335)</f>
        <v>7.8</v>
      </c>
      <c r="I1335" s="25" t="s">
        <v>336</v>
      </c>
      <c r="J1335" s="24">
        <f>SUM($J$1333:$J$1334)</f>
        <v>500</v>
      </c>
      <c r="K1335" s="24">
        <f>SUM($K$1333:$K$1334)</f>
        <v>134</v>
      </c>
      <c r="L1335" s="24">
        <f>IF($J$1335:$J$1335 = 0, "Undefined",$K$1335:$K$1335*100 / $J$1335:$J$1335)</f>
        <v>26.8</v>
      </c>
    </row>
    <row r="1337" spans="2:12" ht="15.6" x14ac:dyDescent="0.3">
      <c r="B1337" s="28" t="s">
        <v>435</v>
      </c>
      <c r="D1337" s="59" t="s">
        <v>329</v>
      </c>
      <c r="E1337" s="60"/>
      <c r="F1337" s="61"/>
      <c r="I1337" s="59" t="s">
        <v>329</v>
      </c>
      <c r="J1337" s="60"/>
      <c r="K1337" s="61"/>
    </row>
    <row r="1338" spans="2:12" ht="13.8" x14ac:dyDescent="0.3">
      <c r="D1338" s="26"/>
      <c r="E1338" s="75" t="s">
        <v>330</v>
      </c>
      <c r="F1338" s="76"/>
      <c r="I1338" s="26"/>
      <c r="J1338" s="75" t="s">
        <v>330</v>
      </c>
      <c r="K1338" s="76"/>
    </row>
    <row r="1339" spans="2:12" ht="13.8" x14ac:dyDescent="0.3">
      <c r="D1339" s="25" t="s">
        <v>331</v>
      </c>
      <c r="E1339" s="26">
        <v>0</v>
      </c>
      <c r="F1339" s="26">
        <v>1</v>
      </c>
      <c r="I1339" s="25" t="s">
        <v>331</v>
      </c>
      <c r="J1339" s="26">
        <v>0</v>
      </c>
      <c r="K1339" s="26">
        <v>1</v>
      </c>
    </row>
    <row r="1340" spans="2:12" ht="13.8" x14ac:dyDescent="0.3">
      <c r="D1340" s="25">
        <v>0</v>
      </c>
      <c r="E1340" s="24">
        <v>116</v>
      </c>
      <c r="F1340" s="24">
        <v>24</v>
      </c>
      <c r="I1340" s="25">
        <v>0</v>
      </c>
      <c r="J1340" s="24">
        <v>83</v>
      </c>
      <c r="K1340" s="24">
        <v>77</v>
      </c>
    </row>
    <row r="1341" spans="2:12" ht="13.8" x14ac:dyDescent="0.3">
      <c r="D1341" s="25">
        <v>1</v>
      </c>
      <c r="E1341" s="24">
        <v>20</v>
      </c>
      <c r="F1341" s="24">
        <v>340</v>
      </c>
      <c r="I1341" s="25">
        <v>1</v>
      </c>
      <c r="J1341" s="24">
        <v>59</v>
      </c>
      <c r="K1341" s="24">
        <v>281</v>
      </c>
    </row>
    <row r="1343" spans="2:12" ht="15.6" x14ac:dyDescent="0.3">
      <c r="D1343" s="59" t="s">
        <v>210</v>
      </c>
      <c r="E1343" s="60"/>
      <c r="F1343" s="60"/>
      <c r="G1343" s="61"/>
      <c r="I1343" s="59" t="s">
        <v>210</v>
      </c>
      <c r="J1343" s="60"/>
      <c r="K1343" s="60"/>
      <c r="L1343" s="61"/>
    </row>
    <row r="1344" spans="2:12" ht="13.8" x14ac:dyDescent="0.3">
      <c r="D1344" s="26" t="s">
        <v>332</v>
      </c>
      <c r="E1344" s="26" t="s">
        <v>333</v>
      </c>
      <c r="F1344" s="26" t="s">
        <v>334</v>
      </c>
      <c r="G1344" s="26" t="s">
        <v>335</v>
      </c>
      <c r="I1344" s="26" t="s">
        <v>332</v>
      </c>
      <c r="J1344" s="26" t="s">
        <v>333</v>
      </c>
      <c r="K1344" s="26" t="s">
        <v>334</v>
      </c>
      <c r="L1344" s="26" t="s">
        <v>335</v>
      </c>
    </row>
    <row r="1345" spans="4:12" ht="13.8" x14ac:dyDescent="0.3">
      <c r="D1345" s="25">
        <v>0</v>
      </c>
      <c r="E1345" s="24">
        <f>SUM($E$1340:$F$1340)</f>
        <v>140</v>
      </c>
      <c r="F1345" s="24">
        <f>SUM($E$1340:$F$1340) - $E$1340:$E$1340</f>
        <v>24</v>
      </c>
      <c r="G1345" s="24">
        <f>IF($E$1345:$E$1345 = 0, "Undefined",$F$1345:$F$1345*100 / $E$1345:$E$1345)</f>
        <v>17.142857142857142</v>
      </c>
      <c r="I1345" s="25">
        <v>0</v>
      </c>
      <c r="J1345" s="24">
        <f>SUM($J$1340:$K$1340)</f>
        <v>160</v>
      </c>
      <c r="K1345" s="24">
        <f>SUM($J$1340:$K$1340) - $J$1340:$J$1340</f>
        <v>77</v>
      </c>
      <c r="L1345" s="24">
        <f>IF($J$1345:$J$1345 = 0, "Undefined",$K$1345:$K$1345*100 / $J$1345:$J$1345)</f>
        <v>48.125</v>
      </c>
    </row>
    <row r="1346" spans="4:12" ht="13.8" x14ac:dyDescent="0.3">
      <c r="D1346" s="25">
        <v>1</v>
      </c>
      <c r="E1346" s="24">
        <f>SUM($E$1341:$F$1341)</f>
        <v>360</v>
      </c>
      <c r="F1346" s="24">
        <f>SUM($E$1341:$F$1341) - $F$1341:$F$1341</f>
        <v>20</v>
      </c>
      <c r="G1346" s="24">
        <f>IF($E$1346:$E$1346 = 0, "Undefined",$F$1346:$F$1346*100 / $E$1346:$E$1346)</f>
        <v>5.5555555555555554</v>
      </c>
      <c r="I1346" s="25">
        <v>1</v>
      </c>
      <c r="J1346" s="24">
        <f>SUM($J$1341:$K$1341)</f>
        <v>340</v>
      </c>
      <c r="K1346" s="24">
        <f>SUM($J$1341:$K$1341) - $K$1341:$K$1341</f>
        <v>59</v>
      </c>
      <c r="L1346" s="24">
        <f>IF($J$1346:$J$1346 = 0, "Undefined",$K$1346:$K$1346*100 / $J$1346:$J$1346)</f>
        <v>17.352941176470587</v>
      </c>
    </row>
    <row r="1347" spans="4:12" ht="13.8" x14ac:dyDescent="0.3">
      <c r="D1347" s="25" t="s">
        <v>336</v>
      </c>
      <c r="E1347" s="24">
        <f>SUM($E$1345:$E$1346)</f>
        <v>500</v>
      </c>
      <c r="F1347" s="24">
        <f>SUM($F$1345:$F$1346)</f>
        <v>44</v>
      </c>
      <c r="G1347" s="24">
        <f>IF($E$1347:$E$1347 = 0, "Undefined",$F$1347:$F$1347*100 / $E$1347:$E$1347)</f>
        <v>8.8000000000000007</v>
      </c>
      <c r="I1347" s="25" t="s">
        <v>336</v>
      </c>
      <c r="J1347" s="24">
        <f>SUM($J$1345:$J$1346)</f>
        <v>500</v>
      </c>
      <c r="K1347" s="24">
        <f>SUM($K$1345:$K$1346)</f>
        <v>136</v>
      </c>
      <c r="L1347" s="24">
        <f>IF($J$1347:$J$1347 = 0, "Undefined",$K$1347:$K$1347*100 / $J$1347:$J$1347)</f>
        <v>27.2</v>
      </c>
    </row>
  </sheetData>
  <mergeCells count="653">
    <mergeCell ref="D1337:F1337"/>
    <mergeCell ref="B3:G3"/>
    <mergeCell ref="J3:M3"/>
    <mergeCell ref="E1338:F1338"/>
    <mergeCell ref="D1343:G1343"/>
    <mergeCell ref="I1337:K1337"/>
    <mergeCell ref="J1338:K1338"/>
    <mergeCell ref="I1343:L1343"/>
    <mergeCell ref="B4:C4"/>
    <mergeCell ref="D4:E4"/>
    <mergeCell ref="F4:G4"/>
    <mergeCell ref="D1313:F1313"/>
    <mergeCell ref="E1314:F1314"/>
    <mergeCell ref="D1319:G1319"/>
    <mergeCell ref="I1313:K1313"/>
    <mergeCell ref="J1314:K1314"/>
    <mergeCell ref="I1319:L1319"/>
    <mergeCell ref="D1325:F1325"/>
    <mergeCell ref="E1326:F1326"/>
    <mergeCell ref="D1331:G1331"/>
    <mergeCell ref="I1325:K1325"/>
    <mergeCell ref="J1326:K1326"/>
    <mergeCell ref="I1331:L1331"/>
    <mergeCell ref="D1289:F1289"/>
    <mergeCell ref="E1290:F1290"/>
    <mergeCell ref="D1295:G1295"/>
    <mergeCell ref="I1289:K1289"/>
    <mergeCell ref="J1290:K1290"/>
    <mergeCell ref="I1295:L1295"/>
    <mergeCell ref="D1301:F1301"/>
    <mergeCell ref="E1302:F1302"/>
    <mergeCell ref="D1307:G1307"/>
    <mergeCell ref="I1301:K1301"/>
    <mergeCell ref="J1302:K1302"/>
    <mergeCell ref="I1307:L1307"/>
    <mergeCell ref="D1265:F1265"/>
    <mergeCell ref="E1266:F1266"/>
    <mergeCell ref="D1271:G1271"/>
    <mergeCell ref="I1265:K1265"/>
    <mergeCell ref="J1266:K1266"/>
    <mergeCell ref="I1271:L1271"/>
    <mergeCell ref="D1277:F1277"/>
    <mergeCell ref="E1278:F1278"/>
    <mergeCell ref="D1283:G1283"/>
    <mergeCell ref="I1277:K1277"/>
    <mergeCell ref="J1278:K1278"/>
    <mergeCell ref="I1283:L1283"/>
    <mergeCell ref="D1241:F1241"/>
    <mergeCell ref="E1242:F1242"/>
    <mergeCell ref="D1247:G1247"/>
    <mergeCell ref="I1241:K1241"/>
    <mergeCell ref="J1242:K1242"/>
    <mergeCell ref="I1247:L1247"/>
    <mergeCell ref="D1253:F1253"/>
    <mergeCell ref="E1254:F1254"/>
    <mergeCell ref="D1259:G1259"/>
    <mergeCell ref="I1253:K1253"/>
    <mergeCell ref="J1254:K1254"/>
    <mergeCell ref="I1259:L1259"/>
    <mergeCell ref="D1217:F1217"/>
    <mergeCell ref="E1218:F1218"/>
    <mergeCell ref="D1223:G1223"/>
    <mergeCell ref="I1217:K1217"/>
    <mergeCell ref="J1218:K1218"/>
    <mergeCell ref="I1223:L1223"/>
    <mergeCell ref="D1229:F1229"/>
    <mergeCell ref="E1230:F1230"/>
    <mergeCell ref="D1235:G1235"/>
    <mergeCell ref="I1229:K1229"/>
    <mergeCell ref="J1230:K1230"/>
    <mergeCell ref="I1235:L1235"/>
    <mergeCell ref="D1193:F1193"/>
    <mergeCell ref="E1194:F1194"/>
    <mergeCell ref="D1199:G1199"/>
    <mergeCell ref="I1193:K1193"/>
    <mergeCell ref="J1194:K1194"/>
    <mergeCell ref="I1199:L1199"/>
    <mergeCell ref="D1205:F1205"/>
    <mergeCell ref="E1206:F1206"/>
    <mergeCell ref="D1211:G1211"/>
    <mergeCell ref="I1205:K1205"/>
    <mergeCell ref="J1206:K1206"/>
    <mergeCell ref="I1211:L1211"/>
    <mergeCell ref="D1169:F1169"/>
    <mergeCell ref="E1170:F1170"/>
    <mergeCell ref="D1175:G1175"/>
    <mergeCell ref="I1169:K1169"/>
    <mergeCell ref="J1170:K1170"/>
    <mergeCell ref="I1175:L1175"/>
    <mergeCell ref="D1181:F1181"/>
    <mergeCell ref="E1182:F1182"/>
    <mergeCell ref="D1187:G1187"/>
    <mergeCell ref="I1181:K1181"/>
    <mergeCell ref="J1182:K1182"/>
    <mergeCell ref="I1187:L1187"/>
    <mergeCell ref="D1145:F1145"/>
    <mergeCell ref="E1146:F1146"/>
    <mergeCell ref="D1151:G1151"/>
    <mergeCell ref="I1145:K1145"/>
    <mergeCell ref="J1146:K1146"/>
    <mergeCell ref="I1151:L1151"/>
    <mergeCell ref="D1157:F1157"/>
    <mergeCell ref="E1158:F1158"/>
    <mergeCell ref="D1163:G1163"/>
    <mergeCell ref="I1157:K1157"/>
    <mergeCell ref="J1158:K1158"/>
    <mergeCell ref="I1163:L1163"/>
    <mergeCell ref="D1121:F1121"/>
    <mergeCell ref="E1122:F1122"/>
    <mergeCell ref="D1127:G1127"/>
    <mergeCell ref="I1121:K1121"/>
    <mergeCell ref="J1122:K1122"/>
    <mergeCell ref="I1127:L1127"/>
    <mergeCell ref="D1133:F1133"/>
    <mergeCell ref="E1134:F1134"/>
    <mergeCell ref="D1139:G1139"/>
    <mergeCell ref="I1133:K1133"/>
    <mergeCell ref="J1134:K1134"/>
    <mergeCell ref="I1139:L1139"/>
    <mergeCell ref="D1097:F1097"/>
    <mergeCell ref="E1098:F1098"/>
    <mergeCell ref="D1103:G1103"/>
    <mergeCell ref="I1097:K1097"/>
    <mergeCell ref="J1098:K1098"/>
    <mergeCell ref="I1103:L1103"/>
    <mergeCell ref="D1109:F1109"/>
    <mergeCell ref="E1110:F1110"/>
    <mergeCell ref="D1115:G1115"/>
    <mergeCell ref="I1109:K1109"/>
    <mergeCell ref="J1110:K1110"/>
    <mergeCell ref="I1115:L1115"/>
    <mergeCell ref="D1073:F1073"/>
    <mergeCell ref="E1074:F1074"/>
    <mergeCell ref="D1079:G1079"/>
    <mergeCell ref="I1073:K1073"/>
    <mergeCell ref="J1074:K1074"/>
    <mergeCell ref="I1079:L1079"/>
    <mergeCell ref="D1085:F1085"/>
    <mergeCell ref="E1086:F1086"/>
    <mergeCell ref="D1091:G1091"/>
    <mergeCell ref="I1085:K1085"/>
    <mergeCell ref="J1086:K1086"/>
    <mergeCell ref="I1091:L1091"/>
    <mergeCell ref="D1049:F1049"/>
    <mergeCell ref="E1050:F1050"/>
    <mergeCell ref="D1055:G1055"/>
    <mergeCell ref="I1049:K1049"/>
    <mergeCell ref="J1050:K1050"/>
    <mergeCell ref="I1055:L1055"/>
    <mergeCell ref="D1061:F1061"/>
    <mergeCell ref="E1062:F1062"/>
    <mergeCell ref="D1067:G1067"/>
    <mergeCell ref="I1061:K1061"/>
    <mergeCell ref="J1062:K1062"/>
    <mergeCell ref="I1067:L1067"/>
    <mergeCell ref="D1025:F1025"/>
    <mergeCell ref="E1026:F1026"/>
    <mergeCell ref="D1031:G1031"/>
    <mergeCell ref="I1025:K1025"/>
    <mergeCell ref="J1026:K1026"/>
    <mergeCell ref="I1031:L1031"/>
    <mergeCell ref="D1037:F1037"/>
    <mergeCell ref="E1038:F1038"/>
    <mergeCell ref="D1043:G1043"/>
    <mergeCell ref="I1037:K1037"/>
    <mergeCell ref="J1038:K1038"/>
    <mergeCell ref="I1043:L1043"/>
    <mergeCell ref="D1001:F1001"/>
    <mergeCell ref="E1002:F1002"/>
    <mergeCell ref="D1007:G1007"/>
    <mergeCell ref="I1001:K1001"/>
    <mergeCell ref="J1002:K1002"/>
    <mergeCell ref="I1007:L1007"/>
    <mergeCell ref="D1013:F1013"/>
    <mergeCell ref="E1014:F1014"/>
    <mergeCell ref="D1019:G1019"/>
    <mergeCell ref="I1013:K1013"/>
    <mergeCell ref="J1014:K1014"/>
    <mergeCell ref="I1019:L1019"/>
    <mergeCell ref="D977:F977"/>
    <mergeCell ref="E978:F978"/>
    <mergeCell ref="D983:G983"/>
    <mergeCell ref="I977:K977"/>
    <mergeCell ref="J978:K978"/>
    <mergeCell ref="I983:L983"/>
    <mergeCell ref="D989:F989"/>
    <mergeCell ref="E990:F990"/>
    <mergeCell ref="D995:G995"/>
    <mergeCell ref="I989:K989"/>
    <mergeCell ref="J990:K990"/>
    <mergeCell ref="I995:L995"/>
    <mergeCell ref="D953:F953"/>
    <mergeCell ref="E954:F954"/>
    <mergeCell ref="D959:G959"/>
    <mergeCell ref="I953:K953"/>
    <mergeCell ref="J954:K954"/>
    <mergeCell ref="I959:L959"/>
    <mergeCell ref="D965:F965"/>
    <mergeCell ref="E966:F966"/>
    <mergeCell ref="D971:G971"/>
    <mergeCell ref="I965:K965"/>
    <mergeCell ref="J966:K966"/>
    <mergeCell ref="I971:L971"/>
    <mergeCell ref="D929:F929"/>
    <mergeCell ref="E930:F930"/>
    <mergeCell ref="D935:G935"/>
    <mergeCell ref="I929:K929"/>
    <mergeCell ref="J930:K930"/>
    <mergeCell ref="I935:L935"/>
    <mergeCell ref="D941:F941"/>
    <mergeCell ref="E942:F942"/>
    <mergeCell ref="D947:G947"/>
    <mergeCell ref="I941:K941"/>
    <mergeCell ref="J942:K942"/>
    <mergeCell ref="I947:L947"/>
    <mergeCell ref="D905:F905"/>
    <mergeCell ref="E906:F906"/>
    <mergeCell ref="D911:G911"/>
    <mergeCell ref="I905:K905"/>
    <mergeCell ref="J906:K906"/>
    <mergeCell ref="I911:L911"/>
    <mergeCell ref="D917:F917"/>
    <mergeCell ref="E918:F918"/>
    <mergeCell ref="D923:G923"/>
    <mergeCell ref="I917:K917"/>
    <mergeCell ref="J918:K918"/>
    <mergeCell ref="I923:L923"/>
    <mergeCell ref="D881:F881"/>
    <mergeCell ref="E882:F882"/>
    <mergeCell ref="D887:G887"/>
    <mergeCell ref="I881:K881"/>
    <mergeCell ref="J882:K882"/>
    <mergeCell ref="I887:L887"/>
    <mergeCell ref="D893:F893"/>
    <mergeCell ref="E894:F894"/>
    <mergeCell ref="D899:G899"/>
    <mergeCell ref="I893:K893"/>
    <mergeCell ref="J894:K894"/>
    <mergeCell ref="I899:L899"/>
    <mergeCell ref="D857:F857"/>
    <mergeCell ref="E858:F858"/>
    <mergeCell ref="D863:G863"/>
    <mergeCell ref="I857:K857"/>
    <mergeCell ref="J858:K858"/>
    <mergeCell ref="I863:L863"/>
    <mergeCell ref="D869:F869"/>
    <mergeCell ref="E870:F870"/>
    <mergeCell ref="D875:G875"/>
    <mergeCell ref="I869:K869"/>
    <mergeCell ref="J870:K870"/>
    <mergeCell ref="I875:L875"/>
    <mergeCell ref="D833:F833"/>
    <mergeCell ref="E834:F834"/>
    <mergeCell ref="D839:G839"/>
    <mergeCell ref="I833:K833"/>
    <mergeCell ref="J834:K834"/>
    <mergeCell ref="I839:L839"/>
    <mergeCell ref="D845:F845"/>
    <mergeCell ref="E846:F846"/>
    <mergeCell ref="D851:G851"/>
    <mergeCell ref="I845:K845"/>
    <mergeCell ref="J846:K846"/>
    <mergeCell ref="I851:L851"/>
    <mergeCell ref="D809:F809"/>
    <mergeCell ref="E810:F810"/>
    <mergeCell ref="D815:G815"/>
    <mergeCell ref="I809:K809"/>
    <mergeCell ref="J810:K810"/>
    <mergeCell ref="I815:L815"/>
    <mergeCell ref="D821:F821"/>
    <mergeCell ref="E822:F822"/>
    <mergeCell ref="D827:G827"/>
    <mergeCell ref="I821:K821"/>
    <mergeCell ref="J822:K822"/>
    <mergeCell ref="I827:L827"/>
    <mergeCell ref="D785:F785"/>
    <mergeCell ref="E786:F786"/>
    <mergeCell ref="D791:G791"/>
    <mergeCell ref="I785:K785"/>
    <mergeCell ref="J786:K786"/>
    <mergeCell ref="I791:L791"/>
    <mergeCell ref="D797:F797"/>
    <mergeCell ref="E798:F798"/>
    <mergeCell ref="D803:G803"/>
    <mergeCell ref="I797:K797"/>
    <mergeCell ref="J798:K798"/>
    <mergeCell ref="I803:L803"/>
    <mergeCell ref="D761:F761"/>
    <mergeCell ref="E762:F762"/>
    <mergeCell ref="D767:G767"/>
    <mergeCell ref="I761:K761"/>
    <mergeCell ref="J762:K762"/>
    <mergeCell ref="I767:L767"/>
    <mergeCell ref="D773:F773"/>
    <mergeCell ref="E774:F774"/>
    <mergeCell ref="D779:G779"/>
    <mergeCell ref="I773:K773"/>
    <mergeCell ref="J774:K774"/>
    <mergeCell ref="I779:L779"/>
    <mergeCell ref="D737:F737"/>
    <mergeCell ref="E738:F738"/>
    <mergeCell ref="D743:G743"/>
    <mergeCell ref="I737:K737"/>
    <mergeCell ref="J738:K738"/>
    <mergeCell ref="I743:L743"/>
    <mergeCell ref="D749:F749"/>
    <mergeCell ref="E750:F750"/>
    <mergeCell ref="D755:G755"/>
    <mergeCell ref="I749:K749"/>
    <mergeCell ref="J750:K750"/>
    <mergeCell ref="I755:L755"/>
    <mergeCell ref="D713:F713"/>
    <mergeCell ref="E714:F714"/>
    <mergeCell ref="D719:G719"/>
    <mergeCell ref="I713:K713"/>
    <mergeCell ref="J714:K714"/>
    <mergeCell ref="I719:L719"/>
    <mergeCell ref="D725:F725"/>
    <mergeCell ref="E726:F726"/>
    <mergeCell ref="D731:G731"/>
    <mergeCell ref="I725:K725"/>
    <mergeCell ref="J726:K726"/>
    <mergeCell ref="I731:L731"/>
    <mergeCell ref="D689:F689"/>
    <mergeCell ref="E690:F690"/>
    <mergeCell ref="D695:G695"/>
    <mergeCell ref="I689:K689"/>
    <mergeCell ref="J690:K690"/>
    <mergeCell ref="I695:L695"/>
    <mergeCell ref="D701:F701"/>
    <mergeCell ref="E702:F702"/>
    <mergeCell ref="D707:G707"/>
    <mergeCell ref="I701:K701"/>
    <mergeCell ref="J702:K702"/>
    <mergeCell ref="I707:L707"/>
    <mergeCell ref="D665:F665"/>
    <mergeCell ref="E666:F666"/>
    <mergeCell ref="D671:G671"/>
    <mergeCell ref="I665:K665"/>
    <mergeCell ref="J666:K666"/>
    <mergeCell ref="I671:L671"/>
    <mergeCell ref="D677:F677"/>
    <mergeCell ref="E678:F678"/>
    <mergeCell ref="D683:G683"/>
    <mergeCell ref="I677:K677"/>
    <mergeCell ref="J678:K678"/>
    <mergeCell ref="I683:L683"/>
    <mergeCell ref="D641:F641"/>
    <mergeCell ref="E642:F642"/>
    <mergeCell ref="D647:G647"/>
    <mergeCell ref="I641:K641"/>
    <mergeCell ref="J642:K642"/>
    <mergeCell ref="I647:L647"/>
    <mergeCell ref="D653:F653"/>
    <mergeCell ref="E654:F654"/>
    <mergeCell ref="D659:G659"/>
    <mergeCell ref="I653:K653"/>
    <mergeCell ref="J654:K654"/>
    <mergeCell ref="I659:L659"/>
    <mergeCell ref="D617:F617"/>
    <mergeCell ref="E618:F618"/>
    <mergeCell ref="D623:G623"/>
    <mergeCell ref="I617:K617"/>
    <mergeCell ref="J618:K618"/>
    <mergeCell ref="I623:L623"/>
    <mergeCell ref="D629:F629"/>
    <mergeCell ref="E630:F630"/>
    <mergeCell ref="D635:G635"/>
    <mergeCell ref="I629:K629"/>
    <mergeCell ref="J630:K630"/>
    <mergeCell ref="I635:L635"/>
    <mergeCell ref="D593:F593"/>
    <mergeCell ref="E594:F594"/>
    <mergeCell ref="D599:G599"/>
    <mergeCell ref="I593:K593"/>
    <mergeCell ref="J594:K594"/>
    <mergeCell ref="I599:L599"/>
    <mergeCell ref="D605:F605"/>
    <mergeCell ref="E606:F606"/>
    <mergeCell ref="D611:G611"/>
    <mergeCell ref="I605:K605"/>
    <mergeCell ref="J606:K606"/>
    <mergeCell ref="I611:L611"/>
    <mergeCell ref="D569:F569"/>
    <mergeCell ref="E570:F570"/>
    <mergeCell ref="D575:G575"/>
    <mergeCell ref="I569:K569"/>
    <mergeCell ref="J570:K570"/>
    <mergeCell ref="I575:L575"/>
    <mergeCell ref="D581:F581"/>
    <mergeCell ref="E582:F582"/>
    <mergeCell ref="D587:G587"/>
    <mergeCell ref="I581:K581"/>
    <mergeCell ref="J582:K582"/>
    <mergeCell ref="I587:L587"/>
    <mergeCell ref="D545:F545"/>
    <mergeCell ref="E546:F546"/>
    <mergeCell ref="D551:G551"/>
    <mergeCell ref="I545:K545"/>
    <mergeCell ref="J546:K546"/>
    <mergeCell ref="I551:L551"/>
    <mergeCell ref="D557:F557"/>
    <mergeCell ref="E558:F558"/>
    <mergeCell ref="D563:G563"/>
    <mergeCell ref="I557:K557"/>
    <mergeCell ref="J558:K558"/>
    <mergeCell ref="I563:L563"/>
    <mergeCell ref="D521:F521"/>
    <mergeCell ref="E522:F522"/>
    <mergeCell ref="D527:G527"/>
    <mergeCell ref="I521:K521"/>
    <mergeCell ref="J522:K522"/>
    <mergeCell ref="I527:L527"/>
    <mergeCell ref="D533:F533"/>
    <mergeCell ref="E534:F534"/>
    <mergeCell ref="D539:G539"/>
    <mergeCell ref="I533:K533"/>
    <mergeCell ref="J534:K534"/>
    <mergeCell ref="I539:L539"/>
    <mergeCell ref="D497:F497"/>
    <mergeCell ref="E498:F498"/>
    <mergeCell ref="D503:G503"/>
    <mergeCell ref="I497:K497"/>
    <mergeCell ref="J498:K498"/>
    <mergeCell ref="I503:L503"/>
    <mergeCell ref="D509:F509"/>
    <mergeCell ref="E510:F510"/>
    <mergeCell ref="D515:G515"/>
    <mergeCell ref="I509:K509"/>
    <mergeCell ref="J510:K510"/>
    <mergeCell ref="I515:L515"/>
    <mergeCell ref="D473:F473"/>
    <mergeCell ref="E474:F474"/>
    <mergeCell ref="D479:G479"/>
    <mergeCell ref="I473:K473"/>
    <mergeCell ref="J474:K474"/>
    <mergeCell ref="I479:L479"/>
    <mergeCell ref="D485:F485"/>
    <mergeCell ref="E486:F486"/>
    <mergeCell ref="D491:G491"/>
    <mergeCell ref="I485:K485"/>
    <mergeCell ref="J486:K486"/>
    <mergeCell ref="I491:L491"/>
    <mergeCell ref="D449:F449"/>
    <mergeCell ref="E450:F450"/>
    <mergeCell ref="D455:G455"/>
    <mergeCell ref="I449:K449"/>
    <mergeCell ref="J450:K450"/>
    <mergeCell ref="I455:L455"/>
    <mergeCell ref="D461:F461"/>
    <mergeCell ref="E462:F462"/>
    <mergeCell ref="D467:G467"/>
    <mergeCell ref="I461:K461"/>
    <mergeCell ref="J462:K462"/>
    <mergeCell ref="I467:L467"/>
    <mergeCell ref="D425:F425"/>
    <mergeCell ref="E426:F426"/>
    <mergeCell ref="D431:G431"/>
    <mergeCell ref="I425:K425"/>
    <mergeCell ref="J426:K426"/>
    <mergeCell ref="I431:L431"/>
    <mergeCell ref="D437:F437"/>
    <mergeCell ref="E438:F438"/>
    <mergeCell ref="D443:G443"/>
    <mergeCell ref="I437:K437"/>
    <mergeCell ref="J438:K438"/>
    <mergeCell ref="I443:L443"/>
    <mergeCell ref="D401:F401"/>
    <mergeCell ref="E402:F402"/>
    <mergeCell ref="D407:G407"/>
    <mergeCell ref="I401:K401"/>
    <mergeCell ref="J402:K402"/>
    <mergeCell ref="I407:L407"/>
    <mergeCell ref="D413:F413"/>
    <mergeCell ref="E414:F414"/>
    <mergeCell ref="D419:G419"/>
    <mergeCell ref="I413:K413"/>
    <mergeCell ref="J414:K414"/>
    <mergeCell ref="I419:L419"/>
    <mergeCell ref="D377:F377"/>
    <mergeCell ref="E378:F378"/>
    <mergeCell ref="D383:G383"/>
    <mergeCell ref="I377:K377"/>
    <mergeCell ref="J378:K378"/>
    <mergeCell ref="I383:L383"/>
    <mergeCell ref="D389:F389"/>
    <mergeCell ref="E390:F390"/>
    <mergeCell ref="D395:G395"/>
    <mergeCell ref="I389:K389"/>
    <mergeCell ref="J390:K390"/>
    <mergeCell ref="I395:L395"/>
    <mergeCell ref="D353:F353"/>
    <mergeCell ref="E354:F354"/>
    <mergeCell ref="D359:G359"/>
    <mergeCell ref="I353:K353"/>
    <mergeCell ref="J354:K354"/>
    <mergeCell ref="I359:L359"/>
    <mergeCell ref="D365:F365"/>
    <mergeCell ref="E366:F366"/>
    <mergeCell ref="D371:G371"/>
    <mergeCell ref="I365:K365"/>
    <mergeCell ref="J366:K366"/>
    <mergeCell ref="I371:L371"/>
    <mergeCell ref="D329:F329"/>
    <mergeCell ref="E330:F330"/>
    <mergeCell ref="D335:G335"/>
    <mergeCell ref="I329:K329"/>
    <mergeCell ref="J330:K330"/>
    <mergeCell ref="I335:L335"/>
    <mergeCell ref="D341:F341"/>
    <mergeCell ref="E342:F342"/>
    <mergeCell ref="D347:G347"/>
    <mergeCell ref="I341:K341"/>
    <mergeCell ref="J342:K342"/>
    <mergeCell ref="I347:L347"/>
    <mergeCell ref="D305:F305"/>
    <mergeCell ref="E306:F306"/>
    <mergeCell ref="D311:G311"/>
    <mergeCell ref="I305:K305"/>
    <mergeCell ref="J306:K306"/>
    <mergeCell ref="I311:L311"/>
    <mergeCell ref="D317:F317"/>
    <mergeCell ref="E318:F318"/>
    <mergeCell ref="D323:G323"/>
    <mergeCell ref="I317:K317"/>
    <mergeCell ref="J318:K318"/>
    <mergeCell ref="I323:L323"/>
    <mergeCell ref="D281:F281"/>
    <mergeCell ref="E282:F282"/>
    <mergeCell ref="D287:G287"/>
    <mergeCell ref="I281:K281"/>
    <mergeCell ref="J282:K282"/>
    <mergeCell ref="I287:L287"/>
    <mergeCell ref="D293:F293"/>
    <mergeCell ref="E294:F294"/>
    <mergeCell ref="D299:G299"/>
    <mergeCell ref="I293:K293"/>
    <mergeCell ref="J294:K294"/>
    <mergeCell ref="I299:L299"/>
    <mergeCell ref="D257:F257"/>
    <mergeCell ref="E258:F258"/>
    <mergeCell ref="D263:G263"/>
    <mergeCell ref="I257:K257"/>
    <mergeCell ref="J258:K258"/>
    <mergeCell ref="I263:L263"/>
    <mergeCell ref="D269:F269"/>
    <mergeCell ref="E270:F270"/>
    <mergeCell ref="D275:G275"/>
    <mergeCell ref="I269:K269"/>
    <mergeCell ref="J270:K270"/>
    <mergeCell ref="I275:L275"/>
    <mergeCell ref="D233:F233"/>
    <mergeCell ref="E234:F234"/>
    <mergeCell ref="D239:G239"/>
    <mergeCell ref="I233:K233"/>
    <mergeCell ref="J234:K234"/>
    <mergeCell ref="I239:L239"/>
    <mergeCell ref="D245:F245"/>
    <mergeCell ref="E246:F246"/>
    <mergeCell ref="D251:G251"/>
    <mergeCell ref="I245:K245"/>
    <mergeCell ref="J246:K246"/>
    <mergeCell ref="I251:L251"/>
    <mergeCell ref="D209:F209"/>
    <mergeCell ref="E210:F210"/>
    <mergeCell ref="D215:G215"/>
    <mergeCell ref="I209:K209"/>
    <mergeCell ref="J210:K210"/>
    <mergeCell ref="I215:L215"/>
    <mergeCell ref="D221:F221"/>
    <mergeCell ref="E222:F222"/>
    <mergeCell ref="D227:G227"/>
    <mergeCell ref="I221:K221"/>
    <mergeCell ref="J222:K222"/>
    <mergeCell ref="I227:L227"/>
    <mergeCell ref="D185:F185"/>
    <mergeCell ref="E186:F186"/>
    <mergeCell ref="D191:G191"/>
    <mergeCell ref="I185:K185"/>
    <mergeCell ref="J186:K186"/>
    <mergeCell ref="I191:L191"/>
    <mergeCell ref="D197:F197"/>
    <mergeCell ref="E198:F198"/>
    <mergeCell ref="D203:G203"/>
    <mergeCell ref="I197:K197"/>
    <mergeCell ref="J198:K198"/>
    <mergeCell ref="I203:L203"/>
    <mergeCell ref="D161:F161"/>
    <mergeCell ref="E162:F162"/>
    <mergeCell ref="D167:G167"/>
    <mergeCell ref="I161:K161"/>
    <mergeCell ref="J162:K162"/>
    <mergeCell ref="I167:L167"/>
    <mergeCell ref="D173:F173"/>
    <mergeCell ref="E174:F174"/>
    <mergeCell ref="D179:G179"/>
    <mergeCell ref="I173:K173"/>
    <mergeCell ref="J174:K174"/>
    <mergeCell ref="I179:L179"/>
    <mergeCell ref="G41:J41"/>
    <mergeCell ref="K41:N41"/>
    <mergeCell ref="D147:G147"/>
    <mergeCell ref="I147:L147"/>
    <mergeCell ref="D149:F149"/>
    <mergeCell ref="E150:F150"/>
    <mergeCell ref="D155:G155"/>
    <mergeCell ref="I149:K149"/>
    <mergeCell ref="J150:K150"/>
    <mergeCell ref="I155:L155"/>
    <mergeCell ref="C35:F35"/>
    <mergeCell ref="C36:F36"/>
    <mergeCell ref="C37:F37"/>
    <mergeCell ref="G24:J24"/>
    <mergeCell ref="G25:J25"/>
    <mergeCell ref="G26:J26"/>
    <mergeCell ref="G27:J27"/>
    <mergeCell ref="G28:J28"/>
    <mergeCell ref="G29:J29"/>
    <mergeCell ref="G30:J30"/>
    <mergeCell ref="G31:J31"/>
    <mergeCell ref="G32:J32"/>
    <mergeCell ref="G33:J33"/>
    <mergeCell ref="G34:J34"/>
    <mergeCell ref="G35:J35"/>
    <mergeCell ref="G36:J36"/>
    <mergeCell ref="G37:J37"/>
    <mergeCell ref="C26:F26"/>
    <mergeCell ref="C27:F27"/>
    <mergeCell ref="C28:F28"/>
    <mergeCell ref="C29:F29"/>
    <mergeCell ref="C30:F30"/>
    <mergeCell ref="C31:F31"/>
    <mergeCell ref="C32:F32"/>
    <mergeCell ref="C33:F33"/>
    <mergeCell ref="C34:F34"/>
    <mergeCell ref="C18:AW18"/>
    <mergeCell ref="C19:D19"/>
    <mergeCell ref="C20:D20"/>
    <mergeCell ref="C21:D21"/>
    <mergeCell ref="E19:AW19"/>
    <mergeCell ref="E21:AW21"/>
    <mergeCell ref="C23:J23"/>
    <mergeCell ref="C24:F24"/>
    <mergeCell ref="C25:F25"/>
    <mergeCell ref="C12:K12"/>
    <mergeCell ref="C13:F13"/>
    <mergeCell ref="C14:F14"/>
    <mergeCell ref="C15:F15"/>
    <mergeCell ref="C16:F16"/>
    <mergeCell ref="G13:K13"/>
    <mergeCell ref="G14:K14"/>
    <mergeCell ref="G15:K15"/>
    <mergeCell ref="G16:K16"/>
  </mergeCells>
  <hyperlinks>
    <hyperlink ref="C130" location="B43:B43" tooltip="605" display="Net 1"/>
    <hyperlink ref="C59" location="B44:B44" tooltip="605" display="Net 2"/>
    <hyperlink ref="C118" location="B45:B45" tooltip="605" display="Net 3"/>
    <hyperlink ref="C112" location="B46:B46" tooltip="605" display="Net 4"/>
    <hyperlink ref="C63" location="B47:B47" tooltip="605" display="Net 5"/>
    <hyperlink ref="C141" location="B48:B48" tooltip="605" display="Net 6"/>
    <hyperlink ref="C44" location="B49:B49" tooltip="605" display="Net 7"/>
    <hyperlink ref="C50" location="B50:B50" tooltip="605" display="Net 8"/>
    <hyperlink ref="C104" location="B51:B51" tooltip="605" display="Net 9"/>
    <hyperlink ref="C76" location="B52:B52" tooltip="605" display="Net 10"/>
    <hyperlink ref="C46" location="B53:B53" tooltip="605" display="Net 11"/>
    <hyperlink ref="C140" location="B54:B54" tooltip="605" display="Net 12"/>
    <hyperlink ref="C61" location="B55:B55" tooltip="605" display="Net 13"/>
    <hyperlink ref="C127" location="B56:B56" tooltip="605" display="Net 14"/>
    <hyperlink ref="C125" location="B57:B57" tooltip="605" display="Net 15"/>
    <hyperlink ref="C105" location="B58:B58" tooltip="605" display="Net 16"/>
    <hyperlink ref="C121" location="B59:B59" tooltip="605" display="Net 17"/>
    <hyperlink ref="C48" location="B60:B60" tooltip="605" display="Net 18"/>
    <hyperlink ref="C77" location="B61:B61" tooltip="605" display="Net 19"/>
    <hyperlink ref="C88" location="B62:B62" tooltip="605" display="Net 20"/>
    <hyperlink ref="C142" location="B63:B63" tooltip="605" display="Net 21"/>
    <hyperlink ref="C62" location="B64:B64" tooltip="605" display="Net 22"/>
    <hyperlink ref="C129" location="B65:B65" tooltip="605" display="Net 23"/>
    <hyperlink ref="C75" location="B66:B66" tooltip="605" display="Net 24"/>
    <hyperlink ref="C126" location="B67:B67" tooltip="605" display="Net 25"/>
    <hyperlink ref="C45" location="B68:B68" tooltip="605" display="Net 26"/>
    <hyperlink ref="C57" location="B69:B69" tooltip="605" display="Net 27"/>
    <hyperlink ref="C49" location="B70:B70" tooltip="605" display="Net 28"/>
    <hyperlink ref="C74" location="B71:B71" tooltip="605" display="Net 29"/>
    <hyperlink ref="C73" location="B72:B72" tooltip="605" display="Net 30"/>
    <hyperlink ref="C52" location="B73:B73" tooltip="605" display="Net 31"/>
    <hyperlink ref="C139" location="B74:B74" tooltip="605" display="Net 32"/>
    <hyperlink ref="C82" location="B75:B75" tooltip="605" display="Net 33"/>
    <hyperlink ref="C100" location="B76:B76" tooltip="605" display="Net 34"/>
    <hyperlink ref="C111" location="B77:B77" tooltip="605" display="Net 35"/>
    <hyperlink ref="C131" location="B78:B78" tooltip="605" display="Net 36"/>
    <hyperlink ref="C110" location="B79:B79" tooltip="605" display="Net 37"/>
    <hyperlink ref="C87" location="B80:B80" tooltip="605" display="Net 38"/>
    <hyperlink ref="C120" location="B81:B81" tooltip="605" display="Net 39"/>
    <hyperlink ref="C133" location="B82:B82" tooltip="605" display="Net 40"/>
    <hyperlink ref="C132" location="B83:B83" tooltip="605" display="Net 41"/>
    <hyperlink ref="C90" location="B84:B84" tooltip="605" display="Net 42"/>
    <hyperlink ref="C86" location="B85:B85" tooltip="605" display="Net 43"/>
    <hyperlink ref="C119" location="B86:B86" tooltip="605" display="Net 44"/>
    <hyperlink ref="C83" location="B87:B87" tooltip="605" display="Net 45"/>
    <hyperlink ref="C84" location="B88:B88" tooltip="605" display="Net 46"/>
    <hyperlink ref="C92" location="B89:B89" tooltip="605" display="Net 47"/>
    <hyperlink ref="C101" location="B90:B90" tooltip="605" display="Net 48"/>
    <hyperlink ref="C102" location="B91:B91" tooltip="605" display="Net 49"/>
    <hyperlink ref="C93" location="B92:B92" tooltip="605" display="Net 50"/>
    <hyperlink ref="C91" location="B93:B93" tooltip="605" display="Net 51"/>
    <hyperlink ref="C85" location="B94:B94" tooltip="605" display="Net 52"/>
    <hyperlink ref="C103" location="B95:B95" tooltip="605" display="Net 53"/>
    <hyperlink ref="C114" location="B96:B96" tooltip="605" display="Net 54"/>
    <hyperlink ref="C71" location="B97:B97" tooltip="605" display="Net 55"/>
    <hyperlink ref="C68" location="B98:B98" tooltip="605" display="Net 56"/>
    <hyperlink ref="C51" location="B99:B99" tooltip="605" display="Net 57"/>
    <hyperlink ref="C70" location="B100:B100" tooltip="605" display="Net 58"/>
    <hyperlink ref="C64" location="B101:B101" tooltip="605" display="Net 59"/>
    <hyperlink ref="C55" location="B102:B102" tooltip="605" display="Net 60"/>
    <hyperlink ref="C47" location="B103:B103" tooltip="605" display="Net 61"/>
    <hyperlink ref="C124" location="B104:B104" tooltip="605" display="Net 62"/>
    <hyperlink ref="C109" location="B105:B105" tooltip="605" display="Net 63"/>
    <hyperlink ref="C78" location="B106:B106" tooltip="605" display="Net 64"/>
    <hyperlink ref="C65" location="B107:B107" tooltip="605" display="Net 65"/>
    <hyperlink ref="C97" location="B108:B108" tooltip="605" display="Net 66"/>
    <hyperlink ref="C60" location="B109:B109" tooltip="605" display="Net 67"/>
    <hyperlink ref="C67" location="B110:B110" tooltip="605" display="Net 68"/>
    <hyperlink ref="C106" location="B111:B111" tooltip="605" display="Net 69"/>
    <hyperlink ref="C95" location="B112:B112" tooltip="605" display="Net 70"/>
    <hyperlink ref="C107" location="B113:B113" tooltip="605" display="Net 71"/>
    <hyperlink ref="C79" location="B114:B114" tooltip="605" display="Net 72"/>
    <hyperlink ref="C122" location="B115:B115" tooltip="605" display="Net 73"/>
    <hyperlink ref="C80" location="B116:B116" tooltip="605" display="Net 74"/>
    <hyperlink ref="C94" location="B117:B117" tooltip="605" display="Net 75"/>
    <hyperlink ref="C56" location="B118:B118" tooltip="605" display="Net 76"/>
    <hyperlink ref="C117" location="B119:B119" tooltip="605" display="Net 77"/>
    <hyperlink ref="C72" location="B120:B120" tooltip="605" display="Net 78"/>
    <hyperlink ref="C54" location="B121:B121" tooltip="605" display="Net 79"/>
    <hyperlink ref="C53" location="B122:B122" tooltip="605" display="Net 80"/>
    <hyperlink ref="C43" location="B123:B123" tooltip="605" display="Net 81"/>
    <hyperlink ref="C137" location="B124:B124" tooltip="605" display="Net 82"/>
    <hyperlink ref="C116" location="B125:B125" tooltip="605" display="Net 83"/>
    <hyperlink ref="C81" location="B126:B126" tooltip="605" display="Net 84"/>
    <hyperlink ref="C135" location="B127:B127" tooltip="605" display="Net 85"/>
    <hyperlink ref="C128" location="B128:B128" tooltip="605" display="Net 86"/>
    <hyperlink ref="C108" location="B129:B129" tooltip="605" display="Net 87"/>
    <hyperlink ref="C136" location="B130:B130" tooltip="605" display="Net 88"/>
    <hyperlink ref="C115" location="B131:B131" tooltip="605" display="Net 89"/>
    <hyperlink ref="C98" location="B132:B132" tooltip="605" display="Net 90"/>
    <hyperlink ref="C96" location="B133:B133" tooltip="605" display="Net 91"/>
    <hyperlink ref="C89" location="B134:B134" tooltip="605" display="Net 92"/>
    <hyperlink ref="C138" location="B135:B135" tooltip="605" display="Net 93"/>
    <hyperlink ref="C69" location="B136:B136" tooltip="605" display="Net 94"/>
    <hyperlink ref="C113" location="B137:B137" tooltip="605" display="Net 95"/>
    <hyperlink ref="C134" location="B138:B138" tooltip="605" display="Net 96"/>
    <hyperlink ref="C99" location="B139:B139" tooltip="605" display="Net 97"/>
    <hyperlink ref="C123" location="B140:B140" tooltip="605" display="Net 98"/>
    <hyperlink ref="C58" location="B141:B141" tooltip="605" display="Net 99"/>
    <hyperlink ref="C66" location="B142:B142" tooltip="605" display="Net 100"/>
    <hyperlink ref="B4" location="'NNCAuto_Output'!$B$10:$B$10" display="Inputs"/>
    <hyperlink ref="D4" location="'NNCAuto_Output'!$B$39:$B$39" display="Error Report"/>
    <hyperlink ref="F4" location="'NNCAuto_Output'!$B$145:$B$145" display="Classification Summary"/>
  </hyperlink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57"/>
  <sheetViews>
    <sheetView tabSelected="1" topLeftCell="A7" workbookViewId="0">
      <selection activeCell="C21" sqref="C21"/>
    </sheetView>
  </sheetViews>
  <sheetFormatPr defaultColWidth="9.109375" defaultRowHeight="13.2" x14ac:dyDescent="0.25"/>
  <cols>
    <col min="1" max="1" width="6.44140625" style="17" bestFit="1" customWidth="1"/>
    <col min="2" max="2" width="17.109375" style="7" customWidth="1"/>
    <col min="3" max="3" width="29.88671875" style="7" customWidth="1"/>
    <col min="4" max="4" width="11.109375" style="7" customWidth="1"/>
    <col min="5" max="5" width="28.44140625" style="7" customWidth="1"/>
    <col min="6" max="16384" width="9.109375" style="7"/>
  </cols>
  <sheetData>
    <row r="1" spans="1:5" ht="12.75" customHeight="1" x14ac:dyDescent="0.25">
      <c r="A1" s="79" t="s">
        <v>125</v>
      </c>
      <c r="B1" s="79"/>
      <c r="C1" s="5"/>
      <c r="D1" s="5"/>
      <c r="E1" s="6"/>
    </row>
    <row r="2" spans="1:5" ht="27.6" x14ac:dyDescent="0.25">
      <c r="A2" s="8" t="s">
        <v>126</v>
      </c>
      <c r="B2" s="9" t="s">
        <v>15</v>
      </c>
      <c r="C2" s="9" t="s">
        <v>16</v>
      </c>
      <c r="D2" s="9" t="s">
        <v>17</v>
      </c>
      <c r="E2" s="5" t="s">
        <v>37</v>
      </c>
    </row>
    <row r="3" spans="1:5" ht="13.8" x14ac:dyDescent="0.25">
      <c r="A3" s="8"/>
      <c r="B3" s="9"/>
      <c r="C3" s="9"/>
      <c r="D3" s="9"/>
      <c r="E3" s="6"/>
    </row>
    <row r="4" spans="1:5" ht="13.8" x14ac:dyDescent="0.25">
      <c r="A4" s="10" t="s">
        <v>18</v>
      </c>
      <c r="B4" s="11" t="s">
        <v>54</v>
      </c>
      <c r="C4" s="11" t="s">
        <v>19</v>
      </c>
      <c r="D4" s="11" t="s">
        <v>21</v>
      </c>
      <c r="E4" s="11"/>
    </row>
    <row r="5" spans="1:5" ht="13.8" x14ac:dyDescent="0.25">
      <c r="A5" s="10" t="s">
        <v>20</v>
      </c>
      <c r="B5" s="11" t="s">
        <v>4</v>
      </c>
      <c r="C5" s="11" t="s">
        <v>55</v>
      </c>
      <c r="D5" s="11" t="s">
        <v>21</v>
      </c>
      <c r="E5" s="12" t="s">
        <v>56</v>
      </c>
    </row>
    <row r="6" spans="1:5" ht="13.8" x14ac:dyDescent="0.25">
      <c r="A6" s="10"/>
      <c r="B6" s="11"/>
      <c r="C6" s="11"/>
      <c r="D6" s="11"/>
      <c r="E6" s="12" t="s">
        <v>57</v>
      </c>
    </row>
    <row r="7" spans="1:5" ht="13.8" x14ac:dyDescent="0.25">
      <c r="A7" s="10"/>
      <c r="B7" s="11"/>
      <c r="C7" s="11"/>
      <c r="D7" s="11"/>
      <c r="E7" s="12" t="s">
        <v>44</v>
      </c>
    </row>
    <row r="8" spans="1:5" ht="13.8" x14ac:dyDescent="0.25">
      <c r="A8" s="10"/>
      <c r="B8" s="11"/>
      <c r="C8" s="11"/>
      <c r="D8" s="11"/>
      <c r="E8" s="11" t="s">
        <v>84</v>
      </c>
    </row>
    <row r="9" spans="1:5" ht="13.8" x14ac:dyDescent="0.25">
      <c r="A9" s="10" t="s">
        <v>22</v>
      </c>
      <c r="B9" s="11" t="s">
        <v>0</v>
      </c>
      <c r="C9" s="11" t="s">
        <v>23</v>
      </c>
      <c r="D9" s="11" t="s">
        <v>24</v>
      </c>
      <c r="E9" s="13"/>
    </row>
    <row r="10" spans="1:5" ht="13.8" x14ac:dyDescent="0.25">
      <c r="A10" s="10" t="s">
        <v>25</v>
      </c>
      <c r="B10" s="11" t="s">
        <v>1</v>
      </c>
      <c r="C10" s="11" t="s">
        <v>26</v>
      </c>
      <c r="D10" s="11" t="s">
        <v>21</v>
      </c>
      <c r="E10" s="13" t="s">
        <v>38</v>
      </c>
    </row>
    <row r="11" spans="1:5" ht="13.8" x14ac:dyDescent="0.25">
      <c r="A11" s="10"/>
      <c r="B11" s="11"/>
      <c r="C11" s="11"/>
      <c r="D11" s="11"/>
      <c r="E11" s="13" t="s">
        <v>45</v>
      </c>
    </row>
    <row r="12" spans="1:5" ht="27.6" x14ac:dyDescent="0.25">
      <c r="A12" s="10"/>
      <c r="B12" s="11"/>
      <c r="C12" s="11"/>
      <c r="D12" s="11"/>
      <c r="E12" s="13" t="s">
        <v>40</v>
      </c>
    </row>
    <row r="13" spans="1:5" ht="13.8" x14ac:dyDescent="0.25">
      <c r="A13" s="10"/>
      <c r="B13" s="11"/>
      <c r="C13" s="11"/>
      <c r="D13" s="11"/>
      <c r="E13" s="13" t="s">
        <v>46</v>
      </c>
    </row>
    <row r="14" spans="1:5" ht="13.8" x14ac:dyDescent="0.25">
      <c r="A14" s="10"/>
      <c r="B14" s="11"/>
      <c r="C14" s="11"/>
      <c r="D14" s="11"/>
      <c r="E14" s="11" t="s">
        <v>39</v>
      </c>
    </row>
    <row r="15" spans="1:5" ht="13.8" x14ac:dyDescent="0.25">
      <c r="A15" s="10" t="s">
        <v>27</v>
      </c>
      <c r="B15" s="11" t="s">
        <v>68</v>
      </c>
      <c r="C15" s="11" t="s">
        <v>28</v>
      </c>
      <c r="D15" s="11" t="s">
        <v>85</v>
      </c>
      <c r="E15" s="12" t="s">
        <v>128</v>
      </c>
    </row>
    <row r="16" spans="1:5" ht="13.8" x14ac:dyDescent="0.25">
      <c r="A16" s="14" t="s">
        <v>86</v>
      </c>
      <c r="B16" s="11" t="s">
        <v>69</v>
      </c>
      <c r="C16" s="11" t="s">
        <v>28</v>
      </c>
      <c r="D16" s="11" t="s">
        <v>85</v>
      </c>
      <c r="E16" s="12" t="s">
        <v>129</v>
      </c>
    </row>
    <row r="17" spans="1:6" ht="13.8" x14ac:dyDescent="0.25">
      <c r="A17" s="14" t="s">
        <v>87</v>
      </c>
      <c r="B17" s="11" t="s">
        <v>70</v>
      </c>
      <c r="C17" s="11" t="s">
        <v>28</v>
      </c>
      <c r="D17" s="11" t="s">
        <v>85</v>
      </c>
      <c r="E17" s="12" t="s">
        <v>130</v>
      </c>
    </row>
    <row r="18" spans="1:6" ht="13.8" x14ac:dyDescent="0.25">
      <c r="A18" s="14" t="s">
        <v>88</v>
      </c>
      <c r="B18" s="11" t="s">
        <v>71</v>
      </c>
      <c r="C18" s="11" t="s">
        <v>28</v>
      </c>
      <c r="D18" s="11" t="s">
        <v>85</v>
      </c>
      <c r="E18" s="12" t="s">
        <v>131</v>
      </c>
    </row>
    <row r="19" spans="1:6" ht="13.8" x14ac:dyDescent="0.25">
      <c r="A19" s="14" t="s">
        <v>89</v>
      </c>
      <c r="B19" s="11" t="s">
        <v>81</v>
      </c>
      <c r="C19" s="11" t="s">
        <v>28</v>
      </c>
      <c r="D19" s="11" t="s">
        <v>85</v>
      </c>
      <c r="E19" s="12" t="s">
        <v>132</v>
      </c>
    </row>
    <row r="20" spans="1:6" ht="13.8" x14ac:dyDescent="0.25">
      <c r="A20" s="14" t="s">
        <v>90</v>
      </c>
      <c r="B20" s="11" t="s">
        <v>72</v>
      </c>
      <c r="C20" s="11" t="s">
        <v>28</v>
      </c>
      <c r="D20" s="11" t="s">
        <v>85</v>
      </c>
      <c r="E20" s="12" t="s">
        <v>133</v>
      </c>
    </row>
    <row r="21" spans="1:6" ht="13.8" x14ac:dyDescent="0.25">
      <c r="A21" s="14" t="s">
        <v>91</v>
      </c>
      <c r="B21" s="11" t="s">
        <v>2</v>
      </c>
      <c r="C21" s="11" t="s">
        <v>29</v>
      </c>
      <c r="D21" s="11" t="s">
        <v>24</v>
      </c>
      <c r="E21" s="15"/>
    </row>
    <row r="22" spans="1:6" ht="13.8" x14ac:dyDescent="0.25">
      <c r="A22" s="10" t="s">
        <v>92</v>
      </c>
      <c r="B22" s="11" t="s">
        <v>3</v>
      </c>
      <c r="C22" s="11" t="s">
        <v>58</v>
      </c>
      <c r="D22" s="11" t="s">
        <v>21</v>
      </c>
      <c r="E22" s="12" t="s">
        <v>49</v>
      </c>
    </row>
    <row r="23" spans="1:6" ht="13.8" x14ac:dyDescent="0.25">
      <c r="A23" s="10"/>
      <c r="B23" s="11"/>
      <c r="C23" s="11"/>
      <c r="D23" s="11"/>
      <c r="E23" s="12" t="s">
        <v>59</v>
      </c>
    </row>
    <row r="24" spans="1:6" ht="13.8" x14ac:dyDescent="0.25">
      <c r="A24" s="10"/>
      <c r="B24" s="11"/>
      <c r="C24" s="11"/>
      <c r="D24" s="11"/>
      <c r="E24" s="12" t="s">
        <v>60</v>
      </c>
    </row>
    <row r="25" spans="1:6" ht="13.8" x14ac:dyDescent="0.25">
      <c r="A25" s="10"/>
      <c r="B25" s="11"/>
      <c r="C25" s="11"/>
      <c r="D25" s="11"/>
      <c r="E25" s="12" t="s">
        <v>48</v>
      </c>
    </row>
    <row r="26" spans="1:6" ht="13.8" x14ac:dyDescent="0.25">
      <c r="A26" s="10"/>
      <c r="B26" s="11"/>
      <c r="C26" s="11"/>
      <c r="D26" s="11"/>
      <c r="E26" s="12" t="s">
        <v>47</v>
      </c>
    </row>
    <row r="27" spans="1:6" ht="15" x14ac:dyDescent="0.35">
      <c r="A27" s="10" t="s">
        <v>93</v>
      </c>
      <c r="B27" s="11" t="s">
        <v>5</v>
      </c>
      <c r="C27" s="11" t="s">
        <v>30</v>
      </c>
      <c r="D27" s="11" t="s">
        <v>21</v>
      </c>
      <c r="E27" s="12" t="s">
        <v>41</v>
      </c>
      <c r="F27" s="1"/>
    </row>
    <row r="28" spans="1:6" ht="15" x14ac:dyDescent="0.35">
      <c r="A28" s="10"/>
      <c r="B28" s="11"/>
      <c r="C28" s="11"/>
      <c r="D28" s="11"/>
      <c r="E28" s="12" t="s">
        <v>42</v>
      </c>
      <c r="F28" s="1"/>
    </row>
    <row r="29" spans="1:6" ht="15" x14ac:dyDescent="0.35">
      <c r="A29" s="10"/>
      <c r="B29" s="11"/>
      <c r="C29" s="11"/>
      <c r="D29" s="11"/>
      <c r="E29" s="12" t="s">
        <v>61</v>
      </c>
      <c r="F29" s="1"/>
    </row>
    <row r="30" spans="1:6" ht="15" x14ac:dyDescent="0.35">
      <c r="A30" s="10"/>
      <c r="B30" s="11"/>
      <c r="C30" s="11"/>
      <c r="D30" s="11"/>
      <c r="E30" s="12" t="s">
        <v>62</v>
      </c>
      <c r="F30" s="1"/>
    </row>
    <row r="31" spans="1:6" ht="15" x14ac:dyDescent="0.35">
      <c r="A31" s="10"/>
      <c r="B31" s="11"/>
      <c r="C31" s="11"/>
      <c r="D31" s="11"/>
      <c r="E31" s="12" t="s">
        <v>43</v>
      </c>
      <c r="F31" s="1"/>
    </row>
    <row r="32" spans="1:6" ht="27.6" x14ac:dyDescent="0.35">
      <c r="A32" s="10" t="s">
        <v>94</v>
      </c>
      <c r="B32" s="11" t="s">
        <v>6</v>
      </c>
      <c r="C32" s="11" t="s">
        <v>31</v>
      </c>
      <c r="D32" s="11" t="s">
        <v>24</v>
      </c>
      <c r="F32" s="1"/>
    </row>
    <row r="33" spans="1:5" ht="13.8" x14ac:dyDescent="0.3">
      <c r="A33" s="10" t="s">
        <v>95</v>
      </c>
      <c r="B33" s="11" t="s">
        <v>74</v>
      </c>
      <c r="C33" s="11" t="s">
        <v>96</v>
      </c>
      <c r="D33" s="11" t="s">
        <v>85</v>
      </c>
      <c r="E33" s="19" t="s">
        <v>134</v>
      </c>
    </row>
    <row r="34" spans="1:5" ht="13.8" x14ac:dyDescent="0.3">
      <c r="A34" s="10" t="s">
        <v>97</v>
      </c>
      <c r="B34" s="11" t="s">
        <v>75</v>
      </c>
      <c r="C34" s="11" t="s">
        <v>98</v>
      </c>
      <c r="D34" s="11" t="s">
        <v>85</v>
      </c>
      <c r="E34" s="19" t="s">
        <v>134</v>
      </c>
    </row>
    <row r="35" spans="1:5" ht="15" customHeight="1" x14ac:dyDescent="0.3">
      <c r="A35" s="10" t="s">
        <v>99</v>
      </c>
      <c r="B35" s="11" t="s">
        <v>100</v>
      </c>
      <c r="C35" s="11" t="s">
        <v>101</v>
      </c>
      <c r="D35" s="11" t="s">
        <v>85</v>
      </c>
      <c r="E35" s="19" t="s">
        <v>134</v>
      </c>
    </row>
    <row r="36" spans="1:5" ht="13.8" x14ac:dyDescent="0.3">
      <c r="A36" s="10" t="s">
        <v>102</v>
      </c>
      <c r="B36" s="11" t="s">
        <v>73</v>
      </c>
      <c r="C36" s="11" t="s">
        <v>103</v>
      </c>
      <c r="D36" s="11" t="s">
        <v>85</v>
      </c>
      <c r="E36" s="19" t="s">
        <v>134</v>
      </c>
    </row>
    <row r="37" spans="1:5" ht="13.8" x14ac:dyDescent="0.3">
      <c r="A37" s="10" t="s">
        <v>104</v>
      </c>
      <c r="B37" s="11" t="s">
        <v>77</v>
      </c>
      <c r="C37" s="11" t="s">
        <v>105</v>
      </c>
      <c r="D37" s="11" t="s">
        <v>85</v>
      </c>
      <c r="E37" s="19" t="s">
        <v>134</v>
      </c>
    </row>
    <row r="38" spans="1:5" ht="16.5" customHeight="1" x14ac:dyDescent="0.25">
      <c r="A38" s="10" t="s">
        <v>106</v>
      </c>
      <c r="B38" s="11" t="s">
        <v>7</v>
      </c>
      <c r="C38" s="11" t="s">
        <v>32</v>
      </c>
      <c r="D38" s="11" t="s">
        <v>21</v>
      </c>
      <c r="E38" s="11" t="s">
        <v>63</v>
      </c>
    </row>
    <row r="39" spans="1:5" ht="13.8" x14ac:dyDescent="0.25">
      <c r="A39" s="10"/>
      <c r="B39" s="11"/>
      <c r="C39" s="11"/>
      <c r="D39" s="11"/>
      <c r="E39" s="11" t="s">
        <v>64</v>
      </c>
    </row>
    <row r="40" spans="1:5" ht="13.8" x14ac:dyDescent="0.25">
      <c r="A40" s="10"/>
      <c r="B40" s="11"/>
      <c r="C40" s="11"/>
      <c r="D40" s="11"/>
      <c r="E40" s="11" t="s">
        <v>65</v>
      </c>
    </row>
    <row r="41" spans="1:5" ht="13.8" x14ac:dyDescent="0.25">
      <c r="A41" s="10"/>
      <c r="B41" s="11"/>
      <c r="C41" s="11"/>
      <c r="D41" s="11"/>
      <c r="E41" s="11" t="s">
        <v>66</v>
      </c>
    </row>
    <row r="42" spans="1:5" ht="13.8" x14ac:dyDescent="0.3">
      <c r="A42" s="10" t="s">
        <v>107</v>
      </c>
      <c r="B42" s="11" t="s">
        <v>78</v>
      </c>
      <c r="C42" s="11" t="s">
        <v>108</v>
      </c>
      <c r="D42" s="11" t="s">
        <v>85</v>
      </c>
      <c r="E42" s="19" t="s">
        <v>134</v>
      </c>
    </row>
    <row r="43" spans="1:5" ht="13.5" customHeight="1" x14ac:dyDescent="0.3">
      <c r="A43" s="10" t="s">
        <v>109</v>
      </c>
      <c r="B43" s="11" t="s">
        <v>82</v>
      </c>
      <c r="C43" s="11" t="s">
        <v>110</v>
      </c>
      <c r="D43" s="11" t="s">
        <v>85</v>
      </c>
      <c r="E43" s="19" t="s">
        <v>134</v>
      </c>
    </row>
    <row r="44" spans="1:5" ht="13.8" x14ac:dyDescent="0.25">
      <c r="A44" s="10" t="s">
        <v>111</v>
      </c>
      <c r="B44" s="11" t="s">
        <v>8</v>
      </c>
      <c r="C44" s="11" t="s">
        <v>33</v>
      </c>
      <c r="D44" s="11" t="s">
        <v>24</v>
      </c>
      <c r="E44" s="13"/>
    </row>
    <row r="45" spans="1:5" ht="27.6" x14ac:dyDescent="0.3">
      <c r="A45" s="10" t="s">
        <v>112</v>
      </c>
      <c r="B45" s="11" t="s">
        <v>79</v>
      </c>
      <c r="C45" s="11" t="s">
        <v>113</v>
      </c>
      <c r="D45" s="11" t="s">
        <v>85</v>
      </c>
      <c r="E45" s="19" t="s">
        <v>134</v>
      </c>
    </row>
    <row r="46" spans="1:5" ht="13.8" x14ac:dyDescent="0.3">
      <c r="A46" s="10" t="s">
        <v>114</v>
      </c>
      <c r="B46" s="11" t="s">
        <v>80</v>
      </c>
      <c r="C46" s="11" t="s">
        <v>115</v>
      </c>
      <c r="D46" s="11" t="s">
        <v>85</v>
      </c>
      <c r="E46" s="19" t="s">
        <v>134</v>
      </c>
    </row>
    <row r="47" spans="1:5" ht="13.8" x14ac:dyDescent="0.3">
      <c r="A47" s="10" t="s">
        <v>116</v>
      </c>
      <c r="B47" s="11" t="s">
        <v>83</v>
      </c>
      <c r="C47" s="11" t="s">
        <v>117</v>
      </c>
      <c r="D47" s="11" t="s">
        <v>85</v>
      </c>
      <c r="E47" s="19" t="s">
        <v>134</v>
      </c>
    </row>
    <row r="48" spans="1:5" ht="13.8" x14ac:dyDescent="0.3">
      <c r="A48" s="10" t="s">
        <v>118</v>
      </c>
      <c r="B48" s="11" t="s">
        <v>9</v>
      </c>
      <c r="C48" s="11" t="s">
        <v>34</v>
      </c>
      <c r="D48" s="11" t="s">
        <v>24</v>
      </c>
      <c r="E48" s="19"/>
    </row>
    <row r="49" spans="1:5" ht="15" customHeight="1" x14ac:dyDescent="0.25">
      <c r="A49" s="10" t="s">
        <v>119</v>
      </c>
      <c r="B49" s="11" t="s">
        <v>10</v>
      </c>
      <c r="C49" s="11" t="s">
        <v>35</v>
      </c>
      <c r="D49" s="11" t="s">
        <v>21</v>
      </c>
      <c r="E49" s="12" t="s">
        <v>50</v>
      </c>
    </row>
    <row r="50" spans="1:5" ht="13.8" x14ac:dyDescent="0.25">
      <c r="A50" s="10"/>
      <c r="B50" s="11"/>
      <c r="C50" s="11"/>
      <c r="D50" s="11"/>
      <c r="E50" s="12" t="s">
        <v>51</v>
      </c>
    </row>
    <row r="51" spans="1:5" ht="13.8" x14ac:dyDescent="0.25">
      <c r="A51" s="10"/>
      <c r="B51" s="11"/>
      <c r="C51" s="11"/>
      <c r="D51" s="11"/>
      <c r="E51" s="12" t="s">
        <v>52</v>
      </c>
    </row>
    <row r="52" spans="1:5" ht="27.6" x14ac:dyDescent="0.25">
      <c r="A52" s="10"/>
      <c r="B52" s="11"/>
      <c r="C52" s="11"/>
      <c r="D52" s="11"/>
      <c r="E52" s="12" t="s">
        <v>53</v>
      </c>
    </row>
    <row r="53" spans="1:5" ht="27.6" x14ac:dyDescent="0.25">
      <c r="A53" s="10" t="s">
        <v>120</v>
      </c>
      <c r="B53" s="11" t="s">
        <v>11</v>
      </c>
      <c r="C53" s="11" t="s">
        <v>67</v>
      </c>
      <c r="D53" s="11" t="s">
        <v>24</v>
      </c>
      <c r="E53" s="13"/>
    </row>
    <row r="54" spans="1:5" ht="13.8" x14ac:dyDescent="0.3">
      <c r="A54" s="10" t="s">
        <v>121</v>
      </c>
      <c r="B54" s="11" t="s">
        <v>12</v>
      </c>
      <c r="C54" s="11" t="s">
        <v>122</v>
      </c>
      <c r="D54" s="11" t="s">
        <v>85</v>
      </c>
      <c r="E54" s="19" t="s">
        <v>134</v>
      </c>
    </row>
    <row r="55" spans="1:5" ht="13.8" x14ac:dyDescent="0.3">
      <c r="A55" s="10" t="s">
        <v>123</v>
      </c>
      <c r="B55" s="11" t="s">
        <v>13</v>
      </c>
      <c r="C55" s="11" t="s">
        <v>36</v>
      </c>
      <c r="D55" s="11" t="s">
        <v>85</v>
      </c>
      <c r="E55" s="19" t="s">
        <v>134</v>
      </c>
    </row>
    <row r="56" spans="1:5" ht="13.8" x14ac:dyDescent="0.3">
      <c r="A56" s="10" t="s">
        <v>124</v>
      </c>
      <c r="B56" s="11" t="s">
        <v>14</v>
      </c>
      <c r="C56" s="11" t="s">
        <v>127</v>
      </c>
      <c r="D56" s="11" t="s">
        <v>85</v>
      </c>
      <c r="E56" s="19" t="s">
        <v>134</v>
      </c>
    </row>
    <row r="57" spans="1:5" ht="13.8" x14ac:dyDescent="0.25">
      <c r="A57" s="16"/>
      <c r="B57" s="15"/>
      <c r="C57" s="15"/>
      <c r="D57" s="15"/>
      <c r="E57" s="12"/>
    </row>
  </sheetData>
  <autoFilter ref="A4:E56"/>
  <mergeCells count="1">
    <mergeCell ref="A1:B1"/>
  </mergeCells>
  <phoneticPr fontId="0" type="noConversion"/>
  <pageMargins left="0.75" right="0.75" top="1" bottom="1" header="0.5" footer="0.5"/>
  <pageSetup scale="65" orientation="portrait" horizontalDpi="4294967292" verticalDpi="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4"/>
  <sheetViews>
    <sheetView showGridLines="0" workbookViewId="0"/>
  </sheetViews>
  <sheetFormatPr defaultRowHeight="13.2" x14ac:dyDescent="0.25"/>
  <cols>
    <col min="1" max="1" width="0.88671875" customWidth="1"/>
    <col min="2" max="2" width="50.109375" customWidth="1"/>
    <col min="3" max="3" width="1.21875" customWidth="1"/>
    <col min="4" max="4" width="4.33203125" customWidth="1"/>
    <col min="5" max="6" width="12.44140625" customWidth="1"/>
  </cols>
  <sheetData>
    <row r="1" spans="2:6" x14ac:dyDescent="0.25">
      <c r="B1" s="39" t="s">
        <v>764</v>
      </c>
      <c r="C1" s="39"/>
      <c r="D1" s="48"/>
      <c r="E1" s="48"/>
      <c r="F1" s="48"/>
    </row>
    <row r="2" spans="2:6" x14ac:dyDescent="0.25">
      <c r="B2" s="39" t="s">
        <v>765</v>
      </c>
      <c r="C2" s="39"/>
      <c r="D2" s="48"/>
      <c r="E2" s="48"/>
      <c r="F2" s="48"/>
    </row>
    <row r="3" spans="2:6" x14ac:dyDescent="0.25">
      <c r="B3" s="40"/>
      <c r="C3" s="40"/>
      <c r="D3" s="49"/>
      <c r="E3" s="49"/>
      <c r="F3" s="49"/>
    </row>
    <row r="4" spans="2:6" ht="66" x14ac:dyDescent="0.25">
      <c r="B4" s="40" t="s">
        <v>766</v>
      </c>
      <c r="C4" s="40"/>
      <c r="D4" s="49"/>
      <c r="E4" s="49"/>
      <c r="F4" s="49"/>
    </row>
    <row r="5" spans="2:6" x14ac:dyDescent="0.25">
      <c r="B5" s="40"/>
      <c r="C5" s="40"/>
      <c r="D5" s="49"/>
      <c r="E5" s="49"/>
      <c r="F5" s="49"/>
    </row>
    <row r="6" spans="2:6" ht="26.4" x14ac:dyDescent="0.25">
      <c r="B6" s="39" t="s">
        <v>767</v>
      </c>
      <c r="C6" s="39"/>
      <c r="D6" s="48"/>
      <c r="E6" s="48" t="s">
        <v>768</v>
      </c>
      <c r="F6" s="48" t="s">
        <v>769</v>
      </c>
    </row>
    <row r="7" spans="2:6" ht="13.8" thickBot="1" x14ac:dyDescent="0.3">
      <c r="B7" s="40"/>
      <c r="C7" s="40"/>
      <c r="D7" s="49"/>
      <c r="E7" s="49"/>
      <c r="F7" s="49"/>
    </row>
    <row r="8" spans="2:6" ht="39.6" x14ac:dyDescent="0.25">
      <c r="B8" s="41" t="s">
        <v>770</v>
      </c>
      <c r="C8" s="42"/>
      <c r="D8" s="50"/>
      <c r="E8" s="50">
        <v>2</v>
      </c>
      <c r="F8" s="51"/>
    </row>
    <row r="9" spans="2:6" ht="39.6" x14ac:dyDescent="0.25">
      <c r="B9" s="43"/>
      <c r="C9" s="40"/>
      <c r="D9" s="49"/>
      <c r="E9" s="52" t="s">
        <v>771</v>
      </c>
      <c r="F9" s="53" t="s">
        <v>772</v>
      </c>
    </row>
    <row r="10" spans="2:6" ht="40.200000000000003" thickBot="1" x14ac:dyDescent="0.3">
      <c r="B10" s="44"/>
      <c r="C10" s="45"/>
      <c r="D10" s="54"/>
      <c r="E10" s="55" t="s">
        <v>773</v>
      </c>
      <c r="F10" s="56" t="s">
        <v>772</v>
      </c>
    </row>
    <row r="11" spans="2:6" ht="13.8" thickBot="1" x14ac:dyDescent="0.3">
      <c r="B11" s="40"/>
      <c r="C11" s="40"/>
      <c r="D11" s="49"/>
      <c r="E11" s="49"/>
      <c r="F11" s="49"/>
    </row>
    <row r="12" spans="2:6" ht="40.200000000000003" thickBot="1" x14ac:dyDescent="0.3">
      <c r="B12" s="46" t="s">
        <v>774</v>
      </c>
      <c r="C12" s="47"/>
      <c r="D12" s="57"/>
      <c r="E12" s="57">
        <v>22</v>
      </c>
      <c r="F12" s="58" t="s">
        <v>772</v>
      </c>
    </row>
    <row r="13" spans="2:6" x14ac:dyDescent="0.25">
      <c r="B13" s="40"/>
      <c r="C13" s="40"/>
      <c r="D13" s="49"/>
      <c r="E13" s="49"/>
      <c r="F13" s="49"/>
    </row>
    <row r="14" spans="2:6" x14ac:dyDescent="0.25">
      <c r="B14" s="40"/>
      <c r="C14" s="40"/>
      <c r="D14" s="49"/>
      <c r="E14" s="49"/>
      <c r="F14" s="49"/>
    </row>
  </sheetData>
  <hyperlinks>
    <hyperlink ref="E9" location="'NNCAuto_Output6040'!C42:N142" display="'NNCAuto_Output6040'!C42:N142"/>
    <hyperlink ref="E10" location="'NNCAuto_Output5050'!C42:O142" display="'NNCAuto_Output5050'!C42:O1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Data</vt:lpstr>
      <vt:lpstr>CreateDummies</vt:lpstr>
      <vt:lpstr>Sheet1</vt:lpstr>
      <vt:lpstr>NNC_Output5</vt:lpstr>
      <vt:lpstr>NNC_TrainLog5</vt:lpstr>
      <vt:lpstr>NNC_Stored5</vt:lpstr>
      <vt:lpstr>NNC_Output4</vt:lpstr>
      <vt:lpstr>NNC_TrainLog4</vt:lpstr>
      <vt:lpstr>NNC_Stored4</vt:lpstr>
      <vt:lpstr>NNC_Output3</vt:lpstr>
      <vt:lpstr>NNC_TrainLog3</vt:lpstr>
      <vt:lpstr>NNC_Stored3</vt:lpstr>
      <vt:lpstr>NNC_Output2_best</vt:lpstr>
      <vt:lpstr>NNC_TrainLog2</vt:lpstr>
      <vt:lpstr>NNC_Stored2</vt:lpstr>
      <vt:lpstr>NNC_Output1</vt:lpstr>
      <vt:lpstr>NNC_TrainLog1</vt:lpstr>
      <vt:lpstr>NNC_Stored1</vt:lpstr>
      <vt:lpstr>NNC_Output_Def6040</vt:lpstr>
      <vt:lpstr>NNC_TrainLog</vt:lpstr>
      <vt:lpstr>NNC_TrainingLiftChart</vt:lpstr>
      <vt:lpstr>NNC_ValidationLiftChart</vt:lpstr>
      <vt:lpstr>NNC_Stored</vt:lpstr>
      <vt:lpstr>NNCAuto_Output6040</vt:lpstr>
      <vt:lpstr>NNCAuto_Output5050</vt:lpstr>
      <vt:lpstr>Codelist</vt:lpstr>
      <vt:lpstr>Compatibility Report</vt:lpstr>
    </vt:vector>
  </TitlesOfParts>
  <Company>Cytel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Nitin R Patel</dc:creator>
  <cp:lastModifiedBy>Anirudha Bedre</cp:lastModifiedBy>
  <cp:lastPrinted>2003-03-25T21:11:32Z</cp:lastPrinted>
  <dcterms:created xsi:type="dcterms:W3CDTF">2000-07-26T04:01:41Z</dcterms:created>
  <dcterms:modified xsi:type="dcterms:W3CDTF">2015-03-21T01:13:47Z</dcterms:modified>
</cp:coreProperties>
</file>